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USUARIO\Desktop\DADIS\"/>
    </mc:Choice>
  </mc:AlternateContent>
  <xr:revisionPtr revIDLastSave="0" documentId="8_{2415D33E-4982-485E-93E5-BB1E52637E76}" xr6:coauthVersionLast="47" xr6:coauthVersionMax="47" xr10:uidLastSave="{00000000-0000-0000-0000-000000000000}"/>
  <bookViews>
    <workbookView xWindow="-120" yWindow="-120" windowWidth="29040" windowHeight="15720" xr2:uid="{7D35499F-D576-4C6F-85E5-EF7828BE0591}"/>
  </bookViews>
  <sheets>
    <sheet name="JULIO 25" sheetId="1" r:id="rId1"/>
    <sheet name="AGOSTO 25" sheetId="2" r:id="rId2"/>
    <sheet name="SEPTIEMBRE 25" sheetId="3" r:id="rId3"/>
    <sheet name="OCTUBRE 25" sheetId="4" r:id="rId4"/>
    <sheet name="NOVIEMBRE 25" sheetId="5" r:id="rId5"/>
    <sheet name="DICIEMBRE 25 " sheetId="6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'AGOSTO 25'!$A$1:$D$51</definedName>
    <definedName name="_xlnm._FilterDatabase" localSheetId="5" hidden="1">'DICIEMBRE 25 '!$A$1:$D$51</definedName>
    <definedName name="_xlnm._FilterDatabase" localSheetId="0" hidden="1">'JULIO 25'!$A$1:$D$51</definedName>
    <definedName name="_xlnm._FilterDatabase" localSheetId="4" hidden="1">'NOVIEMBRE 25'!$A$1:$D$51</definedName>
    <definedName name="_xlnm._FilterDatabase" localSheetId="3" hidden="1">'OCTUBRE 25'!$A$1:$D$51</definedName>
    <definedName name="_xlnm._FilterDatabase" localSheetId="2" hidden="1">'SEPTIEMBRE 25'!$A$1:$D$2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5" i="6" l="1"/>
  <c r="B64" i="6"/>
  <c r="B63" i="6"/>
  <c r="B62" i="6"/>
  <c r="B66" i="6" s="1"/>
  <c r="B59" i="6"/>
  <c r="B58" i="6"/>
  <c r="B57" i="6"/>
  <c r="B56" i="6"/>
  <c r="B55" i="6"/>
  <c r="C59" i="6" s="1"/>
  <c r="B50" i="6"/>
  <c r="AP49" i="6"/>
  <c r="AR49" i="6" s="1"/>
  <c r="AO49" i="6"/>
  <c r="AQ49" i="6" s="1"/>
  <c r="AL49" i="6"/>
  <c r="AN49" i="6" s="1"/>
  <c r="AK49" i="6"/>
  <c r="AM49" i="6" s="1"/>
  <c r="AH49" i="6"/>
  <c r="AJ49" i="6" s="1"/>
  <c r="AG49" i="6"/>
  <c r="AI49" i="6" s="1"/>
  <c r="AD49" i="6"/>
  <c r="AF49" i="6" s="1"/>
  <c r="AC49" i="6"/>
  <c r="AE49" i="6" s="1"/>
  <c r="Z49" i="6"/>
  <c r="AB49" i="6" s="1"/>
  <c r="Y49" i="6"/>
  <c r="AA49" i="6" s="1"/>
  <c r="V49" i="6"/>
  <c r="X49" i="6" s="1"/>
  <c r="U49" i="6"/>
  <c r="W49" i="6" s="1"/>
  <c r="R49" i="6"/>
  <c r="T49" i="6" s="1"/>
  <c r="Q49" i="6"/>
  <c r="S49" i="6" s="1"/>
  <c r="N49" i="6"/>
  <c r="P49" i="6" s="1"/>
  <c r="M49" i="6"/>
  <c r="O49" i="6" s="1"/>
  <c r="J49" i="6"/>
  <c r="L49" i="6" s="1"/>
  <c r="I49" i="6"/>
  <c r="K49" i="6" s="1"/>
  <c r="F49" i="6"/>
  <c r="E49" i="6"/>
  <c r="AP48" i="6"/>
  <c r="AR48" i="6" s="1"/>
  <c r="AO48" i="6"/>
  <c r="AQ48" i="6" s="1"/>
  <c r="AL48" i="6"/>
  <c r="AN48" i="6" s="1"/>
  <c r="AK48" i="6"/>
  <c r="AM48" i="6" s="1"/>
  <c r="AH48" i="6"/>
  <c r="AJ48" i="6" s="1"/>
  <c r="AG48" i="6"/>
  <c r="AI48" i="6" s="1"/>
  <c r="AD48" i="6"/>
  <c r="AF48" i="6" s="1"/>
  <c r="AC48" i="6"/>
  <c r="AE48" i="6" s="1"/>
  <c r="Z48" i="6"/>
  <c r="AB48" i="6" s="1"/>
  <c r="Y48" i="6"/>
  <c r="AA48" i="6" s="1"/>
  <c r="V48" i="6"/>
  <c r="X48" i="6" s="1"/>
  <c r="U48" i="6"/>
  <c r="W48" i="6" s="1"/>
  <c r="R48" i="6"/>
  <c r="T48" i="6" s="1"/>
  <c r="Q48" i="6"/>
  <c r="S48" i="6" s="1"/>
  <c r="N48" i="6"/>
  <c r="P48" i="6" s="1"/>
  <c r="M48" i="6"/>
  <c r="O48" i="6" s="1"/>
  <c r="J48" i="6"/>
  <c r="L48" i="6" s="1"/>
  <c r="I48" i="6"/>
  <c r="K48" i="6" s="1"/>
  <c r="F48" i="6"/>
  <c r="E48" i="6"/>
  <c r="AP47" i="6"/>
  <c r="AR47" i="6" s="1"/>
  <c r="AO47" i="6"/>
  <c r="AQ47" i="6" s="1"/>
  <c r="AL47" i="6"/>
  <c r="AN47" i="6" s="1"/>
  <c r="AK47" i="6"/>
  <c r="AM47" i="6" s="1"/>
  <c r="AH47" i="6"/>
  <c r="AJ47" i="6" s="1"/>
  <c r="AG47" i="6"/>
  <c r="AI47" i="6" s="1"/>
  <c r="AD47" i="6"/>
  <c r="AF47" i="6" s="1"/>
  <c r="AC47" i="6"/>
  <c r="AE47" i="6" s="1"/>
  <c r="Z47" i="6"/>
  <c r="AB47" i="6" s="1"/>
  <c r="Y47" i="6"/>
  <c r="AA47" i="6" s="1"/>
  <c r="V47" i="6"/>
  <c r="X47" i="6" s="1"/>
  <c r="U47" i="6"/>
  <c r="W47" i="6" s="1"/>
  <c r="R47" i="6"/>
  <c r="T47" i="6" s="1"/>
  <c r="Q47" i="6"/>
  <c r="S47" i="6" s="1"/>
  <c r="N47" i="6"/>
  <c r="P47" i="6" s="1"/>
  <c r="M47" i="6"/>
  <c r="O47" i="6" s="1"/>
  <c r="J47" i="6"/>
  <c r="L47" i="6" s="1"/>
  <c r="I47" i="6"/>
  <c r="K47" i="6" s="1"/>
  <c r="F47" i="6"/>
  <c r="E47" i="6"/>
  <c r="AP46" i="6"/>
  <c r="AR46" i="6" s="1"/>
  <c r="AO46" i="6"/>
  <c r="AQ46" i="6" s="1"/>
  <c r="AL46" i="6"/>
  <c r="AN46" i="6" s="1"/>
  <c r="AK46" i="6"/>
  <c r="AM46" i="6" s="1"/>
  <c r="AH46" i="6"/>
  <c r="AJ46" i="6" s="1"/>
  <c r="AG46" i="6"/>
  <c r="AI46" i="6" s="1"/>
  <c r="AD46" i="6"/>
  <c r="AF46" i="6" s="1"/>
  <c r="AC46" i="6"/>
  <c r="AE46" i="6" s="1"/>
  <c r="Z46" i="6"/>
  <c r="AB46" i="6" s="1"/>
  <c r="Y46" i="6"/>
  <c r="AA46" i="6" s="1"/>
  <c r="V46" i="6"/>
  <c r="X46" i="6" s="1"/>
  <c r="U46" i="6"/>
  <c r="W46" i="6" s="1"/>
  <c r="R46" i="6"/>
  <c r="T46" i="6" s="1"/>
  <c r="Q46" i="6"/>
  <c r="S46" i="6" s="1"/>
  <c r="N46" i="6"/>
  <c r="P46" i="6" s="1"/>
  <c r="M46" i="6"/>
  <c r="O46" i="6" s="1"/>
  <c r="J46" i="6"/>
  <c r="L46" i="6" s="1"/>
  <c r="I46" i="6"/>
  <c r="K46" i="6" s="1"/>
  <c r="F46" i="6"/>
  <c r="E46" i="6"/>
  <c r="AP45" i="6"/>
  <c r="AR45" i="6" s="1"/>
  <c r="AO45" i="6"/>
  <c r="AQ45" i="6" s="1"/>
  <c r="AL45" i="6"/>
  <c r="AN45" i="6" s="1"/>
  <c r="AK45" i="6"/>
  <c r="AM45" i="6" s="1"/>
  <c r="AH45" i="6"/>
  <c r="AJ45" i="6" s="1"/>
  <c r="AG45" i="6"/>
  <c r="AI45" i="6" s="1"/>
  <c r="AD45" i="6"/>
  <c r="AF45" i="6" s="1"/>
  <c r="AC45" i="6"/>
  <c r="AE45" i="6" s="1"/>
  <c r="Z45" i="6"/>
  <c r="AB45" i="6" s="1"/>
  <c r="Y45" i="6"/>
  <c r="AA45" i="6" s="1"/>
  <c r="V45" i="6"/>
  <c r="X45" i="6" s="1"/>
  <c r="U45" i="6"/>
  <c r="W45" i="6" s="1"/>
  <c r="R45" i="6"/>
  <c r="T45" i="6" s="1"/>
  <c r="Q45" i="6"/>
  <c r="S45" i="6" s="1"/>
  <c r="N45" i="6"/>
  <c r="P45" i="6" s="1"/>
  <c r="M45" i="6"/>
  <c r="O45" i="6" s="1"/>
  <c r="J45" i="6"/>
  <c r="L45" i="6" s="1"/>
  <c r="I45" i="6"/>
  <c r="K45" i="6" s="1"/>
  <c r="F45" i="6"/>
  <c r="E45" i="6"/>
  <c r="AP44" i="6"/>
  <c r="AR44" i="6" s="1"/>
  <c r="AO44" i="6"/>
  <c r="AQ44" i="6" s="1"/>
  <c r="AL44" i="6"/>
  <c r="AN44" i="6" s="1"/>
  <c r="AK44" i="6"/>
  <c r="AM44" i="6" s="1"/>
  <c r="AH44" i="6"/>
  <c r="AJ44" i="6" s="1"/>
  <c r="AG44" i="6"/>
  <c r="AI44" i="6" s="1"/>
  <c r="AD44" i="6"/>
  <c r="AF44" i="6" s="1"/>
  <c r="AC44" i="6"/>
  <c r="AE44" i="6" s="1"/>
  <c r="Z44" i="6"/>
  <c r="AB44" i="6" s="1"/>
  <c r="Y44" i="6"/>
  <c r="AA44" i="6" s="1"/>
  <c r="V44" i="6"/>
  <c r="X44" i="6" s="1"/>
  <c r="U44" i="6"/>
  <c r="W44" i="6" s="1"/>
  <c r="R44" i="6"/>
  <c r="T44" i="6" s="1"/>
  <c r="Q44" i="6"/>
  <c r="S44" i="6" s="1"/>
  <c r="N44" i="6"/>
  <c r="P44" i="6" s="1"/>
  <c r="M44" i="6"/>
  <c r="O44" i="6" s="1"/>
  <c r="J44" i="6"/>
  <c r="L44" i="6" s="1"/>
  <c r="I44" i="6"/>
  <c r="K44" i="6" s="1"/>
  <c r="F44" i="6"/>
  <c r="E44" i="6"/>
  <c r="AP43" i="6"/>
  <c r="AR43" i="6" s="1"/>
  <c r="AO43" i="6"/>
  <c r="AQ43" i="6" s="1"/>
  <c r="AL43" i="6"/>
  <c r="AN43" i="6" s="1"/>
  <c r="AK43" i="6"/>
  <c r="AM43" i="6" s="1"/>
  <c r="AH43" i="6"/>
  <c r="AJ43" i="6" s="1"/>
  <c r="AG43" i="6"/>
  <c r="AI43" i="6" s="1"/>
  <c r="AD43" i="6"/>
  <c r="AF43" i="6" s="1"/>
  <c r="AC43" i="6"/>
  <c r="AE43" i="6" s="1"/>
  <c r="Z43" i="6"/>
  <c r="AB43" i="6" s="1"/>
  <c r="Y43" i="6"/>
  <c r="AA43" i="6" s="1"/>
  <c r="V43" i="6"/>
  <c r="X43" i="6" s="1"/>
  <c r="U43" i="6"/>
  <c r="W43" i="6" s="1"/>
  <c r="R43" i="6"/>
  <c r="T43" i="6" s="1"/>
  <c r="Q43" i="6"/>
  <c r="S43" i="6" s="1"/>
  <c r="N43" i="6"/>
  <c r="P43" i="6" s="1"/>
  <c r="M43" i="6"/>
  <c r="O43" i="6" s="1"/>
  <c r="J43" i="6"/>
  <c r="L43" i="6" s="1"/>
  <c r="I43" i="6"/>
  <c r="K43" i="6" s="1"/>
  <c r="F43" i="6"/>
  <c r="E43" i="6"/>
  <c r="AP42" i="6"/>
  <c r="AR42" i="6" s="1"/>
  <c r="AO42" i="6"/>
  <c r="AQ42" i="6" s="1"/>
  <c r="AL42" i="6"/>
  <c r="AN42" i="6" s="1"/>
  <c r="AK42" i="6"/>
  <c r="AM42" i="6" s="1"/>
  <c r="AH42" i="6"/>
  <c r="AJ42" i="6" s="1"/>
  <c r="AG42" i="6"/>
  <c r="AI42" i="6" s="1"/>
  <c r="AD42" i="6"/>
  <c r="AF42" i="6" s="1"/>
  <c r="AC42" i="6"/>
  <c r="AE42" i="6" s="1"/>
  <c r="Z42" i="6"/>
  <c r="AB42" i="6" s="1"/>
  <c r="Y42" i="6"/>
  <c r="AA42" i="6" s="1"/>
  <c r="V42" i="6"/>
  <c r="X42" i="6" s="1"/>
  <c r="U42" i="6"/>
  <c r="W42" i="6" s="1"/>
  <c r="R42" i="6"/>
  <c r="T42" i="6" s="1"/>
  <c r="Q42" i="6"/>
  <c r="S42" i="6" s="1"/>
  <c r="N42" i="6"/>
  <c r="P42" i="6" s="1"/>
  <c r="M42" i="6"/>
  <c r="O42" i="6" s="1"/>
  <c r="J42" i="6"/>
  <c r="L42" i="6" s="1"/>
  <c r="I42" i="6"/>
  <c r="K42" i="6" s="1"/>
  <c r="F42" i="6"/>
  <c r="E42" i="6"/>
  <c r="AP41" i="6"/>
  <c r="AR41" i="6" s="1"/>
  <c r="AO41" i="6"/>
  <c r="AQ41" i="6" s="1"/>
  <c r="AL41" i="6"/>
  <c r="AN41" i="6" s="1"/>
  <c r="AK41" i="6"/>
  <c r="AM41" i="6" s="1"/>
  <c r="AH41" i="6"/>
  <c r="AJ41" i="6" s="1"/>
  <c r="AG41" i="6"/>
  <c r="AI41" i="6" s="1"/>
  <c r="AD41" i="6"/>
  <c r="AF41" i="6" s="1"/>
  <c r="AC41" i="6"/>
  <c r="AE41" i="6" s="1"/>
  <c r="Z41" i="6"/>
  <c r="AB41" i="6" s="1"/>
  <c r="Y41" i="6"/>
  <c r="AA41" i="6" s="1"/>
  <c r="V41" i="6"/>
  <c r="X41" i="6" s="1"/>
  <c r="U41" i="6"/>
  <c r="W41" i="6" s="1"/>
  <c r="R41" i="6"/>
  <c r="T41" i="6" s="1"/>
  <c r="Q41" i="6"/>
  <c r="S41" i="6" s="1"/>
  <c r="N41" i="6"/>
  <c r="P41" i="6" s="1"/>
  <c r="M41" i="6"/>
  <c r="O41" i="6" s="1"/>
  <c r="J41" i="6"/>
  <c r="L41" i="6" s="1"/>
  <c r="I41" i="6"/>
  <c r="K41" i="6" s="1"/>
  <c r="F41" i="6"/>
  <c r="E41" i="6"/>
  <c r="AP40" i="6"/>
  <c r="AR40" i="6" s="1"/>
  <c r="AO40" i="6"/>
  <c r="AQ40" i="6" s="1"/>
  <c r="AL40" i="6"/>
  <c r="AN40" i="6" s="1"/>
  <c r="AK40" i="6"/>
  <c r="AM40" i="6" s="1"/>
  <c r="AH40" i="6"/>
  <c r="AJ40" i="6" s="1"/>
  <c r="AG40" i="6"/>
  <c r="AI40" i="6" s="1"/>
  <c r="AD40" i="6"/>
  <c r="AF40" i="6" s="1"/>
  <c r="AC40" i="6"/>
  <c r="AE40" i="6" s="1"/>
  <c r="Z40" i="6"/>
  <c r="AB40" i="6" s="1"/>
  <c r="Y40" i="6"/>
  <c r="AA40" i="6" s="1"/>
  <c r="V40" i="6"/>
  <c r="X40" i="6" s="1"/>
  <c r="U40" i="6"/>
  <c r="W40" i="6" s="1"/>
  <c r="R40" i="6"/>
  <c r="T40" i="6" s="1"/>
  <c r="Q40" i="6"/>
  <c r="S40" i="6" s="1"/>
  <c r="N40" i="6"/>
  <c r="P40" i="6" s="1"/>
  <c r="M40" i="6"/>
  <c r="O40" i="6" s="1"/>
  <c r="J40" i="6"/>
  <c r="L40" i="6" s="1"/>
  <c r="I40" i="6"/>
  <c r="K40" i="6" s="1"/>
  <c r="F40" i="6"/>
  <c r="E40" i="6"/>
  <c r="AP39" i="6"/>
  <c r="AR39" i="6" s="1"/>
  <c r="AO39" i="6"/>
  <c r="AQ39" i="6" s="1"/>
  <c r="AL39" i="6"/>
  <c r="AN39" i="6" s="1"/>
  <c r="AK39" i="6"/>
  <c r="AM39" i="6" s="1"/>
  <c r="AH39" i="6"/>
  <c r="AJ39" i="6" s="1"/>
  <c r="AG39" i="6"/>
  <c r="AI39" i="6" s="1"/>
  <c r="AD39" i="6"/>
  <c r="AF39" i="6" s="1"/>
  <c r="AC39" i="6"/>
  <c r="AE39" i="6" s="1"/>
  <c r="Z39" i="6"/>
  <c r="AB39" i="6" s="1"/>
  <c r="Y39" i="6"/>
  <c r="AA39" i="6" s="1"/>
  <c r="V39" i="6"/>
  <c r="X39" i="6" s="1"/>
  <c r="U39" i="6"/>
  <c r="W39" i="6" s="1"/>
  <c r="R39" i="6"/>
  <c r="T39" i="6" s="1"/>
  <c r="Q39" i="6"/>
  <c r="S39" i="6" s="1"/>
  <c r="N39" i="6"/>
  <c r="P39" i="6" s="1"/>
  <c r="M39" i="6"/>
  <c r="O39" i="6" s="1"/>
  <c r="J39" i="6"/>
  <c r="L39" i="6" s="1"/>
  <c r="I39" i="6"/>
  <c r="K39" i="6" s="1"/>
  <c r="F39" i="6"/>
  <c r="E39" i="6"/>
  <c r="AP38" i="6"/>
  <c r="AR38" i="6" s="1"/>
  <c r="AO38" i="6"/>
  <c r="AQ38" i="6" s="1"/>
  <c r="AL38" i="6"/>
  <c r="AN38" i="6" s="1"/>
  <c r="AK38" i="6"/>
  <c r="AM38" i="6" s="1"/>
  <c r="AH38" i="6"/>
  <c r="AJ38" i="6" s="1"/>
  <c r="AG38" i="6"/>
  <c r="AI38" i="6" s="1"/>
  <c r="AD38" i="6"/>
  <c r="AF38" i="6" s="1"/>
  <c r="AC38" i="6"/>
  <c r="AE38" i="6" s="1"/>
  <c r="Z38" i="6"/>
  <c r="AB38" i="6" s="1"/>
  <c r="Y38" i="6"/>
  <c r="AA38" i="6" s="1"/>
  <c r="V38" i="6"/>
  <c r="X38" i="6" s="1"/>
  <c r="U38" i="6"/>
  <c r="W38" i="6" s="1"/>
  <c r="R38" i="6"/>
  <c r="T38" i="6" s="1"/>
  <c r="Q38" i="6"/>
  <c r="S38" i="6" s="1"/>
  <c r="N38" i="6"/>
  <c r="P38" i="6" s="1"/>
  <c r="M38" i="6"/>
  <c r="O38" i="6" s="1"/>
  <c r="J38" i="6"/>
  <c r="L38" i="6" s="1"/>
  <c r="I38" i="6"/>
  <c r="K38" i="6" s="1"/>
  <c r="F38" i="6"/>
  <c r="E38" i="6"/>
  <c r="AP37" i="6"/>
  <c r="AR37" i="6" s="1"/>
  <c r="AO37" i="6"/>
  <c r="AQ37" i="6" s="1"/>
  <c r="AL37" i="6"/>
  <c r="AN37" i="6" s="1"/>
  <c r="AK37" i="6"/>
  <c r="AM37" i="6" s="1"/>
  <c r="AH37" i="6"/>
  <c r="AJ37" i="6" s="1"/>
  <c r="AG37" i="6"/>
  <c r="AI37" i="6" s="1"/>
  <c r="AD37" i="6"/>
  <c r="AF37" i="6" s="1"/>
  <c r="AC37" i="6"/>
  <c r="AE37" i="6" s="1"/>
  <c r="Z37" i="6"/>
  <c r="AB37" i="6" s="1"/>
  <c r="Y37" i="6"/>
  <c r="AA37" i="6" s="1"/>
  <c r="V37" i="6"/>
  <c r="X37" i="6" s="1"/>
  <c r="U37" i="6"/>
  <c r="W37" i="6" s="1"/>
  <c r="R37" i="6"/>
  <c r="T37" i="6" s="1"/>
  <c r="Q37" i="6"/>
  <c r="S37" i="6" s="1"/>
  <c r="N37" i="6"/>
  <c r="P37" i="6" s="1"/>
  <c r="M37" i="6"/>
  <c r="O37" i="6" s="1"/>
  <c r="J37" i="6"/>
  <c r="L37" i="6" s="1"/>
  <c r="I37" i="6"/>
  <c r="K37" i="6" s="1"/>
  <c r="F37" i="6"/>
  <c r="E37" i="6"/>
  <c r="AP36" i="6"/>
  <c r="AR36" i="6" s="1"/>
  <c r="AO36" i="6"/>
  <c r="AQ36" i="6" s="1"/>
  <c r="AL36" i="6"/>
  <c r="AN36" i="6" s="1"/>
  <c r="AK36" i="6"/>
  <c r="AM36" i="6" s="1"/>
  <c r="AH36" i="6"/>
  <c r="AJ36" i="6" s="1"/>
  <c r="AG36" i="6"/>
  <c r="AI36" i="6" s="1"/>
  <c r="AD36" i="6"/>
  <c r="AF36" i="6" s="1"/>
  <c r="AC36" i="6"/>
  <c r="AE36" i="6" s="1"/>
  <c r="Z36" i="6"/>
  <c r="AB36" i="6" s="1"/>
  <c r="Y36" i="6"/>
  <c r="AA36" i="6" s="1"/>
  <c r="V36" i="6"/>
  <c r="X36" i="6" s="1"/>
  <c r="U36" i="6"/>
  <c r="W36" i="6" s="1"/>
  <c r="R36" i="6"/>
  <c r="T36" i="6" s="1"/>
  <c r="Q36" i="6"/>
  <c r="S36" i="6" s="1"/>
  <c r="N36" i="6"/>
  <c r="P36" i="6" s="1"/>
  <c r="M36" i="6"/>
  <c r="O36" i="6" s="1"/>
  <c r="J36" i="6"/>
  <c r="L36" i="6" s="1"/>
  <c r="I36" i="6"/>
  <c r="K36" i="6" s="1"/>
  <c r="F36" i="6"/>
  <c r="E36" i="6"/>
  <c r="AP35" i="6"/>
  <c r="AR35" i="6" s="1"/>
  <c r="AO35" i="6"/>
  <c r="AQ35" i="6" s="1"/>
  <c r="AL35" i="6"/>
  <c r="AN35" i="6" s="1"/>
  <c r="AK35" i="6"/>
  <c r="AM35" i="6" s="1"/>
  <c r="AH35" i="6"/>
  <c r="AJ35" i="6" s="1"/>
  <c r="AG35" i="6"/>
  <c r="AI35" i="6" s="1"/>
  <c r="AD35" i="6"/>
  <c r="AF35" i="6" s="1"/>
  <c r="AC35" i="6"/>
  <c r="AE35" i="6" s="1"/>
  <c r="Z35" i="6"/>
  <c r="AB35" i="6" s="1"/>
  <c r="Y35" i="6"/>
  <c r="AA35" i="6" s="1"/>
  <c r="V35" i="6"/>
  <c r="X35" i="6" s="1"/>
  <c r="U35" i="6"/>
  <c r="W35" i="6" s="1"/>
  <c r="R35" i="6"/>
  <c r="T35" i="6" s="1"/>
  <c r="Q35" i="6"/>
  <c r="S35" i="6" s="1"/>
  <c r="N35" i="6"/>
  <c r="P35" i="6" s="1"/>
  <c r="M35" i="6"/>
  <c r="O35" i="6" s="1"/>
  <c r="J35" i="6"/>
  <c r="L35" i="6" s="1"/>
  <c r="I35" i="6"/>
  <c r="K35" i="6" s="1"/>
  <c r="F35" i="6"/>
  <c r="E35" i="6"/>
  <c r="AP34" i="6"/>
  <c r="AR34" i="6" s="1"/>
  <c r="AO34" i="6"/>
  <c r="AQ34" i="6" s="1"/>
  <c r="AL34" i="6"/>
  <c r="AN34" i="6" s="1"/>
  <c r="AK34" i="6"/>
  <c r="AM34" i="6" s="1"/>
  <c r="AH34" i="6"/>
  <c r="AJ34" i="6" s="1"/>
  <c r="AG34" i="6"/>
  <c r="AI34" i="6" s="1"/>
  <c r="AD34" i="6"/>
  <c r="AF34" i="6" s="1"/>
  <c r="AC34" i="6"/>
  <c r="AE34" i="6" s="1"/>
  <c r="Z34" i="6"/>
  <c r="AB34" i="6" s="1"/>
  <c r="Y34" i="6"/>
  <c r="AA34" i="6" s="1"/>
  <c r="V34" i="6"/>
  <c r="X34" i="6" s="1"/>
  <c r="U34" i="6"/>
  <c r="W34" i="6" s="1"/>
  <c r="R34" i="6"/>
  <c r="T34" i="6" s="1"/>
  <c r="Q34" i="6"/>
  <c r="S34" i="6" s="1"/>
  <c r="N34" i="6"/>
  <c r="P34" i="6" s="1"/>
  <c r="M34" i="6"/>
  <c r="O34" i="6" s="1"/>
  <c r="J34" i="6"/>
  <c r="L34" i="6" s="1"/>
  <c r="I34" i="6"/>
  <c r="K34" i="6" s="1"/>
  <c r="F34" i="6"/>
  <c r="E34" i="6"/>
  <c r="AP33" i="6"/>
  <c r="AR33" i="6" s="1"/>
  <c r="AO33" i="6"/>
  <c r="AQ33" i="6" s="1"/>
  <c r="AL33" i="6"/>
  <c r="AN33" i="6" s="1"/>
  <c r="AK33" i="6"/>
  <c r="AM33" i="6" s="1"/>
  <c r="AH33" i="6"/>
  <c r="AJ33" i="6" s="1"/>
  <c r="AG33" i="6"/>
  <c r="AI33" i="6" s="1"/>
  <c r="AD33" i="6"/>
  <c r="AF33" i="6" s="1"/>
  <c r="AC33" i="6"/>
  <c r="AE33" i="6" s="1"/>
  <c r="Z33" i="6"/>
  <c r="AB33" i="6" s="1"/>
  <c r="Y33" i="6"/>
  <c r="AA33" i="6" s="1"/>
  <c r="V33" i="6"/>
  <c r="X33" i="6" s="1"/>
  <c r="U33" i="6"/>
  <c r="W33" i="6" s="1"/>
  <c r="R33" i="6"/>
  <c r="T33" i="6" s="1"/>
  <c r="Q33" i="6"/>
  <c r="S33" i="6" s="1"/>
  <c r="N33" i="6"/>
  <c r="P33" i="6" s="1"/>
  <c r="M33" i="6"/>
  <c r="O33" i="6" s="1"/>
  <c r="J33" i="6"/>
  <c r="L33" i="6" s="1"/>
  <c r="I33" i="6"/>
  <c r="K33" i="6" s="1"/>
  <c r="F33" i="6"/>
  <c r="E33" i="6"/>
  <c r="AP32" i="6"/>
  <c r="AR32" i="6" s="1"/>
  <c r="AO32" i="6"/>
  <c r="AQ32" i="6" s="1"/>
  <c r="AL32" i="6"/>
  <c r="AN32" i="6" s="1"/>
  <c r="AK32" i="6"/>
  <c r="AM32" i="6" s="1"/>
  <c r="AH32" i="6"/>
  <c r="AJ32" i="6" s="1"/>
  <c r="AG32" i="6"/>
  <c r="AI32" i="6" s="1"/>
  <c r="AD32" i="6"/>
  <c r="AF32" i="6" s="1"/>
  <c r="AC32" i="6"/>
  <c r="AE32" i="6" s="1"/>
  <c r="Z32" i="6"/>
  <c r="AB32" i="6" s="1"/>
  <c r="Y32" i="6"/>
  <c r="AA32" i="6" s="1"/>
  <c r="V32" i="6"/>
  <c r="X32" i="6" s="1"/>
  <c r="U32" i="6"/>
  <c r="W32" i="6" s="1"/>
  <c r="R32" i="6"/>
  <c r="T32" i="6" s="1"/>
  <c r="Q32" i="6"/>
  <c r="S32" i="6" s="1"/>
  <c r="N32" i="6"/>
  <c r="P32" i="6" s="1"/>
  <c r="M32" i="6"/>
  <c r="O32" i="6" s="1"/>
  <c r="J32" i="6"/>
  <c r="L32" i="6" s="1"/>
  <c r="I32" i="6"/>
  <c r="K32" i="6" s="1"/>
  <c r="F32" i="6"/>
  <c r="E32" i="6"/>
  <c r="AP31" i="6"/>
  <c r="AR31" i="6" s="1"/>
  <c r="AO31" i="6"/>
  <c r="AQ31" i="6" s="1"/>
  <c r="AL31" i="6"/>
  <c r="AN31" i="6" s="1"/>
  <c r="AK31" i="6"/>
  <c r="AM31" i="6" s="1"/>
  <c r="AH31" i="6"/>
  <c r="AJ31" i="6" s="1"/>
  <c r="AG31" i="6"/>
  <c r="AI31" i="6" s="1"/>
  <c r="AD31" i="6"/>
  <c r="AF31" i="6" s="1"/>
  <c r="AC31" i="6"/>
  <c r="AE31" i="6" s="1"/>
  <c r="Z31" i="6"/>
  <c r="AB31" i="6" s="1"/>
  <c r="Y31" i="6"/>
  <c r="AA31" i="6" s="1"/>
  <c r="V31" i="6"/>
  <c r="X31" i="6" s="1"/>
  <c r="U31" i="6"/>
  <c r="W31" i="6" s="1"/>
  <c r="R31" i="6"/>
  <c r="T31" i="6" s="1"/>
  <c r="Q31" i="6"/>
  <c r="S31" i="6" s="1"/>
  <c r="N31" i="6"/>
  <c r="P31" i="6" s="1"/>
  <c r="M31" i="6"/>
  <c r="O31" i="6" s="1"/>
  <c r="J31" i="6"/>
  <c r="L31" i="6" s="1"/>
  <c r="I31" i="6"/>
  <c r="K31" i="6" s="1"/>
  <c r="F31" i="6"/>
  <c r="E31" i="6"/>
  <c r="AP29" i="6"/>
  <c r="AR29" i="6" s="1"/>
  <c r="AO29" i="6"/>
  <c r="AQ29" i="6" s="1"/>
  <c r="AL29" i="6"/>
  <c r="AN29" i="6" s="1"/>
  <c r="AK29" i="6"/>
  <c r="AM29" i="6" s="1"/>
  <c r="AH29" i="6"/>
  <c r="AJ29" i="6" s="1"/>
  <c r="AG29" i="6"/>
  <c r="AI29" i="6" s="1"/>
  <c r="AD29" i="6"/>
  <c r="AF29" i="6" s="1"/>
  <c r="AC29" i="6"/>
  <c r="AE29" i="6" s="1"/>
  <c r="Z29" i="6"/>
  <c r="AB29" i="6" s="1"/>
  <c r="Y29" i="6"/>
  <c r="AA29" i="6" s="1"/>
  <c r="V29" i="6"/>
  <c r="X29" i="6" s="1"/>
  <c r="U29" i="6"/>
  <c r="W29" i="6" s="1"/>
  <c r="R29" i="6"/>
  <c r="T29" i="6" s="1"/>
  <c r="Q29" i="6"/>
  <c r="S29" i="6" s="1"/>
  <c r="N29" i="6"/>
  <c r="P29" i="6" s="1"/>
  <c r="M29" i="6"/>
  <c r="O29" i="6" s="1"/>
  <c r="J29" i="6"/>
  <c r="L29" i="6" s="1"/>
  <c r="I29" i="6"/>
  <c r="K29" i="6" s="1"/>
  <c r="F29" i="6"/>
  <c r="E29" i="6"/>
  <c r="AP28" i="6"/>
  <c r="AR28" i="6" s="1"/>
  <c r="AO28" i="6"/>
  <c r="AQ28" i="6" s="1"/>
  <c r="AL28" i="6"/>
  <c r="AN28" i="6" s="1"/>
  <c r="AK28" i="6"/>
  <c r="AM28" i="6" s="1"/>
  <c r="AH28" i="6"/>
  <c r="AJ28" i="6" s="1"/>
  <c r="AG28" i="6"/>
  <c r="AI28" i="6" s="1"/>
  <c r="AD28" i="6"/>
  <c r="AF28" i="6" s="1"/>
  <c r="AC28" i="6"/>
  <c r="AE28" i="6" s="1"/>
  <c r="Z28" i="6"/>
  <c r="AB28" i="6" s="1"/>
  <c r="Y28" i="6"/>
  <c r="AA28" i="6" s="1"/>
  <c r="V28" i="6"/>
  <c r="X28" i="6" s="1"/>
  <c r="U28" i="6"/>
  <c r="W28" i="6" s="1"/>
  <c r="R28" i="6"/>
  <c r="T28" i="6" s="1"/>
  <c r="Q28" i="6"/>
  <c r="S28" i="6" s="1"/>
  <c r="N28" i="6"/>
  <c r="P28" i="6" s="1"/>
  <c r="M28" i="6"/>
  <c r="O28" i="6" s="1"/>
  <c r="J28" i="6"/>
  <c r="L28" i="6" s="1"/>
  <c r="I28" i="6"/>
  <c r="K28" i="6" s="1"/>
  <c r="F28" i="6"/>
  <c r="E28" i="6"/>
  <c r="AP27" i="6"/>
  <c r="AR27" i="6" s="1"/>
  <c r="AO27" i="6"/>
  <c r="AQ27" i="6" s="1"/>
  <c r="AL27" i="6"/>
  <c r="AN27" i="6" s="1"/>
  <c r="AK27" i="6"/>
  <c r="AM27" i="6" s="1"/>
  <c r="AH27" i="6"/>
  <c r="AJ27" i="6" s="1"/>
  <c r="AG27" i="6"/>
  <c r="AI27" i="6" s="1"/>
  <c r="AD27" i="6"/>
  <c r="AF27" i="6" s="1"/>
  <c r="AC27" i="6"/>
  <c r="AE27" i="6" s="1"/>
  <c r="Z27" i="6"/>
  <c r="AB27" i="6" s="1"/>
  <c r="Y27" i="6"/>
  <c r="AA27" i="6" s="1"/>
  <c r="V27" i="6"/>
  <c r="X27" i="6" s="1"/>
  <c r="U27" i="6"/>
  <c r="W27" i="6" s="1"/>
  <c r="R27" i="6"/>
  <c r="T27" i="6" s="1"/>
  <c r="Q27" i="6"/>
  <c r="S27" i="6" s="1"/>
  <c r="N27" i="6"/>
  <c r="P27" i="6" s="1"/>
  <c r="M27" i="6"/>
  <c r="O27" i="6" s="1"/>
  <c r="J27" i="6"/>
  <c r="L27" i="6" s="1"/>
  <c r="I27" i="6"/>
  <c r="K27" i="6" s="1"/>
  <c r="F27" i="6"/>
  <c r="E27" i="6"/>
  <c r="AP26" i="6"/>
  <c r="AR26" i="6" s="1"/>
  <c r="AO26" i="6"/>
  <c r="AQ26" i="6" s="1"/>
  <c r="AL26" i="6"/>
  <c r="AN26" i="6" s="1"/>
  <c r="AK26" i="6"/>
  <c r="AM26" i="6" s="1"/>
  <c r="AH26" i="6"/>
  <c r="AJ26" i="6" s="1"/>
  <c r="AG26" i="6"/>
  <c r="AI26" i="6" s="1"/>
  <c r="AD26" i="6"/>
  <c r="AF26" i="6" s="1"/>
  <c r="AC26" i="6"/>
  <c r="AE26" i="6" s="1"/>
  <c r="Z26" i="6"/>
  <c r="AB26" i="6" s="1"/>
  <c r="Y26" i="6"/>
  <c r="AA26" i="6" s="1"/>
  <c r="V26" i="6"/>
  <c r="X26" i="6" s="1"/>
  <c r="U26" i="6"/>
  <c r="W26" i="6" s="1"/>
  <c r="R26" i="6"/>
  <c r="T26" i="6" s="1"/>
  <c r="Q26" i="6"/>
  <c r="S26" i="6" s="1"/>
  <c r="N26" i="6"/>
  <c r="P26" i="6" s="1"/>
  <c r="M26" i="6"/>
  <c r="O26" i="6" s="1"/>
  <c r="J26" i="6"/>
  <c r="L26" i="6" s="1"/>
  <c r="I26" i="6"/>
  <c r="K26" i="6" s="1"/>
  <c r="F26" i="6"/>
  <c r="E26" i="6"/>
  <c r="AP25" i="6"/>
  <c r="AR25" i="6" s="1"/>
  <c r="AO25" i="6"/>
  <c r="AQ25" i="6" s="1"/>
  <c r="AL25" i="6"/>
  <c r="AN25" i="6" s="1"/>
  <c r="AK25" i="6"/>
  <c r="AM25" i="6" s="1"/>
  <c r="AH25" i="6"/>
  <c r="AJ25" i="6" s="1"/>
  <c r="AG25" i="6"/>
  <c r="AI25" i="6" s="1"/>
  <c r="AD25" i="6"/>
  <c r="AF25" i="6" s="1"/>
  <c r="AC25" i="6"/>
  <c r="AE25" i="6" s="1"/>
  <c r="Z25" i="6"/>
  <c r="AB25" i="6" s="1"/>
  <c r="Y25" i="6"/>
  <c r="AA25" i="6" s="1"/>
  <c r="V25" i="6"/>
  <c r="X25" i="6" s="1"/>
  <c r="U25" i="6"/>
  <c r="W25" i="6" s="1"/>
  <c r="R25" i="6"/>
  <c r="T25" i="6" s="1"/>
  <c r="Q25" i="6"/>
  <c r="S25" i="6" s="1"/>
  <c r="N25" i="6"/>
  <c r="P25" i="6" s="1"/>
  <c r="M25" i="6"/>
  <c r="O25" i="6" s="1"/>
  <c r="J25" i="6"/>
  <c r="L25" i="6" s="1"/>
  <c r="I25" i="6"/>
  <c r="K25" i="6" s="1"/>
  <c r="F25" i="6"/>
  <c r="E25" i="6"/>
  <c r="AP24" i="6"/>
  <c r="AR24" i="6" s="1"/>
  <c r="AO24" i="6"/>
  <c r="AQ24" i="6" s="1"/>
  <c r="AL24" i="6"/>
  <c r="AN24" i="6" s="1"/>
  <c r="AK24" i="6"/>
  <c r="AM24" i="6" s="1"/>
  <c r="AH24" i="6"/>
  <c r="AJ24" i="6" s="1"/>
  <c r="AG24" i="6"/>
  <c r="AI24" i="6" s="1"/>
  <c r="AD24" i="6"/>
  <c r="AF24" i="6" s="1"/>
  <c r="AC24" i="6"/>
  <c r="AE24" i="6" s="1"/>
  <c r="Z24" i="6"/>
  <c r="AB24" i="6" s="1"/>
  <c r="Y24" i="6"/>
  <c r="AA24" i="6" s="1"/>
  <c r="V24" i="6"/>
  <c r="X24" i="6" s="1"/>
  <c r="U24" i="6"/>
  <c r="W24" i="6" s="1"/>
  <c r="R24" i="6"/>
  <c r="T24" i="6" s="1"/>
  <c r="Q24" i="6"/>
  <c r="S24" i="6" s="1"/>
  <c r="N24" i="6"/>
  <c r="P24" i="6" s="1"/>
  <c r="M24" i="6"/>
  <c r="O24" i="6" s="1"/>
  <c r="J24" i="6"/>
  <c r="L24" i="6" s="1"/>
  <c r="I24" i="6"/>
  <c r="K24" i="6" s="1"/>
  <c r="F24" i="6"/>
  <c r="E24" i="6"/>
  <c r="AP23" i="6"/>
  <c r="AR23" i="6" s="1"/>
  <c r="AO23" i="6"/>
  <c r="AQ23" i="6" s="1"/>
  <c r="AL23" i="6"/>
  <c r="AN23" i="6" s="1"/>
  <c r="AK23" i="6"/>
  <c r="AM23" i="6" s="1"/>
  <c r="AH23" i="6"/>
  <c r="AJ23" i="6" s="1"/>
  <c r="AG23" i="6"/>
  <c r="AI23" i="6" s="1"/>
  <c r="AD23" i="6"/>
  <c r="AF23" i="6" s="1"/>
  <c r="AC23" i="6"/>
  <c r="AE23" i="6" s="1"/>
  <c r="Z23" i="6"/>
  <c r="AB23" i="6" s="1"/>
  <c r="Y23" i="6"/>
  <c r="AA23" i="6" s="1"/>
  <c r="V23" i="6"/>
  <c r="X23" i="6" s="1"/>
  <c r="U23" i="6"/>
  <c r="W23" i="6" s="1"/>
  <c r="R23" i="6"/>
  <c r="T23" i="6" s="1"/>
  <c r="Q23" i="6"/>
  <c r="S23" i="6" s="1"/>
  <c r="N23" i="6"/>
  <c r="P23" i="6" s="1"/>
  <c r="M23" i="6"/>
  <c r="O23" i="6" s="1"/>
  <c r="J23" i="6"/>
  <c r="L23" i="6" s="1"/>
  <c r="I23" i="6"/>
  <c r="K23" i="6" s="1"/>
  <c r="F23" i="6"/>
  <c r="E23" i="6"/>
  <c r="AP22" i="6"/>
  <c r="AR22" i="6" s="1"/>
  <c r="AO22" i="6"/>
  <c r="AQ22" i="6" s="1"/>
  <c r="AL22" i="6"/>
  <c r="AN22" i="6" s="1"/>
  <c r="AK22" i="6"/>
  <c r="AM22" i="6" s="1"/>
  <c r="AH22" i="6"/>
  <c r="AJ22" i="6" s="1"/>
  <c r="AG22" i="6"/>
  <c r="AI22" i="6" s="1"/>
  <c r="AD22" i="6"/>
  <c r="AF22" i="6" s="1"/>
  <c r="AC22" i="6"/>
  <c r="AE22" i="6" s="1"/>
  <c r="Z22" i="6"/>
  <c r="AB22" i="6" s="1"/>
  <c r="Y22" i="6"/>
  <c r="AA22" i="6" s="1"/>
  <c r="V22" i="6"/>
  <c r="X22" i="6" s="1"/>
  <c r="U22" i="6"/>
  <c r="W22" i="6" s="1"/>
  <c r="R22" i="6"/>
  <c r="T22" i="6" s="1"/>
  <c r="Q22" i="6"/>
  <c r="S22" i="6" s="1"/>
  <c r="N22" i="6"/>
  <c r="P22" i="6" s="1"/>
  <c r="M22" i="6"/>
  <c r="O22" i="6" s="1"/>
  <c r="J22" i="6"/>
  <c r="L22" i="6" s="1"/>
  <c r="I22" i="6"/>
  <c r="K22" i="6" s="1"/>
  <c r="F22" i="6"/>
  <c r="E22" i="6"/>
  <c r="AP21" i="6"/>
  <c r="AR21" i="6" s="1"/>
  <c r="AO21" i="6"/>
  <c r="AQ21" i="6" s="1"/>
  <c r="AL21" i="6"/>
  <c r="AN21" i="6" s="1"/>
  <c r="AK21" i="6"/>
  <c r="AM21" i="6" s="1"/>
  <c r="AH21" i="6"/>
  <c r="AJ21" i="6" s="1"/>
  <c r="AG21" i="6"/>
  <c r="AI21" i="6" s="1"/>
  <c r="AD21" i="6"/>
  <c r="AF21" i="6" s="1"/>
  <c r="AC21" i="6"/>
  <c r="AE21" i="6" s="1"/>
  <c r="Z21" i="6"/>
  <c r="AB21" i="6" s="1"/>
  <c r="Y21" i="6"/>
  <c r="AA21" i="6" s="1"/>
  <c r="V21" i="6"/>
  <c r="X21" i="6" s="1"/>
  <c r="U21" i="6"/>
  <c r="W21" i="6" s="1"/>
  <c r="R21" i="6"/>
  <c r="T21" i="6" s="1"/>
  <c r="Q21" i="6"/>
  <c r="S21" i="6" s="1"/>
  <c r="N21" i="6"/>
  <c r="P21" i="6" s="1"/>
  <c r="M21" i="6"/>
  <c r="O21" i="6" s="1"/>
  <c r="J21" i="6"/>
  <c r="L21" i="6" s="1"/>
  <c r="I21" i="6"/>
  <c r="K21" i="6" s="1"/>
  <c r="F21" i="6"/>
  <c r="E21" i="6"/>
  <c r="AP20" i="6"/>
  <c r="AR20" i="6" s="1"/>
  <c r="AO20" i="6"/>
  <c r="AQ20" i="6" s="1"/>
  <c r="AL20" i="6"/>
  <c r="AN20" i="6" s="1"/>
  <c r="AK20" i="6"/>
  <c r="AM20" i="6" s="1"/>
  <c r="AH20" i="6"/>
  <c r="AJ20" i="6" s="1"/>
  <c r="AG20" i="6"/>
  <c r="AI20" i="6" s="1"/>
  <c r="AD20" i="6"/>
  <c r="AF20" i="6" s="1"/>
  <c r="AC20" i="6"/>
  <c r="AE20" i="6" s="1"/>
  <c r="Z20" i="6"/>
  <c r="AB20" i="6" s="1"/>
  <c r="Y20" i="6"/>
  <c r="AA20" i="6" s="1"/>
  <c r="V20" i="6"/>
  <c r="X20" i="6" s="1"/>
  <c r="U20" i="6"/>
  <c r="W20" i="6" s="1"/>
  <c r="R20" i="6"/>
  <c r="Q20" i="6"/>
  <c r="N20" i="6"/>
  <c r="P20" i="6" s="1"/>
  <c r="M20" i="6"/>
  <c r="O20" i="6" s="1"/>
  <c r="J20" i="6"/>
  <c r="L20" i="6" s="1"/>
  <c r="I20" i="6"/>
  <c r="K20" i="6" s="1"/>
  <c r="F20" i="6"/>
  <c r="H20" i="6" s="1"/>
  <c r="E20" i="6"/>
  <c r="G20" i="6" s="1"/>
  <c r="AP18" i="6"/>
  <c r="AR18" i="6" s="1"/>
  <c r="AO18" i="6"/>
  <c r="AQ18" i="6" s="1"/>
  <c r="AL18" i="6"/>
  <c r="AN18" i="6" s="1"/>
  <c r="AK18" i="6"/>
  <c r="AM18" i="6" s="1"/>
  <c r="AH18" i="6"/>
  <c r="AJ18" i="6" s="1"/>
  <c r="AG18" i="6"/>
  <c r="AI18" i="6" s="1"/>
  <c r="AD18" i="6"/>
  <c r="AF18" i="6" s="1"/>
  <c r="AC18" i="6"/>
  <c r="AE18" i="6" s="1"/>
  <c r="Z18" i="6"/>
  <c r="AB18" i="6" s="1"/>
  <c r="Y18" i="6"/>
  <c r="AA18" i="6" s="1"/>
  <c r="V18" i="6"/>
  <c r="X18" i="6" s="1"/>
  <c r="U18" i="6"/>
  <c r="W18" i="6" s="1"/>
  <c r="R18" i="6"/>
  <c r="T18" i="6" s="1"/>
  <c r="Q18" i="6"/>
  <c r="S18" i="6" s="1"/>
  <c r="N18" i="6"/>
  <c r="P18" i="6" s="1"/>
  <c r="M18" i="6"/>
  <c r="O18" i="6" s="1"/>
  <c r="J18" i="6"/>
  <c r="L18" i="6" s="1"/>
  <c r="I18" i="6"/>
  <c r="K18" i="6" s="1"/>
  <c r="F18" i="6"/>
  <c r="E18" i="6"/>
  <c r="C18" i="6"/>
  <c r="D18" i="6" s="1"/>
  <c r="AP17" i="6"/>
  <c r="AR17" i="6" s="1"/>
  <c r="AO17" i="6"/>
  <c r="AQ17" i="6" s="1"/>
  <c r="AL17" i="6"/>
  <c r="AN17" i="6" s="1"/>
  <c r="AK17" i="6"/>
  <c r="AM17" i="6" s="1"/>
  <c r="AH17" i="6"/>
  <c r="AJ17" i="6" s="1"/>
  <c r="AG17" i="6"/>
  <c r="AI17" i="6" s="1"/>
  <c r="AD17" i="6"/>
  <c r="AF17" i="6" s="1"/>
  <c r="AC17" i="6"/>
  <c r="AE17" i="6" s="1"/>
  <c r="Z17" i="6"/>
  <c r="AB17" i="6" s="1"/>
  <c r="Y17" i="6"/>
  <c r="AA17" i="6" s="1"/>
  <c r="V17" i="6"/>
  <c r="X17" i="6" s="1"/>
  <c r="U17" i="6"/>
  <c r="W17" i="6" s="1"/>
  <c r="R17" i="6"/>
  <c r="T17" i="6" s="1"/>
  <c r="Q17" i="6"/>
  <c r="S17" i="6" s="1"/>
  <c r="N17" i="6"/>
  <c r="P17" i="6" s="1"/>
  <c r="M17" i="6"/>
  <c r="O17" i="6" s="1"/>
  <c r="J17" i="6"/>
  <c r="L17" i="6" s="1"/>
  <c r="I17" i="6"/>
  <c r="K17" i="6" s="1"/>
  <c r="F17" i="6"/>
  <c r="E17" i="6"/>
  <c r="C17" i="6"/>
  <c r="D17" i="6" s="1"/>
  <c r="AP16" i="6"/>
  <c r="AR16" i="6" s="1"/>
  <c r="AO16" i="6"/>
  <c r="AQ16" i="6" s="1"/>
  <c r="AL16" i="6"/>
  <c r="AN16" i="6" s="1"/>
  <c r="AK16" i="6"/>
  <c r="AM16" i="6" s="1"/>
  <c r="AH16" i="6"/>
  <c r="AJ16" i="6" s="1"/>
  <c r="AG16" i="6"/>
  <c r="AI16" i="6" s="1"/>
  <c r="AD16" i="6"/>
  <c r="AF16" i="6" s="1"/>
  <c r="AC16" i="6"/>
  <c r="AE16" i="6" s="1"/>
  <c r="Z16" i="6"/>
  <c r="AB16" i="6" s="1"/>
  <c r="Y16" i="6"/>
  <c r="AA16" i="6" s="1"/>
  <c r="V16" i="6"/>
  <c r="X16" i="6" s="1"/>
  <c r="U16" i="6"/>
  <c r="W16" i="6" s="1"/>
  <c r="R16" i="6"/>
  <c r="T16" i="6" s="1"/>
  <c r="Q16" i="6"/>
  <c r="S16" i="6" s="1"/>
  <c r="N16" i="6"/>
  <c r="P16" i="6" s="1"/>
  <c r="M16" i="6"/>
  <c r="O16" i="6" s="1"/>
  <c r="J16" i="6"/>
  <c r="L16" i="6" s="1"/>
  <c r="I16" i="6"/>
  <c r="K16" i="6" s="1"/>
  <c r="F16" i="6"/>
  <c r="E16" i="6"/>
  <c r="AP15" i="6"/>
  <c r="AR15" i="6" s="1"/>
  <c r="AO15" i="6"/>
  <c r="AQ15" i="6" s="1"/>
  <c r="AL15" i="6"/>
  <c r="AN15" i="6" s="1"/>
  <c r="AK15" i="6"/>
  <c r="AM15" i="6" s="1"/>
  <c r="AH15" i="6"/>
  <c r="AJ15" i="6" s="1"/>
  <c r="AG15" i="6"/>
  <c r="AI15" i="6" s="1"/>
  <c r="AD15" i="6"/>
  <c r="AF15" i="6" s="1"/>
  <c r="AC15" i="6"/>
  <c r="AE15" i="6" s="1"/>
  <c r="Z15" i="6"/>
  <c r="AB15" i="6" s="1"/>
  <c r="Y15" i="6"/>
  <c r="AA15" i="6" s="1"/>
  <c r="V15" i="6"/>
  <c r="X15" i="6" s="1"/>
  <c r="U15" i="6"/>
  <c r="W15" i="6" s="1"/>
  <c r="R15" i="6"/>
  <c r="T15" i="6" s="1"/>
  <c r="Q15" i="6"/>
  <c r="S15" i="6" s="1"/>
  <c r="N15" i="6"/>
  <c r="P15" i="6" s="1"/>
  <c r="M15" i="6"/>
  <c r="O15" i="6" s="1"/>
  <c r="J15" i="6"/>
  <c r="L15" i="6" s="1"/>
  <c r="I15" i="6"/>
  <c r="K15" i="6" s="1"/>
  <c r="F15" i="6"/>
  <c r="E15" i="6"/>
  <c r="AP13" i="6"/>
  <c r="AR13" i="6" s="1"/>
  <c r="AO13" i="6"/>
  <c r="AQ13" i="6" s="1"/>
  <c r="AL13" i="6"/>
  <c r="AN13" i="6" s="1"/>
  <c r="AK13" i="6"/>
  <c r="AM13" i="6" s="1"/>
  <c r="AH13" i="6"/>
  <c r="AJ13" i="6" s="1"/>
  <c r="AG13" i="6"/>
  <c r="AI13" i="6" s="1"/>
  <c r="AD13" i="6"/>
  <c r="AF13" i="6" s="1"/>
  <c r="AC13" i="6"/>
  <c r="AE13" i="6" s="1"/>
  <c r="Z13" i="6"/>
  <c r="AB13" i="6" s="1"/>
  <c r="Y13" i="6"/>
  <c r="AA13" i="6" s="1"/>
  <c r="V13" i="6"/>
  <c r="X13" i="6" s="1"/>
  <c r="U13" i="6"/>
  <c r="W13" i="6" s="1"/>
  <c r="R13" i="6"/>
  <c r="T13" i="6" s="1"/>
  <c r="Q13" i="6"/>
  <c r="S13" i="6" s="1"/>
  <c r="N13" i="6"/>
  <c r="P13" i="6" s="1"/>
  <c r="M13" i="6"/>
  <c r="O13" i="6" s="1"/>
  <c r="J13" i="6"/>
  <c r="L13" i="6" s="1"/>
  <c r="I13" i="6"/>
  <c r="K13" i="6" s="1"/>
  <c r="F13" i="6"/>
  <c r="E13" i="6"/>
  <c r="AP12" i="6"/>
  <c r="AR12" i="6" s="1"/>
  <c r="AO12" i="6"/>
  <c r="AQ12" i="6" s="1"/>
  <c r="AL12" i="6"/>
  <c r="AN12" i="6" s="1"/>
  <c r="AK12" i="6"/>
  <c r="AM12" i="6" s="1"/>
  <c r="AH12" i="6"/>
  <c r="AJ12" i="6" s="1"/>
  <c r="AG12" i="6"/>
  <c r="AI12" i="6" s="1"/>
  <c r="AD12" i="6"/>
  <c r="AF12" i="6" s="1"/>
  <c r="AC12" i="6"/>
  <c r="AE12" i="6" s="1"/>
  <c r="Z12" i="6"/>
  <c r="AB12" i="6" s="1"/>
  <c r="Y12" i="6"/>
  <c r="AA12" i="6" s="1"/>
  <c r="V12" i="6"/>
  <c r="X12" i="6" s="1"/>
  <c r="U12" i="6"/>
  <c r="W12" i="6" s="1"/>
  <c r="R12" i="6"/>
  <c r="T12" i="6" s="1"/>
  <c r="Q12" i="6"/>
  <c r="S12" i="6" s="1"/>
  <c r="N12" i="6"/>
  <c r="P12" i="6" s="1"/>
  <c r="M12" i="6"/>
  <c r="O12" i="6" s="1"/>
  <c r="J12" i="6"/>
  <c r="L12" i="6" s="1"/>
  <c r="I12" i="6"/>
  <c r="K12" i="6" s="1"/>
  <c r="F12" i="6"/>
  <c r="E12" i="6"/>
  <c r="AP11" i="6"/>
  <c r="AR11" i="6" s="1"/>
  <c r="AO11" i="6"/>
  <c r="AQ11" i="6" s="1"/>
  <c r="AL11" i="6"/>
  <c r="AN11" i="6" s="1"/>
  <c r="AK11" i="6"/>
  <c r="AM11" i="6" s="1"/>
  <c r="AH11" i="6"/>
  <c r="AJ11" i="6" s="1"/>
  <c r="AG11" i="6"/>
  <c r="AI11" i="6" s="1"/>
  <c r="AD11" i="6"/>
  <c r="AF11" i="6" s="1"/>
  <c r="AC11" i="6"/>
  <c r="AE11" i="6" s="1"/>
  <c r="Z11" i="6"/>
  <c r="AB11" i="6" s="1"/>
  <c r="Y11" i="6"/>
  <c r="AA11" i="6" s="1"/>
  <c r="V11" i="6"/>
  <c r="X11" i="6" s="1"/>
  <c r="U11" i="6"/>
  <c r="W11" i="6" s="1"/>
  <c r="R11" i="6"/>
  <c r="T11" i="6" s="1"/>
  <c r="Q11" i="6"/>
  <c r="S11" i="6" s="1"/>
  <c r="N11" i="6"/>
  <c r="P11" i="6" s="1"/>
  <c r="M11" i="6"/>
  <c r="O11" i="6" s="1"/>
  <c r="J11" i="6"/>
  <c r="L11" i="6" s="1"/>
  <c r="I11" i="6"/>
  <c r="K11" i="6" s="1"/>
  <c r="F11" i="6"/>
  <c r="E11" i="6"/>
  <c r="AP10" i="6"/>
  <c r="AR10" i="6" s="1"/>
  <c r="AO10" i="6"/>
  <c r="AQ10" i="6" s="1"/>
  <c r="AL10" i="6"/>
  <c r="AN10" i="6" s="1"/>
  <c r="AK10" i="6"/>
  <c r="AM10" i="6" s="1"/>
  <c r="AH10" i="6"/>
  <c r="AJ10" i="6" s="1"/>
  <c r="AG10" i="6"/>
  <c r="AI10" i="6" s="1"/>
  <c r="AD10" i="6"/>
  <c r="AF10" i="6" s="1"/>
  <c r="AC10" i="6"/>
  <c r="AE10" i="6" s="1"/>
  <c r="Z10" i="6"/>
  <c r="AB10" i="6" s="1"/>
  <c r="Y10" i="6"/>
  <c r="AA10" i="6" s="1"/>
  <c r="V10" i="6"/>
  <c r="X10" i="6" s="1"/>
  <c r="U10" i="6"/>
  <c r="W10" i="6" s="1"/>
  <c r="R10" i="6"/>
  <c r="T10" i="6" s="1"/>
  <c r="Q10" i="6"/>
  <c r="S10" i="6" s="1"/>
  <c r="N10" i="6"/>
  <c r="P10" i="6" s="1"/>
  <c r="M10" i="6"/>
  <c r="O10" i="6" s="1"/>
  <c r="J10" i="6"/>
  <c r="L10" i="6" s="1"/>
  <c r="I10" i="6"/>
  <c r="K10" i="6" s="1"/>
  <c r="F10" i="6"/>
  <c r="E10" i="6"/>
  <c r="AP9" i="6"/>
  <c r="AR9" i="6" s="1"/>
  <c r="AO9" i="6"/>
  <c r="AQ9" i="6" s="1"/>
  <c r="AL9" i="6"/>
  <c r="AN9" i="6" s="1"/>
  <c r="AK9" i="6"/>
  <c r="AM9" i="6" s="1"/>
  <c r="AH9" i="6"/>
  <c r="AJ9" i="6" s="1"/>
  <c r="AG9" i="6"/>
  <c r="AI9" i="6" s="1"/>
  <c r="AD9" i="6"/>
  <c r="AF9" i="6" s="1"/>
  <c r="AC9" i="6"/>
  <c r="AE9" i="6" s="1"/>
  <c r="Z9" i="6"/>
  <c r="AB9" i="6" s="1"/>
  <c r="Y9" i="6"/>
  <c r="AA9" i="6" s="1"/>
  <c r="V9" i="6"/>
  <c r="X9" i="6" s="1"/>
  <c r="U9" i="6"/>
  <c r="W9" i="6" s="1"/>
  <c r="R9" i="6"/>
  <c r="T9" i="6" s="1"/>
  <c r="Q9" i="6"/>
  <c r="S9" i="6" s="1"/>
  <c r="N9" i="6"/>
  <c r="P9" i="6" s="1"/>
  <c r="M9" i="6"/>
  <c r="O9" i="6" s="1"/>
  <c r="J9" i="6"/>
  <c r="L9" i="6" s="1"/>
  <c r="I9" i="6"/>
  <c r="K9" i="6" s="1"/>
  <c r="F9" i="6"/>
  <c r="E9" i="6"/>
  <c r="AP8" i="6"/>
  <c r="AR8" i="6" s="1"/>
  <c r="AO8" i="6"/>
  <c r="AQ8" i="6" s="1"/>
  <c r="AL8" i="6"/>
  <c r="AN8" i="6" s="1"/>
  <c r="AK8" i="6"/>
  <c r="AM8" i="6" s="1"/>
  <c r="AH8" i="6"/>
  <c r="AJ8" i="6" s="1"/>
  <c r="AG8" i="6"/>
  <c r="AI8" i="6" s="1"/>
  <c r="AD8" i="6"/>
  <c r="AF8" i="6" s="1"/>
  <c r="AC8" i="6"/>
  <c r="AE8" i="6" s="1"/>
  <c r="Z8" i="6"/>
  <c r="AB8" i="6" s="1"/>
  <c r="Y8" i="6"/>
  <c r="AA8" i="6" s="1"/>
  <c r="V8" i="6"/>
  <c r="X8" i="6" s="1"/>
  <c r="U8" i="6"/>
  <c r="W8" i="6" s="1"/>
  <c r="R8" i="6"/>
  <c r="T8" i="6" s="1"/>
  <c r="Q8" i="6"/>
  <c r="S8" i="6" s="1"/>
  <c r="N8" i="6"/>
  <c r="P8" i="6" s="1"/>
  <c r="M8" i="6"/>
  <c r="O8" i="6" s="1"/>
  <c r="J8" i="6"/>
  <c r="L8" i="6" s="1"/>
  <c r="I8" i="6"/>
  <c r="K8" i="6" s="1"/>
  <c r="F8" i="6"/>
  <c r="E8" i="6"/>
  <c r="AP7" i="6"/>
  <c r="AR7" i="6" s="1"/>
  <c r="AO7" i="6"/>
  <c r="AQ7" i="6" s="1"/>
  <c r="AL7" i="6"/>
  <c r="AN7" i="6" s="1"/>
  <c r="AK7" i="6"/>
  <c r="AM7" i="6" s="1"/>
  <c r="AH7" i="6"/>
  <c r="AJ7" i="6" s="1"/>
  <c r="AG7" i="6"/>
  <c r="AI7" i="6" s="1"/>
  <c r="AD7" i="6"/>
  <c r="AF7" i="6" s="1"/>
  <c r="AC7" i="6"/>
  <c r="AE7" i="6" s="1"/>
  <c r="Z7" i="6"/>
  <c r="AB7" i="6" s="1"/>
  <c r="Y7" i="6"/>
  <c r="AA7" i="6" s="1"/>
  <c r="V7" i="6"/>
  <c r="X7" i="6" s="1"/>
  <c r="U7" i="6"/>
  <c r="W7" i="6" s="1"/>
  <c r="R7" i="6"/>
  <c r="T7" i="6" s="1"/>
  <c r="Q7" i="6"/>
  <c r="S7" i="6" s="1"/>
  <c r="N7" i="6"/>
  <c r="P7" i="6" s="1"/>
  <c r="M7" i="6"/>
  <c r="O7" i="6" s="1"/>
  <c r="J7" i="6"/>
  <c r="L7" i="6" s="1"/>
  <c r="I7" i="6"/>
  <c r="K7" i="6" s="1"/>
  <c r="F7" i="6"/>
  <c r="E7" i="6"/>
  <c r="AP6" i="6"/>
  <c r="AR6" i="6" s="1"/>
  <c r="AO6" i="6"/>
  <c r="AQ6" i="6" s="1"/>
  <c r="AL6" i="6"/>
  <c r="AN6" i="6" s="1"/>
  <c r="AK6" i="6"/>
  <c r="AM6" i="6" s="1"/>
  <c r="AH6" i="6"/>
  <c r="AJ6" i="6" s="1"/>
  <c r="AG6" i="6"/>
  <c r="AI6" i="6" s="1"/>
  <c r="AD6" i="6"/>
  <c r="AF6" i="6" s="1"/>
  <c r="AC6" i="6"/>
  <c r="AE6" i="6" s="1"/>
  <c r="Z6" i="6"/>
  <c r="AB6" i="6" s="1"/>
  <c r="Y6" i="6"/>
  <c r="AA6" i="6" s="1"/>
  <c r="V6" i="6"/>
  <c r="X6" i="6" s="1"/>
  <c r="U6" i="6"/>
  <c r="W6" i="6" s="1"/>
  <c r="R6" i="6"/>
  <c r="T6" i="6" s="1"/>
  <c r="Q6" i="6"/>
  <c r="S6" i="6" s="1"/>
  <c r="N6" i="6"/>
  <c r="P6" i="6" s="1"/>
  <c r="M6" i="6"/>
  <c r="O6" i="6" s="1"/>
  <c r="J6" i="6"/>
  <c r="L6" i="6" s="1"/>
  <c r="I6" i="6"/>
  <c r="K6" i="6" s="1"/>
  <c r="F6" i="6"/>
  <c r="E6" i="6"/>
  <c r="AP5" i="6"/>
  <c r="AR5" i="6" s="1"/>
  <c r="AO5" i="6"/>
  <c r="AQ5" i="6" s="1"/>
  <c r="AL5" i="6"/>
  <c r="AN5" i="6" s="1"/>
  <c r="AK5" i="6"/>
  <c r="AM5" i="6" s="1"/>
  <c r="AH5" i="6"/>
  <c r="AJ5" i="6" s="1"/>
  <c r="AG5" i="6"/>
  <c r="AI5" i="6" s="1"/>
  <c r="AD5" i="6"/>
  <c r="AF5" i="6" s="1"/>
  <c r="AC5" i="6"/>
  <c r="AE5" i="6" s="1"/>
  <c r="Z5" i="6"/>
  <c r="AB5" i="6" s="1"/>
  <c r="Y5" i="6"/>
  <c r="AA5" i="6" s="1"/>
  <c r="V5" i="6"/>
  <c r="X5" i="6" s="1"/>
  <c r="U5" i="6"/>
  <c r="W5" i="6" s="1"/>
  <c r="R5" i="6"/>
  <c r="T5" i="6" s="1"/>
  <c r="Q5" i="6"/>
  <c r="S5" i="6" s="1"/>
  <c r="N5" i="6"/>
  <c r="P5" i="6" s="1"/>
  <c r="M5" i="6"/>
  <c r="O5" i="6" s="1"/>
  <c r="J5" i="6"/>
  <c r="L5" i="6" s="1"/>
  <c r="I5" i="6"/>
  <c r="K5" i="6" s="1"/>
  <c r="F5" i="6"/>
  <c r="E5" i="6"/>
  <c r="AP4" i="6"/>
  <c r="AR4" i="6" s="1"/>
  <c r="AO4" i="6"/>
  <c r="AQ4" i="6" s="1"/>
  <c r="AL4" i="6"/>
  <c r="AN4" i="6" s="1"/>
  <c r="AK4" i="6"/>
  <c r="AM4" i="6" s="1"/>
  <c r="AH4" i="6"/>
  <c r="AJ4" i="6" s="1"/>
  <c r="AG4" i="6"/>
  <c r="AI4" i="6" s="1"/>
  <c r="AD4" i="6"/>
  <c r="AF4" i="6" s="1"/>
  <c r="AC4" i="6"/>
  <c r="AE4" i="6" s="1"/>
  <c r="Z4" i="6"/>
  <c r="AB4" i="6" s="1"/>
  <c r="Y4" i="6"/>
  <c r="AA4" i="6" s="1"/>
  <c r="V4" i="6"/>
  <c r="X4" i="6" s="1"/>
  <c r="U4" i="6"/>
  <c r="W4" i="6" s="1"/>
  <c r="R4" i="6"/>
  <c r="T4" i="6" s="1"/>
  <c r="Q4" i="6"/>
  <c r="S4" i="6" s="1"/>
  <c r="N4" i="6"/>
  <c r="P4" i="6" s="1"/>
  <c r="M4" i="6"/>
  <c r="O4" i="6" s="1"/>
  <c r="J4" i="6"/>
  <c r="L4" i="6" s="1"/>
  <c r="I4" i="6"/>
  <c r="K4" i="6" s="1"/>
  <c r="F4" i="6"/>
  <c r="E4" i="6"/>
  <c r="AP3" i="6"/>
  <c r="AR3" i="6" s="1"/>
  <c r="AO3" i="6"/>
  <c r="AL3" i="6"/>
  <c r="AK3" i="6"/>
  <c r="AH3" i="6"/>
  <c r="AG3" i="6"/>
  <c r="AD3" i="6"/>
  <c r="AC3" i="6"/>
  <c r="Z3" i="6"/>
  <c r="Y3" i="6"/>
  <c r="V3" i="6"/>
  <c r="U3" i="6"/>
  <c r="R3" i="6"/>
  <c r="Q3" i="6"/>
  <c r="N3" i="6"/>
  <c r="M3" i="6"/>
  <c r="J3" i="6"/>
  <c r="I3" i="6"/>
  <c r="F3" i="6"/>
  <c r="E3" i="6"/>
  <c r="B65" i="5"/>
  <c r="B64" i="5"/>
  <c r="B63" i="5"/>
  <c r="B62" i="5"/>
  <c r="B66" i="5" s="1"/>
  <c r="B59" i="5"/>
  <c r="B58" i="5"/>
  <c r="B57" i="5"/>
  <c r="B56" i="5"/>
  <c r="B55" i="5"/>
  <c r="C59" i="5" s="1"/>
  <c r="B50" i="5"/>
  <c r="AP49" i="5"/>
  <c r="AR49" i="5" s="1"/>
  <c r="AO49" i="5"/>
  <c r="AQ49" i="5" s="1"/>
  <c r="AL49" i="5"/>
  <c r="AN49" i="5" s="1"/>
  <c r="AK49" i="5"/>
  <c r="AM49" i="5" s="1"/>
  <c r="AH49" i="5"/>
  <c r="AJ49" i="5" s="1"/>
  <c r="AG49" i="5"/>
  <c r="AI49" i="5" s="1"/>
  <c r="AD49" i="5"/>
  <c r="AF49" i="5" s="1"/>
  <c r="AC49" i="5"/>
  <c r="AE49" i="5" s="1"/>
  <c r="Z49" i="5"/>
  <c r="AB49" i="5" s="1"/>
  <c r="Y49" i="5"/>
  <c r="AA49" i="5" s="1"/>
  <c r="V49" i="5"/>
  <c r="X49" i="5" s="1"/>
  <c r="U49" i="5"/>
  <c r="W49" i="5" s="1"/>
  <c r="R49" i="5"/>
  <c r="T49" i="5" s="1"/>
  <c r="Q49" i="5"/>
  <c r="S49" i="5" s="1"/>
  <c r="N49" i="5"/>
  <c r="P49" i="5" s="1"/>
  <c r="M49" i="5"/>
  <c r="O49" i="5" s="1"/>
  <c r="J49" i="5"/>
  <c r="L49" i="5" s="1"/>
  <c r="I49" i="5"/>
  <c r="K49" i="5" s="1"/>
  <c r="F49" i="5"/>
  <c r="E49" i="5"/>
  <c r="AP48" i="5"/>
  <c r="AR48" i="5" s="1"/>
  <c r="AO48" i="5"/>
  <c r="AQ48" i="5" s="1"/>
  <c r="AL48" i="5"/>
  <c r="AN48" i="5" s="1"/>
  <c r="AK48" i="5"/>
  <c r="AM48" i="5" s="1"/>
  <c r="AH48" i="5"/>
  <c r="AJ48" i="5" s="1"/>
  <c r="AG48" i="5"/>
  <c r="AI48" i="5" s="1"/>
  <c r="AD48" i="5"/>
  <c r="AF48" i="5" s="1"/>
  <c r="AC48" i="5"/>
  <c r="AE48" i="5" s="1"/>
  <c r="Z48" i="5"/>
  <c r="AB48" i="5" s="1"/>
  <c r="Y48" i="5"/>
  <c r="AA48" i="5" s="1"/>
  <c r="V48" i="5"/>
  <c r="X48" i="5" s="1"/>
  <c r="U48" i="5"/>
  <c r="W48" i="5" s="1"/>
  <c r="R48" i="5"/>
  <c r="T48" i="5" s="1"/>
  <c r="Q48" i="5"/>
  <c r="S48" i="5" s="1"/>
  <c r="N48" i="5"/>
  <c r="P48" i="5" s="1"/>
  <c r="M48" i="5"/>
  <c r="O48" i="5" s="1"/>
  <c r="J48" i="5"/>
  <c r="L48" i="5" s="1"/>
  <c r="I48" i="5"/>
  <c r="K48" i="5" s="1"/>
  <c r="F48" i="5"/>
  <c r="E48" i="5"/>
  <c r="AP47" i="5"/>
  <c r="AR47" i="5" s="1"/>
  <c r="AO47" i="5"/>
  <c r="AQ47" i="5" s="1"/>
  <c r="AL47" i="5"/>
  <c r="AN47" i="5" s="1"/>
  <c r="AK47" i="5"/>
  <c r="AM47" i="5" s="1"/>
  <c r="AH47" i="5"/>
  <c r="AJ47" i="5" s="1"/>
  <c r="AG47" i="5"/>
  <c r="AI47" i="5" s="1"/>
  <c r="AD47" i="5"/>
  <c r="AF47" i="5" s="1"/>
  <c r="AC47" i="5"/>
  <c r="AE47" i="5" s="1"/>
  <c r="Z47" i="5"/>
  <c r="AB47" i="5" s="1"/>
  <c r="Y47" i="5"/>
  <c r="AA47" i="5" s="1"/>
  <c r="V47" i="5"/>
  <c r="X47" i="5" s="1"/>
  <c r="U47" i="5"/>
  <c r="W47" i="5" s="1"/>
  <c r="R47" i="5"/>
  <c r="T47" i="5" s="1"/>
  <c r="Q47" i="5"/>
  <c r="S47" i="5" s="1"/>
  <c r="N47" i="5"/>
  <c r="P47" i="5" s="1"/>
  <c r="M47" i="5"/>
  <c r="O47" i="5" s="1"/>
  <c r="J47" i="5"/>
  <c r="L47" i="5" s="1"/>
  <c r="I47" i="5"/>
  <c r="K47" i="5" s="1"/>
  <c r="F47" i="5"/>
  <c r="E47" i="5"/>
  <c r="AP46" i="5"/>
  <c r="AR46" i="5" s="1"/>
  <c r="AO46" i="5"/>
  <c r="AQ46" i="5" s="1"/>
  <c r="AL46" i="5"/>
  <c r="AN46" i="5" s="1"/>
  <c r="AK46" i="5"/>
  <c r="AM46" i="5" s="1"/>
  <c r="AH46" i="5"/>
  <c r="AJ46" i="5" s="1"/>
  <c r="AG46" i="5"/>
  <c r="AI46" i="5" s="1"/>
  <c r="AD46" i="5"/>
  <c r="AF46" i="5" s="1"/>
  <c r="AC46" i="5"/>
  <c r="AE46" i="5" s="1"/>
  <c r="Z46" i="5"/>
  <c r="AB46" i="5" s="1"/>
  <c r="Y46" i="5"/>
  <c r="AA46" i="5" s="1"/>
  <c r="V46" i="5"/>
  <c r="X46" i="5" s="1"/>
  <c r="U46" i="5"/>
  <c r="W46" i="5" s="1"/>
  <c r="R46" i="5"/>
  <c r="T46" i="5" s="1"/>
  <c r="Q46" i="5"/>
  <c r="S46" i="5" s="1"/>
  <c r="N46" i="5"/>
  <c r="P46" i="5" s="1"/>
  <c r="M46" i="5"/>
  <c r="O46" i="5" s="1"/>
  <c r="J46" i="5"/>
  <c r="L46" i="5" s="1"/>
  <c r="I46" i="5"/>
  <c r="K46" i="5" s="1"/>
  <c r="F46" i="5"/>
  <c r="E46" i="5"/>
  <c r="AP45" i="5"/>
  <c r="AR45" i="5" s="1"/>
  <c r="AO45" i="5"/>
  <c r="AQ45" i="5" s="1"/>
  <c r="AL45" i="5"/>
  <c r="AN45" i="5" s="1"/>
  <c r="AK45" i="5"/>
  <c r="AM45" i="5" s="1"/>
  <c r="AH45" i="5"/>
  <c r="AJ45" i="5" s="1"/>
  <c r="AG45" i="5"/>
  <c r="AI45" i="5" s="1"/>
  <c r="AD45" i="5"/>
  <c r="AF45" i="5" s="1"/>
  <c r="AC45" i="5"/>
  <c r="AE45" i="5" s="1"/>
  <c r="Z45" i="5"/>
  <c r="AB45" i="5" s="1"/>
  <c r="Y45" i="5"/>
  <c r="AA45" i="5" s="1"/>
  <c r="V45" i="5"/>
  <c r="X45" i="5" s="1"/>
  <c r="U45" i="5"/>
  <c r="W45" i="5" s="1"/>
  <c r="R45" i="5"/>
  <c r="T45" i="5" s="1"/>
  <c r="Q45" i="5"/>
  <c r="S45" i="5" s="1"/>
  <c r="N45" i="5"/>
  <c r="P45" i="5" s="1"/>
  <c r="M45" i="5"/>
  <c r="O45" i="5" s="1"/>
  <c r="J45" i="5"/>
  <c r="L45" i="5" s="1"/>
  <c r="I45" i="5"/>
  <c r="K45" i="5" s="1"/>
  <c r="F45" i="5"/>
  <c r="E45" i="5"/>
  <c r="AP44" i="5"/>
  <c r="AR44" i="5" s="1"/>
  <c r="AO44" i="5"/>
  <c r="AQ44" i="5" s="1"/>
  <c r="AL44" i="5"/>
  <c r="AN44" i="5" s="1"/>
  <c r="AK44" i="5"/>
  <c r="AM44" i="5" s="1"/>
  <c r="AH44" i="5"/>
  <c r="AJ44" i="5" s="1"/>
  <c r="AG44" i="5"/>
  <c r="AI44" i="5" s="1"/>
  <c r="AD44" i="5"/>
  <c r="AF44" i="5" s="1"/>
  <c r="AC44" i="5"/>
  <c r="AE44" i="5" s="1"/>
  <c r="Z44" i="5"/>
  <c r="AB44" i="5" s="1"/>
  <c r="Y44" i="5"/>
  <c r="AA44" i="5" s="1"/>
  <c r="V44" i="5"/>
  <c r="X44" i="5" s="1"/>
  <c r="U44" i="5"/>
  <c r="W44" i="5" s="1"/>
  <c r="R44" i="5"/>
  <c r="T44" i="5" s="1"/>
  <c r="Q44" i="5"/>
  <c r="S44" i="5" s="1"/>
  <c r="N44" i="5"/>
  <c r="P44" i="5" s="1"/>
  <c r="M44" i="5"/>
  <c r="O44" i="5" s="1"/>
  <c r="J44" i="5"/>
  <c r="L44" i="5" s="1"/>
  <c r="I44" i="5"/>
  <c r="K44" i="5" s="1"/>
  <c r="F44" i="5"/>
  <c r="E44" i="5"/>
  <c r="AP43" i="5"/>
  <c r="AR43" i="5" s="1"/>
  <c r="AO43" i="5"/>
  <c r="AQ43" i="5" s="1"/>
  <c r="AL43" i="5"/>
  <c r="AN43" i="5" s="1"/>
  <c r="AK43" i="5"/>
  <c r="AM43" i="5" s="1"/>
  <c r="AH43" i="5"/>
  <c r="AJ43" i="5" s="1"/>
  <c r="AG43" i="5"/>
  <c r="AI43" i="5" s="1"/>
  <c r="AD43" i="5"/>
  <c r="AF43" i="5" s="1"/>
  <c r="AC43" i="5"/>
  <c r="AE43" i="5" s="1"/>
  <c r="Z43" i="5"/>
  <c r="AB43" i="5" s="1"/>
  <c r="Y43" i="5"/>
  <c r="AA43" i="5" s="1"/>
  <c r="V43" i="5"/>
  <c r="X43" i="5" s="1"/>
  <c r="U43" i="5"/>
  <c r="W43" i="5" s="1"/>
  <c r="R43" i="5"/>
  <c r="T43" i="5" s="1"/>
  <c r="Q43" i="5"/>
  <c r="S43" i="5" s="1"/>
  <c r="N43" i="5"/>
  <c r="P43" i="5" s="1"/>
  <c r="M43" i="5"/>
  <c r="O43" i="5" s="1"/>
  <c r="J43" i="5"/>
  <c r="L43" i="5" s="1"/>
  <c r="I43" i="5"/>
  <c r="K43" i="5" s="1"/>
  <c r="F43" i="5"/>
  <c r="E43" i="5"/>
  <c r="AP42" i="5"/>
  <c r="AR42" i="5" s="1"/>
  <c r="AO42" i="5"/>
  <c r="AQ42" i="5" s="1"/>
  <c r="AL42" i="5"/>
  <c r="AN42" i="5" s="1"/>
  <c r="AK42" i="5"/>
  <c r="AM42" i="5" s="1"/>
  <c r="AH42" i="5"/>
  <c r="AJ42" i="5" s="1"/>
  <c r="AG42" i="5"/>
  <c r="AI42" i="5" s="1"/>
  <c r="AD42" i="5"/>
  <c r="AF42" i="5" s="1"/>
  <c r="AC42" i="5"/>
  <c r="AE42" i="5" s="1"/>
  <c r="Z42" i="5"/>
  <c r="AB42" i="5" s="1"/>
  <c r="Y42" i="5"/>
  <c r="AA42" i="5" s="1"/>
  <c r="V42" i="5"/>
  <c r="X42" i="5" s="1"/>
  <c r="U42" i="5"/>
  <c r="W42" i="5" s="1"/>
  <c r="R42" i="5"/>
  <c r="T42" i="5" s="1"/>
  <c r="Q42" i="5"/>
  <c r="S42" i="5" s="1"/>
  <c r="N42" i="5"/>
  <c r="P42" i="5" s="1"/>
  <c r="M42" i="5"/>
  <c r="O42" i="5" s="1"/>
  <c r="J42" i="5"/>
  <c r="L42" i="5" s="1"/>
  <c r="I42" i="5"/>
  <c r="K42" i="5" s="1"/>
  <c r="F42" i="5"/>
  <c r="E42" i="5"/>
  <c r="AP41" i="5"/>
  <c r="AR41" i="5" s="1"/>
  <c r="AO41" i="5"/>
  <c r="AQ41" i="5" s="1"/>
  <c r="AL41" i="5"/>
  <c r="AN41" i="5" s="1"/>
  <c r="AK41" i="5"/>
  <c r="AM41" i="5" s="1"/>
  <c r="AH41" i="5"/>
  <c r="AJ41" i="5" s="1"/>
  <c r="AG41" i="5"/>
  <c r="AI41" i="5" s="1"/>
  <c r="AD41" i="5"/>
  <c r="AF41" i="5" s="1"/>
  <c r="AC41" i="5"/>
  <c r="AE41" i="5" s="1"/>
  <c r="Z41" i="5"/>
  <c r="AB41" i="5" s="1"/>
  <c r="Y41" i="5"/>
  <c r="AA41" i="5" s="1"/>
  <c r="V41" i="5"/>
  <c r="X41" i="5" s="1"/>
  <c r="U41" i="5"/>
  <c r="W41" i="5" s="1"/>
  <c r="R41" i="5"/>
  <c r="T41" i="5" s="1"/>
  <c r="Q41" i="5"/>
  <c r="S41" i="5" s="1"/>
  <c r="N41" i="5"/>
  <c r="P41" i="5" s="1"/>
  <c r="M41" i="5"/>
  <c r="O41" i="5" s="1"/>
  <c r="J41" i="5"/>
  <c r="L41" i="5" s="1"/>
  <c r="I41" i="5"/>
  <c r="K41" i="5" s="1"/>
  <c r="F41" i="5"/>
  <c r="E41" i="5"/>
  <c r="AP40" i="5"/>
  <c r="AR40" i="5" s="1"/>
  <c r="AO40" i="5"/>
  <c r="AQ40" i="5" s="1"/>
  <c r="AL40" i="5"/>
  <c r="AN40" i="5" s="1"/>
  <c r="AK40" i="5"/>
  <c r="AM40" i="5" s="1"/>
  <c r="AH40" i="5"/>
  <c r="AJ40" i="5" s="1"/>
  <c r="AG40" i="5"/>
  <c r="AI40" i="5" s="1"/>
  <c r="AD40" i="5"/>
  <c r="AF40" i="5" s="1"/>
  <c r="AC40" i="5"/>
  <c r="AE40" i="5" s="1"/>
  <c r="Z40" i="5"/>
  <c r="AB40" i="5" s="1"/>
  <c r="Y40" i="5"/>
  <c r="AA40" i="5" s="1"/>
  <c r="V40" i="5"/>
  <c r="X40" i="5" s="1"/>
  <c r="U40" i="5"/>
  <c r="W40" i="5" s="1"/>
  <c r="R40" i="5"/>
  <c r="T40" i="5" s="1"/>
  <c r="Q40" i="5"/>
  <c r="S40" i="5" s="1"/>
  <c r="N40" i="5"/>
  <c r="P40" i="5" s="1"/>
  <c r="M40" i="5"/>
  <c r="O40" i="5" s="1"/>
  <c r="J40" i="5"/>
  <c r="L40" i="5" s="1"/>
  <c r="I40" i="5"/>
  <c r="K40" i="5" s="1"/>
  <c r="F40" i="5"/>
  <c r="E40" i="5"/>
  <c r="AP39" i="5"/>
  <c r="AR39" i="5" s="1"/>
  <c r="AO39" i="5"/>
  <c r="AQ39" i="5" s="1"/>
  <c r="AL39" i="5"/>
  <c r="AN39" i="5" s="1"/>
  <c r="AK39" i="5"/>
  <c r="AM39" i="5" s="1"/>
  <c r="AH39" i="5"/>
  <c r="AJ39" i="5" s="1"/>
  <c r="AG39" i="5"/>
  <c r="AI39" i="5" s="1"/>
  <c r="AD39" i="5"/>
  <c r="AF39" i="5" s="1"/>
  <c r="AC39" i="5"/>
  <c r="AE39" i="5" s="1"/>
  <c r="Z39" i="5"/>
  <c r="AB39" i="5" s="1"/>
  <c r="Y39" i="5"/>
  <c r="AA39" i="5" s="1"/>
  <c r="V39" i="5"/>
  <c r="X39" i="5" s="1"/>
  <c r="U39" i="5"/>
  <c r="W39" i="5" s="1"/>
  <c r="R39" i="5"/>
  <c r="T39" i="5" s="1"/>
  <c r="Q39" i="5"/>
  <c r="S39" i="5" s="1"/>
  <c r="N39" i="5"/>
  <c r="P39" i="5" s="1"/>
  <c r="M39" i="5"/>
  <c r="O39" i="5" s="1"/>
  <c r="J39" i="5"/>
  <c r="L39" i="5" s="1"/>
  <c r="I39" i="5"/>
  <c r="K39" i="5" s="1"/>
  <c r="F39" i="5"/>
  <c r="E39" i="5"/>
  <c r="AP38" i="5"/>
  <c r="AR38" i="5" s="1"/>
  <c r="AO38" i="5"/>
  <c r="AQ38" i="5" s="1"/>
  <c r="AL38" i="5"/>
  <c r="AN38" i="5" s="1"/>
  <c r="AK38" i="5"/>
  <c r="AM38" i="5" s="1"/>
  <c r="AH38" i="5"/>
  <c r="AJ38" i="5" s="1"/>
  <c r="AG38" i="5"/>
  <c r="AI38" i="5" s="1"/>
  <c r="AD38" i="5"/>
  <c r="AF38" i="5" s="1"/>
  <c r="AC38" i="5"/>
  <c r="AE38" i="5" s="1"/>
  <c r="Z38" i="5"/>
  <c r="AB38" i="5" s="1"/>
  <c r="Y38" i="5"/>
  <c r="AA38" i="5" s="1"/>
  <c r="V38" i="5"/>
  <c r="X38" i="5" s="1"/>
  <c r="U38" i="5"/>
  <c r="W38" i="5" s="1"/>
  <c r="R38" i="5"/>
  <c r="T38" i="5" s="1"/>
  <c r="Q38" i="5"/>
  <c r="S38" i="5" s="1"/>
  <c r="N38" i="5"/>
  <c r="P38" i="5" s="1"/>
  <c r="M38" i="5"/>
  <c r="O38" i="5" s="1"/>
  <c r="J38" i="5"/>
  <c r="L38" i="5" s="1"/>
  <c r="I38" i="5"/>
  <c r="K38" i="5" s="1"/>
  <c r="F38" i="5"/>
  <c r="E38" i="5"/>
  <c r="AP37" i="5"/>
  <c r="AR37" i="5" s="1"/>
  <c r="AO37" i="5"/>
  <c r="AQ37" i="5" s="1"/>
  <c r="AL37" i="5"/>
  <c r="AN37" i="5" s="1"/>
  <c r="AK37" i="5"/>
  <c r="AM37" i="5" s="1"/>
  <c r="AH37" i="5"/>
  <c r="AJ37" i="5" s="1"/>
  <c r="AG37" i="5"/>
  <c r="AI37" i="5" s="1"/>
  <c r="AD37" i="5"/>
  <c r="AF37" i="5" s="1"/>
  <c r="AC37" i="5"/>
  <c r="AE37" i="5" s="1"/>
  <c r="Z37" i="5"/>
  <c r="AB37" i="5" s="1"/>
  <c r="Y37" i="5"/>
  <c r="AA37" i="5" s="1"/>
  <c r="V37" i="5"/>
  <c r="X37" i="5" s="1"/>
  <c r="U37" i="5"/>
  <c r="W37" i="5" s="1"/>
  <c r="R37" i="5"/>
  <c r="T37" i="5" s="1"/>
  <c r="Q37" i="5"/>
  <c r="S37" i="5" s="1"/>
  <c r="N37" i="5"/>
  <c r="P37" i="5" s="1"/>
  <c r="M37" i="5"/>
  <c r="O37" i="5" s="1"/>
  <c r="J37" i="5"/>
  <c r="L37" i="5" s="1"/>
  <c r="I37" i="5"/>
  <c r="K37" i="5" s="1"/>
  <c r="F37" i="5"/>
  <c r="E37" i="5"/>
  <c r="AP36" i="5"/>
  <c r="AR36" i="5" s="1"/>
  <c r="AO36" i="5"/>
  <c r="AQ36" i="5" s="1"/>
  <c r="AL36" i="5"/>
  <c r="AN36" i="5" s="1"/>
  <c r="AK36" i="5"/>
  <c r="AM36" i="5" s="1"/>
  <c r="AH36" i="5"/>
  <c r="AJ36" i="5" s="1"/>
  <c r="AG36" i="5"/>
  <c r="AI36" i="5" s="1"/>
  <c r="AD36" i="5"/>
  <c r="AF36" i="5" s="1"/>
  <c r="AC36" i="5"/>
  <c r="AE36" i="5" s="1"/>
  <c r="Z36" i="5"/>
  <c r="AB36" i="5" s="1"/>
  <c r="Y36" i="5"/>
  <c r="AA36" i="5" s="1"/>
  <c r="V36" i="5"/>
  <c r="X36" i="5" s="1"/>
  <c r="U36" i="5"/>
  <c r="W36" i="5" s="1"/>
  <c r="R36" i="5"/>
  <c r="T36" i="5" s="1"/>
  <c r="Q36" i="5"/>
  <c r="S36" i="5" s="1"/>
  <c r="N36" i="5"/>
  <c r="P36" i="5" s="1"/>
  <c r="M36" i="5"/>
  <c r="O36" i="5" s="1"/>
  <c r="J36" i="5"/>
  <c r="L36" i="5" s="1"/>
  <c r="I36" i="5"/>
  <c r="K36" i="5" s="1"/>
  <c r="F36" i="5"/>
  <c r="E36" i="5"/>
  <c r="AP35" i="5"/>
  <c r="AR35" i="5" s="1"/>
  <c r="AO35" i="5"/>
  <c r="AQ35" i="5" s="1"/>
  <c r="AL35" i="5"/>
  <c r="AN35" i="5" s="1"/>
  <c r="AK35" i="5"/>
  <c r="AM35" i="5" s="1"/>
  <c r="AH35" i="5"/>
  <c r="AJ35" i="5" s="1"/>
  <c r="AG35" i="5"/>
  <c r="AI35" i="5" s="1"/>
  <c r="AD35" i="5"/>
  <c r="AF35" i="5" s="1"/>
  <c r="AC35" i="5"/>
  <c r="AE35" i="5" s="1"/>
  <c r="Z35" i="5"/>
  <c r="AB35" i="5" s="1"/>
  <c r="Y35" i="5"/>
  <c r="AA35" i="5" s="1"/>
  <c r="V35" i="5"/>
  <c r="X35" i="5" s="1"/>
  <c r="U35" i="5"/>
  <c r="W35" i="5" s="1"/>
  <c r="R35" i="5"/>
  <c r="T35" i="5" s="1"/>
  <c r="Q35" i="5"/>
  <c r="S35" i="5" s="1"/>
  <c r="N35" i="5"/>
  <c r="P35" i="5" s="1"/>
  <c r="M35" i="5"/>
  <c r="O35" i="5" s="1"/>
  <c r="J35" i="5"/>
  <c r="L35" i="5" s="1"/>
  <c r="I35" i="5"/>
  <c r="K35" i="5" s="1"/>
  <c r="F35" i="5"/>
  <c r="E35" i="5"/>
  <c r="AP34" i="5"/>
  <c r="AR34" i="5" s="1"/>
  <c r="AO34" i="5"/>
  <c r="AQ34" i="5" s="1"/>
  <c r="AL34" i="5"/>
  <c r="AN34" i="5" s="1"/>
  <c r="AK34" i="5"/>
  <c r="AM34" i="5" s="1"/>
  <c r="AH34" i="5"/>
  <c r="AJ34" i="5" s="1"/>
  <c r="AG34" i="5"/>
  <c r="AI34" i="5" s="1"/>
  <c r="AD34" i="5"/>
  <c r="AF34" i="5" s="1"/>
  <c r="AC34" i="5"/>
  <c r="AE34" i="5" s="1"/>
  <c r="Z34" i="5"/>
  <c r="AB34" i="5" s="1"/>
  <c r="Y34" i="5"/>
  <c r="AA34" i="5" s="1"/>
  <c r="V34" i="5"/>
  <c r="X34" i="5" s="1"/>
  <c r="U34" i="5"/>
  <c r="W34" i="5" s="1"/>
  <c r="R34" i="5"/>
  <c r="T34" i="5" s="1"/>
  <c r="Q34" i="5"/>
  <c r="S34" i="5" s="1"/>
  <c r="N34" i="5"/>
  <c r="P34" i="5" s="1"/>
  <c r="M34" i="5"/>
  <c r="O34" i="5" s="1"/>
  <c r="J34" i="5"/>
  <c r="L34" i="5" s="1"/>
  <c r="I34" i="5"/>
  <c r="K34" i="5" s="1"/>
  <c r="F34" i="5"/>
  <c r="E34" i="5"/>
  <c r="AP33" i="5"/>
  <c r="AR33" i="5" s="1"/>
  <c r="AO33" i="5"/>
  <c r="AQ33" i="5" s="1"/>
  <c r="AL33" i="5"/>
  <c r="AN33" i="5" s="1"/>
  <c r="AK33" i="5"/>
  <c r="AM33" i="5" s="1"/>
  <c r="AH33" i="5"/>
  <c r="AJ33" i="5" s="1"/>
  <c r="AG33" i="5"/>
  <c r="AI33" i="5" s="1"/>
  <c r="AD33" i="5"/>
  <c r="AF33" i="5" s="1"/>
  <c r="AC33" i="5"/>
  <c r="AE33" i="5" s="1"/>
  <c r="Z33" i="5"/>
  <c r="AB33" i="5" s="1"/>
  <c r="Y33" i="5"/>
  <c r="AA33" i="5" s="1"/>
  <c r="V33" i="5"/>
  <c r="X33" i="5" s="1"/>
  <c r="U33" i="5"/>
  <c r="W33" i="5" s="1"/>
  <c r="R33" i="5"/>
  <c r="T33" i="5" s="1"/>
  <c r="Q33" i="5"/>
  <c r="S33" i="5" s="1"/>
  <c r="N33" i="5"/>
  <c r="P33" i="5" s="1"/>
  <c r="M33" i="5"/>
  <c r="O33" i="5" s="1"/>
  <c r="J33" i="5"/>
  <c r="L33" i="5" s="1"/>
  <c r="I33" i="5"/>
  <c r="K33" i="5" s="1"/>
  <c r="F33" i="5"/>
  <c r="E33" i="5"/>
  <c r="AP32" i="5"/>
  <c r="AR32" i="5" s="1"/>
  <c r="AO32" i="5"/>
  <c r="AQ32" i="5" s="1"/>
  <c r="AL32" i="5"/>
  <c r="AN32" i="5" s="1"/>
  <c r="AK32" i="5"/>
  <c r="AM32" i="5" s="1"/>
  <c r="AH32" i="5"/>
  <c r="AJ32" i="5" s="1"/>
  <c r="AG32" i="5"/>
  <c r="AI32" i="5" s="1"/>
  <c r="AD32" i="5"/>
  <c r="AF32" i="5" s="1"/>
  <c r="AC32" i="5"/>
  <c r="AE32" i="5" s="1"/>
  <c r="Z32" i="5"/>
  <c r="AB32" i="5" s="1"/>
  <c r="Y32" i="5"/>
  <c r="AA32" i="5" s="1"/>
  <c r="V32" i="5"/>
  <c r="X32" i="5" s="1"/>
  <c r="U32" i="5"/>
  <c r="W32" i="5" s="1"/>
  <c r="R32" i="5"/>
  <c r="T32" i="5" s="1"/>
  <c r="Q32" i="5"/>
  <c r="S32" i="5" s="1"/>
  <c r="N32" i="5"/>
  <c r="P32" i="5" s="1"/>
  <c r="M32" i="5"/>
  <c r="O32" i="5" s="1"/>
  <c r="J32" i="5"/>
  <c r="L32" i="5" s="1"/>
  <c r="I32" i="5"/>
  <c r="K32" i="5" s="1"/>
  <c r="F32" i="5"/>
  <c r="E32" i="5"/>
  <c r="AP31" i="5"/>
  <c r="AR31" i="5" s="1"/>
  <c r="AO31" i="5"/>
  <c r="AQ31" i="5" s="1"/>
  <c r="AL31" i="5"/>
  <c r="AN31" i="5" s="1"/>
  <c r="AK31" i="5"/>
  <c r="AM31" i="5" s="1"/>
  <c r="AH31" i="5"/>
  <c r="AJ31" i="5" s="1"/>
  <c r="AG31" i="5"/>
  <c r="AI31" i="5" s="1"/>
  <c r="AD31" i="5"/>
  <c r="AF31" i="5" s="1"/>
  <c r="AC31" i="5"/>
  <c r="AE31" i="5" s="1"/>
  <c r="Z31" i="5"/>
  <c r="AB31" i="5" s="1"/>
  <c r="Y31" i="5"/>
  <c r="AA31" i="5" s="1"/>
  <c r="V31" i="5"/>
  <c r="X31" i="5" s="1"/>
  <c r="U31" i="5"/>
  <c r="W31" i="5" s="1"/>
  <c r="R31" i="5"/>
  <c r="T31" i="5" s="1"/>
  <c r="Q31" i="5"/>
  <c r="S31" i="5" s="1"/>
  <c r="N31" i="5"/>
  <c r="M31" i="5"/>
  <c r="L31" i="5"/>
  <c r="J31" i="5"/>
  <c r="I31" i="5"/>
  <c r="K31" i="5" s="1"/>
  <c r="F31" i="5"/>
  <c r="H31" i="5" s="1"/>
  <c r="E31" i="5"/>
  <c r="G31" i="5" s="1"/>
  <c r="AP29" i="5"/>
  <c r="AR29" i="5" s="1"/>
  <c r="AO29" i="5"/>
  <c r="AQ29" i="5" s="1"/>
  <c r="AL29" i="5"/>
  <c r="AN29" i="5" s="1"/>
  <c r="AK29" i="5"/>
  <c r="AM29" i="5" s="1"/>
  <c r="AH29" i="5"/>
  <c r="AJ29" i="5" s="1"/>
  <c r="AG29" i="5"/>
  <c r="AI29" i="5" s="1"/>
  <c r="AD29" i="5"/>
  <c r="AF29" i="5" s="1"/>
  <c r="AC29" i="5"/>
  <c r="AE29" i="5" s="1"/>
  <c r="Z29" i="5"/>
  <c r="AB29" i="5" s="1"/>
  <c r="Y29" i="5"/>
  <c r="AA29" i="5" s="1"/>
  <c r="V29" i="5"/>
  <c r="X29" i="5" s="1"/>
  <c r="U29" i="5"/>
  <c r="W29" i="5" s="1"/>
  <c r="R29" i="5"/>
  <c r="T29" i="5" s="1"/>
  <c r="Q29" i="5"/>
  <c r="S29" i="5" s="1"/>
  <c r="N29" i="5"/>
  <c r="P29" i="5" s="1"/>
  <c r="M29" i="5"/>
  <c r="O29" i="5" s="1"/>
  <c r="J29" i="5"/>
  <c r="L29" i="5" s="1"/>
  <c r="I29" i="5"/>
  <c r="K29" i="5" s="1"/>
  <c r="F29" i="5"/>
  <c r="E29" i="5"/>
  <c r="C29" i="5"/>
  <c r="D29" i="5" s="1"/>
  <c r="AP28" i="5"/>
  <c r="AR28" i="5" s="1"/>
  <c r="AO28" i="5"/>
  <c r="AQ28" i="5" s="1"/>
  <c r="AL28" i="5"/>
  <c r="AN28" i="5" s="1"/>
  <c r="AK28" i="5"/>
  <c r="AM28" i="5" s="1"/>
  <c r="AH28" i="5"/>
  <c r="AJ28" i="5" s="1"/>
  <c r="AG28" i="5"/>
  <c r="AI28" i="5" s="1"/>
  <c r="AD28" i="5"/>
  <c r="AF28" i="5" s="1"/>
  <c r="AC28" i="5"/>
  <c r="AE28" i="5" s="1"/>
  <c r="Z28" i="5"/>
  <c r="AB28" i="5" s="1"/>
  <c r="Y28" i="5"/>
  <c r="AA28" i="5" s="1"/>
  <c r="V28" i="5"/>
  <c r="X28" i="5" s="1"/>
  <c r="U28" i="5"/>
  <c r="W28" i="5" s="1"/>
  <c r="R28" i="5"/>
  <c r="T28" i="5" s="1"/>
  <c r="Q28" i="5"/>
  <c r="S28" i="5" s="1"/>
  <c r="N28" i="5"/>
  <c r="P28" i="5" s="1"/>
  <c r="M28" i="5"/>
  <c r="O28" i="5" s="1"/>
  <c r="J28" i="5"/>
  <c r="L28" i="5" s="1"/>
  <c r="I28" i="5"/>
  <c r="K28" i="5" s="1"/>
  <c r="F28" i="5"/>
  <c r="E28" i="5"/>
  <c r="AP27" i="5"/>
  <c r="AR27" i="5" s="1"/>
  <c r="AO27" i="5"/>
  <c r="AQ27" i="5" s="1"/>
  <c r="AL27" i="5"/>
  <c r="AN27" i="5" s="1"/>
  <c r="AK27" i="5"/>
  <c r="AM27" i="5" s="1"/>
  <c r="AH27" i="5"/>
  <c r="AJ27" i="5" s="1"/>
  <c r="AG27" i="5"/>
  <c r="AI27" i="5" s="1"/>
  <c r="AD27" i="5"/>
  <c r="AF27" i="5" s="1"/>
  <c r="AC27" i="5"/>
  <c r="AE27" i="5" s="1"/>
  <c r="Z27" i="5"/>
  <c r="AB27" i="5" s="1"/>
  <c r="Y27" i="5"/>
  <c r="AA27" i="5" s="1"/>
  <c r="V27" i="5"/>
  <c r="X27" i="5" s="1"/>
  <c r="U27" i="5"/>
  <c r="W27" i="5" s="1"/>
  <c r="R27" i="5"/>
  <c r="T27" i="5" s="1"/>
  <c r="Q27" i="5"/>
  <c r="S27" i="5" s="1"/>
  <c r="N27" i="5"/>
  <c r="P27" i="5" s="1"/>
  <c r="M27" i="5"/>
  <c r="O27" i="5" s="1"/>
  <c r="J27" i="5"/>
  <c r="L27" i="5" s="1"/>
  <c r="I27" i="5"/>
  <c r="K27" i="5" s="1"/>
  <c r="F27" i="5"/>
  <c r="E27" i="5"/>
  <c r="AP26" i="5"/>
  <c r="AR26" i="5" s="1"/>
  <c r="AO26" i="5"/>
  <c r="AQ26" i="5" s="1"/>
  <c r="AL26" i="5"/>
  <c r="AN26" i="5" s="1"/>
  <c r="AK26" i="5"/>
  <c r="AM26" i="5" s="1"/>
  <c r="AH26" i="5"/>
  <c r="AJ26" i="5" s="1"/>
  <c r="AG26" i="5"/>
  <c r="AI26" i="5" s="1"/>
  <c r="AD26" i="5"/>
  <c r="AF26" i="5" s="1"/>
  <c r="AC26" i="5"/>
  <c r="AE26" i="5" s="1"/>
  <c r="Z26" i="5"/>
  <c r="AB26" i="5" s="1"/>
  <c r="Y26" i="5"/>
  <c r="AA26" i="5" s="1"/>
  <c r="V26" i="5"/>
  <c r="X26" i="5" s="1"/>
  <c r="U26" i="5"/>
  <c r="W26" i="5" s="1"/>
  <c r="R26" i="5"/>
  <c r="T26" i="5" s="1"/>
  <c r="Q26" i="5"/>
  <c r="S26" i="5" s="1"/>
  <c r="N26" i="5"/>
  <c r="P26" i="5" s="1"/>
  <c r="M26" i="5"/>
  <c r="O26" i="5" s="1"/>
  <c r="J26" i="5"/>
  <c r="L26" i="5" s="1"/>
  <c r="I26" i="5"/>
  <c r="K26" i="5" s="1"/>
  <c r="F26" i="5"/>
  <c r="E26" i="5"/>
  <c r="AP25" i="5"/>
  <c r="AR25" i="5" s="1"/>
  <c r="AO25" i="5"/>
  <c r="AQ25" i="5" s="1"/>
  <c r="AL25" i="5"/>
  <c r="AN25" i="5" s="1"/>
  <c r="AK25" i="5"/>
  <c r="AM25" i="5" s="1"/>
  <c r="AH25" i="5"/>
  <c r="AJ25" i="5" s="1"/>
  <c r="AG25" i="5"/>
  <c r="AI25" i="5" s="1"/>
  <c r="AD25" i="5"/>
  <c r="AF25" i="5" s="1"/>
  <c r="AC25" i="5"/>
  <c r="AE25" i="5" s="1"/>
  <c r="Z25" i="5"/>
  <c r="AB25" i="5" s="1"/>
  <c r="Y25" i="5"/>
  <c r="AA25" i="5" s="1"/>
  <c r="V25" i="5"/>
  <c r="X25" i="5" s="1"/>
  <c r="U25" i="5"/>
  <c r="W25" i="5" s="1"/>
  <c r="R25" i="5"/>
  <c r="T25" i="5" s="1"/>
  <c r="Q25" i="5"/>
  <c r="S25" i="5" s="1"/>
  <c r="N25" i="5"/>
  <c r="P25" i="5" s="1"/>
  <c r="M25" i="5"/>
  <c r="O25" i="5" s="1"/>
  <c r="J25" i="5"/>
  <c r="L25" i="5" s="1"/>
  <c r="I25" i="5"/>
  <c r="K25" i="5" s="1"/>
  <c r="F25" i="5"/>
  <c r="E25" i="5"/>
  <c r="AP24" i="5"/>
  <c r="AR24" i="5" s="1"/>
  <c r="AO24" i="5"/>
  <c r="AQ24" i="5" s="1"/>
  <c r="AL24" i="5"/>
  <c r="AN24" i="5" s="1"/>
  <c r="AK24" i="5"/>
  <c r="AM24" i="5" s="1"/>
  <c r="AH24" i="5"/>
  <c r="AJ24" i="5" s="1"/>
  <c r="AG24" i="5"/>
  <c r="AI24" i="5" s="1"/>
  <c r="AD24" i="5"/>
  <c r="AF24" i="5" s="1"/>
  <c r="AC24" i="5"/>
  <c r="AE24" i="5" s="1"/>
  <c r="Z24" i="5"/>
  <c r="AB24" i="5" s="1"/>
  <c r="Y24" i="5"/>
  <c r="AA24" i="5" s="1"/>
  <c r="V24" i="5"/>
  <c r="X24" i="5" s="1"/>
  <c r="U24" i="5"/>
  <c r="W24" i="5" s="1"/>
  <c r="R24" i="5"/>
  <c r="T24" i="5" s="1"/>
  <c r="Q24" i="5"/>
  <c r="S24" i="5" s="1"/>
  <c r="N24" i="5"/>
  <c r="P24" i="5" s="1"/>
  <c r="M24" i="5"/>
  <c r="O24" i="5" s="1"/>
  <c r="J24" i="5"/>
  <c r="L24" i="5" s="1"/>
  <c r="I24" i="5"/>
  <c r="K24" i="5" s="1"/>
  <c r="F24" i="5"/>
  <c r="E24" i="5"/>
  <c r="AP23" i="5"/>
  <c r="AR23" i="5" s="1"/>
  <c r="AO23" i="5"/>
  <c r="AQ23" i="5" s="1"/>
  <c r="AL23" i="5"/>
  <c r="AN23" i="5" s="1"/>
  <c r="AK23" i="5"/>
  <c r="AM23" i="5" s="1"/>
  <c r="AH23" i="5"/>
  <c r="AJ23" i="5" s="1"/>
  <c r="AG23" i="5"/>
  <c r="AI23" i="5" s="1"/>
  <c r="AD23" i="5"/>
  <c r="AF23" i="5" s="1"/>
  <c r="AC23" i="5"/>
  <c r="AE23" i="5" s="1"/>
  <c r="Z23" i="5"/>
  <c r="AB23" i="5" s="1"/>
  <c r="Y23" i="5"/>
  <c r="AA23" i="5" s="1"/>
  <c r="V23" i="5"/>
  <c r="X23" i="5" s="1"/>
  <c r="U23" i="5"/>
  <c r="W23" i="5" s="1"/>
  <c r="R23" i="5"/>
  <c r="T23" i="5" s="1"/>
  <c r="Q23" i="5"/>
  <c r="S23" i="5" s="1"/>
  <c r="N23" i="5"/>
  <c r="P23" i="5" s="1"/>
  <c r="M23" i="5"/>
  <c r="O23" i="5" s="1"/>
  <c r="J23" i="5"/>
  <c r="L23" i="5" s="1"/>
  <c r="I23" i="5"/>
  <c r="K23" i="5" s="1"/>
  <c r="F23" i="5"/>
  <c r="E23" i="5"/>
  <c r="AP22" i="5"/>
  <c r="AR22" i="5" s="1"/>
  <c r="AO22" i="5"/>
  <c r="AQ22" i="5" s="1"/>
  <c r="AL22" i="5"/>
  <c r="AN22" i="5" s="1"/>
  <c r="AK22" i="5"/>
  <c r="AM22" i="5" s="1"/>
  <c r="AH22" i="5"/>
  <c r="AJ22" i="5" s="1"/>
  <c r="AG22" i="5"/>
  <c r="AI22" i="5" s="1"/>
  <c r="AD22" i="5"/>
  <c r="AF22" i="5" s="1"/>
  <c r="AC22" i="5"/>
  <c r="AE22" i="5" s="1"/>
  <c r="Z22" i="5"/>
  <c r="AB22" i="5" s="1"/>
  <c r="Y22" i="5"/>
  <c r="AA22" i="5" s="1"/>
  <c r="V22" i="5"/>
  <c r="X22" i="5" s="1"/>
  <c r="U22" i="5"/>
  <c r="W22" i="5" s="1"/>
  <c r="R22" i="5"/>
  <c r="T22" i="5" s="1"/>
  <c r="Q22" i="5"/>
  <c r="S22" i="5" s="1"/>
  <c r="N22" i="5"/>
  <c r="P22" i="5" s="1"/>
  <c r="M22" i="5"/>
  <c r="O22" i="5" s="1"/>
  <c r="J22" i="5"/>
  <c r="L22" i="5" s="1"/>
  <c r="I22" i="5"/>
  <c r="K22" i="5" s="1"/>
  <c r="F22" i="5"/>
  <c r="E22" i="5"/>
  <c r="AP21" i="5"/>
  <c r="AR21" i="5" s="1"/>
  <c r="AO21" i="5"/>
  <c r="AQ21" i="5" s="1"/>
  <c r="AL21" i="5"/>
  <c r="AN21" i="5" s="1"/>
  <c r="AK21" i="5"/>
  <c r="AM21" i="5" s="1"/>
  <c r="AH21" i="5"/>
  <c r="AJ21" i="5" s="1"/>
  <c r="AG21" i="5"/>
  <c r="AI21" i="5" s="1"/>
  <c r="AD21" i="5"/>
  <c r="AF21" i="5" s="1"/>
  <c r="AC21" i="5"/>
  <c r="AE21" i="5" s="1"/>
  <c r="Z21" i="5"/>
  <c r="AB21" i="5" s="1"/>
  <c r="Y21" i="5"/>
  <c r="AA21" i="5" s="1"/>
  <c r="V21" i="5"/>
  <c r="X21" i="5" s="1"/>
  <c r="U21" i="5"/>
  <c r="W21" i="5" s="1"/>
  <c r="R21" i="5"/>
  <c r="T21" i="5" s="1"/>
  <c r="Q21" i="5"/>
  <c r="S21" i="5" s="1"/>
  <c r="N21" i="5"/>
  <c r="P21" i="5" s="1"/>
  <c r="M21" i="5"/>
  <c r="O21" i="5" s="1"/>
  <c r="J21" i="5"/>
  <c r="L21" i="5" s="1"/>
  <c r="I21" i="5"/>
  <c r="K21" i="5" s="1"/>
  <c r="F21" i="5"/>
  <c r="E21" i="5"/>
  <c r="AP20" i="5"/>
  <c r="AR20" i="5" s="1"/>
  <c r="AO20" i="5"/>
  <c r="AQ20" i="5" s="1"/>
  <c r="AL20" i="5"/>
  <c r="AN20" i="5" s="1"/>
  <c r="AK20" i="5"/>
  <c r="AM20" i="5" s="1"/>
  <c r="AH20" i="5"/>
  <c r="AJ20" i="5" s="1"/>
  <c r="AG20" i="5"/>
  <c r="AI20" i="5" s="1"/>
  <c r="AD20" i="5"/>
  <c r="AF20" i="5" s="1"/>
  <c r="AC20" i="5"/>
  <c r="AE20" i="5" s="1"/>
  <c r="Z20" i="5"/>
  <c r="AB20" i="5" s="1"/>
  <c r="Y20" i="5"/>
  <c r="AA20" i="5" s="1"/>
  <c r="V20" i="5"/>
  <c r="X20" i="5" s="1"/>
  <c r="U20" i="5"/>
  <c r="W20" i="5" s="1"/>
  <c r="R20" i="5"/>
  <c r="T20" i="5" s="1"/>
  <c r="Q20" i="5"/>
  <c r="S20" i="5" s="1"/>
  <c r="N20" i="5"/>
  <c r="P20" i="5" s="1"/>
  <c r="M20" i="5"/>
  <c r="O20" i="5" s="1"/>
  <c r="J20" i="5"/>
  <c r="L20" i="5" s="1"/>
  <c r="I20" i="5"/>
  <c r="K20" i="5" s="1"/>
  <c r="F20" i="5"/>
  <c r="E20" i="5"/>
  <c r="AP18" i="5"/>
  <c r="AR18" i="5" s="1"/>
  <c r="AO18" i="5"/>
  <c r="AQ18" i="5" s="1"/>
  <c r="AL18" i="5"/>
  <c r="AN18" i="5" s="1"/>
  <c r="AK18" i="5"/>
  <c r="AM18" i="5" s="1"/>
  <c r="AH18" i="5"/>
  <c r="AJ18" i="5" s="1"/>
  <c r="AG18" i="5"/>
  <c r="AI18" i="5" s="1"/>
  <c r="AD18" i="5"/>
  <c r="AF18" i="5" s="1"/>
  <c r="AC18" i="5"/>
  <c r="AE18" i="5" s="1"/>
  <c r="Z18" i="5"/>
  <c r="AB18" i="5" s="1"/>
  <c r="Y18" i="5"/>
  <c r="AA18" i="5" s="1"/>
  <c r="V18" i="5"/>
  <c r="X18" i="5" s="1"/>
  <c r="U18" i="5"/>
  <c r="W18" i="5" s="1"/>
  <c r="R18" i="5"/>
  <c r="T18" i="5" s="1"/>
  <c r="Q18" i="5"/>
  <c r="S18" i="5" s="1"/>
  <c r="N18" i="5"/>
  <c r="P18" i="5" s="1"/>
  <c r="M18" i="5"/>
  <c r="O18" i="5" s="1"/>
  <c r="J18" i="5"/>
  <c r="L18" i="5" s="1"/>
  <c r="I18" i="5"/>
  <c r="K18" i="5" s="1"/>
  <c r="F18" i="5"/>
  <c r="E18" i="5"/>
  <c r="AP17" i="5"/>
  <c r="AR17" i="5" s="1"/>
  <c r="AO17" i="5"/>
  <c r="AQ17" i="5" s="1"/>
  <c r="AL17" i="5"/>
  <c r="AN17" i="5" s="1"/>
  <c r="AK17" i="5"/>
  <c r="AM17" i="5" s="1"/>
  <c r="AH17" i="5"/>
  <c r="AJ17" i="5" s="1"/>
  <c r="AG17" i="5"/>
  <c r="AI17" i="5" s="1"/>
  <c r="AD17" i="5"/>
  <c r="AF17" i="5" s="1"/>
  <c r="AC17" i="5"/>
  <c r="AE17" i="5" s="1"/>
  <c r="Z17" i="5"/>
  <c r="AB17" i="5" s="1"/>
  <c r="Y17" i="5"/>
  <c r="AA17" i="5" s="1"/>
  <c r="V17" i="5"/>
  <c r="X17" i="5" s="1"/>
  <c r="U17" i="5"/>
  <c r="W17" i="5" s="1"/>
  <c r="R17" i="5"/>
  <c r="T17" i="5" s="1"/>
  <c r="Q17" i="5"/>
  <c r="S17" i="5" s="1"/>
  <c r="N17" i="5"/>
  <c r="P17" i="5" s="1"/>
  <c r="M17" i="5"/>
  <c r="O17" i="5" s="1"/>
  <c r="J17" i="5"/>
  <c r="L17" i="5" s="1"/>
  <c r="I17" i="5"/>
  <c r="K17" i="5" s="1"/>
  <c r="F17" i="5"/>
  <c r="E17" i="5"/>
  <c r="AP16" i="5"/>
  <c r="AR16" i="5" s="1"/>
  <c r="AO16" i="5"/>
  <c r="AQ16" i="5" s="1"/>
  <c r="AL16" i="5"/>
  <c r="AN16" i="5" s="1"/>
  <c r="AK16" i="5"/>
  <c r="AM16" i="5" s="1"/>
  <c r="AH16" i="5"/>
  <c r="AJ16" i="5" s="1"/>
  <c r="AG16" i="5"/>
  <c r="AI16" i="5" s="1"/>
  <c r="AD16" i="5"/>
  <c r="AF16" i="5" s="1"/>
  <c r="AC16" i="5"/>
  <c r="AE16" i="5" s="1"/>
  <c r="Z16" i="5"/>
  <c r="AB16" i="5" s="1"/>
  <c r="Y16" i="5"/>
  <c r="AA16" i="5" s="1"/>
  <c r="V16" i="5"/>
  <c r="X16" i="5" s="1"/>
  <c r="U16" i="5"/>
  <c r="W16" i="5" s="1"/>
  <c r="R16" i="5"/>
  <c r="T16" i="5" s="1"/>
  <c r="Q16" i="5"/>
  <c r="S16" i="5" s="1"/>
  <c r="N16" i="5"/>
  <c r="P16" i="5" s="1"/>
  <c r="M16" i="5"/>
  <c r="O16" i="5" s="1"/>
  <c r="J16" i="5"/>
  <c r="L16" i="5" s="1"/>
  <c r="I16" i="5"/>
  <c r="K16" i="5" s="1"/>
  <c r="F16" i="5"/>
  <c r="E16" i="5"/>
  <c r="AP15" i="5"/>
  <c r="AR15" i="5" s="1"/>
  <c r="AO15" i="5"/>
  <c r="AQ15" i="5" s="1"/>
  <c r="AL15" i="5"/>
  <c r="AN15" i="5" s="1"/>
  <c r="AK15" i="5"/>
  <c r="AM15" i="5" s="1"/>
  <c r="AH15" i="5"/>
  <c r="AJ15" i="5" s="1"/>
  <c r="AG15" i="5"/>
  <c r="AI15" i="5" s="1"/>
  <c r="AD15" i="5"/>
  <c r="AF15" i="5" s="1"/>
  <c r="AC15" i="5"/>
  <c r="AE15" i="5" s="1"/>
  <c r="Z15" i="5"/>
  <c r="AB15" i="5" s="1"/>
  <c r="Y15" i="5"/>
  <c r="AA15" i="5" s="1"/>
  <c r="V15" i="5"/>
  <c r="X15" i="5" s="1"/>
  <c r="U15" i="5"/>
  <c r="W15" i="5" s="1"/>
  <c r="R15" i="5"/>
  <c r="T15" i="5" s="1"/>
  <c r="Q15" i="5"/>
  <c r="S15" i="5" s="1"/>
  <c r="N15" i="5"/>
  <c r="P15" i="5" s="1"/>
  <c r="M15" i="5"/>
  <c r="O15" i="5" s="1"/>
  <c r="J15" i="5"/>
  <c r="L15" i="5" s="1"/>
  <c r="I15" i="5"/>
  <c r="K15" i="5" s="1"/>
  <c r="F15" i="5"/>
  <c r="E15" i="5"/>
  <c r="AP14" i="5"/>
  <c r="AR14" i="5" s="1"/>
  <c r="AO14" i="5"/>
  <c r="AQ14" i="5" s="1"/>
  <c r="AL14" i="5"/>
  <c r="AN14" i="5" s="1"/>
  <c r="AK14" i="5"/>
  <c r="AM14" i="5" s="1"/>
  <c r="AH14" i="5"/>
  <c r="AJ14" i="5" s="1"/>
  <c r="AG14" i="5"/>
  <c r="AI14" i="5" s="1"/>
  <c r="AD14" i="5"/>
  <c r="AF14" i="5" s="1"/>
  <c r="AC14" i="5"/>
  <c r="AE14" i="5" s="1"/>
  <c r="Z14" i="5"/>
  <c r="AB14" i="5" s="1"/>
  <c r="Y14" i="5"/>
  <c r="AA14" i="5" s="1"/>
  <c r="V14" i="5"/>
  <c r="X14" i="5" s="1"/>
  <c r="U14" i="5"/>
  <c r="W14" i="5" s="1"/>
  <c r="R14" i="5"/>
  <c r="T14" i="5" s="1"/>
  <c r="Q14" i="5"/>
  <c r="S14" i="5" s="1"/>
  <c r="N14" i="5"/>
  <c r="P14" i="5" s="1"/>
  <c r="M14" i="5"/>
  <c r="O14" i="5" s="1"/>
  <c r="J14" i="5"/>
  <c r="L14" i="5" s="1"/>
  <c r="I14" i="5"/>
  <c r="K14" i="5" s="1"/>
  <c r="F14" i="5"/>
  <c r="E14" i="5"/>
  <c r="AP13" i="5"/>
  <c r="AR13" i="5" s="1"/>
  <c r="AO13" i="5"/>
  <c r="AQ13" i="5" s="1"/>
  <c r="AL13" i="5"/>
  <c r="AN13" i="5" s="1"/>
  <c r="AK13" i="5"/>
  <c r="AM13" i="5" s="1"/>
  <c r="AH13" i="5"/>
  <c r="AJ13" i="5" s="1"/>
  <c r="AG13" i="5"/>
  <c r="AI13" i="5" s="1"/>
  <c r="AD13" i="5"/>
  <c r="AF13" i="5" s="1"/>
  <c r="AC13" i="5"/>
  <c r="AE13" i="5" s="1"/>
  <c r="Z13" i="5"/>
  <c r="AB13" i="5" s="1"/>
  <c r="Y13" i="5"/>
  <c r="AA13" i="5" s="1"/>
  <c r="V13" i="5"/>
  <c r="X13" i="5" s="1"/>
  <c r="U13" i="5"/>
  <c r="W13" i="5" s="1"/>
  <c r="R13" i="5"/>
  <c r="T13" i="5" s="1"/>
  <c r="Q13" i="5"/>
  <c r="S13" i="5" s="1"/>
  <c r="N13" i="5"/>
  <c r="P13" i="5" s="1"/>
  <c r="M13" i="5"/>
  <c r="O13" i="5" s="1"/>
  <c r="J13" i="5"/>
  <c r="L13" i="5" s="1"/>
  <c r="I13" i="5"/>
  <c r="K13" i="5" s="1"/>
  <c r="F13" i="5"/>
  <c r="E13" i="5"/>
  <c r="AP12" i="5"/>
  <c r="AR12" i="5" s="1"/>
  <c r="AO12" i="5"/>
  <c r="AQ12" i="5" s="1"/>
  <c r="AL12" i="5"/>
  <c r="AN12" i="5" s="1"/>
  <c r="AK12" i="5"/>
  <c r="AM12" i="5" s="1"/>
  <c r="AH12" i="5"/>
  <c r="AJ12" i="5" s="1"/>
  <c r="AG12" i="5"/>
  <c r="AI12" i="5" s="1"/>
  <c r="AD12" i="5"/>
  <c r="AF12" i="5" s="1"/>
  <c r="AC12" i="5"/>
  <c r="AE12" i="5" s="1"/>
  <c r="Z12" i="5"/>
  <c r="AB12" i="5" s="1"/>
  <c r="Y12" i="5"/>
  <c r="AA12" i="5" s="1"/>
  <c r="V12" i="5"/>
  <c r="X12" i="5" s="1"/>
  <c r="U12" i="5"/>
  <c r="W12" i="5" s="1"/>
  <c r="R12" i="5"/>
  <c r="T12" i="5" s="1"/>
  <c r="Q12" i="5"/>
  <c r="S12" i="5" s="1"/>
  <c r="N12" i="5"/>
  <c r="P12" i="5" s="1"/>
  <c r="M12" i="5"/>
  <c r="O12" i="5" s="1"/>
  <c r="J12" i="5"/>
  <c r="L12" i="5" s="1"/>
  <c r="I12" i="5"/>
  <c r="K12" i="5" s="1"/>
  <c r="F12" i="5"/>
  <c r="E12" i="5"/>
  <c r="AP11" i="5"/>
  <c r="AR11" i="5" s="1"/>
  <c r="AO11" i="5"/>
  <c r="AQ11" i="5" s="1"/>
  <c r="AL11" i="5"/>
  <c r="AN11" i="5" s="1"/>
  <c r="AK11" i="5"/>
  <c r="AM11" i="5" s="1"/>
  <c r="AH11" i="5"/>
  <c r="AJ11" i="5" s="1"/>
  <c r="AG11" i="5"/>
  <c r="AI11" i="5" s="1"/>
  <c r="AD11" i="5"/>
  <c r="AF11" i="5" s="1"/>
  <c r="AC11" i="5"/>
  <c r="AE11" i="5" s="1"/>
  <c r="Z11" i="5"/>
  <c r="AB11" i="5" s="1"/>
  <c r="Y11" i="5"/>
  <c r="AA11" i="5" s="1"/>
  <c r="V11" i="5"/>
  <c r="X11" i="5" s="1"/>
  <c r="U11" i="5"/>
  <c r="W11" i="5" s="1"/>
  <c r="R11" i="5"/>
  <c r="T11" i="5" s="1"/>
  <c r="Q11" i="5"/>
  <c r="S11" i="5" s="1"/>
  <c r="N11" i="5"/>
  <c r="P11" i="5" s="1"/>
  <c r="M11" i="5"/>
  <c r="O11" i="5" s="1"/>
  <c r="J11" i="5"/>
  <c r="L11" i="5" s="1"/>
  <c r="I11" i="5"/>
  <c r="K11" i="5" s="1"/>
  <c r="F11" i="5"/>
  <c r="E11" i="5"/>
  <c r="AP10" i="5"/>
  <c r="AR10" i="5" s="1"/>
  <c r="AO10" i="5"/>
  <c r="AQ10" i="5" s="1"/>
  <c r="AL10" i="5"/>
  <c r="AN10" i="5" s="1"/>
  <c r="AK10" i="5"/>
  <c r="AM10" i="5" s="1"/>
  <c r="AH10" i="5"/>
  <c r="AJ10" i="5" s="1"/>
  <c r="AG10" i="5"/>
  <c r="AI10" i="5" s="1"/>
  <c r="AD10" i="5"/>
  <c r="AF10" i="5" s="1"/>
  <c r="AC10" i="5"/>
  <c r="AE10" i="5" s="1"/>
  <c r="Z10" i="5"/>
  <c r="AB10" i="5" s="1"/>
  <c r="Y10" i="5"/>
  <c r="AA10" i="5" s="1"/>
  <c r="V10" i="5"/>
  <c r="X10" i="5" s="1"/>
  <c r="U10" i="5"/>
  <c r="W10" i="5" s="1"/>
  <c r="R10" i="5"/>
  <c r="T10" i="5" s="1"/>
  <c r="Q10" i="5"/>
  <c r="S10" i="5" s="1"/>
  <c r="N10" i="5"/>
  <c r="P10" i="5" s="1"/>
  <c r="M10" i="5"/>
  <c r="O10" i="5" s="1"/>
  <c r="J10" i="5"/>
  <c r="L10" i="5" s="1"/>
  <c r="I10" i="5"/>
  <c r="K10" i="5" s="1"/>
  <c r="F10" i="5"/>
  <c r="E10" i="5"/>
  <c r="AP9" i="5"/>
  <c r="AR9" i="5" s="1"/>
  <c r="AO9" i="5"/>
  <c r="AQ9" i="5" s="1"/>
  <c r="AL9" i="5"/>
  <c r="AN9" i="5" s="1"/>
  <c r="AK9" i="5"/>
  <c r="AM9" i="5" s="1"/>
  <c r="AH9" i="5"/>
  <c r="AJ9" i="5" s="1"/>
  <c r="AG9" i="5"/>
  <c r="AI9" i="5" s="1"/>
  <c r="AD9" i="5"/>
  <c r="AF9" i="5" s="1"/>
  <c r="AC9" i="5"/>
  <c r="AE9" i="5" s="1"/>
  <c r="Z9" i="5"/>
  <c r="AB9" i="5" s="1"/>
  <c r="Y9" i="5"/>
  <c r="AA9" i="5" s="1"/>
  <c r="V9" i="5"/>
  <c r="X9" i="5" s="1"/>
  <c r="U9" i="5"/>
  <c r="W9" i="5" s="1"/>
  <c r="R9" i="5"/>
  <c r="T9" i="5" s="1"/>
  <c r="Q9" i="5"/>
  <c r="S9" i="5" s="1"/>
  <c r="N9" i="5"/>
  <c r="P9" i="5" s="1"/>
  <c r="M9" i="5"/>
  <c r="O9" i="5" s="1"/>
  <c r="J9" i="5"/>
  <c r="L9" i="5" s="1"/>
  <c r="I9" i="5"/>
  <c r="K9" i="5" s="1"/>
  <c r="F9" i="5"/>
  <c r="E9" i="5"/>
  <c r="AP8" i="5"/>
  <c r="AR8" i="5" s="1"/>
  <c r="AO8" i="5"/>
  <c r="AQ8" i="5" s="1"/>
  <c r="AL8" i="5"/>
  <c r="AN8" i="5" s="1"/>
  <c r="AK8" i="5"/>
  <c r="AM8" i="5" s="1"/>
  <c r="AH8" i="5"/>
  <c r="AJ8" i="5" s="1"/>
  <c r="AG8" i="5"/>
  <c r="AI8" i="5" s="1"/>
  <c r="AD8" i="5"/>
  <c r="AF8" i="5" s="1"/>
  <c r="AC8" i="5"/>
  <c r="AE8" i="5" s="1"/>
  <c r="Z8" i="5"/>
  <c r="AB8" i="5" s="1"/>
  <c r="Y8" i="5"/>
  <c r="AA8" i="5" s="1"/>
  <c r="V8" i="5"/>
  <c r="X8" i="5" s="1"/>
  <c r="U8" i="5"/>
  <c r="W8" i="5" s="1"/>
  <c r="R8" i="5"/>
  <c r="T8" i="5" s="1"/>
  <c r="Q8" i="5"/>
  <c r="S8" i="5" s="1"/>
  <c r="N8" i="5"/>
  <c r="P8" i="5" s="1"/>
  <c r="M8" i="5"/>
  <c r="O8" i="5" s="1"/>
  <c r="J8" i="5"/>
  <c r="L8" i="5" s="1"/>
  <c r="I8" i="5"/>
  <c r="K8" i="5" s="1"/>
  <c r="F8" i="5"/>
  <c r="E8" i="5"/>
  <c r="C8" i="5"/>
  <c r="D8" i="5" s="1"/>
  <c r="AP7" i="5"/>
  <c r="AR7" i="5" s="1"/>
  <c r="AO7" i="5"/>
  <c r="AQ7" i="5" s="1"/>
  <c r="AL7" i="5"/>
  <c r="AN7" i="5" s="1"/>
  <c r="AK7" i="5"/>
  <c r="AM7" i="5" s="1"/>
  <c r="AH7" i="5"/>
  <c r="AJ7" i="5" s="1"/>
  <c r="AG7" i="5"/>
  <c r="AI7" i="5" s="1"/>
  <c r="AD7" i="5"/>
  <c r="AF7" i="5" s="1"/>
  <c r="AC7" i="5"/>
  <c r="AE7" i="5" s="1"/>
  <c r="Z7" i="5"/>
  <c r="AB7" i="5" s="1"/>
  <c r="Y7" i="5"/>
  <c r="AA7" i="5" s="1"/>
  <c r="V7" i="5"/>
  <c r="X7" i="5" s="1"/>
  <c r="U7" i="5"/>
  <c r="W7" i="5" s="1"/>
  <c r="R7" i="5"/>
  <c r="T7" i="5" s="1"/>
  <c r="Q7" i="5"/>
  <c r="S7" i="5" s="1"/>
  <c r="N7" i="5"/>
  <c r="P7" i="5" s="1"/>
  <c r="M7" i="5"/>
  <c r="O7" i="5" s="1"/>
  <c r="J7" i="5"/>
  <c r="L7" i="5" s="1"/>
  <c r="I7" i="5"/>
  <c r="K7" i="5" s="1"/>
  <c r="F7" i="5"/>
  <c r="E7" i="5"/>
  <c r="C7" i="5"/>
  <c r="D7" i="5" s="1"/>
  <c r="AP6" i="5"/>
  <c r="AR6" i="5" s="1"/>
  <c r="AO6" i="5"/>
  <c r="AQ6" i="5" s="1"/>
  <c r="AL6" i="5"/>
  <c r="AN6" i="5" s="1"/>
  <c r="AK6" i="5"/>
  <c r="AM6" i="5" s="1"/>
  <c r="AH6" i="5"/>
  <c r="AJ6" i="5" s="1"/>
  <c r="AG6" i="5"/>
  <c r="AI6" i="5" s="1"/>
  <c r="AD6" i="5"/>
  <c r="AF6" i="5" s="1"/>
  <c r="AC6" i="5"/>
  <c r="AE6" i="5" s="1"/>
  <c r="Z6" i="5"/>
  <c r="AB6" i="5" s="1"/>
  <c r="Y6" i="5"/>
  <c r="AA6" i="5" s="1"/>
  <c r="V6" i="5"/>
  <c r="X6" i="5" s="1"/>
  <c r="U6" i="5"/>
  <c r="W6" i="5" s="1"/>
  <c r="R6" i="5"/>
  <c r="T6" i="5" s="1"/>
  <c r="Q6" i="5"/>
  <c r="S6" i="5" s="1"/>
  <c r="N6" i="5"/>
  <c r="P6" i="5" s="1"/>
  <c r="M6" i="5"/>
  <c r="O6" i="5" s="1"/>
  <c r="J6" i="5"/>
  <c r="L6" i="5" s="1"/>
  <c r="I6" i="5"/>
  <c r="K6" i="5" s="1"/>
  <c r="F6" i="5"/>
  <c r="E6" i="5"/>
  <c r="AP5" i="5"/>
  <c r="AR5" i="5" s="1"/>
  <c r="AO5" i="5"/>
  <c r="AQ5" i="5" s="1"/>
  <c r="AL5" i="5"/>
  <c r="AN5" i="5" s="1"/>
  <c r="AK5" i="5"/>
  <c r="AM5" i="5" s="1"/>
  <c r="AH5" i="5"/>
  <c r="AJ5" i="5" s="1"/>
  <c r="AG5" i="5"/>
  <c r="AI5" i="5" s="1"/>
  <c r="AD5" i="5"/>
  <c r="AF5" i="5" s="1"/>
  <c r="AC5" i="5"/>
  <c r="AE5" i="5" s="1"/>
  <c r="Z5" i="5"/>
  <c r="AB5" i="5" s="1"/>
  <c r="Y5" i="5"/>
  <c r="AA5" i="5" s="1"/>
  <c r="V5" i="5"/>
  <c r="X5" i="5" s="1"/>
  <c r="U5" i="5"/>
  <c r="W5" i="5" s="1"/>
  <c r="R5" i="5"/>
  <c r="T5" i="5" s="1"/>
  <c r="Q5" i="5"/>
  <c r="S5" i="5" s="1"/>
  <c r="N5" i="5"/>
  <c r="P5" i="5" s="1"/>
  <c r="M5" i="5"/>
  <c r="O5" i="5" s="1"/>
  <c r="J5" i="5"/>
  <c r="L5" i="5" s="1"/>
  <c r="I5" i="5"/>
  <c r="K5" i="5" s="1"/>
  <c r="F5" i="5"/>
  <c r="E5" i="5"/>
  <c r="AP4" i="5"/>
  <c r="AR4" i="5" s="1"/>
  <c r="AO4" i="5"/>
  <c r="AQ4" i="5" s="1"/>
  <c r="AL4" i="5"/>
  <c r="AN4" i="5" s="1"/>
  <c r="AK4" i="5"/>
  <c r="AM4" i="5" s="1"/>
  <c r="AH4" i="5"/>
  <c r="AJ4" i="5" s="1"/>
  <c r="AG4" i="5"/>
  <c r="AI4" i="5" s="1"/>
  <c r="AD4" i="5"/>
  <c r="AF4" i="5" s="1"/>
  <c r="AC4" i="5"/>
  <c r="AE4" i="5" s="1"/>
  <c r="Z4" i="5"/>
  <c r="AB4" i="5" s="1"/>
  <c r="Y4" i="5"/>
  <c r="AA4" i="5" s="1"/>
  <c r="V4" i="5"/>
  <c r="X4" i="5" s="1"/>
  <c r="U4" i="5"/>
  <c r="W4" i="5" s="1"/>
  <c r="R4" i="5"/>
  <c r="T4" i="5" s="1"/>
  <c r="Q4" i="5"/>
  <c r="S4" i="5" s="1"/>
  <c r="N4" i="5"/>
  <c r="P4" i="5" s="1"/>
  <c r="M4" i="5"/>
  <c r="O4" i="5" s="1"/>
  <c r="J4" i="5"/>
  <c r="L4" i="5" s="1"/>
  <c r="I4" i="5"/>
  <c r="K4" i="5" s="1"/>
  <c r="F4" i="5"/>
  <c r="E4" i="5"/>
  <c r="AP3" i="5"/>
  <c r="AR3" i="5" s="1"/>
  <c r="AO3" i="5"/>
  <c r="AL3" i="5"/>
  <c r="AK3" i="5"/>
  <c r="AH3" i="5"/>
  <c r="AG3" i="5"/>
  <c r="AD3" i="5"/>
  <c r="AC3" i="5"/>
  <c r="Z3" i="5"/>
  <c r="Y3" i="5"/>
  <c r="V3" i="5"/>
  <c r="U3" i="5"/>
  <c r="R3" i="5"/>
  <c r="Q3" i="5"/>
  <c r="N3" i="5"/>
  <c r="M3" i="5"/>
  <c r="J3" i="5"/>
  <c r="I3" i="5"/>
  <c r="F3" i="5"/>
  <c r="E3" i="5"/>
  <c r="B65" i="4"/>
  <c r="B64" i="4"/>
  <c r="B63" i="4"/>
  <c r="B62" i="4"/>
  <c r="B66" i="4" s="1"/>
  <c r="B59" i="4"/>
  <c r="B58" i="4"/>
  <c r="B57" i="4"/>
  <c r="B56" i="4"/>
  <c r="B55" i="4"/>
  <c r="C59" i="4" s="1"/>
  <c r="B50" i="4"/>
  <c r="AP49" i="4"/>
  <c r="AR49" i="4" s="1"/>
  <c r="AO49" i="4"/>
  <c r="AQ49" i="4" s="1"/>
  <c r="AL49" i="4"/>
  <c r="AN49" i="4" s="1"/>
  <c r="AK49" i="4"/>
  <c r="AM49" i="4" s="1"/>
  <c r="AH49" i="4"/>
  <c r="AJ49" i="4" s="1"/>
  <c r="AG49" i="4"/>
  <c r="AI49" i="4" s="1"/>
  <c r="AD49" i="4"/>
  <c r="AF49" i="4" s="1"/>
  <c r="AC49" i="4"/>
  <c r="AE49" i="4" s="1"/>
  <c r="Z49" i="4"/>
  <c r="AB49" i="4" s="1"/>
  <c r="Y49" i="4"/>
  <c r="AA49" i="4" s="1"/>
  <c r="V49" i="4"/>
  <c r="X49" i="4" s="1"/>
  <c r="U49" i="4"/>
  <c r="W49" i="4" s="1"/>
  <c r="R49" i="4"/>
  <c r="T49" i="4" s="1"/>
  <c r="Q49" i="4"/>
  <c r="S49" i="4" s="1"/>
  <c r="N49" i="4"/>
  <c r="P49" i="4" s="1"/>
  <c r="M49" i="4"/>
  <c r="O49" i="4" s="1"/>
  <c r="J49" i="4"/>
  <c r="L49" i="4" s="1"/>
  <c r="I49" i="4"/>
  <c r="K49" i="4" s="1"/>
  <c r="F49" i="4"/>
  <c r="E49" i="4"/>
  <c r="AP48" i="4"/>
  <c r="AR48" i="4" s="1"/>
  <c r="AO48" i="4"/>
  <c r="AQ48" i="4" s="1"/>
  <c r="AL48" i="4"/>
  <c r="AN48" i="4" s="1"/>
  <c r="AK48" i="4"/>
  <c r="AM48" i="4" s="1"/>
  <c r="AH48" i="4"/>
  <c r="AJ48" i="4" s="1"/>
  <c r="AG48" i="4"/>
  <c r="AI48" i="4" s="1"/>
  <c r="AD48" i="4"/>
  <c r="AF48" i="4" s="1"/>
  <c r="AC48" i="4"/>
  <c r="AE48" i="4" s="1"/>
  <c r="Z48" i="4"/>
  <c r="AB48" i="4" s="1"/>
  <c r="Y48" i="4"/>
  <c r="AA48" i="4" s="1"/>
  <c r="V48" i="4"/>
  <c r="X48" i="4" s="1"/>
  <c r="U48" i="4"/>
  <c r="W48" i="4" s="1"/>
  <c r="R48" i="4"/>
  <c r="T48" i="4" s="1"/>
  <c r="Q48" i="4"/>
  <c r="S48" i="4" s="1"/>
  <c r="N48" i="4"/>
  <c r="P48" i="4" s="1"/>
  <c r="M48" i="4"/>
  <c r="O48" i="4" s="1"/>
  <c r="J48" i="4"/>
  <c r="L48" i="4" s="1"/>
  <c r="I48" i="4"/>
  <c r="K48" i="4" s="1"/>
  <c r="F48" i="4"/>
  <c r="E48" i="4"/>
  <c r="AP47" i="4"/>
  <c r="AR47" i="4" s="1"/>
  <c r="AO47" i="4"/>
  <c r="AQ47" i="4" s="1"/>
  <c r="AL47" i="4"/>
  <c r="AN47" i="4" s="1"/>
  <c r="AK47" i="4"/>
  <c r="AM47" i="4" s="1"/>
  <c r="AH47" i="4"/>
  <c r="AJ47" i="4" s="1"/>
  <c r="AG47" i="4"/>
  <c r="AI47" i="4" s="1"/>
  <c r="AD47" i="4"/>
  <c r="AF47" i="4" s="1"/>
  <c r="AC47" i="4"/>
  <c r="AE47" i="4" s="1"/>
  <c r="Z47" i="4"/>
  <c r="AB47" i="4" s="1"/>
  <c r="Y47" i="4"/>
  <c r="AA47" i="4" s="1"/>
  <c r="V47" i="4"/>
  <c r="X47" i="4" s="1"/>
  <c r="U47" i="4"/>
  <c r="W47" i="4" s="1"/>
  <c r="R47" i="4"/>
  <c r="T47" i="4" s="1"/>
  <c r="Q47" i="4"/>
  <c r="S47" i="4" s="1"/>
  <c r="N47" i="4"/>
  <c r="P47" i="4" s="1"/>
  <c r="M47" i="4"/>
  <c r="O47" i="4" s="1"/>
  <c r="J47" i="4"/>
  <c r="L47" i="4" s="1"/>
  <c r="I47" i="4"/>
  <c r="K47" i="4" s="1"/>
  <c r="F47" i="4"/>
  <c r="E47" i="4"/>
  <c r="AP46" i="4"/>
  <c r="AR46" i="4" s="1"/>
  <c r="AO46" i="4"/>
  <c r="AQ46" i="4" s="1"/>
  <c r="AL46" i="4"/>
  <c r="AN46" i="4" s="1"/>
  <c r="AK46" i="4"/>
  <c r="AM46" i="4" s="1"/>
  <c r="AH46" i="4"/>
  <c r="AJ46" i="4" s="1"/>
  <c r="AG46" i="4"/>
  <c r="AI46" i="4" s="1"/>
  <c r="AD46" i="4"/>
  <c r="AF46" i="4" s="1"/>
  <c r="AC46" i="4"/>
  <c r="AE46" i="4" s="1"/>
  <c r="Z46" i="4"/>
  <c r="AB46" i="4" s="1"/>
  <c r="Y46" i="4"/>
  <c r="AA46" i="4" s="1"/>
  <c r="V46" i="4"/>
  <c r="X46" i="4" s="1"/>
  <c r="U46" i="4"/>
  <c r="W46" i="4" s="1"/>
  <c r="R46" i="4"/>
  <c r="T46" i="4" s="1"/>
  <c r="Q46" i="4"/>
  <c r="S46" i="4" s="1"/>
  <c r="N46" i="4"/>
  <c r="P46" i="4" s="1"/>
  <c r="M46" i="4"/>
  <c r="O46" i="4" s="1"/>
  <c r="J46" i="4"/>
  <c r="L46" i="4" s="1"/>
  <c r="I46" i="4"/>
  <c r="K46" i="4" s="1"/>
  <c r="F46" i="4"/>
  <c r="E46" i="4"/>
  <c r="AP45" i="4"/>
  <c r="AR45" i="4" s="1"/>
  <c r="AO45" i="4"/>
  <c r="AQ45" i="4" s="1"/>
  <c r="AL45" i="4"/>
  <c r="AN45" i="4" s="1"/>
  <c r="AK45" i="4"/>
  <c r="AM45" i="4" s="1"/>
  <c r="AH45" i="4"/>
  <c r="AJ45" i="4" s="1"/>
  <c r="AG45" i="4"/>
  <c r="AI45" i="4" s="1"/>
  <c r="AD45" i="4"/>
  <c r="AF45" i="4" s="1"/>
  <c r="AC45" i="4"/>
  <c r="AE45" i="4" s="1"/>
  <c r="Z45" i="4"/>
  <c r="AB45" i="4" s="1"/>
  <c r="Y45" i="4"/>
  <c r="AA45" i="4" s="1"/>
  <c r="V45" i="4"/>
  <c r="X45" i="4" s="1"/>
  <c r="U45" i="4"/>
  <c r="W45" i="4" s="1"/>
  <c r="R45" i="4"/>
  <c r="T45" i="4" s="1"/>
  <c r="Q45" i="4"/>
  <c r="S45" i="4" s="1"/>
  <c r="N45" i="4"/>
  <c r="P45" i="4" s="1"/>
  <c r="M45" i="4"/>
  <c r="O45" i="4" s="1"/>
  <c r="J45" i="4"/>
  <c r="L45" i="4" s="1"/>
  <c r="I45" i="4"/>
  <c r="K45" i="4" s="1"/>
  <c r="F45" i="4"/>
  <c r="E45" i="4"/>
  <c r="AP44" i="4"/>
  <c r="AR44" i="4" s="1"/>
  <c r="AO44" i="4"/>
  <c r="AQ44" i="4" s="1"/>
  <c r="AL44" i="4"/>
  <c r="AN44" i="4" s="1"/>
  <c r="AK44" i="4"/>
  <c r="AM44" i="4" s="1"/>
  <c r="AH44" i="4"/>
  <c r="AJ44" i="4" s="1"/>
  <c r="AG44" i="4"/>
  <c r="AI44" i="4" s="1"/>
  <c r="AD44" i="4"/>
  <c r="AF44" i="4" s="1"/>
  <c r="AC44" i="4"/>
  <c r="AE44" i="4" s="1"/>
  <c r="Z44" i="4"/>
  <c r="AB44" i="4" s="1"/>
  <c r="Y44" i="4"/>
  <c r="AA44" i="4" s="1"/>
  <c r="V44" i="4"/>
  <c r="X44" i="4" s="1"/>
  <c r="U44" i="4"/>
  <c r="W44" i="4" s="1"/>
  <c r="R44" i="4"/>
  <c r="T44" i="4" s="1"/>
  <c r="Q44" i="4"/>
  <c r="S44" i="4" s="1"/>
  <c r="N44" i="4"/>
  <c r="P44" i="4" s="1"/>
  <c r="M44" i="4"/>
  <c r="O44" i="4" s="1"/>
  <c r="J44" i="4"/>
  <c r="L44" i="4" s="1"/>
  <c r="I44" i="4"/>
  <c r="K44" i="4" s="1"/>
  <c r="F44" i="4"/>
  <c r="E44" i="4"/>
  <c r="AP43" i="4"/>
  <c r="AR43" i="4" s="1"/>
  <c r="AO43" i="4"/>
  <c r="AQ43" i="4" s="1"/>
  <c r="AL43" i="4"/>
  <c r="AN43" i="4" s="1"/>
  <c r="AK43" i="4"/>
  <c r="AM43" i="4" s="1"/>
  <c r="AH43" i="4"/>
  <c r="AJ43" i="4" s="1"/>
  <c r="AG43" i="4"/>
  <c r="AI43" i="4" s="1"/>
  <c r="AD43" i="4"/>
  <c r="AF43" i="4" s="1"/>
  <c r="AC43" i="4"/>
  <c r="AE43" i="4" s="1"/>
  <c r="Z43" i="4"/>
  <c r="AB43" i="4" s="1"/>
  <c r="Y43" i="4"/>
  <c r="AA43" i="4" s="1"/>
  <c r="V43" i="4"/>
  <c r="X43" i="4" s="1"/>
  <c r="U43" i="4"/>
  <c r="W43" i="4" s="1"/>
  <c r="R43" i="4"/>
  <c r="T43" i="4" s="1"/>
  <c r="Q43" i="4"/>
  <c r="S43" i="4" s="1"/>
  <c r="N43" i="4"/>
  <c r="P43" i="4" s="1"/>
  <c r="M43" i="4"/>
  <c r="O43" i="4" s="1"/>
  <c r="J43" i="4"/>
  <c r="L43" i="4" s="1"/>
  <c r="I43" i="4"/>
  <c r="K43" i="4" s="1"/>
  <c r="F43" i="4"/>
  <c r="E43" i="4"/>
  <c r="AP42" i="4"/>
  <c r="AR42" i="4" s="1"/>
  <c r="AO42" i="4"/>
  <c r="AQ42" i="4" s="1"/>
  <c r="AL42" i="4"/>
  <c r="AN42" i="4" s="1"/>
  <c r="AK42" i="4"/>
  <c r="AM42" i="4" s="1"/>
  <c r="AH42" i="4"/>
  <c r="AJ42" i="4" s="1"/>
  <c r="AG42" i="4"/>
  <c r="AI42" i="4" s="1"/>
  <c r="AD42" i="4"/>
  <c r="AF42" i="4" s="1"/>
  <c r="AC42" i="4"/>
  <c r="AE42" i="4" s="1"/>
  <c r="Z42" i="4"/>
  <c r="AB42" i="4" s="1"/>
  <c r="Y42" i="4"/>
  <c r="AA42" i="4" s="1"/>
  <c r="V42" i="4"/>
  <c r="X42" i="4" s="1"/>
  <c r="U42" i="4"/>
  <c r="W42" i="4" s="1"/>
  <c r="R42" i="4"/>
  <c r="T42" i="4" s="1"/>
  <c r="Q42" i="4"/>
  <c r="S42" i="4" s="1"/>
  <c r="N42" i="4"/>
  <c r="P42" i="4" s="1"/>
  <c r="M42" i="4"/>
  <c r="O42" i="4" s="1"/>
  <c r="J42" i="4"/>
  <c r="L42" i="4" s="1"/>
  <c r="I42" i="4"/>
  <c r="K42" i="4" s="1"/>
  <c r="F42" i="4"/>
  <c r="E42" i="4"/>
  <c r="AP41" i="4"/>
  <c r="AR41" i="4" s="1"/>
  <c r="AO41" i="4"/>
  <c r="AQ41" i="4" s="1"/>
  <c r="AL41" i="4"/>
  <c r="AN41" i="4" s="1"/>
  <c r="AK41" i="4"/>
  <c r="AM41" i="4" s="1"/>
  <c r="AH41" i="4"/>
  <c r="AJ41" i="4" s="1"/>
  <c r="AG41" i="4"/>
  <c r="AI41" i="4" s="1"/>
  <c r="AD41" i="4"/>
  <c r="AF41" i="4" s="1"/>
  <c r="AC41" i="4"/>
  <c r="AE41" i="4" s="1"/>
  <c r="Z41" i="4"/>
  <c r="AB41" i="4" s="1"/>
  <c r="Y41" i="4"/>
  <c r="AA41" i="4" s="1"/>
  <c r="V41" i="4"/>
  <c r="X41" i="4" s="1"/>
  <c r="U41" i="4"/>
  <c r="W41" i="4" s="1"/>
  <c r="R41" i="4"/>
  <c r="T41" i="4" s="1"/>
  <c r="Q41" i="4"/>
  <c r="S41" i="4" s="1"/>
  <c r="N41" i="4"/>
  <c r="P41" i="4" s="1"/>
  <c r="M41" i="4"/>
  <c r="O41" i="4" s="1"/>
  <c r="J41" i="4"/>
  <c r="L41" i="4" s="1"/>
  <c r="I41" i="4"/>
  <c r="K41" i="4" s="1"/>
  <c r="F41" i="4"/>
  <c r="E41" i="4"/>
  <c r="AP40" i="4"/>
  <c r="AR40" i="4" s="1"/>
  <c r="AO40" i="4"/>
  <c r="AQ40" i="4" s="1"/>
  <c r="AL40" i="4"/>
  <c r="AN40" i="4" s="1"/>
  <c r="AK40" i="4"/>
  <c r="AM40" i="4" s="1"/>
  <c r="AH40" i="4"/>
  <c r="AJ40" i="4" s="1"/>
  <c r="AG40" i="4"/>
  <c r="AI40" i="4" s="1"/>
  <c r="AD40" i="4"/>
  <c r="AF40" i="4" s="1"/>
  <c r="AC40" i="4"/>
  <c r="AE40" i="4" s="1"/>
  <c r="Z40" i="4"/>
  <c r="AB40" i="4" s="1"/>
  <c r="Y40" i="4"/>
  <c r="AA40" i="4" s="1"/>
  <c r="V40" i="4"/>
  <c r="X40" i="4" s="1"/>
  <c r="U40" i="4"/>
  <c r="W40" i="4" s="1"/>
  <c r="R40" i="4"/>
  <c r="T40" i="4" s="1"/>
  <c r="Q40" i="4"/>
  <c r="S40" i="4" s="1"/>
  <c r="N40" i="4"/>
  <c r="P40" i="4" s="1"/>
  <c r="M40" i="4"/>
  <c r="O40" i="4" s="1"/>
  <c r="J40" i="4"/>
  <c r="L40" i="4" s="1"/>
  <c r="I40" i="4"/>
  <c r="K40" i="4" s="1"/>
  <c r="F40" i="4"/>
  <c r="E40" i="4"/>
  <c r="AP39" i="4"/>
  <c r="AR39" i="4" s="1"/>
  <c r="AO39" i="4"/>
  <c r="AQ39" i="4" s="1"/>
  <c r="AL39" i="4"/>
  <c r="AN39" i="4" s="1"/>
  <c r="AK39" i="4"/>
  <c r="AM39" i="4" s="1"/>
  <c r="AH39" i="4"/>
  <c r="AJ39" i="4" s="1"/>
  <c r="AG39" i="4"/>
  <c r="AI39" i="4" s="1"/>
  <c r="AD39" i="4"/>
  <c r="AF39" i="4" s="1"/>
  <c r="AC39" i="4"/>
  <c r="AE39" i="4" s="1"/>
  <c r="Z39" i="4"/>
  <c r="AB39" i="4" s="1"/>
  <c r="Y39" i="4"/>
  <c r="AA39" i="4" s="1"/>
  <c r="V39" i="4"/>
  <c r="X39" i="4" s="1"/>
  <c r="U39" i="4"/>
  <c r="W39" i="4" s="1"/>
  <c r="R39" i="4"/>
  <c r="T39" i="4" s="1"/>
  <c r="Q39" i="4"/>
  <c r="S39" i="4" s="1"/>
  <c r="N39" i="4"/>
  <c r="P39" i="4" s="1"/>
  <c r="M39" i="4"/>
  <c r="O39" i="4" s="1"/>
  <c r="J39" i="4"/>
  <c r="L39" i="4" s="1"/>
  <c r="I39" i="4"/>
  <c r="K39" i="4" s="1"/>
  <c r="F39" i="4"/>
  <c r="E39" i="4"/>
  <c r="AP38" i="4"/>
  <c r="AR38" i="4" s="1"/>
  <c r="AO38" i="4"/>
  <c r="AQ38" i="4" s="1"/>
  <c r="AL38" i="4"/>
  <c r="AN38" i="4" s="1"/>
  <c r="AK38" i="4"/>
  <c r="AM38" i="4" s="1"/>
  <c r="AH38" i="4"/>
  <c r="AJ38" i="4" s="1"/>
  <c r="AG38" i="4"/>
  <c r="AI38" i="4" s="1"/>
  <c r="AD38" i="4"/>
  <c r="AF38" i="4" s="1"/>
  <c r="AC38" i="4"/>
  <c r="AE38" i="4" s="1"/>
  <c r="Z38" i="4"/>
  <c r="AB38" i="4" s="1"/>
  <c r="Y38" i="4"/>
  <c r="AA38" i="4" s="1"/>
  <c r="V38" i="4"/>
  <c r="X38" i="4" s="1"/>
  <c r="U38" i="4"/>
  <c r="W38" i="4" s="1"/>
  <c r="R38" i="4"/>
  <c r="T38" i="4" s="1"/>
  <c r="Q38" i="4"/>
  <c r="S38" i="4" s="1"/>
  <c r="N38" i="4"/>
  <c r="P38" i="4" s="1"/>
  <c r="M38" i="4"/>
  <c r="O38" i="4" s="1"/>
  <c r="J38" i="4"/>
  <c r="L38" i="4" s="1"/>
  <c r="I38" i="4"/>
  <c r="K38" i="4" s="1"/>
  <c r="F38" i="4"/>
  <c r="E38" i="4"/>
  <c r="AP37" i="4"/>
  <c r="AR37" i="4" s="1"/>
  <c r="AO37" i="4"/>
  <c r="AQ37" i="4" s="1"/>
  <c r="AL37" i="4"/>
  <c r="AN37" i="4" s="1"/>
  <c r="AK37" i="4"/>
  <c r="AM37" i="4" s="1"/>
  <c r="AH37" i="4"/>
  <c r="AJ37" i="4" s="1"/>
  <c r="AG37" i="4"/>
  <c r="AI37" i="4" s="1"/>
  <c r="AD37" i="4"/>
  <c r="AF37" i="4" s="1"/>
  <c r="AC37" i="4"/>
  <c r="AE37" i="4" s="1"/>
  <c r="Z37" i="4"/>
  <c r="AB37" i="4" s="1"/>
  <c r="Y37" i="4"/>
  <c r="AA37" i="4" s="1"/>
  <c r="V37" i="4"/>
  <c r="X37" i="4" s="1"/>
  <c r="U37" i="4"/>
  <c r="W37" i="4" s="1"/>
  <c r="R37" i="4"/>
  <c r="T37" i="4" s="1"/>
  <c r="Q37" i="4"/>
  <c r="S37" i="4" s="1"/>
  <c r="N37" i="4"/>
  <c r="P37" i="4" s="1"/>
  <c r="M37" i="4"/>
  <c r="O37" i="4" s="1"/>
  <c r="J37" i="4"/>
  <c r="L37" i="4" s="1"/>
  <c r="I37" i="4"/>
  <c r="K37" i="4" s="1"/>
  <c r="F37" i="4"/>
  <c r="E37" i="4"/>
  <c r="AP36" i="4"/>
  <c r="AR36" i="4" s="1"/>
  <c r="AO36" i="4"/>
  <c r="AQ36" i="4" s="1"/>
  <c r="AL36" i="4"/>
  <c r="AN36" i="4" s="1"/>
  <c r="AK36" i="4"/>
  <c r="AM36" i="4" s="1"/>
  <c r="AH36" i="4"/>
  <c r="AJ36" i="4" s="1"/>
  <c r="AG36" i="4"/>
  <c r="AI36" i="4" s="1"/>
  <c r="AD36" i="4"/>
  <c r="AF36" i="4" s="1"/>
  <c r="AC36" i="4"/>
  <c r="AE36" i="4" s="1"/>
  <c r="Z36" i="4"/>
  <c r="AB36" i="4" s="1"/>
  <c r="Y36" i="4"/>
  <c r="AA36" i="4" s="1"/>
  <c r="V36" i="4"/>
  <c r="X36" i="4" s="1"/>
  <c r="U36" i="4"/>
  <c r="W36" i="4" s="1"/>
  <c r="R36" i="4"/>
  <c r="T36" i="4" s="1"/>
  <c r="Q36" i="4"/>
  <c r="S36" i="4" s="1"/>
  <c r="N36" i="4"/>
  <c r="P36" i="4" s="1"/>
  <c r="M36" i="4"/>
  <c r="O36" i="4" s="1"/>
  <c r="J36" i="4"/>
  <c r="L36" i="4" s="1"/>
  <c r="I36" i="4"/>
  <c r="K36" i="4" s="1"/>
  <c r="F36" i="4"/>
  <c r="E36" i="4"/>
  <c r="AP35" i="4"/>
  <c r="AR35" i="4" s="1"/>
  <c r="AO35" i="4"/>
  <c r="AQ35" i="4" s="1"/>
  <c r="AL35" i="4"/>
  <c r="AN35" i="4" s="1"/>
  <c r="AK35" i="4"/>
  <c r="AM35" i="4" s="1"/>
  <c r="AH35" i="4"/>
  <c r="AJ35" i="4" s="1"/>
  <c r="AG35" i="4"/>
  <c r="AI35" i="4" s="1"/>
  <c r="AD35" i="4"/>
  <c r="AF35" i="4" s="1"/>
  <c r="AC35" i="4"/>
  <c r="AE35" i="4" s="1"/>
  <c r="Z35" i="4"/>
  <c r="AB35" i="4" s="1"/>
  <c r="Y35" i="4"/>
  <c r="AA35" i="4" s="1"/>
  <c r="V35" i="4"/>
  <c r="X35" i="4" s="1"/>
  <c r="U35" i="4"/>
  <c r="W35" i="4" s="1"/>
  <c r="R35" i="4"/>
  <c r="T35" i="4" s="1"/>
  <c r="Q35" i="4"/>
  <c r="S35" i="4" s="1"/>
  <c r="N35" i="4"/>
  <c r="P35" i="4" s="1"/>
  <c r="M35" i="4"/>
  <c r="O35" i="4" s="1"/>
  <c r="J35" i="4"/>
  <c r="L35" i="4" s="1"/>
  <c r="I35" i="4"/>
  <c r="K35" i="4" s="1"/>
  <c r="F35" i="4"/>
  <c r="E35" i="4"/>
  <c r="AP34" i="4"/>
  <c r="AR34" i="4" s="1"/>
  <c r="AO34" i="4"/>
  <c r="AQ34" i="4" s="1"/>
  <c r="AL34" i="4"/>
  <c r="AN34" i="4" s="1"/>
  <c r="AK34" i="4"/>
  <c r="AM34" i="4" s="1"/>
  <c r="AH34" i="4"/>
  <c r="AJ34" i="4" s="1"/>
  <c r="AG34" i="4"/>
  <c r="AI34" i="4" s="1"/>
  <c r="AD34" i="4"/>
  <c r="AF34" i="4" s="1"/>
  <c r="AC34" i="4"/>
  <c r="AE34" i="4" s="1"/>
  <c r="Z34" i="4"/>
  <c r="AB34" i="4" s="1"/>
  <c r="Y34" i="4"/>
  <c r="AA34" i="4" s="1"/>
  <c r="V34" i="4"/>
  <c r="X34" i="4" s="1"/>
  <c r="U34" i="4"/>
  <c r="W34" i="4" s="1"/>
  <c r="R34" i="4"/>
  <c r="T34" i="4" s="1"/>
  <c r="Q34" i="4"/>
  <c r="S34" i="4" s="1"/>
  <c r="N34" i="4"/>
  <c r="P34" i="4" s="1"/>
  <c r="M34" i="4"/>
  <c r="O34" i="4" s="1"/>
  <c r="J34" i="4"/>
  <c r="L34" i="4" s="1"/>
  <c r="I34" i="4"/>
  <c r="K34" i="4" s="1"/>
  <c r="F34" i="4"/>
  <c r="E34" i="4"/>
  <c r="AP33" i="4"/>
  <c r="AR33" i="4" s="1"/>
  <c r="AO33" i="4"/>
  <c r="AQ33" i="4" s="1"/>
  <c r="AL33" i="4"/>
  <c r="AN33" i="4" s="1"/>
  <c r="AK33" i="4"/>
  <c r="AM33" i="4" s="1"/>
  <c r="AH33" i="4"/>
  <c r="AJ33" i="4" s="1"/>
  <c r="AG33" i="4"/>
  <c r="AI33" i="4" s="1"/>
  <c r="AD33" i="4"/>
  <c r="AF33" i="4" s="1"/>
  <c r="AC33" i="4"/>
  <c r="AE33" i="4" s="1"/>
  <c r="Z33" i="4"/>
  <c r="AB33" i="4" s="1"/>
  <c r="Y33" i="4"/>
  <c r="AA33" i="4" s="1"/>
  <c r="V33" i="4"/>
  <c r="X33" i="4" s="1"/>
  <c r="U33" i="4"/>
  <c r="W33" i="4" s="1"/>
  <c r="R33" i="4"/>
  <c r="T33" i="4" s="1"/>
  <c r="Q33" i="4"/>
  <c r="S33" i="4" s="1"/>
  <c r="N33" i="4"/>
  <c r="P33" i="4" s="1"/>
  <c r="M33" i="4"/>
  <c r="O33" i="4" s="1"/>
  <c r="J33" i="4"/>
  <c r="L33" i="4" s="1"/>
  <c r="I33" i="4"/>
  <c r="K33" i="4" s="1"/>
  <c r="F33" i="4"/>
  <c r="E33" i="4"/>
  <c r="AP32" i="4"/>
  <c r="AR32" i="4" s="1"/>
  <c r="AO32" i="4"/>
  <c r="AQ32" i="4" s="1"/>
  <c r="AL32" i="4"/>
  <c r="AN32" i="4" s="1"/>
  <c r="AK32" i="4"/>
  <c r="AM32" i="4" s="1"/>
  <c r="AH32" i="4"/>
  <c r="AJ32" i="4" s="1"/>
  <c r="AG32" i="4"/>
  <c r="AI32" i="4" s="1"/>
  <c r="AD32" i="4"/>
  <c r="AF32" i="4" s="1"/>
  <c r="AC32" i="4"/>
  <c r="AE32" i="4" s="1"/>
  <c r="Z32" i="4"/>
  <c r="AB32" i="4" s="1"/>
  <c r="Y32" i="4"/>
  <c r="AA32" i="4" s="1"/>
  <c r="V32" i="4"/>
  <c r="X32" i="4" s="1"/>
  <c r="U32" i="4"/>
  <c r="W32" i="4" s="1"/>
  <c r="R32" i="4"/>
  <c r="T32" i="4" s="1"/>
  <c r="Q32" i="4"/>
  <c r="S32" i="4" s="1"/>
  <c r="N32" i="4"/>
  <c r="P32" i="4" s="1"/>
  <c r="M32" i="4"/>
  <c r="O32" i="4" s="1"/>
  <c r="J32" i="4"/>
  <c r="L32" i="4" s="1"/>
  <c r="I32" i="4"/>
  <c r="K32" i="4" s="1"/>
  <c r="F32" i="4"/>
  <c r="E32" i="4"/>
  <c r="AP31" i="4"/>
  <c r="AR31" i="4" s="1"/>
  <c r="AO31" i="4"/>
  <c r="AQ31" i="4" s="1"/>
  <c r="AL31" i="4"/>
  <c r="AN31" i="4" s="1"/>
  <c r="AK31" i="4"/>
  <c r="AH31" i="4"/>
  <c r="AG31" i="4"/>
  <c r="AD31" i="4"/>
  <c r="AF31" i="4" s="1"/>
  <c r="AC31" i="4"/>
  <c r="AE31" i="4" s="1"/>
  <c r="Z31" i="4"/>
  <c r="AB31" i="4" s="1"/>
  <c r="Y31" i="4"/>
  <c r="AA31" i="4" s="1"/>
  <c r="V31" i="4"/>
  <c r="X31" i="4" s="1"/>
  <c r="U31" i="4"/>
  <c r="W31" i="4" s="1"/>
  <c r="R31" i="4"/>
  <c r="T31" i="4" s="1"/>
  <c r="Q31" i="4"/>
  <c r="S31" i="4" s="1"/>
  <c r="N31" i="4"/>
  <c r="P31" i="4" s="1"/>
  <c r="M31" i="4"/>
  <c r="O31" i="4" s="1"/>
  <c r="J31" i="4"/>
  <c r="L31" i="4" s="1"/>
  <c r="I31" i="4"/>
  <c r="K31" i="4" s="1"/>
  <c r="F31" i="4"/>
  <c r="H31" i="4" s="1"/>
  <c r="E31" i="4"/>
  <c r="G31" i="4" s="1"/>
  <c r="AP29" i="4"/>
  <c r="AR29" i="4" s="1"/>
  <c r="AO29" i="4"/>
  <c r="AQ29" i="4" s="1"/>
  <c r="AL29" i="4"/>
  <c r="AN29" i="4" s="1"/>
  <c r="AK29" i="4"/>
  <c r="AM29" i="4" s="1"/>
  <c r="AH29" i="4"/>
  <c r="AJ29" i="4" s="1"/>
  <c r="AG29" i="4"/>
  <c r="AI29" i="4" s="1"/>
  <c r="AD29" i="4"/>
  <c r="AF29" i="4" s="1"/>
  <c r="AC29" i="4"/>
  <c r="AE29" i="4" s="1"/>
  <c r="Z29" i="4"/>
  <c r="AB29" i="4" s="1"/>
  <c r="Y29" i="4"/>
  <c r="AA29" i="4" s="1"/>
  <c r="V29" i="4"/>
  <c r="X29" i="4" s="1"/>
  <c r="U29" i="4"/>
  <c r="W29" i="4" s="1"/>
  <c r="R29" i="4"/>
  <c r="T29" i="4" s="1"/>
  <c r="Q29" i="4"/>
  <c r="S29" i="4" s="1"/>
  <c r="N29" i="4"/>
  <c r="P29" i="4" s="1"/>
  <c r="M29" i="4"/>
  <c r="O29" i="4" s="1"/>
  <c r="J29" i="4"/>
  <c r="L29" i="4" s="1"/>
  <c r="I29" i="4"/>
  <c r="K29" i="4" s="1"/>
  <c r="F29" i="4"/>
  <c r="E29" i="4"/>
  <c r="AP28" i="4"/>
  <c r="AR28" i="4" s="1"/>
  <c r="AO28" i="4"/>
  <c r="AQ28" i="4" s="1"/>
  <c r="AL28" i="4"/>
  <c r="AN28" i="4" s="1"/>
  <c r="AK28" i="4"/>
  <c r="AM28" i="4" s="1"/>
  <c r="AH28" i="4"/>
  <c r="AJ28" i="4" s="1"/>
  <c r="AG28" i="4"/>
  <c r="AI28" i="4" s="1"/>
  <c r="AD28" i="4"/>
  <c r="AF28" i="4" s="1"/>
  <c r="AC28" i="4"/>
  <c r="AE28" i="4" s="1"/>
  <c r="Z28" i="4"/>
  <c r="AB28" i="4" s="1"/>
  <c r="Y28" i="4"/>
  <c r="AA28" i="4" s="1"/>
  <c r="V28" i="4"/>
  <c r="X28" i="4" s="1"/>
  <c r="U28" i="4"/>
  <c r="W28" i="4" s="1"/>
  <c r="R28" i="4"/>
  <c r="T28" i="4" s="1"/>
  <c r="Q28" i="4"/>
  <c r="S28" i="4" s="1"/>
  <c r="N28" i="4"/>
  <c r="P28" i="4" s="1"/>
  <c r="M28" i="4"/>
  <c r="O28" i="4" s="1"/>
  <c r="J28" i="4"/>
  <c r="L28" i="4" s="1"/>
  <c r="I28" i="4"/>
  <c r="K28" i="4" s="1"/>
  <c r="F28" i="4"/>
  <c r="E28" i="4"/>
  <c r="AP27" i="4"/>
  <c r="AR27" i="4" s="1"/>
  <c r="AO27" i="4"/>
  <c r="AQ27" i="4" s="1"/>
  <c r="AL27" i="4"/>
  <c r="AN27" i="4" s="1"/>
  <c r="AK27" i="4"/>
  <c r="AM27" i="4" s="1"/>
  <c r="AH27" i="4"/>
  <c r="AJ27" i="4" s="1"/>
  <c r="AG27" i="4"/>
  <c r="AI27" i="4" s="1"/>
  <c r="AD27" i="4"/>
  <c r="AF27" i="4" s="1"/>
  <c r="AC27" i="4"/>
  <c r="AE27" i="4" s="1"/>
  <c r="Z27" i="4"/>
  <c r="AB27" i="4" s="1"/>
  <c r="Y27" i="4"/>
  <c r="AA27" i="4" s="1"/>
  <c r="V27" i="4"/>
  <c r="X27" i="4" s="1"/>
  <c r="U27" i="4"/>
  <c r="W27" i="4" s="1"/>
  <c r="R27" i="4"/>
  <c r="T27" i="4" s="1"/>
  <c r="Q27" i="4"/>
  <c r="S27" i="4" s="1"/>
  <c r="N27" i="4"/>
  <c r="P27" i="4" s="1"/>
  <c r="M27" i="4"/>
  <c r="O27" i="4" s="1"/>
  <c r="J27" i="4"/>
  <c r="L27" i="4" s="1"/>
  <c r="I27" i="4"/>
  <c r="K27" i="4" s="1"/>
  <c r="F27" i="4"/>
  <c r="E27" i="4"/>
  <c r="AP26" i="4"/>
  <c r="AR26" i="4" s="1"/>
  <c r="AO26" i="4"/>
  <c r="AQ26" i="4" s="1"/>
  <c r="AL26" i="4"/>
  <c r="AN26" i="4" s="1"/>
  <c r="AK26" i="4"/>
  <c r="AM26" i="4" s="1"/>
  <c r="AH26" i="4"/>
  <c r="AJ26" i="4" s="1"/>
  <c r="AG26" i="4"/>
  <c r="AI26" i="4" s="1"/>
  <c r="AD26" i="4"/>
  <c r="AF26" i="4" s="1"/>
  <c r="AC26" i="4"/>
  <c r="AE26" i="4" s="1"/>
  <c r="Z26" i="4"/>
  <c r="AB26" i="4" s="1"/>
  <c r="Y26" i="4"/>
  <c r="AA26" i="4" s="1"/>
  <c r="V26" i="4"/>
  <c r="X26" i="4" s="1"/>
  <c r="U26" i="4"/>
  <c r="W26" i="4" s="1"/>
  <c r="R26" i="4"/>
  <c r="T26" i="4" s="1"/>
  <c r="Q26" i="4"/>
  <c r="S26" i="4" s="1"/>
  <c r="N26" i="4"/>
  <c r="P26" i="4" s="1"/>
  <c r="M26" i="4"/>
  <c r="O26" i="4" s="1"/>
  <c r="J26" i="4"/>
  <c r="L26" i="4" s="1"/>
  <c r="I26" i="4"/>
  <c r="K26" i="4" s="1"/>
  <c r="F26" i="4"/>
  <c r="E26" i="4"/>
  <c r="AP25" i="4"/>
  <c r="AR25" i="4" s="1"/>
  <c r="AO25" i="4"/>
  <c r="AQ25" i="4" s="1"/>
  <c r="AL25" i="4"/>
  <c r="AN25" i="4" s="1"/>
  <c r="AK25" i="4"/>
  <c r="AM25" i="4" s="1"/>
  <c r="AH25" i="4"/>
  <c r="AJ25" i="4" s="1"/>
  <c r="AG25" i="4"/>
  <c r="AI25" i="4" s="1"/>
  <c r="AD25" i="4"/>
  <c r="AF25" i="4" s="1"/>
  <c r="AC25" i="4"/>
  <c r="AE25" i="4" s="1"/>
  <c r="Z25" i="4"/>
  <c r="AB25" i="4" s="1"/>
  <c r="Y25" i="4"/>
  <c r="AA25" i="4" s="1"/>
  <c r="V25" i="4"/>
  <c r="X25" i="4" s="1"/>
  <c r="U25" i="4"/>
  <c r="W25" i="4" s="1"/>
  <c r="R25" i="4"/>
  <c r="T25" i="4" s="1"/>
  <c r="Q25" i="4"/>
  <c r="S25" i="4" s="1"/>
  <c r="N25" i="4"/>
  <c r="P25" i="4" s="1"/>
  <c r="M25" i="4"/>
  <c r="O25" i="4" s="1"/>
  <c r="J25" i="4"/>
  <c r="L25" i="4" s="1"/>
  <c r="I25" i="4"/>
  <c r="K25" i="4" s="1"/>
  <c r="F25" i="4"/>
  <c r="E25" i="4"/>
  <c r="AP24" i="4"/>
  <c r="AR24" i="4" s="1"/>
  <c r="AO24" i="4"/>
  <c r="AQ24" i="4" s="1"/>
  <c r="AL24" i="4"/>
  <c r="AN24" i="4" s="1"/>
  <c r="AK24" i="4"/>
  <c r="AM24" i="4" s="1"/>
  <c r="AH24" i="4"/>
  <c r="AJ24" i="4" s="1"/>
  <c r="AG24" i="4"/>
  <c r="AI24" i="4" s="1"/>
  <c r="AD24" i="4"/>
  <c r="AF24" i="4" s="1"/>
  <c r="AC24" i="4"/>
  <c r="AE24" i="4" s="1"/>
  <c r="Z24" i="4"/>
  <c r="AB24" i="4" s="1"/>
  <c r="Y24" i="4"/>
  <c r="AA24" i="4" s="1"/>
  <c r="V24" i="4"/>
  <c r="X24" i="4" s="1"/>
  <c r="U24" i="4"/>
  <c r="W24" i="4" s="1"/>
  <c r="R24" i="4"/>
  <c r="T24" i="4" s="1"/>
  <c r="Q24" i="4"/>
  <c r="S24" i="4" s="1"/>
  <c r="N24" i="4"/>
  <c r="P24" i="4" s="1"/>
  <c r="M24" i="4"/>
  <c r="O24" i="4" s="1"/>
  <c r="J24" i="4"/>
  <c r="L24" i="4" s="1"/>
  <c r="I24" i="4"/>
  <c r="K24" i="4" s="1"/>
  <c r="F24" i="4"/>
  <c r="E24" i="4"/>
  <c r="AP23" i="4"/>
  <c r="AR23" i="4" s="1"/>
  <c r="AO23" i="4"/>
  <c r="AQ23" i="4" s="1"/>
  <c r="AL23" i="4"/>
  <c r="AN23" i="4" s="1"/>
  <c r="AK23" i="4"/>
  <c r="AM23" i="4" s="1"/>
  <c r="AH23" i="4"/>
  <c r="AJ23" i="4" s="1"/>
  <c r="AG23" i="4"/>
  <c r="AI23" i="4" s="1"/>
  <c r="AD23" i="4"/>
  <c r="AF23" i="4" s="1"/>
  <c r="AC23" i="4"/>
  <c r="AE23" i="4" s="1"/>
  <c r="Z23" i="4"/>
  <c r="AB23" i="4" s="1"/>
  <c r="Y23" i="4"/>
  <c r="AA23" i="4" s="1"/>
  <c r="V23" i="4"/>
  <c r="X23" i="4" s="1"/>
  <c r="U23" i="4"/>
  <c r="W23" i="4" s="1"/>
  <c r="R23" i="4"/>
  <c r="T23" i="4" s="1"/>
  <c r="Q23" i="4"/>
  <c r="S23" i="4" s="1"/>
  <c r="N23" i="4"/>
  <c r="P23" i="4" s="1"/>
  <c r="M23" i="4"/>
  <c r="O23" i="4" s="1"/>
  <c r="J23" i="4"/>
  <c r="L23" i="4" s="1"/>
  <c r="I23" i="4"/>
  <c r="K23" i="4" s="1"/>
  <c r="F23" i="4"/>
  <c r="E23" i="4"/>
  <c r="AP22" i="4"/>
  <c r="AR22" i="4" s="1"/>
  <c r="AO22" i="4"/>
  <c r="AQ22" i="4" s="1"/>
  <c r="AL22" i="4"/>
  <c r="AN22" i="4" s="1"/>
  <c r="AK22" i="4"/>
  <c r="AM22" i="4" s="1"/>
  <c r="AH22" i="4"/>
  <c r="AJ22" i="4" s="1"/>
  <c r="AG22" i="4"/>
  <c r="AI22" i="4" s="1"/>
  <c r="AD22" i="4"/>
  <c r="AF22" i="4" s="1"/>
  <c r="AC22" i="4"/>
  <c r="AE22" i="4" s="1"/>
  <c r="Z22" i="4"/>
  <c r="AB22" i="4" s="1"/>
  <c r="Y22" i="4"/>
  <c r="AA22" i="4" s="1"/>
  <c r="V22" i="4"/>
  <c r="X22" i="4" s="1"/>
  <c r="U22" i="4"/>
  <c r="W22" i="4" s="1"/>
  <c r="R22" i="4"/>
  <c r="T22" i="4" s="1"/>
  <c r="Q22" i="4"/>
  <c r="S22" i="4" s="1"/>
  <c r="N22" i="4"/>
  <c r="P22" i="4" s="1"/>
  <c r="M22" i="4"/>
  <c r="O22" i="4" s="1"/>
  <c r="J22" i="4"/>
  <c r="L22" i="4" s="1"/>
  <c r="I22" i="4"/>
  <c r="K22" i="4" s="1"/>
  <c r="F22" i="4"/>
  <c r="E22" i="4"/>
  <c r="AP21" i="4"/>
  <c r="AR21" i="4" s="1"/>
  <c r="AO21" i="4"/>
  <c r="AQ21" i="4" s="1"/>
  <c r="AL21" i="4"/>
  <c r="AN21" i="4" s="1"/>
  <c r="AK21" i="4"/>
  <c r="AM21" i="4" s="1"/>
  <c r="AH21" i="4"/>
  <c r="AJ21" i="4" s="1"/>
  <c r="AG21" i="4"/>
  <c r="AI21" i="4" s="1"/>
  <c r="AD21" i="4"/>
  <c r="AF21" i="4" s="1"/>
  <c r="AC21" i="4"/>
  <c r="AE21" i="4" s="1"/>
  <c r="Z21" i="4"/>
  <c r="AB21" i="4" s="1"/>
  <c r="Y21" i="4"/>
  <c r="AA21" i="4" s="1"/>
  <c r="V21" i="4"/>
  <c r="X21" i="4" s="1"/>
  <c r="U21" i="4"/>
  <c r="W21" i="4" s="1"/>
  <c r="R21" i="4"/>
  <c r="T21" i="4" s="1"/>
  <c r="Q21" i="4"/>
  <c r="S21" i="4" s="1"/>
  <c r="N21" i="4"/>
  <c r="P21" i="4" s="1"/>
  <c r="M21" i="4"/>
  <c r="O21" i="4" s="1"/>
  <c r="J21" i="4"/>
  <c r="L21" i="4" s="1"/>
  <c r="I21" i="4"/>
  <c r="K21" i="4" s="1"/>
  <c r="F21" i="4"/>
  <c r="E21" i="4"/>
  <c r="AP20" i="4"/>
  <c r="AR20" i="4" s="1"/>
  <c r="AO20" i="4"/>
  <c r="AQ20" i="4" s="1"/>
  <c r="AL20" i="4"/>
  <c r="AN20" i="4" s="1"/>
  <c r="AK20" i="4"/>
  <c r="AM20" i="4" s="1"/>
  <c r="AH20" i="4"/>
  <c r="AJ20" i="4" s="1"/>
  <c r="AG20" i="4"/>
  <c r="AI20" i="4" s="1"/>
  <c r="AD20" i="4"/>
  <c r="AF20" i="4" s="1"/>
  <c r="AC20" i="4"/>
  <c r="AE20" i="4" s="1"/>
  <c r="Z20" i="4"/>
  <c r="AB20" i="4" s="1"/>
  <c r="Y20" i="4"/>
  <c r="AA20" i="4" s="1"/>
  <c r="V20" i="4"/>
  <c r="X20" i="4" s="1"/>
  <c r="U20" i="4"/>
  <c r="W20" i="4" s="1"/>
  <c r="R20" i="4"/>
  <c r="T20" i="4" s="1"/>
  <c r="Q20" i="4"/>
  <c r="S20" i="4" s="1"/>
  <c r="N20" i="4"/>
  <c r="P20" i="4" s="1"/>
  <c r="M20" i="4"/>
  <c r="O20" i="4" s="1"/>
  <c r="J20" i="4"/>
  <c r="L20" i="4" s="1"/>
  <c r="I20" i="4"/>
  <c r="K20" i="4" s="1"/>
  <c r="F20" i="4"/>
  <c r="E20" i="4"/>
  <c r="AP18" i="4"/>
  <c r="AR18" i="4" s="1"/>
  <c r="AO18" i="4"/>
  <c r="AQ18" i="4" s="1"/>
  <c r="AL18" i="4"/>
  <c r="AN18" i="4" s="1"/>
  <c r="AK18" i="4"/>
  <c r="AM18" i="4" s="1"/>
  <c r="AH18" i="4"/>
  <c r="AJ18" i="4" s="1"/>
  <c r="AG18" i="4"/>
  <c r="AI18" i="4" s="1"/>
  <c r="AD18" i="4"/>
  <c r="AF18" i="4" s="1"/>
  <c r="AC18" i="4"/>
  <c r="AE18" i="4" s="1"/>
  <c r="Z18" i="4"/>
  <c r="AB18" i="4" s="1"/>
  <c r="Y18" i="4"/>
  <c r="AA18" i="4" s="1"/>
  <c r="V18" i="4"/>
  <c r="X18" i="4" s="1"/>
  <c r="U18" i="4"/>
  <c r="W18" i="4" s="1"/>
  <c r="R18" i="4"/>
  <c r="T18" i="4" s="1"/>
  <c r="Q18" i="4"/>
  <c r="S18" i="4" s="1"/>
  <c r="N18" i="4"/>
  <c r="P18" i="4" s="1"/>
  <c r="M18" i="4"/>
  <c r="O18" i="4" s="1"/>
  <c r="J18" i="4"/>
  <c r="L18" i="4" s="1"/>
  <c r="I18" i="4"/>
  <c r="K18" i="4" s="1"/>
  <c r="F18" i="4"/>
  <c r="E18" i="4"/>
  <c r="AP17" i="4"/>
  <c r="AR17" i="4" s="1"/>
  <c r="AO17" i="4"/>
  <c r="AQ17" i="4" s="1"/>
  <c r="AL17" i="4"/>
  <c r="AN17" i="4" s="1"/>
  <c r="AK17" i="4"/>
  <c r="AM17" i="4" s="1"/>
  <c r="AH17" i="4"/>
  <c r="AJ17" i="4" s="1"/>
  <c r="AG17" i="4"/>
  <c r="AI17" i="4" s="1"/>
  <c r="AD17" i="4"/>
  <c r="AF17" i="4" s="1"/>
  <c r="AC17" i="4"/>
  <c r="AE17" i="4" s="1"/>
  <c r="Z17" i="4"/>
  <c r="AB17" i="4" s="1"/>
  <c r="Y17" i="4"/>
  <c r="AA17" i="4" s="1"/>
  <c r="V17" i="4"/>
  <c r="X17" i="4" s="1"/>
  <c r="U17" i="4"/>
  <c r="W17" i="4" s="1"/>
  <c r="R17" i="4"/>
  <c r="T17" i="4" s="1"/>
  <c r="Q17" i="4"/>
  <c r="S17" i="4" s="1"/>
  <c r="N17" i="4"/>
  <c r="P17" i="4" s="1"/>
  <c r="M17" i="4"/>
  <c r="O17" i="4" s="1"/>
  <c r="J17" i="4"/>
  <c r="L17" i="4" s="1"/>
  <c r="I17" i="4"/>
  <c r="K17" i="4" s="1"/>
  <c r="F17" i="4"/>
  <c r="E17" i="4"/>
  <c r="AP16" i="4"/>
  <c r="AR16" i="4" s="1"/>
  <c r="AO16" i="4"/>
  <c r="AQ16" i="4" s="1"/>
  <c r="AL16" i="4"/>
  <c r="AN16" i="4" s="1"/>
  <c r="AK16" i="4"/>
  <c r="AM16" i="4" s="1"/>
  <c r="AH16" i="4"/>
  <c r="AJ16" i="4" s="1"/>
  <c r="AG16" i="4"/>
  <c r="AI16" i="4" s="1"/>
  <c r="AD16" i="4"/>
  <c r="AF16" i="4" s="1"/>
  <c r="AC16" i="4"/>
  <c r="AE16" i="4" s="1"/>
  <c r="Z16" i="4"/>
  <c r="AB16" i="4" s="1"/>
  <c r="Y16" i="4"/>
  <c r="AA16" i="4" s="1"/>
  <c r="V16" i="4"/>
  <c r="X16" i="4" s="1"/>
  <c r="U16" i="4"/>
  <c r="W16" i="4" s="1"/>
  <c r="R16" i="4"/>
  <c r="T16" i="4" s="1"/>
  <c r="Q16" i="4"/>
  <c r="S16" i="4" s="1"/>
  <c r="N16" i="4"/>
  <c r="P16" i="4" s="1"/>
  <c r="M16" i="4"/>
  <c r="O16" i="4" s="1"/>
  <c r="J16" i="4"/>
  <c r="L16" i="4" s="1"/>
  <c r="I16" i="4"/>
  <c r="K16" i="4" s="1"/>
  <c r="F16" i="4"/>
  <c r="E16" i="4"/>
  <c r="AP15" i="4"/>
  <c r="AR15" i="4" s="1"/>
  <c r="AO15" i="4"/>
  <c r="AQ15" i="4" s="1"/>
  <c r="AL15" i="4"/>
  <c r="AN15" i="4" s="1"/>
  <c r="AK15" i="4"/>
  <c r="AM15" i="4" s="1"/>
  <c r="AH15" i="4"/>
  <c r="AJ15" i="4" s="1"/>
  <c r="AG15" i="4"/>
  <c r="AI15" i="4" s="1"/>
  <c r="AD15" i="4"/>
  <c r="AF15" i="4" s="1"/>
  <c r="AC15" i="4"/>
  <c r="AE15" i="4" s="1"/>
  <c r="Z15" i="4"/>
  <c r="AB15" i="4" s="1"/>
  <c r="Y15" i="4"/>
  <c r="AA15" i="4" s="1"/>
  <c r="V15" i="4"/>
  <c r="X15" i="4" s="1"/>
  <c r="U15" i="4"/>
  <c r="W15" i="4" s="1"/>
  <c r="R15" i="4"/>
  <c r="T15" i="4" s="1"/>
  <c r="Q15" i="4"/>
  <c r="S15" i="4" s="1"/>
  <c r="N15" i="4"/>
  <c r="P15" i="4" s="1"/>
  <c r="M15" i="4"/>
  <c r="O15" i="4" s="1"/>
  <c r="J15" i="4"/>
  <c r="L15" i="4" s="1"/>
  <c r="I15" i="4"/>
  <c r="K15" i="4" s="1"/>
  <c r="F15" i="4"/>
  <c r="E15" i="4"/>
  <c r="AP14" i="4"/>
  <c r="AR14" i="4" s="1"/>
  <c r="AO14" i="4"/>
  <c r="AQ14" i="4" s="1"/>
  <c r="AL14" i="4"/>
  <c r="AN14" i="4" s="1"/>
  <c r="AK14" i="4"/>
  <c r="AM14" i="4" s="1"/>
  <c r="AH14" i="4"/>
  <c r="AJ14" i="4" s="1"/>
  <c r="AG14" i="4"/>
  <c r="AI14" i="4" s="1"/>
  <c r="AD14" i="4"/>
  <c r="AF14" i="4" s="1"/>
  <c r="AC14" i="4"/>
  <c r="AE14" i="4" s="1"/>
  <c r="Z14" i="4"/>
  <c r="AB14" i="4" s="1"/>
  <c r="Y14" i="4"/>
  <c r="AA14" i="4" s="1"/>
  <c r="V14" i="4"/>
  <c r="X14" i="4" s="1"/>
  <c r="U14" i="4"/>
  <c r="W14" i="4" s="1"/>
  <c r="R14" i="4"/>
  <c r="T14" i="4" s="1"/>
  <c r="Q14" i="4"/>
  <c r="S14" i="4" s="1"/>
  <c r="N14" i="4"/>
  <c r="P14" i="4" s="1"/>
  <c r="M14" i="4"/>
  <c r="O14" i="4" s="1"/>
  <c r="J14" i="4"/>
  <c r="L14" i="4" s="1"/>
  <c r="I14" i="4"/>
  <c r="K14" i="4" s="1"/>
  <c r="F14" i="4"/>
  <c r="E14" i="4"/>
  <c r="AP13" i="4"/>
  <c r="AR13" i="4" s="1"/>
  <c r="AO13" i="4"/>
  <c r="AQ13" i="4" s="1"/>
  <c r="AL13" i="4"/>
  <c r="AN13" i="4" s="1"/>
  <c r="AK13" i="4"/>
  <c r="AM13" i="4" s="1"/>
  <c r="AH13" i="4"/>
  <c r="AJ13" i="4" s="1"/>
  <c r="AG13" i="4"/>
  <c r="AI13" i="4" s="1"/>
  <c r="AD13" i="4"/>
  <c r="AF13" i="4" s="1"/>
  <c r="AC13" i="4"/>
  <c r="AE13" i="4" s="1"/>
  <c r="Z13" i="4"/>
  <c r="AB13" i="4" s="1"/>
  <c r="Y13" i="4"/>
  <c r="AA13" i="4" s="1"/>
  <c r="V13" i="4"/>
  <c r="X13" i="4" s="1"/>
  <c r="U13" i="4"/>
  <c r="W13" i="4" s="1"/>
  <c r="R13" i="4"/>
  <c r="T13" i="4" s="1"/>
  <c r="Q13" i="4"/>
  <c r="S13" i="4" s="1"/>
  <c r="N13" i="4"/>
  <c r="P13" i="4" s="1"/>
  <c r="M13" i="4"/>
  <c r="O13" i="4" s="1"/>
  <c r="J13" i="4"/>
  <c r="L13" i="4" s="1"/>
  <c r="I13" i="4"/>
  <c r="K13" i="4" s="1"/>
  <c r="F13" i="4"/>
  <c r="E13" i="4"/>
  <c r="AP12" i="4"/>
  <c r="AR12" i="4" s="1"/>
  <c r="AO12" i="4"/>
  <c r="AQ12" i="4" s="1"/>
  <c r="AL12" i="4"/>
  <c r="AN12" i="4" s="1"/>
  <c r="AK12" i="4"/>
  <c r="AM12" i="4" s="1"/>
  <c r="AH12" i="4"/>
  <c r="AJ12" i="4" s="1"/>
  <c r="AG12" i="4"/>
  <c r="AI12" i="4" s="1"/>
  <c r="AD12" i="4"/>
  <c r="AF12" i="4" s="1"/>
  <c r="AC12" i="4"/>
  <c r="AE12" i="4" s="1"/>
  <c r="Z12" i="4"/>
  <c r="AB12" i="4" s="1"/>
  <c r="Y12" i="4"/>
  <c r="AA12" i="4" s="1"/>
  <c r="V12" i="4"/>
  <c r="X12" i="4" s="1"/>
  <c r="U12" i="4"/>
  <c r="W12" i="4" s="1"/>
  <c r="R12" i="4"/>
  <c r="T12" i="4" s="1"/>
  <c r="Q12" i="4"/>
  <c r="S12" i="4" s="1"/>
  <c r="N12" i="4"/>
  <c r="P12" i="4" s="1"/>
  <c r="M12" i="4"/>
  <c r="O12" i="4" s="1"/>
  <c r="J12" i="4"/>
  <c r="L12" i="4" s="1"/>
  <c r="I12" i="4"/>
  <c r="K12" i="4" s="1"/>
  <c r="F12" i="4"/>
  <c r="E12" i="4"/>
  <c r="AP11" i="4"/>
  <c r="AR11" i="4" s="1"/>
  <c r="AO11" i="4"/>
  <c r="AQ11" i="4" s="1"/>
  <c r="AL11" i="4"/>
  <c r="AN11" i="4" s="1"/>
  <c r="AK11" i="4"/>
  <c r="AM11" i="4" s="1"/>
  <c r="AH11" i="4"/>
  <c r="AJ11" i="4" s="1"/>
  <c r="AG11" i="4"/>
  <c r="AI11" i="4" s="1"/>
  <c r="AD11" i="4"/>
  <c r="AF11" i="4" s="1"/>
  <c r="AC11" i="4"/>
  <c r="AE11" i="4" s="1"/>
  <c r="Z11" i="4"/>
  <c r="AB11" i="4" s="1"/>
  <c r="Y11" i="4"/>
  <c r="AA11" i="4" s="1"/>
  <c r="V11" i="4"/>
  <c r="X11" i="4" s="1"/>
  <c r="U11" i="4"/>
  <c r="W11" i="4" s="1"/>
  <c r="R11" i="4"/>
  <c r="T11" i="4" s="1"/>
  <c r="Q11" i="4"/>
  <c r="S11" i="4" s="1"/>
  <c r="N11" i="4"/>
  <c r="P11" i="4" s="1"/>
  <c r="M11" i="4"/>
  <c r="O11" i="4" s="1"/>
  <c r="J11" i="4"/>
  <c r="L11" i="4" s="1"/>
  <c r="I11" i="4"/>
  <c r="K11" i="4" s="1"/>
  <c r="F11" i="4"/>
  <c r="E11" i="4"/>
  <c r="AP10" i="4"/>
  <c r="AR10" i="4" s="1"/>
  <c r="AO10" i="4"/>
  <c r="AQ10" i="4" s="1"/>
  <c r="AL10" i="4"/>
  <c r="AN10" i="4" s="1"/>
  <c r="AK10" i="4"/>
  <c r="AM10" i="4" s="1"/>
  <c r="AH10" i="4"/>
  <c r="AJ10" i="4" s="1"/>
  <c r="AG10" i="4"/>
  <c r="AI10" i="4" s="1"/>
  <c r="AD10" i="4"/>
  <c r="AF10" i="4" s="1"/>
  <c r="AC10" i="4"/>
  <c r="AE10" i="4" s="1"/>
  <c r="Z10" i="4"/>
  <c r="AB10" i="4" s="1"/>
  <c r="Y10" i="4"/>
  <c r="AA10" i="4" s="1"/>
  <c r="V10" i="4"/>
  <c r="X10" i="4" s="1"/>
  <c r="U10" i="4"/>
  <c r="W10" i="4" s="1"/>
  <c r="R10" i="4"/>
  <c r="T10" i="4" s="1"/>
  <c r="Q10" i="4"/>
  <c r="S10" i="4" s="1"/>
  <c r="N10" i="4"/>
  <c r="P10" i="4" s="1"/>
  <c r="M10" i="4"/>
  <c r="O10" i="4" s="1"/>
  <c r="J10" i="4"/>
  <c r="L10" i="4" s="1"/>
  <c r="I10" i="4"/>
  <c r="K10" i="4" s="1"/>
  <c r="F10" i="4"/>
  <c r="E10" i="4"/>
  <c r="AP9" i="4"/>
  <c r="AR9" i="4" s="1"/>
  <c r="AO9" i="4"/>
  <c r="AQ9" i="4" s="1"/>
  <c r="AL9" i="4"/>
  <c r="AN9" i="4" s="1"/>
  <c r="AK9" i="4"/>
  <c r="AM9" i="4" s="1"/>
  <c r="AH9" i="4"/>
  <c r="AJ9" i="4" s="1"/>
  <c r="AG9" i="4"/>
  <c r="AI9" i="4" s="1"/>
  <c r="AD9" i="4"/>
  <c r="AF9" i="4" s="1"/>
  <c r="AC9" i="4"/>
  <c r="AE9" i="4" s="1"/>
  <c r="Z9" i="4"/>
  <c r="AB9" i="4" s="1"/>
  <c r="Y9" i="4"/>
  <c r="AA9" i="4" s="1"/>
  <c r="V9" i="4"/>
  <c r="X9" i="4" s="1"/>
  <c r="U9" i="4"/>
  <c r="W9" i="4" s="1"/>
  <c r="R9" i="4"/>
  <c r="T9" i="4" s="1"/>
  <c r="Q9" i="4"/>
  <c r="S9" i="4" s="1"/>
  <c r="N9" i="4"/>
  <c r="P9" i="4" s="1"/>
  <c r="M9" i="4"/>
  <c r="O9" i="4" s="1"/>
  <c r="J9" i="4"/>
  <c r="L9" i="4" s="1"/>
  <c r="I9" i="4"/>
  <c r="K9" i="4" s="1"/>
  <c r="F9" i="4"/>
  <c r="E9" i="4"/>
  <c r="C9" i="4"/>
  <c r="D9" i="4" s="1"/>
  <c r="AP8" i="4"/>
  <c r="AR8" i="4" s="1"/>
  <c r="AO8" i="4"/>
  <c r="AQ8" i="4" s="1"/>
  <c r="AL8" i="4"/>
  <c r="AN8" i="4" s="1"/>
  <c r="AK8" i="4"/>
  <c r="AM8" i="4" s="1"/>
  <c r="AH8" i="4"/>
  <c r="AJ8" i="4" s="1"/>
  <c r="AG8" i="4"/>
  <c r="AI8" i="4" s="1"/>
  <c r="AD8" i="4"/>
  <c r="AF8" i="4" s="1"/>
  <c r="AC8" i="4"/>
  <c r="AE8" i="4" s="1"/>
  <c r="Z8" i="4"/>
  <c r="AB8" i="4" s="1"/>
  <c r="Y8" i="4"/>
  <c r="AA8" i="4" s="1"/>
  <c r="V8" i="4"/>
  <c r="X8" i="4" s="1"/>
  <c r="U8" i="4"/>
  <c r="W8" i="4" s="1"/>
  <c r="R8" i="4"/>
  <c r="T8" i="4" s="1"/>
  <c r="Q8" i="4"/>
  <c r="S8" i="4" s="1"/>
  <c r="N8" i="4"/>
  <c r="P8" i="4" s="1"/>
  <c r="M8" i="4"/>
  <c r="O8" i="4" s="1"/>
  <c r="J8" i="4"/>
  <c r="L8" i="4" s="1"/>
  <c r="I8" i="4"/>
  <c r="K8" i="4" s="1"/>
  <c r="F8" i="4"/>
  <c r="E8" i="4"/>
  <c r="C8" i="4"/>
  <c r="D8" i="4" s="1"/>
  <c r="AP7" i="4"/>
  <c r="AR7" i="4" s="1"/>
  <c r="AO7" i="4"/>
  <c r="AQ7" i="4" s="1"/>
  <c r="AL7" i="4"/>
  <c r="AN7" i="4" s="1"/>
  <c r="AK7" i="4"/>
  <c r="AM7" i="4" s="1"/>
  <c r="AH7" i="4"/>
  <c r="AJ7" i="4" s="1"/>
  <c r="AG7" i="4"/>
  <c r="AI7" i="4" s="1"/>
  <c r="AD7" i="4"/>
  <c r="AF7" i="4" s="1"/>
  <c r="AC7" i="4"/>
  <c r="AE7" i="4" s="1"/>
  <c r="Z7" i="4"/>
  <c r="AB7" i="4" s="1"/>
  <c r="Y7" i="4"/>
  <c r="AA7" i="4" s="1"/>
  <c r="V7" i="4"/>
  <c r="X7" i="4" s="1"/>
  <c r="U7" i="4"/>
  <c r="W7" i="4" s="1"/>
  <c r="R7" i="4"/>
  <c r="T7" i="4" s="1"/>
  <c r="Q7" i="4"/>
  <c r="S7" i="4" s="1"/>
  <c r="N7" i="4"/>
  <c r="P7" i="4" s="1"/>
  <c r="M7" i="4"/>
  <c r="O7" i="4" s="1"/>
  <c r="J7" i="4"/>
  <c r="L7" i="4" s="1"/>
  <c r="I7" i="4"/>
  <c r="K7" i="4" s="1"/>
  <c r="F7" i="4"/>
  <c r="E7" i="4"/>
  <c r="AP6" i="4"/>
  <c r="AR6" i="4" s="1"/>
  <c r="AO6" i="4"/>
  <c r="AQ6" i="4" s="1"/>
  <c r="AL6" i="4"/>
  <c r="AN6" i="4" s="1"/>
  <c r="AK6" i="4"/>
  <c r="AM6" i="4" s="1"/>
  <c r="AH6" i="4"/>
  <c r="AJ6" i="4" s="1"/>
  <c r="AG6" i="4"/>
  <c r="AI6" i="4" s="1"/>
  <c r="AD6" i="4"/>
  <c r="AF6" i="4" s="1"/>
  <c r="AC6" i="4"/>
  <c r="AE6" i="4" s="1"/>
  <c r="Z6" i="4"/>
  <c r="AB6" i="4" s="1"/>
  <c r="Y6" i="4"/>
  <c r="AA6" i="4" s="1"/>
  <c r="V6" i="4"/>
  <c r="X6" i="4" s="1"/>
  <c r="U6" i="4"/>
  <c r="W6" i="4" s="1"/>
  <c r="R6" i="4"/>
  <c r="T6" i="4" s="1"/>
  <c r="Q6" i="4"/>
  <c r="S6" i="4" s="1"/>
  <c r="N6" i="4"/>
  <c r="P6" i="4" s="1"/>
  <c r="M6" i="4"/>
  <c r="O6" i="4" s="1"/>
  <c r="J6" i="4"/>
  <c r="L6" i="4" s="1"/>
  <c r="I6" i="4"/>
  <c r="K6" i="4" s="1"/>
  <c r="F6" i="4"/>
  <c r="E6" i="4"/>
  <c r="AP5" i="4"/>
  <c r="AR5" i="4" s="1"/>
  <c r="AO5" i="4"/>
  <c r="AQ5" i="4" s="1"/>
  <c r="AL5" i="4"/>
  <c r="AN5" i="4" s="1"/>
  <c r="AK5" i="4"/>
  <c r="AM5" i="4" s="1"/>
  <c r="AH5" i="4"/>
  <c r="AJ5" i="4" s="1"/>
  <c r="AG5" i="4"/>
  <c r="AI5" i="4" s="1"/>
  <c r="AD5" i="4"/>
  <c r="AF5" i="4" s="1"/>
  <c r="AC5" i="4"/>
  <c r="AE5" i="4" s="1"/>
  <c r="Z5" i="4"/>
  <c r="AB5" i="4" s="1"/>
  <c r="Y5" i="4"/>
  <c r="AA5" i="4" s="1"/>
  <c r="V5" i="4"/>
  <c r="X5" i="4" s="1"/>
  <c r="U5" i="4"/>
  <c r="W5" i="4" s="1"/>
  <c r="R5" i="4"/>
  <c r="T5" i="4" s="1"/>
  <c r="Q5" i="4"/>
  <c r="S5" i="4" s="1"/>
  <c r="N5" i="4"/>
  <c r="P5" i="4" s="1"/>
  <c r="M5" i="4"/>
  <c r="O5" i="4" s="1"/>
  <c r="J5" i="4"/>
  <c r="L5" i="4" s="1"/>
  <c r="I5" i="4"/>
  <c r="K5" i="4" s="1"/>
  <c r="F5" i="4"/>
  <c r="E5" i="4"/>
  <c r="AP4" i="4"/>
  <c r="AR4" i="4" s="1"/>
  <c r="AO4" i="4"/>
  <c r="AQ4" i="4" s="1"/>
  <c r="AL4" i="4"/>
  <c r="AN4" i="4" s="1"/>
  <c r="AK4" i="4"/>
  <c r="AM4" i="4" s="1"/>
  <c r="AH4" i="4"/>
  <c r="AJ4" i="4" s="1"/>
  <c r="AG4" i="4"/>
  <c r="AI4" i="4" s="1"/>
  <c r="AD4" i="4"/>
  <c r="AF4" i="4" s="1"/>
  <c r="AC4" i="4"/>
  <c r="AE4" i="4" s="1"/>
  <c r="Z4" i="4"/>
  <c r="AB4" i="4" s="1"/>
  <c r="Y4" i="4"/>
  <c r="AA4" i="4" s="1"/>
  <c r="V4" i="4"/>
  <c r="X4" i="4" s="1"/>
  <c r="U4" i="4"/>
  <c r="W4" i="4" s="1"/>
  <c r="R4" i="4"/>
  <c r="T4" i="4" s="1"/>
  <c r="Q4" i="4"/>
  <c r="S4" i="4" s="1"/>
  <c r="N4" i="4"/>
  <c r="P4" i="4" s="1"/>
  <c r="M4" i="4"/>
  <c r="O4" i="4" s="1"/>
  <c r="J4" i="4"/>
  <c r="L4" i="4" s="1"/>
  <c r="I4" i="4"/>
  <c r="K4" i="4" s="1"/>
  <c r="F4" i="4"/>
  <c r="E4" i="4"/>
  <c r="AP3" i="4"/>
  <c r="AR3" i="4" s="1"/>
  <c r="AO3" i="4"/>
  <c r="AL3" i="4"/>
  <c r="AK3" i="4"/>
  <c r="AH3" i="4"/>
  <c r="AG3" i="4"/>
  <c r="AD3" i="4"/>
  <c r="AC3" i="4"/>
  <c r="Z3" i="4"/>
  <c r="Y3" i="4"/>
  <c r="V3" i="4"/>
  <c r="U3" i="4"/>
  <c r="R3" i="4"/>
  <c r="Q3" i="4"/>
  <c r="N3" i="4"/>
  <c r="M3" i="4"/>
  <c r="J3" i="4"/>
  <c r="I3" i="4"/>
  <c r="F3" i="4"/>
  <c r="E3" i="4"/>
  <c r="B65" i="3"/>
  <c r="B64" i="3"/>
  <c r="B63" i="3"/>
  <c r="B62" i="3"/>
  <c r="B66" i="3" s="1"/>
  <c r="B59" i="3"/>
  <c r="B58" i="3"/>
  <c r="B57" i="3"/>
  <c r="B56" i="3"/>
  <c r="B55" i="3"/>
  <c r="C59" i="3" s="1"/>
  <c r="B50" i="3"/>
  <c r="AP49" i="3"/>
  <c r="AR49" i="3" s="1"/>
  <c r="AO49" i="3"/>
  <c r="AQ49" i="3" s="1"/>
  <c r="AL49" i="3"/>
  <c r="AN49" i="3" s="1"/>
  <c r="AK49" i="3"/>
  <c r="AM49" i="3" s="1"/>
  <c r="AH49" i="3"/>
  <c r="AJ49" i="3" s="1"/>
  <c r="AG49" i="3"/>
  <c r="AI49" i="3" s="1"/>
  <c r="AD49" i="3"/>
  <c r="AF49" i="3" s="1"/>
  <c r="AC49" i="3"/>
  <c r="AE49" i="3" s="1"/>
  <c r="Z49" i="3"/>
  <c r="AB49" i="3" s="1"/>
  <c r="Y49" i="3"/>
  <c r="AA49" i="3" s="1"/>
  <c r="V49" i="3"/>
  <c r="X49" i="3" s="1"/>
  <c r="U49" i="3"/>
  <c r="W49" i="3" s="1"/>
  <c r="R49" i="3"/>
  <c r="T49" i="3" s="1"/>
  <c r="Q49" i="3"/>
  <c r="S49" i="3" s="1"/>
  <c r="N49" i="3"/>
  <c r="P49" i="3" s="1"/>
  <c r="M49" i="3"/>
  <c r="O49" i="3" s="1"/>
  <c r="J49" i="3"/>
  <c r="L49" i="3" s="1"/>
  <c r="I49" i="3"/>
  <c r="K49" i="3" s="1"/>
  <c r="F49" i="3"/>
  <c r="E49" i="3"/>
  <c r="AP48" i="3"/>
  <c r="AR48" i="3" s="1"/>
  <c r="AO48" i="3"/>
  <c r="AQ48" i="3" s="1"/>
  <c r="AL48" i="3"/>
  <c r="AN48" i="3" s="1"/>
  <c r="AK48" i="3"/>
  <c r="AM48" i="3" s="1"/>
  <c r="AH48" i="3"/>
  <c r="AJ48" i="3" s="1"/>
  <c r="AG48" i="3"/>
  <c r="AI48" i="3" s="1"/>
  <c r="AD48" i="3"/>
  <c r="AF48" i="3" s="1"/>
  <c r="AC48" i="3"/>
  <c r="AE48" i="3" s="1"/>
  <c r="Z48" i="3"/>
  <c r="AB48" i="3" s="1"/>
  <c r="Y48" i="3"/>
  <c r="AA48" i="3" s="1"/>
  <c r="V48" i="3"/>
  <c r="X48" i="3" s="1"/>
  <c r="U48" i="3"/>
  <c r="W48" i="3" s="1"/>
  <c r="R48" i="3"/>
  <c r="T48" i="3" s="1"/>
  <c r="Q48" i="3"/>
  <c r="S48" i="3" s="1"/>
  <c r="N48" i="3"/>
  <c r="P48" i="3" s="1"/>
  <c r="M48" i="3"/>
  <c r="O48" i="3" s="1"/>
  <c r="J48" i="3"/>
  <c r="L48" i="3" s="1"/>
  <c r="I48" i="3"/>
  <c r="K48" i="3" s="1"/>
  <c r="F48" i="3"/>
  <c r="E48" i="3"/>
  <c r="AP47" i="3"/>
  <c r="AR47" i="3" s="1"/>
  <c r="AO47" i="3"/>
  <c r="AQ47" i="3" s="1"/>
  <c r="AL47" i="3"/>
  <c r="AN47" i="3" s="1"/>
  <c r="AK47" i="3"/>
  <c r="AM47" i="3" s="1"/>
  <c r="AH47" i="3"/>
  <c r="AJ47" i="3" s="1"/>
  <c r="AG47" i="3"/>
  <c r="AI47" i="3" s="1"/>
  <c r="AD47" i="3"/>
  <c r="AF47" i="3" s="1"/>
  <c r="AC47" i="3"/>
  <c r="AE47" i="3" s="1"/>
  <c r="Z47" i="3"/>
  <c r="AB47" i="3" s="1"/>
  <c r="Y47" i="3"/>
  <c r="AA47" i="3" s="1"/>
  <c r="V47" i="3"/>
  <c r="X47" i="3" s="1"/>
  <c r="U47" i="3"/>
  <c r="W47" i="3" s="1"/>
  <c r="R47" i="3"/>
  <c r="T47" i="3" s="1"/>
  <c r="Q47" i="3"/>
  <c r="S47" i="3" s="1"/>
  <c r="N47" i="3"/>
  <c r="P47" i="3" s="1"/>
  <c r="M47" i="3"/>
  <c r="O47" i="3" s="1"/>
  <c r="J47" i="3"/>
  <c r="L47" i="3" s="1"/>
  <c r="I47" i="3"/>
  <c r="K47" i="3" s="1"/>
  <c r="F47" i="3"/>
  <c r="E47" i="3"/>
  <c r="AP46" i="3"/>
  <c r="AR46" i="3" s="1"/>
  <c r="AO46" i="3"/>
  <c r="AQ46" i="3" s="1"/>
  <c r="AL46" i="3"/>
  <c r="AN46" i="3" s="1"/>
  <c r="AK46" i="3"/>
  <c r="AM46" i="3" s="1"/>
  <c r="AH46" i="3"/>
  <c r="AJ46" i="3" s="1"/>
  <c r="AG46" i="3"/>
  <c r="AI46" i="3" s="1"/>
  <c r="AD46" i="3"/>
  <c r="AF46" i="3" s="1"/>
  <c r="AC46" i="3"/>
  <c r="AE46" i="3" s="1"/>
  <c r="Z46" i="3"/>
  <c r="AB46" i="3" s="1"/>
  <c r="Y46" i="3"/>
  <c r="AA46" i="3" s="1"/>
  <c r="V46" i="3"/>
  <c r="X46" i="3" s="1"/>
  <c r="U46" i="3"/>
  <c r="W46" i="3" s="1"/>
  <c r="R46" i="3"/>
  <c r="T46" i="3" s="1"/>
  <c r="Q46" i="3"/>
  <c r="S46" i="3" s="1"/>
  <c r="N46" i="3"/>
  <c r="P46" i="3" s="1"/>
  <c r="M46" i="3"/>
  <c r="O46" i="3" s="1"/>
  <c r="J46" i="3"/>
  <c r="L46" i="3" s="1"/>
  <c r="I46" i="3"/>
  <c r="K46" i="3" s="1"/>
  <c r="F46" i="3"/>
  <c r="E46" i="3"/>
  <c r="AP45" i="3"/>
  <c r="AR45" i="3" s="1"/>
  <c r="AO45" i="3"/>
  <c r="AQ45" i="3" s="1"/>
  <c r="AL45" i="3"/>
  <c r="AN45" i="3" s="1"/>
  <c r="AK45" i="3"/>
  <c r="AM45" i="3" s="1"/>
  <c r="AH45" i="3"/>
  <c r="AJ45" i="3" s="1"/>
  <c r="AG45" i="3"/>
  <c r="AI45" i="3" s="1"/>
  <c r="AD45" i="3"/>
  <c r="AF45" i="3" s="1"/>
  <c r="AC45" i="3"/>
  <c r="AE45" i="3" s="1"/>
  <c r="Z45" i="3"/>
  <c r="AB45" i="3" s="1"/>
  <c r="Y45" i="3"/>
  <c r="AA45" i="3" s="1"/>
  <c r="V45" i="3"/>
  <c r="X45" i="3" s="1"/>
  <c r="U45" i="3"/>
  <c r="W45" i="3" s="1"/>
  <c r="R45" i="3"/>
  <c r="T45" i="3" s="1"/>
  <c r="Q45" i="3"/>
  <c r="S45" i="3" s="1"/>
  <c r="N45" i="3"/>
  <c r="P45" i="3" s="1"/>
  <c r="M45" i="3"/>
  <c r="O45" i="3" s="1"/>
  <c r="J45" i="3"/>
  <c r="L45" i="3" s="1"/>
  <c r="I45" i="3"/>
  <c r="K45" i="3" s="1"/>
  <c r="F45" i="3"/>
  <c r="E45" i="3"/>
  <c r="AP44" i="3"/>
  <c r="AR44" i="3" s="1"/>
  <c r="AO44" i="3"/>
  <c r="AQ44" i="3" s="1"/>
  <c r="AL44" i="3"/>
  <c r="AN44" i="3" s="1"/>
  <c r="AK44" i="3"/>
  <c r="AM44" i="3" s="1"/>
  <c r="AH44" i="3"/>
  <c r="AJ44" i="3" s="1"/>
  <c r="AG44" i="3"/>
  <c r="AI44" i="3" s="1"/>
  <c r="AD44" i="3"/>
  <c r="AF44" i="3" s="1"/>
  <c r="AC44" i="3"/>
  <c r="AE44" i="3" s="1"/>
  <c r="Z44" i="3"/>
  <c r="AB44" i="3" s="1"/>
  <c r="Y44" i="3"/>
  <c r="AA44" i="3" s="1"/>
  <c r="V44" i="3"/>
  <c r="X44" i="3" s="1"/>
  <c r="U44" i="3"/>
  <c r="W44" i="3" s="1"/>
  <c r="R44" i="3"/>
  <c r="T44" i="3" s="1"/>
  <c r="Q44" i="3"/>
  <c r="S44" i="3" s="1"/>
  <c r="N44" i="3"/>
  <c r="P44" i="3" s="1"/>
  <c r="M44" i="3"/>
  <c r="O44" i="3" s="1"/>
  <c r="J44" i="3"/>
  <c r="L44" i="3" s="1"/>
  <c r="I44" i="3"/>
  <c r="K44" i="3" s="1"/>
  <c r="F44" i="3"/>
  <c r="E44" i="3"/>
  <c r="AP43" i="3"/>
  <c r="AR43" i="3" s="1"/>
  <c r="AO43" i="3"/>
  <c r="AQ43" i="3" s="1"/>
  <c r="AL43" i="3"/>
  <c r="AN43" i="3" s="1"/>
  <c r="AK43" i="3"/>
  <c r="AM43" i="3" s="1"/>
  <c r="AH43" i="3"/>
  <c r="AJ43" i="3" s="1"/>
  <c r="AG43" i="3"/>
  <c r="AI43" i="3" s="1"/>
  <c r="AD43" i="3"/>
  <c r="AF43" i="3" s="1"/>
  <c r="AC43" i="3"/>
  <c r="AE43" i="3" s="1"/>
  <c r="Z43" i="3"/>
  <c r="AB43" i="3" s="1"/>
  <c r="Y43" i="3"/>
  <c r="AA43" i="3" s="1"/>
  <c r="V43" i="3"/>
  <c r="X43" i="3" s="1"/>
  <c r="U43" i="3"/>
  <c r="W43" i="3" s="1"/>
  <c r="R43" i="3"/>
  <c r="T43" i="3" s="1"/>
  <c r="Q43" i="3"/>
  <c r="S43" i="3" s="1"/>
  <c r="N43" i="3"/>
  <c r="P43" i="3" s="1"/>
  <c r="M43" i="3"/>
  <c r="O43" i="3" s="1"/>
  <c r="J43" i="3"/>
  <c r="L43" i="3" s="1"/>
  <c r="I43" i="3"/>
  <c r="K43" i="3" s="1"/>
  <c r="F43" i="3"/>
  <c r="E43" i="3"/>
  <c r="AP42" i="3"/>
  <c r="AR42" i="3" s="1"/>
  <c r="AO42" i="3"/>
  <c r="AQ42" i="3" s="1"/>
  <c r="AL42" i="3"/>
  <c r="AN42" i="3" s="1"/>
  <c r="AK42" i="3"/>
  <c r="AM42" i="3" s="1"/>
  <c r="AH42" i="3"/>
  <c r="AJ42" i="3" s="1"/>
  <c r="AG42" i="3"/>
  <c r="AI42" i="3" s="1"/>
  <c r="AD42" i="3"/>
  <c r="AF42" i="3" s="1"/>
  <c r="AC42" i="3"/>
  <c r="AE42" i="3" s="1"/>
  <c r="Z42" i="3"/>
  <c r="AB42" i="3" s="1"/>
  <c r="Y42" i="3"/>
  <c r="AA42" i="3" s="1"/>
  <c r="V42" i="3"/>
  <c r="X42" i="3" s="1"/>
  <c r="U42" i="3"/>
  <c r="W42" i="3" s="1"/>
  <c r="R42" i="3"/>
  <c r="T42" i="3" s="1"/>
  <c r="Q42" i="3"/>
  <c r="S42" i="3" s="1"/>
  <c r="N42" i="3"/>
  <c r="P42" i="3" s="1"/>
  <c r="M42" i="3"/>
  <c r="O42" i="3" s="1"/>
  <c r="J42" i="3"/>
  <c r="L42" i="3" s="1"/>
  <c r="I42" i="3"/>
  <c r="K42" i="3" s="1"/>
  <c r="F42" i="3"/>
  <c r="E42" i="3"/>
  <c r="AP41" i="3"/>
  <c r="AR41" i="3" s="1"/>
  <c r="AO41" i="3"/>
  <c r="AQ41" i="3" s="1"/>
  <c r="AL41" i="3"/>
  <c r="AN41" i="3" s="1"/>
  <c r="AK41" i="3"/>
  <c r="AM41" i="3" s="1"/>
  <c r="AH41" i="3"/>
  <c r="AJ41" i="3" s="1"/>
  <c r="AG41" i="3"/>
  <c r="AI41" i="3" s="1"/>
  <c r="AD41" i="3"/>
  <c r="AF41" i="3" s="1"/>
  <c r="AC41" i="3"/>
  <c r="AE41" i="3" s="1"/>
  <c r="Z41" i="3"/>
  <c r="AB41" i="3" s="1"/>
  <c r="Y41" i="3"/>
  <c r="AA41" i="3" s="1"/>
  <c r="V41" i="3"/>
  <c r="X41" i="3" s="1"/>
  <c r="U41" i="3"/>
  <c r="W41" i="3" s="1"/>
  <c r="R41" i="3"/>
  <c r="T41" i="3" s="1"/>
  <c r="Q41" i="3"/>
  <c r="S41" i="3" s="1"/>
  <c r="N41" i="3"/>
  <c r="P41" i="3" s="1"/>
  <c r="M41" i="3"/>
  <c r="O41" i="3" s="1"/>
  <c r="J41" i="3"/>
  <c r="L41" i="3" s="1"/>
  <c r="I41" i="3"/>
  <c r="K41" i="3" s="1"/>
  <c r="F41" i="3"/>
  <c r="E41" i="3"/>
  <c r="AP40" i="3"/>
  <c r="AR40" i="3" s="1"/>
  <c r="AO40" i="3"/>
  <c r="AQ40" i="3" s="1"/>
  <c r="AL40" i="3"/>
  <c r="AN40" i="3" s="1"/>
  <c r="AK40" i="3"/>
  <c r="AM40" i="3" s="1"/>
  <c r="AH40" i="3"/>
  <c r="AJ40" i="3" s="1"/>
  <c r="AG40" i="3"/>
  <c r="AI40" i="3" s="1"/>
  <c r="AD40" i="3"/>
  <c r="AF40" i="3" s="1"/>
  <c r="AC40" i="3"/>
  <c r="AE40" i="3" s="1"/>
  <c r="Z40" i="3"/>
  <c r="AB40" i="3" s="1"/>
  <c r="Y40" i="3"/>
  <c r="AA40" i="3" s="1"/>
  <c r="V40" i="3"/>
  <c r="X40" i="3" s="1"/>
  <c r="U40" i="3"/>
  <c r="W40" i="3" s="1"/>
  <c r="R40" i="3"/>
  <c r="T40" i="3" s="1"/>
  <c r="Q40" i="3"/>
  <c r="S40" i="3" s="1"/>
  <c r="N40" i="3"/>
  <c r="P40" i="3" s="1"/>
  <c r="M40" i="3"/>
  <c r="O40" i="3" s="1"/>
  <c r="J40" i="3"/>
  <c r="L40" i="3" s="1"/>
  <c r="I40" i="3"/>
  <c r="K40" i="3" s="1"/>
  <c r="F40" i="3"/>
  <c r="E40" i="3"/>
  <c r="AP39" i="3"/>
  <c r="AR39" i="3" s="1"/>
  <c r="AO39" i="3"/>
  <c r="AQ39" i="3" s="1"/>
  <c r="AL39" i="3"/>
  <c r="AN39" i="3" s="1"/>
  <c r="AK39" i="3"/>
  <c r="AM39" i="3" s="1"/>
  <c r="AH39" i="3"/>
  <c r="AJ39" i="3" s="1"/>
  <c r="AG39" i="3"/>
  <c r="AI39" i="3" s="1"/>
  <c r="AD39" i="3"/>
  <c r="AF39" i="3" s="1"/>
  <c r="AC39" i="3"/>
  <c r="AE39" i="3" s="1"/>
  <c r="Z39" i="3"/>
  <c r="AB39" i="3" s="1"/>
  <c r="Y39" i="3"/>
  <c r="AA39" i="3" s="1"/>
  <c r="V39" i="3"/>
  <c r="X39" i="3" s="1"/>
  <c r="U39" i="3"/>
  <c r="W39" i="3" s="1"/>
  <c r="R39" i="3"/>
  <c r="T39" i="3" s="1"/>
  <c r="Q39" i="3"/>
  <c r="S39" i="3" s="1"/>
  <c r="N39" i="3"/>
  <c r="P39" i="3" s="1"/>
  <c r="M39" i="3"/>
  <c r="O39" i="3" s="1"/>
  <c r="J39" i="3"/>
  <c r="L39" i="3" s="1"/>
  <c r="I39" i="3"/>
  <c r="K39" i="3" s="1"/>
  <c r="F39" i="3"/>
  <c r="E39" i="3"/>
  <c r="AP38" i="3"/>
  <c r="AR38" i="3" s="1"/>
  <c r="AO38" i="3"/>
  <c r="AQ38" i="3" s="1"/>
  <c r="AL38" i="3"/>
  <c r="AN38" i="3" s="1"/>
  <c r="AK38" i="3"/>
  <c r="AM38" i="3" s="1"/>
  <c r="AH38" i="3"/>
  <c r="AJ38" i="3" s="1"/>
  <c r="AG38" i="3"/>
  <c r="AI38" i="3" s="1"/>
  <c r="AD38" i="3"/>
  <c r="AF38" i="3" s="1"/>
  <c r="AC38" i="3"/>
  <c r="AE38" i="3" s="1"/>
  <c r="Z38" i="3"/>
  <c r="AB38" i="3" s="1"/>
  <c r="Y38" i="3"/>
  <c r="AA38" i="3" s="1"/>
  <c r="V38" i="3"/>
  <c r="X38" i="3" s="1"/>
  <c r="U38" i="3"/>
  <c r="W38" i="3" s="1"/>
  <c r="R38" i="3"/>
  <c r="T38" i="3" s="1"/>
  <c r="Q38" i="3"/>
  <c r="S38" i="3" s="1"/>
  <c r="N38" i="3"/>
  <c r="P38" i="3" s="1"/>
  <c r="M38" i="3"/>
  <c r="O38" i="3" s="1"/>
  <c r="J38" i="3"/>
  <c r="L38" i="3" s="1"/>
  <c r="I38" i="3"/>
  <c r="K38" i="3" s="1"/>
  <c r="F38" i="3"/>
  <c r="E38" i="3"/>
  <c r="AP37" i="3"/>
  <c r="AR37" i="3" s="1"/>
  <c r="AO37" i="3"/>
  <c r="AQ37" i="3" s="1"/>
  <c r="AL37" i="3"/>
  <c r="AN37" i="3" s="1"/>
  <c r="AK37" i="3"/>
  <c r="AM37" i="3" s="1"/>
  <c r="AH37" i="3"/>
  <c r="AJ37" i="3" s="1"/>
  <c r="AG37" i="3"/>
  <c r="AI37" i="3" s="1"/>
  <c r="AD37" i="3"/>
  <c r="AF37" i="3" s="1"/>
  <c r="AC37" i="3"/>
  <c r="AE37" i="3" s="1"/>
  <c r="Z37" i="3"/>
  <c r="AB37" i="3" s="1"/>
  <c r="Y37" i="3"/>
  <c r="AA37" i="3" s="1"/>
  <c r="V37" i="3"/>
  <c r="X37" i="3" s="1"/>
  <c r="U37" i="3"/>
  <c r="W37" i="3" s="1"/>
  <c r="R37" i="3"/>
  <c r="T37" i="3" s="1"/>
  <c r="Q37" i="3"/>
  <c r="S37" i="3" s="1"/>
  <c r="N37" i="3"/>
  <c r="P37" i="3" s="1"/>
  <c r="M37" i="3"/>
  <c r="O37" i="3" s="1"/>
  <c r="J37" i="3"/>
  <c r="L37" i="3" s="1"/>
  <c r="I37" i="3"/>
  <c r="K37" i="3" s="1"/>
  <c r="F37" i="3"/>
  <c r="E37" i="3"/>
  <c r="AP36" i="3"/>
  <c r="AR36" i="3" s="1"/>
  <c r="AO36" i="3"/>
  <c r="AQ36" i="3" s="1"/>
  <c r="AL36" i="3"/>
  <c r="AN36" i="3" s="1"/>
  <c r="AK36" i="3"/>
  <c r="AM36" i="3" s="1"/>
  <c r="AH36" i="3"/>
  <c r="AJ36" i="3" s="1"/>
  <c r="AG36" i="3"/>
  <c r="AI36" i="3" s="1"/>
  <c r="AD36" i="3"/>
  <c r="AF36" i="3" s="1"/>
  <c r="AC36" i="3"/>
  <c r="AE36" i="3" s="1"/>
  <c r="Z36" i="3"/>
  <c r="AB36" i="3" s="1"/>
  <c r="Y36" i="3"/>
  <c r="AA36" i="3" s="1"/>
  <c r="V36" i="3"/>
  <c r="X36" i="3" s="1"/>
  <c r="U36" i="3"/>
  <c r="W36" i="3" s="1"/>
  <c r="R36" i="3"/>
  <c r="T36" i="3" s="1"/>
  <c r="Q36" i="3"/>
  <c r="S36" i="3" s="1"/>
  <c r="N36" i="3"/>
  <c r="P36" i="3" s="1"/>
  <c r="M36" i="3"/>
  <c r="O36" i="3" s="1"/>
  <c r="J36" i="3"/>
  <c r="L36" i="3" s="1"/>
  <c r="I36" i="3"/>
  <c r="K36" i="3" s="1"/>
  <c r="F36" i="3"/>
  <c r="E36" i="3"/>
  <c r="AP35" i="3"/>
  <c r="AR35" i="3" s="1"/>
  <c r="AO35" i="3"/>
  <c r="AQ35" i="3" s="1"/>
  <c r="AL35" i="3"/>
  <c r="AN35" i="3" s="1"/>
  <c r="AK35" i="3"/>
  <c r="AM35" i="3" s="1"/>
  <c r="AH35" i="3"/>
  <c r="AJ35" i="3" s="1"/>
  <c r="AG35" i="3"/>
  <c r="AI35" i="3" s="1"/>
  <c r="AD35" i="3"/>
  <c r="AF35" i="3" s="1"/>
  <c r="AC35" i="3"/>
  <c r="AE35" i="3" s="1"/>
  <c r="Z35" i="3"/>
  <c r="AB35" i="3" s="1"/>
  <c r="Y35" i="3"/>
  <c r="AA35" i="3" s="1"/>
  <c r="V35" i="3"/>
  <c r="U35" i="3"/>
  <c r="R35" i="3"/>
  <c r="T35" i="3" s="1"/>
  <c r="Q35" i="3"/>
  <c r="S35" i="3" s="1"/>
  <c r="N35" i="3"/>
  <c r="P35" i="3" s="1"/>
  <c r="M35" i="3"/>
  <c r="O35" i="3" s="1"/>
  <c r="J35" i="3"/>
  <c r="L35" i="3" s="1"/>
  <c r="I35" i="3"/>
  <c r="K35" i="3" s="1"/>
  <c r="F35" i="3"/>
  <c r="E35" i="3"/>
  <c r="AP34" i="3"/>
  <c r="AR34" i="3" s="1"/>
  <c r="AO34" i="3"/>
  <c r="AQ34" i="3" s="1"/>
  <c r="AL34" i="3"/>
  <c r="AN34" i="3" s="1"/>
  <c r="AK34" i="3"/>
  <c r="AM34" i="3" s="1"/>
  <c r="AH34" i="3"/>
  <c r="AJ34" i="3" s="1"/>
  <c r="AG34" i="3"/>
  <c r="AI34" i="3" s="1"/>
  <c r="AD34" i="3"/>
  <c r="AF34" i="3" s="1"/>
  <c r="AC34" i="3"/>
  <c r="AE34" i="3" s="1"/>
  <c r="Z34" i="3"/>
  <c r="AB34" i="3" s="1"/>
  <c r="Y34" i="3"/>
  <c r="AA34" i="3" s="1"/>
  <c r="V34" i="3"/>
  <c r="X34" i="3" s="1"/>
  <c r="U34" i="3"/>
  <c r="W34" i="3" s="1"/>
  <c r="R34" i="3"/>
  <c r="T34" i="3" s="1"/>
  <c r="Q34" i="3"/>
  <c r="S34" i="3" s="1"/>
  <c r="N34" i="3"/>
  <c r="P34" i="3" s="1"/>
  <c r="M34" i="3"/>
  <c r="O34" i="3" s="1"/>
  <c r="J34" i="3"/>
  <c r="L34" i="3" s="1"/>
  <c r="I34" i="3"/>
  <c r="K34" i="3" s="1"/>
  <c r="F34" i="3"/>
  <c r="E34" i="3"/>
  <c r="AP33" i="3"/>
  <c r="AR33" i="3" s="1"/>
  <c r="AO33" i="3"/>
  <c r="AQ33" i="3" s="1"/>
  <c r="AL33" i="3"/>
  <c r="AN33" i="3" s="1"/>
  <c r="AK33" i="3"/>
  <c r="AM33" i="3" s="1"/>
  <c r="AH33" i="3"/>
  <c r="AJ33" i="3" s="1"/>
  <c r="AG33" i="3"/>
  <c r="AI33" i="3" s="1"/>
  <c r="AD33" i="3"/>
  <c r="AF33" i="3" s="1"/>
  <c r="AC33" i="3"/>
  <c r="AE33" i="3" s="1"/>
  <c r="Z33" i="3"/>
  <c r="AB33" i="3" s="1"/>
  <c r="Y33" i="3"/>
  <c r="AA33" i="3" s="1"/>
  <c r="V33" i="3"/>
  <c r="X33" i="3" s="1"/>
  <c r="U33" i="3"/>
  <c r="W33" i="3" s="1"/>
  <c r="R33" i="3"/>
  <c r="T33" i="3" s="1"/>
  <c r="Q33" i="3"/>
  <c r="S33" i="3" s="1"/>
  <c r="N33" i="3"/>
  <c r="P33" i="3" s="1"/>
  <c r="M33" i="3"/>
  <c r="O33" i="3" s="1"/>
  <c r="J33" i="3"/>
  <c r="L33" i="3" s="1"/>
  <c r="I33" i="3"/>
  <c r="K33" i="3" s="1"/>
  <c r="F33" i="3"/>
  <c r="E33" i="3"/>
  <c r="AP32" i="3"/>
  <c r="AR32" i="3" s="1"/>
  <c r="AO32" i="3"/>
  <c r="AQ32" i="3" s="1"/>
  <c r="AL32" i="3"/>
  <c r="AN32" i="3" s="1"/>
  <c r="AK32" i="3"/>
  <c r="AM32" i="3" s="1"/>
  <c r="AH32" i="3"/>
  <c r="AJ32" i="3" s="1"/>
  <c r="AG32" i="3"/>
  <c r="AI32" i="3" s="1"/>
  <c r="AD32" i="3"/>
  <c r="AF32" i="3" s="1"/>
  <c r="AC32" i="3"/>
  <c r="AE32" i="3" s="1"/>
  <c r="Z32" i="3"/>
  <c r="AB32" i="3" s="1"/>
  <c r="Y32" i="3"/>
  <c r="AA32" i="3" s="1"/>
  <c r="V32" i="3"/>
  <c r="X32" i="3" s="1"/>
  <c r="U32" i="3"/>
  <c r="W32" i="3" s="1"/>
  <c r="R32" i="3"/>
  <c r="T32" i="3" s="1"/>
  <c r="Q32" i="3"/>
  <c r="S32" i="3" s="1"/>
  <c r="N32" i="3"/>
  <c r="P32" i="3" s="1"/>
  <c r="M32" i="3"/>
  <c r="O32" i="3" s="1"/>
  <c r="J32" i="3"/>
  <c r="L32" i="3" s="1"/>
  <c r="I32" i="3"/>
  <c r="K32" i="3" s="1"/>
  <c r="F32" i="3"/>
  <c r="E32" i="3"/>
  <c r="AP31" i="3"/>
  <c r="AR31" i="3" s="1"/>
  <c r="AO31" i="3"/>
  <c r="AQ31" i="3" s="1"/>
  <c r="AL31" i="3"/>
  <c r="AN31" i="3" s="1"/>
  <c r="AK31" i="3"/>
  <c r="AM31" i="3" s="1"/>
  <c r="AH31" i="3"/>
  <c r="AJ31" i="3" s="1"/>
  <c r="AG31" i="3"/>
  <c r="AI31" i="3" s="1"/>
  <c r="AD31" i="3"/>
  <c r="AF31" i="3" s="1"/>
  <c r="AC31" i="3"/>
  <c r="AE31" i="3" s="1"/>
  <c r="Z31" i="3"/>
  <c r="AB31" i="3" s="1"/>
  <c r="Y31" i="3"/>
  <c r="AA31" i="3" s="1"/>
  <c r="V31" i="3"/>
  <c r="X31" i="3" s="1"/>
  <c r="U31" i="3"/>
  <c r="W31" i="3" s="1"/>
  <c r="R31" i="3"/>
  <c r="T31" i="3" s="1"/>
  <c r="Q31" i="3"/>
  <c r="S31" i="3" s="1"/>
  <c r="N31" i="3"/>
  <c r="P31" i="3" s="1"/>
  <c r="M31" i="3"/>
  <c r="O31" i="3" s="1"/>
  <c r="J31" i="3"/>
  <c r="L31" i="3" s="1"/>
  <c r="I31" i="3"/>
  <c r="K31" i="3" s="1"/>
  <c r="F31" i="3"/>
  <c r="E31" i="3"/>
  <c r="AP29" i="3"/>
  <c r="AR29" i="3" s="1"/>
  <c r="AO29" i="3"/>
  <c r="AQ29" i="3" s="1"/>
  <c r="AL29" i="3"/>
  <c r="AN29" i="3" s="1"/>
  <c r="AK29" i="3"/>
  <c r="AM29" i="3" s="1"/>
  <c r="AH29" i="3"/>
  <c r="AJ29" i="3" s="1"/>
  <c r="AG29" i="3"/>
  <c r="AI29" i="3" s="1"/>
  <c r="AD29" i="3"/>
  <c r="AF29" i="3" s="1"/>
  <c r="AC29" i="3"/>
  <c r="AE29" i="3" s="1"/>
  <c r="Z29" i="3"/>
  <c r="AB29" i="3" s="1"/>
  <c r="Y29" i="3"/>
  <c r="AA29" i="3" s="1"/>
  <c r="V29" i="3"/>
  <c r="X29" i="3" s="1"/>
  <c r="U29" i="3"/>
  <c r="W29" i="3" s="1"/>
  <c r="R29" i="3"/>
  <c r="T29" i="3" s="1"/>
  <c r="Q29" i="3"/>
  <c r="S29" i="3" s="1"/>
  <c r="N29" i="3"/>
  <c r="P29" i="3" s="1"/>
  <c r="M29" i="3"/>
  <c r="O29" i="3" s="1"/>
  <c r="J29" i="3"/>
  <c r="L29" i="3" s="1"/>
  <c r="I29" i="3"/>
  <c r="K29" i="3" s="1"/>
  <c r="F29" i="3"/>
  <c r="E29" i="3"/>
  <c r="AP27" i="3"/>
  <c r="AR27" i="3" s="1"/>
  <c r="AO27" i="3"/>
  <c r="AQ27" i="3" s="1"/>
  <c r="AL27" i="3"/>
  <c r="AN27" i="3" s="1"/>
  <c r="AK27" i="3"/>
  <c r="AM27" i="3" s="1"/>
  <c r="AH27" i="3"/>
  <c r="AJ27" i="3" s="1"/>
  <c r="AG27" i="3"/>
  <c r="AI27" i="3" s="1"/>
  <c r="AD27" i="3"/>
  <c r="AF27" i="3" s="1"/>
  <c r="AC27" i="3"/>
  <c r="AE27" i="3" s="1"/>
  <c r="Z27" i="3"/>
  <c r="AB27" i="3" s="1"/>
  <c r="Y27" i="3"/>
  <c r="AA27" i="3" s="1"/>
  <c r="V27" i="3"/>
  <c r="X27" i="3" s="1"/>
  <c r="U27" i="3"/>
  <c r="W27" i="3" s="1"/>
  <c r="R27" i="3"/>
  <c r="T27" i="3" s="1"/>
  <c r="Q27" i="3"/>
  <c r="S27" i="3" s="1"/>
  <c r="N27" i="3"/>
  <c r="P27" i="3" s="1"/>
  <c r="M27" i="3"/>
  <c r="O27" i="3" s="1"/>
  <c r="J27" i="3"/>
  <c r="L27" i="3" s="1"/>
  <c r="I27" i="3"/>
  <c r="K27" i="3" s="1"/>
  <c r="F27" i="3"/>
  <c r="E27" i="3"/>
  <c r="AP26" i="3"/>
  <c r="AR26" i="3" s="1"/>
  <c r="AO26" i="3"/>
  <c r="AQ26" i="3" s="1"/>
  <c r="AL26" i="3"/>
  <c r="AN26" i="3" s="1"/>
  <c r="AK26" i="3"/>
  <c r="AM26" i="3" s="1"/>
  <c r="AH26" i="3"/>
  <c r="AJ26" i="3" s="1"/>
  <c r="AG26" i="3"/>
  <c r="AI26" i="3" s="1"/>
  <c r="AD26" i="3"/>
  <c r="AF26" i="3" s="1"/>
  <c r="AC26" i="3"/>
  <c r="AE26" i="3" s="1"/>
  <c r="Z26" i="3"/>
  <c r="AB26" i="3" s="1"/>
  <c r="Y26" i="3"/>
  <c r="AA26" i="3" s="1"/>
  <c r="V26" i="3"/>
  <c r="X26" i="3" s="1"/>
  <c r="U26" i="3"/>
  <c r="W26" i="3" s="1"/>
  <c r="R26" i="3"/>
  <c r="T26" i="3" s="1"/>
  <c r="Q26" i="3"/>
  <c r="S26" i="3" s="1"/>
  <c r="N26" i="3"/>
  <c r="P26" i="3" s="1"/>
  <c r="M26" i="3"/>
  <c r="O26" i="3" s="1"/>
  <c r="J26" i="3"/>
  <c r="L26" i="3" s="1"/>
  <c r="I26" i="3"/>
  <c r="K26" i="3" s="1"/>
  <c r="F26" i="3"/>
  <c r="E26" i="3"/>
  <c r="AP25" i="3"/>
  <c r="AR25" i="3" s="1"/>
  <c r="AO25" i="3"/>
  <c r="AQ25" i="3" s="1"/>
  <c r="AL25" i="3"/>
  <c r="AN25" i="3" s="1"/>
  <c r="AK25" i="3"/>
  <c r="AM25" i="3" s="1"/>
  <c r="AH25" i="3"/>
  <c r="AJ25" i="3" s="1"/>
  <c r="AG25" i="3"/>
  <c r="AI25" i="3" s="1"/>
  <c r="AD25" i="3"/>
  <c r="AF25" i="3" s="1"/>
  <c r="AC25" i="3"/>
  <c r="AE25" i="3" s="1"/>
  <c r="Z25" i="3"/>
  <c r="AB25" i="3" s="1"/>
  <c r="Y25" i="3"/>
  <c r="AA25" i="3" s="1"/>
  <c r="V25" i="3"/>
  <c r="X25" i="3" s="1"/>
  <c r="U25" i="3"/>
  <c r="W25" i="3" s="1"/>
  <c r="R25" i="3"/>
  <c r="T25" i="3" s="1"/>
  <c r="Q25" i="3"/>
  <c r="S25" i="3" s="1"/>
  <c r="N25" i="3"/>
  <c r="P25" i="3" s="1"/>
  <c r="M25" i="3"/>
  <c r="O25" i="3" s="1"/>
  <c r="J25" i="3"/>
  <c r="L25" i="3" s="1"/>
  <c r="I25" i="3"/>
  <c r="K25" i="3" s="1"/>
  <c r="F25" i="3"/>
  <c r="E25" i="3"/>
  <c r="AP24" i="3"/>
  <c r="AR24" i="3" s="1"/>
  <c r="AO24" i="3"/>
  <c r="AQ24" i="3" s="1"/>
  <c r="AL24" i="3"/>
  <c r="AN24" i="3" s="1"/>
  <c r="AK24" i="3"/>
  <c r="AM24" i="3" s="1"/>
  <c r="AH24" i="3"/>
  <c r="AJ24" i="3" s="1"/>
  <c r="AG24" i="3"/>
  <c r="AI24" i="3" s="1"/>
  <c r="AD24" i="3"/>
  <c r="AF24" i="3" s="1"/>
  <c r="AC24" i="3"/>
  <c r="AE24" i="3" s="1"/>
  <c r="Z24" i="3"/>
  <c r="AB24" i="3" s="1"/>
  <c r="Y24" i="3"/>
  <c r="AA24" i="3" s="1"/>
  <c r="V24" i="3"/>
  <c r="X24" i="3" s="1"/>
  <c r="U24" i="3"/>
  <c r="W24" i="3" s="1"/>
  <c r="R24" i="3"/>
  <c r="T24" i="3" s="1"/>
  <c r="Q24" i="3"/>
  <c r="S24" i="3" s="1"/>
  <c r="N24" i="3"/>
  <c r="P24" i="3" s="1"/>
  <c r="M24" i="3"/>
  <c r="O24" i="3" s="1"/>
  <c r="J24" i="3"/>
  <c r="L24" i="3" s="1"/>
  <c r="I24" i="3"/>
  <c r="K24" i="3" s="1"/>
  <c r="F24" i="3"/>
  <c r="E24" i="3"/>
  <c r="AP23" i="3"/>
  <c r="AR23" i="3" s="1"/>
  <c r="AO23" i="3"/>
  <c r="AQ23" i="3" s="1"/>
  <c r="AL23" i="3"/>
  <c r="AN23" i="3" s="1"/>
  <c r="AK23" i="3"/>
  <c r="AM23" i="3" s="1"/>
  <c r="AH23" i="3"/>
  <c r="AJ23" i="3" s="1"/>
  <c r="AG23" i="3"/>
  <c r="AI23" i="3" s="1"/>
  <c r="AD23" i="3"/>
  <c r="AF23" i="3" s="1"/>
  <c r="AC23" i="3"/>
  <c r="AE23" i="3" s="1"/>
  <c r="Z23" i="3"/>
  <c r="AB23" i="3" s="1"/>
  <c r="Y23" i="3"/>
  <c r="AA23" i="3" s="1"/>
  <c r="V23" i="3"/>
  <c r="X23" i="3" s="1"/>
  <c r="U23" i="3"/>
  <c r="W23" i="3" s="1"/>
  <c r="R23" i="3"/>
  <c r="T23" i="3" s="1"/>
  <c r="Q23" i="3"/>
  <c r="S23" i="3" s="1"/>
  <c r="N23" i="3"/>
  <c r="P23" i="3" s="1"/>
  <c r="M23" i="3"/>
  <c r="O23" i="3" s="1"/>
  <c r="J23" i="3"/>
  <c r="L23" i="3" s="1"/>
  <c r="I23" i="3"/>
  <c r="K23" i="3" s="1"/>
  <c r="F23" i="3"/>
  <c r="E23" i="3"/>
  <c r="AP22" i="3"/>
  <c r="AR22" i="3" s="1"/>
  <c r="AO22" i="3"/>
  <c r="AQ22" i="3" s="1"/>
  <c r="AL22" i="3"/>
  <c r="AN22" i="3" s="1"/>
  <c r="AK22" i="3"/>
  <c r="AM22" i="3" s="1"/>
  <c r="AH22" i="3"/>
  <c r="AJ22" i="3" s="1"/>
  <c r="AG22" i="3"/>
  <c r="AI22" i="3" s="1"/>
  <c r="AD22" i="3"/>
  <c r="AF22" i="3" s="1"/>
  <c r="AC22" i="3"/>
  <c r="AE22" i="3" s="1"/>
  <c r="Z22" i="3"/>
  <c r="AB22" i="3" s="1"/>
  <c r="Y22" i="3"/>
  <c r="AA22" i="3" s="1"/>
  <c r="V22" i="3"/>
  <c r="X22" i="3" s="1"/>
  <c r="U22" i="3"/>
  <c r="W22" i="3" s="1"/>
  <c r="R22" i="3"/>
  <c r="T22" i="3" s="1"/>
  <c r="Q22" i="3"/>
  <c r="S22" i="3" s="1"/>
  <c r="N22" i="3"/>
  <c r="P22" i="3" s="1"/>
  <c r="M22" i="3"/>
  <c r="O22" i="3" s="1"/>
  <c r="J22" i="3"/>
  <c r="L22" i="3" s="1"/>
  <c r="I22" i="3"/>
  <c r="K22" i="3" s="1"/>
  <c r="F22" i="3"/>
  <c r="E22" i="3"/>
  <c r="AP21" i="3"/>
  <c r="AR21" i="3" s="1"/>
  <c r="AO21" i="3"/>
  <c r="AQ21" i="3" s="1"/>
  <c r="AL21" i="3"/>
  <c r="AN21" i="3" s="1"/>
  <c r="AK21" i="3"/>
  <c r="AM21" i="3" s="1"/>
  <c r="AH21" i="3"/>
  <c r="AJ21" i="3" s="1"/>
  <c r="AG21" i="3"/>
  <c r="AI21" i="3" s="1"/>
  <c r="AD21" i="3"/>
  <c r="AF21" i="3" s="1"/>
  <c r="AC21" i="3"/>
  <c r="AE21" i="3" s="1"/>
  <c r="Z21" i="3"/>
  <c r="AB21" i="3" s="1"/>
  <c r="Y21" i="3"/>
  <c r="AA21" i="3" s="1"/>
  <c r="V21" i="3"/>
  <c r="X21" i="3" s="1"/>
  <c r="U21" i="3"/>
  <c r="W21" i="3" s="1"/>
  <c r="R21" i="3"/>
  <c r="T21" i="3" s="1"/>
  <c r="Q21" i="3"/>
  <c r="S21" i="3" s="1"/>
  <c r="N21" i="3"/>
  <c r="P21" i="3" s="1"/>
  <c r="M21" i="3"/>
  <c r="O21" i="3" s="1"/>
  <c r="J21" i="3"/>
  <c r="L21" i="3" s="1"/>
  <c r="I21" i="3"/>
  <c r="K21" i="3" s="1"/>
  <c r="F21" i="3"/>
  <c r="E21" i="3"/>
  <c r="AP20" i="3"/>
  <c r="AR20" i="3" s="1"/>
  <c r="AO20" i="3"/>
  <c r="AQ20" i="3" s="1"/>
  <c r="AL20" i="3"/>
  <c r="AN20" i="3" s="1"/>
  <c r="AK20" i="3"/>
  <c r="AM20" i="3" s="1"/>
  <c r="AH20" i="3"/>
  <c r="AJ20" i="3" s="1"/>
  <c r="AG20" i="3"/>
  <c r="AI20" i="3" s="1"/>
  <c r="AD20" i="3"/>
  <c r="AF20" i="3" s="1"/>
  <c r="AC20" i="3"/>
  <c r="AE20" i="3" s="1"/>
  <c r="Z20" i="3"/>
  <c r="AB20" i="3" s="1"/>
  <c r="Y20" i="3"/>
  <c r="AA20" i="3" s="1"/>
  <c r="V20" i="3"/>
  <c r="X20" i="3" s="1"/>
  <c r="U20" i="3"/>
  <c r="W20" i="3" s="1"/>
  <c r="R20" i="3"/>
  <c r="T20" i="3" s="1"/>
  <c r="Q20" i="3"/>
  <c r="S20" i="3" s="1"/>
  <c r="N20" i="3"/>
  <c r="P20" i="3" s="1"/>
  <c r="M20" i="3"/>
  <c r="O20" i="3" s="1"/>
  <c r="J20" i="3"/>
  <c r="L20" i="3" s="1"/>
  <c r="I20" i="3"/>
  <c r="K20" i="3" s="1"/>
  <c r="F20" i="3"/>
  <c r="E20" i="3"/>
  <c r="AP18" i="3"/>
  <c r="AR18" i="3" s="1"/>
  <c r="AO18" i="3"/>
  <c r="AQ18" i="3" s="1"/>
  <c r="AL18" i="3"/>
  <c r="AN18" i="3" s="1"/>
  <c r="AK18" i="3"/>
  <c r="AM18" i="3" s="1"/>
  <c r="AH18" i="3"/>
  <c r="AJ18" i="3" s="1"/>
  <c r="AG18" i="3"/>
  <c r="AI18" i="3" s="1"/>
  <c r="AD18" i="3"/>
  <c r="AF18" i="3" s="1"/>
  <c r="AC18" i="3"/>
  <c r="AE18" i="3" s="1"/>
  <c r="Z18" i="3"/>
  <c r="AB18" i="3" s="1"/>
  <c r="Y18" i="3"/>
  <c r="AA18" i="3" s="1"/>
  <c r="V18" i="3"/>
  <c r="X18" i="3" s="1"/>
  <c r="U18" i="3"/>
  <c r="W18" i="3" s="1"/>
  <c r="R18" i="3"/>
  <c r="T18" i="3" s="1"/>
  <c r="Q18" i="3"/>
  <c r="S18" i="3" s="1"/>
  <c r="N18" i="3"/>
  <c r="P18" i="3" s="1"/>
  <c r="M18" i="3"/>
  <c r="O18" i="3" s="1"/>
  <c r="J18" i="3"/>
  <c r="L18" i="3" s="1"/>
  <c r="I18" i="3"/>
  <c r="K18" i="3" s="1"/>
  <c r="F18" i="3"/>
  <c r="E18" i="3"/>
  <c r="AP17" i="3"/>
  <c r="AR17" i="3" s="1"/>
  <c r="AO17" i="3"/>
  <c r="AQ17" i="3" s="1"/>
  <c r="AL17" i="3"/>
  <c r="AN17" i="3" s="1"/>
  <c r="AK17" i="3"/>
  <c r="AM17" i="3" s="1"/>
  <c r="AH17" i="3"/>
  <c r="AJ17" i="3" s="1"/>
  <c r="AG17" i="3"/>
  <c r="AI17" i="3" s="1"/>
  <c r="AD17" i="3"/>
  <c r="AF17" i="3" s="1"/>
  <c r="AC17" i="3"/>
  <c r="AE17" i="3" s="1"/>
  <c r="Z17" i="3"/>
  <c r="AB17" i="3" s="1"/>
  <c r="Y17" i="3"/>
  <c r="AA17" i="3" s="1"/>
  <c r="V17" i="3"/>
  <c r="X17" i="3" s="1"/>
  <c r="U17" i="3"/>
  <c r="W17" i="3" s="1"/>
  <c r="R17" i="3"/>
  <c r="T17" i="3" s="1"/>
  <c r="Q17" i="3"/>
  <c r="S17" i="3" s="1"/>
  <c r="N17" i="3"/>
  <c r="P17" i="3" s="1"/>
  <c r="M17" i="3"/>
  <c r="O17" i="3" s="1"/>
  <c r="J17" i="3"/>
  <c r="L17" i="3" s="1"/>
  <c r="I17" i="3"/>
  <c r="K17" i="3" s="1"/>
  <c r="F17" i="3"/>
  <c r="E17" i="3"/>
  <c r="AP16" i="3"/>
  <c r="AR16" i="3" s="1"/>
  <c r="AO16" i="3"/>
  <c r="AQ16" i="3" s="1"/>
  <c r="AL16" i="3"/>
  <c r="AN16" i="3" s="1"/>
  <c r="AK16" i="3"/>
  <c r="AM16" i="3" s="1"/>
  <c r="AH16" i="3"/>
  <c r="AJ16" i="3" s="1"/>
  <c r="AG16" i="3"/>
  <c r="AI16" i="3" s="1"/>
  <c r="AD16" i="3"/>
  <c r="AF16" i="3" s="1"/>
  <c r="AC16" i="3"/>
  <c r="AE16" i="3" s="1"/>
  <c r="Z16" i="3"/>
  <c r="Y16" i="3"/>
  <c r="X16" i="3"/>
  <c r="W16" i="3"/>
  <c r="V16" i="3"/>
  <c r="U16" i="3"/>
  <c r="R16" i="3"/>
  <c r="T16" i="3" s="1"/>
  <c r="Q16" i="3"/>
  <c r="S16" i="3" s="1"/>
  <c r="N16" i="3"/>
  <c r="P16" i="3" s="1"/>
  <c r="M16" i="3"/>
  <c r="O16" i="3" s="1"/>
  <c r="J16" i="3"/>
  <c r="L16" i="3" s="1"/>
  <c r="I16" i="3"/>
  <c r="K16" i="3" s="1"/>
  <c r="F16" i="3"/>
  <c r="H16" i="3" s="1"/>
  <c r="E16" i="3"/>
  <c r="G16" i="3" s="1"/>
  <c r="AP15" i="3"/>
  <c r="AR15" i="3" s="1"/>
  <c r="AO15" i="3"/>
  <c r="AQ15" i="3" s="1"/>
  <c r="AL15" i="3"/>
  <c r="AN15" i="3" s="1"/>
  <c r="AK15" i="3"/>
  <c r="AM15" i="3" s="1"/>
  <c r="AH15" i="3"/>
  <c r="AJ15" i="3" s="1"/>
  <c r="AG15" i="3"/>
  <c r="AI15" i="3" s="1"/>
  <c r="AD15" i="3"/>
  <c r="AF15" i="3" s="1"/>
  <c r="AC15" i="3"/>
  <c r="AE15" i="3" s="1"/>
  <c r="Z15" i="3"/>
  <c r="AB15" i="3" s="1"/>
  <c r="Y15" i="3"/>
  <c r="AA15" i="3" s="1"/>
  <c r="V15" i="3"/>
  <c r="X15" i="3" s="1"/>
  <c r="U15" i="3"/>
  <c r="W15" i="3" s="1"/>
  <c r="R15" i="3"/>
  <c r="T15" i="3" s="1"/>
  <c r="Q15" i="3"/>
  <c r="S15" i="3" s="1"/>
  <c r="N15" i="3"/>
  <c r="P15" i="3" s="1"/>
  <c r="M15" i="3"/>
  <c r="O15" i="3" s="1"/>
  <c r="J15" i="3"/>
  <c r="L15" i="3" s="1"/>
  <c r="I15" i="3"/>
  <c r="K15" i="3" s="1"/>
  <c r="F15" i="3"/>
  <c r="E15" i="3"/>
  <c r="C15" i="3"/>
  <c r="D15" i="3" s="1"/>
  <c r="AP14" i="3"/>
  <c r="AR14" i="3" s="1"/>
  <c r="AO14" i="3"/>
  <c r="AQ14" i="3" s="1"/>
  <c r="AL14" i="3"/>
  <c r="AN14" i="3" s="1"/>
  <c r="AK14" i="3"/>
  <c r="AM14" i="3" s="1"/>
  <c r="AH14" i="3"/>
  <c r="AJ14" i="3" s="1"/>
  <c r="AG14" i="3"/>
  <c r="AI14" i="3" s="1"/>
  <c r="AD14" i="3"/>
  <c r="AF14" i="3" s="1"/>
  <c r="AC14" i="3"/>
  <c r="AE14" i="3" s="1"/>
  <c r="Z14" i="3"/>
  <c r="AB14" i="3" s="1"/>
  <c r="Y14" i="3"/>
  <c r="AA14" i="3" s="1"/>
  <c r="V14" i="3"/>
  <c r="X14" i="3" s="1"/>
  <c r="U14" i="3"/>
  <c r="W14" i="3" s="1"/>
  <c r="R14" i="3"/>
  <c r="T14" i="3" s="1"/>
  <c r="Q14" i="3"/>
  <c r="S14" i="3" s="1"/>
  <c r="N14" i="3"/>
  <c r="P14" i="3" s="1"/>
  <c r="M14" i="3"/>
  <c r="O14" i="3" s="1"/>
  <c r="J14" i="3"/>
  <c r="L14" i="3" s="1"/>
  <c r="I14" i="3"/>
  <c r="K14" i="3" s="1"/>
  <c r="F14" i="3"/>
  <c r="E14" i="3"/>
  <c r="C14" i="3"/>
  <c r="D14" i="3" s="1"/>
  <c r="AP13" i="3"/>
  <c r="AR13" i="3" s="1"/>
  <c r="AO13" i="3"/>
  <c r="AQ13" i="3" s="1"/>
  <c r="AL13" i="3"/>
  <c r="AN13" i="3" s="1"/>
  <c r="AK13" i="3"/>
  <c r="AM13" i="3" s="1"/>
  <c r="AH13" i="3"/>
  <c r="AJ13" i="3" s="1"/>
  <c r="AG13" i="3"/>
  <c r="AI13" i="3" s="1"/>
  <c r="AD13" i="3"/>
  <c r="AF13" i="3" s="1"/>
  <c r="AC13" i="3"/>
  <c r="AE13" i="3" s="1"/>
  <c r="Z13" i="3"/>
  <c r="AB13" i="3" s="1"/>
  <c r="Y13" i="3"/>
  <c r="AA13" i="3" s="1"/>
  <c r="V13" i="3"/>
  <c r="X13" i="3" s="1"/>
  <c r="U13" i="3"/>
  <c r="W13" i="3" s="1"/>
  <c r="R13" i="3"/>
  <c r="T13" i="3" s="1"/>
  <c r="Q13" i="3"/>
  <c r="S13" i="3" s="1"/>
  <c r="N13" i="3"/>
  <c r="P13" i="3" s="1"/>
  <c r="M13" i="3"/>
  <c r="O13" i="3" s="1"/>
  <c r="J13" i="3"/>
  <c r="L13" i="3" s="1"/>
  <c r="I13" i="3"/>
  <c r="K13" i="3" s="1"/>
  <c r="F13" i="3"/>
  <c r="E13" i="3"/>
  <c r="AP12" i="3"/>
  <c r="AR12" i="3" s="1"/>
  <c r="AO12" i="3"/>
  <c r="AQ12" i="3" s="1"/>
  <c r="AL12" i="3"/>
  <c r="AN12" i="3" s="1"/>
  <c r="AK12" i="3"/>
  <c r="AM12" i="3" s="1"/>
  <c r="AH12" i="3"/>
  <c r="AJ12" i="3" s="1"/>
  <c r="AG12" i="3"/>
  <c r="AI12" i="3" s="1"/>
  <c r="AD12" i="3"/>
  <c r="AF12" i="3" s="1"/>
  <c r="AC12" i="3"/>
  <c r="AE12" i="3" s="1"/>
  <c r="Z12" i="3"/>
  <c r="AB12" i="3" s="1"/>
  <c r="Y12" i="3"/>
  <c r="AA12" i="3" s="1"/>
  <c r="V12" i="3"/>
  <c r="X12" i="3" s="1"/>
  <c r="U12" i="3"/>
  <c r="W12" i="3" s="1"/>
  <c r="R12" i="3"/>
  <c r="T12" i="3" s="1"/>
  <c r="Q12" i="3"/>
  <c r="S12" i="3" s="1"/>
  <c r="N12" i="3"/>
  <c r="P12" i="3" s="1"/>
  <c r="M12" i="3"/>
  <c r="O12" i="3" s="1"/>
  <c r="J12" i="3"/>
  <c r="L12" i="3" s="1"/>
  <c r="I12" i="3"/>
  <c r="K12" i="3" s="1"/>
  <c r="F12" i="3"/>
  <c r="E12" i="3"/>
  <c r="AP11" i="3"/>
  <c r="AR11" i="3" s="1"/>
  <c r="AO11" i="3"/>
  <c r="AQ11" i="3" s="1"/>
  <c r="AL11" i="3"/>
  <c r="AN11" i="3" s="1"/>
  <c r="AK11" i="3"/>
  <c r="AM11" i="3" s="1"/>
  <c r="AH11" i="3"/>
  <c r="AJ11" i="3" s="1"/>
  <c r="AG11" i="3"/>
  <c r="AI11" i="3" s="1"/>
  <c r="AD11" i="3"/>
  <c r="AF11" i="3" s="1"/>
  <c r="AC11" i="3"/>
  <c r="AE11" i="3" s="1"/>
  <c r="Z11" i="3"/>
  <c r="AB11" i="3" s="1"/>
  <c r="Y11" i="3"/>
  <c r="AA11" i="3" s="1"/>
  <c r="V11" i="3"/>
  <c r="X11" i="3" s="1"/>
  <c r="U11" i="3"/>
  <c r="W11" i="3" s="1"/>
  <c r="R11" i="3"/>
  <c r="T11" i="3" s="1"/>
  <c r="Q11" i="3"/>
  <c r="S11" i="3" s="1"/>
  <c r="N11" i="3"/>
  <c r="P11" i="3" s="1"/>
  <c r="M11" i="3"/>
  <c r="O11" i="3" s="1"/>
  <c r="J11" i="3"/>
  <c r="L11" i="3" s="1"/>
  <c r="I11" i="3"/>
  <c r="K11" i="3" s="1"/>
  <c r="F11" i="3"/>
  <c r="E11" i="3"/>
  <c r="AP10" i="3"/>
  <c r="AR10" i="3" s="1"/>
  <c r="AO10" i="3"/>
  <c r="AQ10" i="3" s="1"/>
  <c r="AL10" i="3"/>
  <c r="AN10" i="3" s="1"/>
  <c r="AK10" i="3"/>
  <c r="AM10" i="3" s="1"/>
  <c r="AH10" i="3"/>
  <c r="AJ10" i="3" s="1"/>
  <c r="AG10" i="3"/>
  <c r="AI10" i="3" s="1"/>
  <c r="AD10" i="3"/>
  <c r="AF10" i="3" s="1"/>
  <c r="AC10" i="3"/>
  <c r="AE10" i="3" s="1"/>
  <c r="Z10" i="3"/>
  <c r="AB10" i="3" s="1"/>
  <c r="Y10" i="3"/>
  <c r="AA10" i="3" s="1"/>
  <c r="V10" i="3"/>
  <c r="X10" i="3" s="1"/>
  <c r="U10" i="3"/>
  <c r="W10" i="3" s="1"/>
  <c r="R10" i="3"/>
  <c r="T10" i="3" s="1"/>
  <c r="Q10" i="3"/>
  <c r="S10" i="3" s="1"/>
  <c r="N10" i="3"/>
  <c r="P10" i="3" s="1"/>
  <c r="M10" i="3"/>
  <c r="O10" i="3" s="1"/>
  <c r="J10" i="3"/>
  <c r="L10" i="3" s="1"/>
  <c r="I10" i="3"/>
  <c r="K10" i="3" s="1"/>
  <c r="F10" i="3"/>
  <c r="E10" i="3"/>
  <c r="AP9" i="3"/>
  <c r="AR9" i="3" s="1"/>
  <c r="AO9" i="3"/>
  <c r="AQ9" i="3" s="1"/>
  <c r="AL9" i="3"/>
  <c r="AN9" i="3" s="1"/>
  <c r="AK9" i="3"/>
  <c r="AM9" i="3" s="1"/>
  <c r="AH9" i="3"/>
  <c r="AJ9" i="3" s="1"/>
  <c r="AG9" i="3"/>
  <c r="AI9" i="3" s="1"/>
  <c r="AD9" i="3"/>
  <c r="AF9" i="3" s="1"/>
  <c r="AC9" i="3"/>
  <c r="AE9" i="3" s="1"/>
  <c r="Z9" i="3"/>
  <c r="AB9" i="3" s="1"/>
  <c r="Y9" i="3"/>
  <c r="AA9" i="3" s="1"/>
  <c r="V9" i="3"/>
  <c r="X9" i="3" s="1"/>
  <c r="U9" i="3"/>
  <c r="W9" i="3" s="1"/>
  <c r="R9" i="3"/>
  <c r="T9" i="3" s="1"/>
  <c r="Q9" i="3"/>
  <c r="S9" i="3" s="1"/>
  <c r="N9" i="3"/>
  <c r="P9" i="3" s="1"/>
  <c r="M9" i="3"/>
  <c r="O9" i="3" s="1"/>
  <c r="J9" i="3"/>
  <c r="L9" i="3" s="1"/>
  <c r="I9" i="3"/>
  <c r="K9" i="3" s="1"/>
  <c r="F9" i="3"/>
  <c r="E9" i="3"/>
  <c r="AP8" i="3"/>
  <c r="AR8" i="3" s="1"/>
  <c r="AO8" i="3"/>
  <c r="AQ8" i="3" s="1"/>
  <c r="AL8" i="3"/>
  <c r="AN8" i="3" s="1"/>
  <c r="AK8" i="3"/>
  <c r="AM8" i="3" s="1"/>
  <c r="AH8" i="3"/>
  <c r="AJ8" i="3" s="1"/>
  <c r="AG8" i="3"/>
  <c r="AI8" i="3" s="1"/>
  <c r="AD8" i="3"/>
  <c r="AF8" i="3" s="1"/>
  <c r="AC8" i="3"/>
  <c r="AE8" i="3" s="1"/>
  <c r="Z8" i="3"/>
  <c r="AB8" i="3" s="1"/>
  <c r="Y8" i="3"/>
  <c r="AA8" i="3" s="1"/>
  <c r="V8" i="3"/>
  <c r="X8" i="3" s="1"/>
  <c r="U8" i="3"/>
  <c r="W8" i="3" s="1"/>
  <c r="R8" i="3"/>
  <c r="T8" i="3" s="1"/>
  <c r="Q8" i="3"/>
  <c r="S8" i="3" s="1"/>
  <c r="N8" i="3"/>
  <c r="P8" i="3" s="1"/>
  <c r="M8" i="3"/>
  <c r="O8" i="3" s="1"/>
  <c r="J8" i="3"/>
  <c r="L8" i="3" s="1"/>
  <c r="I8" i="3"/>
  <c r="K8" i="3" s="1"/>
  <c r="F8" i="3"/>
  <c r="E8" i="3"/>
  <c r="AP7" i="3"/>
  <c r="AR7" i="3" s="1"/>
  <c r="AO7" i="3"/>
  <c r="AQ7" i="3" s="1"/>
  <c r="AL7" i="3"/>
  <c r="AN7" i="3" s="1"/>
  <c r="AK7" i="3"/>
  <c r="AM7" i="3" s="1"/>
  <c r="AH7" i="3"/>
  <c r="AJ7" i="3" s="1"/>
  <c r="AG7" i="3"/>
  <c r="AI7" i="3" s="1"/>
  <c r="AD7" i="3"/>
  <c r="AF7" i="3" s="1"/>
  <c r="AC7" i="3"/>
  <c r="AE7" i="3" s="1"/>
  <c r="Z7" i="3"/>
  <c r="AB7" i="3" s="1"/>
  <c r="Y7" i="3"/>
  <c r="AA7" i="3" s="1"/>
  <c r="V7" i="3"/>
  <c r="X7" i="3" s="1"/>
  <c r="U7" i="3"/>
  <c r="W7" i="3" s="1"/>
  <c r="R7" i="3"/>
  <c r="T7" i="3" s="1"/>
  <c r="Q7" i="3"/>
  <c r="S7" i="3" s="1"/>
  <c r="N7" i="3"/>
  <c r="P7" i="3" s="1"/>
  <c r="M7" i="3"/>
  <c r="O7" i="3" s="1"/>
  <c r="J7" i="3"/>
  <c r="L7" i="3" s="1"/>
  <c r="I7" i="3"/>
  <c r="K7" i="3" s="1"/>
  <c r="F7" i="3"/>
  <c r="E7" i="3"/>
  <c r="AP6" i="3"/>
  <c r="AR6" i="3" s="1"/>
  <c r="AO6" i="3"/>
  <c r="AQ6" i="3" s="1"/>
  <c r="AL6" i="3"/>
  <c r="AN6" i="3" s="1"/>
  <c r="AK6" i="3"/>
  <c r="AM6" i="3" s="1"/>
  <c r="AH6" i="3"/>
  <c r="AJ6" i="3" s="1"/>
  <c r="AG6" i="3"/>
  <c r="AI6" i="3" s="1"/>
  <c r="AD6" i="3"/>
  <c r="AF6" i="3" s="1"/>
  <c r="AC6" i="3"/>
  <c r="AE6" i="3" s="1"/>
  <c r="Z6" i="3"/>
  <c r="AB6" i="3" s="1"/>
  <c r="Y6" i="3"/>
  <c r="AA6" i="3" s="1"/>
  <c r="V6" i="3"/>
  <c r="X6" i="3" s="1"/>
  <c r="U6" i="3"/>
  <c r="W6" i="3" s="1"/>
  <c r="R6" i="3"/>
  <c r="T6" i="3" s="1"/>
  <c r="Q6" i="3"/>
  <c r="S6" i="3" s="1"/>
  <c r="N6" i="3"/>
  <c r="P6" i="3" s="1"/>
  <c r="M6" i="3"/>
  <c r="O6" i="3" s="1"/>
  <c r="J6" i="3"/>
  <c r="L6" i="3" s="1"/>
  <c r="I6" i="3"/>
  <c r="K6" i="3" s="1"/>
  <c r="F6" i="3"/>
  <c r="E6" i="3"/>
  <c r="AP5" i="3"/>
  <c r="AR5" i="3" s="1"/>
  <c r="AO5" i="3"/>
  <c r="AQ5" i="3" s="1"/>
  <c r="AL5" i="3"/>
  <c r="AN5" i="3" s="1"/>
  <c r="AK5" i="3"/>
  <c r="AM5" i="3" s="1"/>
  <c r="AH5" i="3"/>
  <c r="AJ5" i="3" s="1"/>
  <c r="AG5" i="3"/>
  <c r="AI5" i="3" s="1"/>
  <c r="AD5" i="3"/>
  <c r="AF5" i="3" s="1"/>
  <c r="AC5" i="3"/>
  <c r="AE5" i="3" s="1"/>
  <c r="Z5" i="3"/>
  <c r="AB5" i="3" s="1"/>
  <c r="Y5" i="3"/>
  <c r="AA5" i="3" s="1"/>
  <c r="V5" i="3"/>
  <c r="X5" i="3" s="1"/>
  <c r="U5" i="3"/>
  <c r="W5" i="3" s="1"/>
  <c r="R5" i="3"/>
  <c r="T5" i="3" s="1"/>
  <c r="Q5" i="3"/>
  <c r="S5" i="3" s="1"/>
  <c r="N5" i="3"/>
  <c r="P5" i="3" s="1"/>
  <c r="M5" i="3"/>
  <c r="O5" i="3" s="1"/>
  <c r="J5" i="3"/>
  <c r="L5" i="3" s="1"/>
  <c r="I5" i="3"/>
  <c r="K5" i="3" s="1"/>
  <c r="F5" i="3"/>
  <c r="E5" i="3"/>
  <c r="AP4" i="3"/>
  <c r="AR4" i="3" s="1"/>
  <c r="AO4" i="3"/>
  <c r="AQ4" i="3" s="1"/>
  <c r="AL4" i="3"/>
  <c r="AN4" i="3" s="1"/>
  <c r="AK4" i="3"/>
  <c r="AM4" i="3" s="1"/>
  <c r="AH4" i="3"/>
  <c r="AJ4" i="3" s="1"/>
  <c r="AG4" i="3"/>
  <c r="AI4" i="3" s="1"/>
  <c r="AD4" i="3"/>
  <c r="AF4" i="3" s="1"/>
  <c r="AC4" i="3"/>
  <c r="AE4" i="3" s="1"/>
  <c r="Z4" i="3"/>
  <c r="AB4" i="3" s="1"/>
  <c r="Y4" i="3"/>
  <c r="AA4" i="3" s="1"/>
  <c r="V4" i="3"/>
  <c r="X4" i="3" s="1"/>
  <c r="U4" i="3"/>
  <c r="W4" i="3" s="1"/>
  <c r="R4" i="3"/>
  <c r="T4" i="3" s="1"/>
  <c r="Q4" i="3"/>
  <c r="S4" i="3" s="1"/>
  <c r="N4" i="3"/>
  <c r="P4" i="3" s="1"/>
  <c r="M4" i="3"/>
  <c r="O4" i="3" s="1"/>
  <c r="J4" i="3"/>
  <c r="L4" i="3" s="1"/>
  <c r="I4" i="3"/>
  <c r="K4" i="3" s="1"/>
  <c r="F4" i="3"/>
  <c r="E4" i="3"/>
  <c r="AP3" i="3"/>
  <c r="AR3" i="3" s="1"/>
  <c r="AO3" i="3"/>
  <c r="AL3" i="3"/>
  <c r="AK3" i="3"/>
  <c r="AH3" i="3"/>
  <c r="AG3" i="3"/>
  <c r="AD3" i="3"/>
  <c r="AC3" i="3"/>
  <c r="Z3" i="3"/>
  <c r="Y3" i="3"/>
  <c r="V3" i="3"/>
  <c r="U3" i="3"/>
  <c r="R3" i="3"/>
  <c r="Q3" i="3"/>
  <c r="N3" i="3"/>
  <c r="M3" i="3"/>
  <c r="J3" i="3"/>
  <c r="I3" i="3"/>
  <c r="F3" i="3"/>
  <c r="E3" i="3"/>
  <c r="B65" i="2"/>
  <c r="B64" i="2"/>
  <c r="B63" i="2"/>
  <c r="B62" i="2"/>
  <c r="B66" i="2" s="1"/>
  <c r="B59" i="2"/>
  <c r="B58" i="2"/>
  <c r="B57" i="2"/>
  <c r="B56" i="2"/>
  <c r="B55" i="2"/>
  <c r="C59" i="2" s="1"/>
  <c r="B50" i="2"/>
  <c r="AP49" i="2"/>
  <c r="AR49" i="2" s="1"/>
  <c r="AO49" i="2"/>
  <c r="AQ49" i="2" s="1"/>
  <c r="AL49" i="2"/>
  <c r="AN49" i="2" s="1"/>
  <c r="AK49" i="2"/>
  <c r="AM49" i="2" s="1"/>
  <c r="AH49" i="2"/>
  <c r="AJ49" i="2" s="1"/>
  <c r="AG49" i="2"/>
  <c r="AI49" i="2" s="1"/>
  <c r="AD49" i="2"/>
  <c r="AF49" i="2" s="1"/>
  <c r="AC49" i="2"/>
  <c r="AE49" i="2" s="1"/>
  <c r="Z49" i="2"/>
  <c r="AB49" i="2" s="1"/>
  <c r="Y49" i="2"/>
  <c r="AA49" i="2" s="1"/>
  <c r="V49" i="2"/>
  <c r="X49" i="2" s="1"/>
  <c r="U49" i="2"/>
  <c r="W49" i="2" s="1"/>
  <c r="R49" i="2"/>
  <c r="T49" i="2" s="1"/>
  <c r="Q49" i="2"/>
  <c r="S49" i="2" s="1"/>
  <c r="N49" i="2"/>
  <c r="P49" i="2" s="1"/>
  <c r="M49" i="2"/>
  <c r="O49" i="2" s="1"/>
  <c r="J49" i="2"/>
  <c r="L49" i="2" s="1"/>
  <c r="I49" i="2"/>
  <c r="K49" i="2" s="1"/>
  <c r="F49" i="2"/>
  <c r="E49" i="2"/>
  <c r="AP48" i="2"/>
  <c r="AR48" i="2" s="1"/>
  <c r="AO48" i="2"/>
  <c r="AQ48" i="2" s="1"/>
  <c r="AL48" i="2"/>
  <c r="AN48" i="2" s="1"/>
  <c r="AK48" i="2"/>
  <c r="AM48" i="2" s="1"/>
  <c r="AH48" i="2"/>
  <c r="AJ48" i="2" s="1"/>
  <c r="AG48" i="2"/>
  <c r="AI48" i="2" s="1"/>
  <c r="AD48" i="2"/>
  <c r="AF48" i="2" s="1"/>
  <c r="AC48" i="2"/>
  <c r="AE48" i="2" s="1"/>
  <c r="Z48" i="2"/>
  <c r="AB48" i="2" s="1"/>
  <c r="Y48" i="2"/>
  <c r="AA48" i="2" s="1"/>
  <c r="V48" i="2"/>
  <c r="X48" i="2" s="1"/>
  <c r="U48" i="2"/>
  <c r="W48" i="2" s="1"/>
  <c r="R48" i="2"/>
  <c r="T48" i="2" s="1"/>
  <c r="Q48" i="2"/>
  <c r="S48" i="2" s="1"/>
  <c r="N48" i="2"/>
  <c r="P48" i="2" s="1"/>
  <c r="M48" i="2"/>
  <c r="O48" i="2" s="1"/>
  <c r="J48" i="2"/>
  <c r="L48" i="2" s="1"/>
  <c r="I48" i="2"/>
  <c r="K48" i="2" s="1"/>
  <c r="F48" i="2"/>
  <c r="E48" i="2"/>
  <c r="AP47" i="2"/>
  <c r="AR47" i="2" s="1"/>
  <c r="AO47" i="2"/>
  <c r="AQ47" i="2" s="1"/>
  <c r="AL47" i="2"/>
  <c r="AN47" i="2" s="1"/>
  <c r="AK47" i="2"/>
  <c r="AM47" i="2" s="1"/>
  <c r="AH47" i="2"/>
  <c r="AJ47" i="2" s="1"/>
  <c r="AG47" i="2"/>
  <c r="AI47" i="2" s="1"/>
  <c r="AD47" i="2"/>
  <c r="AF47" i="2" s="1"/>
  <c r="AC47" i="2"/>
  <c r="AE47" i="2" s="1"/>
  <c r="Z47" i="2"/>
  <c r="AB47" i="2" s="1"/>
  <c r="Y47" i="2"/>
  <c r="AA47" i="2" s="1"/>
  <c r="V47" i="2"/>
  <c r="X47" i="2" s="1"/>
  <c r="U47" i="2"/>
  <c r="W47" i="2" s="1"/>
  <c r="R47" i="2"/>
  <c r="T47" i="2" s="1"/>
  <c r="Q47" i="2"/>
  <c r="S47" i="2" s="1"/>
  <c r="N47" i="2"/>
  <c r="P47" i="2" s="1"/>
  <c r="M47" i="2"/>
  <c r="O47" i="2" s="1"/>
  <c r="J47" i="2"/>
  <c r="L47" i="2" s="1"/>
  <c r="I47" i="2"/>
  <c r="K47" i="2" s="1"/>
  <c r="F47" i="2"/>
  <c r="E47" i="2"/>
  <c r="AP46" i="2"/>
  <c r="AR46" i="2" s="1"/>
  <c r="AO46" i="2"/>
  <c r="AQ46" i="2" s="1"/>
  <c r="AL46" i="2"/>
  <c r="AN46" i="2" s="1"/>
  <c r="AK46" i="2"/>
  <c r="AM46" i="2" s="1"/>
  <c r="AH46" i="2"/>
  <c r="AJ46" i="2" s="1"/>
  <c r="AG46" i="2"/>
  <c r="AI46" i="2" s="1"/>
  <c r="AD46" i="2"/>
  <c r="AF46" i="2" s="1"/>
  <c r="AC46" i="2"/>
  <c r="AE46" i="2" s="1"/>
  <c r="Z46" i="2"/>
  <c r="AB46" i="2" s="1"/>
  <c r="Y46" i="2"/>
  <c r="AA46" i="2" s="1"/>
  <c r="V46" i="2"/>
  <c r="X46" i="2" s="1"/>
  <c r="U46" i="2"/>
  <c r="W46" i="2" s="1"/>
  <c r="R46" i="2"/>
  <c r="T46" i="2" s="1"/>
  <c r="Q46" i="2"/>
  <c r="S46" i="2" s="1"/>
  <c r="N46" i="2"/>
  <c r="P46" i="2" s="1"/>
  <c r="M46" i="2"/>
  <c r="O46" i="2" s="1"/>
  <c r="J46" i="2"/>
  <c r="L46" i="2" s="1"/>
  <c r="I46" i="2"/>
  <c r="K46" i="2" s="1"/>
  <c r="F46" i="2"/>
  <c r="E46" i="2"/>
  <c r="AP45" i="2"/>
  <c r="AR45" i="2" s="1"/>
  <c r="AO45" i="2"/>
  <c r="AQ45" i="2" s="1"/>
  <c r="AL45" i="2"/>
  <c r="AN45" i="2" s="1"/>
  <c r="AK45" i="2"/>
  <c r="AM45" i="2" s="1"/>
  <c r="AH45" i="2"/>
  <c r="AJ45" i="2" s="1"/>
  <c r="AG45" i="2"/>
  <c r="AI45" i="2" s="1"/>
  <c r="AD45" i="2"/>
  <c r="AF45" i="2" s="1"/>
  <c r="AC45" i="2"/>
  <c r="AE45" i="2" s="1"/>
  <c r="Z45" i="2"/>
  <c r="AB45" i="2" s="1"/>
  <c r="Y45" i="2"/>
  <c r="AA45" i="2" s="1"/>
  <c r="V45" i="2"/>
  <c r="X45" i="2" s="1"/>
  <c r="U45" i="2"/>
  <c r="W45" i="2" s="1"/>
  <c r="R45" i="2"/>
  <c r="T45" i="2" s="1"/>
  <c r="Q45" i="2"/>
  <c r="S45" i="2" s="1"/>
  <c r="N45" i="2"/>
  <c r="P45" i="2" s="1"/>
  <c r="M45" i="2"/>
  <c r="O45" i="2" s="1"/>
  <c r="J45" i="2"/>
  <c r="L45" i="2" s="1"/>
  <c r="I45" i="2"/>
  <c r="K45" i="2" s="1"/>
  <c r="F45" i="2"/>
  <c r="E45" i="2"/>
  <c r="AP44" i="2"/>
  <c r="AR44" i="2" s="1"/>
  <c r="AO44" i="2"/>
  <c r="AQ44" i="2" s="1"/>
  <c r="AL44" i="2"/>
  <c r="AN44" i="2" s="1"/>
  <c r="AK44" i="2"/>
  <c r="AM44" i="2" s="1"/>
  <c r="AH44" i="2"/>
  <c r="AJ44" i="2" s="1"/>
  <c r="AG44" i="2"/>
  <c r="AI44" i="2" s="1"/>
  <c r="AD44" i="2"/>
  <c r="AF44" i="2" s="1"/>
  <c r="AC44" i="2"/>
  <c r="AE44" i="2" s="1"/>
  <c r="Z44" i="2"/>
  <c r="AB44" i="2" s="1"/>
  <c r="Y44" i="2"/>
  <c r="AA44" i="2" s="1"/>
  <c r="V44" i="2"/>
  <c r="X44" i="2" s="1"/>
  <c r="U44" i="2"/>
  <c r="W44" i="2" s="1"/>
  <c r="R44" i="2"/>
  <c r="T44" i="2" s="1"/>
  <c r="Q44" i="2"/>
  <c r="S44" i="2" s="1"/>
  <c r="N44" i="2"/>
  <c r="P44" i="2" s="1"/>
  <c r="M44" i="2"/>
  <c r="O44" i="2" s="1"/>
  <c r="J44" i="2"/>
  <c r="L44" i="2" s="1"/>
  <c r="I44" i="2"/>
  <c r="K44" i="2" s="1"/>
  <c r="F44" i="2"/>
  <c r="E44" i="2"/>
  <c r="AP43" i="2"/>
  <c r="AR43" i="2" s="1"/>
  <c r="AO43" i="2"/>
  <c r="AQ43" i="2" s="1"/>
  <c r="AL43" i="2"/>
  <c r="AN43" i="2" s="1"/>
  <c r="AK43" i="2"/>
  <c r="AM43" i="2" s="1"/>
  <c r="AH43" i="2"/>
  <c r="AJ43" i="2" s="1"/>
  <c r="AG43" i="2"/>
  <c r="AI43" i="2" s="1"/>
  <c r="AD43" i="2"/>
  <c r="AF43" i="2" s="1"/>
  <c r="AC43" i="2"/>
  <c r="AE43" i="2" s="1"/>
  <c r="Z43" i="2"/>
  <c r="AB43" i="2" s="1"/>
  <c r="Y43" i="2"/>
  <c r="AA43" i="2" s="1"/>
  <c r="V43" i="2"/>
  <c r="X43" i="2" s="1"/>
  <c r="U43" i="2"/>
  <c r="W43" i="2" s="1"/>
  <c r="R43" i="2"/>
  <c r="T43" i="2" s="1"/>
  <c r="Q43" i="2"/>
  <c r="S43" i="2" s="1"/>
  <c r="N43" i="2"/>
  <c r="P43" i="2" s="1"/>
  <c r="M43" i="2"/>
  <c r="O43" i="2" s="1"/>
  <c r="J43" i="2"/>
  <c r="L43" i="2" s="1"/>
  <c r="I43" i="2"/>
  <c r="K43" i="2" s="1"/>
  <c r="F43" i="2"/>
  <c r="E43" i="2"/>
  <c r="AP42" i="2"/>
  <c r="AR42" i="2" s="1"/>
  <c r="AO42" i="2"/>
  <c r="AQ42" i="2" s="1"/>
  <c r="AL42" i="2"/>
  <c r="AN42" i="2" s="1"/>
  <c r="AK42" i="2"/>
  <c r="AM42" i="2" s="1"/>
  <c r="AH42" i="2"/>
  <c r="AJ42" i="2" s="1"/>
  <c r="AG42" i="2"/>
  <c r="AI42" i="2" s="1"/>
  <c r="AD42" i="2"/>
  <c r="AF42" i="2" s="1"/>
  <c r="AC42" i="2"/>
  <c r="AE42" i="2" s="1"/>
  <c r="Z42" i="2"/>
  <c r="AB42" i="2" s="1"/>
  <c r="Y42" i="2"/>
  <c r="AA42" i="2" s="1"/>
  <c r="V42" i="2"/>
  <c r="X42" i="2" s="1"/>
  <c r="U42" i="2"/>
  <c r="W42" i="2" s="1"/>
  <c r="R42" i="2"/>
  <c r="T42" i="2" s="1"/>
  <c r="Q42" i="2"/>
  <c r="S42" i="2" s="1"/>
  <c r="N42" i="2"/>
  <c r="P42" i="2" s="1"/>
  <c r="M42" i="2"/>
  <c r="O42" i="2" s="1"/>
  <c r="J42" i="2"/>
  <c r="L42" i="2" s="1"/>
  <c r="I42" i="2"/>
  <c r="K42" i="2" s="1"/>
  <c r="F42" i="2"/>
  <c r="E42" i="2"/>
  <c r="AP41" i="2"/>
  <c r="AR41" i="2" s="1"/>
  <c r="AO41" i="2"/>
  <c r="AQ41" i="2" s="1"/>
  <c r="AL41" i="2"/>
  <c r="AN41" i="2" s="1"/>
  <c r="AK41" i="2"/>
  <c r="AM41" i="2" s="1"/>
  <c r="AH41" i="2"/>
  <c r="AJ41" i="2" s="1"/>
  <c r="AG41" i="2"/>
  <c r="AI41" i="2" s="1"/>
  <c r="AD41" i="2"/>
  <c r="AF41" i="2" s="1"/>
  <c r="AC41" i="2"/>
  <c r="AE41" i="2" s="1"/>
  <c r="Z41" i="2"/>
  <c r="AB41" i="2" s="1"/>
  <c r="Y41" i="2"/>
  <c r="AA41" i="2" s="1"/>
  <c r="V41" i="2"/>
  <c r="X41" i="2" s="1"/>
  <c r="U41" i="2"/>
  <c r="W41" i="2" s="1"/>
  <c r="R41" i="2"/>
  <c r="T41" i="2" s="1"/>
  <c r="Q41" i="2"/>
  <c r="S41" i="2" s="1"/>
  <c r="N41" i="2"/>
  <c r="P41" i="2" s="1"/>
  <c r="M41" i="2"/>
  <c r="O41" i="2" s="1"/>
  <c r="J41" i="2"/>
  <c r="L41" i="2" s="1"/>
  <c r="I41" i="2"/>
  <c r="K41" i="2" s="1"/>
  <c r="F41" i="2"/>
  <c r="E41" i="2"/>
  <c r="AP40" i="2"/>
  <c r="AR40" i="2" s="1"/>
  <c r="AO40" i="2"/>
  <c r="AQ40" i="2" s="1"/>
  <c r="AL40" i="2"/>
  <c r="AN40" i="2" s="1"/>
  <c r="AK40" i="2"/>
  <c r="AM40" i="2" s="1"/>
  <c r="AH40" i="2"/>
  <c r="AJ40" i="2" s="1"/>
  <c r="AG40" i="2"/>
  <c r="AI40" i="2" s="1"/>
  <c r="AD40" i="2"/>
  <c r="AF40" i="2" s="1"/>
  <c r="AC40" i="2"/>
  <c r="AE40" i="2" s="1"/>
  <c r="Z40" i="2"/>
  <c r="AB40" i="2" s="1"/>
  <c r="Y40" i="2"/>
  <c r="AA40" i="2" s="1"/>
  <c r="V40" i="2"/>
  <c r="X40" i="2" s="1"/>
  <c r="U40" i="2"/>
  <c r="W40" i="2" s="1"/>
  <c r="R40" i="2"/>
  <c r="T40" i="2" s="1"/>
  <c r="Q40" i="2"/>
  <c r="S40" i="2" s="1"/>
  <c r="N40" i="2"/>
  <c r="P40" i="2" s="1"/>
  <c r="M40" i="2"/>
  <c r="O40" i="2" s="1"/>
  <c r="J40" i="2"/>
  <c r="L40" i="2" s="1"/>
  <c r="I40" i="2"/>
  <c r="K40" i="2" s="1"/>
  <c r="F40" i="2"/>
  <c r="E40" i="2"/>
  <c r="AP39" i="2"/>
  <c r="AR39" i="2" s="1"/>
  <c r="AO39" i="2"/>
  <c r="AQ39" i="2" s="1"/>
  <c r="AL39" i="2"/>
  <c r="AN39" i="2" s="1"/>
  <c r="AK39" i="2"/>
  <c r="AM39" i="2" s="1"/>
  <c r="AH39" i="2"/>
  <c r="AJ39" i="2" s="1"/>
  <c r="AG39" i="2"/>
  <c r="AI39" i="2" s="1"/>
  <c r="AD39" i="2"/>
  <c r="AF39" i="2" s="1"/>
  <c r="AC39" i="2"/>
  <c r="AE39" i="2" s="1"/>
  <c r="Z39" i="2"/>
  <c r="AB39" i="2" s="1"/>
  <c r="Y39" i="2"/>
  <c r="AA39" i="2" s="1"/>
  <c r="V39" i="2"/>
  <c r="X39" i="2" s="1"/>
  <c r="U39" i="2"/>
  <c r="W39" i="2" s="1"/>
  <c r="R39" i="2"/>
  <c r="T39" i="2" s="1"/>
  <c r="Q39" i="2"/>
  <c r="S39" i="2" s="1"/>
  <c r="N39" i="2"/>
  <c r="P39" i="2" s="1"/>
  <c r="M39" i="2"/>
  <c r="O39" i="2" s="1"/>
  <c r="J39" i="2"/>
  <c r="L39" i="2" s="1"/>
  <c r="I39" i="2"/>
  <c r="K39" i="2" s="1"/>
  <c r="F39" i="2"/>
  <c r="E39" i="2"/>
  <c r="AP38" i="2"/>
  <c r="AR38" i="2" s="1"/>
  <c r="AO38" i="2"/>
  <c r="AQ38" i="2" s="1"/>
  <c r="AL38" i="2"/>
  <c r="AN38" i="2" s="1"/>
  <c r="AK38" i="2"/>
  <c r="AM38" i="2" s="1"/>
  <c r="AH38" i="2"/>
  <c r="AJ38" i="2" s="1"/>
  <c r="AG38" i="2"/>
  <c r="AI38" i="2" s="1"/>
  <c r="AD38" i="2"/>
  <c r="AF38" i="2" s="1"/>
  <c r="AC38" i="2"/>
  <c r="AE38" i="2" s="1"/>
  <c r="Z38" i="2"/>
  <c r="AB38" i="2" s="1"/>
  <c r="Y38" i="2"/>
  <c r="AA38" i="2" s="1"/>
  <c r="V38" i="2"/>
  <c r="U38" i="2"/>
  <c r="R38" i="2"/>
  <c r="T38" i="2" s="1"/>
  <c r="Q38" i="2"/>
  <c r="S38" i="2" s="1"/>
  <c r="N38" i="2"/>
  <c r="P38" i="2" s="1"/>
  <c r="M38" i="2"/>
  <c r="O38" i="2" s="1"/>
  <c r="J38" i="2"/>
  <c r="L38" i="2" s="1"/>
  <c r="I38" i="2"/>
  <c r="K38" i="2" s="1"/>
  <c r="F38" i="2"/>
  <c r="H38" i="2" s="1"/>
  <c r="E38" i="2"/>
  <c r="G38" i="2" s="1"/>
  <c r="AP37" i="2"/>
  <c r="AR37" i="2" s="1"/>
  <c r="AO37" i="2"/>
  <c r="AQ37" i="2" s="1"/>
  <c r="AL37" i="2"/>
  <c r="AN37" i="2" s="1"/>
  <c r="AK37" i="2"/>
  <c r="AM37" i="2" s="1"/>
  <c r="AH37" i="2"/>
  <c r="AJ37" i="2" s="1"/>
  <c r="AG37" i="2"/>
  <c r="AI37" i="2" s="1"/>
  <c r="AD37" i="2"/>
  <c r="AF37" i="2" s="1"/>
  <c r="AC37" i="2"/>
  <c r="AE37" i="2" s="1"/>
  <c r="Z37" i="2"/>
  <c r="AB37" i="2" s="1"/>
  <c r="Y37" i="2"/>
  <c r="AA37" i="2" s="1"/>
  <c r="V37" i="2"/>
  <c r="X37" i="2" s="1"/>
  <c r="U37" i="2"/>
  <c r="W37" i="2" s="1"/>
  <c r="R37" i="2"/>
  <c r="T37" i="2" s="1"/>
  <c r="Q37" i="2"/>
  <c r="S37" i="2" s="1"/>
  <c r="N37" i="2"/>
  <c r="P37" i="2" s="1"/>
  <c r="M37" i="2"/>
  <c r="O37" i="2" s="1"/>
  <c r="J37" i="2"/>
  <c r="L37" i="2" s="1"/>
  <c r="I37" i="2"/>
  <c r="K37" i="2" s="1"/>
  <c r="F37" i="2"/>
  <c r="E37" i="2"/>
  <c r="C37" i="2"/>
  <c r="D37" i="2" s="1"/>
  <c r="AP36" i="2"/>
  <c r="AR36" i="2" s="1"/>
  <c r="AO36" i="2"/>
  <c r="AQ36" i="2" s="1"/>
  <c r="AL36" i="2"/>
  <c r="AN36" i="2" s="1"/>
  <c r="AK36" i="2"/>
  <c r="AM36" i="2" s="1"/>
  <c r="AH36" i="2"/>
  <c r="AJ36" i="2" s="1"/>
  <c r="AG36" i="2"/>
  <c r="AI36" i="2" s="1"/>
  <c r="AD36" i="2"/>
  <c r="AF36" i="2" s="1"/>
  <c r="AC36" i="2"/>
  <c r="AE36" i="2" s="1"/>
  <c r="Z36" i="2"/>
  <c r="AB36" i="2" s="1"/>
  <c r="Y36" i="2"/>
  <c r="AA36" i="2" s="1"/>
  <c r="V36" i="2"/>
  <c r="X36" i="2" s="1"/>
  <c r="U36" i="2"/>
  <c r="W36" i="2" s="1"/>
  <c r="R36" i="2"/>
  <c r="T36" i="2" s="1"/>
  <c r="Q36" i="2"/>
  <c r="S36" i="2" s="1"/>
  <c r="N36" i="2"/>
  <c r="P36" i="2" s="1"/>
  <c r="M36" i="2"/>
  <c r="O36" i="2" s="1"/>
  <c r="J36" i="2"/>
  <c r="L36" i="2" s="1"/>
  <c r="I36" i="2"/>
  <c r="K36" i="2" s="1"/>
  <c r="F36" i="2"/>
  <c r="E36" i="2"/>
  <c r="AP35" i="2"/>
  <c r="AR35" i="2" s="1"/>
  <c r="AO35" i="2"/>
  <c r="AQ35" i="2" s="1"/>
  <c r="AL35" i="2"/>
  <c r="AN35" i="2" s="1"/>
  <c r="AK35" i="2"/>
  <c r="AM35" i="2" s="1"/>
  <c r="AH35" i="2"/>
  <c r="AJ35" i="2" s="1"/>
  <c r="AG35" i="2"/>
  <c r="AI35" i="2" s="1"/>
  <c r="AD35" i="2"/>
  <c r="AF35" i="2" s="1"/>
  <c r="AC35" i="2"/>
  <c r="AE35" i="2" s="1"/>
  <c r="Z35" i="2"/>
  <c r="AB35" i="2" s="1"/>
  <c r="Y35" i="2"/>
  <c r="AA35" i="2" s="1"/>
  <c r="V35" i="2"/>
  <c r="X35" i="2" s="1"/>
  <c r="U35" i="2"/>
  <c r="W35" i="2" s="1"/>
  <c r="R35" i="2"/>
  <c r="T35" i="2" s="1"/>
  <c r="Q35" i="2"/>
  <c r="S35" i="2" s="1"/>
  <c r="N35" i="2"/>
  <c r="P35" i="2" s="1"/>
  <c r="M35" i="2"/>
  <c r="O35" i="2" s="1"/>
  <c r="J35" i="2"/>
  <c r="L35" i="2" s="1"/>
  <c r="I35" i="2"/>
  <c r="K35" i="2" s="1"/>
  <c r="F35" i="2"/>
  <c r="E35" i="2"/>
  <c r="AP34" i="2"/>
  <c r="AR34" i="2" s="1"/>
  <c r="AO34" i="2"/>
  <c r="AQ34" i="2" s="1"/>
  <c r="AL34" i="2"/>
  <c r="AN34" i="2" s="1"/>
  <c r="AK34" i="2"/>
  <c r="AM34" i="2" s="1"/>
  <c r="AH34" i="2"/>
  <c r="AJ34" i="2" s="1"/>
  <c r="AG34" i="2"/>
  <c r="AI34" i="2" s="1"/>
  <c r="AD34" i="2"/>
  <c r="AF34" i="2" s="1"/>
  <c r="AC34" i="2"/>
  <c r="AE34" i="2" s="1"/>
  <c r="Z34" i="2"/>
  <c r="AB34" i="2" s="1"/>
  <c r="Y34" i="2"/>
  <c r="AA34" i="2" s="1"/>
  <c r="V34" i="2"/>
  <c r="X34" i="2" s="1"/>
  <c r="U34" i="2"/>
  <c r="W34" i="2" s="1"/>
  <c r="R34" i="2"/>
  <c r="T34" i="2" s="1"/>
  <c r="Q34" i="2"/>
  <c r="S34" i="2" s="1"/>
  <c r="N34" i="2"/>
  <c r="P34" i="2" s="1"/>
  <c r="M34" i="2"/>
  <c r="O34" i="2" s="1"/>
  <c r="J34" i="2"/>
  <c r="L34" i="2" s="1"/>
  <c r="I34" i="2"/>
  <c r="K34" i="2" s="1"/>
  <c r="F34" i="2"/>
  <c r="E34" i="2"/>
  <c r="AP33" i="2"/>
  <c r="AR33" i="2" s="1"/>
  <c r="AO33" i="2"/>
  <c r="AQ33" i="2" s="1"/>
  <c r="AL33" i="2"/>
  <c r="AN33" i="2" s="1"/>
  <c r="AK33" i="2"/>
  <c r="AM33" i="2" s="1"/>
  <c r="AH33" i="2"/>
  <c r="AJ33" i="2" s="1"/>
  <c r="AG33" i="2"/>
  <c r="AI33" i="2" s="1"/>
  <c r="AD33" i="2"/>
  <c r="AF33" i="2" s="1"/>
  <c r="AC33" i="2"/>
  <c r="AE33" i="2" s="1"/>
  <c r="Z33" i="2"/>
  <c r="AB33" i="2" s="1"/>
  <c r="Y33" i="2"/>
  <c r="AA33" i="2" s="1"/>
  <c r="V33" i="2"/>
  <c r="X33" i="2" s="1"/>
  <c r="U33" i="2"/>
  <c r="W33" i="2" s="1"/>
  <c r="R33" i="2"/>
  <c r="T33" i="2" s="1"/>
  <c r="Q33" i="2"/>
  <c r="S33" i="2" s="1"/>
  <c r="N33" i="2"/>
  <c r="P33" i="2" s="1"/>
  <c r="M33" i="2"/>
  <c r="O33" i="2" s="1"/>
  <c r="J33" i="2"/>
  <c r="L33" i="2" s="1"/>
  <c r="I33" i="2"/>
  <c r="K33" i="2" s="1"/>
  <c r="F33" i="2"/>
  <c r="E33" i="2"/>
  <c r="AP32" i="2"/>
  <c r="AR32" i="2" s="1"/>
  <c r="AO32" i="2"/>
  <c r="AQ32" i="2" s="1"/>
  <c r="AL32" i="2"/>
  <c r="AN32" i="2" s="1"/>
  <c r="AK32" i="2"/>
  <c r="AM32" i="2" s="1"/>
  <c r="AH32" i="2"/>
  <c r="AJ32" i="2" s="1"/>
  <c r="AG32" i="2"/>
  <c r="AI32" i="2" s="1"/>
  <c r="AD32" i="2"/>
  <c r="AF32" i="2" s="1"/>
  <c r="AC32" i="2"/>
  <c r="AE32" i="2" s="1"/>
  <c r="Z32" i="2"/>
  <c r="AB32" i="2" s="1"/>
  <c r="Y32" i="2"/>
  <c r="AA32" i="2" s="1"/>
  <c r="V32" i="2"/>
  <c r="X32" i="2" s="1"/>
  <c r="U32" i="2"/>
  <c r="W32" i="2" s="1"/>
  <c r="R32" i="2"/>
  <c r="T32" i="2" s="1"/>
  <c r="Q32" i="2"/>
  <c r="S32" i="2" s="1"/>
  <c r="N32" i="2"/>
  <c r="P32" i="2" s="1"/>
  <c r="M32" i="2"/>
  <c r="O32" i="2" s="1"/>
  <c r="J32" i="2"/>
  <c r="L32" i="2" s="1"/>
  <c r="I32" i="2"/>
  <c r="K32" i="2" s="1"/>
  <c r="F32" i="2"/>
  <c r="E32" i="2"/>
  <c r="AP31" i="2"/>
  <c r="AR31" i="2" s="1"/>
  <c r="AO31" i="2"/>
  <c r="AQ31" i="2" s="1"/>
  <c r="AL31" i="2"/>
  <c r="AN31" i="2" s="1"/>
  <c r="AK31" i="2"/>
  <c r="AM31" i="2" s="1"/>
  <c r="AH31" i="2"/>
  <c r="AJ31" i="2" s="1"/>
  <c r="AG31" i="2"/>
  <c r="AI31" i="2" s="1"/>
  <c r="AD31" i="2"/>
  <c r="AF31" i="2" s="1"/>
  <c r="AC31" i="2"/>
  <c r="AE31" i="2" s="1"/>
  <c r="Z31" i="2"/>
  <c r="AB31" i="2" s="1"/>
  <c r="Y31" i="2"/>
  <c r="AA31" i="2" s="1"/>
  <c r="V31" i="2"/>
  <c r="X31" i="2" s="1"/>
  <c r="U31" i="2"/>
  <c r="W31" i="2" s="1"/>
  <c r="R31" i="2"/>
  <c r="T31" i="2" s="1"/>
  <c r="Q31" i="2"/>
  <c r="S31" i="2" s="1"/>
  <c r="N31" i="2"/>
  <c r="P31" i="2" s="1"/>
  <c r="M31" i="2"/>
  <c r="O31" i="2" s="1"/>
  <c r="J31" i="2"/>
  <c r="L31" i="2" s="1"/>
  <c r="I31" i="2"/>
  <c r="K31" i="2" s="1"/>
  <c r="F31" i="2"/>
  <c r="E31" i="2"/>
  <c r="AP29" i="2"/>
  <c r="AR29" i="2" s="1"/>
  <c r="AO29" i="2"/>
  <c r="AQ29" i="2" s="1"/>
  <c r="AL29" i="2"/>
  <c r="AN29" i="2" s="1"/>
  <c r="AK29" i="2"/>
  <c r="AM29" i="2" s="1"/>
  <c r="AH29" i="2"/>
  <c r="AJ29" i="2" s="1"/>
  <c r="AG29" i="2"/>
  <c r="AI29" i="2" s="1"/>
  <c r="AD29" i="2"/>
  <c r="AF29" i="2" s="1"/>
  <c r="AC29" i="2"/>
  <c r="AE29" i="2" s="1"/>
  <c r="Z29" i="2"/>
  <c r="AB29" i="2" s="1"/>
  <c r="Y29" i="2"/>
  <c r="AA29" i="2" s="1"/>
  <c r="V29" i="2"/>
  <c r="X29" i="2" s="1"/>
  <c r="U29" i="2"/>
  <c r="W29" i="2" s="1"/>
  <c r="R29" i="2"/>
  <c r="T29" i="2" s="1"/>
  <c r="Q29" i="2"/>
  <c r="S29" i="2" s="1"/>
  <c r="N29" i="2"/>
  <c r="P29" i="2" s="1"/>
  <c r="M29" i="2"/>
  <c r="O29" i="2" s="1"/>
  <c r="J29" i="2"/>
  <c r="L29" i="2" s="1"/>
  <c r="I29" i="2"/>
  <c r="K29" i="2" s="1"/>
  <c r="F29" i="2"/>
  <c r="E29" i="2"/>
  <c r="AP27" i="2"/>
  <c r="AR27" i="2" s="1"/>
  <c r="AO27" i="2"/>
  <c r="AQ27" i="2" s="1"/>
  <c r="AL27" i="2"/>
  <c r="AN27" i="2" s="1"/>
  <c r="AK27" i="2"/>
  <c r="AM27" i="2" s="1"/>
  <c r="AH27" i="2"/>
  <c r="AJ27" i="2" s="1"/>
  <c r="AG27" i="2"/>
  <c r="AI27" i="2" s="1"/>
  <c r="AD27" i="2"/>
  <c r="AF27" i="2" s="1"/>
  <c r="AC27" i="2"/>
  <c r="AE27" i="2" s="1"/>
  <c r="Z27" i="2"/>
  <c r="AB27" i="2" s="1"/>
  <c r="Y27" i="2"/>
  <c r="AA27" i="2" s="1"/>
  <c r="V27" i="2"/>
  <c r="X27" i="2" s="1"/>
  <c r="U27" i="2"/>
  <c r="W27" i="2" s="1"/>
  <c r="R27" i="2"/>
  <c r="T27" i="2" s="1"/>
  <c r="Q27" i="2"/>
  <c r="S27" i="2" s="1"/>
  <c r="N27" i="2"/>
  <c r="P27" i="2" s="1"/>
  <c r="M27" i="2"/>
  <c r="O27" i="2" s="1"/>
  <c r="J27" i="2"/>
  <c r="L27" i="2" s="1"/>
  <c r="I27" i="2"/>
  <c r="K27" i="2" s="1"/>
  <c r="F27" i="2"/>
  <c r="E27" i="2"/>
  <c r="AP26" i="2"/>
  <c r="AR26" i="2" s="1"/>
  <c r="AO26" i="2"/>
  <c r="AQ26" i="2" s="1"/>
  <c r="AL26" i="2"/>
  <c r="AN26" i="2" s="1"/>
  <c r="AK26" i="2"/>
  <c r="AM26" i="2" s="1"/>
  <c r="AH26" i="2"/>
  <c r="AJ26" i="2" s="1"/>
  <c r="AG26" i="2"/>
  <c r="AI26" i="2" s="1"/>
  <c r="AD26" i="2"/>
  <c r="AF26" i="2" s="1"/>
  <c r="AC26" i="2"/>
  <c r="AE26" i="2" s="1"/>
  <c r="Z26" i="2"/>
  <c r="AB26" i="2" s="1"/>
  <c r="Y26" i="2"/>
  <c r="AA26" i="2" s="1"/>
  <c r="V26" i="2"/>
  <c r="X26" i="2" s="1"/>
  <c r="U26" i="2"/>
  <c r="W26" i="2" s="1"/>
  <c r="R26" i="2"/>
  <c r="T26" i="2" s="1"/>
  <c r="Q26" i="2"/>
  <c r="S26" i="2" s="1"/>
  <c r="N26" i="2"/>
  <c r="P26" i="2" s="1"/>
  <c r="M26" i="2"/>
  <c r="O26" i="2" s="1"/>
  <c r="J26" i="2"/>
  <c r="L26" i="2" s="1"/>
  <c r="I26" i="2"/>
  <c r="K26" i="2" s="1"/>
  <c r="F26" i="2"/>
  <c r="E26" i="2"/>
  <c r="AP25" i="2"/>
  <c r="AR25" i="2" s="1"/>
  <c r="AO25" i="2"/>
  <c r="AQ25" i="2" s="1"/>
  <c r="AL25" i="2"/>
  <c r="AN25" i="2" s="1"/>
  <c r="AK25" i="2"/>
  <c r="AM25" i="2" s="1"/>
  <c r="AH25" i="2"/>
  <c r="AJ25" i="2" s="1"/>
  <c r="AG25" i="2"/>
  <c r="AI25" i="2" s="1"/>
  <c r="AD25" i="2"/>
  <c r="AF25" i="2" s="1"/>
  <c r="AC25" i="2"/>
  <c r="AE25" i="2" s="1"/>
  <c r="Z25" i="2"/>
  <c r="AB25" i="2" s="1"/>
  <c r="Y25" i="2"/>
  <c r="AA25" i="2" s="1"/>
  <c r="V25" i="2"/>
  <c r="X25" i="2" s="1"/>
  <c r="U25" i="2"/>
  <c r="W25" i="2" s="1"/>
  <c r="R25" i="2"/>
  <c r="T25" i="2" s="1"/>
  <c r="Q25" i="2"/>
  <c r="S25" i="2" s="1"/>
  <c r="N25" i="2"/>
  <c r="P25" i="2" s="1"/>
  <c r="M25" i="2"/>
  <c r="O25" i="2" s="1"/>
  <c r="J25" i="2"/>
  <c r="L25" i="2" s="1"/>
  <c r="I25" i="2"/>
  <c r="K25" i="2" s="1"/>
  <c r="F25" i="2"/>
  <c r="E25" i="2"/>
  <c r="AP24" i="2"/>
  <c r="AR24" i="2" s="1"/>
  <c r="AO24" i="2"/>
  <c r="AQ24" i="2" s="1"/>
  <c r="AL24" i="2"/>
  <c r="AN24" i="2" s="1"/>
  <c r="AK24" i="2"/>
  <c r="AM24" i="2" s="1"/>
  <c r="AH24" i="2"/>
  <c r="AJ24" i="2" s="1"/>
  <c r="AG24" i="2"/>
  <c r="AI24" i="2" s="1"/>
  <c r="AD24" i="2"/>
  <c r="AF24" i="2" s="1"/>
  <c r="AC24" i="2"/>
  <c r="AE24" i="2" s="1"/>
  <c r="Z24" i="2"/>
  <c r="AB24" i="2" s="1"/>
  <c r="Y24" i="2"/>
  <c r="AA24" i="2" s="1"/>
  <c r="V24" i="2"/>
  <c r="X24" i="2" s="1"/>
  <c r="U24" i="2"/>
  <c r="W24" i="2" s="1"/>
  <c r="R24" i="2"/>
  <c r="T24" i="2" s="1"/>
  <c r="Q24" i="2"/>
  <c r="S24" i="2" s="1"/>
  <c r="N24" i="2"/>
  <c r="P24" i="2" s="1"/>
  <c r="M24" i="2"/>
  <c r="O24" i="2" s="1"/>
  <c r="J24" i="2"/>
  <c r="L24" i="2" s="1"/>
  <c r="I24" i="2"/>
  <c r="K24" i="2" s="1"/>
  <c r="F24" i="2"/>
  <c r="E24" i="2"/>
  <c r="AP23" i="2"/>
  <c r="AR23" i="2" s="1"/>
  <c r="AO23" i="2"/>
  <c r="AQ23" i="2" s="1"/>
  <c r="AL23" i="2"/>
  <c r="AN23" i="2" s="1"/>
  <c r="AK23" i="2"/>
  <c r="AM23" i="2" s="1"/>
  <c r="AH23" i="2"/>
  <c r="AJ23" i="2" s="1"/>
  <c r="AG23" i="2"/>
  <c r="AI23" i="2" s="1"/>
  <c r="AD23" i="2"/>
  <c r="AF23" i="2" s="1"/>
  <c r="AC23" i="2"/>
  <c r="AE23" i="2" s="1"/>
  <c r="Z23" i="2"/>
  <c r="AB23" i="2" s="1"/>
  <c r="Y23" i="2"/>
  <c r="AA23" i="2" s="1"/>
  <c r="V23" i="2"/>
  <c r="U23" i="2"/>
  <c r="R23" i="2"/>
  <c r="T23" i="2" s="1"/>
  <c r="Q23" i="2"/>
  <c r="S23" i="2" s="1"/>
  <c r="N23" i="2"/>
  <c r="P23" i="2" s="1"/>
  <c r="M23" i="2"/>
  <c r="O23" i="2" s="1"/>
  <c r="J23" i="2"/>
  <c r="L23" i="2" s="1"/>
  <c r="I23" i="2"/>
  <c r="K23" i="2" s="1"/>
  <c r="F23" i="2"/>
  <c r="H23" i="2" s="1"/>
  <c r="E23" i="2"/>
  <c r="G23" i="2" s="1"/>
  <c r="AP22" i="2"/>
  <c r="AR22" i="2" s="1"/>
  <c r="AO22" i="2"/>
  <c r="AQ22" i="2" s="1"/>
  <c r="AL22" i="2"/>
  <c r="AN22" i="2" s="1"/>
  <c r="AK22" i="2"/>
  <c r="AM22" i="2" s="1"/>
  <c r="AH22" i="2"/>
  <c r="AJ22" i="2" s="1"/>
  <c r="AG22" i="2"/>
  <c r="AI22" i="2" s="1"/>
  <c r="AD22" i="2"/>
  <c r="AF22" i="2" s="1"/>
  <c r="AC22" i="2"/>
  <c r="AE22" i="2" s="1"/>
  <c r="Z22" i="2"/>
  <c r="AB22" i="2" s="1"/>
  <c r="Y22" i="2"/>
  <c r="AA22" i="2" s="1"/>
  <c r="V22" i="2"/>
  <c r="X22" i="2" s="1"/>
  <c r="U22" i="2"/>
  <c r="W22" i="2" s="1"/>
  <c r="R22" i="2"/>
  <c r="T22" i="2" s="1"/>
  <c r="Q22" i="2"/>
  <c r="S22" i="2" s="1"/>
  <c r="N22" i="2"/>
  <c r="P22" i="2" s="1"/>
  <c r="M22" i="2"/>
  <c r="O22" i="2" s="1"/>
  <c r="J22" i="2"/>
  <c r="L22" i="2" s="1"/>
  <c r="I22" i="2"/>
  <c r="K22" i="2" s="1"/>
  <c r="F22" i="2"/>
  <c r="E22" i="2"/>
  <c r="C22" i="2"/>
  <c r="D22" i="2" s="1"/>
  <c r="AP21" i="2"/>
  <c r="AR21" i="2" s="1"/>
  <c r="AO21" i="2"/>
  <c r="AQ21" i="2" s="1"/>
  <c r="AL21" i="2"/>
  <c r="AN21" i="2" s="1"/>
  <c r="AK21" i="2"/>
  <c r="AM21" i="2" s="1"/>
  <c r="AH21" i="2"/>
  <c r="AJ21" i="2" s="1"/>
  <c r="AG21" i="2"/>
  <c r="AI21" i="2" s="1"/>
  <c r="AD21" i="2"/>
  <c r="AF21" i="2" s="1"/>
  <c r="AC21" i="2"/>
  <c r="AE21" i="2" s="1"/>
  <c r="Z21" i="2"/>
  <c r="AB21" i="2" s="1"/>
  <c r="Y21" i="2"/>
  <c r="AA21" i="2" s="1"/>
  <c r="V21" i="2"/>
  <c r="X21" i="2" s="1"/>
  <c r="U21" i="2"/>
  <c r="W21" i="2" s="1"/>
  <c r="R21" i="2"/>
  <c r="T21" i="2" s="1"/>
  <c r="Q21" i="2"/>
  <c r="S21" i="2" s="1"/>
  <c r="N21" i="2"/>
  <c r="P21" i="2" s="1"/>
  <c r="M21" i="2"/>
  <c r="O21" i="2" s="1"/>
  <c r="J21" i="2"/>
  <c r="L21" i="2" s="1"/>
  <c r="I21" i="2"/>
  <c r="K21" i="2" s="1"/>
  <c r="F21" i="2"/>
  <c r="E21" i="2"/>
  <c r="C21" i="2"/>
  <c r="D21" i="2" s="1"/>
  <c r="AP20" i="2"/>
  <c r="AR20" i="2" s="1"/>
  <c r="AO20" i="2"/>
  <c r="AQ20" i="2" s="1"/>
  <c r="AL20" i="2"/>
  <c r="AN20" i="2" s="1"/>
  <c r="AK20" i="2"/>
  <c r="AM20" i="2" s="1"/>
  <c r="AH20" i="2"/>
  <c r="AJ20" i="2" s="1"/>
  <c r="AG20" i="2"/>
  <c r="AI20" i="2" s="1"/>
  <c r="AD20" i="2"/>
  <c r="AF20" i="2" s="1"/>
  <c r="AC20" i="2"/>
  <c r="AE20" i="2" s="1"/>
  <c r="Z20" i="2"/>
  <c r="AB20" i="2" s="1"/>
  <c r="Y20" i="2"/>
  <c r="AA20" i="2" s="1"/>
  <c r="V20" i="2"/>
  <c r="X20" i="2" s="1"/>
  <c r="U20" i="2"/>
  <c r="W20" i="2" s="1"/>
  <c r="R20" i="2"/>
  <c r="T20" i="2" s="1"/>
  <c r="Q20" i="2"/>
  <c r="S20" i="2" s="1"/>
  <c r="N20" i="2"/>
  <c r="P20" i="2" s="1"/>
  <c r="M20" i="2"/>
  <c r="O20" i="2" s="1"/>
  <c r="J20" i="2"/>
  <c r="L20" i="2" s="1"/>
  <c r="I20" i="2"/>
  <c r="K20" i="2" s="1"/>
  <c r="F20" i="2"/>
  <c r="E20" i="2"/>
  <c r="AP18" i="2"/>
  <c r="AR18" i="2" s="1"/>
  <c r="AO18" i="2"/>
  <c r="AQ18" i="2" s="1"/>
  <c r="AL18" i="2"/>
  <c r="AN18" i="2" s="1"/>
  <c r="AK18" i="2"/>
  <c r="AM18" i="2" s="1"/>
  <c r="AH18" i="2"/>
  <c r="AJ18" i="2" s="1"/>
  <c r="AG18" i="2"/>
  <c r="AI18" i="2" s="1"/>
  <c r="AD18" i="2"/>
  <c r="AF18" i="2" s="1"/>
  <c r="AC18" i="2"/>
  <c r="AE18" i="2" s="1"/>
  <c r="Z18" i="2"/>
  <c r="AB18" i="2" s="1"/>
  <c r="Y18" i="2"/>
  <c r="AA18" i="2" s="1"/>
  <c r="V18" i="2"/>
  <c r="X18" i="2" s="1"/>
  <c r="U18" i="2"/>
  <c r="W18" i="2" s="1"/>
  <c r="R18" i="2"/>
  <c r="T18" i="2" s="1"/>
  <c r="Q18" i="2"/>
  <c r="S18" i="2" s="1"/>
  <c r="N18" i="2"/>
  <c r="P18" i="2" s="1"/>
  <c r="M18" i="2"/>
  <c r="O18" i="2" s="1"/>
  <c r="J18" i="2"/>
  <c r="L18" i="2" s="1"/>
  <c r="I18" i="2"/>
  <c r="K18" i="2" s="1"/>
  <c r="F18" i="2"/>
  <c r="E18" i="2"/>
  <c r="AP17" i="2"/>
  <c r="AR17" i="2" s="1"/>
  <c r="AO17" i="2"/>
  <c r="AQ17" i="2" s="1"/>
  <c r="AL17" i="2"/>
  <c r="AN17" i="2" s="1"/>
  <c r="AK17" i="2"/>
  <c r="AM17" i="2" s="1"/>
  <c r="AH17" i="2"/>
  <c r="AJ17" i="2" s="1"/>
  <c r="AG17" i="2"/>
  <c r="AI17" i="2" s="1"/>
  <c r="AD17" i="2"/>
  <c r="AF17" i="2" s="1"/>
  <c r="AC17" i="2"/>
  <c r="AE17" i="2" s="1"/>
  <c r="Z17" i="2"/>
  <c r="AB17" i="2" s="1"/>
  <c r="Y17" i="2"/>
  <c r="AA17" i="2" s="1"/>
  <c r="V17" i="2"/>
  <c r="X17" i="2" s="1"/>
  <c r="U17" i="2"/>
  <c r="W17" i="2" s="1"/>
  <c r="R17" i="2"/>
  <c r="T17" i="2" s="1"/>
  <c r="Q17" i="2"/>
  <c r="S17" i="2" s="1"/>
  <c r="N17" i="2"/>
  <c r="P17" i="2" s="1"/>
  <c r="M17" i="2"/>
  <c r="O17" i="2" s="1"/>
  <c r="J17" i="2"/>
  <c r="L17" i="2" s="1"/>
  <c r="I17" i="2"/>
  <c r="K17" i="2" s="1"/>
  <c r="F17" i="2"/>
  <c r="E17" i="2"/>
  <c r="AP16" i="2"/>
  <c r="AR16" i="2" s="1"/>
  <c r="AO16" i="2"/>
  <c r="AQ16" i="2" s="1"/>
  <c r="AL16" i="2"/>
  <c r="AN16" i="2" s="1"/>
  <c r="AK16" i="2"/>
  <c r="AM16" i="2" s="1"/>
  <c r="AH16" i="2"/>
  <c r="AJ16" i="2" s="1"/>
  <c r="AG16" i="2"/>
  <c r="AI16" i="2" s="1"/>
  <c r="AD16" i="2"/>
  <c r="AF16" i="2" s="1"/>
  <c r="AC16" i="2"/>
  <c r="AE16" i="2" s="1"/>
  <c r="Z16" i="2"/>
  <c r="AB16" i="2" s="1"/>
  <c r="Y16" i="2"/>
  <c r="AA16" i="2" s="1"/>
  <c r="V16" i="2"/>
  <c r="X16" i="2" s="1"/>
  <c r="U16" i="2"/>
  <c r="W16" i="2" s="1"/>
  <c r="R16" i="2"/>
  <c r="T16" i="2" s="1"/>
  <c r="Q16" i="2"/>
  <c r="S16" i="2" s="1"/>
  <c r="N16" i="2"/>
  <c r="P16" i="2" s="1"/>
  <c r="M16" i="2"/>
  <c r="O16" i="2" s="1"/>
  <c r="J16" i="2"/>
  <c r="L16" i="2" s="1"/>
  <c r="I16" i="2"/>
  <c r="K16" i="2" s="1"/>
  <c r="F16" i="2"/>
  <c r="E16" i="2"/>
  <c r="AP15" i="2"/>
  <c r="AR15" i="2" s="1"/>
  <c r="AO15" i="2"/>
  <c r="AQ15" i="2" s="1"/>
  <c r="AL15" i="2"/>
  <c r="AN15" i="2" s="1"/>
  <c r="AK15" i="2"/>
  <c r="AM15" i="2" s="1"/>
  <c r="AH15" i="2"/>
  <c r="AJ15" i="2" s="1"/>
  <c r="AG15" i="2"/>
  <c r="AI15" i="2" s="1"/>
  <c r="AD15" i="2"/>
  <c r="AF15" i="2" s="1"/>
  <c r="AC15" i="2"/>
  <c r="AE15" i="2" s="1"/>
  <c r="Z15" i="2"/>
  <c r="AB15" i="2" s="1"/>
  <c r="Y15" i="2"/>
  <c r="AA15" i="2" s="1"/>
  <c r="V15" i="2"/>
  <c r="X15" i="2" s="1"/>
  <c r="U15" i="2"/>
  <c r="W15" i="2" s="1"/>
  <c r="R15" i="2"/>
  <c r="T15" i="2" s="1"/>
  <c r="Q15" i="2"/>
  <c r="S15" i="2" s="1"/>
  <c r="N15" i="2"/>
  <c r="P15" i="2" s="1"/>
  <c r="M15" i="2"/>
  <c r="O15" i="2" s="1"/>
  <c r="J15" i="2"/>
  <c r="L15" i="2" s="1"/>
  <c r="I15" i="2"/>
  <c r="K15" i="2" s="1"/>
  <c r="F15" i="2"/>
  <c r="E15" i="2"/>
  <c r="AP14" i="2"/>
  <c r="AR14" i="2" s="1"/>
  <c r="AO14" i="2"/>
  <c r="AQ14" i="2" s="1"/>
  <c r="AL14" i="2"/>
  <c r="AN14" i="2" s="1"/>
  <c r="AK14" i="2"/>
  <c r="AM14" i="2" s="1"/>
  <c r="AH14" i="2"/>
  <c r="AJ14" i="2" s="1"/>
  <c r="AG14" i="2"/>
  <c r="AI14" i="2" s="1"/>
  <c r="AD14" i="2"/>
  <c r="AF14" i="2" s="1"/>
  <c r="AC14" i="2"/>
  <c r="AE14" i="2" s="1"/>
  <c r="Z14" i="2"/>
  <c r="AB14" i="2" s="1"/>
  <c r="Y14" i="2"/>
  <c r="AA14" i="2" s="1"/>
  <c r="V14" i="2"/>
  <c r="X14" i="2" s="1"/>
  <c r="U14" i="2"/>
  <c r="W14" i="2" s="1"/>
  <c r="R14" i="2"/>
  <c r="T14" i="2" s="1"/>
  <c r="Q14" i="2"/>
  <c r="S14" i="2" s="1"/>
  <c r="N14" i="2"/>
  <c r="P14" i="2" s="1"/>
  <c r="M14" i="2"/>
  <c r="O14" i="2" s="1"/>
  <c r="J14" i="2"/>
  <c r="L14" i="2" s="1"/>
  <c r="I14" i="2"/>
  <c r="K14" i="2" s="1"/>
  <c r="F14" i="2"/>
  <c r="E14" i="2"/>
  <c r="AP13" i="2"/>
  <c r="AR13" i="2" s="1"/>
  <c r="AO13" i="2"/>
  <c r="AQ13" i="2" s="1"/>
  <c r="AL13" i="2"/>
  <c r="AN13" i="2" s="1"/>
  <c r="AK13" i="2"/>
  <c r="AM13" i="2" s="1"/>
  <c r="AH13" i="2"/>
  <c r="AJ13" i="2" s="1"/>
  <c r="AG13" i="2"/>
  <c r="AI13" i="2" s="1"/>
  <c r="AD13" i="2"/>
  <c r="AF13" i="2" s="1"/>
  <c r="AC13" i="2"/>
  <c r="AE13" i="2" s="1"/>
  <c r="Z13" i="2"/>
  <c r="AB13" i="2" s="1"/>
  <c r="Y13" i="2"/>
  <c r="AA13" i="2" s="1"/>
  <c r="V13" i="2"/>
  <c r="X13" i="2" s="1"/>
  <c r="U13" i="2"/>
  <c r="W13" i="2" s="1"/>
  <c r="R13" i="2"/>
  <c r="T13" i="2" s="1"/>
  <c r="Q13" i="2"/>
  <c r="S13" i="2" s="1"/>
  <c r="N13" i="2"/>
  <c r="P13" i="2" s="1"/>
  <c r="M13" i="2"/>
  <c r="O13" i="2" s="1"/>
  <c r="J13" i="2"/>
  <c r="L13" i="2" s="1"/>
  <c r="I13" i="2"/>
  <c r="K13" i="2" s="1"/>
  <c r="F13" i="2"/>
  <c r="E13" i="2"/>
  <c r="AP12" i="2"/>
  <c r="AR12" i="2" s="1"/>
  <c r="AO12" i="2"/>
  <c r="AQ12" i="2" s="1"/>
  <c r="AL12" i="2"/>
  <c r="AN12" i="2" s="1"/>
  <c r="AK12" i="2"/>
  <c r="AM12" i="2" s="1"/>
  <c r="AH12" i="2"/>
  <c r="AJ12" i="2" s="1"/>
  <c r="AG12" i="2"/>
  <c r="AI12" i="2" s="1"/>
  <c r="AD12" i="2"/>
  <c r="AF12" i="2" s="1"/>
  <c r="AC12" i="2"/>
  <c r="AE12" i="2" s="1"/>
  <c r="Z12" i="2"/>
  <c r="AB12" i="2" s="1"/>
  <c r="Y12" i="2"/>
  <c r="AA12" i="2" s="1"/>
  <c r="V12" i="2"/>
  <c r="X12" i="2" s="1"/>
  <c r="U12" i="2"/>
  <c r="W12" i="2" s="1"/>
  <c r="R12" i="2"/>
  <c r="T12" i="2" s="1"/>
  <c r="Q12" i="2"/>
  <c r="S12" i="2" s="1"/>
  <c r="N12" i="2"/>
  <c r="P12" i="2" s="1"/>
  <c r="M12" i="2"/>
  <c r="O12" i="2" s="1"/>
  <c r="J12" i="2"/>
  <c r="L12" i="2" s="1"/>
  <c r="I12" i="2"/>
  <c r="K12" i="2" s="1"/>
  <c r="F12" i="2"/>
  <c r="E12" i="2"/>
  <c r="AP11" i="2"/>
  <c r="AR11" i="2" s="1"/>
  <c r="AO11" i="2"/>
  <c r="AQ11" i="2" s="1"/>
  <c r="AL11" i="2"/>
  <c r="AN11" i="2" s="1"/>
  <c r="AK11" i="2"/>
  <c r="AM11" i="2" s="1"/>
  <c r="AH11" i="2"/>
  <c r="AJ11" i="2" s="1"/>
  <c r="AG11" i="2"/>
  <c r="AI11" i="2" s="1"/>
  <c r="AD11" i="2"/>
  <c r="AF11" i="2" s="1"/>
  <c r="AC11" i="2"/>
  <c r="AE11" i="2" s="1"/>
  <c r="Z11" i="2"/>
  <c r="AB11" i="2" s="1"/>
  <c r="Y11" i="2"/>
  <c r="AA11" i="2" s="1"/>
  <c r="V11" i="2"/>
  <c r="X11" i="2" s="1"/>
  <c r="U11" i="2"/>
  <c r="W11" i="2" s="1"/>
  <c r="R11" i="2"/>
  <c r="T11" i="2" s="1"/>
  <c r="Q11" i="2"/>
  <c r="S11" i="2" s="1"/>
  <c r="N11" i="2"/>
  <c r="P11" i="2" s="1"/>
  <c r="M11" i="2"/>
  <c r="O11" i="2" s="1"/>
  <c r="J11" i="2"/>
  <c r="L11" i="2" s="1"/>
  <c r="I11" i="2"/>
  <c r="K11" i="2" s="1"/>
  <c r="F11" i="2"/>
  <c r="E11" i="2"/>
  <c r="AP10" i="2"/>
  <c r="AR10" i="2" s="1"/>
  <c r="AO10" i="2"/>
  <c r="AQ10" i="2" s="1"/>
  <c r="AL10" i="2"/>
  <c r="AN10" i="2" s="1"/>
  <c r="AK10" i="2"/>
  <c r="AM10" i="2" s="1"/>
  <c r="AH10" i="2"/>
  <c r="AJ10" i="2" s="1"/>
  <c r="AG10" i="2"/>
  <c r="AI10" i="2" s="1"/>
  <c r="AD10" i="2"/>
  <c r="AF10" i="2" s="1"/>
  <c r="AC10" i="2"/>
  <c r="AE10" i="2" s="1"/>
  <c r="Z10" i="2"/>
  <c r="AB10" i="2" s="1"/>
  <c r="Y10" i="2"/>
  <c r="AA10" i="2" s="1"/>
  <c r="V10" i="2"/>
  <c r="X10" i="2" s="1"/>
  <c r="U10" i="2"/>
  <c r="W10" i="2" s="1"/>
  <c r="R10" i="2"/>
  <c r="T10" i="2" s="1"/>
  <c r="Q10" i="2"/>
  <c r="S10" i="2" s="1"/>
  <c r="N10" i="2"/>
  <c r="P10" i="2" s="1"/>
  <c r="M10" i="2"/>
  <c r="O10" i="2" s="1"/>
  <c r="J10" i="2"/>
  <c r="L10" i="2" s="1"/>
  <c r="I10" i="2"/>
  <c r="K10" i="2" s="1"/>
  <c r="F10" i="2"/>
  <c r="E10" i="2"/>
  <c r="AP9" i="2"/>
  <c r="AR9" i="2" s="1"/>
  <c r="AO9" i="2"/>
  <c r="AQ9" i="2" s="1"/>
  <c r="AL9" i="2"/>
  <c r="AN9" i="2" s="1"/>
  <c r="AK9" i="2"/>
  <c r="AM9" i="2" s="1"/>
  <c r="AH9" i="2"/>
  <c r="AJ9" i="2" s="1"/>
  <c r="AG9" i="2"/>
  <c r="AI9" i="2" s="1"/>
  <c r="AD9" i="2"/>
  <c r="AF9" i="2" s="1"/>
  <c r="AC9" i="2"/>
  <c r="AE9" i="2" s="1"/>
  <c r="Z9" i="2"/>
  <c r="AB9" i="2" s="1"/>
  <c r="Y9" i="2"/>
  <c r="AA9" i="2" s="1"/>
  <c r="V9" i="2"/>
  <c r="U9" i="2"/>
  <c r="R9" i="2"/>
  <c r="T9" i="2" s="1"/>
  <c r="Q9" i="2"/>
  <c r="S9" i="2" s="1"/>
  <c r="N9" i="2"/>
  <c r="P9" i="2" s="1"/>
  <c r="M9" i="2"/>
  <c r="O9" i="2" s="1"/>
  <c r="J9" i="2"/>
  <c r="L9" i="2" s="1"/>
  <c r="I9" i="2"/>
  <c r="K9" i="2" s="1"/>
  <c r="F9" i="2"/>
  <c r="H9" i="2" s="1"/>
  <c r="E9" i="2"/>
  <c r="G9" i="2" s="1"/>
  <c r="AP8" i="2"/>
  <c r="AR8" i="2" s="1"/>
  <c r="AO8" i="2"/>
  <c r="AQ8" i="2" s="1"/>
  <c r="AL8" i="2"/>
  <c r="AN8" i="2" s="1"/>
  <c r="AK8" i="2"/>
  <c r="AM8" i="2" s="1"/>
  <c r="AH8" i="2"/>
  <c r="AJ8" i="2" s="1"/>
  <c r="AG8" i="2"/>
  <c r="AI8" i="2" s="1"/>
  <c r="AD8" i="2"/>
  <c r="AF8" i="2" s="1"/>
  <c r="AC8" i="2"/>
  <c r="AE8" i="2" s="1"/>
  <c r="Z8" i="2"/>
  <c r="AB8" i="2" s="1"/>
  <c r="Y8" i="2"/>
  <c r="AA8" i="2" s="1"/>
  <c r="V8" i="2"/>
  <c r="X8" i="2" s="1"/>
  <c r="U8" i="2"/>
  <c r="W8" i="2" s="1"/>
  <c r="R8" i="2"/>
  <c r="T8" i="2" s="1"/>
  <c r="Q8" i="2"/>
  <c r="S8" i="2" s="1"/>
  <c r="N8" i="2"/>
  <c r="P8" i="2" s="1"/>
  <c r="M8" i="2"/>
  <c r="O8" i="2" s="1"/>
  <c r="J8" i="2"/>
  <c r="L8" i="2" s="1"/>
  <c r="I8" i="2"/>
  <c r="K8" i="2" s="1"/>
  <c r="F8" i="2"/>
  <c r="E8" i="2"/>
  <c r="C8" i="2"/>
  <c r="D8" i="2" s="1"/>
  <c r="AP7" i="2"/>
  <c r="AR7" i="2" s="1"/>
  <c r="AO7" i="2"/>
  <c r="AQ7" i="2" s="1"/>
  <c r="AL7" i="2"/>
  <c r="AN7" i="2" s="1"/>
  <c r="AK7" i="2"/>
  <c r="AM7" i="2" s="1"/>
  <c r="AH7" i="2"/>
  <c r="AJ7" i="2" s="1"/>
  <c r="AG7" i="2"/>
  <c r="AI7" i="2" s="1"/>
  <c r="AD7" i="2"/>
  <c r="AF7" i="2" s="1"/>
  <c r="AC7" i="2"/>
  <c r="AE7" i="2" s="1"/>
  <c r="Z7" i="2"/>
  <c r="AB7" i="2" s="1"/>
  <c r="Y7" i="2"/>
  <c r="AA7" i="2" s="1"/>
  <c r="V7" i="2"/>
  <c r="X7" i="2" s="1"/>
  <c r="U7" i="2"/>
  <c r="W7" i="2" s="1"/>
  <c r="R7" i="2"/>
  <c r="T7" i="2" s="1"/>
  <c r="Q7" i="2"/>
  <c r="S7" i="2" s="1"/>
  <c r="N7" i="2"/>
  <c r="P7" i="2" s="1"/>
  <c r="M7" i="2"/>
  <c r="O7" i="2" s="1"/>
  <c r="J7" i="2"/>
  <c r="L7" i="2" s="1"/>
  <c r="I7" i="2"/>
  <c r="K7" i="2" s="1"/>
  <c r="F7" i="2"/>
  <c r="E7" i="2"/>
  <c r="C7" i="2"/>
  <c r="D7" i="2" s="1"/>
  <c r="AP6" i="2"/>
  <c r="AR6" i="2" s="1"/>
  <c r="AO6" i="2"/>
  <c r="AQ6" i="2" s="1"/>
  <c r="AL6" i="2"/>
  <c r="AN6" i="2" s="1"/>
  <c r="AK6" i="2"/>
  <c r="AM6" i="2" s="1"/>
  <c r="AH6" i="2"/>
  <c r="AJ6" i="2" s="1"/>
  <c r="AG6" i="2"/>
  <c r="AI6" i="2" s="1"/>
  <c r="AD6" i="2"/>
  <c r="AF6" i="2" s="1"/>
  <c r="AC6" i="2"/>
  <c r="AE6" i="2" s="1"/>
  <c r="Z6" i="2"/>
  <c r="AB6" i="2" s="1"/>
  <c r="Y6" i="2"/>
  <c r="AA6" i="2" s="1"/>
  <c r="V6" i="2"/>
  <c r="X6" i="2" s="1"/>
  <c r="U6" i="2"/>
  <c r="W6" i="2" s="1"/>
  <c r="R6" i="2"/>
  <c r="T6" i="2" s="1"/>
  <c r="Q6" i="2"/>
  <c r="S6" i="2" s="1"/>
  <c r="N6" i="2"/>
  <c r="P6" i="2" s="1"/>
  <c r="M6" i="2"/>
  <c r="O6" i="2" s="1"/>
  <c r="J6" i="2"/>
  <c r="L6" i="2" s="1"/>
  <c r="I6" i="2"/>
  <c r="K6" i="2" s="1"/>
  <c r="F6" i="2"/>
  <c r="E6" i="2"/>
  <c r="AP5" i="2"/>
  <c r="AR5" i="2" s="1"/>
  <c r="AO5" i="2"/>
  <c r="AQ5" i="2" s="1"/>
  <c r="AL5" i="2"/>
  <c r="AN5" i="2" s="1"/>
  <c r="AK5" i="2"/>
  <c r="AM5" i="2" s="1"/>
  <c r="AH5" i="2"/>
  <c r="AJ5" i="2" s="1"/>
  <c r="AG5" i="2"/>
  <c r="AI5" i="2" s="1"/>
  <c r="AD5" i="2"/>
  <c r="AF5" i="2" s="1"/>
  <c r="AC5" i="2"/>
  <c r="AE5" i="2" s="1"/>
  <c r="Z5" i="2"/>
  <c r="AB5" i="2" s="1"/>
  <c r="Y5" i="2"/>
  <c r="AA5" i="2" s="1"/>
  <c r="V5" i="2"/>
  <c r="X5" i="2" s="1"/>
  <c r="U5" i="2"/>
  <c r="W5" i="2" s="1"/>
  <c r="R5" i="2"/>
  <c r="T5" i="2" s="1"/>
  <c r="Q5" i="2"/>
  <c r="S5" i="2" s="1"/>
  <c r="N5" i="2"/>
  <c r="P5" i="2" s="1"/>
  <c r="M5" i="2"/>
  <c r="O5" i="2" s="1"/>
  <c r="J5" i="2"/>
  <c r="L5" i="2" s="1"/>
  <c r="I5" i="2"/>
  <c r="K5" i="2" s="1"/>
  <c r="F5" i="2"/>
  <c r="E5" i="2"/>
  <c r="AP4" i="2"/>
  <c r="AR4" i="2" s="1"/>
  <c r="AO4" i="2"/>
  <c r="AQ4" i="2" s="1"/>
  <c r="AL4" i="2"/>
  <c r="AN4" i="2" s="1"/>
  <c r="AK4" i="2"/>
  <c r="AM4" i="2" s="1"/>
  <c r="AH4" i="2"/>
  <c r="AJ4" i="2" s="1"/>
  <c r="AG4" i="2"/>
  <c r="AI4" i="2" s="1"/>
  <c r="AD4" i="2"/>
  <c r="AF4" i="2" s="1"/>
  <c r="AC4" i="2"/>
  <c r="AE4" i="2" s="1"/>
  <c r="Z4" i="2"/>
  <c r="AB4" i="2" s="1"/>
  <c r="Y4" i="2"/>
  <c r="AA4" i="2" s="1"/>
  <c r="V4" i="2"/>
  <c r="X4" i="2" s="1"/>
  <c r="U4" i="2"/>
  <c r="W4" i="2" s="1"/>
  <c r="R4" i="2"/>
  <c r="T4" i="2" s="1"/>
  <c r="Q4" i="2"/>
  <c r="S4" i="2" s="1"/>
  <c r="N4" i="2"/>
  <c r="P4" i="2" s="1"/>
  <c r="M4" i="2"/>
  <c r="O4" i="2" s="1"/>
  <c r="J4" i="2"/>
  <c r="L4" i="2" s="1"/>
  <c r="I4" i="2"/>
  <c r="K4" i="2" s="1"/>
  <c r="F4" i="2"/>
  <c r="E4" i="2"/>
  <c r="AP3" i="2"/>
  <c r="AR3" i="2" s="1"/>
  <c r="AO3" i="2"/>
  <c r="AL3" i="2"/>
  <c r="AK3" i="2"/>
  <c r="AH3" i="2"/>
  <c r="AG3" i="2"/>
  <c r="AD3" i="2"/>
  <c r="AC3" i="2"/>
  <c r="Z3" i="2"/>
  <c r="Y3" i="2"/>
  <c r="V3" i="2"/>
  <c r="U3" i="2"/>
  <c r="R3" i="2"/>
  <c r="Q3" i="2"/>
  <c r="N3" i="2"/>
  <c r="M3" i="2"/>
  <c r="J3" i="2"/>
  <c r="I3" i="2"/>
  <c r="F3" i="2"/>
  <c r="E3" i="2"/>
  <c r="B65" i="1"/>
  <c r="B64" i="1"/>
  <c r="B63" i="1"/>
  <c r="B62" i="1"/>
  <c r="B66" i="1" s="1"/>
  <c r="B59" i="1"/>
  <c r="B58" i="1"/>
  <c r="B57" i="1"/>
  <c r="B56" i="1"/>
  <c r="B55" i="1"/>
  <c r="C59" i="1" s="1"/>
  <c r="B50" i="1"/>
  <c r="AP49" i="1"/>
  <c r="AR49" i="1" s="1"/>
  <c r="AO49" i="1"/>
  <c r="AQ49" i="1" s="1"/>
  <c r="AL49" i="1"/>
  <c r="AN49" i="1" s="1"/>
  <c r="AK49" i="1"/>
  <c r="AM49" i="1" s="1"/>
  <c r="AH49" i="1"/>
  <c r="AJ49" i="1" s="1"/>
  <c r="AG49" i="1"/>
  <c r="AI49" i="1" s="1"/>
  <c r="AD49" i="1"/>
  <c r="AF49" i="1" s="1"/>
  <c r="AC49" i="1"/>
  <c r="AE49" i="1" s="1"/>
  <c r="Z49" i="1"/>
  <c r="AB49" i="1" s="1"/>
  <c r="Y49" i="1"/>
  <c r="AA49" i="1" s="1"/>
  <c r="V49" i="1"/>
  <c r="X49" i="1" s="1"/>
  <c r="U49" i="1"/>
  <c r="W49" i="1" s="1"/>
  <c r="R49" i="1"/>
  <c r="T49" i="1" s="1"/>
  <c r="Q49" i="1"/>
  <c r="S49" i="1" s="1"/>
  <c r="N49" i="1"/>
  <c r="P49" i="1" s="1"/>
  <c r="M49" i="1"/>
  <c r="O49" i="1" s="1"/>
  <c r="J49" i="1"/>
  <c r="L49" i="1" s="1"/>
  <c r="I49" i="1"/>
  <c r="K49" i="1" s="1"/>
  <c r="F49" i="1"/>
  <c r="E49" i="1"/>
  <c r="AP48" i="1"/>
  <c r="AR48" i="1" s="1"/>
  <c r="AO48" i="1"/>
  <c r="AQ48" i="1" s="1"/>
  <c r="AL48" i="1"/>
  <c r="AN48" i="1" s="1"/>
  <c r="AK48" i="1"/>
  <c r="AM48" i="1" s="1"/>
  <c r="AH48" i="1"/>
  <c r="AJ48" i="1" s="1"/>
  <c r="AG48" i="1"/>
  <c r="AI48" i="1" s="1"/>
  <c r="AD48" i="1"/>
  <c r="AF48" i="1" s="1"/>
  <c r="AC48" i="1"/>
  <c r="AE48" i="1" s="1"/>
  <c r="Z48" i="1"/>
  <c r="AB48" i="1" s="1"/>
  <c r="Y48" i="1"/>
  <c r="AA48" i="1" s="1"/>
  <c r="V48" i="1"/>
  <c r="X48" i="1" s="1"/>
  <c r="U48" i="1"/>
  <c r="W48" i="1" s="1"/>
  <c r="R48" i="1"/>
  <c r="T48" i="1" s="1"/>
  <c r="Q48" i="1"/>
  <c r="S48" i="1" s="1"/>
  <c r="N48" i="1"/>
  <c r="P48" i="1" s="1"/>
  <c r="M48" i="1"/>
  <c r="O48" i="1" s="1"/>
  <c r="J48" i="1"/>
  <c r="L48" i="1" s="1"/>
  <c r="I48" i="1"/>
  <c r="K48" i="1" s="1"/>
  <c r="F48" i="1"/>
  <c r="E48" i="1"/>
  <c r="AP47" i="1"/>
  <c r="AR47" i="1" s="1"/>
  <c r="AO47" i="1"/>
  <c r="AQ47" i="1" s="1"/>
  <c r="AL47" i="1"/>
  <c r="AN47" i="1" s="1"/>
  <c r="AK47" i="1"/>
  <c r="AM47" i="1" s="1"/>
  <c r="AH47" i="1"/>
  <c r="AJ47" i="1" s="1"/>
  <c r="AG47" i="1"/>
  <c r="AI47" i="1" s="1"/>
  <c r="AD47" i="1"/>
  <c r="AF47" i="1" s="1"/>
  <c r="AC47" i="1"/>
  <c r="AE47" i="1" s="1"/>
  <c r="Z47" i="1"/>
  <c r="AB47" i="1" s="1"/>
  <c r="Y47" i="1"/>
  <c r="AA47" i="1" s="1"/>
  <c r="V47" i="1"/>
  <c r="X47" i="1" s="1"/>
  <c r="U47" i="1"/>
  <c r="W47" i="1" s="1"/>
  <c r="R47" i="1"/>
  <c r="T47" i="1" s="1"/>
  <c r="Q47" i="1"/>
  <c r="S47" i="1" s="1"/>
  <c r="N47" i="1"/>
  <c r="P47" i="1" s="1"/>
  <c r="M47" i="1"/>
  <c r="O47" i="1" s="1"/>
  <c r="J47" i="1"/>
  <c r="L47" i="1" s="1"/>
  <c r="I47" i="1"/>
  <c r="K47" i="1" s="1"/>
  <c r="F47" i="1"/>
  <c r="E47" i="1"/>
  <c r="AP46" i="1"/>
  <c r="AR46" i="1" s="1"/>
  <c r="AO46" i="1"/>
  <c r="AQ46" i="1" s="1"/>
  <c r="AL46" i="1"/>
  <c r="AN46" i="1" s="1"/>
  <c r="AK46" i="1"/>
  <c r="AM46" i="1" s="1"/>
  <c r="AH46" i="1"/>
  <c r="AJ46" i="1" s="1"/>
  <c r="AG46" i="1"/>
  <c r="AI46" i="1" s="1"/>
  <c r="AD46" i="1"/>
  <c r="AF46" i="1" s="1"/>
  <c r="AC46" i="1"/>
  <c r="AE46" i="1" s="1"/>
  <c r="Z46" i="1"/>
  <c r="AB46" i="1" s="1"/>
  <c r="Y46" i="1"/>
  <c r="AA46" i="1" s="1"/>
  <c r="V46" i="1"/>
  <c r="X46" i="1" s="1"/>
  <c r="U46" i="1"/>
  <c r="W46" i="1" s="1"/>
  <c r="R46" i="1"/>
  <c r="T46" i="1" s="1"/>
  <c r="Q46" i="1"/>
  <c r="S46" i="1" s="1"/>
  <c r="N46" i="1"/>
  <c r="P46" i="1" s="1"/>
  <c r="M46" i="1"/>
  <c r="O46" i="1" s="1"/>
  <c r="J46" i="1"/>
  <c r="L46" i="1" s="1"/>
  <c r="I46" i="1"/>
  <c r="K46" i="1" s="1"/>
  <c r="F46" i="1"/>
  <c r="E46" i="1"/>
  <c r="AP45" i="1"/>
  <c r="AR45" i="1" s="1"/>
  <c r="AO45" i="1"/>
  <c r="AQ45" i="1" s="1"/>
  <c r="AL45" i="1"/>
  <c r="AN45" i="1" s="1"/>
  <c r="AK45" i="1"/>
  <c r="AM45" i="1" s="1"/>
  <c r="AH45" i="1"/>
  <c r="AJ45" i="1" s="1"/>
  <c r="AG45" i="1"/>
  <c r="AI45" i="1" s="1"/>
  <c r="AD45" i="1"/>
  <c r="AF45" i="1" s="1"/>
  <c r="AC45" i="1"/>
  <c r="AE45" i="1" s="1"/>
  <c r="Z45" i="1"/>
  <c r="AB45" i="1" s="1"/>
  <c r="Y45" i="1"/>
  <c r="AA45" i="1" s="1"/>
  <c r="V45" i="1"/>
  <c r="X45" i="1" s="1"/>
  <c r="U45" i="1"/>
  <c r="W45" i="1" s="1"/>
  <c r="R45" i="1"/>
  <c r="T45" i="1" s="1"/>
  <c r="Q45" i="1"/>
  <c r="S45" i="1" s="1"/>
  <c r="N45" i="1"/>
  <c r="P45" i="1" s="1"/>
  <c r="M45" i="1"/>
  <c r="O45" i="1" s="1"/>
  <c r="J45" i="1"/>
  <c r="L45" i="1" s="1"/>
  <c r="I45" i="1"/>
  <c r="K45" i="1" s="1"/>
  <c r="F45" i="1"/>
  <c r="E45" i="1"/>
  <c r="AP44" i="1"/>
  <c r="AR44" i="1" s="1"/>
  <c r="AO44" i="1"/>
  <c r="AQ44" i="1" s="1"/>
  <c r="AL44" i="1"/>
  <c r="AN44" i="1" s="1"/>
  <c r="AK44" i="1"/>
  <c r="AM44" i="1" s="1"/>
  <c r="AH44" i="1"/>
  <c r="AJ44" i="1" s="1"/>
  <c r="AG44" i="1"/>
  <c r="AI44" i="1" s="1"/>
  <c r="AD44" i="1"/>
  <c r="AF44" i="1" s="1"/>
  <c r="AC44" i="1"/>
  <c r="AE44" i="1" s="1"/>
  <c r="Z44" i="1"/>
  <c r="AB44" i="1" s="1"/>
  <c r="Y44" i="1"/>
  <c r="AA44" i="1" s="1"/>
  <c r="V44" i="1"/>
  <c r="X44" i="1" s="1"/>
  <c r="U44" i="1"/>
  <c r="W44" i="1" s="1"/>
  <c r="R44" i="1"/>
  <c r="T44" i="1" s="1"/>
  <c r="Q44" i="1"/>
  <c r="S44" i="1" s="1"/>
  <c r="N44" i="1"/>
  <c r="P44" i="1" s="1"/>
  <c r="M44" i="1"/>
  <c r="O44" i="1" s="1"/>
  <c r="J44" i="1"/>
  <c r="L44" i="1" s="1"/>
  <c r="I44" i="1"/>
  <c r="K44" i="1" s="1"/>
  <c r="F44" i="1"/>
  <c r="E44" i="1"/>
  <c r="AP43" i="1"/>
  <c r="AR43" i="1" s="1"/>
  <c r="AO43" i="1"/>
  <c r="AQ43" i="1" s="1"/>
  <c r="AL43" i="1"/>
  <c r="AN43" i="1" s="1"/>
  <c r="AK43" i="1"/>
  <c r="AM43" i="1" s="1"/>
  <c r="AH43" i="1"/>
  <c r="AJ43" i="1" s="1"/>
  <c r="AG43" i="1"/>
  <c r="AI43" i="1" s="1"/>
  <c r="AD43" i="1"/>
  <c r="AF43" i="1" s="1"/>
  <c r="AC43" i="1"/>
  <c r="AE43" i="1" s="1"/>
  <c r="Z43" i="1"/>
  <c r="AB43" i="1" s="1"/>
  <c r="Y43" i="1"/>
  <c r="AA43" i="1" s="1"/>
  <c r="V43" i="1"/>
  <c r="X43" i="1" s="1"/>
  <c r="U43" i="1"/>
  <c r="W43" i="1" s="1"/>
  <c r="R43" i="1"/>
  <c r="T43" i="1" s="1"/>
  <c r="Q43" i="1"/>
  <c r="S43" i="1" s="1"/>
  <c r="N43" i="1"/>
  <c r="P43" i="1" s="1"/>
  <c r="M43" i="1"/>
  <c r="O43" i="1" s="1"/>
  <c r="J43" i="1"/>
  <c r="L43" i="1" s="1"/>
  <c r="I43" i="1"/>
  <c r="K43" i="1" s="1"/>
  <c r="F43" i="1"/>
  <c r="E43" i="1"/>
  <c r="AP42" i="1"/>
  <c r="AR42" i="1" s="1"/>
  <c r="AO42" i="1"/>
  <c r="AQ42" i="1" s="1"/>
  <c r="AL42" i="1"/>
  <c r="AN42" i="1" s="1"/>
  <c r="AK42" i="1"/>
  <c r="AM42" i="1" s="1"/>
  <c r="AH42" i="1"/>
  <c r="AJ42" i="1" s="1"/>
  <c r="AG42" i="1"/>
  <c r="AI42" i="1" s="1"/>
  <c r="AD42" i="1"/>
  <c r="AF42" i="1" s="1"/>
  <c r="AC42" i="1"/>
  <c r="AE42" i="1" s="1"/>
  <c r="Z42" i="1"/>
  <c r="AB42" i="1" s="1"/>
  <c r="Y42" i="1"/>
  <c r="AA42" i="1" s="1"/>
  <c r="V42" i="1"/>
  <c r="X42" i="1" s="1"/>
  <c r="U42" i="1"/>
  <c r="W42" i="1" s="1"/>
  <c r="R42" i="1"/>
  <c r="T42" i="1" s="1"/>
  <c r="Q42" i="1"/>
  <c r="S42" i="1" s="1"/>
  <c r="N42" i="1"/>
  <c r="P42" i="1" s="1"/>
  <c r="M42" i="1"/>
  <c r="O42" i="1" s="1"/>
  <c r="J42" i="1"/>
  <c r="L42" i="1" s="1"/>
  <c r="I42" i="1"/>
  <c r="K42" i="1" s="1"/>
  <c r="F42" i="1"/>
  <c r="E42" i="1"/>
  <c r="AP41" i="1"/>
  <c r="AR41" i="1" s="1"/>
  <c r="AO41" i="1"/>
  <c r="AQ41" i="1" s="1"/>
  <c r="AL41" i="1"/>
  <c r="AN41" i="1" s="1"/>
  <c r="AK41" i="1"/>
  <c r="AM41" i="1" s="1"/>
  <c r="AH41" i="1"/>
  <c r="AJ41" i="1" s="1"/>
  <c r="AG41" i="1"/>
  <c r="AI41" i="1" s="1"/>
  <c r="AD41" i="1"/>
  <c r="AF41" i="1" s="1"/>
  <c r="AC41" i="1"/>
  <c r="AE41" i="1" s="1"/>
  <c r="Z41" i="1"/>
  <c r="AB41" i="1" s="1"/>
  <c r="Y41" i="1"/>
  <c r="AA41" i="1" s="1"/>
  <c r="V41" i="1"/>
  <c r="X41" i="1" s="1"/>
  <c r="U41" i="1"/>
  <c r="W41" i="1" s="1"/>
  <c r="R41" i="1"/>
  <c r="T41" i="1" s="1"/>
  <c r="Q41" i="1"/>
  <c r="S41" i="1" s="1"/>
  <c r="N41" i="1"/>
  <c r="P41" i="1" s="1"/>
  <c r="M41" i="1"/>
  <c r="O41" i="1" s="1"/>
  <c r="J41" i="1"/>
  <c r="L41" i="1" s="1"/>
  <c r="I41" i="1"/>
  <c r="K41" i="1" s="1"/>
  <c r="F41" i="1"/>
  <c r="E41" i="1"/>
  <c r="AP40" i="1"/>
  <c r="AR40" i="1" s="1"/>
  <c r="AO40" i="1"/>
  <c r="AQ40" i="1" s="1"/>
  <c r="AL40" i="1"/>
  <c r="AN40" i="1" s="1"/>
  <c r="AK40" i="1"/>
  <c r="AM40" i="1" s="1"/>
  <c r="AH40" i="1"/>
  <c r="AJ40" i="1" s="1"/>
  <c r="AG40" i="1"/>
  <c r="AI40" i="1" s="1"/>
  <c r="AD40" i="1"/>
  <c r="AF40" i="1" s="1"/>
  <c r="AC40" i="1"/>
  <c r="AE40" i="1" s="1"/>
  <c r="Z40" i="1"/>
  <c r="AB40" i="1" s="1"/>
  <c r="Y40" i="1"/>
  <c r="AA40" i="1" s="1"/>
  <c r="V40" i="1"/>
  <c r="X40" i="1" s="1"/>
  <c r="U40" i="1"/>
  <c r="W40" i="1" s="1"/>
  <c r="R40" i="1"/>
  <c r="T40" i="1" s="1"/>
  <c r="Q40" i="1"/>
  <c r="S40" i="1" s="1"/>
  <c r="N40" i="1"/>
  <c r="P40" i="1" s="1"/>
  <c r="M40" i="1"/>
  <c r="O40" i="1" s="1"/>
  <c r="J40" i="1"/>
  <c r="L40" i="1" s="1"/>
  <c r="I40" i="1"/>
  <c r="K40" i="1" s="1"/>
  <c r="F40" i="1"/>
  <c r="E40" i="1"/>
  <c r="AP39" i="1"/>
  <c r="AR39" i="1" s="1"/>
  <c r="AO39" i="1"/>
  <c r="AQ39" i="1" s="1"/>
  <c r="AL39" i="1"/>
  <c r="AN39" i="1" s="1"/>
  <c r="AK39" i="1"/>
  <c r="AM39" i="1" s="1"/>
  <c r="AH39" i="1"/>
  <c r="AJ39" i="1" s="1"/>
  <c r="AG39" i="1"/>
  <c r="AI39" i="1" s="1"/>
  <c r="AD39" i="1"/>
  <c r="AF39" i="1" s="1"/>
  <c r="AC39" i="1"/>
  <c r="AE39" i="1" s="1"/>
  <c r="Z39" i="1"/>
  <c r="AB39" i="1" s="1"/>
  <c r="Y39" i="1"/>
  <c r="AA39" i="1" s="1"/>
  <c r="V39" i="1"/>
  <c r="X39" i="1" s="1"/>
  <c r="U39" i="1"/>
  <c r="W39" i="1" s="1"/>
  <c r="R39" i="1"/>
  <c r="T39" i="1" s="1"/>
  <c r="Q39" i="1"/>
  <c r="S39" i="1" s="1"/>
  <c r="N39" i="1"/>
  <c r="P39" i="1" s="1"/>
  <c r="M39" i="1"/>
  <c r="J39" i="1"/>
  <c r="I39" i="1"/>
  <c r="F39" i="1"/>
  <c r="H39" i="1" s="1"/>
  <c r="E39" i="1"/>
  <c r="G39" i="1" s="1"/>
  <c r="AP38" i="1"/>
  <c r="AR38" i="1" s="1"/>
  <c r="AO38" i="1"/>
  <c r="AQ38" i="1" s="1"/>
  <c r="AL38" i="1"/>
  <c r="AN38" i="1" s="1"/>
  <c r="AK38" i="1"/>
  <c r="AM38" i="1" s="1"/>
  <c r="AH38" i="1"/>
  <c r="AJ38" i="1" s="1"/>
  <c r="AG38" i="1"/>
  <c r="AI38" i="1" s="1"/>
  <c r="AD38" i="1"/>
  <c r="AF38" i="1" s="1"/>
  <c r="AC38" i="1"/>
  <c r="AE38" i="1" s="1"/>
  <c r="Z38" i="1"/>
  <c r="AB38" i="1" s="1"/>
  <c r="Y38" i="1"/>
  <c r="AA38" i="1" s="1"/>
  <c r="V38" i="1"/>
  <c r="X38" i="1" s="1"/>
  <c r="U38" i="1"/>
  <c r="W38" i="1" s="1"/>
  <c r="R38" i="1"/>
  <c r="T38" i="1" s="1"/>
  <c r="Q38" i="1"/>
  <c r="S38" i="1" s="1"/>
  <c r="N38" i="1"/>
  <c r="P38" i="1" s="1"/>
  <c r="M38" i="1"/>
  <c r="O38" i="1" s="1"/>
  <c r="J38" i="1"/>
  <c r="L38" i="1" s="1"/>
  <c r="I38" i="1"/>
  <c r="K38" i="1" s="1"/>
  <c r="F38" i="1"/>
  <c r="E38" i="1"/>
  <c r="AP37" i="1"/>
  <c r="AR37" i="1" s="1"/>
  <c r="AO37" i="1"/>
  <c r="AQ37" i="1" s="1"/>
  <c r="AL37" i="1"/>
  <c r="AN37" i="1" s="1"/>
  <c r="AK37" i="1"/>
  <c r="AM37" i="1" s="1"/>
  <c r="AH37" i="1"/>
  <c r="AJ37" i="1" s="1"/>
  <c r="AG37" i="1"/>
  <c r="AI37" i="1" s="1"/>
  <c r="AD37" i="1"/>
  <c r="AF37" i="1" s="1"/>
  <c r="AC37" i="1"/>
  <c r="AE37" i="1" s="1"/>
  <c r="Z37" i="1"/>
  <c r="AB37" i="1" s="1"/>
  <c r="Y37" i="1"/>
  <c r="AA37" i="1" s="1"/>
  <c r="V37" i="1"/>
  <c r="X37" i="1" s="1"/>
  <c r="U37" i="1"/>
  <c r="W37" i="1" s="1"/>
  <c r="R37" i="1"/>
  <c r="T37" i="1" s="1"/>
  <c r="Q37" i="1"/>
  <c r="S37" i="1" s="1"/>
  <c r="N37" i="1"/>
  <c r="P37" i="1" s="1"/>
  <c r="M37" i="1"/>
  <c r="O37" i="1" s="1"/>
  <c r="J37" i="1"/>
  <c r="L37" i="1" s="1"/>
  <c r="I37" i="1"/>
  <c r="K37" i="1" s="1"/>
  <c r="F37" i="1"/>
  <c r="E37" i="1"/>
  <c r="AP36" i="1"/>
  <c r="AR36" i="1" s="1"/>
  <c r="AO36" i="1"/>
  <c r="AQ36" i="1" s="1"/>
  <c r="AL36" i="1"/>
  <c r="AN36" i="1" s="1"/>
  <c r="AK36" i="1"/>
  <c r="AM36" i="1" s="1"/>
  <c r="AH36" i="1"/>
  <c r="AJ36" i="1" s="1"/>
  <c r="AG36" i="1"/>
  <c r="AI36" i="1" s="1"/>
  <c r="AD36" i="1"/>
  <c r="AF36" i="1" s="1"/>
  <c r="AC36" i="1"/>
  <c r="AE36" i="1" s="1"/>
  <c r="Z36" i="1"/>
  <c r="AB36" i="1" s="1"/>
  <c r="Y36" i="1"/>
  <c r="AA36" i="1" s="1"/>
  <c r="V36" i="1"/>
  <c r="X36" i="1" s="1"/>
  <c r="U36" i="1"/>
  <c r="W36" i="1" s="1"/>
  <c r="R36" i="1"/>
  <c r="T36" i="1" s="1"/>
  <c r="Q36" i="1"/>
  <c r="S36" i="1" s="1"/>
  <c r="N36" i="1"/>
  <c r="P36" i="1" s="1"/>
  <c r="M36" i="1"/>
  <c r="O36" i="1" s="1"/>
  <c r="J36" i="1"/>
  <c r="L36" i="1" s="1"/>
  <c r="I36" i="1"/>
  <c r="K36" i="1" s="1"/>
  <c r="F36" i="1"/>
  <c r="E36" i="1"/>
  <c r="AP35" i="1"/>
  <c r="AR35" i="1" s="1"/>
  <c r="AO35" i="1"/>
  <c r="AQ35" i="1" s="1"/>
  <c r="AL35" i="1"/>
  <c r="AN35" i="1" s="1"/>
  <c r="AK35" i="1"/>
  <c r="AM35" i="1" s="1"/>
  <c r="AH35" i="1"/>
  <c r="AJ35" i="1" s="1"/>
  <c r="AG35" i="1"/>
  <c r="AI35" i="1" s="1"/>
  <c r="AD35" i="1"/>
  <c r="AF35" i="1" s="1"/>
  <c r="AC35" i="1"/>
  <c r="AE35" i="1" s="1"/>
  <c r="Z35" i="1"/>
  <c r="AB35" i="1" s="1"/>
  <c r="Y35" i="1"/>
  <c r="AA35" i="1" s="1"/>
  <c r="V35" i="1"/>
  <c r="X35" i="1" s="1"/>
  <c r="U35" i="1"/>
  <c r="W35" i="1" s="1"/>
  <c r="R35" i="1"/>
  <c r="T35" i="1" s="1"/>
  <c r="Q35" i="1"/>
  <c r="S35" i="1" s="1"/>
  <c r="N35" i="1"/>
  <c r="P35" i="1" s="1"/>
  <c r="M35" i="1"/>
  <c r="O35" i="1" s="1"/>
  <c r="J35" i="1"/>
  <c r="L35" i="1" s="1"/>
  <c r="I35" i="1"/>
  <c r="K35" i="1" s="1"/>
  <c r="F35" i="1"/>
  <c r="E35" i="1"/>
  <c r="AP34" i="1"/>
  <c r="AR34" i="1" s="1"/>
  <c r="AO34" i="1"/>
  <c r="AQ34" i="1" s="1"/>
  <c r="AL34" i="1"/>
  <c r="AN34" i="1" s="1"/>
  <c r="AK34" i="1"/>
  <c r="AM34" i="1" s="1"/>
  <c r="AH34" i="1"/>
  <c r="AJ34" i="1" s="1"/>
  <c r="AG34" i="1"/>
  <c r="AI34" i="1" s="1"/>
  <c r="AD34" i="1"/>
  <c r="AF34" i="1" s="1"/>
  <c r="AC34" i="1"/>
  <c r="AE34" i="1" s="1"/>
  <c r="Z34" i="1"/>
  <c r="AB34" i="1" s="1"/>
  <c r="Y34" i="1"/>
  <c r="AA34" i="1" s="1"/>
  <c r="V34" i="1"/>
  <c r="X34" i="1" s="1"/>
  <c r="U34" i="1"/>
  <c r="W34" i="1" s="1"/>
  <c r="R34" i="1"/>
  <c r="T34" i="1" s="1"/>
  <c r="Q34" i="1"/>
  <c r="S34" i="1" s="1"/>
  <c r="N34" i="1"/>
  <c r="P34" i="1" s="1"/>
  <c r="M34" i="1"/>
  <c r="O34" i="1" s="1"/>
  <c r="J34" i="1"/>
  <c r="L34" i="1" s="1"/>
  <c r="I34" i="1"/>
  <c r="K34" i="1" s="1"/>
  <c r="F34" i="1"/>
  <c r="E34" i="1"/>
  <c r="AP33" i="1"/>
  <c r="AR33" i="1" s="1"/>
  <c r="AO33" i="1"/>
  <c r="AQ33" i="1" s="1"/>
  <c r="AL33" i="1"/>
  <c r="AN33" i="1" s="1"/>
  <c r="AK33" i="1"/>
  <c r="AM33" i="1" s="1"/>
  <c r="AH33" i="1"/>
  <c r="AJ33" i="1" s="1"/>
  <c r="AG33" i="1"/>
  <c r="AI33" i="1" s="1"/>
  <c r="AD33" i="1"/>
  <c r="AF33" i="1" s="1"/>
  <c r="AC33" i="1"/>
  <c r="AE33" i="1" s="1"/>
  <c r="Z33" i="1"/>
  <c r="AB33" i="1" s="1"/>
  <c r="Y33" i="1"/>
  <c r="AA33" i="1" s="1"/>
  <c r="V33" i="1"/>
  <c r="X33" i="1" s="1"/>
  <c r="U33" i="1"/>
  <c r="W33" i="1" s="1"/>
  <c r="R33" i="1"/>
  <c r="T33" i="1" s="1"/>
  <c r="Q33" i="1"/>
  <c r="S33" i="1" s="1"/>
  <c r="N33" i="1"/>
  <c r="P33" i="1" s="1"/>
  <c r="M33" i="1"/>
  <c r="O33" i="1" s="1"/>
  <c r="J33" i="1"/>
  <c r="L33" i="1" s="1"/>
  <c r="I33" i="1"/>
  <c r="K33" i="1" s="1"/>
  <c r="F33" i="1"/>
  <c r="E33" i="1"/>
  <c r="AP32" i="1"/>
  <c r="AR32" i="1" s="1"/>
  <c r="AO32" i="1"/>
  <c r="AQ32" i="1" s="1"/>
  <c r="AL32" i="1"/>
  <c r="AN32" i="1" s="1"/>
  <c r="AK32" i="1"/>
  <c r="AM32" i="1" s="1"/>
  <c r="AH32" i="1"/>
  <c r="AJ32" i="1" s="1"/>
  <c r="AG32" i="1"/>
  <c r="AI32" i="1" s="1"/>
  <c r="AD32" i="1"/>
  <c r="AF32" i="1" s="1"/>
  <c r="AC32" i="1"/>
  <c r="AE32" i="1" s="1"/>
  <c r="Z32" i="1"/>
  <c r="AB32" i="1" s="1"/>
  <c r="Y32" i="1"/>
  <c r="AA32" i="1" s="1"/>
  <c r="V32" i="1"/>
  <c r="X32" i="1" s="1"/>
  <c r="U32" i="1"/>
  <c r="W32" i="1" s="1"/>
  <c r="R32" i="1"/>
  <c r="T32" i="1" s="1"/>
  <c r="Q32" i="1"/>
  <c r="S32" i="1" s="1"/>
  <c r="N32" i="1"/>
  <c r="P32" i="1" s="1"/>
  <c r="M32" i="1"/>
  <c r="O32" i="1" s="1"/>
  <c r="J32" i="1"/>
  <c r="L32" i="1" s="1"/>
  <c r="I32" i="1"/>
  <c r="K32" i="1" s="1"/>
  <c r="F32" i="1"/>
  <c r="E32" i="1"/>
  <c r="AP31" i="1"/>
  <c r="AR31" i="1" s="1"/>
  <c r="AO31" i="1"/>
  <c r="AQ31" i="1" s="1"/>
  <c r="AL31" i="1"/>
  <c r="AN31" i="1" s="1"/>
  <c r="AK31" i="1"/>
  <c r="AM31" i="1" s="1"/>
  <c r="AH31" i="1"/>
  <c r="AJ31" i="1" s="1"/>
  <c r="AG31" i="1"/>
  <c r="AI31" i="1" s="1"/>
  <c r="AD31" i="1"/>
  <c r="AF31" i="1" s="1"/>
  <c r="AC31" i="1"/>
  <c r="AE31" i="1" s="1"/>
  <c r="Z31" i="1"/>
  <c r="AB31" i="1" s="1"/>
  <c r="Y31" i="1"/>
  <c r="AA31" i="1" s="1"/>
  <c r="V31" i="1"/>
  <c r="X31" i="1" s="1"/>
  <c r="U31" i="1"/>
  <c r="W31" i="1" s="1"/>
  <c r="R31" i="1"/>
  <c r="T31" i="1" s="1"/>
  <c r="Q31" i="1"/>
  <c r="S31" i="1" s="1"/>
  <c r="N31" i="1"/>
  <c r="P31" i="1" s="1"/>
  <c r="M31" i="1"/>
  <c r="O31" i="1" s="1"/>
  <c r="J31" i="1"/>
  <c r="L31" i="1" s="1"/>
  <c r="I31" i="1"/>
  <c r="K31" i="1" s="1"/>
  <c r="F31" i="1"/>
  <c r="E31" i="1"/>
  <c r="AP29" i="1"/>
  <c r="AR29" i="1" s="1"/>
  <c r="AO29" i="1"/>
  <c r="AQ29" i="1" s="1"/>
  <c r="AL29" i="1"/>
  <c r="AN29" i="1" s="1"/>
  <c r="AK29" i="1"/>
  <c r="AM29" i="1" s="1"/>
  <c r="AH29" i="1"/>
  <c r="AJ29" i="1" s="1"/>
  <c r="AG29" i="1"/>
  <c r="AI29" i="1" s="1"/>
  <c r="AD29" i="1"/>
  <c r="AF29" i="1" s="1"/>
  <c r="AC29" i="1"/>
  <c r="AE29" i="1" s="1"/>
  <c r="Z29" i="1"/>
  <c r="AB29" i="1" s="1"/>
  <c r="Y29" i="1"/>
  <c r="AA29" i="1" s="1"/>
  <c r="V29" i="1"/>
  <c r="X29" i="1" s="1"/>
  <c r="U29" i="1"/>
  <c r="W29" i="1" s="1"/>
  <c r="R29" i="1"/>
  <c r="T29" i="1" s="1"/>
  <c r="Q29" i="1"/>
  <c r="S29" i="1" s="1"/>
  <c r="N29" i="1"/>
  <c r="P29" i="1" s="1"/>
  <c r="M29" i="1"/>
  <c r="O29" i="1" s="1"/>
  <c r="J29" i="1"/>
  <c r="L29" i="1" s="1"/>
  <c r="I29" i="1"/>
  <c r="K29" i="1" s="1"/>
  <c r="F29" i="1"/>
  <c r="E29" i="1"/>
  <c r="AP27" i="1"/>
  <c r="AR27" i="1" s="1"/>
  <c r="AO27" i="1"/>
  <c r="AQ27" i="1" s="1"/>
  <c r="AL27" i="1"/>
  <c r="AN27" i="1" s="1"/>
  <c r="AK27" i="1"/>
  <c r="AM27" i="1" s="1"/>
  <c r="AH27" i="1"/>
  <c r="AJ27" i="1" s="1"/>
  <c r="AG27" i="1"/>
  <c r="AI27" i="1" s="1"/>
  <c r="AD27" i="1"/>
  <c r="AF27" i="1" s="1"/>
  <c r="AC27" i="1"/>
  <c r="AE27" i="1" s="1"/>
  <c r="Z27" i="1"/>
  <c r="AB27" i="1" s="1"/>
  <c r="Y27" i="1"/>
  <c r="AA27" i="1" s="1"/>
  <c r="V27" i="1"/>
  <c r="X27" i="1" s="1"/>
  <c r="U27" i="1"/>
  <c r="W27" i="1" s="1"/>
  <c r="R27" i="1"/>
  <c r="T27" i="1" s="1"/>
  <c r="Q27" i="1"/>
  <c r="S27" i="1" s="1"/>
  <c r="N27" i="1"/>
  <c r="P27" i="1" s="1"/>
  <c r="M27" i="1"/>
  <c r="O27" i="1" s="1"/>
  <c r="J27" i="1"/>
  <c r="L27" i="1" s="1"/>
  <c r="I27" i="1"/>
  <c r="K27" i="1" s="1"/>
  <c r="F27" i="1"/>
  <c r="E27" i="1"/>
  <c r="AP26" i="1"/>
  <c r="AR26" i="1" s="1"/>
  <c r="AO26" i="1"/>
  <c r="AQ26" i="1" s="1"/>
  <c r="AL26" i="1"/>
  <c r="AN26" i="1" s="1"/>
  <c r="AK26" i="1"/>
  <c r="AM26" i="1" s="1"/>
  <c r="AH26" i="1"/>
  <c r="AJ26" i="1" s="1"/>
  <c r="AG26" i="1"/>
  <c r="AI26" i="1" s="1"/>
  <c r="AD26" i="1"/>
  <c r="AF26" i="1" s="1"/>
  <c r="AC26" i="1"/>
  <c r="AE26" i="1" s="1"/>
  <c r="Z26" i="1"/>
  <c r="AB26" i="1" s="1"/>
  <c r="Y26" i="1"/>
  <c r="AA26" i="1" s="1"/>
  <c r="V26" i="1"/>
  <c r="X26" i="1" s="1"/>
  <c r="U26" i="1"/>
  <c r="W26" i="1" s="1"/>
  <c r="R26" i="1"/>
  <c r="T26" i="1" s="1"/>
  <c r="Q26" i="1"/>
  <c r="S26" i="1" s="1"/>
  <c r="N26" i="1"/>
  <c r="P26" i="1" s="1"/>
  <c r="M26" i="1"/>
  <c r="O26" i="1" s="1"/>
  <c r="J26" i="1"/>
  <c r="L26" i="1" s="1"/>
  <c r="I26" i="1"/>
  <c r="K26" i="1" s="1"/>
  <c r="F26" i="1"/>
  <c r="E26" i="1"/>
  <c r="AP25" i="1"/>
  <c r="AR25" i="1" s="1"/>
  <c r="AO25" i="1"/>
  <c r="AQ25" i="1" s="1"/>
  <c r="AL25" i="1"/>
  <c r="AN25" i="1" s="1"/>
  <c r="AK25" i="1"/>
  <c r="AM25" i="1" s="1"/>
  <c r="AH25" i="1"/>
  <c r="AJ25" i="1" s="1"/>
  <c r="AG25" i="1"/>
  <c r="AI25" i="1" s="1"/>
  <c r="AD25" i="1"/>
  <c r="AF25" i="1" s="1"/>
  <c r="AC25" i="1"/>
  <c r="AE25" i="1" s="1"/>
  <c r="Z25" i="1"/>
  <c r="AB25" i="1" s="1"/>
  <c r="Y25" i="1"/>
  <c r="AA25" i="1" s="1"/>
  <c r="V25" i="1"/>
  <c r="X25" i="1" s="1"/>
  <c r="U25" i="1"/>
  <c r="W25" i="1" s="1"/>
  <c r="R25" i="1"/>
  <c r="T25" i="1" s="1"/>
  <c r="Q25" i="1"/>
  <c r="S25" i="1" s="1"/>
  <c r="N25" i="1"/>
  <c r="P25" i="1" s="1"/>
  <c r="M25" i="1"/>
  <c r="O25" i="1" s="1"/>
  <c r="J25" i="1"/>
  <c r="L25" i="1" s="1"/>
  <c r="I25" i="1"/>
  <c r="K25" i="1" s="1"/>
  <c r="F25" i="1"/>
  <c r="E25" i="1"/>
  <c r="AT24" i="1"/>
  <c r="AV24" i="1" s="1"/>
  <c r="AS24" i="1"/>
  <c r="AU24" i="1" s="1"/>
  <c r="AR24" i="1"/>
  <c r="AP24" i="1"/>
  <c r="AO24" i="1"/>
  <c r="AQ24" i="1" s="1"/>
  <c r="AL24" i="1"/>
  <c r="AN24" i="1" s="1"/>
  <c r="AK24" i="1"/>
  <c r="AM24" i="1" s="1"/>
  <c r="AH24" i="1"/>
  <c r="AJ24" i="1" s="1"/>
  <c r="AG24" i="1"/>
  <c r="AI24" i="1" s="1"/>
  <c r="AD24" i="1"/>
  <c r="AF24" i="1" s="1"/>
  <c r="AC24" i="1"/>
  <c r="AE24" i="1" s="1"/>
  <c r="Z24" i="1"/>
  <c r="AB24" i="1" s="1"/>
  <c r="Y24" i="1"/>
  <c r="AA24" i="1" s="1"/>
  <c r="V24" i="1"/>
  <c r="X24" i="1" s="1"/>
  <c r="U24" i="1"/>
  <c r="W24" i="1" s="1"/>
  <c r="R24" i="1"/>
  <c r="T24" i="1" s="1"/>
  <c r="Q24" i="1"/>
  <c r="S24" i="1" s="1"/>
  <c r="N24" i="1"/>
  <c r="P24" i="1" s="1"/>
  <c r="M24" i="1"/>
  <c r="O24" i="1" s="1"/>
  <c r="J24" i="1"/>
  <c r="L24" i="1" s="1"/>
  <c r="I24" i="1"/>
  <c r="K24" i="1" s="1"/>
  <c r="F24" i="1"/>
  <c r="H24" i="1" s="1"/>
  <c r="E24" i="1"/>
  <c r="G24" i="1" s="1"/>
  <c r="C24" i="1"/>
  <c r="D24" i="1" s="1"/>
  <c r="AP23" i="1"/>
  <c r="AR23" i="1" s="1"/>
  <c r="AO23" i="1"/>
  <c r="AQ23" i="1" s="1"/>
  <c r="AL23" i="1"/>
  <c r="AN23" i="1" s="1"/>
  <c r="AK23" i="1"/>
  <c r="AM23" i="1" s="1"/>
  <c r="AH23" i="1"/>
  <c r="AJ23" i="1" s="1"/>
  <c r="AG23" i="1"/>
  <c r="AI23" i="1" s="1"/>
  <c r="AD23" i="1"/>
  <c r="AF23" i="1" s="1"/>
  <c r="AC23" i="1"/>
  <c r="AE23" i="1" s="1"/>
  <c r="Z23" i="1"/>
  <c r="AB23" i="1" s="1"/>
  <c r="Y23" i="1"/>
  <c r="AA23" i="1" s="1"/>
  <c r="V23" i="1"/>
  <c r="X23" i="1" s="1"/>
  <c r="U23" i="1"/>
  <c r="W23" i="1" s="1"/>
  <c r="R23" i="1"/>
  <c r="T23" i="1" s="1"/>
  <c r="Q23" i="1"/>
  <c r="S23" i="1" s="1"/>
  <c r="N23" i="1"/>
  <c r="P23" i="1" s="1"/>
  <c r="M23" i="1"/>
  <c r="O23" i="1" s="1"/>
  <c r="J23" i="1"/>
  <c r="L23" i="1" s="1"/>
  <c r="I23" i="1"/>
  <c r="K23" i="1" s="1"/>
  <c r="F23" i="1"/>
  <c r="E23" i="1"/>
  <c r="AP22" i="1"/>
  <c r="AR22" i="1" s="1"/>
  <c r="AO22" i="1"/>
  <c r="AQ22" i="1" s="1"/>
  <c r="AL22" i="1"/>
  <c r="AN22" i="1" s="1"/>
  <c r="AK22" i="1"/>
  <c r="AM22" i="1" s="1"/>
  <c r="AH22" i="1"/>
  <c r="AJ22" i="1" s="1"/>
  <c r="AG22" i="1"/>
  <c r="AI22" i="1" s="1"/>
  <c r="AD22" i="1"/>
  <c r="AF22" i="1" s="1"/>
  <c r="AC22" i="1"/>
  <c r="AE22" i="1" s="1"/>
  <c r="Z22" i="1"/>
  <c r="AB22" i="1" s="1"/>
  <c r="Y22" i="1"/>
  <c r="AA22" i="1" s="1"/>
  <c r="V22" i="1"/>
  <c r="X22" i="1" s="1"/>
  <c r="U22" i="1"/>
  <c r="W22" i="1" s="1"/>
  <c r="R22" i="1"/>
  <c r="T22" i="1" s="1"/>
  <c r="Q22" i="1"/>
  <c r="S22" i="1" s="1"/>
  <c r="N22" i="1"/>
  <c r="P22" i="1" s="1"/>
  <c r="M22" i="1"/>
  <c r="O22" i="1" s="1"/>
  <c r="J22" i="1"/>
  <c r="L22" i="1" s="1"/>
  <c r="I22" i="1"/>
  <c r="K22" i="1" s="1"/>
  <c r="F22" i="1"/>
  <c r="E22" i="1"/>
  <c r="AP21" i="1"/>
  <c r="AR21" i="1" s="1"/>
  <c r="AO21" i="1"/>
  <c r="AQ21" i="1" s="1"/>
  <c r="AL21" i="1"/>
  <c r="AN21" i="1" s="1"/>
  <c r="AK21" i="1"/>
  <c r="AM21" i="1" s="1"/>
  <c r="AH21" i="1"/>
  <c r="AJ21" i="1" s="1"/>
  <c r="AG21" i="1"/>
  <c r="AI21" i="1" s="1"/>
  <c r="AD21" i="1"/>
  <c r="AF21" i="1" s="1"/>
  <c r="AC21" i="1"/>
  <c r="AE21" i="1" s="1"/>
  <c r="Z21" i="1"/>
  <c r="AB21" i="1" s="1"/>
  <c r="Y21" i="1"/>
  <c r="AA21" i="1" s="1"/>
  <c r="V21" i="1"/>
  <c r="X21" i="1" s="1"/>
  <c r="U21" i="1"/>
  <c r="W21" i="1" s="1"/>
  <c r="R21" i="1"/>
  <c r="T21" i="1" s="1"/>
  <c r="Q21" i="1"/>
  <c r="S21" i="1" s="1"/>
  <c r="N21" i="1"/>
  <c r="P21" i="1" s="1"/>
  <c r="M21" i="1"/>
  <c r="O21" i="1" s="1"/>
  <c r="J21" i="1"/>
  <c r="L21" i="1" s="1"/>
  <c r="I21" i="1"/>
  <c r="K21" i="1" s="1"/>
  <c r="F21" i="1"/>
  <c r="E21" i="1"/>
  <c r="AP20" i="1"/>
  <c r="AR20" i="1" s="1"/>
  <c r="AO20" i="1"/>
  <c r="AQ20" i="1" s="1"/>
  <c r="AL20" i="1"/>
  <c r="AN20" i="1" s="1"/>
  <c r="AK20" i="1"/>
  <c r="AM20" i="1" s="1"/>
  <c r="AH20" i="1"/>
  <c r="AJ20" i="1" s="1"/>
  <c r="AG20" i="1"/>
  <c r="AI20" i="1" s="1"/>
  <c r="AD20" i="1"/>
  <c r="AF20" i="1" s="1"/>
  <c r="AC20" i="1"/>
  <c r="AE20" i="1" s="1"/>
  <c r="Z20" i="1"/>
  <c r="AB20" i="1" s="1"/>
  <c r="Y20" i="1"/>
  <c r="AA20" i="1" s="1"/>
  <c r="V20" i="1"/>
  <c r="X20" i="1" s="1"/>
  <c r="U20" i="1"/>
  <c r="W20" i="1" s="1"/>
  <c r="R20" i="1"/>
  <c r="T20" i="1" s="1"/>
  <c r="Q20" i="1"/>
  <c r="S20" i="1" s="1"/>
  <c r="N20" i="1"/>
  <c r="P20" i="1" s="1"/>
  <c r="M20" i="1"/>
  <c r="O20" i="1" s="1"/>
  <c r="J20" i="1"/>
  <c r="L20" i="1" s="1"/>
  <c r="I20" i="1"/>
  <c r="K20" i="1" s="1"/>
  <c r="F20" i="1"/>
  <c r="E20" i="1"/>
  <c r="AP18" i="1"/>
  <c r="AR18" i="1" s="1"/>
  <c r="AO18" i="1"/>
  <c r="AQ18" i="1" s="1"/>
  <c r="AL18" i="1"/>
  <c r="AN18" i="1" s="1"/>
  <c r="AK18" i="1"/>
  <c r="AM18" i="1" s="1"/>
  <c r="AH18" i="1"/>
  <c r="AJ18" i="1" s="1"/>
  <c r="AG18" i="1"/>
  <c r="AI18" i="1" s="1"/>
  <c r="AD18" i="1"/>
  <c r="AF18" i="1" s="1"/>
  <c r="AC18" i="1"/>
  <c r="AE18" i="1" s="1"/>
  <c r="Z18" i="1"/>
  <c r="AB18" i="1" s="1"/>
  <c r="Y18" i="1"/>
  <c r="AA18" i="1" s="1"/>
  <c r="V18" i="1"/>
  <c r="X18" i="1" s="1"/>
  <c r="U18" i="1"/>
  <c r="W18" i="1" s="1"/>
  <c r="R18" i="1"/>
  <c r="T18" i="1" s="1"/>
  <c r="Q18" i="1"/>
  <c r="S18" i="1" s="1"/>
  <c r="N18" i="1"/>
  <c r="P18" i="1" s="1"/>
  <c r="M18" i="1"/>
  <c r="O18" i="1" s="1"/>
  <c r="J18" i="1"/>
  <c r="L18" i="1" s="1"/>
  <c r="I18" i="1"/>
  <c r="K18" i="1" s="1"/>
  <c r="F18" i="1"/>
  <c r="E18" i="1"/>
  <c r="AP17" i="1"/>
  <c r="AR17" i="1" s="1"/>
  <c r="AO17" i="1"/>
  <c r="AQ17" i="1" s="1"/>
  <c r="AL17" i="1"/>
  <c r="AN17" i="1" s="1"/>
  <c r="AK17" i="1"/>
  <c r="AM17" i="1" s="1"/>
  <c r="AH17" i="1"/>
  <c r="AJ17" i="1" s="1"/>
  <c r="AG17" i="1"/>
  <c r="AI17" i="1" s="1"/>
  <c r="AD17" i="1"/>
  <c r="AF17" i="1" s="1"/>
  <c r="AC17" i="1"/>
  <c r="AE17" i="1" s="1"/>
  <c r="Z17" i="1"/>
  <c r="AB17" i="1" s="1"/>
  <c r="Y17" i="1"/>
  <c r="AA17" i="1" s="1"/>
  <c r="V17" i="1"/>
  <c r="X17" i="1" s="1"/>
  <c r="U17" i="1"/>
  <c r="W17" i="1" s="1"/>
  <c r="R17" i="1"/>
  <c r="T17" i="1" s="1"/>
  <c r="Q17" i="1"/>
  <c r="S17" i="1" s="1"/>
  <c r="N17" i="1"/>
  <c r="P17" i="1" s="1"/>
  <c r="M17" i="1"/>
  <c r="O17" i="1" s="1"/>
  <c r="J17" i="1"/>
  <c r="L17" i="1" s="1"/>
  <c r="I17" i="1"/>
  <c r="K17" i="1" s="1"/>
  <c r="F17" i="1"/>
  <c r="E17" i="1"/>
  <c r="AP16" i="1"/>
  <c r="AR16" i="1" s="1"/>
  <c r="AO16" i="1"/>
  <c r="AQ16" i="1" s="1"/>
  <c r="AL16" i="1"/>
  <c r="AN16" i="1" s="1"/>
  <c r="AK16" i="1"/>
  <c r="AM16" i="1" s="1"/>
  <c r="AH16" i="1"/>
  <c r="AJ16" i="1" s="1"/>
  <c r="AG16" i="1"/>
  <c r="AI16" i="1" s="1"/>
  <c r="AD16" i="1"/>
  <c r="AF16" i="1" s="1"/>
  <c r="AC16" i="1"/>
  <c r="AE16" i="1" s="1"/>
  <c r="Z16" i="1"/>
  <c r="AB16" i="1" s="1"/>
  <c r="Y16" i="1"/>
  <c r="AA16" i="1" s="1"/>
  <c r="V16" i="1"/>
  <c r="X16" i="1" s="1"/>
  <c r="U16" i="1"/>
  <c r="W16" i="1" s="1"/>
  <c r="R16" i="1"/>
  <c r="T16" i="1" s="1"/>
  <c r="Q16" i="1"/>
  <c r="S16" i="1" s="1"/>
  <c r="N16" i="1"/>
  <c r="P16" i="1" s="1"/>
  <c r="M16" i="1"/>
  <c r="O16" i="1" s="1"/>
  <c r="J16" i="1"/>
  <c r="L16" i="1" s="1"/>
  <c r="I16" i="1"/>
  <c r="K16" i="1" s="1"/>
  <c r="F16" i="1"/>
  <c r="E16" i="1"/>
  <c r="AP15" i="1"/>
  <c r="AR15" i="1" s="1"/>
  <c r="AO15" i="1"/>
  <c r="AQ15" i="1" s="1"/>
  <c r="AL15" i="1"/>
  <c r="AN15" i="1" s="1"/>
  <c r="AK15" i="1"/>
  <c r="AM15" i="1" s="1"/>
  <c r="AH15" i="1"/>
  <c r="AJ15" i="1" s="1"/>
  <c r="AG15" i="1"/>
  <c r="AI15" i="1" s="1"/>
  <c r="AD15" i="1"/>
  <c r="AF15" i="1" s="1"/>
  <c r="AC15" i="1"/>
  <c r="AE15" i="1" s="1"/>
  <c r="Z15" i="1"/>
  <c r="AB15" i="1" s="1"/>
  <c r="Y15" i="1"/>
  <c r="AA15" i="1" s="1"/>
  <c r="V15" i="1"/>
  <c r="X15" i="1" s="1"/>
  <c r="U15" i="1"/>
  <c r="W15" i="1" s="1"/>
  <c r="R15" i="1"/>
  <c r="T15" i="1" s="1"/>
  <c r="Q15" i="1"/>
  <c r="S15" i="1" s="1"/>
  <c r="N15" i="1"/>
  <c r="P15" i="1" s="1"/>
  <c r="M15" i="1"/>
  <c r="O15" i="1" s="1"/>
  <c r="J15" i="1"/>
  <c r="L15" i="1" s="1"/>
  <c r="I15" i="1"/>
  <c r="K15" i="1" s="1"/>
  <c r="F15" i="1"/>
  <c r="E15" i="1"/>
  <c r="AP14" i="1"/>
  <c r="AR14" i="1" s="1"/>
  <c r="AO14" i="1"/>
  <c r="AQ14" i="1" s="1"/>
  <c r="AL14" i="1"/>
  <c r="AN14" i="1" s="1"/>
  <c r="AK14" i="1"/>
  <c r="AM14" i="1" s="1"/>
  <c r="AH14" i="1"/>
  <c r="AJ14" i="1" s="1"/>
  <c r="AG14" i="1"/>
  <c r="AI14" i="1" s="1"/>
  <c r="AD14" i="1"/>
  <c r="AF14" i="1" s="1"/>
  <c r="AC14" i="1"/>
  <c r="AE14" i="1" s="1"/>
  <c r="Z14" i="1"/>
  <c r="AB14" i="1" s="1"/>
  <c r="Y14" i="1"/>
  <c r="AA14" i="1" s="1"/>
  <c r="V14" i="1"/>
  <c r="X14" i="1" s="1"/>
  <c r="U14" i="1"/>
  <c r="W14" i="1" s="1"/>
  <c r="R14" i="1"/>
  <c r="T14" i="1" s="1"/>
  <c r="Q14" i="1"/>
  <c r="S14" i="1" s="1"/>
  <c r="N14" i="1"/>
  <c r="P14" i="1" s="1"/>
  <c r="M14" i="1"/>
  <c r="O14" i="1" s="1"/>
  <c r="J14" i="1"/>
  <c r="L14" i="1" s="1"/>
  <c r="I14" i="1"/>
  <c r="K14" i="1" s="1"/>
  <c r="F14" i="1"/>
  <c r="E14" i="1"/>
  <c r="AP13" i="1"/>
  <c r="AR13" i="1" s="1"/>
  <c r="AO13" i="1"/>
  <c r="AQ13" i="1" s="1"/>
  <c r="AL13" i="1"/>
  <c r="AN13" i="1" s="1"/>
  <c r="AK13" i="1"/>
  <c r="AM13" i="1" s="1"/>
  <c r="AH13" i="1"/>
  <c r="AJ13" i="1" s="1"/>
  <c r="AG13" i="1"/>
  <c r="AI13" i="1" s="1"/>
  <c r="AD13" i="1"/>
  <c r="AF13" i="1" s="1"/>
  <c r="AC13" i="1"/>
  <c r="AE13" i="1" s="1"/>
  <c r="Z13" i="1"/>
  <c r="AB13" i="1" s="1"/>
  <c r="Y13" i="1"/>
  <c r="AA13" i="1" s="1"/>
  <c r="V13" i="1"/>
  <c r="X13" i="1" s="1"/>
  <c r="U13" i="1"/>
  <c r="W13" i="1" s="1"/>
  <c r="R13" i="1"/>
  <c r="T13" i="1" s="1"/>
  <c r="Q13" i="1"/>
  <c r="S13" i="1" s="1"/>
  <c r="N13" i="1"/>
  <c r="P13" i="1" s="1"/>
  <c r="M13" i="1"/>
  <c r="O13" i="1" s="1"/>
  <c r="J13" i="1"/>
  <c r="L13" i="1" s="1"/>
  <c r="I13" i="1"/>
  <c r="K13" i="1" s="1"/>
  <c r="F13" i="1"/>
  <c r="E13" i="1"/>
  <c r="AP12" i="1"/>
  <c r="AR12" i="1" s="1"/>
  <c r="AO12" i="1"/>
  <c r="AQ12" i="1" s="1"/>
  <c r="AL12" i="1"/>
  <c r="AN12" i="1" s="1"/>
  <c r="AK12" i="1"/>
  <c r="AM12" i="1" s="1"/>
  <c r="AH12" i="1"/>
  <c r="AJ12" i="1" s="1"/>
  <c r="AG12" i="1"/>
  <c r="AI12" i="1" s="1"/>
  <c r="AD12" i="1"/>
  <c r="AF12" i="1" s="1"/>
  <c r="AC12" i="1"/>
  <c r="AE12" i="1" s="1"/>
  <c r="Z12" i="1"/>
  <c r="AB12" i="1" s="1"/>
  <c r="Y12" i="1"/>
  <c r="AA12" i="1" s="1"/>
  <c r="V12" i="1"/>
  <c r="X12" i="1" s="1"/>
  <c r="U12" i="1"/>
  <c r="W12" i="1" s="1"/>
  <c r="R12" i="1"/>
  <c r="T12" i="1" s="1"/>
  <c r="Q12" i="1"/>
  <c r="S12" i="1" s="1"/>
  <c r="N12" i="1"/>
  <c r="P12" i="1" s="1"/>
  <c r="M12" i="1"/>
  <c r="O12" i="1" s="1"/>
  <c r="J12" i="1"/>
  <c r="L12" i="1" s="1"/>
  <c r="I12" i="1"/>
  <c r="K12" i="1" s="1"/>
  <c r="F12" i="1"/>
  <c r="E12" i="1"/>
  <c r="AP11" i="1"/>
  <c r="AR11" i="1" s="1"/>
  <c r="AO11" i="1"/>
  <c r="AQ11" i="1" s="1"/>
  <c r="AL11" i="1"/>
  <c r="AN11" i="1" s="1"/>
  <c r="AK11" i="1"/>
  <c r="AM11" i="1" s="1"/>
  <c r="AH11" i="1"/>
  <c r="AG11" i="1"/>
  <c r="AD11" i="1"/>
  <c r="AF11" i="1" s="1"/>
  <c r="AC11" i="1"/>
  <c r="AE11" i="1" s="1"/>
  <c r="Z11" i="1"/>
  <c r="AB11" i="1" s="1"/>
  <c r="Y11" i="1"/>
  <c r="AA11" i="1" s="1"/>
  <c r="V11" i="1"/>
  <c r="X11" i="1" s="1"/>
  <c r="U11" i="1"/>
  <c r="W11" i="1" s="1"/>
  <c r="R11" i="1"/>
  <c r="T11" i="1" s="1"/>
  <c r="Q11" i="1"/>
  <c r="S11" i="1" s="1"/>
  <c r="N11" i="1"/>
  <c r="P11" i="1" s="1"/>
  <c r="M11" i="1"/>
  <c r="O11" i="1" s="1"/>
  <c r="J11" i="1"/>
  <c r="L11" i="1" s="1"/>
  <c r="I11" i="1"/>
  <c r="K11" i="1" s="1"/>
  <c r="F11" i="1"/>
  <c r="H11" i="1" s="1"/>
  <c r="E11" i="1"/>
  <c r="G11" i="1" s="1"/>
  <c r="AP10" i="1"/>
  <c r="AR10" i="1" s="1"/>
  <c r="AO10" i="1"/>
  <c r="AQ10" i="1" s="1"/>
  <c r="AL10" i="1"/>
  <c r="AN10" i="1" s="1"/>
  <c r="AK10" i="1"/>
  <c r="AM10" i="1" s="1"/>
  <c r="AH10" i="1"/>
  <c r="AJ10" i="1" s="1"/>
  <c r="AG10" i="1"/>
  <c r="AI10" i="1" s="1"/>
  <c r="AD10" i="1"/>
  <c r="AF10" i="1" s="1"/>
  <c r="AC10" i="1"/>
  <c r="AE10" i="1" s="1"/>
  <c r="Z10" i="1"/>
  <c r="AB10" i="1" s="1"/>
  <c r="Y10" i="1"/>
  <c r="AA10" i="1" s="1"/>
  <c r="V10" i="1"/>
  <c r="X10" i="1" s="1"/>
  <c r="U10" i="1"/>
  <c r="W10" i="1" s="1"/>
  <c r="R10" i="1"/>
  <c r="T10" i="1" s="1"/>
  <c r="Q10" i="1"/>
  <c r="S10" i="1" s="1"/>
  <c r="N10" i="1"/>
  <c r="P10" i="1" s="1"/>
  <c r="M10" i="1"/>
  <c r="O10" i="1" s="1"/>
  <c r="J10" i="1"/>
  <c r="L10" i="1" s="1"/>
  <c r="I10" i="1"/>
  <c r="K10" i="1" s="1"/>
  <c r="F10" i="1"/>
  <c r="E10" i="1"/>
  <c r="C10" i="1"/>
  <c r="D10" i="1" s="1"/>
  <c r="AP9" i="1"/>
  <c r="AR9" i="1" s="1"/>
  <c r="AO9" i="1"/>
  <c r="AQ9" i="1" s="1"/>
  <c r="AL9" i="1"/>
  <c r="AN9" i="1" s="1"/>
  <c r="AK9" i="1"/>
  <c r="AM9" i="1" s="1"/>
  <c r="AH9" i="1"/>
  <c r="AJ9" i="1" s="1"/>
  <c r="AG9" i="1"/>
  <c r="AI9" i="1" s="1"/>
  <c r="AD9" i="1"/>
  <c r="AF9" i="1" s="1"/>
  <c r="AC9" i="1"/>
  <c r="AE9" i="1" s="1"/>
  <c r="Z9" i="1"/>
  <c r="AB9" i="1" s="1"/>
  <c r="Y9" i="1"/>
  <c r="AA9" i="1" s="1"/>
  <c r="V9" i="1"/>
  <c r="X9" i="1" s="1"/>
  <c r="U9" i="1"/>
  <c r="W9" i="1" s="1"/>
  <c r="R9" i="1"/>
  <c r="T9" i="1" s="1"/>
  <c r="Q9" i="1"/>
  <c r="S9" i="1" s="1"/>
  <c r="N9" i="1"/>
  <c r="P9" i="1" s="1"/>
  <c r="M9" i="1"/>
  <c r="O9" i="1" s="1"/>
  <c r="J9" i="1"/>
  <c r="L9" i="1" s="1"/>
  <c r="I9" i="1"/>
  <c r="K9" i="1" s="1"/>
  <c r="F9" i="1"/>
  <c r="E9" i="1"/>
  <c r="C9" i="1"/>
  <c r="D9" i="1" s="1"/>
  <c r="AP8" i="1"/>
  <c r="AR8" i="1" s="1"/>
  <c r="AO8" i="1"/>
  <c r="AQ8" i="1" s="1"/>
  <c r="AL8" i="1"/>
  <c r="AN8" i="1" s="1"/>
  <c r="AK8" i="1"/>
  <c r="AM8" i="1" s="1"/>
  <c r="AH8" i="1"/>
  <c r="AJ8" i="1" s="1"/>
  <c r="AG8" i="1"/>
  <c r="AI8" i="1" s="1"/>
  <c r="AD8" i="1"/>
  <c r="AF8" i="1" s="1"/>
  <c r="AC8" i="1"/>
  <c r="AE8" i="1" s="1"/>
  <c r="Z8" i="1"/>
  <c r="AB8" i="1" s="1"/>
  <c r="Y8" i="1"/>
  <c r="AA8" i="1" s="1"/>
  <c r="V8" i="1"/>
  <c r="X8" i="1" s="1"/>
  <c r="U8" i="1"/>
  <c r="W8" i="1" s="1"/>
  <c r="R8" i="1"/>
  <c r="T8" i="1" s="1"/>
  <c r="Q8" i="1"/>
  <c r="S8" i="1" s="1"/>
  <c r="N8" i="1"/>
  <c r="P8" i="1" s="1"/>
  <c r="M8" i="1"/>
  <c r="O8" i="1" s="1"/>
  <c r="J8" i="1"/>
  <c r="L8" i="1" s="1"/>
  <c r="I8" i="1"/>
  <c r="K8" i="1" s="1"/>
  <c r="F8" i="1"/>
  <c r="E8" i="1"/>
  <c r="AP7" i="1"/>
  <c r="AR7" i="1" s="1"/>
  <c r="AO7" i="1"/>
  <c r="AQ7" i="1" s="1"/>
  <c r="AL7" i="1"/>
  <c r="AN7" i="1" s="1"/>
  <c r="AK7" i="1"/>
  <c r="AM7" i="1" s="1"/>
  <c r="AH7" i="1"/>
  <c r="AJ7" i="1" s="1"/>
  <c r="AG7" i="1"/>
  <c r="AI7" i="1" s="1"/>
  <c r="AD7" i="1"/>
  <c r="AF7" i="1" s="1"/>
  <c r="AC7" i="1"/>
  <c r="AE7" i="1" s="1"/>
  <c r="Z7" i="1"/>
  <c r="AB7" i="1" s="1"/>
  <c r="Y7" i="1"/>
  <c r="AA7" i="1" s="1"/>
  <c r="V7" i="1"/>
  <c r="X7" i="1" s="1"/>
  <c r="U7" i="1"/>
  <c r="W7" i="1" s="1"/>
  <c r="R7" i="1"/>
  <c r="T7" i="1" s="1"/>
  <c r="Q7" i="1"/>
  <c r="S7" i="1" s="1"/>
  <c r="N7" i="1"/>
  <c r="P7" i="1" s="1"/>
  <c r="M7" i="1"/>
  <c r="O7" i="1" s="1"/>
  <c r="J7" i="1"/>
  <c r="L7" i="1" s="1"/>
  <c r="I7" i="1"/>
  <c r="K7" i="1" s="1"/>
  <c r="F7" i="1"/>
  <c r="E7" i="1"/>
  <c r="AP6" i="1"/>
  <c r="AR6" i="1" s="1"/>
  <c r="AO6" i="1"/>
  <c r="AQ6" i="1" s="1"/>
  <c r="AL6" i="1"/>
  <c r="AN6" i="1" s="1"/>
  <c r="AK6" i="1"/>
  <c r="AM6" i="1" s="1"/>
  <c r="AH6" i="1"/>
  <c r="AJ6" i="1" s="1"/>
  <c r="AG6" i="1"/>
  <c r="AI6" i="1" s="1"/>
  <c r="AD6" i="1"/>
  <c r="AF6" i="1" s="1"/>
  <c r="AC6" i="1"/>
  <c r="AE6" i="1" s="1"/>
  <c r="Z6" i="1"/>
  <c r="AB6" i="1" s="1"/>
  <c r="Y6" i="1"/>
  <c r="AA6" i="1" s="1"/>
  <c r="V6" i="1"/>
  <c r="X6" i="1" s="1"/>
  <c r="U6" i="1"/>
  <c r="W6" i="1" s="1"/>
  <c r="R6" i="1"/>
  <c r="T6" i="1" s="1"/>
  <c r="Q6" i="1"/>
  <c r="S6" i="1" s="1"/>
  <c r="N6" i="1"/>
  <c r="P6" i="1" s="1"/>
  <c r="M6" i="1"/>
  <c r="O6" i="1" s="1"/>
  <c r="J6" i="1"/>
  <c r="L6" i="1" s="1"/>
  <c r="I6" i="1"/>
  <c r="K6" i="1" s="1"/>
  <c r="F6" i="1"/>
  <c r="E6" i="1"/>
  <c r="AP5" i="1"/>
  <c r="AR5" i="1" s="1"/>
  <c r="AO5" i="1"/>
  <c r="AQ5" i="1" s="1"/>
  <c r="AL5" i="1"/>
  <c r="AN5" i="1" s="1"/>
  <c r="AK5" i="1"/>
  <c r="AM5" i="1" s="1"/>
  <c r="AH5" i="1"/>
  <c r="AJ5" i="1" s="1"/>
  <c r="AG5" i="1"/>
  <c r="AI5" i="1" s="1"/>
  <c r="AD5" i="1"/>
  <c r="AF5" i="1" s="1"/>
  <c r="AC5" i="1"/>
  <c r="AE5" i="1" s="1"/>
  <c r="Z5" i="1"/>
  <c r="AB5" i="1" s="1"/>
  <c r="Y5" i="1"/>
  <c r="AA5" i="1" s="1"/>
  <c r="V5" i="1"/>
  <c r="X5" i="1" s="1"/>
  <c r="U5" i="1"/>
  <c r="W5" i="1" s="1"/>
  <c r="R5" i="1"/>
  <c r="T5" i="1" s="1"/>
  <c r="Q5" i="1"/>
  <c r="S5" i="1" s="1"/>
  <c r="N5" i="1"/>
  <c r="P5" i="1" s="1"/>
  <c r="M5" i="1"/>
  <c r="O5" i="1" s="1"/>
  <c r="J5" i="1"/>
  <c r="L5" i="1" s="1"/>
  <c r="I5" i="1"/>
  <c r="K5" i="1" s="1"/>
  <c r="F5" i="1"/>
  <c r="E5" i="1"/>
  <c r="AP4" i="1"/>
  <c r="AR4" i="1" s="1"/>
  <c r="AO4" i="1"/>
  <c r="AQ4" i="1" s="1"/>
  <c r="AL4" i="1"/>
  <c r="AN4" i="1" s="1"/>
  <c r="AK4" i="1"/>
  <c r="AM4" i="1" s="1"/>
  <c r="AH4" i="1"/>
  <c r="AJ4" i="1" s="1"/>
  <c r="AG4" i="1"/>
  <c r="AI4" i="1" s="1"/>
  <c r="AD4" i="1"/>
  <c r="AF4" i="1" s="1"/>
  <c r="AC4" i="1"/>
  <c r="AE4" i="1" s="1"/>
  <c r="Z4" i="1"/>
  <c r="AB4" i="1" s="1"/>
  <c r="Y4" i="1"/>
  <c r="AA4" i="1" s="1"/>
  <c r="V4" i="1"/>
  <c r="X4" i="1" s="1"/>
  <c r="U4" i="1"/>
  <c r="W4" i="1" s="1"/>
  <c r="R4" i="1"/>
  <c r="T4" i="1" s="1"/>
  <c r="Q4" i="1"/>
  <c r="S4" i="1" s="1"/>
  <c r="N4" i="1"/>
  <c r="P4" i="1" s="1"/>
  <c r="M4" i="1"/>
  <c r="O4" i="1" s="1"/>
  <c r="J4" i="1"/>
  <c r="L4" i="1" s="1"/>
  <c r="I4" i="1"/>
  <c r="K4" i="1" s="1"/>
  <c r="F4" i="1"/>
  <c r="E4" i="1"/>
  <c r="AP3" i="1"/>
  <c r="AR3" i="1" s="1"/>
  <c r="AO3" i="1"/>
  <c r="AL3" i="1"/>
  <c r="AK3" i="1"/>
  <c r="AH3" i="1"/>
  <c r="AG3" i="1"/>
  <c r="AD3" i="1"/>
  <c r="AC3" i="1"/>
  <c r="Z3" i="1"/>
  <c r="Y3" i="1"/>
  <c r="V3" i="1"/>
  <c r="U3" i="1"/>
  <c r="R3" i="1"/>
  <c r="Q3" i="1"/>
  <c r="N3" i="1"/>
  <c r="M3" i="1"/>
  <c r="J3" i="1"/>
  <c r="I3" i="1"/>
  <c r="F3" i="1"/>
  <c r="E3" i="1"/>
  <c r="H49" i="6" l="1"/>
  <c r="AT49" i="6"/>
  <c r="G49" i="6"/>
  <c r="AS49" i="6"/>
  <c r="AU49" i="6" s="1"/>
  <c r="C49" i="6"/>
  <c r="D49" i="6" s="1"/>
  <c r="H48" i="6"/>
  <c r="AT48" i="6"/>
  <c r="C48" i="6"/>
  <c r="D48" i="6" s="1"/>
  <c r="G48" i="6"/>
  <c r="AS48" i="6"/>
  <c r="AU48" i="6" s="1"/>
  <c r="H47" i="6"/>
  <c r="AT47" i="6"/>
  <c r="C47" i="6"/>
  <c r="D47" i="6" s="1"/>
  <c r="G47" i="6"/>
  <c r="AS47" i="6"/>
  <c r="AU47" i="6" s="1"/>
  <c r="H46" i="6"/>
  <c r="AT46" i="6"/>
  <c r="G46" i="6"/>
  <c r="C46" i="6"/>
  <c r="D46" i="6" s="1"/>
  <c r="AS46" i="6"/>
  <c r="AU46" i="6" s="1"/>
  <c r="H45" i="6"/>
  <c r="AT45" i="6"/>
  <c r="G45" i="6"/>
  <c r="AS45" i="6"/>
  <c r="AU45" i="6" s="1"/>
  <c r="C45" i="6"/>
  <c r="D45" i="6" s="1"/>
  <c r="AT44" i="6"/>
  <c r="H44" i="6"/>
  <c r="G44" i="6"/>
  <c r="C44" i="6"/>
  <c r="D44" i="6" s="1"/>
  <c r="AS44" i="6"/>
  <c r="AU44" i="6" s="1"/>
  <c r="H43" i="6"/>
  <c r="AT43" i="6"/>
  <c r="G43" i="6"/>
  <c r="AS43" i="6"/>
  <c r="AU43" i="6" s="1"/>
  <c r="C43" i="6"/>
  <c r="D43" i="6" s="1"/>
  <c r="AT42" i="6"/>
  <c r="H42" i="6"/>
  <c r="G42" i="6"/>
  <c r="AS42" i="6"/>
  <c r="AU42" i="6" s="1"/>
  <c r="C42" i="6"/>
  <c r="D42" i="6" s="1"/>
  <c r="H41" i="6"/>
  <c r="AT41" i="6"/>
  <c r="G41" i="6"/>
  <c r="C41" i="6"/>
  <c r="D41" i="6" s="1"/>
  <c r="AS41" i="6"/>
  <c r="AU41" i="6" s="1"/>
  <c r="H40" i="6"/>
  <c r="AT40" i="6"/>
  <c r="AS40" i="6"/>
  <c r="AU40" i="6" s="1"/>
  <c r="C40" i="6"/>
  <c r="D40" i="6" s="1"/>
  <c r="G40" i="6"/>
  <c r="H39" i="6"/>
  <c r="AT39" i="6"/>
  <c r="C39" i="6"/>
  <c r="D39" i="6" s="1"/>
  <c r="G39" i="6"/>
  <c r="AS39" i="6"/>
  <c r="AU39" i="6" s="1"/>
  <c r="H38" i="6"/>
  <c r="AT38" i="6"/>
  <c r="G38" i="6"/>
  <c r="AS38" i="6"/>
  <c r="AU38" i="6" s="1"/>
  <c r="C38" i="6"/>
  <c r="D38" i="6" s="1"/>
  <c r="H37" i="6"/>
  <c r="AT37" i="6"/>
  <c r="G37" i="6"/>
  <c r="AS37" i="6"/>
  <c r="AU37" i="6" s="1"/>
  <c r="C37" i="6"/>
  <c r="D37" i="6" s="1"/>
  <c r="H36" i="6"/>
  <c r="AT36" i="6"/>
  <c r="G36" i="6"/>
  <c r="C36" i="6"/>
  <c r="D36" i="6" s="1"/>
  <c r="AS36" i="6"/>
  <c r="AU36" i="6" s="1"/>
  <c r="H35" i="6"/>
  <c r="AT35" i="6"/>
  <c r="AS35" i="6"/>
  <c r="AU35" i="6" s="1"/>
  <c r="C35" i="6"/>
  <c r="D35" i="6" s="1"/>
  <c r="G35" i="6"/>
  <c r="H34" i="6"/>
  <c r="AT34" i="6"/>
  <c r="G34" i="6"/>
  <c r="AS34" i="6"/>
  <c r="AU34" i="6" s="1"/>
  <c r="C34" i="6"/>
  <c r="D34" i="6" s="1"/>
  <c r="H33" i="6"/>
  <c r="AT33" i="6"/>
  <c r="AV33" i="6" s="1"/>
  <c r="C33" i="6"/>
  <c r="D33" i="6" s="1"/>
  <c r="G33" i="6"/>
  <c r="AS33" i="6"/>
  <c r="H32" i="6"/>
  <c r="AT32" i="6"/>
  <c r="C32" i="6"/>
  <c r="D32" i="6" s="1"/>
  <c r="AS32" i="6"/>
  <c r="AU32" i="6" s="1"/>
  <c r="G32" i="6"/>
  <c r="AT31" i="6"/>
  <c r="H31" i="6"/>
  <c r="G31" i="6"/>
  <c r="AS31" i="6"/>
  <c r="AU31" i="6" s="1"/>
  <c r="C31" i="6"/>
  <c r="D31" i="6" s="1"/>
  <c r="AT29" i="6"/>
  <c r="H29" i="6"/>
  <c r="C29" i="6"/>
  <c r="D29" i="6" s="1"/>
  <c r="AS29" i="6"/>
  <c r="AU29" i="6" s="1"/>
  <c r="G29" i="6"/>
  <c r="AT28" i="6"/>
  <c r="H28" i="6"/>
  <c r="C28" i="6"/>
  <c r="D28" i="6" s="1"/>
  <c r="AS28" i="6"/>
  <c r="AU28" i="6" s="1"/>
  <c r="G28" i="6"/>
  <c r="AT27" i="6"/>
  <c r="H27" i="6"/>
  <c r="C27" i="6"/>
  <c r="D27" i="6" s="1"/>
  <c r="G27" i="6"/>
  <c r="AS27" i="6"/>
  <c r="AU27" i="6" s="1"/>
  <c r="AT26" i="6"/>
  <c r="H26" i="6"/>
  <c r="AS26" i="6"/>
  <c r="AU26" i="6" s="1"/>
  <c r="G26" i="6"/>
  <c r="C26" i="6"/>
  <c r="D26" i="6" s="1"/>
  <c r="AT25" i="6"/>
  <c r="H25" i="6"/>
  <c r="G25" i="6"/>
  <c r="AS25" i="6"/>
  <c r="AU25" i="6" s="1"/>
  <c r="C25" i="6"/>
  <c r="D25" i="6" s="1"/>
  <c r="AT24" i="6"/>
  <c r="H24" i="6"/>
  <c r="AS24" i="6"/>
  <c r="AU24" i="6" s="1"/>
  <c r="C24" i="6"/>
  <c r="D24" i="6" s="1"/>
  <c r="G24" i="6"/>
  <c r="AT23" i="6"/>
  <c r="H23" i="6"/>
  <c r="C23" i="6"/>
  <c r="D23" i="6" s="1"/>
  <c r="AS23" i="6"/>
  <c r="AU23" i="6" s="1"/>
  <c r="G23" i="6"/>
  <c r="H22" i="6"/>
  <c r="AT22" i="6"/>
  <c r="G22" i="6"/>
  <c r="C22" i="6"/>
  <c r="D22" i="6" s="1"/>
  <c r="AS22" i="6"/>
  <c r="AU22" i="6" s="1"/>
  <c r="H21" i="6"/>
  <c r="AT21" i="6"/>
  <c r="G21" i="6"/>
  <c r="C21" i="6"/>
  <c r="D21" i="6" s="1"/>
  <c r="AS21" i="6"/>
  <c r="AU21" i="6" s="1"/>
  <c r="AT20" i="6"/>
  <c r="T20" i="6"/>
  <c r="C20" i="6"/>
  <c r="D20" i="6" s="1"/>
  <c r="S20" i="6"/>
  <c r="AS20" i="6"/>
  <c r="AU20" i="6" s="1"/>
  <c r="H18" i="6"/>
  <c r="AT18" i="6"/>
  <c r="AS18" i="6"/>
  <c r="AU18" i="6" s="1"/>
  <c r="G18" i="6"/>
  <c r="AT17" i="6"/>
  <c r="H17" i="6"/>
  <c r="G17" i="6"/>
  <c r="AS17" i="6"/>
  <c r="AU17" i="6" s="1"/>
  <c r="AT16" i="6"/>
  <c r="H16" i="6"/>
  <c r="C16" i="6"/>
  <c r="D16" i="6" s="1"/>
  <c r="AS16" i="6"/>
  <c r="AU16" i="6" s="1"/>
  <c r="G16" i="6"/>
  <c r="H15" i="6"/>
  <c r="AT15" i="6"/>
  <c r="G15" i="6"/>
  <c r="AS15" i="6"/>
  <c r="AU15" i="6" s="1"/>
  <c r="C15" i="6"/>
  <c r="D15" i="6" s="1"/>
  <c r="AT13" i="6"/>
  <c r="H13" i="6"/>
  <c r="G13" i="6"/>
  <c r="C13" i="6"/>
  <c r="D13" i="6" s="1"/>
  <c r="AS13" i="6"/>
  <c r="AU13" i="6" s="1"/>
  <c r="H12" i="6"/>
  <c r="AT12" i="6"/>
  <c r="C12" i="6"/>
  <c r="D12" i="6" s="1"/>
  <c r="G12" i="6"/>
  <c r="AS12" i="6"/>
  <c r="AU12" i="6" s="1"/>
  <c r="AT11" i="6"/>
  <c r="AV11" i="6" s="1"/>
  <c r="H11" i="6"/>
  <c r="G11" i="6"/>
  <c r="AS11" i="6"/>
  <c r="AU11" i="6" s="1"/>
  <c r="C11" i="6"/>
  <c r="D11" i="6" s="1"/>
  <c r="AT10" i="6"/>
  <c r="H10" i="6"/>
  <c r="C10" i="6"/>
  <c r="D10" i="6" s="1"/>
  <c r="AS10" i="6"/>
  <c r="AU10" i="6" s="1"/>
  <c r="G10" i="6"/>
  <c r="H9" i="6"/>
  <c r="AT9" i="6"/>
  <c r="C9" i="6"/>
  <c r="D9" i="6" s="1"/>
  <c r="G9" i="6"/>
  <c r="AS9" i="6"/>
  <c r="AU9" i="6" s="1"/>
  <c r="H8" i="6"/>
  <c r="AT8" i="6"/>
  <c r="AS8" i="6"/>
  <c r="AU8" i="6" s="1"/>
  <c r="G8" i="6"/>
  <c r="C8" i="6"/>
  <c r="D8" i="6" s="1"/>
  <c r="H7" i="6"/>
  <c r="AT7" i="6"/>
  <c r="AV7" i="6" s="1"/>
  <c r="AS7" i="6"/>
  <c r="AU7" i="6" s="1"/>
  <c r="C7" i="6"/>
  <c r="D7" i="6" s="1"/>
  <c r="G7" i="6"/>
  <c r="H6" i="6"/>
  <c r="AT6" i="6"/>
  <c r="C6" i="6"/>
  <c r="D6" i="6" s="1"/>
  <c r="G6" i="6"/>
  <c r="AS6" i="6"/>
  <c r="AU6" i="6" s="1"/>
  <c r="H5" i="6"/>
  <c r="AT5" i="6"/>
  <c r="AV5" i="6" s="1"/>
  <c r="C5" i="6"/>
  <c r="D5" i="6" s="1"/>
  <c r="AS5" i="6"/>
  <c r="G5" i="6"/>
  <c r="H4" i="6"/>
  <c r="AT4" i="6"/>
  <c r="AS4" i="6"/>
  <c r="AU4" i="6" s="1"/>
  <c r="G4" i="6"/>
  <c r="C4" i="6"/>
  <c r="D4" i="6" s="1"/>
  <c r="AO50" i="6"/>
  <c r="AQ3" i="6"/>
  <c r="AN3" i="6"/>
  <c r="AL50" i="6"/>
  <c r="AK50" i="6"/>
  <c r="AM50" i="6" s="1"/>
  <c r="AM3" i="6"/>
  <c r="AH50" i="6"/>
  <c r="AJ3" i="6"/>
  <c r="AG50" i="6"/>
  <c r="AI50" i="6" s="1"/>
  <c r="AI3" i="6"/>
  <c r="AD50" i="6"/>
  <c r="AF3" i="6"/>
  <c r="AE3" i="6"/>
  <c r="AC50" i="6"/>
  <c r="AB3" i="6"/>
  <c r="Z50" i="6"/>
  <c r="AB50" i="6" s="1"/>
  <c r="AA3" i="6"/>
  <c r="Y50" i="6"/>
  <c r="V50" i="6"/>
  <c r="X3" i="6"/>
  <c r="W3" i="6"/>
  <c r="U50" i="6"/>
  <c r="T3" i="6"/>
  <c r="R50" i="6"/>
  <c r="Q50" i="6"/>
  <c r="S3" i="6"/>
  <c r="P3" i="6"/>
  <c r="N50" i="6"/>
  <c r="M50" i="6"/>
  <c r="O3" i="6"/>
  <c r="L3" i="6"/>
  <c r="J50" i="6"/>
  <c r="L50" i="6" s="1"/>
  <c r="I50" i="6"/>
  <c r="K3" i="6"/>
  <c r="H3" i="6"/>
  <c r="AT3" i="6"/>
  <c r="F50" i="6"/>
  <c r="E50" i="6"/>
  <c r="G3" i="6"/>
  <c r="AS3" i="6"/>
  <c r="AU3" i="6" s="1"/>
  <c r="C3" i="6"/>
  <c r="D3" i="6" s="1"/>
  <c r="H49" i="5"/>
  <c r="AT49" i="5"/>
  <c r="G49" i="5"/>
  <c r="C49" i="5"/>
  <c r="D49" i="5" s="1"/>
  <c r="AS49" i="5"/>
  <c r="AU49" i="5" s="1"/>
  <c r="H48" i="5"/>
  <c r="AT48" i="5"/>
  <c r="G48" i="5"/>
  <c r="C48" i="5"/>
  <c r="D48" i="5" s="1"/>
  <c r="AS48" i="5"/>
  <c r="AU48" i="5" s="1"/>
  <c r="AT47" i="5"/>
  <c r="H47" i="5"/>
  <c r="G47" i="5"/>
  <c r="C47" i="5"/>
  <c r="D47" i="5" s="1"/>
  <c r="AS47" i="5"/>
  <c r="AU47" i="5" s="1"/>
  <c r="H46" i="5"/>
  <c r="AT46" i="5"/>
  <c r="AS46" i="5"/>
  <c r="AU46" i="5" s="1"/>
  <c r="C46" i="5"/>
  <c r="D46" i="5" s="1"/>
  <c r="G46" i="5"/>
  <c r="AT45" i="5"/>
  <c r="H45" i="5"/>
  <c r="C45" i="5"/>
  <c r="D45" i="5" s="1"/>
  <c r="G45" i="5"/>
  <c r="AS45" i="5"/>
  <c r="AU45" i="5" s="1"/>
  <c r="H44" i="5"/>
  <c r="AT44" i="5"/>
  <c r="G44" i="5"/>
  <c r="C44" i="5"/>
  <c r="D44" i="5" s="1"/>
  <c r="AS44" i="5"/>
  <c r="AU44" i="5" s="1"/>
  <c r="H43" i="5"/>
  <c r="AT43" i="5"/>
  <c r="C43" i="5"/>
  <c r="D43" i="5" s="1"/>
  <c r="G43" i="5"/>
  <c r="AS43" i="5"/>
  <c r="AU43" i="5" s="1"/>
  <c r="AT42" i="5"/>
  <c r="H42" i="5"/>
  <c r="AS42" i="5"/>
  <c r="AU42" i="5" s="1"/>
  <c r="C42" i="5"/>
  <c r="D42" i="5" s="1"/>
  <c r="G42" i="5"/>
  <c r="AT41" i="5"/>
  <c r="H41" i="5"/>
  <c r="C41" i="5"/>
  <c r="D41" i="5" s="1"/>
  <c r="AS41" i="5"/>
  <c r="AU41" i="5" s="1"/>
  <c r="G41" i="5"/>
  <c r="AT40" i="5"/>
  <c r="AV40" i="5" s="1"/>
  <c r="H40" i="5"/>
  <c r="AS40" i="5"/>
  <c r="AU40" i="5" s="1"/>
  <c r="C40" i="5"/>
  <c r="D40" i="5" s="1"/>
  <c r="G40" i="5"/>
  <c r="H39" i="5"/>
  <c r="AT39" i="5"/>
  <c r="G39" i="5"/>
  <c r="AS39" i="5"/>
  <c r="AU39" i="5" s="1"/>
  <c r="C39" i="5"/>
  <c r="D39" i="5" s="1"/>
  <c r="H38" i="5"/>
  <c r="AT38" i="5"/>
  <c r="C38" i="5"/>
  <c r="D38" i="5" s="1"/>
  <c r="G38" i="5"/>
  <c r="AS38" i="5"/>
  <c r="AU38" i="5" s="1"/>
  <c r="AT37" i="5"/>
  <c r="H37" i="5"/>
  <c r="C37" i="5"/>
  <c r="D37" i="5" s="1"/>
  <c r="AS37" i="5"/>
  <c r="AU37" i="5" s="1"/>
  <c r="G37" i="5"/>
  <c r="H36" i="5"/>
  <c r="AT36" i="5"/>
  <c r="G36" i="5"/>
  <c r="AS36" i="5"/>
  <c r="AU36" i="5" s="1"/>
  <c r="C36" i="5"/>
  <c r="D36" i="5" s="1"/>
  <c r="H35" i="5"/>
  <c r="AT35" i="5"/>
  <c r="C35" i="5"/>
  <c r="D35" i="5" s="1"/>
  <c r="G35" i="5"/>
  <c r="AS35" i="5"/>
  <c r="AU35" i="5" s="1"/>
  <c r="AT34" i="5"/>
  <c r="H34" i="5"/>
  <c r="AS34" i="5"/>
  <c r="AU34" i="5" s="1"/>
  <c r="C34" i="5"/>
  <c r="D34" i="5" s="1"/>
  <c r="G34" i="5"/>
  <c r="H33" i="5"/>
  <c r="AT33" i="5"/>
  <c r="G33" i="5"/>
  <c r="AS33" i="5"/>
  <c r="AU33" i="5" s="1"/>
  <c r="C33" i="5"/>
  <c r="D33" i="5" s="1"/>
  <c r="H32" i="5"/>
  <c r="AT32" i="5"/>
  <c r="G32" i="5"/>
  <c r="AS32" i="5"/>
  <c r="AU32" i="5" s="1"/>
  <c r="C32" i="5"/>
  <c r="D32" i="5" s="1"/>
  <c r="AT31" i="5"/>
  <c r="P31" i="5"/>
  <c r="AS31" i="5"/>
  <c r="AU31" i="5" s="1"/>
  <c r="O31" i="5"/>
  <c r="C31" i="5"/>
  <c r="D31" i="5" s="1"/>
  <c r="AT29" i="5"/>
  <c r="H29" i="5"/>
  <c r="AS29" i="5"/>
  <c r="AU29" i="5" s="1"/>
  <c r="G29" i="5"/>
  <c r="H28" i="5"/>
  <c r="AT28" i="5"/>
  <c r="C28" i="5"/>
  <c r="D28" i="5" s="1"/>
  <c r="G28" i="5"/>
  <c r="AS28" i="5"/>
  <c r="AU28" i="5" s="1"/>
  <c r="AT27" i="5"/>
  <c r="AV27" i="5" s="1"/>
  <c r="H27" i="5"/>
  <c r="AS27" i="5"/>
  <c r="C27" i="5"/>
  <c r="D27" i="5" s="1"/>
  <c r="G27" i="5"/>
  <c r="AT26" i="5"/>
  <c r="H26" i="5"/>
  <c r="C26" i="5"/>
  <c r="D26" i="5" s="1"/>
  <c r="G26" i="5"/>
  <c r="AS26" i="5"/>
  <c r="AU26" i="5" s="1"/>
  <c r="AT25" i="5"/>
  <c r="H25" i="5"/>
  <c r="AS25" i="5"/>
  <c r="AU25" i="5" s="1"/>
  <c r="C25" i="5"/>
  <c r="D25" i="5" s="1"/>
  <c r="G25" i="5"/>
  <c r="AT24" i="5"/>
  <c r="H24" i="5"/>
  <c r="C24" i="5"/>
  <c r="D24" i="5" s="1"/>
  <c r="G24" i="5"/>
  <c r="AS24" i="5"/>
  <c r="AU24" i="5" s="1"/>
  <c r="AT23" i="5"/>
  <c r="H23" i="5"/>
  <c r="C23" i="5"/>
  <c r="D23" i="5" s="1"/>
  <c r="AS23" i="5"/>
  <c r="AU23" i="5" s="1"/>
  <c r="G23" i="5"/>
  <c r="H22" i="5"/>
  <c r="AT22" i="5"/>
  <c r="G22" i="5"/>
  <c r="C22" i="5"/>
  <c r="D22" i="5" s="1"/>
  <c r="AS22" i="5"/>
  <c r="AU22" i="5" s="1"/>
  <c r="H21" i="5"/>
  <c r="AT21" i="5"/>
  <c r="C21" i="5"/>
  <c r="D21" i="5" s="1"/>
  <c r="G21" i="5"/>
  <c r="AS21" i="5"/>
  <c r="AU21" i="5" s="1"/>
  <c r="H20" i="5"/>
  <c r="AT20" i="5"/>
  <c r="G20" i="5"/>
  <c r="AS20" i="5"/>
  <c r="AU20" i="5" s="1"/>
  <c r="C20" i="5"/>
  <c r="D20" i="5" s="1"/>
  <c r="H18" i="5"/>
  <c r="AT18" i="5"/>
  <c r="G18" i="5"/>
  <c r="AS18" i="5"/>
  <c r="AU18" i="5" s="1"/>
  <c r="C18" i="5"/>
  <c r="D18" i="5" s="1"/>
  <c r="AT17" i="5"/>
  <c r="H17" i="5"/>
  <c r="C17" i="5"/>
  <c r="D17" i="5" s="1"/>
  <c r="G17" i="5"/>
  <c r="AS17" i="5"/>
  <c r="AU17" i="5" s="1"/>
  <c r="H16" i="5"/>
  <c r="AT16" i="5"/>
  <c r="C16" i="5"/>
  <c r="D16" i="5" s="1"/>
  <c r="G16" i="5"/>
  <c r="AS16" i="5"/>
  <c r="AU16" i="5" s="1"/>
  <c r="H15" i="5"/>
  <c r="AT15" i="5"/>
  <c r="G15" i="5"/>
  <c r="C15" i="5"/>
  <c r="D15" i="5" s="1"/>
  <c r="AS15" i="5"/>
  <c r="AU15" i="5" s="1"/>
  <c r="AT14" i="5"/>
  <c r="H14" i="5"/>
  <c r="C14" i="5"/>
  <c r="D14" i="5" s="1"/>
  <c r="AS14" i="5"/>
  <c r="AU14" i="5" s="1"/>
  <c r="G14" i="5"/>
  <c r="AT13" i="5"/>
  <c r="H13" i="5"/>
  <c r="AS13" i="5"/>
  <c r="AU13" i="5" s="1"/>
  <c r="C13" i="5"/>
  <c r="D13" i="5" s="1"/>
  <c r="G13" i="5"/>
  <c r="AT12" i="5"/>
  <c r="H12" i="5"/>
  <c r="AS12" i="5"/>
  <c r="AU12" i="5" s="1"/>
  <c r="C12" i="5"/>
  <c r="D12" i="5" s="1"/>
  <c r="G12" i="5"/>
  <c r="H11" i="5"/>
  <c r="AT11" i="5"/>
  <c r="AV11" i="5" s="1"/>
  <c r="C11" i="5"/>
  <c r="D11" i="5" s="1"/>
  <c r="G11" i="5"/>
  <c r="AS11" i="5"/>
  <c r="H10" i="5"/>
  <c r="AT10" i="5"/>
  <c r="G10" i="5"/>
  <c r="AS10" i="5"/>
  <c r="AU10" i="5" s="1"/>
  <c r="C10" i="5"/>
  <c r="D10" i="5" s="1"/>
  <c r="H9" i="5"/>
  <c r="AT9" i="5"/>
  <c r="G9" i="5"/>
  <c r="C9" i="5"/>
  <c r="D9" i="5" s="1"/>
  <c r="AS9" i="5"/>
  <c r="AU9" i="5" s="1"/>
  <c r="H8" i="5"/>
  <c r="AT8" i="5"/>
  <c r="G8" i="5"/>
  <c r="AS8" i="5"/>
  <c r="AU8" i="5" s="1"/>
  <c r="AT7" i="5"/>
  <c r="AV7" i="5" s="1"/>
  <c r="H7" i="5"/>
  <c r="AS7" i="5"/>
  <c r="AU7" i="5" s="1"/>
  <c r="G7" i="5"/>
  <c r="H6" i="5"/>
  <c r="AT6" i="5"/>
  <c r="G6" i="5"/>
  <c r="C6" i="5"/>
  <c r="D6" i="5" s="1"/>
  <c r="AS6" i="5"/>
  <c r="AU6" i="5" s="1"/>
  <c r="H5" i="5"/>
  <c r="AT5" i="5"/>
  <c r="AV5" i="5" s="1"/>
  <c r="AS5" i="5"/>
  <c r="AU5" i="5" s="1"/>
  <c r="G5" i="5"/>
  <c r="C5" i="5"/>
  <c r="D5" i="5" s="1"/>
  <c r="H4" i="5"/>
  <c r="AT4" i="5"/>
  <c r="G4" i="5"/>
  <c r="AS4" i="5"/>
  <c r="AU4" i="5" s="1"/>
  <c r="C4" i="5"/>
  <c r="D4" i="5" s="1"/>
  <c r="AO50" i="5"/>
  <c r="AQ3" i="5"/>
  <c r="AL50" i="5"/>
  <c r="AN3" i="5"/>
  <c r="AM3" i="5"/>
  <c r="AK50" i="5"/>
  <c r="AM50" i="5" s="1"/>
  <c r="AH50" i="5"/>
  <c r="AJ3" i="5"/>
  <c r="AG50" i="5"/>
  <c r="AI50" i="5" s="1"/>
  <c r="AI3" i="5"/>
  <c r="AF3" i="5"/>
  <c r="AD50" i="5"/>
  <c r="AC50" i="5"/>
  <c r="AE3" i="5"/>
  <c r="Z50" i="5"/>
  <c r="AB3" i="5"/>
  <c r="Y50" i="5"/>
  <c r="AA3" i="5"/>
  <c r="V50" i="5"/>
  <c r="X3" i="5"/>
  <c r="U50" i="5"/>
  <c r="W3" i="5"/>
  <c r="T3" i="5"/>
  <c r="R50" i="5"/>
  <c r="Q50" i="5"/>
  <c r="S3" i="5"/>
  <c r="N50" i="5"/>
  <c r="P3" i="5"/>
  <c r="O3" i="5"/>
  <c r="M50" i="5"/>
  <c r="J50" i="5"/>
  <c r="L3" i="5"/>
  <c r="I50" i="5"/>
  <c r="K3" i="5"/>
  <c r="H3" i="5"/>
  <c r="F50" i="5"/>
  <c r="AT3" i="5"/>
  <c r="G3" i="5"/>
  <c r="E50" i="5"/>
  <c r="AS3" i="5"/>
  <c r="AU3" i="5" s="1"/>
  <c r="C3" i="5"/>
  <c r="D3" i="5" s="1"/>
  <c r="H49" i="4"/>
  <c r="AT49" i="4"/>
  <c r="G49" i="4"/>
  <c r="C49" i="4"/>
  <c r="D49" i="4" s="1"/>
  <c r="AS49" i="4"/>
  <c r="AU49" i="4" s="1"/>
  <c r="AT48" i="4"/>
  <c r="H48" i="4"/>
  <c r="C48" i="4"/>
  <c r="D48" i="4" s="1"/>
  <c r="AS48" i="4"/>
  <c r="AU48" i="4" s="1"/>
  <c r="G48" i="4"/>
  <c r="H47" i="4"/>
  <c r="AT47" i="4"/>
  <c r="AS47" i="4"/>
  <c r="AU47" i="4" s="1"/>
  <c r="C47" i="4"/>
  <c r="D47" i="4" s="1"/>
  <c r="G47" i="4"/>
  <c r="AT46" i="4"/>
  <c r="H46" i="4"/>
  <c r="AS46" i="4"/>
  <c r="AU46" i="4" s="1"/>
  <c r="G46" i="4"/>
  <c r="C46" i="4"/>
  <c r="D46" i="4" s="1"/>
  <c r="AT45" i="4"/>
  <c r="H45" i="4"/>
  <c r="AS45" i="4"/>
  <c r="AU45" i="4" s="1"/>
  <c r="C45" i="4"/>
  <c r="D45" i="4" s="1"/>
  <c r="G45" i="4"/>
  <c r="H44" i="4"/>
  <c r="AT44" i="4"/>
  <c r="AS44" i="4"/>
  <c r="AU44" i="4" s="1"/>
  <c r="C44" i="4"/>
  <c r="D44" i="4" s="1"/>
  <c r="G44" i="4"/>
  <c r="H43" i="4"/>
  <c r="AT43" i="4"/>
  <c r="C43" i="4"/>
  <c r="D43" i="4" s="1"/>
  <c r="G43" i="4"/>
  <c r="AS43" i="4"/>
  <c r="AU43" i="4" s="1"/>
  <c r="AT42" i="4"/>
  <c r="AV42" i="4" s="1"/>
  <c r="H42" i="4"/>
  <c r="AS42" i="4"/>
  <c r="C42" i="4"/>
  <c r="D42" i="4" s="1"/>
  <c r="G42" i="4"/>
  <c r="H41" i="4"/>
  <c r="AT41" i="4"/>
  <c r="C41" i="4"/>
  <c r="D41" i="4" s="1"/>
  <c r="G41" i="4"/>
  <c r="AS41" i="4"/>
  <c r="AU41" i="4" s="1"/>
  <c r="H40" i="4"/>
  <c r="AT40" i="4"/>
  <c r="AS40" i="4"/>
  <c r="AU40" i="4" s="1"/>
  <c r="G40" i="4"/>
  <c r="C40" i="4"/>
  <c r="D40" i="4" s="1"/>
  <c r="AT39" i="4"/>
  <c r="H39" i="4"/>
  <c r="G39" i="4"/>
  <c r="AS39" i="4"/>
  <c r="AU39" i="4" s="1"/>
  <c r="C39" i="4"/>
  <c r="D39" i="4" s="1"/>
  <c r="H38" i="4"/>
  <c r="AT38" i="4"/>
  <c r="AV38" i="4" s="1"/>
  <c r="AS38" i="4"/>
  <c r="AU38" i="4" s="1"/>
  <c r="G38" i="4"/>
  <c r="C38" i="4"/>
  <c r="D38" i="4" s="1"/>
  <c r="AT37" i="4"/>
  <c r="H37" i="4"/>
  <c r="G37" i="4"/>
  <c r="AS37" i="4"/>
  <c r="AU37" i="4" s="1"/>
  <c r="C37" i="4"/>
  <c r="D37" i="4" s="1"/>
  <c r="AT36" i="4"/>
  <c r="H36" i="4"/>
  <c r="C36" i="4"/>
  <c r="D36" i="4" s="1"/>
  <c r="AS36" i="4"/>
  <c r="AU36" i="4" s="1"/>
  <c r="G36" i="4"/>
  <c r="H35" i="4"/>
  <c r="AT35" i="4"/>
  <c r="C35" i="4"/>
  <c r="D35" i="4" s="1"/>
  <c r="AS35" i="4"/>
  <c r="AU35" i="4" s="1"/>
  <c r="G35" i="4"/>
  <c r="H34" i="4"/>
  <c r="AT34" i="4"/>
  <c r="AV34" i="4" s="1"/>
  <c r="AS34" i="4"/>
  <c r="AU34" i="4" s="1"/>
  <c r="C34" i="4"/>
  <c r="D34" i="4" s="1"/>
  <c r="G34" i="4"/>
  <c r="H33" i="4"/>
  <c r="AT33" i="4"/>
  <c r="AS33" i="4"/>
  <c r="AU33" i="4" s="1"/>
  <c r="C33" i="4"/>
  <c r="D33" i="4" s="1"/>
  <c r="G33" i="4"/>
  <c r="AT32" i="4"/>
  <c r="H32" i="4"/>
  <c r="C32" i="4"/>
  <c r="D32" i="4" s="1"/>
  <c r="AS32" i="4"/>
  <c r="AU32" i="4" s="1"/>
  <c r="G32" i="4"/>
  <c r="AM31" i="4"/>
  <c r="AS31" i="4"/>
  <c r="AJ31" i="4"/>
  <c r="AI31" i="4"/>
  <c r="C31" i="4"/>
  <c r="D31" i="4" s="1"/>
  <c r="AT31" i="4"/>
  <c r="AV31" i="4" s="1"/>
  <c r="H29" i="4"/>
  <c r="AT29" i="4"/>
  <c r="AV29" i="4" s="1"/>
  <c r="AS29" i="4"/>
  <c r="AU29" i="4" s="1"/>
  <c r="C29" i="4"/>
  <c r="D29" i="4" s="1"/>
  <c r="G29" i="4"/>
  <c r="H28" i="4"/>
  <c r="AT28" i="4"/>
  <c r="C28" i="4"/>
  <c r="D28" i="4" s="1"/>
  <c r="G28" i="4"/>
  <c r="AS28" i="4"/>
  <c r="AU28" i="4" s="1"/>
  <c r="AT27" i="4"/>
  <c r="H27" i="4"/>
  <c r="AS27" i="4"/>
  <c r="AU27" i="4" s="1"/>
  <c r="G27" i="4"/>
  <c r="C27" i="4"/>
  <c r="D27" i="4" s="1"/>
  <c r="AT26" i="4"/>
  <c r="AV26" i="4" s="1"/>
  <c r="H26" i="4"/>
  <c r="AS26" i="4"/>
  <c r="G26" i="4"/>
  <c r="C26" i="4"/>
  <c r="D26" i="4" s="1"/>
  <c r="AT25" i="4"/>
  <c r="H25" i="4"/>
  <c r="C25" i="4"/>
  <c r="D25" i="4" s="1"/>
  <c r="AS25" i="4"/>
  <c r="AU25" i="4" s="1"/>
  <c r="G25" i="4"/>
  <c r="H24" i="4"/>
  <c r="AT24" i="4"/>
  <c r="G24" i="4"/>
  <c r="C24" i="4"/>
  <c r="D24" i="4" s="1"/>
  <c r="AS24" i="4"/>
  <c r="AU24" i="4" s="1"/>
  <c r="AT23" i="4"/>
  <c r="H23" i="4"/>
  <c r="AS23" i="4"/>
  <c r="AU23" i="4" s="1"/>
  <c r="C23" i="4"/>
  <c r="D23" i="4" s="1"/>
  <c r="G23" i="4"/>
  <c r="AT22" i="4"/>
  <c r="H22" i="4"/>
  <c r="C22" i="4"/>
  <c r="D22" i="4" s="1"/>
  <c r="G22" i="4"/>
  <c r="AS22" i="4"/>
  <c r="AU22" i="4" s="1"/>
  <c r="AT21" i="4"/>
  <c r="H21" i="4"/>
  <c r="AS21" i="4"/>
  <c r="AU21" i="4" s="1"/>
  <c r="C21" i="4"/>
  <c r="D21" i="4" s="1"/>
  <c r="G21" i="4"/>
  <c r="AT20" i="4"/>
  <c r="H20" i="4"/>
  <c r="C20" i="4"/>
  <c r="D20" i="4" s="1"/>
  <c r="AS20" i="4"/>
  <c r="AU20" i="4" s="1"/>
  <c r="G20" i="4"/>
  <c r="H18" i="4"/>
  <c r="AT18" i="4"/>
  <c r="C18" i="4"/>
  <c r="D18" i="4" s="1"/>
  <c r="G18" i="4"/>
  <c r="AS18" i="4"/>
  <c r="AU18" i="4" s="1"/>
  <c r="H17" i="4"/>
  <c r="AT17" i="4"/>
  <c r="AS17" i="4"/>
  <c r="AU17" i="4" s="1"/>
  <c r="G17" i="4"/>
  <c r="C17" i="4"/>
  <c r="D17" i="4" s="1"/>
  <c r="AT16" i="4"/>
  <c r="H16" i="4"/>
  <c r="C16" i="4"/>
  <c r="D16" i="4" s="1"/>
  <c r="AS16" i="4"/>
  <c r="AU16" i="4" s="1"/>
  <c r="G16" i="4"/>
  <c r="H15" i="4"/>
  <c r="AT15" i="4"/>
  <c r="G15" i="4"/>
  <c r="AS15" i="4"/>
  <c r="AU15" i="4" s="1"/>
  <c r="C15" i="4"/>
  <c r="D15" i="4" s="1"/>
  <c r="H14" i="4"/>
  <c r="AT14" i="4"/>
  <c r="AS14" i="4"/>
  <c r="AU14" i="4" s="1"/>
  <c r="C14" i="4"/>
  <c r="D14" i="4" s="1"/>
  <c r="G14" i="4"/>
  <c r="H13" i="4"/>
  <c r="AT13" i="4"/>
  <c r="C13" i="4"/>
  <c r="D13" i="4" s="1"/>
  <c r="AS13" i="4"/>
  <c r="AU13" i="4" s="1"/>
  <c r="G13" i="4"/>
  <c r="H12" i="4"/>
  <c r="AT12" i="4"/>
  <c r="G12" i="4"/>
  <c r="C12" i="4"/>
  <c r="D12" i="4" s="1"/>
  <c r="AS12" i="4"/>
  <c r="AU12" i="4" s="1"/>
  <c r="AT11" i="4"/>
  <c r="H11" i="4"/>
  <c r="C11" i="4"/>
  <c r="D11" i="4" s="1"/>
  <c r="G11" i="4"/>
  <c r="AS11" i="4"/>
  <c r="AU11" i="4" s="1"/>
  <c r="AT10" i="4"/>
  <c r="H10" i="4"/>
  <c r="AS10" i="4"/>
  <c r="AU10" i="4" s="1"/>
  <c r="C10" i="4"/>
  <c r="D10" i="4" s="1"/>
  <c r="G10" i="4"/>
  <c r="H9" i="4"/>
  <c r="AT9" i="4"/>
  <c r="G9" i="4"/>
  <c r="AS9" i="4"/>
  <c r="AU9" i="4" s="1"/>
  <c r="AT8" i="4"/>
  <c r="H8" i="4"/>
  <c r="AS8" i="4"/>
  <c r="AU8" i="4" s="1"/>
  <c r="G8" i="4"/>
  <c r="H7" i="4"/>
  <c r="AT7" i="4"/>
  <c r="AS7" i="4"/>
  <c r="AU7" i="4" s="1"/>
  <c r="G7" i="4"/>
  <c r="C7" i="4"/>
  <c r="D7" i="4" s="1"/>
  <c r="AT6" i="4"/>
  <c r="H6" i="4"/>
  <c r="C6" i="4"/>
  <c r="D6" i="4" s="1"/>
  <c r="AS6" i="4"/>
  <c r="AU6" i="4" s="1"/>
  <c r="G6" i="4"/>
  <c r="H5" i="4"/>
  <c r="AT5" i="4"/>
  <c r="AS5" i="4"/>
  <c r="AU5" i="4" s="1"/>
  <c r="G5" i="4"/>
  <c r="C5" i="4"/>
  <c r="D5" i="4" s="1"/>
  <c r="AT4" i="4"/>
  <c r="H4" i="4"/>
  <c r="C4" i="4"/>
  <c r="D4" i="4" s="1"/>
  <c r="G4" i="4"/>
  <c r="AS4" i="4"/>
  <c r="AU4" i="4" s="1"/>
  <c r="AO50" i="4"/>
  <c r="AQ3" i="4"/>
  <c r="AL50" i="4"/>
  <c r="AN3" i="4"/>
  <c r="AK50" i="4"/>
  <c r="AM50" i="4" s="1"/>
  <c r="AM3" i="4"/>
  <c r="AH50" i="4"/>
  <c r="AJ3" i="4"/>
  <c r="AG50" i="4"/>
  <c r="AI50" i="4" s="1"/>
  <c r="AI3" i="4"/>
  <c r="AD50" i="4"/>
  <c r="AF3" i="4"/>
  <c r="AE3" i="4"/>
  <c r="AC50" i="4"/>
  <c r="Z50" i="4"/>
  <c r="AB3" i="4"/>
  <c r="Y50" i="4"/>
  <c r="AA3" i="4"/>
  <c r="V50" i="4"/>
  <c r="X3" i="4"/>
  <c r="W3" i="4"/>
  <c r="U50" i="4"/>
  <c r="R50" i="4"/>
  <c r="T3" i="4"/>
  <c r="Q50" i="4"/>
  <c r="S3" i="4"/>
  <c r="P3" i="4"/>
  <c r="N50" i="4"/>
  <c r="M50" i="4"/>
  <c r="O3" i="4"/>
  <c r="L3" i="4"/>
  <c r="J50" i="4"/>
  <c r="K3" i="4"/>
  <c r="I50" i="4"/>
  <c r="AT3" i="4"/>
  <c r="H3" i="4"/>
  <c r="F50" i="4"/>
  <c r="E50" i="4"/>
  <c r="AS3" i="4"/>
  <c r="AU3" i="4" s="1"/>
  <c r="G3" i="4"/>
  <c r="C3" i="4"/>
  <c r="D3" i="4" s="1"/>
  <c r="H49" i="3"/>
  <c r="AT49" i="3"/>
  <c r="G49" i="3"/>
  <c r="AS49" i="3"/>
  <c r="AU49" i="3" s="1"/>
  <c r="C49" i="3"/>
  <c r="D49" i="3" s="1"/>
  <c r="H48" i="3"/>
  <c r="AT48" i="3"/>
  <c r="G48" i="3"/>
  <c r="AS48" i="3"/>
  <c r="AU48" i="3" s="1"/>
  <c r="C48" i="3"/>
  <c r="D48" i="3" s="1"/>
  <c r="AT47" i="3"/>
  <c r="H47" i="3"/>
  <c r="C47" i="3"/>
  <c r="D47" i="3" s="1"/>
  <c r="AS47" i="3"/>
  <c r="AU47" i="3" s="1"/>
  <c r="G47" i="3"/>
  <c r="H46" i="3"/>
  <c r="AT46" i="3"/>
  <c r="AS46" i="3"/>
  <c r="AU46" i="3" s="1"/>
  <c r="G46" i="3"/>
  <c r="C46" i="3"/>
  <c r="D46" i="3" s="1"/>
  <c r="H45" i="3"/>
  <c r="AT45" i="3"/>
  <c r="C45" i="3"/>
  <c r="D45" i="3" s="1"/>
  <c r="G45" i="3"/>
  <c r="AS45" i="3"/>
  <c r="AU45" i="3" s="1"/>
  <c r="AT44" i="3"/>
  <c r="H44" i="3"/>
  <c r="C44" i="3"/>
  <c r="D44" i="3" s="1"/>
  <c r="G44" i="3"/>
  <c r="AS44" i="3"/>
  <c r="AU44" i="3" s="1"/>
  <c r="AT43" i="3"/>
  <c r="H43" i="3"/>
  <c r="AS43" i="3"/>
  <c r="AU43" i="3" s="1"/>
  <c r="G43" i="3"/>
  <c r="C43" i="3"/>
  <c r="D43" i="3" s="1"/>
  <c r="H42" i="3"/>
  <c r="AT42" i="3"/>
  <c r="G42" i="3"/>
  <c r="C42" i="3"/>
  <c r="D42" i="3" s="1"/>
  <c r="AS42" i="3"/>
  <c r="AU42" i="3" s="1"/>
  <c r="H41" i="3"/>
  <c r="AT41" i="3"/>
  <c r="AS41" i="3"/>
  <c r="AU41" i="3" s="1"/>
  <c r="G41" i="3"/>
  <c r="C41" i="3"/>
  <c r="D41" i="3" s="1"/>
  <c r="H40" i="3"/>
  <c r="AT40" i="3"/>
  <c r="G40" i="3"/>
  <c r="C40" i="3"/>
  <c r="D40" i="3" s="1"/>
  <c r="AS40" i="3"/>
  <c r="AU40" i="3" s="1"/>
  <c r="H39" i="3"/>
  <c r="AT39" i="3"/>
  <c r="AS39" i="3"/>
  <c r="AU39" i="3" s="1"/>
  <c r="C39" i="3"/>
  <c r="D39" i="3" s="1"/>
  <c r="G39" i="3"/>
  <c r="AT38" i="3"/>
  <c r="H38" i="3"/>
  <c r="C38" i="3"/>
  <c r="D38" i="3" s="1"/>
  <c r="AS38" i="3"/>
  <c r="AU38" i="3" s="1"/>
  <c r="G38" i="3"/>
  <c r="AT37" i="3"/>
  <c r="H37" i="3"/>
  <c r="AS37" i="3"/>
  <c r="AU37" i="3" s="1"/>
  <c r="C37" i="3"/>
  <c r="D37" i="3" s="1"/>
  <c r="G37" i="3"/>
  <c r="AT36" i="3"/>
  <c r="H36" i="3"/>
  <c r="G36" i="3"/>
  <c r="AS36" i="3"/>
  <c r="AU36" i="3" s="1"/>
  <c r="C36" i="3"/>
  <c r="D36" i="3" s="1"/>
  <c r="W35" i="3"/>
  <c r="X35" i="3"/>
  <c r="H35" i="3"/>
  <c r="AT35" i="3"/>
  <c r="C35" i="3"/>
  <c r="D35" i="3" s="1"/>
  <c r="G35" i="3"/>
  <c r="AS35" i="3"/>
  <c r="AU35" i="3" s="1"/>
  <c r="H34" i="3"/>
  <c r="AT34" i="3"/>
  <c r="G34" i="3"/>
  <c r="C34" i="3"/>
  <c r="D34" i="3" s="1"/>
  <c r="AS34" i="3"/>
  <c r="AU34" i="3" s="1"/>
  <c r="AT33" i="3"/>
  <c r="H33" i="3"/>
  <c r="AS33" i="3"/>
  <c r="AU33" i="3" s="1"/>
  <c r="C33" i="3"/>
  <c r="D33" i="3" s="1"/>
  <c r="G33" i="3"/>
  <c r="AT32" i="3"/>
  <c r="H32" i="3"/>
  <c r="C32" i="3"/>
  <c r="D32" i="3" s="1"/>
  <c r="AS32" i="3"/>
  <c r="AU32" i="3" s="1"/>
  <c r="G32" i="3"/>
  <c r="AT31" i="3"/>
  <c r="H31" i="3"/>
  <c r="C31" i="3"/>
  <c r="D31" i="3" s="1"/>
  <c r="G31" i="3"/>
  <c r="AS31" i="3"/>
  <c r="AU31" i="3" s="1"/>
  <c r="H29" i="3"/>
  <c r="AT29" i="3"/>
  <c r="G29" i="3"/>
  <c r="C29" i="3"/>
  <c r="D29" i="3" s="1"/>
  <c r="AS29" i="3"/>
  <c r="AU29" i="3" s="1"/>
  <c r="AT27" i="3"/>
  <c r="H27" i="3"/>
  <c r="C27" i="3"/>
  <c r="D27" i="3" s="1"/>
  <c r="G27" i="3"/>
  <c r="AS27" i="3"/>
  <c r="AU27" i="3" s="1"/>
  <c r="H26" i="3"/>
  <c r="AT26" i="3"/>
  <c r="AS26" i="3"/>
  <c r="AU26" i="3" s="1"/>
  <c r="C26" i="3"/>
  <c r="D26" i="3" s="1"/>
  <c r="G26" i="3"/>
  <c r="H25" i="3"/>
  <c r="AT25" i="3"/>
  <c r="C25" i="3"/>
  <c r="D25" i="3" s="1"/>
  <c r="G25" i="3"/>
  <c r="AS25" i="3"/>
  <c r="AU25" i="3" s="1"/>
  <c r="H24" i="3"/>
  <c r="AT24" i="3"/>
  <c r="C24" i="3"/>
  <c r="D24" i="3" s="1"/>
  <c r="G24" i="3"/>
  <c r="AS24" i="3"/>
  <c r="AU24" i="3" s="1"/>
  <c r="AT23" i="3"/>
  <c r="H23" i="3"/>
  <c r="G23" i="3"/>
  <c r="AS23" i="3"/>
  <c r="AU23" i="3" s="1"/>
  <c r="C23" i="3"/>
  <c r="D23" i="3" s="1"/>
  <c r="AT22" i="3"/>
  <c r="H22" i="3"/>
  <c r="C22" i="3"/>
  <c r="D22" i="3" s="1"/>
  <c r="AS22" i="3"/>
  <c r="AU22" i="3" s="1"/>
  <c r="G22" i="3"/>
  <c r="H21" i="3"/>
  <c r="AT21" i="3"/>
  <c r="C21" i="3"/>
  <c r="D21" i="3" s="1"/>
  <c r="G21" i="3"/>
  <c r="AS21" i="3"/>
  <c r="AU21" i="3" s="1"/>
  <c r="AT20" i="3"/>
  <c r="H20" i="3"/>
  <c r="C20" i="3"/>
  <c r="D20" i="3" s="1"/>
  <c r="AS20" i="3"/>
  <c r="AU20" i="3" s="1"/>
  <c r="G20" i="3"/>
  <c r="H18" i="3"/>
  <c r="AT18" i="3"/>
  <c r="C18" i="3"/>
  <c r="D18" i="3" s="1"/>
  <c r="AS18" i="3"/>
  <c r="AU18" i="3" s="1"/>
  <c r="G18" i="3"/>
  <c r="AT17" i="3"/>
  <c r="H17" i="3"/>
  <c r="C17" i="3"/>
  <c r="D17" i="3" s="1"/>
  <c r="AS17" i="3"/>
  <c r="AU17" i="3" s="1"/>
  <c r="G17" i="3"/>
  <c r="AB16" i="3"/>
  <c r="AT16" i="3"/>
  <c r="C16" i="3"/>
  <c r="D16" i="3" s="1"/>
  <c r="AS16" i="3"/>
  <c r="AU16" i="3" s="1"/>
  <c r="AA16" i="3"/>
  <c r="H15" i="3"/>
  <c r="AT15" i="3"/>
  <c r="G15" i="3"/>
  <c r="AS15" i="3"/>
  <c r="AU15" i="3" s="1"/>
  <c r="AT14" i="3"/>
  <c r="H14" i="3"/>
  <c r="G14" i="3"/>
  <c r="AS14" i="3"/>
  <c r="AU14" i="3" s="1"/>
  <c r="AT13" i="3"/>
  <c r="H13" i="3"/>
  <c r="G13" i="3"/>
  <c r="C13" i="3"/>
  <c r="D13" i="3" s="1"/>
  <c r="AS13" i="3"/>
  <c r="AU13" i="3" s="1"/>
  <c r="AT12" i="3"/>
  <c r="H12" i="3"/>
  <c r="AS12" i="3"/>
  <c r="AU12" i="3" s="1"/>
  <c r="C12" i="3"/>
  <c r="D12" i="3" s="1"/>
  <c r="G12" i="3"/>
  <c r="H11" i="3"/>
  <c r="AT11" i="3"/>
  <c r="G11" i="3"/>
  <c r="C11" i="3"/>
  <c r="D11" i="3" s="1"/>
  <c r="AS11" i="3"/>
  <c r="AU11" i="3" s="1"/>
  <c r="AT10" i="3"/>
  <c r="H10" i="3"/>
  <c r="C10" i="3"/>
  <c r="D10" i="3" s="1"/>
  <c r="G10" i="3"/>
  <c r="AS10" i="3"/>
  <c r="AU10" i="3" s="1"/>
  <c r="AT9" i="3"/>
  <c r="H9" i="3"/>
  <c r="G9" i="3"/>
  <c r="AS9" i="3"/>
  <c r="AU9" i="3" s="1"/>
  <c r="C9" i="3"/>
  <c r="D9" i="3" s="1"/>
  <c r="H8" i="3"/>
  <c r="AT8" i="3"/>
  <c r="G8" i="3"/>
  <c r="C8" i="3"/>
  <c r="D8" i="3" s="1"/>
  <c r="AS8" i="3"/>
  <c r="AU8" i="3" s="1"/>
  <c r="H7" i="3"/>
  <c r="AT7" i="3"/>
  <c r="G7" i="3"/>
  <c r="C7" i="3"/>
  <c r="D7" i="3" s="1"/>
  <c r="AS7" i="3"/>
  <c r="AU7" i="3" s="1"/>
  <c r="AT6" i="3"/>
  <c r="H6" i="3"/>
  <c r="C6" i="3"/>
  <c r="D6" i="3" s="1"/>
  <c r="G6" i="3"/>
  <c r="AS6" i="3"/>
  <c r="AU6" i="3" s="1"/>
  <c r="H5" i="3"/>
  <c r="AT5" i="3"/>
  <c r="C5" i="3"/>
  <c r="D5" i="3" s="1"/>
  <c r="G5" i="3"/>
  <c r="AS5" i="3"/>
  <c r="AU5" i="3" s="1"/>
  <c r="AT4" i="3"/>
  <c r="H4" i="3"/>
  <c r="AS4" i="3"/>
  <c r="AU4" i="3" s="1"/>
  <c r="G4" i="3"/>
  <c r="C4" i="3"/>
  <c r="D4" i="3" s="1"/>
  <c r="AQ3" i="3"/>
  <c r="AO50" i="3"/>
  <c r="AN3" i="3"/>
  <c r="AL50" i="3"/>
  <c r="AN50" i="3" s="1"/>
  <c r="AM3" i="3"/>
  <c r="AK50" i="3"/>
  <c r="AM50" i="3" s="1"/>
  <c r="AH50" i="3"/>
  <c r="AJ50" i="3" s="1"/>
  <c r="AJ3" i="3"/>
  <c r="AG50" i="3"/>
  <c r="AI50" i="3" s="1"/>
  <c r="AI3" i="3"/>
  <c r="AF3" i="3"/>
  <c r="AD50" i="3"/>
  <c r="AF50" i="3" s="1"/>
  <c r="AE3" i="3"/>
  <c r="AC50" i="3"/>
  <c r="AB3" i="3"/>
  <c r="Z50" i="3"/>
  <c r="AA3" i="3"/>
  <c r="Y50" i="3"/>
  <c r="X3" i="3"/>
  <c r="V50" i="3"/>
  <c r="U50" i="3"/>
  <c r="W3" i="3"/>
  <c r="T3" i="3"/>
  <c r="R50" i="3"/>
  <c r="S3" i="3"/>
  <c r="Q50" i="3"/>
  <c r="P3" i="3"/>
  <c r="N50" i="3"/>
  <c r="O3" i="3"/>
  <c r="M50" i="3"/>
  <c r="L3" i="3"/>
  <c r="J50" i="3"/>
  <c r="L50" i="3" s="1"/>
  <c r="I50" i="3"/>
  <c r="K3" i="3"/>
  <c r="H3" i="3"/>
  <c r="AT3" i="3"/>
  <c r="F50" i="3"/>
  <c r="C3" i="3"/>
  <c r="D3" i="3" s="1"/>
  <c r="AS3" i="3"/>
  <c r="AU3" i="3" s="1"/>
  <c r="G3" i="3"/>
  <c r="E50" i="3"/>
  <c r="H49" i="2"/>
  <c r="AT49" i="2"/>
  <c r="G49" i="2"/>
  <c r="C49" i="2"/>
  <c r="D49" i="2" s="1"/>
  <c r="AS49" i="2"/>
  <c r="AU49" i="2" s="1"/>
  <c r="AT48" i="2"/>
  <c r="H48" i="2"/>
  <c r="AS48" i="2"/>
  <c r="AU48" i="2" s="1"/>
  <c r="C48" i="2"/>
  <c r="D48" i="2" s="1"/>
  <c r="G48" i="2"/>
  <c r="H47" i="2"/>
  <c r="AT47" i="2"/>
  <c r="C47" i="2"/>
  <c r="D47" i="2" s="1"/>
  <c r="G47" i="2"/>
  <c r="AS47" i="2"/>
  <c r="AU47" i="2" s="1"/>
  <c r="H46" i="2"/>
  <c r="AT46" i="2"/>
  <c r="G46" i="2"/>
  <c r="AS46" i="2"/>
  <c r="AU46" i="2" s="1"/>
  <c r="C46" i="2"/>
  <c r="D46" i="2" s="1"/>
  <c r="H45" i="2"/>
  <c r="AT45" i="2"/>
  <c r="G45" i="2"/>
  <c r="C45" i="2"/>
  <c r="D45" i="2" s="1"/>
  <c r="AS45" i="2"/>
  <c r="AU45" i="2" s="1"/>
  <c r="AT44" i="2"/>
  <c r="H44" i="2"/>
  <c r="C44" i="2"/>
  <c r="D44" i="2" s="1"/>
  <c r="AS44" i="2"/>
  <c r="AU44" i="2" s="1"/>
  <c r="G44" i="2"/>
  <c r="AT43" i="2"/>
  <c r="H43" i="2"/>
  <c r="AS43" i="2"/>
  <c r="AU43" i="2" s="1"/>
  <c r="G43" i="2"/>
  <c r="C43" i="2"/>
  <c r="D43" i="2" s="1"/>
  <c r="AT42" i="2"/>
  <c r="H42" i="2"/>
  <c r="AS42" i="2"/>
  <c r="AU42" i="2" s="1"/>
  <c r="C42" i="2"/>
  <c r="D42" i="2" s="1"/>
  <c r="G42" i="2"/>
  <c r="H41" i="2"/>
  <c r="AT41" i="2"/>
  <c r="G41" i="2"/>
  <c r="C41" i="2"/>
  <c r="D41" i="2" s="1"/>
  <c r="AS41" i="2"/>
  <c r="AU41" i="2" s="1"/>
  <c r="H40" i="2"/>
  <c r="AT40" i="2"/>
  <c r="C40" i="2"/>
  <c r="D40" i="2" s="1"/>
  <c r="AS40" i="2"/>
  <c r="AU40" i="2" s="1"/>
  <c r="G40" i="2"/>
  <c r="AT39" i="2"/>
  <c r="H39" i="2"/>
  <c r="AS39" i="2"/>
  <c r="AU39" i="2" s="1"/>
  <c r="G39" i="2"/>
  <c r="C39" i="2"/>
  <c r="D39" i="2" s="1"/>
  <c r="AT38" i="2"/>
  <c r="AV38" i="2" s="1"/>
  <c r="X38" i="2"/>
  <c r="C38" i="2"/>
  <c r="D38" i="2" s="1"/>
  <c r="W38" i="2"/>
  <c r="AS38" i="2"/>
  <c r="AT37" i="2"/>
  <c r="H37" i="2"/>
  <c r="G37" i="2"/>
  <c r="AS37" i="2"/>
  <c r="AU37" i="2" s="1"/>
  <c r="H36" i="2"/>
  <c r="AT36" i="2"/>
  <c r="G36" i="2"/>
  <c r="AS36" i="2"/>
  <c r="AU36" i="2" s="1"/>
  <c r="C36" i="2"/>
  <c r="D36" i="2" s="1"/>
  <c r="AT35" i="2"/>
  <c r="H35" i="2"/>
  <c r="C35" i="2"/>
  <c r="D35" i="2" s="1"/>
  <c r="G35" i="2"/>
  <c r="AS35" i="2"/>
  <c r="AU35" i="2" s="1"/>
  <c r="AT34" i="2"/>
  <c r="H34" i="2"/>
  <c r="C34" i="2"/>
  <c r="D34" i="2" s="1"/>
  <c r="AS34" i="2"/>
  <c r="AU34" i="2" s="1"/>
  <c r="G34" i="2"/>
  <c r="AT33" i="2"/>
  <c r="H33" i="2"/>
  <c r="AS33" i="2"/>
  <c r="AU33" i="2" s="1"/>
  <c r="C33" i="2"/>
  <c r="D33" i="2" s="1"/>
  <c r="G33" i="2"/>
  <c r="H32" i="2"/>
  <c r="AT32" i="2"/>
  <c r="G32" i="2"/>
  <c r="AS32" i="2"/>
  <c r="AU32" i="2" s="1"/>
  <c r="C32" i="2"/>
  <c r="D32" i="2" s="1"/>
  <c r="H31" i="2"/>
  <c r="AT31" i="2"/>
  <c r="AS31" i="2"/>
  <c r="AU31" i="2" s="1"/>
  <c r="C31" i="2"/>
  <c r="D31" i="2" s="1"/>
  <c r="G31" i="2"/>
  <c r="AT29" i="2"/>
  <c r="H29" i="2"/>
  <c r="AS29" i="2"/>
  <c r="AU29" i="2" s="1"/>
  <c r="C29" i="2"/>
  <c r="D29" i="2" s="1"/>
  <c r="G29" i="2"/>
  <c r="AT27" i="2"/>
  <c r="H27" i="2"/>
  <c r="AS27" i="2"/>
  <c r="AU27" i="2" s="1"/>
  <c r="G27" i="2"/>
  <c r="C27" i="2"/>
  <c r="D27" i="2" s="1"/>
  <c r="AT26" i="2"/>
  <c r="H26" i="2"/>
  <c r="C26" i="2"/>
  <c r="D26" i="2" s="1"/>
  <c r="G26" i="2"/>
  <c r="AS26" i="2"/>
  <c r="AU26" i="2" s="1"/>
  <c r="AT25" i="2"/>
  <c r="H25" i="2"/>
  <c r="AS25" i="2"/>
  <c r="AU25" i="2" s="1"/>
  <c r="C25" i="2"/>
  <c r="D25" i="2" s="1"/>
  <c r="G25" i="2"/>
  <c r="AT24" i="2"/>
  <c r="H24" i="2"/>
  <c r="AS24" i="2"/>
  <c r="AU24" i="2" s="1"/>
  <c r="C24" i="2"/>
  <c r="D24" i="2" s="1"/>
  <c r="G24" i="2"/>
  <c r="AT23" i="2"/>
  <c r="X23" i="2"/>
  <c r="AS23" i="2"/>
  <c r="AU23" i="2" s="1"/>
  <c r="C23" i="2"/>
  <c r="D23" i="2" s="1"/>
  <c r="W23" i="2"/>
  <c r="H22" i="2"/>
  <c r="AT22" i="2"/>
  <c r="AS22" i="2"/>
  <c r="AU22" i="2" s="1"/>
  <c r="G22" i="2"/>
  <c r="AT21" i="2"/>
  <c r="H21" i="2"/>
  <c r="AS21" i="2"/>
  <c r="AU21" i="2" s="1"/>
  <c r="G21" i="2"/>
  <c r="H20" i="2"/>
  <c r="AT20" i="2"/>
  <c r="G20" i="2"/>
  <c r="AS20" i="2"/>
  <c r="AU20" i="2" s="1"/>
  <c r="C20" i="2"/>
  <c r="D20" i="2" s="1"/>
  <c r="H18" i="2"/>
  <c r="AT18" i="2"/>
  <c r="C18" i="2"/>
  <c r="D18" i="2" s="1"/>
  <c r="AS18" i="2"/>
  <c r="AU18" i="2" s="1"/>
  <c r="G18" i="2"/>
  <c r="AT17" i="2"/>
  <c r="H17" i="2"/>
  <c r="C17" i="2"/>
  <c r="D17" i="2" s="1"/>
  <c r="G17" i="2"/>
  <c r="AS17" i="2"/>
  <c r="AU17" i="2" s="1"/>
  <c r="AT16" i="2"/>
  <c r="H16" i="2"/>
  <c r="G16" i="2"/>
  <c r="AS16" i="2"/>
  <c r="AU16" i="2" s="1"/>
  <c r="C16" i="2"/>
  <c r="D16" i="2" s="1"/>
  <c r="AT15" i="2"/>
  <c r="H15" i="2"/>
  <c r="AS15" i="2"/>
  <c r="AU15" i="2" s="1"/>
  <c r="G15" i="2"/>
  <c r="C15" i="2"/>
  <c r="D15" i="2" s="1"/>
  <c r="H14" i="2"/>
  <c r="AT14" i="2"/>
  <c r="AS14" i="2"/>
  <c r="AU14" i="2" s="1"/>
  <c r="G14" i="2"/>
  <c r="C14" i="2"/>
  <c r="D14" i="2" s="1"/>
  <c r="AT13" i="2"/>
  <c r="H13" i="2"/>
  <c r="AS13" i="2"/>
  <c r="AU13" i="2" s="1"/>
  <c r="C13" i="2"/>
  <c r="D13" i="2" s="1"/>
  <c r="G13" i="2"/>
  <c r="AT12" i="2"/>
  <c r="H12" i="2"/>
  <c r="G12" i="2"/>
  <c r="AS12" i="2"/>
  <c r="AU12" i="2" s="1"/>
  <c r="C12" i="2"/>
  <c r="D12" i="2" s="1"/>
  <c r="H11" i="2"/>
  <c r="AT11" i="2"/>
  <c r="C11" i="2"/>
  <c r="D11" i="2" s="1"/>
  <c r="G11" i="2"/>
  <c r="AS11" i="2"/>
  <c r="AU11" i="2" s="1"/>
  <c r="H10" i="2"/>
  <c r="AT10" i="2"/>
  <c r="AS10" i="2"/>
  <c r="AU10" i="2" s="1"/>
  <c r="C10" i="2"/>
  <c r="D10" i="2" s="1"/>
  <c r="G10" i="2"/>
  <c r="AT9" i="2"/>
  <c r="X9" i="2"/>
  <c r="C9" i="2"/>
  <c r="D9" i="2" s="1"/>
  <c r="W9" i="2"/>
  <c r="AS9" i="2"/>
  <c r="AU9" i="2" s="1"/>
  <c r="AT8" i="2"/>
  <c r="H8" i="2"/>
  <c r="AS8" i="2"/>
  <c r="AU8" i="2" s="1"/>
  <c r="G8" i="2"/>
  <c r="H7" i="2"/>
  <c r="AT7" i="2"/>
  <c r="AS7" i="2"/>
  <c r="AU7" i="2" s="1"/>
  <c r="G7" i="2"/>
  <c r="AT6" i="2"/>
  <c r="H6" i="2"/>
  <c r="G6" i="2"/>
  <c r="C6" i="2"/>
  <c r="D6" i="2" s="1"/>
  <c r="AS6" i="2"/>
  <c r="AU6" i="2" s="1"/>
  <c r="AT5" i="2"/>
  <c r="H5" i="2"/>
  <c r="G5" i="2"/>
  <c r="AS5" i="2"/>
  <c r="AU5" i="2" s="1"/>
  <c r="C5" i="2"/>
  <c r="D5" i="2" s="1"/>
  <c r="AT4" i="2"/>
  <c r="H4" i="2"/>
  <c r="G4" i="2"/>
  <c r="AS4" i="2"/>
  <c r="AU4" i="2" s="1"/>
  <c r="C4" i="2"/>
  <c r="D4" i="2" s="1"/>
  <c r="AO50" i="2"/>
  <c r="AQ3" i="2"/>
  <c r="AN3" i="2"/>
  <c r="AL50" i="2"/>
  <c r="AM3" i="2"/>
  <c r="AK50" i="2"/>
  <c r="AM50" i="2" s="1"/>
  <c r="AH50" i="2"/>
  <c r="AJ3" i="2"/>
  <c r="AG50" i="2"/>
  <c r="AI50" i="2" s="1"/>
  <c r="AI3" i="2"/>
  <c r="AD50" i="2"/>
  <c r="AF3" i="2"/>
  <c r="AE3" i="2"/>
  <c r="AC50" i="2"/>
  <c r="AB3" i="2"/>
  <c r="Z50" i="2"/>
  <c r="Y50" i="2"/>
  <c r="AA3" i="2"/>
  <c r="V50" i="2"/>
  <c r="X3" i="2"/>
  <c r="W3" i="2"/>
  <c r="U50" i="2"/>
  <c r="T3" i="2"/>
  <c r="R50" i="2"/>
  <c r="S3" i="2"/>
  <c r="Q50" i="2"/>
  <c r="N50" i="2"/>
  <c r="P50" i="2" s="1"/>
  <c r="P3" i="2"/>
  <c r="M50" i="2"/>
  <c r="O3" i="2"/>
  <c r="L3" i="2"/>
  <c r="J50" i="2"/>
  <c r="K3" i="2"/>
  <c r="I50" i="2"/>
  <c r="F50" i="2"/>
  <c r="H3" i="2"/>
  <c r="AT3" i="2"/>
  <c r="AV3" i="2" s="1"/>
  <c r="G3" i="2"/>
  <c r="C3" i="2"/>
  <c r="D3" i="2" s="1"/>
  <c r="AS3" i="2"/>
  <c r="E50" i="2"/>
  <c r="H49" i="1"/>
  <c r="AT49" i="1"/>
  <c r="AS49" i="1"/>
  <c r="AU49" i="1" s="1"/>
  <c r="C49" i="1"/>
  <c r="D49" i="1" s="1"/>
  <c r="G49" i="1"/>
  <c r="H48" i="1"/>
  <c r="AT48" i="1"/>
  <c r="AS48" i="1"/>
  <c r="AU48" i="1" s="1"/>
  <c r="G48" i="1"/>
  <c r="C48" i="1"/>
  <c r="D48" i="1" s="1"/>
  <c r="H47" i="1"/>
  <c r="AT47" i="1"/>
  <c r="C47" i="1"/>
  <c r="D47" i="1" s="1"/>
  <c r="AS47" i="1"/>
  <c r="AU47" i="1" s="1"/>
  <c r="G47" i="1"/>
  <c r="AT46" i="1"/>
  <c r="H46" i="1"/>
  <c r="AS46" i="1"/>
  <c r="AU46" i="1" s="1"/>
  <c r="G46" i="1"/>
  <c r="C46" i="1"/>
  <c r="D46" i="1" s="1"/>
  <c r="AT45" i="1"/>
  <c r="H45" i="1"/>
  <c r="AS45" i="1"/>
  <c r="AU45" i="1" s="1"/>
  <c r="G45" i="1"/>
  <c r="C45" i="1"/>
  <c r="D45" i="1" s="1"/>
  <c r="AT44" i="1"/>
  <c r="H44" i="1"/>
  <c r="C44" i="1"/>
  <c r="D44" i="1" s="1"/>
  <c r="G44" i="1"/>
  <c r="AS44" i="1"/>
  <c r="AU44" i="1" s="1"/>
  <c r="H43" i="1"/>
  <c r="AT43" i="1"/>
  <c r="AS43" i="1"/>
  <c r="AU43" i="1" s="1"/>
  <c r="G43" i="1"/>
  <c r="C43" i="1"/>
  <c r="D43" i="1" s="1"/>
  <c r="AT42" i="1"/>
  <c r="H42" i="1"/>
  <c r="G42" i="1"/>
  <c r="C42" i="1"/>
  <c r="D42" i="1" s="1"/>
  <c r="AS42" i="1"/>
  <c r="AU42" i="1" s="1"/>
  <c r="H41" i="1"/>
  <c r="AT41" i="1"/>
  <c r="C41" i="1"/>
  <c r="D41" i="1" s="1"/>
  <c r="G41" i="1"/>
  <c r="AS41" i="1"/>
  <c r="AU41" i="1" s="1"/>
  <c r="AT40" i="1"/>
  <c r="AV40" i="1" s="1"/>
  <c r="H40" i="1"/>
  <c r="C40" i="1"/>
  <c r="D40" i="1" s="1"/>
  <c r="G40" i="1"/>
  <c r="AS40" i="1"/>
  <c r="O39" i="1"/>
  <c r="AS39" i="1"/>
  <c r="C39" i="1"/>
  <c r="D39" i="1" s="1"/>
  <c r="AT39" i="1"/>
  <c r="AV39" i="1" s="1"/>
  <c r="K39" i="1"/>
  <c r="L39" i="1"/>
  <c r="AT38" i="1"/>
  <c r="H38" i="1"/>
  <c r="G38" i="1"/>
  <c r="AS38" i="1"/>
  <c r="AU38" i="1" s="1"/>
  <c r="C38" i="1"/>
  <c r="D38" i="1" s="1"/>
  <c r="H37" i="1"/>
  <c r="AT37" i="1"/>
  <c r="AS37" i="1"/>
  <c r="AU37" i="1" s="1"/>
  <c r="C37" i="1"/>
  <c r="D37" i="1" s="1"/>
  <c r="G37" i="1"/>
  <c r="H36" i="1"/>
  <c r="AT36" i="1"/>
  <c r="AS36" i="1"/>
  <c r="AU36" i="1" s="1"/>
  <c r="C36" i="1"/>
  <c r="D36" i="1" s="1"/>
  <c r="G36" i="1"/>
  <c r="H35" i="1"/>
  <c r="AT35" i="1"/>
  <c r="AS35" i="1"/>
  <c r="AU35" i="1" s="1"/>
  <c r="G35" i="1"/>
  <c r="C35" i="1"/>
  <c r="D35" i="1" s="1"/>
  <c r="AT34" i="1"/>
  <c r="H34" i="1"/>
  <c r="AS34" i="1"/>
  <c r="AU34" i="1" s="1"/>
  <c r="C34" i="1"/>
  <c r="D34" i="1" s="1"/>
  <c r="G34" i="1"/>
  <c r="AT33" i="1"/>
  <c r="H33" i="1"/>
  <c r="G33" i="1"/>
  <c r="AS33" i="1"/>
  <c r="AU33" i="1" s="1"/>
  <c r="C33" i="1"/>
  <c r="D33" i="1" s="1"/>
  <c r="AT32" i="1"/>
  <c r="H32" i="1"/>
  <c r="G32" i="1"/>
  <c r="C32" i="1"/>
  <c r="D32" i="1" s="1"/>
  <c r="AS32" i="1"/>
  <c r="AU32" i="1" s="1"/>
  <c r="H31" i="1"/>
  <c r="AT31" i="1"/>
  <c r="C31" i="1"/>
  <c r="D31" i="1" s="1"/>
  <c r="G31" i="1"/>
  <c r="AS31" i="1"/>
  <c r="AU31" i="1" s="1"/>
  <c r="H29" i="1"/>
  <c r="AT29" i="1"/>
  <c r="G29" i="1"/>
  <c r="C29" i="1"/>
  <c r="D29" i="1" s="1"/>
  <c r="AS29" i="1"/>
  <c r="AU29" i="1" s="1"/>
  <c r="AT27" i="1"/>
  <c r="AV27" i="1" s="1"/>
  <c r="H27" i="1"/>
  <c r="AS27" i="1"/>
  <c r="AU27" i="1" s="1"/>
  <c r="C27" i="1"/>
  <c r="D27" i="1" s="1"/>
  <c r="G27" i="1"/>
  <c r="AT26" i="1"/>
  <c r="AV26" i="1" s="1"/>
  <c r="H26" i="1"/>
  <c r="AS26" i="1"/>
  <c r="C26" i="1"/>
  <c r="D26" i="1" s="1"/>
  <c r="G26" i="1"/>
  <c r="H25" i="1"/>
  <c r="AT25" i="1"/>
  <c r="G25" i="1"/>
  <c r="AS25" i="1"/>
  <c r="AU25" i="1" s="1"/>
  <c r="C25" i="1"/>
  <c r="D25" i="1" s="1"/>
  <c r="AT23" i="1"/>
  <c r="H23" i="1"/>
  <c r="G23" i="1"/>
  <c r="AS23" i="1"/>
  <c r="AU23" i="1" s="1"/>
  <c r="C23" i="1"/>
  <c r="D23" i="1" s="1"/>
  <c r="AT22" i="1"/>
  <c r="H22" i="1"/>
  <c r="AS22" i="1"/>
  <c r="AU22" i="1" s="1"/>
  <c r="G22" i="1"/>
  <c r="C22" i="1"/>
  <c r="D22" i="1" s="1"/>
  <c r="H21" i="1"/>
  <c r="AT21" i="1"/>
  <c r="G21" i="1"/>
  <c r="C21" i="1"/>
  <c r="D21" i="1" s="1"/>
  <c r="AS21" i="1"/>
  <c r="AU21" i="1" s="1"/>
  <c r="AT20" i="1"/>
  <c r="H20" i="1"/>
  <c r="AS20" i="1"/>
  <c r="AU20" i="1" s="1"/>
  <c r="C20" i="1"/>
  <c r="D20" i="1" s="1"/>
  <c r="G20" i="1"/>
  <c r="H18" i="1"/>
  <c r="AT18" i="1"/>
  <c r="AV18" i="1" s="1"/>
  <c r="AS18" i="1"/>
  <c r="AU18" i="1" s="1"/>
  <c r="C18" i="1"/>
  <c r="D18" i="1" s="1"/>
  <c r="G18" i="1"/>
  <c r="AT17" i="1"/>
  <c r="H17" i="1"/>
  <c r="AS17" i="1"/>
  <c r="AU17" i="1" s="1"/>
  <c r="C17" i="1"/>
  <c r="D17" i="1" s="1"/>
  <c r="G17" i="1"/>
  <c r="AT16" i="1"/>
  <c r="H16" i="1"/>
  <c r="AS16" i="1"/>
  <c r="AU16" i="1" s="1"/>
  <c r="C16" i="1"/>
  <c r="D16" i="1" s="1"/>
  <c r="G16" i="1"/>
  <c r="AT15" i="1"/>
  <c r="H15" i="1"/>
  <c r="AS15" i="1"/>
  <c r="AU15" i="1" s="1"/>
  <c r="C15" i="1"/>
  <c r="D15" i="1" s="1"/>
  <c r="G15" i="1"/>
  <c r="AT14" i="1"/>
  <c r="H14" i="1"/>
  <c r="AS14" i="1"/>
  <c r="AU14" i="1" s="1"/>
  <c r="G14" i="1"/>
  <c r="C14" i="1"/>
  <c r="D14" i="1" s="1"/>
  <c r="H13" i="1"/>
  <c r="AT13" i="1"/>
  <c r="AS13" i="1"/>
  <c r="AU13" i="1" s="1"/>
  <c r="G13" i="1"/>
  <c r="C13" i="1"/>
  <c r="D13" i="1" s="1"/>
  <c r="H12" i="1"/>
  <c r="AT12" i="1"/>
  <c r="AS12" i="1"/>
  <c r="AU12" i="1" s="1"/>
  <c r="G12" i="1"/>
  <c r="C12" i="1"/>
  <c r="D12" i="1" s="1"/>
  <c r="AJ11" i="1"/>
  <c r="AT11" i="1"/>
  <c r="AS11" i="1"/>
  <c r="AU11" i="1" s="1"/>
  <c r="AI11" i="1"/>
  <c r="C11" i="1"/>
  <c r="D11" i="1" s="1"/>
  <c r="AT10" i="1"/>
  <c r="H10" i="1"/>
  <c r="G10" i="1"/>
  <c r="AS10" i="1"/>
  <c r="AU10" i="1" s="1"/>
  <c r="H9" i="1"/>
  <c r="AT9" i="1"/>
  <c r="AS9" i="1"/>
  <c r="AU9" i="1" s="1"/>
  <c r="G9" i="1"/>
  <c r="H8" i="1"/>
  <c r="AT8" i="1"/>
  <c r="C8" i="1"/>
  <c r="D8" i="1" s="1"/>
  <c r="G8" i="1"/>
  <c r="AS8" i="1"/>
  <c r="AU8" i="1" s="1"/>
  <c r="AT7" i="1"/>
  <c r="H7" i="1"/>
  <c r="G7" i="1"/>
  <c r="AS7" i="1"/>
  <c r="AU7" i="1" s="1"/>
  <c r="C7" i="1"/>
  <c r="D7" i="1" s="1"/>
  <c r="AT6" i="1"/>
  <c r="AV6" i="1" s="1"/>
  <c r="H6" i="1"/>
  <c r="G6" i="1"/>
  <c r="AS6" i="1"/>
  <c r="AU6" i="1" s="1"/>
  <c r="C6" i="1"/>
  <c r="D6" i="1" s="1"/>
  <c r="AT5" i="1"/>
  <c r="H5" i="1"/>
  <c r="C5" i="1"/>
  <c r="D5" i="1" s="1"/>
  <c r="G5" i="1"/>
  <c r="AS5" i="1"/>
  <c r="AU5" i="1" s="1"/>
  <c r="H4" i="1"/>
  <c r="AT4" i="1"/>
  <c r="C4" i="1"/>
  <c r="D4" i="1" s="1"/>
  <c r="G4" i="1"/>
  <c r="AS4" i="1"/>
  <c r="AU4" i="1" s="1"/>
  <c r="AQ3" i="1"/>
  <c r="AO50" i="1"/>
  <c r="AN3" i="1"/>
  <c r="AL50" i="1"/>
  <c r="AM3" i="1"/>
  <c r="AK50" i="1"/>
  <c r="AM50" i="1" s="1"/>
  <c r="AH50" i="1"/>
  <c r="AJ3" i="1"/>
  <c r="AI3" i="1"/>
  <c r="AG50" i="1"/>
  <c r="AI50" i="1" s="1"/>
  <c r="AF3" i="1"/>
  <c r="AD50" i="1"/>
  <c r="AE3" i="1"/>
  <c r="AC50" i="1"/>
  <c r="Z50" i="1"/>
  <c r="AB3" i="1"/>
  <c r="AA3" i="1"/>
  <c r="Y50" i="1"/>
  <c r="V50" i="1"/>
  <c r="X3" i="1"/>
  <c r="U50" i="1"/>
  <c r="W3" i="1"/>
  <c r="R50" i="1"/>
  <c r="T3" i="1"/>
  <c r="S3" i="1"/>
  <c r="Q50" i="1"/>
  <c r="P3" i="1"/>
  <c r="N50" i="1"/>
  <c r="P50" i="1" s="1"/>
  <c r="O3" i="1"/>
  <c r="M50" i="1"/>
  <c r="L3" i="1"/>
  <c r="J50" i="1"/>
  <c r="I50" i="1"/>
  <c r="K3" i="1"/>
  <c r="F50" i="1"/>
  <c r="AT3" i="1"/>
  <c r="H3" i="1"/>
  <c r="AS3" i="1"/>
  <c r="AU3" i="1" s="1"/>
  <c r="G3" i="1"/>
  <c r="C3" i="1"/>
  <c r="D3" i="1" s="1"/>
  <c r="E50" i="1"/>
  <c r="AQ50" i="6" l="1"/>
  <c r="AR50" i="6"/>
  <c r="AE50" i="6"/>
  <c r="AC51" i="6"/>
  <c r="AA50" i="6"/>
  <c r="Y51" i="6"/>
  <c r="W50" i="6"/>
  <c r="U51" i="6"/>
  <c r="S50" i="6"/>
  <c r="Q51" i="6"/>
  <c r="O50" i="6"/>
  <c r="M51" i="6"/>
  <c r="K50" i="6"/>
  <c r="I51" i="6"/>
  <c r="H50" i="6"/>
  <c r="AT50" i="6"/>
  <c r="G50" i="6"/>
  <c r="E51" i="6"/>
  <c r="AS50" i="6"/>
  <c r="AU50" i="6" s="1"/>
  <c r="C50" i="6"/>
  <c r="D50" i="6" s="1"/>
  <c r="AU33" i="6"/>
  <c r="AV32" i="6"/>
  <c r="AV31" i="6"/>
  <c r="AV29" i="6"/>
  <c r="AV28" i="6"/>
  <c r="AV27" i="6"/>
  <c r="AV26" i="6"/>
  <c r="AV25" i="6"/>
  <c r="AV24" i="6"/>
  <c r="AV23" i="6"/>
  <c r="AV22" i="6"/>
  <c r="AV21" i="6"/>
  <c r="AV20" i="6"/>
  <c r="AV18" i="6"/>
  <c r="AV17" i="6"/>
  <c r="AV9" i="6"/>
  <c r="AV8" i="6"/>
  <c r="AV6" i="6"/>
  <c r="X50" i="6"/>
  <c r="AV41" i="6"/>
  <c r="AV39" i="6"/>
  <c r="AV36" i="6"/>
  <c r="AV34" i="6"/>
  <c r="AV12" i="6"/>
  <c r="AV10" i="6"/>
  <c r="AU5" i="6"/>
  <c r="AV4" i="6"/>
  <c r="AJ50" i="6"/>
  <c r="AV16" i="6"/>
  <c r="AV49" i="6"/>
  <c r="AV48" i="6"/>
  <c r="AV47" i="6"/>
  <c r="AV46" i="6"/>
  <c r="AV45" i="6"/>
  <c r="AV44" i="6"/>
  <c r="AV43" i="6"/>
  <c r="AV42" i="6"/>
  <c r="AV40" i="6"/>
  <c r="AV38" i="6"/>
  <c r="AV37" i="6"/>
  <c r="AV35" i="6"/>
  <c r="AV15" i="6"/>
  <c r="AV13" i="6"/>
  <c r="AN50" i="6"/>
  <c r="AF50" i="6"/>
  <c r="T50" i="6"/>
  <c r="AV3" i="6"/>
  <c r="P50" i="6"/>
  <c r="AR50" i="5"/>
  <c r="AQ50" i="5"/>
  <c r="AE50" i="5"/>
  <c r="AC51" i="5"/>
  <c r="AA50" i="5"/>
  <c r="Y51" i="5"/>
  <c r="U51" i="5"/>
  <c r="W50" i="5"/>
  <c r="S50" i="5"/>
  <c r="Q51" i="5"/>
  <c r="O50" i="5"/>
  <c r="M51" i="5"/>
  <c r="K50" i="5"/>
  <c r="I51" i="5"/>
  <c r="H50" i="5"/>
  <c r="AT50" i="5"/>
  <c r="G50" i="5"/>
  <c r="AS50" i="5"/>
  <c r="AU50" i="5" s="1"/>
  <c r="E51" i="5"/>
  <c r="C50" i="5"/>
  <c r="D50" i="5" s="1"/>
  <c r="AV49" i="5"/>
  <c r="AV48" i="5"/>
  <c r="AV47" i="5"/>
  <c r="AV46" i="5"/>
  <c r="AV44" i="5"/>
  <c r="AV43" i="5"/>
  <c r="AV42" i="5"/>
  <c r="AV41" i="5"/>
  <c r="AV33" i="5"/>
  <c r="AV31" i="5"/>
  <c r="AV28" i="5"/>
  <c r="AU27" i="5"/>
  <c r="AV26" i="5"/>
  <c r="AV23" i="5"/>
  <c r="AV12" i="5"/>
  <c r="AV20" i="5"/>
  <c r="AV18" i="5"/>
  <c r="AV17" i="5"/>
  <c r="AV16" i="5"/>
  <c r="AV6" i="5"/>
  <c r="AV4" i="5"/>
  <c r="AN50" i="5"/>
  <c r="AJ50" i="5"/>
  <c r="AF50" i="5"/>
  <c r="AB50" i="5"/>
  <c r="X50" i="5"/>
  <c r="T50" i="5"/>
  <c r="P50" i="5"/>
  <c r="L50" i="5"/>
  <c r="AV3" i="5"/>
  <c r="AV38" i="5"/>
  <c r="AV37" i="5"/>
  <c r="AV36" i="5"/>
  <c r="AV35" i="5"/>
  <c r="AV32" i="5"/>
  <c r="AV29" i="5"/>
  <c r="AV25" i="5"/>
  <c r="AV10" i="5"/>
  <c r="AV9" i="5"/>
  <c r="AV8" i="5"/>
  <c r="AV15" i="5"/>
  <c r="AV24" i="5"/>
  <c r="AV21" i="5"/>
  <c r="AV14" i="5"/>
  <c r="AV13" i="5"/>
  <c r="AU11" i="5"/>
  <c r="AV45" i="5"/>
  <c r="AV39" i="5"/>
  <c r="AV34" i="5"/>
  <c r="AV22" i="5"/>
  <c r="AR50" i="4"/>
  <c r="AQ50" i="4"/>
  <c r="AE50" i="4"/>
  <c r="AC51" i="4"/>
  <c r="AA50" i="4"/>
  <c r="Y51" i="4"/>
  <c r="U51" i="4"/>
  <c r="W50" i="4"/>
  <c r="S50" i="4"/>
  <c r="Q51" i="4"/>
  <c r="O50" i="4"/>
  <c r="M51" i="4"/>
  <c r="K50" i="4"/>
  <c r="I51" i="4"/>
  <c r="AT50" i="4"/>
  <c r="H50" i="4"/>
  <c r="AS50" i="4"/>
  <c r="AU50" i="4" s="1"/>
  <c r="E51" i="4"/>
  <c r="G50" i="4"/>
  <c r="C50" i="4"/>
  <c r="D50" i="4" s="1"/>
  <c r="AV33" i="4"/>
  <c r="AV28" i="4"/>
  <c r="AV3" i="4"/>
  <c r="AU26" i="4"/>
  <c r="AV25" i="4"/>
  <c r="AV24" i="4"/>
  <c r="AV23" i="4"/>
  <c r="AV22" i="4"/>
  <c r="AV21" i="4"/>
  <c r="AV20" i="4"/>
  <c r="AV18" i="4"/>
  <c r="AV17" i="4"/>
  <c r="AV16" i="4"/>
  <c r="AV15" i="4"/>
  <c r="AV14" i="4"/>
  <c r="AV13" i="4"/>
  <c r="AV12" i="4"/>
  <c r="AV11" i="4"/>
  <c r="AV10" i="4"/>
  <c r="AV9" i="4"/>
  <c r="AV8" i="4"/>
  <c r="AV7" i="4"/>
  <c r="AV6" i="4"/>
  <c r="AV5" i="4"/>
  <c r="AV4" i="4"/>
  <c r="AN50" i="4"/>
  <c r="AJ50" i="4"/>
  <c r="AF50" i="4"/>
  <c r="AB50" i="4"/>
  <c r="T50" i="4"/>
  <c r="L50" i="4"/>
  <c r="AV39" i="4"/>
  <c r="X50" i="4"/>
  <c r="P50" i="4"/>
  <c r="AU42" i="4"/>
  <c r="AV32" i="4"/>
  <c r="AU31" i="4"/>
  <c r="AV49" i="4"/>
  <c r="AV48" i="4"/>
  <c r="AV47" i="4"/>
  <c r="AV46" i="4"/>
  <c r="AV45" i="4"/>
  <c r="AV44" i="4"/>
  <c r="AV43" i="4"/>
  <c r="AV41" i="4"/>
  <c r="AV40" i="4"/>
  <c r="AV37" i="4"/>
  <c r="AV36" i="4"/>
  <c r="AV35" i="4"/>
  <c r="AV27" i="4"/>
  <c r="AQ50" i="3"/>
  <c r="AR50" i="3"/>
  <c r="AE50" i="3"/>
  <c r="AC51" i="3"/>
  <c r="AA50" i="3"/>
  <c r="Y51" i="3"/>
  <c r="W50" i="3"/>
  <c r="U51" i="3"/>
  <c r="S50" i="3"/>
  <c r="Q51" i="3"/>
  <c r="O50" i="3"/>
  <c r="M51" i="3"/>
  <c r="K50" i="3"/>
  <c r="I51" i="3"/>
  <c r="H50" i="3"/>
  <c r="AT50" i="3"/>
  <c r="G50" i="3"/>
  <c r="AS50" i="3"/>
  <c r="AU50" i="3" s="1"/>
  <c r="E51" i="3"/>
  <c r="C50" i="3"/>
  <c r="D50" i="3" s="1"/>
  <c r="AV35" i="3"/>
  <c r="AV34" i="3"/>
  <c r="AV33" i="3"/>
  <c r="AV32" i="3"/>
  <c r="AV31" i="3"/>
  <c r="AV29" i="3"/>
  <c r="AV27" i="3"/>
  <c r="AV26" i="3"/>
  <c r="AV25" i="3"/>
  <c r="AV22" i="3"/>
  <c r="AV21" i="3"/>
  <c r="AV20" i="3"/>
  <c r="AV15" i="3"/>
  <c r="AV14" i="3"/>
  <c r="AV13" i="3"/>
  <c r="AV12" i="3"/>
  <c r="AV11" i="3"/>
  <c r="AV5" i="3"/>
  <c r="P50" i="3"/>
  <c r="AV3" i="3"/>
  <c r="AV49" i="3"/>
  <c r="AV48" i="3"/>
  <c r="AV46" i="3"/>
  <c r="AV44" i="3"/>
  <c r="AV43" i="3"/>
  <c r="AV42" i="3"/>
  <c r="AV40" i="3"/>
  <c r="AV38" i="3"/>
  <c r="AV36" i="3"/>
  <c r="AV23" i="3"/>
  <c r="AV18" i="3"/>
  <c r="AV17" i="3"/>
  <c r="AV16" i="3"/>
  <c r="AV9" i="3"/>
  <c r="AV6" i="3"/>
  <c r="X50" i="3"/>
  <c r="AV47" i="3"/>
  <c r="AV45" i="3"/>
  <c r="AV41" i="3"/>
  <c r="AV39" i="3"/>
  <c r="AV37" i="3"/>
  <c r="AV24" i="3"/>
  <c r="AV10" i="3"/>
  <c r="AV8" i="3"/>
  <c r="AV7" i="3"/>
  <c r="AV4" i="3"/>
  <c r="AB50" i="3"/>
  <c r="T50" i="3"/>
  <c r="AQ50" i="2"/>
  <c r="AR50" i="2"/>
  <c r="AE50" i="2"/>
  <c r="AC51" i="2"/>
  <c r="AA50" i="2"/>
  <c r="Y51" i="2"/>
  <c r="W50" i="2"/>
  <c r="U51" i="2"/>
  <c r="S50" i="2"/>
  <c r="Q51" i="2"/>
  <c r="O50" i="2"/>
  <c r="M51" i="2"/>
  <c r="K50" i="2"/>
  <c r="I51" i="2"/>
  <c r="H50" i="2"/>
  <c r="AT50" i="2"/>
  <c r="G50" i="2"/>
  <c r="AS50" i="2"/>
  <c r="AU50" i="2" s="1"/>
  <c r="E51" i="2"/>
  <c r="C50" i="2"/>
  <c r="D50" i="2" s="1"/>
  <c r="AV43" i="2"/>
  <c r="AV40" i="2"/>
  <c r="AV37" i="2"/>
  <c r="AV36" i="2"/>
  <c r="AV34" i="2"/>
  <c r="AV31" i="2"/>
  <c r="AV26" i="2"/>
  <c r="AV24" i="2"/>
  <c r="AV23" i="2"/>
  <c r="AV22" i="2"/>
  <c r="AV21" i="2"/>
  <c r="AV20" i="2"/>
  <c r="AV18" i="2"/>
  <c r="AV17" i="2"/>
  <c r="AV16" i="2"/>
  <c r="AV15" i="2"/>
  <c r="AV14" i="2"/>
  <c r="AV13" i="2"/>
  <c r="AV12" i="2"/>
  <c r="L50" i="2"/>
  <c r="AU3" i="2"/>
  <c r="AV11" i="2"/>
  <c r="AV10" i="2"/>
  <c r="AV9" i="2"/>
  <c r="AV8" i="2"/>
  <c r="AV7" i="2"/>
  <c r="AV6" i="2"/>
  <c r="AV5" i="2"/>
  <c r="AV4" i="2"/>
  <c r="AN50" i="2"/>
  <c r="AJ50" i="2"/>
  <c r="AF50" i="2"/>
  <c r="AB50" i="2"/>
  <c r="X50" i="2"/>
  <c r="T50" i="2"/>
  <c r="AU38" i="2"/>
  <c r="AV33" i="2"/>
  <c r="AV32" i="2"/>
  <c r="AV29" i="2"/>
  <c r="AV27" i="2"/>
  <c r="AV49" i="2"/>
  <c r="AV48" i="2"/>
  <c r="AV47" i="2"/>
  <c r="AV46" i="2"/>
  <c r="AV45" i="2"/>
  <c r="AV44" i="2"/>
  <c r="AV42" i="2"/>
  <c r="AV41" i="2"/>
  <c r="AV39" i="2"/>
  <c r="AV35" i="2"/>
  <c r="AV25" i="2"/>
  <c r="AR50" i="1"/>
  <c r="AQ50" i="1"/>
  <c r="AE50" i="1"/>
  <c r="AC51" i="1"/>
  <c r="Y51" i="1"/>
  <c r="AA50" i="1"/>
  <c r="U51" i="1"/>
  <c r="W50" i="1"/>
  <c r="S50" i="1"/>
  <c r="Q51" i="1"/>
  <c r="O50" i="1"/>
  <c r="M51" i="1"/>
  <c r="K50" i="1"/>
  <c r="I51" i="1"/>
  <c r="H50" i="1"/>
  <c r="AT50" i="1"/>
  <c r="AS50" i="1"/>
  <c r="AU50" i="1" s="1"/>
  <c r="E51" i="1"/>
  <c r="C50" i="1"/>
  <c r="D50" i="1" s="1"/>
  <c r="G50" i="1"/>
  <c r="AV49" i="1"/>
  <c r="AV48" i="1"/>
  <c r="AV47" i="1"/>
  <c r="AV4" i="1"/>
  <c r="AF50" i="1"/>
  <c r="X50" i="1"/>
  <c r="AV46" i="1"/>
  <c r="AV45" i="1"/>
  <c r="AV44" i="1"/>
  <c r="AV43" i="1"/>
  <c r="AV42" i="1"/>
  <c r="AV41" i="1"/>
  <c r="AV15" i="1"/>
  <c r="AV5" i="1"/>
  <c r="AB50" i="1"/>
  <c r="AU40" i="1"/>
  <c r="AU39" i="1"/>
  <c r="AV38" i="1"/>
  <c r="AV37" i="1"/>
  <c r="AV36" i="1"/>
  <c r="AV35" i="1"/>
  <c r="AV34" i="1"/>
  <c r="AV33" i="1"/>
  <c r="AV32" i="1"/>
  <c r="AV31" i="1"/>
  <c r="AV29" i="1"/>
  <c r="AV16" i="1"/>
  <c r="AV8" i="1"/>
  <c r="AU26" i="1"/>
  <c r="AV25" i="1"/>
  <c r="AV23" i="1"/>
  <c r="AV22" i="1"/>
  <c r="AV21" i="1"/>
  <c r="AV20" i="1"/>
  <c r="AV17" i="1"/>
  <c r="AV14" i="1"/>
  <c r="AV13" i="1"/>
  <c r="AV12" i="1"/>
  <c r="AV9" i="1"/>
  <c r="AV7" i="1"/>
  <c r="T50" i="1"/>
  <c r="AJ50" i="1"/>
  <c r="AV11" i="1"/>
  <c r="AV10" i="1"/>
  <c r="AN50" i="1"/>
  <c r="L50" i="1"/>
  <c r="AV3" i="1"/>
  <c r="AV50" i="6" l="1"/>
  <c r="AV50" i="5"/>
  <c r="AV50" i="4"/>
  <c r="AV50" i="3"/>
  <c r="AV50" i="2"/>
  <c r="AV50" i="1"/>
</calcChain>
</file>

<file path=xl/sharedStrings.xml><?xml version="1.0" encoding="utf-8"?>
<sst xmlns="http://schemas.openxmlformats.org/spreadsheetml/2006/main" count="1448" uniqueCount="81">
  <si>
    <t>Centro de Salud</t>
  </si>
  <si>
    <t>Programadas</t>
  </si>
  <si>
    <t>ejecutada</t>
  </si>
  <si>
    <t>% Ejecutadas</t>
  </si>
  <si>
    <t>Consulta Externa</t>
  </si>
  <si>
    <t>Salud Oral</t>
  </si>
  <si>
    <t>Laboratorio</t>
  </si>
  <si>
    <t>Electros</t>
  </si>
  <si>
    <t>RX</t>
  </si>
  <si>
    <t>Ecografias</t>
  </si>
  <si>
    <t>Urgencia</t>
  </si>
  <si>
    <t>Pediatría</t>
  </si>
  <si>
    <t>Medicina Interna</t>
  </si>
  <si>
    <t>Ginecología</t>
  </si>
  <si>
    <t>Total Satisfechos</t>
  </si>
  <si>
    <t>Total Insatisfechos</t>
  </si>
  <si>
    <t>% SATISFECHO TOTAL</t>
  </si>
  <si>
    <t>% INSATISFECHO TOTAL</t>
  </si>
  <si>
    <t>Satisfechos</t>
  </si>
  <si>
    <t>Insatisfechos</t>
  </si>
  <si>
    <t>% satisfaccion</t>
  </si>
  <si>
    <t>% Insatisfechos</t>
  </si>
  <si>
    <t>Arroyo de las Canoas</t>
  </si>
  <si>
    <t>Arroyo de Piedra</t>
  </si>
  <si>
    <t>Arroyo Grande</t>
  </si>
  <si>
    <t>Arroz Barato</t>
  </si>
  <si>
    <t>Bayunca</t>
  </si>
  <si>
    <t>Bicentenario</t>
  </si>
  <si>
    <t>Blasdelezo</t>
  </si>
  <si>
    <t>Bocachica</t>
  </si>
  <si>
    <t>Boquilla</t>
  </si>
  <si>
    <t>Bosque</t>
  </si>
  <si>
    <t>Boston</t>
  </si>
  <si>
    <t>Canapote</t>
  </si>
  <si>
    <t>Candelaria</t>
  </si>
  <si>
    <t>Cano de Oro</t>
  </si>
  <si>
    <t>Daniel Lemaitre</t>
  </si>
  <si>
    <t>Esperanza</t>
  </si>
  <si>
    <t>Fatima</t>
  </si>
  <si>
    <t xml:space="preserve">CONTINGENCIA </t>
  </si>
  <si>
    <t>Foco Rojo</t>
  </si>
  <si>
    <t>Fredonia</t>
  </si>
  <si>
    <t>Gaviotas</t>
  </si>
  <si>
    <t>Isla del Rosario</t>
  </si>
  <si>
    <t>Las Reinas</t>
  </si>
  <si>
    <t>Libano</t>
  </si>
  <si>
    <t>Manzanillo</t>
  </si>
  <si>
    <t>Nelson Mandela UPA</t>
  </si>
  <si>
    <t>Nuevo Bosque</t>
  </si>
  <si>
    <t>Nuevo Porvenir</t>
  </si>
  <si>
    <t>Olaya Herrera</t>
  </si>
  <si>
    <t>Pasacaballos</t>
  </si>
  <si>
    <t>Pontezuela</t>
  </si>
  <si>
    <t>Hospital Pozon</t>
  </si>
  <si>
    <t>Pozon</t>
  </si>
  <si>
    <t>Puerto Rey</t>
  </si>
  <si>
    <t>Punta Arena</t>
  </si>
  <si>
    <t>Punta Canoa</t>
  </si>
  <si>
    <t>San Francisco I</t>
  </si>
  <si>
    <t>San Pedro y Libertad</t>
  </si>
  <si>
    <t>San Vicente de Paul</t>
  </si>
  <si>
    <t>Socorro</t>
  </si>
  <si>
    <t>Ternera</t>
  </si>
  <si>
    <t>Tierra Baja</t>
  </si>
  <si>
    <t>Tierra Bomba</t>
  </si>
  <si>
    <t>Baru</t>
  </si>
  <si>
    <t>Isla Fuerte</t>
  </si>
  <si>
    <t>Los Cerros</t>
  </si>
  <si>
    <t>Islote de San Bernardo</t>
  </si>
  <si>
    <t>Santa Ana</t>
  </si>
  <si>
    <t>COMO CALIFICARIA SU SATISFACCION CON RESPECTO A LOS SERVICIOS RECIBIDOS DE LA INSTITUCIÓN</t>
  </si>
  <si>
    <t>Muy bueno</t>
  </si>
  <si>
    <t>Bueno</t>
  </si>
  <si>
    <t>Regular</t>
  </si>
  <si>
    <t>Malo</t>
  </si>
  <si>
    <t>Muy malo</t>
  </si>
  <si>
    <t>¿recomendaría a sus familiares y amigos esta IPS?</t>
  </si>
  <si>
    <t>Definitivamente sí</t>
  </si>
  <si>
    <t>Probablemente sí</t>
  </si>
  <si>
    <t>Definitivamente no</t>
  </si>
  <si>
    <t>Probablemente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</si>
</sst>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1F1F1F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9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</cellStyleXfs>
  <cellXfs count="11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wrapText="1"/>
    </xf>
    <xf numFmtId="0" fontId="7" fillId="0" borderId="7" xfId="0" applyFont="1" applyBorder="1"/>
    <xf numFmtId="0" fontId="0" fillId="0" borderId="7" xfId="0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9" fontId="8" fillId="4" borderId="7" xfId="1" applyFont="1" applyFill="1" applyBorder="1" applyAlignment="1">
      <alignment horizontal="center" vertical="center"/>
    </xf>
    <xf numFmtId="9" fontId="8" fillId="4" borderId="16" xfId="1" applyFont="1" applyFill="1" applyBorder="1" applyAlignment="1">
      <alignment horizontal="center" vertical="center"/>
    </xf>
    <xf numFmtId="9" fontId="8" fillId="5" borderId="7" xfId="1" applyFont="1" applyFill="1" applyBorder="1" applyAlignment="1">
      <alignment horizontal="center" vertical="center"/>
    </xf>
    <xf numFmtId="164" fontId="5" fillId="4" borderId="16" xfId="0" applyNumberFormat="1" applyFont="1" applyFill="1" applyBorder="1" applyAlignment="1">
      <alignment horizontal="center"/>
    </xf>
    <xf numFmtId="164" fontId="9" fillId="4" borderId="16" xfId="0" applyNumberFormat="1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10" fillId="0" borderId="7" xfId="0" applyFont="1" applyBorder="1"/>
    <xf numFmtId="9" fontId="8" fillId="5" borderId="17" xfId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3" fontId="12" fillId="7" borderId="7" xfId="3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10" fontId="7" fillId="7" borderId="7" xfId="0" applyNumberFormat="1" applyFont="1" applyFill="1" applyBorder="1" applyAlignment="1">
      <alignment horizontal="center"/>
    </xf>
    <xf numFmtId="3" fontId="2" fillId="7" borderId="14" xfId="0" applyNumberFormat="1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10" fontId="13" fillId="4" borderId="7" xfId="1" applyNumberFormat="1" applyFont="1" applyFill="1" applyBorder="1" applyAlignment="1">
      <alignment horizontal="center" vertical="center"/>
    </xf>
    <xf numFmtId="3" fontId="2" fillId="7" borderId="7" xfId="0" applyNumberFormat="1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10" fontId="13" fillId="4" borderId="16" xfId="1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10" fontId="13" fillId="5" borderId="18" xfId="1" applyNumberFormat="1" applyFont="1" applyFill="1" applyBorder="1" applyAlignment="1">
      <alignment horizontal="center" vertical="center"/>
    </xf>
    <xf numFmtId="10" fontId="13" fillId="5" borderId="6" xfId="1" applyNumberFormat="1" applyFon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3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/>
    <xf numFmtId="0" fontId="0" fillId="0" borderId="24" xfId="0" applyBorder="1"/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164" fontId="15" fillId="4" borderId="16" xfId="0" applyNumberFormat="1" applyFont="1" applyFill="1" applyBorder="1" applyAlignment="1">
      <alignment horizontal="center"/>
    </xf>
    <xf numFmtId="10" fontId="8" fillId="4" borderId="7" xfId="1" applyNumberFormat="1" applyFont="1" applyFill="1" applyBorder="1" applyAlignment="1">
      <alignment horizontal="center" vertical="center"/>
    </xf>
    <xf numFmtId="10" fontId="8" fillId="4" borderId="16" xfId="1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10" fontId="16" fillId="5" borderId="18" xfId="1" applyNumberFormat="1" applyFont="1" applyFill="1" applyBorder="1" applyAlignment="1">
      <alignment horizontal="center" vertical="center"/>
    </xf>
    <xf numFmtId="10" fontId="16" fillId="5" borderId="6" xfId="1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7" fillId="7" borderId="7" xfId="0" applyFont="1" applyFill="1" applyBorder="1" applyAlignment="1">
      <alignment horizontal="center"/>
    </xf>
    <xf numFmtId="10" fontId="17" fillId="5" borderId="7" xfId="1" applyNumberFormat="1" applyFont="1" applyFill="1" applyBorder="1" applyAlignment="1">
      <alignment horizontal="center" vertical="center"/>
    </xf>
    <xf numFmtId="0" fontId="10" fillId="0" borderId="17" xfId="0" applyFont="1" applyBorder="1"/>
    <xf numFmtId="0" fontId="0" fillId="0" borderId="17" xfId="0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9" fontId="8" fillId="4" borderId="17" xfId="1" applyFont="1" applyFill="1" applyBorder="1" applyAlignment="1">
      <alignment horizontal="center" vertical="center"/>
    </xf>
    <xf numFmtId="9" fontId="8" fillId="4" borderId="19" xfId="1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3" fontId="12" fillId="7" borderId="26" xfId="3" applyNumberFormat="1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10" fontId="7" fillId="7" borderId="26" xfId="0" applyNumberFormat="1" applyFont="1" applyFill="1" applyBorder="1" applyAlignment="1">
      <alignment horizontal="center"/>
    </xf>
    <xf numFmtId="3" fontId="2" fillId="7" borderId="26" xfId="0" applyNumberFormat="1" applyFont="1" applyFill="1" applyBorder="1" applyAlignment="1">
      <alignment horizontal="center"/>
    </xf>
    <xf numFmtId="0" fontId="2" fillId="7" borderId="26" xfId="0" applyFont="1" applyFill="1" applyBorder="1" applyAlignment="1">
      <alignment horizontal="center"/>
    </xf>
    <xf numFmtId="10" fontId="8" fillId="4" borderId="26" xfId="1" applyNumberFormat="1" applyFont="1" applyFill="1" applyBorder="1" applyAlignment="1">
      <alignment horizontal="center" vertical="center"/>
    </xf>
    <xf numFmtId="3" fontId="2" fillId="7" borderId="26" xfId="0" applyNumberFormat="1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10" fontId="8" fillId="4" borderId="27" xfId="1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10" fontId="18" fillId="5" borderId="26" xfId="1" applyNumberFormat="1" applyFont="1" applyFill="1" applyBorder="1" applyAlignment="1">
      <alignment horizontal="center" vertical="center"/>
    </xf>
    <xf numFmtId="10" fontId="18" fillId="5" borderId="28" xfId="1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29" xfId="0" applyBorder="1" applyAlignment="1">
      <alignment horizontal="center"/>
    </xf>
    <xf numFmtId="10" fontId="13" fillId="5" borderId="7" xfId="1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wrapText="1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</cellXfs>
  <cellStyles count="4">
    <cellStyle name="Millares 2" xfId="3" xr:uid="{A4744FB7-5489-4E4A-BCDD-74447D68F607}"/>
    <cellStyle name="Normal" xfId="0" builtinId="0"/>
    <cellStyle name="Normal 2" xfId="2" xr:uid="{0C061B7A-0B6A-4F03-AD0F-10D205544CB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RTICIPACION%20SOCIAL%202025/INFORMES%20DEL%20AREA/INFORMES%20DE%20SATISFACCION/7.INFORME%20DE%20SATISFACCION%20%20JULIO%202025.xlsx" TargetMode="External"/><Relationship Id="rId2" Type="http://schemas.openxmlformats.org/officeDocument/2006/relationships/externalLinkPath" Target="file:///C:\Users\USUARIO\Desktop\PARTICIPACION%20SOCIAL%202025\INFORMES%20DEL%20AREA\INFORMES%20DE%20SATISFACCION\7.INFORME%20DE%20SATISFACCION%20%20JULIO%202025.xlsx" TargetMode="External"/><Relationship Id="rId1" Type="http://schemas.openxmlformats.org/officeDocument/2006/relationships/externalLinkPath" Target="/Users/USUARIO/Desktop/PARTICIPACION%20SOCIAL%202025/INFORMES%20DEL%20AREA/INFORMES%20DE%20SATISFACCION/7.INFORME%20DE%20SATISFACCION%20%20JULIO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RTICIPACION%20SOCIAL%202025/INFORMES%20DEL%20AREA/INFORMES%20DE%20SATISFACCION/8.%20INFORME%20DE%20SATISFACCION%20%20AGOSTO%202025.xlsx" TargetMode="External"/><Relationship Id="rId2" Type="http://schemas.openxmlformats.org/officeDocument/2006/relationships/externalLinkPath" Target="file:///C:\Users\USUARIO\Desktop\PARTICIPACION%20SOCIAL%202025\INFORMES%20DEL%20AREA\INFORMES%20DE%20SATISFACCION\8.%20INFORME%20DE%20SATISFACCION%20%20AGOSTO%202025.xlsx" TargetMode="External"/><Relationship Id="rId1" Type="http://schemas.openxmlformats.org/officeDocument/2006/relationships/externalLinkPath" Target="/Users/USUARIO/Desktop/PARTICIPACION%20SOCIAL%202025/INFORMES%20DEL%20AREA/INFORMES%20DE%20SATISFACCION/8.%20INFORME%20DE%20SATISFACCION%20%20AGOSTO%202025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RTICIPACION%20SOCIAL%202025/INFORMES%20DEL%20AREA/INFORMES%20DE%20SATISFACCION/9.%20INFORME%20DE%20SATISFACCION%20%20SEPTIEMBRE%202025.xlsx" TargetMode="External"/><Relationship Id="rId2" Type="http://schemas.openxmlformats.org/officeDocument/2006/relationships/externalLinkPath" Target="file:///C:\Users\USUARIO\Desktop\PARTICIPACION%20SOCIAL%202025\INFORMES%20DEL%20AREA\INFORMES%20DE%20SATISFACCION\9.%20INFORME%20DE%20SATISFACCION%20%20SEPTIEMBRE%202025.xlsx" TargetMode="External"/><Relationship Id="rId1" Type="http://schemas.openxmlformats.org/officeDocument/2006/relationships/externalLinkPath" Target="/Users/USUARIO/Desktop/PARTICIPACION%20SOCIAL%202025/INFORMES%20DEL%20AREA/INFORMES%20DE%20SATISFACCION/9.%20INFORME%20DE%20SATISFACCION%20%20SEPTIEMBRE%202025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RTICIPACION%20SOCIAL%202025/INFORMES%20DEL%20AREA/INFORMES%20DE%20SATISFACCION/10.INFORME%20DE%20SATISFACCION%20%20OCTUBRE%202025.xlsx" TargetMode="External"/><Relationship Id="rId2" Type="http://schemas.openxmlformats.org/officeDocument/2006/relationships/externalLinkPath" Target="file:///C:\Users\USUARIO\Desktop\PARTICIPACION%20SOCIAL%202025\INFORMES%20DEL%20AREA\INFORMES%20DE%20SATISFACCION\10.INFORME%20DE%20SATISFACCION%20%20OCTUBRE%202025.xlsx" TargetMode="External"/><Relationship Id="rId1" Type="http://schemas.openxmlformats.org/officeDocument/2006/relationships/externalLinkPath" Target="/Users/USUARIO/Desktop/PARTICIPACION%20SOCIAL%202025/INFORMES%20DEL%20AREA/INFORMES%20DE%20SATISFACCION/10.INFORME%20DE%20SATISFACCION%20%20OCTUBRE%202025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RTICIPACION%20SOCIAL%202025/INFORMES%20DEL%20AREA/INFORMES%20DE%20SATISFACCION/11.%20INFORME%20DE%20SATISFACCION%20%20NOVIEMBRE%202025.xlsx" TargetMode="External"/><Relationship Id="rId2" Type="http://schemas.openxmlformats.org/officeDocument/2006/relationships/externalLinkPath" Target="file:///C:\Users\USUARIO\Desktop\PARTICIPACION%20SOCIAL%202025\INFORMES%20DEL%20AREA\INFORMES%20DE%20SATISFACCION\11.%20INFORME%20DE%20SATISFACCION%20%20NOVIEMBRE%202025.xlsx" TargetMode="External"/><Relationship Id="rId1" Type="http://schemas.openxmlformats.org/officeDocument/2006/relationships/externalLinkPath" Target="/Users/USUARIO/Desktop/PARTICIPACION%20SOCIAL%202025/INFORMES%20DEL%20AREA/INFORMES%20DE%20SATISFACCION/11.%20INFORME%20DE%20SATISFACCION%20%20NOVIEMBRE%202025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../PARTICIPACION%20SOCIAL%202025/INFORMES%20DEL%20AREA/INFORMES%20DE%20SATISFACCION/12.%20INFORME%20DE%20SATISFACCION%20%20DICIEMBRE%202025.xlsx" TargetMode="External"/><Relationship Id="rId2" Type="http://schemas.openxmlformats.org/officeDocument/2006/relationships/externalLinkPath" Target="file:///C:\Users\USUARIO\Desktop\PARTICIPACION%20SOCIAL%202025\INFORMES%20DEL%20AREA\INFORMES%20DE%20SATISFACCION\12.%20INFORME%20DE%20SATISFACCION%20%20DICIEMBRE%202025.xlsx" TargetMode="External"/><Relationship Id="rId1" Type="http://schemas.openxmlformats.org/officeDocument/2006/relationships/externalLinkPath" Target="/Users/USUARIO/Desktop/PARTICIPACION%20SOCIAL%202025/INFORMES%20DEL%20AREA/INFORMES%20DE%20SATISFACCION/12.%20INFORME%20DE%20SATISFACCION%20%20DICIEMBRE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atisfaccionServicio"/>
      <sheetName val="SatisfaccionEPS"/>
      <sheetName val="N. GLOBAL"/>
      <sheetName val="RECOMENDARIA IPS"/>
      <sheetName val="INF DEBERES Y D"/>
      <sheetName val="DEBERES Y DERECHOS"/>
      <sheetName val="InfCualitativ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J1" t="str">
            <v>COMO CALIFICARIA SU SATISFACCION CON RESPECTO A LOS SERVICIOS RECIBIDOS DE LA INSTITUCIÓN</v>
          </cell>
          <cell r="K1" t="str">
            <v>RECOMENDARIA A SUS FAMILIARES Y AMIGOS LA ESE HLCI</v>
          </cell>
        </row>
        <row r="3">
          <cell r="B3" t="str">
            <v>puntaje</v>
          </cell>
          <cell r="E3" t="str">
            <v>centrosalud</v>
          </cell>
          <cell r="H3" t="str">
            <v>servicio</v>
          </cell>
          <cell r="J3" t="str">
            <v>pregunta1</v>
          </cell>
          <cell r="K3" t="str">
            <v>pregunta2</v>
          </cell>
        </row>
        <row r="4">
          <cell r="B4" t="b">
            <v>1</v>
          </cell>
          <cell r="E4" t="str">
            <v>Gaviotas</v>
          </cell>
          <cell r="H4" t="str">
            <v>consulta_externa</v>
          </cell>
          <cell r="J4" t="str">
            <v>bueno</v>
          </cell>
          <cell r="K4" t="str">
            <v>defsi</v>
          </cell>
        </row>
        <row r="5">
          <cell r="B5" t="b">
            <v>1</v>
          </cell>
          <cell r="E5" t="str">
            <v>San Vicente de Paul</v>
          </cell>
          <cell r="H5" t="str">
            <v>consulta_externa</v>
          </cell>
          <cell r="J5" t="str">
            <v>bueno</v>
          </cell>
          <cell r="K5" t="str">
            <v>defsi</v>
          </cell>
        </row>
        <row r="6">
          <cell r="B6" t="b">
            <v>1</v>
          </cell>
          <cell r="E6" t="str">
            <v>San Vicente de Paul</v>
          </cell>
          <cell r="H6" t="str">
            <v>salud_oral</v>
          </cell>
          <cell r="J6" t="str">
            <v>bueno</v>
          </cell>
          <cell r="K6" t="str">
            <v>defsi</v>
          </cell>
        </row>
        <row r="7">
          <cell r="B7" t="b">
            <v>1</v>
          </cell>
          <cell r="E7" t="str">
            <v>San Vicente de Paul</v>
          </cell>
          <cell r="H7" t="str">
            <v>laboratorio</v>
          </cell>
          <cell r="J7" t="str">
            <v>bueno</v>
          </cell>
          <cell r="K7" t="str">
            <v>defsi</v>
          </cell>
        </row>
        <row r="8">
          <cell r="B8" t="b">
            <v>1</v>
          </cell>
          <cell r="E8" t="str">
            <v>San Vicente de Paul</v>
          </cell>
          <cell r="H8" t="str">
            <v>consulta_externa</v>
          </cell>
          <cell r="J8" t="str">
            <v>bueno</v>
          </cell>
          <cell r="K8" t="str">
            <v>defsi</v>
          </cell>
        </row>
        <row r="9">
          <cell r="B9" t="b">
            <v>1</v>
          </cell>
          <cell r="E9" t="str">
            <v>San Vicente de Paul</v>
          </cell>
          <cell r="H9" t="str">
            <v>salud_oral</v>
          </cell>
          <cell r="J9" t="str">
            <v>bueno</v>
          </cell>
          <cell r="K9" t="str">
            <v>defsi</v>
          </cell>
        </row>
        <row r="10">
          <cell r="B10" t="b">
            <v>1</v>
          </cell>
          <cell r="E10" t="str">
            <v>San Vicente de Paul</v>
          </cell>
          <cell r="H10" t="str">
            <v>laboratorio</v>
          </cell>
          <cell r="J10" t="str">
            <v>bueno</v>
          </cell>
          <cell r="K10" t="str">
            <v>defsi</v>
          </cell>
        </row>
        <row r="11">
          <cell r="B11" t="b">
            <v>1</v>
          </cell>
          <cell r="E11" t="str">
            <v>San Vicente de Paul</v>
          </cell>
          <cell r="H11" t="str">
            <v>consulta_externa</v>
          </cell>
          <cell r="J11" t="str">
            <v>bueno</v>
          </cell>
          <cell r="K11" t="str">
            <v>defsi</v>
          </cell>
        </row>
        <row r="12">
          <cell r="B12" t="b">
            <v>1</v>
          </cell>
          <cell r="E12" t="str">
            <v>Gaviotas</v>
          </cell>
          <cell r="H12" t="str">
            <v>consulta_externa</v>
          </cell>
          <cell r="J12" t="str">
            <v>bueno</v>
          </cell>
          <cell r="K12" t="str">
            <v>defsi</v>
          </cell>
        </row>
        <row r="13">
          <cell r="B13" t="b">
            <v>1</v>
          </cell>
          <cell r="E13" t="str">
            <v>San Vicente de Paul</v>
          </cell>
          <cell r="H13" t="str">
            <v>salud_oral</v>
          </cell>
          <cell r="J13" t="str">
            <v>bueno</v>
          </cell>
          <cell r="K13" t="str">
            <v>defsi</v>
          </cell>
        </row>
        <row r="14">
          <cell r="B14" t="b">
            <v>1</v>
          </cell>
          <cell r="E14" t="str">
            <v>Gaviotas</v>
          </cell>
          <cell r="H14" t="str">
            <v>salud_oral</v>
          </cell>
          <cell r="J14" t="str">
            <v>bueno</v>
          </cell>
          <cell r="K14" t="str">
            <v>defsi</v>
          </cell>
        </row>
        <row r="15">
          <cell r="B15" t="b">
            <v>1</v>
          </cell>
          <cell r="E15" t="str">
            <v>San Vicente de Paul</v>
          </cell>
          <cell r="H15" t="str">
            <v>laboratorio</v>
          </cell>
          <cell r="J15" t="str">
            <v>bueno</v>
          </cell>
          <cell r="K15" t="str">
            <v>defsi</v>
          </cell>
        </row>
        <row r="16">
          <cell r="B16" t="b">
            <v>1</v>
          </cell>
          <cell r="E16" t="str">
            <v>Gaviotas</v>
          </cell>
          <cell r="H16" t="str">
            <v>salud_oral</v>
          </cell>
          <cell r="J16" t="str">
            <v>bueno</v>
          </cell>
          <cell r="K16" t="str">
            <v>defsi</v>
          </cell>
        </row>
        <row r="17">
          <cell r="B17" t="b">
            <v>1</v>
          </cell>
          <cell r="E17" t="str">
            <v>Gaviotas</v>
          </cell>
          <cell r="H17" t="str">
            <v>consulta_externa</v>
          </cell>
          <cell r="J17" t="str">
            <v>bueno</v>
          </cell>
          <cell r="K17" t="str">
            <v>defsi</v>
          </cell>
        </row>
        <row r="18">
          <cell r="B18" t="b">
            <v>1</v>
          </cell>
          <cell r="E18" t="str">
            <v>Gaviotas</v>
          </cell>
          <cell r="H18" t="str">
            <v>laboratorio</v>
          </cell>
          <cell r="J18" t="str">
            <v>muybueno</v>
          </cell>
          <cell r="K18" t="str">
            <v>defsi</v>
          </cell>
        </row>
        <row r="19">
          <cell r="B19" t="b">
            <v>1</v>
          </cell>
          <cell r="E19" t="str">
            <v>Gaviotas</v>
          </cell>
          <cell r="H19" t="str">
            <v>salud_oral</v>
          </cell>
          <cell r="J19" t="str">
            <v>bueno</v>
          </cell>
          <cell r="K19" t="str">
            <v>defsi</v>
          </cell>
        </row>
        <row r="20">
          <cell r="B20" t="b">
            <v>1</v>
          </cell>
          <cell r="E20" t="str">
            <v>Gaviotas</v>
          </cell>
          <cell r="H20" t="str">
            <v>consulta_externa</v>
          </cell>
          <cell r="J20" t="str">
            <v>bueno</v>
          </cell>
          <cell r="K20" t="str">
            <v>defsi</v>
          </cell>
        </row>
        <row r="21">
          <cell r="B21" t="b">
            <v>1</v>
          </cell>
          <cell r="E21" t="str">
            <v>Gaviotas</v>
          </cell>
          <cell r="H21" t="str">
            <v>salud_oral</v>
          </cell>
          <cell r="J21" t="str">
            <v>bueno</v>
          </cell>
          <cell r="K21" t="str">
            <v>defsi</v>
          </cell>
        </row>
        <row r="22">
          <cell r="B22" t="b">
            <v>1</v>
          </cell>
          <cell r="E22" t="str">
            <v>Gaviotas</v>
          </cell>
          <cell r="H22" t="str">
            <v>laboratorio</v>
          </cell>
          <cell r="J22" t="str">
            <v>bueno</v>
          </cell>
          <cell r="K22" t="str">
            <v>defsi</v>
          </cell>
        </row>
        <row r="23">
          <cell r="B23" t="b">
            <v>1</v>
          </cell>
          <cell r="E23" t="str">
            <v>San Vicente de Paul</v>
          </cell>
          <cell r="H23" t="str">
            <v>salud_oral</v>
          </cell>
          <cell r="J23" t="str">
            <v>bueno</v>
          </cell>
          <cell r="K23" t="str">
            <v>defsi</v>
          </cell>
        </row>
        <row r="24">
          <cell r="B24" t="b">
            <v>1</v>
          </cell>
          <cell r="E24" t="str">
            <v>Gaviotas</v>
          </cell>
          <cell r="H24" t="str">
            <v>laboratorio</v>
          </cell>
          <cell r="J24" t="str">
            <v>bueno</v>
          </cell>
          <cell r="K24" t="str">
            <v>defsi</v>
          </cell>
        </row>
        <row r="25">
          <cell r="B25" t="b">
            <v>1</v>
          </cell>
          <cell r="E25" t="str">
            <v>Gaviotas</v>
          </cell>
          <cell r="H25" t="str">
            <v>salud_oral</v>
          </cell>
          <cell r="J25" t="str">
            <v>bueno</v>
          </cell>
          <cell r="K25" t="str">
            <v>defsi</v>
          </cell>
        </row>
        <row r="26">
          <cell r="B26" t="b">
            <v>1</v>
          </cell>
          <cell r="E26" t="str">
            <v>Gaviotas</v>
          </cell>
          <cell r="H26" t="str">
            <v>consulta_externa</v>
          </cell>
          <cell r="J26" t="str">
            <v>bueno</v>
          </cell>
          <cell r="K26" t="str">
            <v>defsi</v>
          </cell>
        </row>
        <row r="27">
          <cell r="B27" t="b">
            <v>1</v>
          </cell>
          <cell r="E27" t="str">
            <v>Gaviotas</v>
          </cell>
          <cell r="H27" t="str">
            <v>consulta_externa</v>
          </cell>
          <cell r="J27" t="str">
            <v>bueno</v>
          </cell>
          <cell r="K27" t="str">
            <v>defsi</v>
          </cell>
        </row>
        <row r="28">
          <cell r="B28" t="b">
            <v>1</v>
          </cell>
          <cell r="E28" t="str">
            <v>Arroz Barato</v>
          </cell>
          <cell r="H28" t="str">
            <v>consulta_externa</v>
          </cell>
          <cell r="J28" t="str">
            <v>bueno</v>
          </cell>
          <cell r="K28" t="str">
            <v>probsi</v>
          </cell>
        </row>
        <row r="29">
          <cell r="B29" t="b">
            <v>1</v>
          </cell>
          <cell r="E29" t="str">
            <v>Arroz Barato</v>
          </cell>
          <cell r="H29" t="str">
            <v>consulta_externa</v>
          </cell>
          <cell r="J29" t="str">
            <v>bueno</v>
          </cell>
          <cell r="K29" t="str">
            <v>probsi</v>
          </cell>
        </row>
        <row r="30">
          <cell r="B30" t="b">
            <v>1</v>
          </cell>
          <cell r="E30" t="str">
            <v>Gaviotas</v>
          </cell>
          <cell r="H30" t="str">
            <v>consulta_externa</v>
          </cell>
          <cell r="J30" t="str">
            <v>bueno</v>
          </cell>
          <cell r="K30" t="str">
            <v>defsi</v>
          </cell>
        </row>
        <row r="31">
          <cell r="B31" t="b">
            <v>1</v>
          </cell>
          <cell r="E31" t="str">
            <v>Arroz Barato</v>
          </cell>
          <cell r="H31" t="str">
            <v>consulta_externa</v>
          </cell>
          <cell r="J31" t="str">
            <v>bueno</v>
          </cell>
          <cell r="K31" t="str">
            <v>probsi</v>
          </cell>
        </row>
        <row r="32">
          <cell r="B32" t="b">
            <v>1</v>
          </cell>
          <cell r="E32" t="str">
            <v>Gaviotas</v>
          </cell>
          <cell r="H32" t="str">
            <v>consulta_externa</v>
          </cell>
          <cell r="J32" t="str">
            <v>bueno</v>
          </cell>
          <cell r="K32" t="str">
            <v>defsi</v>
          </cell>
        </row>
        <row r="33">
          <cell r="B33" t="b">
            <v>1</v>
          </cell>
          <cell r="E33" t="str">
            <v>Arroz Barato</v>
          </cell>
          <cell r="H33" t="str">
            <v>consulta_externa</v>
          </cell>
          <cell r="J33" t="str">
            <v>bueno</v>
          </cell>
          <cell r="K33" t="str">
            <v>probsi</v>
          </cell>
        </row>
        <row r="34">
          <cell r="B34" t="b">
            <v>1</v>
          </cell>
          <cell r="E34" t="str">
            <v>Arroz Barato</v>
          </cell>
          <cell r="H34" t="str">
            <v>consulta_externa</v>
          </cell>
          <cell r="J34" t="str">
            <v>bueno</v>
          </cell>
          <cell r="K34" t="str">
            <v>probsi</v>
          </cell>
        </row>
        <row r="35">
          <cell r="B35" t="b">
            <v>1</v>
          </cell>
          <cell r="E35" t="str">
            <v>Arroz Barato</v>
          </cell>
          <cell r="H35" t="str">
            <v>consulta_externa</v>
          </cell>
          <cell r="J35" t="str">
            <v>bueno</v>
          </cell>
          <cell r="K35" t="str">
            <v>probsi</v>
          </cell>
        </row>
        <row r="36">
          <cell r="B36" t="b">
            <v>1</v>
          </cell>
          <cell r="E36" t="str">
            <v>Arroz Barato</v>
          </cell>
          <cell r="H36" t="str">
            <v>salud_oral</v>
          </cell>
          <cell r="J36" t="str">
            <v>bueno</v>
          </cell>
          <cell r="K36" t="str">
            <v>probsi</v>
          </cell>
        </row>
        <row r="37">
          <cell r="B37" t="b">
            <v>1</v>
          </cell>
          <cell r="E37" t="str">
            <v>Arroz Barato</v>
          </cell>
          <cell r="H37" t="str">
            <v>salud_oral</v>
          </cell>
          <cell r="J37" t="str">
            <v>bueno</v>
          </cell>
          <cell r="K37" t="str">
            <v>probsi</v>
          </cell>
        </row>
        <row r="38">
          <cell r="B38" t="b">
            <v>1</v>
          </cell>
          <cell r="E38" t="str">
            <v>Arroz Barato</v>
          </cell>
          <cell r="H38" t="str">
            <v>consulta_externa</v>
          </cell>
          <cell r="J38" t="str">
            <v>bueno</v>
          </cell>
          <cell r="K38" t="str">
            <v>probsi</v>
          </cell>
        </row>
        <row r="39">
          <cell r="B39" t="b">
            <v>1</v>
          </cell>
          <cell r="E39" t="str">
            <v>Gaviotas</v>
          </cell>
          <cell r="H39" t="str">
            <v>consulta_externa</v>
          </cell>
          <cell r="J39" t="str">
            <v>bueno</v>
          </cell>
          <cell r="K39" t="str">
            <v>defsi</v>
          </cell>
        </row>
        <row r="40">
          <cell r="B40" t="b">
            <v>1</v>
          </cell>
          <cell r="E40" t="str">
            <v>Gaviotas</v>
          </cell>
          <cell r="H40" t="str">
            <v>laboratorio</v>
          </cell>
          <cell r="J40" t="str">
            <v>bueno</v>
          </cell>
          <cell r="K40" t="str">
            <v>defsi</v>
          </cell>
        </row>
        <row r="41">
          <cell r="B41" t="b">
            <v>1</v>
          </cell>
          <cell r="E41" t="str">
            <v>Gaviotas</v>
          </cell>
          <cell r="H41" t="str">
            <v>laboratorio</v>
          </cell>
          <cell r="J41" t="str">
            <v>bueno</v>
          </cell>
          <cell r="K41" t="str">
            <v>defsi</v>
          </cell>
        </row>
        <row r="42">
          <cell r="B42" t="b">
            <v>1</v>
          </cell>
          <cell r="E42" t="str">
            <v>Gaviotas</v>
          </cell>
          <cell r="H42" t="str">
            <v>laboratorio</v>
          </cell>
          <cell r="J42" t="str">
            <v>bueno</v>
          </cell>
          <cell r="K42" t="str">
            <v>defsi</v>
          </cell>
        </row>
        <row r="43">
          <cell r="B43" t="b">
            <v>1</v>
          </cell>
          <cell r="E43" t="str">
            <v>Arroz Barato</v>
          </cell>
          <cell r="H43" t="str">
            <v>consulta_externa</v>
          </cell>
          <cell r="J43" t="str">
            <v>bueno</v>
          </cell>
          <cell r="K43" t="str">
            <v>probsi</v>
          </cell>
        </row>
        <row r="44">
          <cell r="B44" t="b">
            <v>1</v>
          </cell>
          <cell r="E44" t="str">
            <v>San Vicente de Paul</v>
          </cell>
          <cell r="H44" t="str">
            <v>salud_oral</v>
          </cell>
          <cell r="J44" t="str">
            <v>bueno</v>
          </cell>
          <cell r="K44" t="str">
            <v>defsi</v>
          </cell>
        </row>
        <row r="45">
          <cell r="B45" t="b">
            <v>1</v>
          </cell>
          <cell r="E45" t="str">
            <v>Arroz Barato</v>
          </cell>
          <cell r="H45" t="str">
            <v>laboratorio</v>
          </cell>
          <cell r="J45" t="str">
            <v>bueno</v>
          </cell>
          <cell r="K45" t="str">
            <v>probsi</v>
          </cell>
        </row>
        <row r="46">
          <cell r="B46" t="b">
            <v>1</v>
          </cell>
          <cell r="E46" t="str">
            <v>Arroz Barato</v>
          </cell>
          <cell r="H46" t="str">
            <v>laboratorio</v>
          </cell>
          <cell r="J46" t="str">
            <v>bueno</v>
          </cell>
          <cell r="K46" t="str">
            <v>probsi</v>
          </cell>
        </row>
        <row r="47">
          <cell r="B47" t="b">
            <v>1</v>
          </cell>
          <cell r="E47" t="str">
            <v>San Vicente de Paul</v>
          </cell>
          <cell r="H47" t="str">
            <v>laboratorio</v>
          </cell>
          <cell r="J47" t="str">
            <v>bueno</v>
          </cell>
          <cell r="K47" t="str">
            <v>defsi</v>
          </cell>
        </row>
        <row r="48">
          <cell r="B48" t="b">
            <v>1</v>
          </cell>
          <cell r="E48" t="str">
            <v>Arroz Barato</v>
          </cell>
          <cell r="H48" t="str">
            <v>laboratorio</v>
          </cell>
          <cell r="J48" t="str">
            <v>bueno</v>
          </cell>
          <cell r="K48" t="str">
            <v>probsi</v>
          </cell>
        </row>
        <row r="49">
          <cell r="B49" t="b">
            <v>1</v>
          </cell>
          <cell r="E49" t="str">
            <v>Arroz Barato</v>
          </cell>
          <cell r="H49" t="str">
            <v>laboratorio</v>
          </cell>
          <cell r="J49" t="str">
            <v>bueno</v>
          </cell>
          <cell r="K49" t="str">
            <v>probsi</v>
          </cell>
        </row>
        <row r="50">
          <cell r="B50" t="b">
            <v>1</v>
          </cell>
          <cell r="E50" t="str">
            <v>Arroz Barato</v>
          </cell>
          <cell r="H50" t="str">
            <v>laboratorio</v>
          </cell>
          <cell r="J50" t="str">
            <v>bueno</v>
          </cell>
          <cell r="K50" t="str">
            <v>probsi</v>
          </cell>
        </row>
        <row r="51">
          <cell r="B51" t="b">
            <v>1</v>
          </cell>
          <cell r="E51" t="str">
            <v>Arroz Barato</v>
          </cell>
          <cell r="H51" t="str">
            <v>laboratorio</v>
          </cell>
          <cell r="J51" t="str">
            <v>bueno</v>
          </cell>
          <cell r="K51" t="str">
            <v>probsi</v>
          </cell>
        </row>
        <row r="52">
          <cell r="B52" t="b">
            <v>1</v>
          </cell>
          <cell r="E52" t="str">
            <v>San Vicente de Paul</v>
          </cell>
          <cell r="H52" t="str">
            <v>consulta_externa</v>
          </cell>
          <cell r="J52" t="str">
            <v>bueno</v>
          </cell>
          <cell r="K52" t="str">
            <v>defsi</v>
          </cell>
        </row>
        <row r="53">
          <cell r="B53" t="b">
            <v>1</v>
          </cell>
          <cell r="E53" t="str">
            <v>Arroz Barato</v>
          </cell>
          <cell r="H53" t="str">
            <v>consulta_externa</v>
          </cell>
          <cell r="J53" t="str">
            <v>bueno</v>
          </cell>
          <cell r="K53" t="str">
            <v>probsi</v>
          </cell>
        </row>
        <row r="54">
          <cell r="B54" t="b">
            <v>1</v>
          </cell>
          <cell r="E54" t="str">
            <v>Gaviotas</v>
          </cell>
          <cell r="H54" t="str">
            <v>laboratorio</v>
          </cell>
          <cell r="J54" t="str">
            <v>bueno</v>
          </cell>
          <cell r="K54" t="str">
            <v>defsi</v>
          </cell>
        </row>
        <row r="55">
          <cell r="B55" t="b">
            <v>1</v>
          </cell>
          <cell r="E55" t="str">
            <v>Gaviotas</v>
          </cell>
          <cell r="H55" t="str">
            <v>laboratorio</v>
          </cell>
          <cell r="J55" t="str">
            <v>bueno</v>
          </cell>
          <cell r="K55" t="str">
            <v>defsi</v>
          </cell>
        </row>
        <row r="56">
          <cell r="B56" t="b">
            <v>0</v>
          </cell>
          <cell r="E56" t="str">
            <v>Arroz Barato</v>
          </cell>
          <cell r="H56" t="str">
            <v>salud_oral</v>
          </cell>
          <cell r="J56" t="str">
            <v>regular</v>
          </cell>
          <cell r="K56" t="str">
            <v>probsi</v>
          </cell>
        </row>
        <row r="57">
          <cell r="B57" t="b">
            <v>1</v>
          </cell>
          <cell r="E57" t="str">
            <v>San Vicente de Paul</v>
          </cell>
          <cell r="H57" t="str">
            <v>salud_oral</v>
          </cell>
          <cell r="J57" t="str">
            <v>bueno</v>
          </cell>
          <cell r="K57" t="str">
            <v>defsi</v>
          </cell>
        </row>
        <row r="58">
          <cell r="B58" t="b">
            <v>0</v>
          </cell>
          <cell r="E58" t="str">
            <v>Arroz Barato</v>
          </cell>
          <cell r="H58" t="str">
            <v>salud_oral</v>
          </cell>
          <cell r="J58" t="str">
            <v>regular</v>
          </cell>
          <cell r="K58" t="str">
            <v>probsi</v>
          </cell>
        </row>
        <row r="59">
          <cell r="B59" t="b">
            <v>1</v>
          </cell>
          <cell r="E59" t="str">
            <v>Gaviotas</v>
          </cell>
          <cell r="H59" t="str">
            <v>laboratorio</v>
          </cell>
          <cell r="J59" t="str">
            <v>bueno</v>
          </cell>
          <cell r="K59" t="str">
            <v>defsi</v>
          </cell>
        </row>
        <row r="60">
          <cell r="B60" t="b">
            <v>1</v>
          </cell>
          <cell r="E60" t="str">
            <v>Gaviotas</v>
          </cell>
          <cell r="H60" t="str">
            <v>salud_oral</v>
          </cell>
          <cell r="J60" t="str">
            <v>bueno</v>
          </cell>
          <cell r="K60" t="str">
            <v>defsi</v>
          </cell>
        </row>
        <row r="61">
          <cell r="B61" t="b">
            <v>1</v>
          </cell>
          <cell r="E61" t="str">
            <v>San Vicente de Paul</v>
          </cell>
          <cell r="H61" t="str">
            <v>laboratorio</v>
          </cell>
          <cell r="J61" t="str">
            <v>bueno</v>
          </cell>
          <cell r="K61" t="str">
            <v>defsi</v>
          </cell>
        </row>
        <row r="62">
          <cell r="B62" t="b">
            <v>1</v>
          </cell>
          <cell r="E62" t="str">
            <v>Gaviotas</v>
          </cell>
          <cell r="H62" t="str">
            <v>salud_oral</v>
          </cell>
          <cell r="J62" t="str">
            <v>bueno</v>
          </cell>
          <cell r="K62" t="str">
            <v>defsi</v>
          </cell>
        </row>
        <row r="63">
          <cell r="B63" t="b">
            <v>1</v>
          </cell>
          <cell r="E63" t="str">
            <v>Gaviotas</v>
          </cell>
          <cell r="H63" t="str">
            <v>consulta_externa</v>
          </cell>
          <cell r="J63" t="str">
            <v>bueno</v>
          </cell>
          <cell r="K63" t="str">
            <v>defsi</v>
          </cell>
        </row>
        <row r="64">
          <cell r="B64" t="b">
            <v>1</v>
          </cell>
          <cell r="E64" t="str">
            <v>Gaviotas</v>
          </cell>
          <cell r="H64" t="str">
            <v>salud_oral</v>
          </cell>
          <cell r="J64" t="str">
            <v>bueno</v>
          </cell>
          <cell r="K64" t="str">
            <v>defsi</v>
          </cell>
        </row>
        <row r="65">
          <cell r="B65" t="b">
            <v>1</v>
          </cell>
          <cell r="E65" t="str">
            <v>Arroz Barato</v>
          </cell>
          <cell r="H65" t="str">
            <v>consulta_externa</v>
          </cell>
          <cell r="J65" t="str">
            <v>bueno</v>
          </cell>
          <cell r="K65" t="str">
            <v>probsi</v>
          </cell>
        </row>
        <row r="66">
          <cell r="B66" t="b">
            <v>1</v>
          </cell>
          <cell r="E66" t="str">
            <v>Arroz Barato</v>
          </cell>
          <cell r="H66" t="str">
            <v>salud_oral</v>
          </cell>
          <cell r="J66" t="str">
            <v>bueno</v>
          </cell>
          <cell r="K66" t="str">
            <v>probsi</v>
          </cell>
        </row>
        <row r="67">
          <cell r="B67" t="b">
            <v>1</v>
          </cell>
          <cell r="E67" t="str">
            <v>Arroz Barato</v>
          </cell>
          <cell r="H67" t="str">
            <v>salud_oral</v>
          </cell>
          <cell r="J67" t="str">
            <v>bueno</v>
          </cell>
          <cell r="K67" t="str">
            <v>probsi</v>
          </cell>
        </row>
        <row r="68">
          <cell r="B68" t="b">
            <v>1</v>
          </cell>
          <cell r="E68" t="str">
            <v>Arroz Barato</v>
          </cell>
          <cell r="H68" t="str">
            <v>salud_oral</v>
          </cell>
          <cell r="J68" t="str">
            <v>bueno</v>
          </cell>
          <cell r="K68" t="str">
            <v>probsi</v>
          </cell>
        </row>
        <row r="69">
          <cell r="B69" t="b">
            <v>1</v>
          </cell>
          <cell r="E69" t="str">
            <v>Arroz Barato</v>
          </cell>
          <cell r="H69" t="str">
            <v>salud_oral</v>
          </cell>
          <cell r="J69" t="str">
            <v>bueno</v>
          </cell>
          <cell r="K69" t="str">
            <v>probsi</v>
          </cell>
        </row>
        <row r="70">
          <cell r="B70" t="b">
            <v>1</v>
          </cell>
          <cell r="E70" t="str">
            <v>Arroz Barato</v>
          </cell>
          <cell r="H70" t="str">
            <v>salud_oral</v>
          </cell>
          <cell r="J70" t="str">
            <v>bueno</v>
          </cell>
          <cell r="K70" t="str">
            <v>probsi</v>
          </cell>
        </row>
        <row r="71">
          <cell r="B71" t="b">
            <v>1</v>
          </cell>
          <cell r="E71" t="str">
            <v>San Vicente de Paul</v>
          </cell>
          <cell r="H71" t="str">
            <v>consulta_externa</v>
          </cell>
          <cell r="J71" t="str">
            <v>bueno</v>
          </cell>
          <cell r="K71" t="str">
            <v>defsi</v>
          </cell>
        </row>
        <row r="72">
          <cell r="B72" t="b">
            <v>1</v>
          </cell>
          <cell r="E72" t="str">
            <v>San Vicente de Paul</v>
          </cell>
          <cell r="H72" t="str">
            <v>salud_oral</v>
          </cell>
          <cell r="J72" t="str">
            <v>bueno</v>
          </cell>
          <cell r="K72" t="str">
            <v>defsi</v>
          </cell>
        </row>
        <row r="73">
          <cell r="B73" t="b">
            <v>1</v>
          </cell>
          <cell r="E73" t="str">
            <v>San Vicente de Paul</v>
          </cell>
          <cell r="H73" t="str">
            <v>consulta_externa</v>
          </cell>
          <cell r="J73" t="str">
            <v>bueno</v>
          </cell>
          <cell r="K73" t="str">
            <v>defsi</v>
          </cell>
        </row>
        <row r="74">
          <cell r="B74" t="b">
            <v>1</v>
          </cell>
          <cell r="E74" t="str">
            <v>San Vicente de Paul</v>
          </cell>
          <cell r="H74" t="str">
            <v>consulta_externa</v>
          </cell>
          <cell r="J74" t="str">
            <v>bueno</v>
          </cell>
          <cell r="K74" t="str">
            <v>defsi</v>
          </cell>
        </row>
        <row r="75">
          <cell r="B75" t="b">
            <v>1</v>
          </cell>
          <cell r="E75" t="str">
            <v>San Vicente de Paul</v>
          </cell>
          <cell r="H75" t="str">
            <v>salud_oral</v>
          </cell>
          <cell r="J75" t="str">
            <v>bueno</v>
          </cell>
          <cell r="K75" t="str">
            <v>defsi</v>
          </cell>
        </row>
        <row r="76">
          <cell r="B76" t="b">
            <v>1</v>
          </cell>
          <cell r="E76" t="str">
            <v>San Vicente de Paul</v>
          </cell>
          <cell r="H76" t="str">
            <v>laboratorio</v>
          </cell>
          <cell r="J76" t="str">
            <v>bueno</v>
          </cell>
          <cell r="K76" t="str">
            <v>defsi</v>
          </cell>
        </row>
        <row r="77">
          <cell r="B77" t="b">
            <v>1</v>
          </cell>
          <cell r="E77" t="str">
            <v>San Vicente de Paul</v>
          </cell>
          <cell r="H77" t="str">
            <v>consulta_externa</v>
          </cell>
          <cell r="J77" t="str">
            <v>bueno</v>
          </cell>
          <cell r="K77" t="str">
            <v>defsi</v>
          </cell>
        </row>
        <row r="78">
          <cell r="B78" t="b">
            <v>1</v>
          </cell>
          <cell r="E78" t="str">
            <v>San Vicente de Paul</v>
          </cell>
          <cell r="H78" t="str">
            <v>salud_oral</v>
          </cell>
          <cell r="J78" t="str">
            <v>bueno</v>
          </cell>
          <cell r="K78" t="str">
            <v>defsi</v>
          </cell>
        </row>
        <row r="79">
          <cell r="B79" t="b">
            <v>1</v>
          </cell>
          <cell r="E79" t="str">
            <v>San Vicente de Paul</v>
          </cell>
          <cell r="H79" t="str">
            <v>laboratorio</v>
          </cell>
          <cell r="J79" t="str">
            <v>bueno</v>
          </cell>
          <cell r="K79" t="str">
            <v>defsi</v>
          </cell>
        </row>
        <row r="80">
          <cell r="B80" t="b">
            <v>1</v>
          </cell>
          <cell r="E80" t="str">
            <v>San Vicente de Paul</v>
          </cell>
          <cell r="H80" t="str">
            <v>consulta_externa</v>
          </cell>
          <cell r="J80" t="str">
            <v>bueno</v>
          </cell>
          <cell r="K80" t="str">
            <v>defsi</v>
          </cell>
        </row>
        <row r="81">
          <cell r="B81" t="b">
            <v>1</v>
          </cell>
          <cell r="E81" t="str">
            <v>San Vicente de Paul</v>
          </cell>
          <cell r="H81" t="str">
            <v>salud_oral</v>
          </cell>
          <cell r="J81" t="str">
            <v>bueno</v>
          </cell>
          <cell r="K81" t="str">
            <v>defsi</v>
          </cell>
        </row>
        <row r="82">
          <cell r="B82" t="b">
            <v>1</v>
          </cell>
          <cell r="E82" t="str">
            <v>San Vicente de Paul</v>
          </cell>
          <cell r="H82" t="str">
            <v>laboratorio</v>
          </cell>
          <cell r="J82" t="str">
            <v>bueno</v>
          </cell>
          <cell r="K82" t="str">
            <v>defsi</v>
          </cell>
        </row>
        <row r="83">
          <cell r="B83" t="b">
            <v>1</v>
          </cell>
          <cell r="E83" t="str">
            <v>Arroz Barato</v>
          </cell>
          <cell r="H83" t="str">
            <v>consulta_externa</v>
          </cell>
          <cell r="J83" t="str">
            <v>bueno</v>
          </cell>
          <cell r="K83" t="str">
            <v>probsi</v>
          </cell>
        </row>
        <row r="84">
          <cell r="B84" t="b">
            <v>1</v>
          </cell>
          <cell r="E84" t="str">
            <v>Arroz Barato</v>
          </cell>
          <cell r="H84" t="str">
            <v>salud_oral</v>
          </cell>
          <cell r="J84" t="str">
            <v>bueno</v>
          </cell>
          <cell r="K84" t="str">
            <v>probsi</v>
          </cell>
        </row>
        <row r="85">
          <cell r="B85" t="b">
            <v>1</v>
          </cell>
          <cell r="E85" t="str">
            <v>Arroz Barato</v>
          </cell>
          <cell r="H85" t="str">
            <v>salud_oral</v>
          </cell>
          <cell r="J85" t="str">
            <v>bueno</v>
          </cell>
          <cell r="K85" t="str">
            <v>probsi</v>
          </cell>
        </row>
        <row r="86">
          <cell r="B86" t="b">
            <v>1</v>
          </cell>
          <cell r="E86" t="str">
            <v>Arroz Barato</v>
          </cell>
          <cell r="H86" t="str">
            <v>salud_oral</v>
          </cell>
          <cell r="J86" t="str">
            <v>bueno</v>
          </cell>
          <cell r="K86" t="str">
            <v>probsi</v>
          </cell>
        </row>
        <row r="87">
          <cell r="B87" t="b">
            <v>1</v>
          </cell>
          <cell r="E87" t="str">
            <v>Arroz Barato</v>
          </cell>
          <cell r="H87" t="str">
            <v>laboratorio</v>
          </cell>
          <cell r="J87" t="str">
            <v>bueno</v>
          </cell>
          <cell r="K87" t="str">
            <v>probsi</v>
          </cell>
        </row>
        <row r="88">
          <cell r="B88" t="b">
            <v>1</v>
          </cell>
          <cell r="E88" t="str">
            <v>Arroz Barato</v>
          </cell>
          <cell r="H88" t="str">
            <v>laboratorio</v>
          </cell>
          <cell r="J88" t="str">
            <v>bueno</v>
          </cell>
          <cell r="K88" t="str">
            <v>probsi</v>
          </cell>
        </row>
        <row r="89">
          <cell r="B89" t="b">
            <v>1</v>
          </cell>
          <cell r="E89" t="str">
            <v>Arroz Barato</v>
          </cell>
          <cell r="H89" t="str">
            <v>laboratorio</v>
          </cell>
          <cell r="J89" t="str">
            <v>bueno</v>
          </cell>
          <cell r="K89" t="str">
            <v>probsi</v>
          </cell>
        </row>
        <row r="90">
          <cell r="B90" t="b">
            <v>1</v>
          </cell>
          <cell r="E90" t="str">
            <v>Arroz Barato</v>
          </cell>
          <cell r="H90" t="str">
            <v>laboratorio</v>
          </cell>
          <cell r="J90" t="str">
            <v>bueno</v>
          </cell>
          <cell r="K90" t="str">
            <v>probsi</v>
          </cell>
        </row>
        <row r="91">
          <cell r="B91" t="b">
            <v>1</v>
          </cell>
          <cell r="E91" t="str">
            <v>Arroz Barato</v>
          </cell>
          <cell r="H91" t="str">
            <v>laboratorio</v>
          </cell>
          <cell r="J91" t="str">
            <v>bueno</v>
          </cell>
          <cell r="K91" t="str">
            <v>probsi</v>
          </cell>
        </row>
        <row r="92">
          <cell r="B92" t="b">
            <v>0</v>
          </cell>
          <cell r="E92" t="str">
            <v>Arroz Barato</v>
          </cell>
          <cell r="H92" t="str">
            <v>urgencia</v>
          </cell>
          <cell r="J92" t="str">
            <v>regular</v>
          </cell>
          <cell r="K92" t="str">
            <v>probsi</v>
          </cell>
        </row>
        <row r="93">
          <cell r="B93" t="b">
            <v>1</v>
          </cell>
          <cell r="E93" t="str">
            <v>Arroz Barato</v>
          </cell>
          <cell r="H93" t="str">
            <v>urgencia</v>
          </cell>
          <cell r="J93" t="str">
            <v>bueno</v>
          </cell>
          <cell r="K93" t="str">
            <v>probsi</v>
          </cell>
        </row>
        <row r="94">
          <cell r="B94" t="b">
            <v>0</v>
          </cell>
          <cell r="E94" t="str">
            <v>Arroz Barato</v>
          </cell>
          <cell r="H94" t="str">
            <v>urgencia</v>
          </cell>
          <cell r="J94" t="str">
            <v>regular</v>
          </cell>
          <cell r="K94" t="str">
            <v>probsi</v>
          </cell>
        </row>
        <row r="95">
          <cell r="B95" t="b">
            <v>0</v>
          </cell>
          <cell r="E95" t="str">
            <v>Arroz Barato</v>
          </cell>
          <cell r="H95" t="str">
            <v>urgencia</v>
          </cell>
          <cell r="J95" t="str">
            <v>regular</v>
          </cell>
          <cell r="K95" t="str">
            <v>probsi</v>
          </cell>
        </row>
        <row r="96">
          <cell r="B96" t="b">
            <v>1</v>
          </cell>
          <cell r="E96" t="str">
            <v>Arroz Barato</v>
          </cell>
          <cell r="H96" t="str">
            <v>urgencia</v>
          </cell>
          <cell r="J96" t="str">
            <v>bueno</v>
          </cell>
          <cell r="K96" t="str">
            <v>probsi</v>
          </cell>
        </row>
        <row r="97">
          <cell r="B97" t="b">
            <v>1</v>
          </cell>
          <cell r="E97" t="str">
            <v>San Vicente de Paul</v>
          </cell>
          <cell r="H97" t="str">
            <v>consulta_externa</v>
          </cell>
          <cell r="J97" t="str">
            <v>bueno</v>
          </cell>
          <cell r="K97" t="str">
            <v>defsi</v>
          </cell>
        </row>
        <row r="98">
          <cell r="B98" t="b">
            <v>1</v>
          </cell>
          <cell r="E98" t="str">
            <v>San Vicente de Paul</v>
          </cell>
          <cell r="H98" t="str">
            <v>laboratorio</v>
          </cell>
          <cell r="J98" t="str">
            <v>bueno</v>
          </cell>
          <cell r="K98" t="str">
            <v>defsi</v>
          </cell>
        </row>
        <row r="99">
          <cell r="B99" t="b">
            <v>1</v>
          </cell>
          <cell r="E99" t="str">
            <v>San Vicente de Paul</v>
          </cell>
          <cell r="H99" t="str">
            <v>laboratorio</v>
          </cell>
          <cell r="J99" t="str">
            <v>bueno</v>
          </cell>
          <cell r="K99" t="str">
            <v>defsi</v>
          </cell>
        </row>
        <row r="100">
          <cell r="B100" t="b">
            <v>1</v>
          </cell>
          <cell r="E100" t="str">
            <v>San Vicente de Paul</v>
          </cell>
          <cell r="H100" t="str">
            <v>consulta_externa</v>
          </cell>
          <cell r="J100" t="str">
            <v>bueno</v>
          </cell>
          <cell r="K100" t="str">
            <v>defsi</v>
          </cell>
        </row>
        <row r="101">
          <cell r="B101" t="b">
            <v>1</v>
          </cell>
          <cell r="E101" t="str">
            <v>San Vicente de Paul</v>
          </cell>
          <cell r="H101" t="str">
            <v>laboratorio</v>
          </cell>
          <cell r="J101" t="str">
            <v>bueno</v>
          </cell>
          <cell r="K101" t="str">
            <v>defsi</v>
          </cell>
        </row>
        <row r="102">
          <cell r="B102" t="b">
            <v>1</v>
          </cell>
          <cell r="E102" t="str">
            <v>San Vicente de Paul</v>
          </cell>
          <cell r="H102" t="str">
            <v>laboratorio</v>
          </cell>
          <cell r="J102" t="str">
            <v>bueno</v>
          </cell>
          <cell r="K102" t="str">
            <v>defsi</v>
          </cell>
        </row>
        <row r="103">
          <cell r="B103" t="b">
            <v>1</v>
          </cell>
          <cell r="E103" t="str">
            <v>San Vicente de Paul</v>
          </cell>
          <cell r="H103" t="str">
            <v>consulta_externa</v>
          </cell>
          <cell r="J103" t="str">
            <v>bueno</v>
          </cell>
          <cell r="K103" t="str">
            <v>defsi</v>
          </cell>
        </row>
        <row r="104">
          <cell r="B104" t="b">
            <v>1</v>
          </cell>
          <cell r="E104" t="str">
            <v>Libano</v>
          </cell>
          <cell r="H104" t="str">
            <v>consulta_externa</v>
          </cell>
          <cell r="J104" t="str">
            <v>bueno</v>
          </cell>
          <cell r="K104" t="str">
            <v>defsi</v>
          </cell>
        </row>
        <row r="105">
          <cell r="B105" t="b">
            <v>1</v>
          </cell>
          <cell r="E105" t="str">
            <v>Libano</v>
          </cell>
          <cell r="H105" t="str">
            <v>salud_oral</v>
          </cell>
          <cell r="J105" t="str">
            <v>bueno</v>
          </cell>
          <cell r="K105" t="str">
            <v>defsi</v>
          </cell>
        </row>
        <row r="106">
          <cell r="B106" t="b">
            <v>1</v>
          </cell>
          <cell r="E106" t="str">
            <v>Libano</v>
          </cell>
          <cell r="H106" t="str">
            <v>laboratorio</v>
          </cell>
          <cell r="J106" t="str">
            <v>bueno</v>
          </cell>
          <cell r="K106" t="str">
            <v>defsi</v>
          </cell>
        </row>
        <row r="107">
          <cell r="B107" t="b">
            <v>1</v>
          </cell>
          <cell r="E107" t="str">
            <v>Libano</v>
          </cell>
          <cell r="H107" t="str">
            <v>ecografias</v>
          </cell>
          <cell r="J107" t="str">
            <v>bueno</v>
          </cell>
          <cell r="K107" t="str">
            <v>defsi</v>
          </cell>
        </row>
        <row r="108">
          <cell r="B108" t="b">
            <v>1</v>
          </cell>
          <cell r="E108" t="str">
            <v>Libano</v>
          </cell>
          <cell r="H108" t="str">
            <v>ginecologia</v>
          </cell>
          <cell r="J108" t="str">
            <v>bueno</v>
          </cell>
          <cell r="K108" t="str">
            <v>defsi</v>
          </cell>
        </row>
        <row r="109">
          <cell r="B109" t="b">
            <v>1</v>
          </cell>
          <cell r="E109" t="str">
            <v>Libano</v>
          </cell>
          <cell r="H109" t="str">
            <v>pediatria</v>
          </cell>
          <cell r="J109" t="str">
            <v>bueno</v>
          </cell>
          <cell r="K109" t="str">
            <v>defsi</v>
          </cell>
        </row>
        <row r="110">
          <cell r="B110" t="b">
            <v>1</v>
          </cell>
          <cell r="E110" t="str">
            <v>Libano</v>
          </cell>
          <cell r="H110" t="str">
            <v>consulta_externa</v>
          </cell>
          <cell r="J110" t="str">
            <v>bueno</v>
          </cell>
          <cell r="K110" t="str">
            <v>defsi</v>
          </cell>
        </row>
        <row r="111">
          <cell r="B111" t="b">
            <v>1</v>
          </cell>
          <cell r="E111" t="str">
            <v>Libano</v>
          </cell>
          <cell r="H111" t="str">
            <v>salud_oral</v>
          </cell>
          <cell r="J111" t="str">
            <v>bueno</v>
          </cell>
          <cell r="K111" t="str">
            <v>defsi</v>
          </cell>
        </row>
        <row r="112">
          <cell r="B112" t="b">
            <v>1</v>
          </cell>
          <cell r="E112" t="str">
            <v>Libano</v>
          </cell>
          <cell r="H112" t="str">
            <v>laboratorio</v>
          </cell>
          <cell r="J112" t="str">
            <v>bueno</v>
          </cell>
          <cell r="K112" t="str">
            <v>defsi</v>
          </cell>
        </row>
        <row r="113">
          <cell r="B113" t="b">
            <v>1</v>
          </cell>
          <cell r="E113" t="str">
            <v>Libano</v>
          </cell>
          <cell r="H113" t="str">
            <v>ecografias</v>
          </cell>
          <cell r="J113" t="str">
            <v>bueno</v>
          </cell>
          <cell r="K113" t="str">
            <v>defsi</v>
          </cell>
        </row>
        <row r="114">
          <cell r="B114" t="b">
            <v>1</v>
          </cell>
          <cell r="E114" t="str">
            <v>Esperanza</v>
          </cell>
          <cell r="H114" t="str">
            <v>consulta_externa</v>
          </cell>
          <cell r="J114" t="str">
            <v>bueno</v>
          </cell>
          <cell r="K114" t="str">
            <v>probsi</v>
          </cell>
        </row>
        <row r="115">
          <cell r="B115" t="b">
            <v>1</v>
          </cell>
          <cell r="E115" t="str">
            <v>Esperanza</v>
          </cell>
          <cell r="H115" t="str">
            <v>consulta_externa</v>
          </cell>
          <cell r="J115" t="str">
            <v>bueno</v>
          </cell>
          <cell r="K115" t="str">
            <v>probsi</v>
          </cell>
        </row>
        <row r="116">
          <cell r="B116" t="b">
            <v>1</v>
          </cell>
          <cell r="E116" t="str">
            <v>Esperanza</v>
          </cell>
          <cell r="H116" t="str">
            <v>consulta_externa</v>
          </cell>
          <cell r="J116" t="str">
            <v>bueno</v>
          </cell>
          <cell r="K116" t="str">
            <v>probsi</v>
          </cell>
        </row>
        <row r="117">
          <cell r="B117" t="b">
            <v>1</v>
          </cell>
          <cell r="E117" t="str">
            <v>Esperanza</v>
          </cell>
          <cell r="H117" t="str">
            <v>consulta_externa</v>
          </cell>
          <cell r="J117" t="str">
            <v>bueno</v>
          </cell>
          <cell r="K117" t="str">
            <v>probsi</v>
          </cell>
        </row>
        <row r="118">
          <cell r="B118" t="b">
            <v>1</v>
          </cell>
          <cell r="E118" t="str">
            <v>Esperanza</v>
          </cell>
          <cell r="H118" t="str">
            <v>consulta_externa</v>
          </cell>
          <cell r="J118" t="str">
            <v>bueno</v>
          </cell>
          <cell r="K118" t="str">
            <v>probsi</v>
          </cell>
        </row>
        <row r="119">
          <cell r="B119" t="b">
            <v>1</v>
          </cell>
          <cell r="E119" t="str">
            <v>Esperanza</v>
          </cell>
          <cell r="H119" t="str">
            <v>consulta_externa</v>
          </cell>
          <cell r="J119" t="str">
            <v>bueno</v>
          </cell>
          <cell r="K119" t="str">
            <v>probsi</v>
          </cell>
        </row>
        <row r="120">
          <cell r="B120" t="b">
            <v>1</v>
          </cell>
          <cell r="E120" t="str">
            <v>Libano</v>
          </cell>
          <cell r="H120" t="str">
            <v>ginecologia</v>
          </cell>
          <cell r="J120" t="str">
            <v>bueno</v>
          </cell>
          <cell r="K120" t="str">
            <v>defsi</v>
          </cell>
        </row>
        <row r="121">
          <cell r="B121" t="b">
            <v>1</v>
          </cell>
          <cell r="E121" t="str">
            <v>Esperanza</v>
          </cell>
          <cell r="H121" t="str">
            <v>consulta_externa</v>
          </cell>
          <cell r="J121" t="str">
            <v>bueno</v>
          </cell>
          <cell r="K121" t="str">
            <v>probsi</v>
          </cell>
        </row>
        <row r="122">
          <cell r="B122" t="b">
            <v>1</v>
          </cell>
          <cell r="E122" t="str">
            <v>Esperanza</v>
          </cell>
          <cell r="H122" t="str">
            <v>consulta_externa</v>
          </cell>
          <cell r="J122" t="str">
            <v>bueno</v>
          </cell>
          <cell r="K122" t="str">
            <v>probsi</v>
          </cell>
        </row>
        <row r="123">
          <cell r="B123" t="b">
            <v>1</v>
          </cell>
          <cell r="E123" t="str">
            <v>Esperanza</v>
          </cell>
          <cell r="H123" t="str">
            <v>consulta_externa</v>
          </cell>
          <cell r="J123" t="str">
            <v>bueno</v>
          </cell>
          <cell r="K123" t="str">
            <v>probsi</v>
          </cell>
        </row>
        <row r="124">
          <cell r="B124" t="b">
            <v>1</v>
          </cell>
          <cell r="E124" t="str">
            <v>Esperanza</v>
          </cell>
          <cell r="H124" t="str">
            <v>consulta_externa</v>
          </cell>
          <cell r="J124" t="str">
            <v>bueno</v>
          </cell>
          <cell r="K124" t="str">
            <v>probsi</v>
          </cell>
        </row>
        <row r="125">
          <cell r="B125" t="b">
            <v>1</v>
          </cell>
          <cell r="E125" t="str">
            <v>Esperanza</v>
          </cell>
          <cell r="H125" t="str">
            <v>salud_oral</v>
          </cell>
          <cell r="J125" t="str">
            <v>bueno</v>
          </cell>
          <cell r="K125" t="str">
            <v>probsi</v>
          </cell>
        </row>
        <row r="126">
          <cell r="B126" t="b">
            <v>1</v>
          </cell>
          <cell r="E126" t="str">
            <v>Esperanza</v>
          </cell>
          <cell r="H126" t="str">
            <v>salud_oral</v>
          </cell>
          <cell r="J126" t="str">
            <v>bueno</v>
          </cell>
          <cell r="K126" t="str">
            <v>probsi</v>
          </cell>
        </row>
        <row r="127">
          <cell r="B127" t="b">
            <v>1</v>
          </cell>
          <cell r="E127" t="str">
            <v>Esperanza</v>
          </cell>
          <cell r="H127" t="str">
            <v>salud_oral</v>
          </cell>
          <cell r="J127" t="str">
            <v>bueno</v>
          </cell>
          <cell r="K127" t="str">
            <v>probsi</v>
          </cell>
        </row>
        <row r="128">
          <cell r="B128" t="b">
            <v>1</v>
          </cell>
          <cell r="E128" t="str">
            <v>Esperanza</v>
          </cell>
          <cell r="H128" t="str">
            <v>salud_oral</v>
          </cell>
          <cell r="J128" t="str">
            <v>bueno</v>
          </cell>
          <cell r="K128" t="str">
            <v>probsi</v>
          </cell>
        </row>
        <row r="129">
          <cell r="B129" t="b">
            <v>1</v>
          </cell>
          <cell r="E129" t="str">
            <v>Esperanza</v>
          </cell>
          <cell r="H129" t="str">
            <v>salud_oral</v>
          </cell>
          <cell r="J129" t="str">
            <v>bueno</v>
          </cell>
          <cell r="K129" t="str">
            <v>probsi</v>
          </cell>
        </row>
        <row r="130">
          <cell r="B130" t="b">
            <v>1</v>
          </cell>
          <cell r="E130" t="str">
            <v>Esperanza</v>
          </cell>
          <cell r="H130" t="str">
            <v>salud_oral</v>
          </cell>
          <cell r="J130" t="str">
            <v>bueno</v>
          </cell>
          <cell r="K130" t="str">
            <v>probsi</v>
          </cell>
        </row>
        <row r="131">
          <cell r="B131" t="b">
            <v>1</v>
          </cell>
          <cell r="E131" t="str">
            <v>Esperanza</v>
          </cell>
          <cell r="H131" t="str">
            <v>salud_oral</v>
          </cell>
          <cell r="J131" t="str">
            <v>bueno</v>
          </cell>
          <cell r="K131" t="str">
            <v>probsi</v>
          </cell>
        </row>
        <row r="132">
          <cell r="B132" t="b">
            <v>1</v>
          </cell>
          <cell r="E132" t="str">
            <v>Esperanza</v>
          </cell>
          <cell r="H132" t="str">
            <v>consulta_externa</v>
          </cell>
          <cell r="J132" t="str">
            <v>bueno</v>
          </cell>
          <cell r="K132" t="str">
            <v>probsi</v>
          </cell>
        </row>
        <row r="133">
          <cell r="B133" t="b">
            <v>1</v>
          </cell>
          <cell r="E133" t="str">
            <v>Esperanza</v>
          </cell>
          <cell r="H133" t="str">
            <v>consulta_externa</v>
          </cell>
          <cell r="J133" t="str">
            <v>bueno</v>
          </cell>
          <cell r="K133" t="str">
            <v>probsi</v>
          </cell>
        </row>
        <row r="134">
          <cell r="B134" t="b">
            <v>1</v>
          </cell>
          <cell r="E134" t="str">
            <v>Esperanza</v>
          </cell>
          <cell r="H134" t="str">
            <v>consulta_externa</v>
          </cell>
          <cell r="J134" t="str">
            <v>bueno</v>
          </cell>
          <cell r="K134" t="str">
            <v>probsi</v>
          </cell>
        </row>
        <row r="135">
          <cell r="B135" t="b">
            <v>1</v>
          </cell>
          <cell r="E135" t="str">
            <v>Esperanza</v>
          </cell>
          <cell r="H135" t="str">
            <v>consulta_externa</v>
          </cell>
          <cell r="J135" t="str">
            <v>bueno</v>
          </cell>
          <cell r="K135" t="str">
            <v>probsi</v>
          </cell>
        </row>
        <row r="136">
          <cell r="B136" t="b">
            <v>1</v>
          </cell>
          <cell r="E136" t="str">
            <v>Esperanza</v>
          </cell>
          <cell r="H136" t="str">
            <v>consulta_externa</v>
          </cell>
          <cell r="J136" t="str">
            <v>bueno</v>
          </cell>
          <cell r="K136" t="str">
            <v>probsi</v>
          </cell>
        </row>
        <row r="137">
          <cell r="B137" t="b">
            <v>1</v>
          </cell>
          <cell r="E137" t="str">
            <v>Esperanza</v>
          </cell>
          <cell r="H137" t="str">
            <v>consulta_externa</v>
          </cell>
          <cell r="J137" t="str">
            <v>bueno</v>
          </cell>
          <cell r="K137" t="str">
            <v>probsi</v>
          </cell>
        </row>
        <row r="138">
          <cell r="B138" t="b">
            <v>1</v>
          </cell>
          <cell r="E138" t="str">
            <v>Esperanza</v>
          </cell>
          <cell r="H138" t="str">
            <v>consulta_externa</v>
          </cell>
          <cell r="J138" t="str">
            <v>bueno</v>
          </cell>
          <cell r="K138" t="str">
            <v>probsi</v>
          </cell>
        </row>
        <row r="139">
          <cell r="B139" t="b">
            <v>1</v>
          </cell>
          <cell r="E139" t="str">
            <v>Esperanza</v>
          </cell>
          <cell r="H139" t="str">
            <v>consulta_externa</v>
          </cell>
          <cell r="J139" t="str">
            <v>bueno</v>
          </cell>
          <cell r="K139" t="str">
            <v>probsi</v>
          </cell>
        </row>
        <row r="140">
          <cell r="B140" t="b">
            <v>1</v>
          </cell>
          <cell r="E140" t="str">
            <v>Esperanza</v>
          </cell>
          <cell r="H140" t="str">
            <v>consulta_externa</v>
          </cell>
          <cell r="J140" t="str">
            <v>bueno</v>
          </cell>
          <cell r="K140" t="str">
            <v>probsi</v>
          </cell>
        </row>
        <row r="141">
          <cell r="B141" t="b">
            <v>1</v>
          </cell>
          <cell r="E141" t="str">
            <v>Esperanza</v>
          </cell>
          <cell r="H141" t="str">
            <v>consulta_externa</v>
          </cell>
          <cell r="J141" t="str">
            <v>bueno</v>
          </cell>
          <cell r="K141" t="str">
            <v>probsi</v>
          </cell>
        </row>
        <row r="142">
          <cell r="B142" t="b">
            <v>1</v>
          </cell>
          <cell r="E142" t="str">
            <v>Esperanza</v>
          </cell>
          <cell r="H142" t="str">
            <v>consulta_externa</v>
          </cell>
          <cell r="J142" t="str">
            <v>bueno</v>
          </cell>
          <cell r="K142" t="str">
            <v>probsi</v>
          </cell>
        </row>
        <row r="143">
          <cell r="B143" t="b">
            <v>1</v>
          </cell>
          <cell r="E143" t="str">
            <v>Esperanza</v>
          </cell>
          <cell r="H143" t="str">
            <v>consulta_externa</v>
          </cell>
          <cell r="J143" t="str">
            <v>bueno</v>
          </cell>
          <cell r="K143" t="str">
            <v>probsi</v>
          </cell>
        </row>
        <row r="144">
          <cell r="B144" t="b">
            <v>1</v>
          </cell>
          <cell r="E144" t="str">
            <v>Esperanza</v>
          </cell>
          <cell r="H144" t="str">
            <v>laboratorio</v>
          </cell>
          <cell r="J144" t="str">
            <v>bueno</v>
          </cell>
          <cell r="K144" t="str">
            <v>probsi</v>
          </cell>
        </row>
        <row r="145">
          <cell r="B145" t="b">
            <v>1</v>
          </cell>
          <cell r="E145" t="str">
            <v>Esperanza</v>
          </cell>
          <cell r="H145" t="str">
            <v>laboratorio</v>
          </cell>
          <cell r="J145" t="str">
            <v>bueno</v>
          </cell>
          <cell r="K145" t="str">
            <v>probsi</v>
          </cell>
        </row>
        <row r="146">
          <cell r="B146" t="b">
            <v>1</v>
          </cell>
          <cell r="E146" t="str">
            <v>Esperanza</v>
          </cell>
          <cell r="H146" t="str">
            <v>laboratorio</v>
          </cell>
          <cell r="J146" t="str">
            <v>bueno</v>
          </cell>
          <cell r="K146" t="str">
            <v>probsi</v>
          </cell>
        </row>
        <row r="147">
          <cell r="B147" t="b">
            <v>1</v>
          </cell>
          <cell r="E147" t="str">
            <v>Esperanza</v>
          </cell>
          <cell r="H147" t="str">
            <v>laboratorio</v>
          </cell>
          <cell r="J147" t="str">
            <v>bueno</v>
          </cell>
          <cell r="K147" t="str">
            <v>probsi</v>
          </cell>
        </row>
        <row r="148">
          <cell r="B148" t="b">
            <v>1</v>
          </cell>
          <cell r="E148" t="str">
            <v>Esperanza</v>
          </cell>
          <cell r="H148" t="str">
            <v>laboratorio</v>
          </cell>
          <cell r="J148" t="str">
            <v>bueno</v>
          </cell>
          <cell r="K148" t="str">
            <v>probsi</v>
          </cell>
        </row>
        <row r="149">
          <cell r="B149" t="b">
            <v>1</v>
          </cell>
          <cell r="E149" t="str">
            <v>Esperanza</v>
          </cell>
          <cell r="H149" t="str">
            <v>laboratorio</v>
          </cell>
          <cell r="J149" t="str">
            <v>bueno</v>
          </cell>
          <cell r="K149" t="str">
            <v>probsi</v>
          </cell>
        </row>
        <row r="150">
          <cell r="B150" t="b">
            <v>1</v>
          </cell>
          <cell r="E150" t="str">
            <v>Esperanza</v>
          </cell>
          <cell r="H150" t="str">
            <v>laboratorio</v>
          </cell>
          <cell r="J150" t="str">
            <v>bueno</v>
          </cell>
          <cell r="K150" t="str">
            <v>probsi</v>
          </cell>
        </row>
        <row r="151">
          <cell r="B151" t="b">
            <v>1</v>
          </cell>
          <cell r="E151" t="str">
            <v>Libano</v>
          </cell>
          <cell r="H151" t="str">
            <v>pediatria</v>
          </cell>
          <cell r="J151" t="str">
            <v>bueno</v>
          </cell>
          <cell r="K151" t="str">
            <v>defsi</v>
          </cell>
        </row>
        <row r="152">
          <cell r="B152" t="b">
            <v>1</v>
          </cell>
          <cell r="E152" t="str">
            <v>Libano</v>
          </cell>
          <cell r="H152" t="str">
            <v>consulta_externa</v>
          </cell>
          <cell r="J152" t="str">
            <v>bueno</v>
          </cell>
          <cell r="K152" t="str">
            <v>defsi</v>
          </cell>
        </row>
        <row r="153">
          <cell r="B153" t="b">
            <v>1</v>
          </cell>
          <cell r="E153" t="str">
            <v>Esperanza</v>
          </cell>
          <cell r="H153" t="str">
            <v>laboratorio</v>
          </cell>
          <cell r="J153" t="str">
            <v>bueno</v>
          </cell>
          <cell r="K153" t="str">
            <v>probsi</v>
          </cell>
        </row>
        <row r="154">
          <cell r="B154" t="b">
            <v>1</v>
          </cell>
          <cell r="E154" t="str">
            <v>Libano</v>
          </cell>
          <cell r="H154" t="str">
            <v>salud_oral</v>
          </cell>
          <cell r="J154" t="str">
            <v>bueno</v>
          </cell>
          <cell r="K154" t="str">
            <v>defsi</v>
          </cell>
        </row>
        <row r="155">
          <cell r="B155" t="b">
            <v>1</v>
          </cell>
          <cell r="E155" t="str">
            <v>Libano</v>
          </cell>
          <cell r="H155" t="str">
            <v>laboratorio</v>
          </cell>
          <cell r="J155" t="str">
            <v>bueno</v>
          </cell>
          <cell r="K155" t="str">
            <v>defsi</v>
          </cell>
        </row>
        <row r="156">
          <cell r="B156" t="b">
            <v>1</v>
          </cell>
          <cell r="E156" t="str">
            <v>Libano</v>
          </cell>
          <cell r="H156" t="str">
            <v>ecografias</v>
          </cell>
          <cell r="J156" t="str">
            <v>bueno</v>
          </cell>
          <cell r="K156" t="str">
            <v>defsi</v>
          </cell>
        </row>
        <row r="157">
          <cell r="B157" t="b">
            <v>1</v>
          </cell>
          <cell r="E157" t="str">
            <v>Libano</v>
          </cell>
          <cell r="H157" t="str">
            <v>ginecologia</v>
          </cell>
          <cell r="J157" t="str">
            <v>bueno</v>
          </cell>
          <cell r="K157" t="str">
            <v>defsi</v>
          </cell>
        </row>
        <row r="158">
          <cell r="B158" t="b">
            <v>1</v>
          </cell>
          <cell r="E158" t="str">
            <v>Libano</v>
          </cell>
          <cell r="H158" t="str">
            <v>pediatria</v>
          </cell>
          <cell r="J158" t="str">
            <v>bueno</v>
          </cell>
          <cell r="K158" t="str">
            <v>defsi</v>
          </cell>
        </row>
        <row r="159">
          <cell r="B159" t="b">
            <v>1</v>
          </cell>
          <cell r="E159" t="str">
            <v>Libano</v>
          </cell>
          <cell r="H159" t="str">
            <v>consulta_externa</v>
          </cell>
          <cell r="J159" t="str">
            <v>bueno</v>
          </cell>
          <cell r="K159" t="str">
            <v>defsi</v>
          </cell>
        </row>
        <row r="160">
          <cell r="B160" t="b">
            <v>1</v>
          </cell>
          <cell r="E160" t="str">
            <v>Libano</v>
          </cell>
          <cell r="H160" t="str">
            <v>salud_oral</v>
          </cell>
          <cell r="J160" t="str">
            <v>bueno</v>
          </cell>
          <cell r="K160" t="str">
            <v>defsi</v>
          </cell>
        </row>
        <row r="161">
          <cell r="B161" t="b">
            <v>1</v>
          </cell>
          <cell r="E161" t="str">
            <v>Libano</v>
          </cell>
          <cell r="H161" t="str">
            <v>laboratorio</v>
          </cell>
          <cell r="J161" t="str">
            <v>bueno</v>
          </cell>
          <cell r="K161" t="str">
            <v>defsi</v>
          </cell>
        </row>
        <row r="162">
          <cell r="B162" t="b">
            <v>1</v>
          </cell>
          <cell r="E162" t="str">
            <v>Libano</v>
          </cell>
          <cell r="H162" t="str">
            <v>ecografias</v>
          </cell>
          <cell r="J162" t="str">
            <v>bueno</v>
          </cell>
          <cell r="K162" t="str">
            <v>defsi</v>
          </cell>
        </row>
        <row r="163">
          <cell r="B163" t="b">
            <v>1</v>
          </cell>
          <cell r="E163" t="str">
            <v>Libano</v>
          </cell>
          <cell r="H163" t="str">
            <v>ginecologia</v>
          </cell>
          <cell r="J163" t="str">
            <v>bueno</v>
          </cell>
          <cell r="K163" t="str">
            <v>defsi</v>
          </cell>
        </row>
        <row r="164">
          <cell r="B164" t="b">
            <v>1</v>
          </cell>
          <cell r="E164" t="str">
            <v>Libano</v>
          </cell>
          <cell r="H164" t="str">
            <v>pediatria</v>
          </cell>
          <cell r="J164" t="str">
            <v>bueno</v>
          </cell>
          <cell r="K164" t="str">
            <v>defsi</v>
          </cell>
        </row>
        <row r="165">
          <cell r="B165" t="b">
            <v>1</v>
          </cell>
          <cell r="E165" t="str">
            <v>Libano</v>
          </cell>
          <cell r="H165" t="str">
            <v>consulta_externa</v>
          </cell>
          <cell r="J165" t="str">
            <v>bueno</v>
          </cell>
          <cell r="K165" t="str">
            <v>defsi</v>
          </cell>
        </row>
        <row r="166">
          <cell r="B166" t="b">
            <v>1</v>
          </cell>
          <cell r="E166" t="str">
            <v>Libano</v>
          </cell>
          <cell r="H166" t="str">
            <v>consulta_externa</v>
          </cell>
          <cell r="J166" t="str">
            <v>bueno</v>
          </cell>
          <cell r="K166" t="str">
            <v>defsi</v>
          </cell>
        </row>
        <row r="167">
          <cell r="B167" t="b">
            <v>1</v>
          </cell>
          <cell r="E167" t="str">
            <v>Libano</v>
          </cell>
          <cell r="H167" t="str">
            <v>salud_oral</v>
          </cell>
          <cell r="J167" t="str">
            <v>bueno</v>
          </cell>
          <cell r="K167" t="str">
            <v>defsi</v>
          </cell>
        </row>
        <row r="168">
          <cell r="B168" t="b">
            <v>1</v>
          </cell>
          <cell r="E168" t="str">
            <v>Libano</v>
          </cell>
          <cell r="H168" t="str">
            <v>laboratorio</v>
          </cell>
          <cell r="J168" t="str">
            <v>bueno</v>
          </cell>
          <cell r="K168" t="str">
            <v>defsi</v>
          </cell>
        </row>
        <row r="169">
          <cell r="B169" t="b">
            <v>1</v>
          </cell>
          <cell r="E169" t="str">
            <v>Libano</v>
          </cell>
          <cell r="H169" t="str">
            <v>ecografias</v>
          </cell>
          <cell r="J169" t="str">
            <v>bueno</v>
          </cell>
          <cell r="K169" t="str">
            <v>defsi</v>
          </cell>
        </row>
        <row r="170">
          <cell r="B170" t="b">
            <v>1</v>
          </cell>
          <cell r="E170" t="str">
            <v>Libano</v>
          </cell>
          <cell r="H170" t="str">
            <v>ginecologia</v>
          </cell>
          <cell r="J170" t="str">
            <v>bueno</v>
          </cell>
          <cell r="K170" t="str">
            <v>defsi</v>
          </cell>
        </row>
        <row r="171">
          <cell r="B171" t="b">
            <v>1</v>
          </cell>
          <cell r="E171" t="str">
            <v>Libano</v>
          </cell>
          <cell r="H171" t="str">
            <v>pediatria</v>
          </cell>
          <cell r="J171" t="str">
            <v>bueno</v>
          </cell>
          <cell r="K171" t="str">
            <v>defsi</v>
          </cell>
        </row>
        <row r="172">
          <cell r="B172" t="b">
            <v>1</v>
          </cell>
          <cell r="E172" t="str">
            <v>Libano</v>
          </cell>
          <cell r="H172" t="str">
            <v>consulta_externa</v>
          </cell>
          <cell r="J172" t="str">
            <v>bueno</v>
          </cell>
          <cell r="K172" t="str">
            <v>defsi</v>
          </cell>
        </row>
        <row r="173">
          <cell r="B173" t="b">
            <v>1</v>
          </cell>
          <cell r="E173" t="str">
            <v>Libano</v>
          </cell>
          <cell r="H173" t="str">
            <v>salud_oral</v>
          </cell>
          <cell r="J173" t="str">
            <v>bueno</v>
          </cell>
          <cell r="K173" t="str">
            <v>defsi</v>
          </cell>
        </row>
        <row r="174">
          <cell r="B174" t="b">
            <v>1</v>
          </cell>
          <cell r="E174" t="str">
            <v>Libano</v>
          </cell>
          <cell r="H174" t="str">
            <v>laboratorio</v>
          </cell>
          <cell r="J174" t="str">
            <v>bueno</v>
          </cell>
          <cell r="K174" t="str">
            <v>defsi</v>
          </cell>
        </row>
        <row r="175">
          <cell r="B175" t="b">
            <v>1</v>
          </cell>
          <cell r="E175" t="str">
            <v>Libano</v>
          </cell>
          <cell r="H175" t="str">
            <v>ecografias</v>
          </cell>
          <cell r="J175" t="str">
            <v>bueno</v>
          </cell>
          <cell r="K175" t="str">
            <v>defsi</v>
          </cell>
        </row>
        <row r="176">
          <cell r="B176" t="b">
            <v>1</v>
          </cell>
          <cell r="E176" t="str">
            <v>Libano</v>
          </cell>
          <cell r="H176" t="str">
            <v>ginecologia</v>
          </cell>
          <cell r="J176" t="str">
            <v>bueno</v>
          </cell>
          <cell r="K176" t="str">
            <v>defsi</v>
          </cell>
        </row>
        <row r="177">
          <cell r="B177" t="b">
            <v>1</v>
          </cell>
          <cell r="E177" t="str">
            <v>Libano</v>
          </cell>
          <cell r="H177" t="str">
            <v>pediatria</v>
          </cell>
          <cell r="J177" t="str">
            <v>bueno</v>
          </cell>
          <cell r="K177" t="str">
            <v>defsi</v>
          </cell>
        </row>
        <row r="178">
          <cell r="B178" t="b">
            <v>1</v>
          </cell>
          <cell r="E178" t="str">
            <v>Libano</v>
          </cell>
          <cell r="H178" t="str">
            <v>consulta_externa</v>
          </cell>
          <cell r="J178" t="str">
            <v>bueno</v>
          </cell>
          <cell r="K178" t="str">
            <v>defsi</v>
          </cell>
        </row>
        <row r="179">
          <cell r="B179" t="b">
            <v>1</v>
          </cell>
          <cell r="E179" t="str">
            <v>Gaviotas</v>
          </cell>
          <cell r="H179" t="str">
            <v>salud_oral</v>
          </cell>
          <cell r="J179" t="str">
            <v>bueno</v>
          </cell>
          <cell r="K179" t="str">
            <v>defsi</v>
          </cell>
        </row>
        <row r="180">
          <cell r="B180" t="b">
            <v>1</v>
          </cell>
          <cell r="E180" t="str">
            <v>Gaviotas</v>
          </cell>
          <cell r="H180" t="str">
            <v>consulta_externa</v>
          </cell>
          <cell r="J180" t="str">
            <v>bueno</v>
          </cell>
          <cell r="K180" t="str">
            <v>defsi</v>
          </cell>
        </row>
        <row r="181">
          <cell r="B181" t="b">
            <v>1</v>
          </cell>
          <cell r="E181" t="str">
            <v>Libano</v>
          </cell>
          <cell r="H181" t="str">
            <v>laboratorio</v>
          </cell>
          <cell r="J181" t="str">
            <v>bueno</v>
          </cell>
          <cell r="K181" t="str">
            <v>defsi</v>
          </cell>
        </row>
        <row r="182">
          <cell r="B182" t="b">
            <v>1</v>
          </cell>
          <cell r="E182" t="str">
            <v>Gaviotas</v>
          </cell>
          <cell r="H182" t="str">
            <v>salud_oral</v>
          </cell>
          <cell r="J182" t="str">
            <v>bueno</v>
          </cell>
          <cell r="K182" t="str">
            <v>defsi</v>
          </cell>
        </row>
        <row r="183">
          <cell r="B183" t="b">
            <v>1</v>
          </cell>
          <cell r="E183" t="str">
            <v>Libano</v>
          </cell>
          <cell r="H183" t="str">
            <v>ecografias</v>
          </cell>
          <cell r="J183" t="str">
            <v>bueno</v>
          </cell>
          <cell r="K183" t="str">
            <v>defsi</v>
          </cell>
        </row>
        <row r="184">
          <cell r="B184" t="b">
            <v>1</v>
          </cell>
          <cell r="E184" t="str">
            <v>Gaviotas</v>
          </cell>
          <cell r="H184" t="str">
            <v>consulta_externa</v>
          </cell>
          <cell r="J184" t="str">
            <v>bueno</v>
          </cell>
          <cell r="K184" t="str">
            <v>defsi</v>
          </cell>
        </row>
        <row r="185">
          <cell r="B185" t="b">
            <v>1</v>
          </cell>
          <cell r="E185" t="str">
            <v>Gaviotas</v>
          </cell>
          <cell r="H185" t="str">
            <v>consulta_externa</v>
          </cell>
          <cell r="J185" t="str">
            <v>bueno</v>
          </cell>
          <cell r="K185" t="str">
            <v>defsi</v>
          </cell>
        </row>
        <row r="186">
          <cell r="B186" t="b">
            <v>1</v>
          </cell>
          <cell r="E186" t="str">
            <v>Libano</v>
          </cell>
          <cell r="H186" t="str">
            <v>ginecologia</v>
          </cell>
          <cell r="J186" t="str">
            <v>bueno</v>
          </cell>
          <cell r="K186" t="str">
            <v>defsi</v>
          </cell>
        </row>
        <row r="187">
          <cell r="B187" t="b">
            <v>1</v>
          </cell>
          <cell r="E187" t="str">
            <v>Gaviotas</v>
          </cell>
          <cell r="H187" t="str">
            <v>laboratorio</v>
          </cell>
          <cell r="J187" t="str">
            <v>bueno</v>
          </cell>
          <cell r="K187" t="str">
            <v>defsi</v>
          </cell>
        </row>
        <row r="188">
          <cell r="B188" t="b">
            <v>1</v>
          </cell>
          <cell r="E188" t="str">
            <v>Libano</v>
          </cell>
          <cell r="H188" t="str">
            <v>pediatria</v>
          </cell>
          <cell r="J188" t="str">
            <v>bueno</v>
          </cell>
          <cell r="K188" t="str">
            <v>defsi</v>
          </cell>
        </row>
        <row r="189">
          <cell r="B189" t="b">
            <v>1</v>
          </cell>
          <cell r="E189" t="str">
            <v>Gaviotas</v>
          </cell>
          <cell r="H189" t="str">
            <v>laboratorio</v>
          </cell>
          <cell r="J189" t="str">
            <v>bueno</v>
          </cell>
          <cell r="K189" t="str">
            <v>defsi</v>
          </cell>
        </row>
        <row r="190">
          <cell r="B190" t="b">
            <v>1</v>
          </cell>
          <cell r="E190" t="str">
            <v>Gaviotas</v>
          </cell>
          <cell r="H190" t="str">
            <v>laboratorio</v>
          </cell>
          <cell r="J190" t="str">
            <v>bueno</v>
          </cell>
          <cell r="K190" t="str">
            <v>defsi</v>
          </cell>
        </row>
        <row r="191">
          <cell r="B191" t="b">
            <v>1</v>
          </cell>
          <cell r="E191" t="str">
            <v>Gaviotas</v>
          </cell>
          <cell r="H191" t="str">
            <v>salud_oral</v>
          </cell>
          <cell r="J191" t="str">
            <v>bueno</v>
          </cell>
          <cell r="K191" t="str">
            <v>defsi</v>
          </cell>
        </row>
        <row r="192">
          <cell r="B192" t="b">
            <v>1</v>
          </cell>
          <cell r="E192" t="str">
            <v>Gaviotas</v>
          </cell>
          <cell r="H192" t="str">
            <v>salud_oral</v>
          </cell>
          <cell r="J192" t="str">
            <v>bueno</v>
          </cell>
          <cell r="K192" t="str">
            <v>defsi</v>
          </cell>
        </row>
        <row r="193">
          <cell r="B193" t="b">
            <v>1</v>
          </cell>
          <cell r="E193" t="str">
            <v>Libano</v>
          </cell>
          <cell r="H193" t="str">
            <v>consulta_externa</v>
          </cell>
          <cell r="J193" t="str">
            <v>bueno</v>
          </cell>
          <cell r="K193" t="str">
            <v>defsi</v>
          </cell>
        </row>
        <row r="194">
          <cell r="B194" t="b">
            <v>1</v>
          </cell>
          <cell r="E194" t="str">
            <v>Libano</v>
          </cell>
          <cell r="H194" t="str">
            <v>salud_oral</v>
          </cell>
          <cell r="J194" t="str">
            <v>bueno</v>
          </cell>
          <cell r="K194" t="str">
            <v>defsi</v>
          </cell>
        </row>
        <row r="195">
          <cell r="B195" t="b">
            <v>1</v>
          </cell>
          <cell r="E195" t="str">
            <v>Libano</v>
          </cell>
          <cell r="H195" t="str">
            <v>laboratorio</v>
          </cell>
          <cell r="J195" t="str">
            <v>bueno</v>
          </cell>
          <cell r="K195" t="str">
            <v>defsi</v>
          </cell>
        </row>
        <row r="196">
          <cell r="B196" t="b">
            <v>1</v>
          </cell>
          <cell r="E196" t="str">
            <v>Libano</v>
          </cell>
          <cell r="H196" t="str">
            <v>ginecologia</v>
          </cell>
          <cell r="J196" t="str">
            <v>bueno</v>
          </cell>
          <cell r="K196" t="str">
            <v>defsi</v>
          </cell>
        </row>
        <row r="197">
          <cell r="B197" t="b">
            <v>1</v>
          </cell>
          <cell r="E197" t="str">
            <v>Libano</v>
          </cell>
          <cell r="H197" t="str">
            <v>pediatria</v>
          </cell>
          <cell r="J197" t="str">
            <v>bueno</v>
          </cell>
          <cell r="K197" t="str">
            <v>defsi</v>
          </cell>
        </row>
        <row r="198">
          <cell r="B198" t="b">
            <v>1</v>
          </cell>
          <cell r="E198" t="str">
            <v>Libano</v>
          </cell>
          <cell r="H198" t="str">
            <v>consulta_externa</v>
          </cell>
          <cell r="J198" t="str">
            <v>bueno</v>
          </cell>
          <cell r="K198" t="str">
            <v>defsi</v>
          </cell>
        </row>
        <row r="199">
          <cell r="B199" t="b">
            <v>1</v>
          </cell>
          <cell r="E199" t="str">
            <v>Libano</v>
          </cell>
          <cell r="H199" t="str">
            <v>salud_oral</v>
          </cell>
          <cell r="J199" t="str">
            <v>bueno</v>
          </cell>
          <cell r="K199" t="str">
            <v>defsi</v>
          </cell>
        </row>
        <row r="200">
          <cell r="B200" t="b">
            <v>1</v>
          </cell>
          <cell r="E200" t="str">
            <v>Libano</v>
          </cell>
          <cell r="H200" t="str">
            <v>laboratorio</v>
          </cell>
          <cell r="J200" t="str">
            <v>bueno</v>
          </cell>
          <cell r="K200" t="str">
            <v>defsi</v>
          </cell>
        </row>
        <row r="201">
          <cell r="B201" t="b">
            <v>1</v>
          </cell>
          <cell r="E201" t="str">
            <v>Libano</v>
          </cell>
          <cell r="H201" t="str">
            <v>consulta_externa</v>
          </cell>
          <cell r="J201" t="str">
            <v>bueno</v>
          </cell>
          <cell r="K201" t="str">
            <v>defsi</v>
          </cell>
        </row>
        <row r="202">
          <cell r="B202" t="b">
            <v>1</v>
          </cell>
          <cell r="E202" t="str">
            <v>Libano</v>
          </cell>
          <cell r="H202" t="str">
            <v>salud_oral</v>
          </cell>
          <cell r="J202" t="str">
            <v>bueno</v>
          </cell>
          <cell r="K202" t="str">
            <v>defsi</v>
          </cell>
        </row>
        <row r="203">
          <cell r="B203" t="b">
            <v>1</v>
          </cell>
          <cell r="E203" t="str">
            <v>Libano</v>
          </cell>
          <cell r="H203" t="str">
            <v>salud_oral</v>
          </cell>
          <cell r="J203" t="str">
            <v>bueno</v>
          </cell>
          <cell r="K203" t="str">
            <v>defsi</v>
          </cell>
        </row>
        <row r="204">
          <cell r="B204" t="b">
            <v>1</v>
          </cell>
          <cell r="E204" t="str">
            <v>Libano</v>
          </cell>
          <cell r="H204" t="str">
            <v>laboratorio</v>
          </cell>
          <cell r="J204" t="str">
            <v>bueno</v>
          </cell>
          <cell r="K204" t="str">
            <v>defsi</v>
          </cell>
        </row>
        <row r="205">
          <cell r="B205" t="b">
            <v>1</v>
          </cell>
          <cell r="E205" t="str">
            <v>Libano</v>
          </cell>
          <cell r="H205" t="str">
            <v>consulta_externa</v>
          </cell>
          <cell r="J205" t="str">
            <v>bueno</v>
          </cell>
          <cell r="K205" t="str">
            <v>defsi</v>
          </cell>
        </row>
        <row r="206">
          <cell r="B206" t="b">
            <v>1</v>
          </cell>
          <cell r="E206" t="str">
            <v>Libano</v>
          </cell>
          <cell r="H206" t="str">
            <v>salud_oral</v>
          </cell>
          <cell r="J206" t="str">
            <v>bueno</v>
          </cell>
          <cell r="K206" t="str">
            <v>defsi</v>
          </cell>
        </row>
        <row r="207">
          <cell r="B207" t="b">
            <v>1</v>
          </cell>
          <cell r="E207" t="str">
            <v>Libano</v>
          </cell>
          <cell r="H207" t="str">
            <v>laboratorio</v>
          </cell>
          <cell r="J207" t="str">
            <v>bueno</v>
          </cell>
          <cell r="K207" t="str">
            <v>defsi</v>
          </cell>
        </row>
        <row r="208">
          <cell r="B208" t="b">
            <v>1</v>
          </cell>
          <cell r="E208" t="str">
            <v>Libano</v>
          </cell>
          <cell r="H208" t="str">
            <v>salud_oral</v>
          </cell>
          <cell r="J208" t="str">
            <v>bueno</v>
          </cell>
          <cell r="K208" t="str">
            <v>defsi</v>
          </cell>
        </row>
        <row r="209">
          <cell r="B209" t="b">
            <v>1</v>
          </cell>
          <cell r="E209" t="str">
            <v>Libano</v>
          </cell>
          <cell r="H209" t="str">
            <v>laboratorio</v>
          </cell>
          <cell r="J209" t="str">
            <v>bueno</v>
          </cell>
          <cell r="K209" t="str">
            <v>defsi</v>
          </cell>
        </row>
        <row r="210">
          <cell r="B210" t="b">
            <v>1</v>
          </cell>
          <cell r="E210" t="str">
            <v>Socorro</v>
          </cell>
          <cell r="H210" t="str">
            <v>consulta_externa</v>
          </cell>
          <cell r="J210" t="str">
            <v>bueno</v>
          </cell>
          <cell r="K210" t="str">
            <v>probsi</v>
          </cell>
        </row>
        <row r="211">
          <cell r="B211" t="b">
            <v>1</v>
          </cell>
          <cell r="E211" t="str">
            <v>Socorro</v>
          </cell>
          <cell r="H211" t="str">
            <v>laboratorio</v>
          </cell>
          <cell r="J211" t="str">
            <v>bueno</v>
          </cell>
          <cell r="K211" t="str">
            <v>probsi</v>
          </cell>
        </row>
        <row r="212">
          <cell r="B212" t="b">
            <v>0</v>
          </cell>
          <cell r="E212" t="str">
            <v>Socorro</v>
          </cell>
          <cell r="H212" t="str">
            <v>laboratorio</v>
          </cell>
          <cell r="J212" t="str">
            <v>regular</v>
          </cell>
          <cell r="K212" t="str">
            <v>probsi</v>
          </cell>
        </row>
        <row r="213">
          <cell r="B213" t="b">
            <v>0</v>
          </cell>
          <cell r="E213" t="str">
            <v>Socorro</v>
          </cell>
          <cell r="H213" t="str">
            <v>consulta_externa</v>
          </cell>
          <cell r="J213" t="str">
            <v>regular</v>
          </cell>
          <cell r="K213" t="str">
            <v>probsi</v>
          </cell>
        </row>
        <row r="214">
          <cell r="B214" t="b">
            <v>0</v>
          </cell>
          <cell r="E214" t="str">
            <v>Socorro</v>
          </cell>
          <cell r="H214" t="str">
            <v>salud_oral</v>
          </cell>
          <cell r="J214" t="str">
            <v>regular</v>
          </cell>
          <cell r="K214" t="str">
            <v>probsi</v>
          </cell>
        </row>
        <row r="215">
          <cell r="B215" t="b">
            <v>1</v>
          </cell>
          <cell r="E215" t="str">
            <v>Socorro</v>
          </cell>
          <cell r="H215" t="str">
            <v>consulta_externa</v>
          </cell>
          <cell r="J215" t="str">
            <v>bueno</v>
          </cell>
          <cell r="K215" t="str">
            <v>probsi</v>
          </cell>
        </row>
        <row r="216">
          <cell r="B216" t="b">
            <v>1</v>
          </cell>
          <cell r="E216" t="str">
            <v>Socorro</v>
          </cell>
          <cell r="H216" t="str">
            <v>salud_oral</v>
          </cell>
          <cell r="J216" t="str">
            <v>bueno</v>
          </cell>
          <cell r="K216" t="str">
            <v>probsi</v>
          </cell>
        </row>
        <row r="217">
          <cell r="B217" t="b">
            <v>1</v>
          </cell>
          <cell r="E217" t="str">
            <v>Socorro</v>
          </cell>
          <cell r="H217" t="str">
            <v>consulta_externa</v>
          </cell>
          <cell r="J217" t="str">
            <v>bueno</v>
          </cell>
          <cell r="K217" t="str">
            <v>probsi</v>
          </cell>
        </row>
        <row r="218">
          <cell r="B218" t="b">
            <v>1</v>
          </cell>
          <cell r="E218" t="str">
            <v>Socorro</v>
          </cell>
          <cell r="H218" t="str">
            <v>laboratorio</v>
          </cell>
          <cell r="J218" t="str">
            <v>bueno</v>
          </cell>
          <cell r="K218" t="str">
            <v>probsi</v>
          </cell>
        </row>
        <row r="219">
          <cell r="B219" t="b">
            <v>1</v>
          </cell>
          <cell r="E219" t="str">
            <v>Socorro</v>
          </cell>
          <cell r="H219" t="str">
            <v>consulta_externa</v>
          </cell>
          <cell r="J219" t="str">
            <v>bueno</v>
          </cell>
          <cell r="K219" t="str">
            <v>probsi</v>
          </cell>
        </row>
        <row r="220">
          <cell r="B220" t="b">
            <v>1</v>
          </cell>
          <cell r="E220" t="str">
            <v>Blasdelezo</v>
          </cell>
          <cell r="H220" t="str">
            <v>consulta_externa</v>
          </cell>
          <cell r="J220" t="str">
            <v>bueno</v>
          </cell>
          <cell r="K220" t="str">
            <v>defsi</v>
          </cell>
        </row>
        <row r="221">
          <cell r="B221" t="b">
            <v>1</v>
          </cell>
          <cell r="E221" t="str">
            <v>Blasdelezo</v>
          </cell>
          <cell r="H221" t="str">
            <v>salud_oral</v>
          </cell>
          <cell r="J221" t="str">
            <v>bueno</v>
          </cell>
          <cell r="K221" t="str">
            <v>defsi</v>
          </cell>
        </row>
        <row r="222">
          <cell r="B222" t="b">
            <v>1</v>
          </cell>
          <cell r="E222" t="str">
            <v>Blasdelezo</v>
          </cell>
          <cell r="H222" t="str">
            <v>laboratorio</v>
          </cell>
          <cell r="J222" t="str">
            <v>bueno</v>
          </cell>
          <cell r="K222" t="str">
            <v>defsi</v>
          </cell>
        </row>
        <row r="223">
          <cell r="B223" t="b">
            <v>1</v>
          </cell>
          <cell r="E223" t="str">
            <v>Blasdelezo</v>
          </cell>
          <cell r="H223" t="str">
            <v>urgencia</v>
          </cell>
          <cell r="J223" t="str">
            <v>bueno</v>
          </cell>
          <cell r="K223" t="str">
            <v>defsi</v>
          </cell>
        </row>
        <row r="224">
          <cell r="B224" t="b">
            <v>1</v>
          </cell>
          <cell r="E224" t="str">
            <v>Las Reinas</v>
          </cell>
          <cell r="H224" t="str">
            <v>consulta_externa</v>
          </cell>
          <cell r="J224" t="str">
            <v>bueno</v>
          </cell>
          <cell r="K224" t="str">
            <v>defsi</v>
          </cell>
        </row>
        <row r="225">
          <cell r="B225" t="b">
            <v>1</v>
          </cell>
          <cell r="E225" t="str">
            <v>Las Reinas</v>
          </cell>
          <cell r="H225" t="str">
            <v>consulta_externa</v>
          </cell>
          <cell r="J225" t="str">
            <v>bueno</v>
          </cell>
          <cell r="K225" t="str">
            <v>defsi</v>
          </cell>
        </row>
        <row r="226">
          <cell r="B226" t="b">
            <v>1</v>
          </cell>
          <cell r="E226" t="str">
            <v>Las Reinas</v>
          </cell>
          <cell r="H226" t="str">
            <v>consulta_externa</v>
          </cell>
          <cell r="J226" t="str">
            <v>bueno</v>
          </cell>
          <cell r="K226" t="str">
            <v>defsi</v>
          </cell>
        </row>
        <row r="227">
          <cell r="B227" t="b">
            <v>1</v>
          </cell>
          <cell r="E227" t="str">
            <v>Blasdelezo</v>
          </cell>
          <cell r="H227" t="str">
            <v>consulta_externa</v>
          </cell>
          <cell r="J227" t="str">
            <v>bueno</v>
          </cell>
          <cell r="K227" t="str">
            <v>defsi</v>
          </cell>
        </row>
        <row r="228">
          <cell r="B228" t="b">
            <v>1</v>
          </cell>
          <cell r="E228" t="str">
            <v>Blasdelezo</v>
          </cell>
          <cell r="H228" t="str">
            <v>salud_oral</v>
          </cell>
          <cell r="J228" t="str">
            <v>bueno</v>
          </cell>
          <cell r="K228" t="str">
            <v>defsi</v>
          </cell>
        </row>
        <row r="229">
          <cell r="B229" t="b">
            <v>1</v>
          </cell>
          <cell r="E229" t="str">
            <v>Las Reinas</v>
          </cell>
          <cell r="H229" t="str">
            <v>consulta_externa</v>
          </cell>
          <cell r="J229" t="str">
            <v>bueno</v>
          </cell>
          <cell r="K229" t="str">
            <v>defsi</v>
          </cell>
        </row>
        <row r="230">
          <cell r="B230" t="b">
            <v>0</v>
          </cell>
          <cell r="E230" t="str">
            <v>Socorro</v>
          </cell>
          <cell r="H230" t="str">
            <v>consulta_externa</v>
          </cell>
          <cell r="J230" t="str">
            <v>regular</v>
          </cell>
          <cell r="K230" t="str">
            <v>probsi</v>
          </cell>
        </row>
        <row r="231">
          <cell r="B231" t="b">
            <v>1</v>
          </cell>
          <cell r="E231" t="str">
            <v>Blasdelezo</v>
          </cell>
          <cell r="H231" t="str">
            <v>laboratorio</v>
          </cell>
          <cell r="J231" t="str">
            <v>bueno</v>
          </cell>
          <cell r="K231" t="str">
            <v>defsi</v>
          </cell>
        </row>
        <row r="232">
          <cell r="B232" t="b">
            <v>1</v>
          </cell>
          <cell r="E232" t="str">
            <v>Las Reinas</v>
          </cell>
          <cell r="H232" t="str">
            <v>consulta_externa</v>
          </cell>
          <cell r="J232" t="str">
            <v>bueno</v>
          </cell>
          <cell r="K232" t="str">
            <v>defsi</v>
          </cell>
        </row>
        <row r="233">
          <cell r="B233" t="b">
            <v>1</v>
          </cell>
          <cell r="E233" t="str">
            <v>Las Reinas</v>
          </cell>
          <cell r="H233" t="str">
            <v>consulta_externa</v>
          </cell>
          <cell r="J233" t="str">
            <v>bueno</v>
          </cell>
          <cell r="K233" t="str">
            <v>defsi</v>
          </cell>
        </row>
        <row r="234">
          <cell r="B234" t="b">
            <v>1</v>
          </cell>
          <cell r="E234" t="str">
            <v>Las Reinas</v>
          </cell>
          <cell r="H234" t="str">
            <v>salud_oral</v>
          </cell>
          <cell r="J234" t="str">
            <v>bueno</v>
          </cell>
          <cell r="K234" t="str">
            <v>defsi</v>
          </cell>
        </row>
        <row r="235">
          <cell r="B235" t="b">
            <v>1</v>
          </cell>
          <cell r="E235" t="str">
            <v>Blasdelezo</v>
          </cell>
          <cell r="H235" t="str">
            <v>urgencia</v>
          </cell>
          <cell r="J235" t="str">
            <v>bueno</v>
          </cell>
          <cell r="K235" t="str">
            <v>defsi</v>
          </cell>
        </row>
        <row r="236">
          <cell r="B236" t="b">
            <v>1</v>
          </cell>
          <cell r="E236" t="str">
            <v>Blasdelezo</v>
          </cell>
          <cell r="H236" t="str">
            <v>consulta_externa</v>
          </cell>
          <cell r="J236" t="str">
            <v>bueno</v>
          </cell>
          <cell r="K236" t="str">
            <v>defsi</v>
          </cell>
        </row>
        <row r="237">
          <cell r="B237" t="b">
            <v>1</v>
          </cell>
          <cell r="E237" t="str">
            <v>Blasdelezo</v>
          </cell>
          <cell r="H237" t="str">
            <v>salud_oral</v>
          </cell>
          <cell r="J237" t="str">
            <v>bueno</v>
          </cell>
          <cell r="K237" t="str">
            <v>defsi</v>
          </cell>
        </row>
        <row r="238">
          <cell r="B238" t="b">
            <v>0</v>
          </cell>
          <cell r="E238" t="str">
            <v>Socorro</v>
          </cell>
          <cell r="H238" t="str">
            <v>salud_oral</v>
          </cell>
          <cell r="J238" t="str">
            <v>regular</v>
          </cell>
          <cell r="K238" t="str">
            <v>probsi</v>
          </cell>
        </row>
        <row r="239">
          <cell r="B239" t="b">
            <v>0</v>
          </cell>
          <cell r="E239" t="str">
            <v>Socorro</v>
          </cell>
          <cell r="H239" t="str">
            <v>salud_oral</v>
          </cell>
          <cell r="J239" t="str">
            <v>regular</v>
          </cell>
          <cell r="K239" t="str">
            <v>probsi</v>
          </cell>
        </row>
        <row r="240">
          <cell r="B240" t="b">
            <v>1</v>
          </cell>
          <cell r="E240" t="str">
            <v>Socorro</v>
          </cell>
          <cell r="H240" t="str">
            <v>salud_oral</v>
          </cell>
          <cell r="J240" t="str">
            <v>bueno</v>
          </cell>
          <cell r="K240" t="str">
            <v>probsi</v>
          </cell>
        </row>
        <row r="241">
          <cell r="B241" t="b">
            <v>1</v>
          </cell>
          <cell r="E241" t="str">
            <v>Socorro</v>
          </cell>
          <cell r="H241" t="str">
            <v>salud_oral</v>
          </cell>
          <cell r="J241" t="str">
            <v>bueno</v>
          </cell>
          <cell r="K241" t="str">
            <v>probsi</v>
          </cell>
        </row>
        <row r="242">
          <cell r="B242" t="b">
            <v>0</v>
          </cell>
          <cell r="E242" t="str">
            <v>Socorro</v>
          </cell>
          <cell r="H242" t="str">
            <v>laboratorio</v>
          </cell>
          <cell r="J242" t="str">
            <v>regular</v>
          </cell>
          <cell r="K242" t="str">
            <v>probsi</v>
          </cell>
        </row>
        <row r="243">
          <cell r="B243" t="b">
            <v>0</v>
          </cell>
          <cell r="E243" t="str">
            <v>Socorro</v>
          </cell>
          <cell r="H243" t="str">
            <v>laboratorio</v>
          </cell>
          <cell r="J243" t="str">
            <v>regular</v>
          </cell>
          <cell r="K243" t="str">
            <v>probsi</v>
          </cell>
        </row>
        <row r="244">
          <cell r="B244" t="b">
            <v>1</v>
          </cell>
          <cell r="E244" t="str">
            <v>Blasdelezo</v>
          </cell>
          <cell r="H244" t="str">
            <v>laboratorio</v>
          </cell>
          <cell r="J244" t="str">
            <v>bueno</v>
          </cell>
          <cell r="K244" t="str">
            <v>defsi</v>
          </cell>
        </row>
        <row r="245">
          <cell r="B245" t="b">
            <v>0</v>
          </cell>
          <cell r="E245" t="str">
            <v>Socorro</v>
          </cell>
          <cell r="H245" t="str">
            <v>laboratorio</v>
          </cell>
          <cell r="J245" t="str">
            <v>regular</v>
          </cell>
          <cell r="K245" t="str">
            <v>probsi</v>
          </cell>
        </row>
        <row r="246">
          <cell r="B246" t="b">
            <v>1</v>
          </cell>
          <cell r="E246" t="str">
            <v>Socorro</v>
          </cell>
          <cell r="H246" t="str">
            <v>laboratorio</v>
          </cell>
          <cell r="J246" t="str">
            <v>bueno</v>
          </cell>
          <cell r="K246" t="str">
            <v>probsi</v>
          </cell>
        </row>
        <row r="247">
          <cell r="B247" t="b">
            <v>1</v>
          </cell>
          <cell r="E247" t="str">
            <v>Socorro</v>
          </cell>
          <cell r="H247" t="str">
            <v>laboratorio</v>
          </cell>
          <cell r="J247" t="str">
            <v>bueno</v>
          </cell>
          <cell r="K247" t="str">
            <v>probsi</v>
          </cell>
        </row>
        <row r="248">
          <cell r="B248" t="b">
            <v>1</v>
          </cell>
          <cell r="E248" t="str">
            <v>Blasdelezo</v>
          </cell>
          <cell r="H248" t="str">
            <v>urgencia</v>
          </cell>
          <cell r="J248" t="str">
            <v>bueno</v>
          </cell>
          <cell r="K248" t="str">
            <v>defsi</v>
          </cell>
        </row>
        <row r="249">
          <cell r="B249" t="b">
            <v>1</v>
          </cell>
          <cell r="E249" t="str">
            <v>Las Reinas</v>
          </cell>
          <cell r="H249" t="str">
            <v>consulta_externa</v>
          </cell>
          <cell r="J249" t="str">
            <v>bueno</v>
          </cell>
          <cell r="K249" t="str">
            <v>defsi</v>
          </cell>
        </row>
        <row r="250">
          <cell r="B250" t="b">
            <v>1</v>
          </cell>
          <cell r="E250" t="str">
            <v>Blasdelezo</v>
          </cell>
          <cell r="H250" t="str">
            <v>consulta_externa</v>
          </cell>
          <cell r="J250" t="str">
            <v>bueno</v>
          </cell>
          <cell r="K250" t="str">
            <v>defsi</v>
          </cell>
        </row>
        <row r="251">
          <cell r="B251" t="b">
            <v>1</v>
          </cell>
          <cell r="E251" t="str">
            <v>Socorro</v>
          </cell>
          <cell r="H251" t="str">
            <v>consulta_externa</v>
          </cell>
          <cell r="J251" t="str">
            <v>bueno</v>
          </cell>
          <cell r="K251" t="str">
            <v>probsi</v>
          </cell>
        </row>
        <row r="252">
          <cell r="B252" t="b">
            <v>1</v>
          </cell>
          <cell r="E252" t="str">
            <v>Blasdelezo</v>
          </cell>
          <cell r="H252" t="str">
            <v>salud_oral</v>
          </cell>
          <cell r="J252" t="str">
            <v>bueno</v>
          </cell>
          <cell r="K252" t="str">
            <v>defsi</v>
          </cell>
        </row>
        <row r="253">
          <cell r="B253" t="b">
            <v>1</v>
          </cell>
          <cell r="E253" t="str">
            <v>Socorro</v>
          </cell>
          <cell r="H253" t="str">
            <v>salud_oral</v>
          </cell>
          <cell r="J253" t="str">
            <v>bueno</v>
          </cell>
          <cell r="K253" t="str">
            <v>probsi</v>
          </cell>
        </row>
        <row r="254">
          <cell r="B254" t="b">
            <v>1</v>
          </cell>
          <cell r="E254" t="str">
            <v>Las Reinas</v>
          </cell>
          <cell r="H254" t="str">
            <v>consulta_externa</v>
          </cell>
          <cell r="J254" t="str">
            <v>bueno</v>
          </cell>
          <cell r="K254" t="str">
            <v>defsi</v>
          </cell>
        </row>
        <row r="255">
          <cell r="B255" t="b">
            <v>1</v>
          </cell>
          <cell r="E255" t="str">
            <v>Blasdelezo</v>
          </cell>
          <cell r="H255" t="str">
            <v>laboratorio</v>
          </cell>
          <cell r="J255" t="str">
            <v>bueno</v>
          </cell>
          <cell r="K255" t="str">
            <v>defsi</v>
          </cell>
        </row>
        <row r="256">
          <cell r="B256" t="b">
            <v>1</v>
          </cell>
          <cell r="E256" t="str">
            <v>Blasdelezo</v>
          </cell>
          <cell r="H256" t="str">
            <v>urgencia</v>
          </cell>
          <cell r="J256" t="str">
            <v>bueno</v>
          </cell>
          <cell r="K256" t="str">
            <v>defsi</v>
          </cell>
        </row>
        <row r="257">
          <cell r="B257" t="b">
            <v>0</v>
          </cell>
          <cell r="E257" t="str">
            <v>Las Reinas</v>
          </cell>
          <cell r="H257" t="str">
            <v>consulta_externa</v>
          </cell>
          <cell r="J257" t="str">
            <v>regular</v>
          </cell>
          <cell r="K257" t="str">
            <v>defsi</v>
          </cell>
        </row>
        <row r="258">
          <cell r="B258" t="b">
            <v>0</v>
          </cell>
          <cell r="E258" t="str">
            <v>Las Reinas</v>
          </cell>
          <cell r="H258" t="str">
            <v>laboratorio</v>
          </cell>
          <cell r="J258" t="str">
            <v>regular</v>
          </cell>
          <cell r="K258" t="str">
            <v>defsi</v>
          </cell>
        </row>
        <row r="259">
          <cell r="B259" t="b">
            <v>1</v>
          </cell>
          <cell r="E259" t="str">
            <v>Socorro</v>
          </cell>
          <cell r="H259" t="str">
            <v>ecografias</v>
          </cell>
          <cell r="J259" t="str">
            <v>bueno</v>
          </cell>
          <cell r="K259" t="str">
            <v>probsi</v>
          </cell>
        </row>
        <row r="260">
          <cell r="B260" t="b">
            <v>1</v>
          </cell>
          <cell r="E260" t="str">
            <v>Las Reinas</v>
          </cell>
          <cell r="H260" t="str">
            <v>laboratorio</v>
          </cell>
          <cell r="J260" t="str">
            <v>bueno</v>
          </cell>
          <cell r="K260" t="str">
            <v>defsi</v>
          </cell>
        </row>
        <row r="261">
          <cell r="B261" t="b">
            <v>1</v>
          </cell>
          <cell r="E261" t="str">
            <v>Las Reinas</v>
          </cell>
          <cell r="H261" t="str">
            <v>laboratorio</v>
          </cell>
          <cell r="J261" t="str">
            <v>bueno</v>
          </cell>
          <cell r="K261" t="str">
            <v>defsi</v>
          </cell>
        </row>
        <row r="262">
          <cell r="B262" t="b">
            <v>1</v>
          </cell>
          <cell r="E262" t="str">
            <v>Las Reinas</v>
          </cell>
          <cell r="H262" t="str">
            <v>consulta_externa</v>
          </cell>
          <cell r="J262" t="str">
            <v>bueno</v>
          </cell>
          <cell r="K262" t="str">
            <v>defsi</v>
          </cell>
        </row>
        <row r="263">
          <cell r="B263" t="b">
            <v>1</v>
          </cell>
          <cell r="E263" t="str">
            <v>Las Reinas</v>
          </cell>
          <cell r="H263" t="str">
            <v>consulta_externa</v>
          </cell>
          <cell r="J263" t="str">
            <v>bueno</v>
          </cell>
          <cell r="K263" t="str">
            <v>defsi</v>
          </cell>
        </row>
        <row r="264">
          <cell r="B264" t="b">
            <v>1</v>
          </cell>
          <cell r="E264" t="str">
            <v>Las Reinas</v>
          </cell>
          <cell r="H264" t="str">
            <v>laboratorio</v>
          </cell>
          <cell r="J264" t="str">
            <v>bueno</v>
          </cell>
          <cell r="K264" t="str">
            <v>defsi</v>
          </cell>
        </row>
        <row r="265">
          <cell r="B265" t="b">
            <v>1</v>
          </cell>
          <cell r="E265" t="str">
            <v>Blasdelezo</v>
          </cell>
          <cell r="H265" t="str">
            <v>consulta_externa</v>
          </cell>
          <cell r="J265" t="str">
            <v>bueno</v>
          </cell>
          <cell r="K265" t="str">
            <v>defsi</v>
          </cell>
        </row>
        <row r="266">
          <cell r="B266" t="b">
            <v>1</v>
          </cell>
          <cell r="E266" t="str">
            <v>Las Reinas</v>
          </cell>
          <cell r="H266" t="str">
            <v>salud_oral</v>
          </cell>
          <cell r="J266" t="str">
            <v>bueno</v>
          </cell>
          <cell r="K266" t="str">
            <v>defsi</v>
          </cell>
        </row>
        <row r="267">
          <cell r="B267" t="b">
            <v>1</v>
          </cell>
          <cell r="E267" t="str">
            <v>Blasdelezo</v>
          </cell>
          <cell r="H267" t="str">
            <v>salud_oral</v>
          </cell>
          <cell r="J267" t="str">
            <v>bueno</v>
          </cell>
          <cell r="K267" t="str">
            <v>defsi</v>
          </cell>
        </row>
        <row r="268">
          <cell r="B268" t="b">
            <v>1</v>
          </cell>
          <cell r="E268" t="str">
            <v>Las Reinas</v>
          </cell>
          <cell r="H268" t="str">
            <v>laboratorio</v>
          </cell>
          <cell r="J268" t="str">
            <v>bueno</v>
          </cell>
          <cell r="K268" t="str">
            <v>defsi</v>
          </cell>
        </row>
        <row r="269">
          <cell r="B269" t="b">
            <v>1</v>
          </cell>
          <cell r="E269" t="str">
            <v>Blasdelezo</v>
          </cell>
          <cell r="H269" t="str">
            <v>laboratorio</v>
          </cell>
          <cell r="J269" t="str">
            <v>bueno</v>
          </cell>
          <cell r="K269" t="str">
            <v>defsi</v>
          </cell>
        </row>
        <row r="270">
          <cell r="B270" t="b">
            <v>1</v>
          </cell>
          <cell r="E270" t="str">
            <v>Las Reinas</v>
          </cell>
          <cell r="H270" t="str">
            <v>laboratorio</v>
          </cell>
          <cell r="J270" t="str">
            <v>bueno</v>
          </cell>
          <cell r="K270" t="str">
            <v>defsi</v>
          </cell>
        </row>
        <row r="271">
          <cell r="B271" t="b">
            <v>1</v>
          </cell>
          <cell r="E271" t="str">
            <v>Blasdelezo</v>
          </cell>
          <cell r="H271" t="str">
            <v>urgencia</v>
          </cell>
          <cell r="J271" t="str">
            <v>bueno</v>
          </cell>
          <cell r="K271" t="str">
            <v>defsi</v>
          </cell>
        </row>
        <row r="272">
          <cell r="B272" t="b">
            <v>1</v>
          </cell>
          <cell r="E272" t="str">
            <v>Blasdelezo</v>
          </cell>
          <cell r="H272" t="str">
            <v>medicina_interna</v>
          </cell>
          <cell r="J272" t="str">
            <v>bueno</v>
          </cell>
          <cell r="K272" t="str">
            <v>defsi</v>
          </cell>
        </row>
        <row r="273">
          <cell r="B273" t="b">
            <v>1</v>
          </cell>
          <cell r="E273" t="str">
            <v>Las Reinas</v>
          </cell>
          <cell r="H273" t="str">
            <v>salud_oral</v>
          </cell>
          <cell r="J273" t="str">
            <v>bueno</v>
          </cell>
          <cell r="K273" t="str">
            <v>defsi</v>
          </cell>
        </row>
        <row r="274">
          <cell r="B274" t="b">
            <v>1</v>
          </cell>
          <cell r="E274" t="str">
            <v>Blasdelezo</v>
          </cell>
          <cell r="H274" t="str">
            <v>pediatria</v>
          </cell>
          <cell r="J274" t="str">
            <v>bueno</v>
          </cell>
          <cell r="K274" t="str">
            <v>defsi</v>
          </cell>
        </row>
        <row r="275">
          <cell r="B275" t="b">
            <v>1</v>
          </cell>
          <cell r="E275" t="str">
            <v>Blasdelezo</v>
          </cell>
          <cell r="H275" t="str">
            <v>consulta_externa</v>
          </cell>
          <cell r="J275" t="str">
            <v>bueno</v>
          </cell>
          <cell r="K275" t="str">
            <v>defsi</v>
          </cell>
        </row>
        <row r="276">
          <cell r="B276" t="b">
            <v>1</v>
          </cell>
          <cell r="E276" t="str">
            <v>Blasdelezo</v>
          </cell>
          <cell r="H276" t="str">
            <v>salud_oral</v>
          </cell>
          <cell r="J276" t="str">
            <v>bueno</v>
          </cell>
          <cell r="K276" t="str">
            <v>defsi</v>
          </cell>
        </row>
        <row r="277">
          <cell r="B277" t="b">
            <v>1</v>
          </cell>
          <cell r="E277" t="str">
            <v>Blasdelezo</v>
          </cell>
          <cell r="H277" t="str">
            <v>laboratorio</v>
          </cell>
          <cell r="J277" t="str">
            <v>bueno</v>
          </cell>
          <cell r="K277" t="str">
            <v>defsi</v>
          </cell>
        </row>
        <row r="278">
          <cell r="B278" t="b">
            <v>1</v>
          </cell>
          <cell r="E278" t="str">
            <v>Blasdelezo</v>
          </cell>
          <cell r="H278" t="str">
            <v>urgencia</v>
          </cell>
          <cell r="J278" t="str">
            <v>bueno</v>
          </cell>
          <cell r="K278" t="str">
            <v>defsi</v>
          </cell>
        </row>
        <row r="279">
          <cell r="B279" t="b">
            <v>1</v>
          </cell>
          <cell r="E279" t="str">
            <v>Blasdelezo</v>
          </cell>
          <cell r="H279" t="str">
            <v>medicina_interna</v>
          </cell>
          <cell r="J279" t="str">
            <v>bueno</v>
          </cell>
          <cell r="K279" t="str">
            <v>defsi</v>
          </cell>
        </row>
        <row r="280">
          <cell r="B280" t="b">
            <v>1</v>
          </cell>
          <cell r="E280" t="str">
            <v>Blasdelezo</v>
          </cell>
          <cell r="H280" t="str">
            <v>pediatria</v>
          </cell>
          <cell r="J280" t="str">
            <v>bueno</v>
          </cell>
          <cell r="K280" t="str">
            <v>defsi</v>
          </cell>
        </row>
        <row r="281">
          <cell r="B281" t="b">
            <v>1</v>
          </cell>
          <cell r="E281" t="str">
            <v>Las Reinas</v>
          </cell>
          <cell r="H281" t="str">
            <v>consulta_externa</v>
          </cell>
          <cell r="J281" t="str">
            <v>bueno</v>
          </cell>
          <cell r="K281" t="str">
            <v>defsi</v>
          </cell>
        </row>
        <row r="282">
          <cell r="B282" t="b">
            <v>1</v>
          </cell>
          <cell r="E282" t="str">
            <v>Las Reinas</v>
          </cell>
          <cell r="H282" t="str">
            <v>laboratorio</v>
          </cell>
          <cell r="J282" t="str">
            <v>bueno</v>
          </cell>
          <cell r="K282" t="str">
            <v>defsi</v>
          </cell>
        </row>
        <row r="283">
          <cell r="B283" t="b">
            <v>1</v>
          </cell>
          <cell r="E283" t="str">
            <v>Las Reinas</v>
          </cell>
          <cell r="H283" t="str">
            <v>laboratorio</v>
          </cell>
          <cell r="J283" t="str">
            <v>bueno</v>
          </cell>
          <cell r="K283" t="str">
            <v>defsi</v>
          </cell>
        </row>
        <row r="284">
          <cell r="B284" t="b">
            <v>1</v>
          </cell>
          <cell r="E284" t="str">
            <v>Las Reinas</v>
          </cell>
          <cell r="H284" t="str">
            <v>laboratorio</v>
          </cell>
          <cell r="J284" t="str">
            <v>bueno</v>
          </cell>
          <cell r="K284" t="str">
            <v>defsi</v>
          </cell>
        </row>
        <row r="285">
          <cell r="B285" t="b">
            <v>1</v>
          </cell>
          <cell r="E285" t="str">
            <v>Las Reinas</v>
          </cell>
          <cell r="H285" t="str">
            <v>laboratorio</v>
          </cell>
          <cell r="J285" t="str">
            <v>bueno</v>
          </cell>
          <cell r="K285" t="str">
            <v>defsi</v>
          </cell>
        </row>
        <row r="286">
          <cell r="B286" t="b">
            <v>1</v>
          </cell>
          <cell r="E286" t="str">
            <v>Las Reinas</v>
          </cell>
          <cell r="H286" t="str">
            <v>laboratorio</v>
          </cell>
          <cell r="J286" t="str">
            <v>bueno</v>
          </cell>
          <cell r="K286" t="str">
            <v>defsi</v>
          </cell>
        </row>
        <row r="287">
          <cell r="B287" t="b">
            <v>1</v>
          </cell>
          <cell r="E287" t="str">
            <v>Las Reinas</v>
          </cell>
          <cell r="H287" t="str">
            <v>laboratorio</v>
          </cell>
          <cell r="J287" t="str">
            <v>bueno</v>
          </cell>
          <cell r="K287" t="str">
            <v>defsi</v>
          </cell>
        </row>
        <row r="288">
          <cell r="B288" t="b">
            <v>1</v>
          </cell>
          <cell r="E288" t="str">
            <v>Socorro</v>
          </cell>
          <cell r="H288" t="str">
            <v>consulta_externa</v>
          </cell>
          <cell r="J288" t="str">
            <v>bueno</v>
          </cell>
          <cell r="K288" t="str">
            <v>probsi</v>
          </cell>
        </row>
        <row r="289">
          <cell r="B289" t="b">
            <v>1</v>
          </cell>
          <cell r="E289" t="str">
            <v>Socorro</v>
          </cell>
          <cell r="H289" t="str">
            <v>consulta_externa</v>
          </cell>
          <cell r="J289" t="str">
            <v>bueno</v>
          </cell>
          <cell r="K289" t="str">
            <v>probsi</v>
          </cell>
        </row>
        <row r="290">
          <cell r="B290" t="b">
            <v>1</v>
          </cell>
          <cell r="E290" t="str">
            <v>Socorro</v>
          </cell>
          <cell r="H290" t="str">
            <v>consulta_externa</v>
          </cell>
          <cell r="J290" t="str">
            <v>bueno</v>
          </cell>
          <cell r="K290" t="str">
            <v>probsi</v>
          </cell>
        </row>
        <row r="291">
          <cell r="B291" t="b">
            <v>1</v>
          </cell>
          <cell r="E291" t="str">
            <v>Socorro</v>
          </cell>
          <cell r="H291" t="str">
            <v>salud_oral</v>
          </cell>
          <cell r="J291" t="str">
            <v>bueno</v>
          </cell>
          <cell r="K291" t="str">
            <v>probsi</v>
          </cell>
        </row>
        <row r="292">
          <cell r="B292" t="b">
            <v>1</v>
          </cell>
          <cell r="E292" t="str">
            <v>Socorro</v>
          </cell>
          <cell r="H292" t="str">
            <v>salud_oral</v>
          </cell>
          <cell r="J292" t="str">
            <v>bueno</v>
          </cell>
          <cell r="K292" t="str">
            <v>probsi</v>
          </cell>
        </row>
        <row r="293">
          <cell r="B293" t="b">
            <v>1</v>
          </cell>
          <cell r="E293" t="str">
            <v>Las Reinas</v>
          </cell>
          <cell r="H293" t="str">
            <v>salud_oral</v>
          </cell>
          <cell r="J293" t="str">
            <v>bueno</v>
          </cell>
          <cell r="K293" t="str">
            <v>defsi</v>
          </cell>
        </row>
        <row r="294">
          <cell r="B294" t="b">
            <v>1</v>
          </cell>
          <cell r="E294" t="str">
            <v>Socorro</v>
          </cell>
          <cell r="H294" t="str">
            <v>salud_oral</v>
          </cell>
          <cell r="J294" t="str">
            <v>bueno</v>
          </cell>
          <cell r="K294" t="str">
            <v>probsi</v>
          </cell>
        </row>
        <row r="295">
          <cell r="B295" t="b">
            <v>1</v>
          </cell>
          <cell r="E295" t="str">
            <v>Socorro</v>
          </cell>
          <cell r="H295" t="str">
            <v>salud_oral</v>
          </cell>
          <cell r="J295" t="str">
            <v>bueno</v>
          </cell>
          <cell r="K295" t="str">
            <v>probsi</v>
          </cell>
        </row>
        <row r="296">
          <cell r="B296" t="b">
            <v>1</v>
          </cell>
          <cell r="E296" t="str">
            <v>Las Reinas</v>
          </cell>
          <cell r="H296" t="str">
            <v>salud_oral</v>
          </cell>
          <cell r="J296" t="str">
            <v>bueno</v>
          </cell>
          <cell r="K296" t="str">
            <v>defsi</v>
          </cell>
        </row>
        <row r="297">
          <cell r="B297" t="b">
            <v>1</v>
          </cell>
          <cell r="E297" t="str">
            <v>Socorro</v>
          </cell>
          <cell r="H297" t="str">
            <v>salud_oral</v>
          </cell>
          <cell r="J297" t="str">
            <v>bueno</v>
          </cell>
          <cell r="K297" t="str">
            <v>probsi</v>
          </cell>
        </row>
        <row r="298">
          <cell r="B298" t="b">
            <v>1</v>
          </cell>
          <cell r="E298" t="str">
            <v>Socorro</v>
          </cell>
          <cell r="H298" t="str">
            <v>laboratorio</v>
          </cell>
          <cell r="J298" t="str">
            <v>bueno</v>
          </cell>
          <cell r="K298" t="str">
            <v>probsi</v>
          </cell>
        </row>
        <row r="299">
          <cell r="B299" t="b">
            <v>1</v>
          </cell>
          <cell r="E299" t="str">
            <v>Socorro</v>
          </cell>
          <cell r="H299" t="str">
            <v>laboratorio</v>
          </cell>
          <cell r="J299" t="str">
            <v>bueno</v>
          </cell>
          <cell r="K299" t="str">
            <v>probsi</v>
          </cell>
        </row>
        <row r="300">
          <cell r="B300" t="b">
            <v>1</v>
          </cell>
          <cell r="E300" t="str">
            <v>Socorro</v>
          </cell>
          <cell r="H300" t="str">
            <v>laboratorio</v>
          </cell>
          <cell r="J300" t="str">
            <v>bueno</v>
          </cell>
          <cell r="K300" t="str">
            <v>probsi</v>
          </cell>
        </row>
        <row r="301">
          <cell r="B301" t="b">
            <v>1</v>
          </cell>
          <cell r="E301" t="str">
            <v>Socorro</v>
          </cell>
          <cell r="H301" t="str">
            <v>laboratorio</v>
          </cell>
          <cell r="J301" t="str">
            <v>bueno</v>
          </cell>
          <cell r="K301" t="str">
            <v>probsi</v>
          </cell>
        </row>
        <row r="302">
          <cell r="B302" t="b">
            <v>1</v>
          </cell>
          <cell r="E302" t="str">
            <v>Socorro</v>
          </cell>
          <cell r="H302" t="str">
            <v>laboratorio</v>
          </cell>
          <cell r="J302" t="str">
            <v>bueno</v>
          </cell>
          <cell r="K302" t="str">
            <v>probsi</v>
          </cell>
        </row>
        <row r="303">
          <cell r="B303" t="b">
            <v>1</v>
          </cell>
          <cell r="E303" t="str">
            <v>Socorro</v>
          </cell>
          <cell r="H303" t="str">
            <v>laboratorio</v>
          </cell>
          <cell r="J303" t="str">
            <v>bueno</v>
          </cell>
          <cell r="K303" t="str">
            <v>probsi</v>
          </cell>
        </row>
        <row r="304">
          <cell r="B304" t="b">
            <v>1</v>
          </cell>
          <cell r="E304" t="str">
            <v>Socorro</v>
          </cell>
          <cell r="H304" t="str">
            <v>ecografias</v>
          </cell>
          <cell r="J304" t="str">
            <v>bueno</v>
          </cell>
          <cell r="K304" t="str">
            <v>probsi</v>
          </cell>
        </row>
        <row r="305">
          <cell r="B305" t="b">
            <v>1</v>
          </cell>
          <cell r="E305" t="str">
            <v>Socorro</v>
          </cell>
          <cell r="H305" t="str">
            <v>ecografias</v>
          </cell>
          <cell r="J305" t="str">
            <v>bueno</v>
          </cell>
          <cell r="K305" t="str">
            <v>probsi</v>
          </cell>
        </row>
        <row r="306">
          <cell r="B306" t="b">
            <v>1</v>
          </cell>
          <cell r="E306" t="str">
            <v>Socorro</v>
          </cell>
          <cell r="H306" t="str">
            <v>ecografias</v>
          </cell>
          <cell r="J306" t="str">
            <v>bueno</v>
          </cell>
          <cell r="K306" t="str">
            <v>probsi</v>
          </cell>
        </row>
        <row r="307">
          <cell r="B307" t="b">
            <v>1</v>
          </cell>
          <cell r="E307" t="str">
            <v>Socorro</v>
          </cell>
          <cell r="H307" t="str">
            <v>ecografias</v>
          </cell>
          <cell r="J307" t="str">
            <v>bueno</v>
          </cell>
          <cell r="K307" t="str">
            <v>probsi</v>
          </cell>
        </row>
        <row r="308">
          <cell r="B308" t="b">
            <v>1</v>
          </cell>
          <cell r="E308" t="str">
            <v>Socorro</v>
          </cell>
          <cell r="H308" t="str">
            <v>ecografias</v>
          </cell>
          <cell r="J308" t="str">
            <v>bueno</v>
          </cell>
          <cell r="K308" t="str">
            <v>probsi</v>
          </cell>
        </row>
        <row r="309">
          <cell r="B309" t="b">
            <v>1</v>
          </cell>
          <cell r="E309" t="str">
            <v>Socorro</v>
          </cell>
          <cell r="H309" t="str">
            <v>ecografias</v>
          </cell>
          <cell r="J309" t="str">
            <v>bueno</v>
          </cell>
          <cell r="K309" t="str">
            <v>probsi</v>
          </cell>
        </row>
        <row r="310">
          <cell r="B310" t="b">
            <v>1</v>
          </cell>
          <cell r="E310" t="str">
            <v>Blasdelezo</v>
          </cell>
          <cell r="H310" t="str">
            <v>consulta_externa</v>
          </cell>
          <cell r="J310" t="str">
            <v>bueno</v>
          </cell>
          <cell r="K310" t="str">
            <v>defsi</v>
          </cell>
        </row>
        <row r="311">
          <cell r="B311" t="b">
            <v>1</v>
          </cell>
          <cell r="E311" t="str">
            <v>Blasdelezo</v>
          </cell>
          <cell r="H311" t="str">
            <v>salud_oral</v>
          </cell>
          <cell r="J311" t="str">
            <v>bueno</v>
          </cell>
          <cell r="K311" t="str">
            <v>defsi</v>
          </cell>
        </row>
        <row r="312">
          <cell r="B312" t="b">
            <v>1</v>
          </cell>
          <cell r="E312" t="str">
            <v>Blasdelezo</v>
          </cell>
          <cell r="H312" t="str">
            <v>laboratorio</v>
          </cell>
          <cell r="J312" t="str">
            <v>bueno</v>
          </cell>
          <cell r="K312" t="str">
            <v>defsi</v>
          </cell>
        </row>
        <row r="313">
          <cell r="B313" t="b">
            <v>1</v>
          </cell>
          <cell r="E313" t="str">
            <v>Blasdelezo</v>
          </cell>
          <cell r="H313" t="str">
            <v>urgencia</v>
          </cell>
          <cell r="J313" t="str">
            <v>bueno</v>
          </cell>
          <cell r="K313" t="str">
            <v>defsi</v>
          </cell>
        </row>
        <row r="314">
          <cell r="B314" t="b">
            <v>1</v>
          </cell>
          <cell r="E314" t="str">
            <v>Blasdelezo</v>
          </cell>
          <cell r="H314" t="str">
            <v>medicina_interna</v>
          </cell>
          <cell r="J314" t="str">
            <v>bueno</v>
          </cell>
          <cell r="K314" t="str">
            <v>defsi</v>
          </cell>
        </row>
        <row r="315">
          <cell r="B315" t="b">
            <v>1</v>
          </cell>
          <cell r="E315" t="str">
            <v>Blasdelezo</v>
          </cell>
          <cell r="H315" t="str">
            <v>pediatria</v>
          </cell>
          <cell r="J315" t="str">
            <v>bueno</v>
          </cell>
          <cell r="K315" t="str">
            <v>defsi</v>
          </cell>
        </row>
        <row r="316">
          <cell r="B316" t="b">
            <v>1</v>
          </cell>
          <cell r="E316" t="str">
            <v>Ternera</v>
          </cell>
          <cell r="H316" t="str">
            <v>consulta_externa</v>
          </cell>
          <cell r="J316" t="str">
            <v>bueno</v>
          </cell>
          <cell r="K316" t="str">
            <v>probsi</v>
          </cell>
        </row>
        <row r="317">
          <cell r="B317" t="b">
            <v>1</v>
          </cell>
          <cell r="E317" t="str">
            <v>Ternera</v>
          </cell>
          <cell r="H317" t="str">
            <v>laboratorio</v>
          </cell>
          <cell r="J317" t="str">
            <v>bueno</v>
          </cell>
          <cell r="K317" t="str">
            <v>probsi</v>
          </cell>
        </row>
        <row r="318">
          <cell r="B318" t="b">
            <v>1</v>
          </cell>
          <cell r="E318" t="str">
            <v>Ternera</v>
          </cell>
          <cell r="H318" t="str">
            <v>laboratorio</v>
          </cell>
          <cell r="J318" t="str">
            <v>bueno</v>
          </cell>
          <cell r="K318" t="str">
            <v>probsi</v>
          </cell>
        </row>
        <row r="319">
          <cell r="B319" t="b">
            <v>1</v>
          </cell>
          <cell r="E319" t="str">
            <v>Ternera</v>
          </cell>
          <cell r="H319" t="str">
            <v>consulta_externa</v>
          </cell>
          <cell r="J319" t="str">
            <v>bueno</v>
          </cell>
          <cell r="K319" t="str">
            <v>probsi</v>
          </cell>
        </row>
        <row r="320">
          <cell r="B320" t="b">
            <v>1</v>
          </cell>
          <cell r="E320" t="str">
            <v>Ternera</v>
          </cell>
          <cell r="H320" t="str">
            <v>salud_oral</v>
          </cell>
          <cell r="J320" t="str">
            <v>bueno</v>
          </cell>
          <cell r="K320" t="str">
            <v>probsi</v>
          </cell>
        </row>
        <row r="321">
          <cell r="B321" t="b">
            <v>1</v>
          </cell>
          <cell r="E321" t="str">
            <v>Ternera</v>
          </cell>
          <cell r="H321" t="str">
            <v>laboratorio</v>
          </cell>
          <cell r="J321" t="str">
            <v>bueno</v>
          </cell>
          <cell r="K321" t="str">
            <v>probsi</v>
          </cell>
        </row>
        <row r="322">
          <cell r="B322" t="b">
            <v>1</v>
          </cell>
          <cell r="E322" t="str">
            <v>Ternera</v>
          </cell>
          <cell r="H322" t="str">
            <v>consulta_externa</v>
          </cell>
          <cell r="J322" t="str">
            <v>bueno</v>
          </cell>
          <cell r="K322" t="str">
            <v>probsi</v>
          </cell>
        </row>
        <row r="323">
          <cell r="B323" t="b">
            <v>1</v>
          </cell>
          <cell r="E323" t="str">
            <v>Ternera</v>
          </cell>
          <cell r="H323" t="str">
            <v>consulta_externa</v>
          </cell>
          <cell r="J323" t="str">
            <v>muybueno</v>
          </cell>
          <cell r="K323" t="str">
            <v>probsi</v>
          </cell>
        </row>
        <row r="324">
          <cell r="B324" t="b">
            <v>1</v>
          </cell>
          <cell r="E324" t="str">
            <v>Ternera</v>
          </cell>
          <cell r="H324" t="str">
            <v>salud_oral</v>
          </cell>
          <cell r="J324" t="str">
            <v>bueno</v>
          </cell>
          <cell r="K324" t="str">
            <v>probsi</v>
          </cell>
        </row>
        <row r="325">
          <cell r="B325" t="b">
            <v>1</v>
          </cell>
          <cell r="E325" t="str">
            <v>Ternera</v>
          </cell>
          <cell r="H325" t="str">
            <v>salud_oral</v>
          </cell>
          <cell r="J325" t="str">
            <v>bueno</v>
          </cell>
          <cell r="K325" t="str">
            <v>probsi</v>
          </cell>
        </row>
        <row r="326">
          <cell r="B326" t="b">
            <v>1</v>
          </cell>
          <cell r="E326" t="str">
            <v>Ternera</v>
          </cell>
          <cell r="H326" t="str">
            <v>consulta_externa</v>
          </cell>
          <cell r="J326" t="str">
            <v>bueno</v>
          </cell>
          <cell r="K326" t="str">
            <v>probsi</v>
          </cell>
        </row>
        <row r="327">
          <cell r="B327" t="b">
            <v>1</v>
          </cell>
          <cell r="E327" t="str">
            <v>Ternera</v>
          </cell>
          <cell r="H327" t="str">
            <v>laboratorio</v>
          </cell>
          <cell r="J327" t="str">
            <v>bueno</v>
          </cell>
          <cell r="K327" t="str">
            <v>probsi</v>
          </cell>
        </row>
        <row r="328">
          <cell r="B328" t="b">
            <v>1</v>
          </cell>
          <cell r="E328" t="str">
            <v>Ternera</v>
          </cell>
          <cell r="H328" t="str">
            <v>consulta_externa</v>
          </cell>
          <cell r="J328" t="str">
            <v>bueno</v>
          </cell>
          <cell r="K328" t="str">
            <v>probsi</v>
          </cell>
        </row>
        <row r="329">
          <cell r="B329" t="b">
            <v>1</v>
          </cell>
          <cell r="E329" t="str">
            <v>Ternera</v>
          </cell>
          <cell r="H329" t="str">
            <v>laboratorio</v>
          </cell>
          <cell r="J329" t="str">
            <v>bueno</v>
          </cell>
          <cell r="K329" t="str">
            <v>probsi</v>
          </cell>
        </row>
        <row r="330">
          <cell r="B330" t="b">
            <v>0</v>
          </cell>
          <cell r="E330" t="str">
            <v>Ternera</v>
          </cell>
          <cell r="H330" t="str">
            <v>laboratorio</v>
          </cell>
          <cell r="J330" t="str">
            <v>regular</v>
          </cell>
          <cell r="K330" t="str">
            <v>probsi</v>
          </cell>
        </row>
        <row r="331">
          <cell r="B331" t="b">
            <v>1</v>
          </cell>
          <cell r="E331" t="str">
            <v>Ternera</v>
          </cell>
          <cell r="H331" t="str">
            <v>consulta_externa</v>
          </cell>
          <cell r="J331" t="str">
            <v>bueno</v>
          </cell>
          <cell r="K331" t="str">
            <v>probsi</v>
          </cell>
        </row>
        <row r="332">
          <cell r="B332" t="b">
            <v>0</v>
          </cell>
          <cell r="E332" t="str">
            <v>Ternera</v>
          </cell>
          <cell r="H332" t="str">
            <v>consulta_externa</v>
          </cell>
          <cell r="J332" t="str">
            <v>regular</v>
          </cell>
          <cell r="K332" t="str">
            <v>probsi</v>
          </cell>
        </row>
        <row r="333">
          <cell r="B333" t="b">
            <v>0</v>
          </cell>
          <cell r="E333" t="str">
            <v>Ternera</v>
          </cell>
          <cell r="H333" t="str">
            <v>laboratorio</v>
          </cell>
          <cell r="J333" t="str">
            <v>regular</v>
          </cell>
          <cell r="K333" t="str">
            <v>probsi</v>
          </cell>
        </row>
        <row r="334">
          <cell r="B334" t="b">
            <v>1</v>
          </cell>
          <cell r="E334" t="str">
            <v>Ternera</v>
          </cell>
          <cell r="H334" t="str">
            <v>consulta_externa</v>
          </cell>
          <cell r="J334" t="str">
            <v>bueno</v>
          </cell>
          <cell r="K334" t="str">
            <v>probsi</v>
          </cell>
        </row>
        <row r="335">
          <cell r="B335" t="b">
            <v>1</v>
          </cell>
          <cell r="E335" t="str">
            <v>Ternera</v>
          </cell>
          <cell r="H335" t="str">
            <v>laboratorio</v>
          </cell>
          <cell r="J335" t="str">
            <v>bueno</v>
          </cell>
          <cell r="K335" t="str">
            <v>probsi</v>
          </cell>
        </row>
        <row r="336">
          <cell r="B336" t="b">
            <v>1</v>
          </cell>
          <cell r="E336" t="str">
            <v>Ternera</v>
          </cell>
          <cell r="H336" t="str">
            <v>consulta_externa</v>
          </cell>
          <cell r="J336" t="str">
            <v>bueno</v>
          </cell>
          <cell r="K336" t="str">
            <v>probsi</v>
          </cell>
        </row>
        <row r="337">
          <cell r="B337" t="b">
            <v>1</v>
          </cell>
          <cell r="E337" t="str">
            <v>Ternera</v>
          </cell>
          <cell r="H337" t="str">
            <v>salud_oral</v>
          </cell>
          <cell r="J337" t="str">
            <v>bueno</v>
          </cell>
          <cell r="K337" t="str">
            <v>probsi</v>
          </cell>
        </row>
        <row r="338">
          <cell r="B338" t="b">
            <v>0</v>
          </cell>
          <cell r="E338" t="str">
            <v>Ternera</v>
          </cell>
          <cell r="H338" t="str">
            <v>consulta_externa</v>
          </cell>
          <cell r="J338" t="str">
            <v>regular</v>
          </cell>
          <cell r="K338" t="str">
            <v>probsi</v>
          </cell>
        </row>
        <row r="339">
          <cell r="B339" t="b">
            <v>0</v>
          </cell>
          <cell r="E339" t="str">
            <v>Ternera</v>
          </cell>
          <cell r="H339" t="str">
            <v>salud_oral</v>
          </cell>
          <cell r="J339" t="str">
            <v>regular</v>
          </cell>
          <cell r="K339" t="str">
            <v>probsi</v>
          </cell>
        </row>
        <row r="340">
          <cell r="B340" t="b">
            <v>1</v>
          </cell>
          <cell r="E340" t="str">
            <v>Blasdelezo</v>
          </cell>
          <cell r="H340" t="str">
            <v>consulta_externa</v>
          </cell>
          <cell r="J340" t="str">
            <v>bueno</v>
          </cell>
          <cell r="K340" t="str">
            <v>defsi</v>
          </cell>
        </row>
        <row r="341">
          <cell r="B341" t="b">
            <v>1</v>
          </cell>
          <cell r="E341" t="str">
            <v>Blasdelezo</v>
          </cell>
          <cell r="H341" t="str">
            <v>salud_oral</v>
          </cell>
          <cell r="J341" t="str">
            <v>bueno</v>
          </cell>
          <cell r="K341" t="str">
            <v>defsi</v>
          </cell>
        </row>
        <row r="342">
          <cell r="B342" t="b">
            <v>1</v>
          </cell>
          <cell r="E342" t="str">
            <v>Blasdelezo</v>
          </cell>
          <cell r="H342" t="str">
            <v>laboratorio</v>
          </cell>
          <cell r="J342" t="str">
            <v>bueno</v>
          </cell>
          <cell r="K342" t="str">
            <v>defsi</v>
          </cell>
        </row>
        <row r="343">
          <cell r="B343" t="b">
            <v>1</v>
          </cell>
          <cell r="E343" t="str">
            <v>Blasdelezo</v>
          </cell>
          <cell r="H343" t="str">
            <v>urgencia</v>
          </cell>
          <cell r="J343" t="str">
            <v>bueno</v>
          </cell>
          <cell r="K343" t="str">
            <v>defsi</v>
          </cell>
        </row>
        <row r="344">
          <cell r="B344" t="b">
            <v>1</v>
          </cell>
          <cell r="E344" t="str">
            <v>Blasdelezo</v>
          </cell>
          <cell r="H344" t="str">
            <v>pediatria</v>
          </cell>
          <cell r="J344" t="str">
            <v>bueno</v>
          </cell>
          <cell r="K344" t="str">
            <v>defsi</v>
          </cell>
        </row>
        <row r="345">
          <cell r="B345" t="b">
            <v>1</v>
          </cell>
          <cell r="E345" t="str">
            <v>Blasdelezo</v>
          </cell>
          <cell r="H345" t="str">
            <v>medicina_interna</v>
          </cell>
          <cell r="J345" t="str">
            <v>bueno</v>
          </cell>
          <cell r="K345" t="str">
            <v>defsi</v>
          </cell>
        </row>
        <row r="346">
          <cell r="B346" t="b">
            <v>1</v>
          </cell>
          <cell r="E346" t="str">
            <v>Ternera</v>
          </cell>
          <cell r="H346" t="str">
            <v>consulta_externa</v>
          </cell>
          <cell r="J346" t="str">
            <v>bueno</v>
          </cell>
          <cell r="K346" t="str">
            <v>probsi</v>
          </cell>
        </row>
        <row r="347">
          <cell r="B347" t="b">
            <v>1</v>
          </cell>
          <cell r="E347" t="str">
            <v>Ternera</v>
          </cell>
          <cell r="H347" t="str">
            <v>salud_oral</v>
          </cell>
          <cell r="J347" t="str">
            <v>bueno</v>
          </cell>
          <cell r="K347" t="str">
            <v>probsi</v>
          </cell>
        </row>
        <row r="348">
          <cell r="B348" t="b">
            <v>1</v>
          </cell>
          <cell r="E348" t="str">
            <v>Blasdelezo</v>
          </cell>
          <cell r="H348" t="str">
            <v>consulta_externa</v>
          </cell>
          <cell r="J348" t="str">
            <v>bueno</v>
          </cell>
          <cell r="K348" t="str">
            <v>defsi</v>
          </cell>
        </row>
        <row r="349">
          <cell r="B349" t="b">
            <v>1</v>
          </cell>
          <cell r="E349" t="str">
            <v>Blasdelezo</v>
          </cell>
          <cell r="H349" t="str">
            <v>salud_oral</v>
          </cell>
          <cell r="J349" t="str">
            <v>bueno</v>
          </cell>
          <cell r="K349" t="str">
            <v>defsi</v>
          </cell>
        </row>
        <row r="350">
          <cell r="B350" t="b">
            <v>1</v>
          </cell>
          <cell r="E350" t="str">
            <v>Blasdelezo</v>
          </cell>
          <cell r="H350" t="str">
            <v>laboratorio</v>
          </cell>
          <cell r="J350" t="str">
            <v>bueno</v>
          </cell>
          <cell r="K350" t="str">
            <v>defsi</v>
          </cell>
        </row>
        <row r="351">
          <cell r="B351" t="b">
            <v>1</v>
          </cell>
          <cell r="E351" t="str">
            <v>Blasdelezo</v>
          </cell>
          <cell r="H351" t="str">
            <v>laboratorio</v>
          </cell>
          <cell r="J351" t="str">
            <v>bueno</v>
          </cell>
          <cell r="K351" t="str">
            <v>defsi</v>
          </cell>
        </row>
        <row r="352">
          <cell r="B352" t="b">
            <v>1</v>
          </cell>
          <cell r="E352" t="str">
            <v>Blasdelezo</v>
          </cell>
          <cell r="H352" t="str">
            <v>urgencia</v>
          </cell>
          <cell r="J352" t="str">
            <v>bueno</v>
          </cell>
          <cell r="K352" t="str">
            <v>defsi</v>
          </cell>
        </row>
        <row r="353">
          <cell r="B353" t="b">
            <v>1</v>
          </cell>
          <cell r="E353" t="str">
            <v>Blasdelezo</v>
          </cell>
          <cell r="H353" t="str">
            <v>pediatria</v>
          </cell>
          <cell r="J353" t="str">
            <v>bueno</v>
          </cell>
          <cell r="K353" t="str">
            <v>defsi</v>
          </cell>
        </row>
        <row r="354">
          <cell r="B354" t="b">
            <v>1</v>
          </cell>
          <cell r="E354" t="str">
            <v>Blasdelezo</v>
          </cell>
          <cell r="H354" t="str">
            <v>medicina_interna</v>
          </cell>
          <cell r="J354" t="str">
            <v>bueno</v>
          </cell>
          <cell r="K354" t="str">
            <v>defsi</v>
          </cell>
        </row>
        <row r="355">
          <cell r="B355" t="b">
            <v>1</v>
          </cell>
          <cell r="E355" t="str">
            <v>Blasdelezo</v>
          </cell>
          <cell r="H355" t="str">
            <v>consulta_externa</v>
          </cell>
          <cell r="J355" t="str">
            <v>bueno</v>
          </cell>
          <cell r="K355" t="str">
            <v>defsi</v>
          </cell>
        </row>
        <row r="356">
          <cell r="B356" t="b">
            <v>1</v>
          </cell>
          <cell r="E356" t="str">
            <v>Blasdelezo</v>
          </cell>
          <cell r="H356" t="str">
            <v>salud_oral</v>
          </cell>
          <cell r="J356" t="str">
            <v>bueno</v>
          </cell>
          <cell r="K356" t="str">
            <v>defsi</v>
          </cell>
        </row>
        <row r="357">
          <cell r="B357" t="b">
            <v>1</v>
          </cell>
          <cell r="E357" t="str">
            <v>Blasdelezo</v>
          </cell>
          <cell r="H357" t="str">
            <v>laboratorio</v>
          </cell>
          <cell r="J357" t="str">
            <v>bueno</v>
          </cell>
          <cell r="K357" t="str">
            <v>defsi</v>
          </cell>
        </row>
        <row r="358">
          <cell r="B358" t="b">
            <v>1</v>
          </cell>
          <cell r="E358" t="str">
            <v>Blasdelezo</v>
          </cell>
          <cell r="H358" t="str">
            <v>urgencia</v>
          </cell>
          <cell r="J358" t="str">
            <v>bueno</v>
          </cell>
          <cell r="K358" t="str">
            <v>defsi</v>
          </cell>
        </row>
        <row r="359">
          <cell r="B359" t="b">
            <v>1</v>
          </cell>
          <cell r="E359" t="str">
            <v>Blasdelezo</v>
          </cell>
          <cell r="H359" t="str">
            <v>pediatria</v>
          </cell>
          <cell r="J359" t="str">
            <v>bueno</v>
          </cell>
          <cell r="K359" t="str">
            <v>defsi</v>
          </cell>
        </row>
        <row r="360">
          <cell r="B360" t="b">
            <v>1</v>
          </cell>
          <cell r="E360" t="str">
            <v>Blasdelezo</v>
          </cell>
          <cell r="H360" t="str">
            <v>medicina_interna</v>
          </cell>
          <cell r="J360" t="str">
            <v>bueno</v>
          </cell>
          <cell r="K360" t="str">
            <v>defsi</v>
          </cell>
        </row>
        <row r="361">
          <cell r="B361" t="b">
            <v>1</v>
          </cell>
          <cell r="E361" t="str">
            <v>Las Reinas</v>
          </cell>
          <cell r="H361" t="str">
            <v>salud_oral</v>
          </cell>
          <cell r="J361" t="str">
            <v>bueno</v>
          </cell>
          <cell r="K361" t="str">
            <v>defsi</v>
          </cell>
        </row>
        <row r="362">
          <cell r="B362" t="b">
            <v>0</v>
          </cell>
          <cell r="E362" t="str">
            <v>Las Reinas</v>
          </cell>
          <cell r="H362" t="str">
            <v>salud_oral</v>
          </cell>
          <cell r="J362" t="str">
            <v>regular</v>
          </cell>
          <cell r="K362" t="str">
            <v>defsi</v>
          </cell>
        </row>
        <row r="363">
          <cell r="B363" t="b">
            <v>1</v>
          </cell>
          <cell r="E363" t="str">
            <v>Las Reinas</v>
          </cell>
          <cell r="H363" t="str">
            <v>salud_oral</v>
          </cell>
          <cell r="J363" t="str">
            <v>bueno</v>
          </cell>
          <cell r="K363" t="str">
            <v>defsi</v>
          </cell>
        </row>
        <row r="364">
          <cell r="B364" t="b">
            <v>1</v>
          </cell>
          <cell r="E364" t="str">
            <v>Las Reinas</v>
          </cell>
          <cell r="H364" t="str">
            <v>salud_oral</v>
          </cell>
          <cell r="J364" t="str">
            <v>bueno</v>
          </cell>
          <cell r="K364" t="str">
            <v>defsi</v>
          </cell>
        </row>
        <row r="365">
          <cell r="B365" t="b">
            <v>1</v>
          </cell>
          <cell r="E365" t="str">
            <v>Las Reinas</v>
          </cell>
          <cell r="H365" t="str">
            <v>salud_oral</v>
          </cell>
          <cell r="J365" t="str">
            <v>bueno</v>
          </cell>
          <cell r="K365" t="str">
            <v>defsi</v>
          </cell>
        </row>
        <row r="366">
          <cell r="B366" t="b">
            <v>1</v>
          </cell>
          <cell r="E366" t="str">
            <v>Las Reinas</v>
          </cell>
          <cell r="H366" t="str">
            <v>salud_oral</v>
          </cell>
          <cell r="J366" t="str">
            <v>bueno</v>
          </cell>
          <cell r="K366" t="str">
            <v>defsi</v>
          </cell>
        </row>
        <row r="367">
          <cell r="B367" t="b">
            <v>1</v>
          </cell>
          <cell r="E367" t="str">
            <v>Las Reinas</v>
          </cell>
          <cell r="H367" t="str">
            <v>salud_oral</v>
          </cell>
          <cell r="J367" t="str">
            <v>bueno</v>
          </cell>
          <cell r="K367" t="str">
            <v>defsi</v>
          </cell>
        </row>
        <row r="368">
          <cell r="B368" t="b">
            <v>1</v>
          </cell>
          <cell r="E368" t="str">
            <v>Blasdelezo</v>
          </cell>
          <cell r="H368" t="str">
            <v>consulta_externa</v>
          </cell>
          <cell r="J368" t="str">
            <v>bueno</v>
          </cell>
          <cell r="K368" t="str">
            <v>defsi</v>
          </cell>
        </row>
        <row r="369">
          <cell r="B369" t="b">
            <v>1</v>
          </cell>
          <cell r="E369" t="str">
            <v>Blasdelezo</v>
          </cell>
          <cell r="H369" t="str">
            <v>salud_oral</v>
          </cell>
          <cell r="J369" t="str">
            <v>bueno</v>
          </cell>
          <cell r="K369" t="str">
            <v>defsi</v>
          </cell>
        </row>
        <row r="370">
          <cell r="B370" t="b">
            <v>1</v>
          </cell>
          <cell r="E370" t="str">
            <v>Blasdelezo</v>
          </cell>
          <cell r="H370" t="str">
            <v>laboratorio</v>
          </cell>
          <cell r="J370" t="str">
            <v>bueno</v>
          </cell>
          <cell r="K370" t="str">
            <v>defsi</v>
          </cell>
        </row>
        <row r="371">
          <cell r="B371" t="b">
            <v>1</v>
          </cell>
          <cell r="E371" t="str">
            <v>Blasdelezo</v>
          </cell>
          <cell r="H371" t="str">
            <v>urgencia</v>
          </cell>
          <cell r="J371" t="str">
            <v>bueno</v>
          </cell>
          <cell r="K371" t="str">
            <v>defsi</v>
          </cell>
        </row>
        <row r="372">
          <cell r="B372" t="b">
            <v>1</v>
          </cell>
          <cell r="E372" t="str">
            <v>Blasdelezo</v>
          </cell>
          <cell r="H372" t="str">
            <v>medicina_interna</v>
          </cell>
          <cell r="J372" t="str">
            <v>bueno</v>
          </cell>
          <cell r="K372" t="str">
            <v>defsi</v>
          </cell>
        </row>
        <row r="373">
          <cell r="B373" t="b">
            <v>1</v>
          </cell>
          <cell r="E373" t="str">
            <v>Blasdelezo</v>
          </cell>
          <cell r="H373" t="str">
            <v>consulta_externa</v>
          </cell>
          <cell r="J373" t="str">
            <v>bueno</v>
          </cell>
          <cell r="K373" t="str">
            <v>defsi</v>
          </cell>
        </row>
        <row r="374">
          <cell r="B374" t="b">
            <v>1</v>
          </cell>
          <cell r="E374" t="str">
            <v>Blasdelezo</v>
          </cell>
          <cell r="H374" t="str">
            <v>salud_oral</v>
          </cell>
          <cell r="J374" t="str">
            <v>bueno</v>
          </cell>
          <cell r="K374" t="str">
            <v>defsi</v>
          </cell>
        </row>
        <row r="375">
          <cell r="B375" t="b">
            <v>0</v>
          </cell>
          <cell r="E375" t="str">
            <v>Ternera</v>
          </cell>
          <cell r="H375" t="str">
            <v>salud_oral</v>
          </cell>
          <cell r="J375" t="str">
            <v>regular</v>
          </cell>
          <cell r="K375" t="str">
            <v>probsi</v>
          </cell>
        </row>
        <row r="376">
          <cell r="B376" t="b">
            <v>1</v>
          </cell>
          <cell r="E376" t="str">
            <v>Ternera</v>
          </cell>
          <cell r="H376" t="str">
            <v>salud_oral</v>
          </cell>
          <cell r="J376" t="str">
            <v>bueno</v>
          </cell>
          <cell r="K376" t="str">
            <v>probsi</v>
          </cell>
        </row>
        <row r="377">
          <cell r="B377" t="b">
            <v>1</v>
          </cell>
          <cell r="E377" t="str">
            <v>Ternera</v>
          </cell>
          <cell r="H377" t="str">
            <v>salud_oral</v>
          </cell>
          <cell r="J377" t="str">
            <v>bueno</v>
          </cell>
          <cell r="K377" t="str">
            <v>probsi</v>
          </cell>
        </row>
        <row r="378">
          <cell r="B378" t="b">
            <v>1</v>
          </cell>
          <cell r="E378" t="str">
            <v>Ternera</v>
          </cell>
          <cell r="H378" t="str">
            <v>laboratorio</v>
          </cell>
          <cell r="J378" t="str">
            <v>bueno</v>
          </cell>
          <cell r="K378" t="str">
            <v>probsi</v>
          </cell>
        </row>
        <row r="379">
          <cell r="B379" t="b">
            <v>1</v>
          </cell>
          <cell r="E379" t="str">
            <v>Ternera</v>
          </cell>
          <cell r="H379" t="str">
            <v>laboratorio</v>
          </cell>
          <cell r="J379" t="str">
            <v>bueno</v>
          </cell>
          <cell r="K379" t="str">
            <v>probsi</v>
          </cell>
        </row>
        <row r="380">
          <cell r="B380" t="b">
            <v>1</v>
          </cell>
          <cell r="E380" t="str">
            <v>Ternera</v>
          </cell>
          <cell r="H380" t="str">
            <v>laboratorio</v>
          </cell>
          <cell r="J380" t="str">
            <v>bueno</v>
          </cell>
          <cell r="K380" t="str">
            <v>probsi</v>
          </cell>
        </row>
        <row r="381">
          <cell r="B381" t="b">
            <v>1</v>
          </cell>
          <cell r="E381" t="str">
            <v>Ternera</v>
          </cell>
          <cell r="H381" t="str">
            <v>salud_oral</v>
          </cell>
          <cell r="J381" t="str">
            <v>bueno</v>
          </cell>
          <cell r="K381" t="str">
            <v>probsi</v>
          </cell>
        </row>
        <row r="382">
          <cell r="B382" t="b">
            <v>1</v>
          </cell>
          <cell r="E382" t="str">
            <v>Ternera</v>
          </cell>
          <cell r="H382" t="str">
            <v>salud_oral</v>
          </cell>
          <cell r="J382" t="str">
            <v>bueno</v>
          </cell>
          <cell r="K382" t="str">
            <v>probsi</v>
          </cell>
        </row>
        <row r="383">
          <cell r="B383" t="b">
            <v>1</v>
          </cell>
          <cell r="E383" t="str">
            <v>Socorro</v>
          </cell>
          <cell r="H383" t="str">
            <v>consulta_externa</v>
          </cell>
          <cell r="J383" t="str">
            <v>bueno</v>
          </cell>
          <cell r="K383" t="str">
            <v>probsi</v>
          </cell>
        </row>
        <row r="384">
          <cell r="B384" t="b">
            <v>1</v>
          </cell>
          <cell r="E384" t="str">
            <v>Socorro</v>
          </cell>
          <cell r="H384" t="str">
            <v>consulta_externa</v>
          </cell>
          <cell r="J384" t="str">
            <v>bueno</v>
          </cell>
          <cell r="K384" t="str">
            <v>probsi</v>
          </cell>
        </row>
        <row r="385">
          <cell r="B385" t="b">
            <v>1</v>
          </cell>
          <cell r="E385" t="str">
            <v>Foco Rojo</v>
          </cell>
          <cell r="H385" t="str">
            <v>consulta_externa</v>
          </cell>
          <cell r="J385" t="str">
            <v>bueno</v>
          </cell>
          <cell r="K385" t="str">
            <v>probsi</v>
          </cell>
        </row>
        <row r="386">
          <cell r="B386" t="b">
            <v>1</v>
          </cell>
          <cell r="E386" t="str">
            <v>Foco Rojo</v>
          </cell>
          <cell r="H386" t="str">
            <v>salud_oral</v>
          </cell>
          <cell r="J386" t="str">
            <v>bueno</v>
          </cell>
          <cell r="K386" t="str">
            <v>probsi</v>
          </cell>
        </row>
        <row r="387">
          <cell r="B387" t="b">
            <v>1</v>
          </cell>
          <cell r="E387" t="str">
            <v>Foco Rojo</v>
          </cell>
          <cell r="H387" t="str">
            <v>laboratorio</v>
          </cell>
          <cell r="J387" t="str">
            <v>bueno</v>
          </cell>
          <cell r="K387" t="str">
            <v>probsi</v>
          </cell>
        </row>
        <row r="388">
          <cell r="B388" t="b">
            <v>1</v>
          </cell>
          <cell r="E388" t="str">
            <v>Boston</v>
          </cell>
          <cell r="H388" t="str">
            <v>consulta_externa</v>
          </cell>
          <cell r="J388" t="str">
            <v>bueno</v>
          </cell>
          <cell r="K388" t="str">
            <v>defsi</v>
          </cell>
        </row>
        <row r="389">
          <cell r="B389" t="b">
            <v>1</v>
          </cell>
          <cell r="E389" t="str">
            <v>Foco Rojo</v>
          </cell>
          <cell r="H389" t="str">
            <v>consulta_externa</v>
          </cell>
          <cell r="J389" t="str">
            <v>bueno</v>
          </cell>
          <cell r="K389" t="str">
            <v>probsi</v>
          </cell>
        </row>
        <row r="390">
          <cell r="B390" t="b">
            <v>1</v>
          </cell>
          <cell r="E390" t="str">
            <v>Foco Rojo</v>
          </cell>
          <cell r="H390" t="str">
            <v>salud_oral</v>
          </cell>
          <cell r="J390" t="str">
            <v>bueno</v>
          </cell>
          <cell r="K390" t="str">
            <v>probsi</v>
          </cell>
        </row>
        <row r="391">
          <cell r="B391" t="b">
            <v>1</v>
          </cell>
          <cell r="E391" t="str">
            <v>Boston</v>
          </cell>
          <cell r="H391" t="str">
            <v>consulta_externa</v>
          </cell>
          <cell r="J391" t="str">
            <v>bueno</v>
          </cell>
          <cell r="K391" t="str">
            <v>defsi</v>
          </cell>
        </row>
        <row r="392">
          <cell r="B392" t="b">
            <v>1</v>
          </cell>
          <cell r="E392" t="str">
            <v>Boston</v>
          </cell>
          <cell r="H392" t="str">
            <v>consulta_externa</v>
          </cell>
          <cell r="J392" t="str">
            <v>muybueno</v>
          </cell>
          <cell r="K392" t="str">
            <v>defsi</v>
          </cell>
        </row>
        <row r="393">
          <cell r="B393" t="b">
            <v>1</v>
          </cell>
          <cell r="E393" t="str">
            <v>Foco Rojo</v>
          </cell>
          <cell r="H393" t="str">
            <v>consulta_externa</v>
          </cell>
          <cell r="J393" t="str">
            <v>bueno</v>
          </cell>
          <cell r="K393" t="str">
            <v>probsi</v>
          </cell>
        </row>
        <row r="394">
          <cell r="B394" t="b">
            <v>1</v>
          </cell>
          <cell r="E394" t="str">
            <v>Foco Rojo</v>
          </cell>
          <cell r="H394" t="str">
            <v>laboratorio</v>
          </cell>
          <cell r="J394" t="str">
            <v>bueno</v>
          </cell>
          <cell r="K394" t="str">
            <v>probsi</v>
          </cell>
        </row>
        <row r="395">
          <cell r="B395" t="b">
            <v>1</v>
          </cell>
          <cell r="E395" t="str">
            <v>Foco Rojo</v>
          </cell>
          <cell r="H395" t="str">
            <v>consulta_externa</v>
          </cell>
          <cell r="J395" t="str">
            <v>muybueno</v>
          </cell>
          <cell r="K395" t="str">
            <v>probsi</v>
          </cell>
        </row>
        <row r="396">
          <cell r="B396" t="b">
            <v>1</v>
          </cell>
          <cell r="E396" t="str">
            <v>Foco Rojo</v>
          </cell>
          <cell r="H396" t="str">
            <v>salud_oral</v>
          </cell>
          <cell r="J396" t="str">
            <v>muybueno</v>
          </cell>
          <cell r="K396" t="str">
            <v>probsi</v>
          </cell>
        </row>
        <row r="397">
          <cell r="B397" t="b">
            <v>1</v>
          </cell>
          <cell r="E397" t="str">
            <v>Foco Rojo</v>
          </cell>
          <cell r="H397" t="str">
            <v>laboratorio</v>
          </cell>
          <cell r="J397" t="str">
            <v>muybueno</v>
          </cell>
          <cell r="K397" t="str">
            <v>probsi</v>
          </cell>
        </row>
        <row r="398">
          <cell r="B398" t="b">
            <v>1</v>
          </cell>
          <cell r="E398" t="str">
            <v>Foco Rojo</v>
          </cell>
          <cell r="H398" t="str">
            <v>consulta_externa</v>
          </cell>
          <cell r="J398" t="str">
            <v>bueno</v>
          </cell>
          <cell r="K398" t="str">
            <v>probsi</v>
          </cell>
        </row>
        <row r="399">
          <cell r="B399" t="b">
            <v>1</v>
          </cell>
          <cell r="E399" t="str">
            <v>Foco Rojo</v>
          </cell>
          <cell r="H399" t="str">
            <v>salud_oral</v>
          </cell>
          <cell r="J399" t="str">
            <v>bueno</v>
          </cell>
          <cell r="K399" t="str">
            <v>probsi</v>
          </cell>
        </row>
        <row r="400">
          <cell r="B400" t="b">
            <v>1</v>
          </cell>
          <cell r="E400" t="str">
            <v>Foco Rojo</v>
          </cell>
          <cell r="H400" t="str">
            <v>laboratorio</v>
          </cell>
          <cell r="J400" t="str">
            <v>bueno</v>
          </cell>
          <cell r="K400" t="str">
            <v>probsi</v>
          </cell>
        </row>
        <row r="401">
          <cell r="B401" t="b">
            <v>1</v>
          </cell>
          <cell r="E401" t="str">
            <v>Bicentenario</v>
          </cell>
          <cell r="H401" t="str">
            <v>consulta_externa</v>
          </cell>
          <cell r="J401" t="str">
            <v>bueno</v>
          </cell>
          <cell r="K401" t="str">
            <v>probsi</v>
          </cell>
        </row>
        <row r="402">
          <cell r="B402" t="b">
            <v>1</v>
          </cell>
          <cell r="E402" t="str">
            <v>Bicentenario</v>
          </cell>
          <cell r="H402" t="str">
            <v>consulta_externa</v>
          </cell>
          <cell r="J402" t="str">
            <v>bueno</v>
          </cell>
          <cell r="K402" t="str">
            <v>probsi</v>
          </cell>
        </row>
        <row r="403">
          <cell r="B403" t="b">
            <v>1</v>
          </cell>
          <cell r="E403" t="str">
            <v>Foco Rojo</v>
          </cell>
          <cell r="H403" t="str">
            <v>consulta_externa</v>
          </cell>
          <cell r="J403" t="str">
            <v>bueno</v>
          </cell>
          <cell r="K403" t="str">
            <v>probsi</v>
          </cell>
        </row>
        <row r="404">
          <cell r="B404" t="b">
            <v>1</v>
          </cell>
          <cell r="E404" t="str">
            <v>Foco Rojo</v>
          </cell>
          <cell r="H404" t="str">
            <v>consulta_externa</v>
          </cell>
          <cell r="J404" t="str">
            <v>bueno</v>
          </cell>
          <cell r="K404" t="str">
            <v>probsi</v>
          </cell>
        </row>
        <row r="405">
          <cell r="B405" t="b">
            <v>1</v>
          </cell>
          <cell r="E405" t="str">
            <v>Bicentenario</v>
          </cell>
          <cell r="H405" t="str">
            <v>rx</v>
          </cell>
          <cell r="J405" t="str">
            <v>bueno</v>
          </cell>
          <cell r="K405" t="str">
            <v>probsi</v>
          </cell>
        </row>
        <row r="406">
          <cell r="B406" t="b">
            <v>1</v>
          </cell>
          <cell r="E406" t="str">
            <v>Bicentenario</v>
          </cell>
          <cell r="H406" t="str">
            <v>rx</v>
          </cell>
          <cell r="J406" t="str">
            <v>bueno</v>
          </cell>
          <cell r="K406" t="str">
            <v>probsi</v>
          </cell>
        </row>
        <row r="407">
          <cell r="B407" t="b">
            <v>1</v>
          </cell>
          <cell r="E407" t="str">
            <v>Bicentenario</v>
          </cell>
          <cell r="H407" t="str">
            <v>rx</v>
          </cell>
          <cell r="J407" t="str">
            <v>bueno</v>
          </cell>
          <cell r="K407" t="str">
            <v>probsi</v>
          </cell>
        </row>
        <row r="408">
          <cell r="B408" t="b">
            <v>1</v>
          </cell>
          <cell r="E408" t="str">
            <v>Bicentenario</v>
          </cell>
          <cell r="H408" t="str">
            <v>consulta_externa</v>
          </cell>
          <cell r="J408" t="str">
            <v>bueno</v>
          </cell>
          <cell r="K408" t="str">
            <v>probsi</v>
          </cell>
        </row>
        <row r="409">
          <cell r="B409" t="b">
            <v>1</v>
          </cell>
          <cell r="E409" t="str">
            <v>Bicentenario</v>
          </cell>
          <cell r="H409" t="str">
            <v>consulta_externa</v>
          </cell>
          <cell r="J409" t="str">
            <v>bueno</v>
          </cell>
          <cell r="K409" t="str">
            <v>probsi</v>
          </cell>
        </row>
        <row r="410">
          <cell r="B410" t="b">
            <v>1</v>
          </cell>
          <cell r="E410" t="str">
            <v>Bicentenario</v>
          </cell>
          <cell r="H410" t="str">
            <v>consulta_externa</v>
          </cell>
          <cell r="J410" t="str">
            <v>bueno</v>
          </cell>
          <cell r="K410" t="str">
            <v>probsi</v>
          </cell>
        </row>
        <row r="411">
          <cell r="B411" t="b">
            <v>1</v>
          </cell>
          <cell r="E411" t="str">
            <v>Bicentenario</v>
          </cell>
          <cell r="H411" t="str">
            <v>consulta_externa</v>
          </cell>
          <cell r="J411" t="str">
            <v>bueno</v>
          </cell>
          <cell r="K411" t="str">
            <v>probsi</v>
          </cell>
        </row>
        <row r="412">
          <cell r="B412" t="b">
            <v>1</v>
          </cell>
          <cell r="E412" t="str">
            <v>Bicentenario</v>
          </cell>
          <cell r="H412" t="str">
            <v>consulta_externa</v>
          </cell>
          <cell r="J412" t="str">
            <v>bueno</v>
          </cell>
          <cell r="K412" t="str">
            <v>probsi</v>
          </cell>
        </row>
        <row r="413">
          <cell r="B413" t="b">
            <v>1</v>
          </cell>
          <cell r="E413" t="str">
            <v>Bicentenario</v>
          </cell>
          <cell r="H413" t="str">
            <v>consulta_externa</v>
          </cell>
          <cell r="J413" t="str">
            <v>bueno</v>
          </cell>
          <cell r="K413" t="str">
            <v>probsi</v>
          </cell>
        </row>
        <row r="414">
          <cell r="B414" t="b">
            <v>1</v>
          </cell>
          <cell r="E414" t="str">
            <v>Bicentenario</v>
          </cell>
          <cell r="H414" t="str">
            <v>consulta_externa</v>
          </cell>
          <cell r="J414" t="str">
            <v>bueno</v>
          </cell>
          <cell r="K414" t="str">
            <v>probsi</v>
          </cell>
        </row>
        <row r="415">
          <cell r="B415" t="b">
            <v>1</v>
          </cell>
          <cell r="E415" t="str">
            <v>Bicentenario</v>
          </cell>
          <cell r="H415" t="str">
            <v>laboratorio</v>
          </cell>
          <cell r="J415" t="str">
            <v>bueno</v>
          </cell>
          <cell r="K415" t="str">
            <v>probsi</v>
          </cell>
        </row>
        <row r="416">
          <cell r="B416" t="b">
            <v>1</v>
          </cell>
          <cell r="E416" t="str">
            <v>Bicentenario</v>
          </cell>
          <cell r="H416" t="str">
            <v>salud_oral</v>
          </cell>
          <cell r="J416" t="str">
            <v>bueno</v>
          </cell>
          <cell r="K416" t="str">
            <v>probsi</v>
          </cell>
        </row>
        <row r="417">
          <cell r="B417" t="b">
            <v>1</v>
          </cell>
          <cell r="E417" t="str">
            <v>Bicentenario</v>
          </cell>
          <cell r="H417" t="str">
            <v>salud_oral</v>
          </cell>
          <cell r="J417" t="str">
            <v>bueno</v>
          </cell>
          <cell r="K417" t="str">
            <v>probsi</v>
          </cell>
        </row>
        <row r="418">
          <cell r="B418" t="b">
            <v>1</v>
          </cell>
          <cell r="E418" t="str">
            <v>Bicentenario</v>
          </cell>
          <cell r="H418" t="str">
            <v>salud_oral</v>
          </cell>
          <cell r="J418" t="str">
            <v>bueno</v>
          </cell>
          <cell r="K418" t="str">
            <v>probsi</v>
          </cell>
        </row>
        <row r="419">
          <cell r="B419" t="b">
            <v>1</v>
          </cell>
          <cell r="E419" t="str">
            <v>Bicentenario</v>
          </cell>
          <cell r="H419" t="str">
            <v>salud_oral</v>
          </cell>
          <cell r="J419" t="str">
            <v>bueno</v>
          </cell>
          <cell r="K419" t="str">
            <v>probsi</v>
          </cell>
        </row>
        <row r="420">
          <cell r="B420" t="b">
            <v>1</v>
          </cell>
          <cell r="E420" t="str">
            <v>Bicentenario</v>
          </cell>
          <cell r="H420" t="str">
            <v>consulta_externa</v>
          </cell>
          <cell r="J420" t="str">
            <v>bueno</v>
          </cell>
          <cell r="K420" t="str">
            <v>probsi</v>
          </cell>
        </row>
        <row r="421">
          <cell r="B421" t="b">
            <v>1</v>
          </cell>
          <cell r="E421" t="str">
            <v>Bicentenario</v>
          </cell>
          <cell r="H421" t="str">
            <v>consulta_externa</v>
          </cell>
          <cell r="J421" t="str">
            <v>bueno</v>
          </cell>
          <cell r="K421" t="str">
            <v>probsi</v>
          </cell>
        </row>
        <row r="422">
          <cell r="B422" t="b">
            <v>1</v>
          </cell>
          <cell r="E422" t="str">
            <v>Bicentenario</v>
          </cell>
          <cell r="H422" t="str">
            <v>salud_oral</v>
          </cell>
          <cell r="J422" t="str">
            <v>bueno</v>
          </cell>
          <cell r="K422" t="str">
            <v>probsi</v>
          </cell>
        </row>
        <row r="423">
          <cell r="B423" t="b">
            <v>1</v>
          </cell>
          <cell r="E423" t="str">
            <v>Bicentenario</v>
          </cell>
          <cell r="H423" t="str">
            <v>salud_oral</v>
          </cell>
          <cell r="J423" t="str">
            <v>bueno</v>
          </cell>
          <cell r="K423" t="str">
            <v>probsi</v>
          </cell>
        </row>
        <row r="424">
          <cell r="B424" t="b">
            <v>1</v>
          </cell>
          <cell r="E424" t="str">
            <v>Bicentenario</v>
          </cell>
          <cell r="H424" t="str">
            <v>salud_oral</v>
          </cell>
          <cell r="J424" t="str">
            <v>bueno</v>
          </cell>
          <cell r="K424" t="str">
            <v>probsi</v>
          </cell>
        </row>
        <row r="425">
          <cell r="B425" t="b">
            <v>1</v>
          </cell>
          <cell r="E425" t="str">
            <v>Boston</v>
          </cell>
          <cell r="H425" t="str">
            <v>consulta_externa</v>
          </cell>
          <cell r="J425" t="str">
            <v>bueno</v>
          </cell>
          <cell r="K425" t="str">
            <v>defsi</v>
          </cell>
        </row>
        <row r="426">
          <cell r="B426" t="b">
            <v>1</v>
          </cell>
          <cell r="E426" t="str">
            <v>Boston</v>
          </cell>
          <cell r="H426" t="str">
            <v>consulta_externa</v>
          </cell>
          <cell r="J426" t="str">
            <v>bueno</v>
          </cell>
          <cell r="K426" t="str">
            <v>defsi</v>
          </cell>
        </row>
        <row r="427">
          <cell r="B427" t="b">
            <v>1</v>
          </cell>
          <cell r="E427" t="str">
            <v>Boston</v>
          </cell>
          <cell r="H427" t="str">
            <v>consulta_externa</v>
          </cell>
          <cell r="J427" t="str">
            <v>bueno</v>
          </cell>
          <cell r="K427" t="str">
            <v>defsi</v>
          </cell>
        </row>
        <row r="428">
          <cell r="B428" t="b">
            <v>1</v>
          </cell>
          <cell r="E428" t="str">
            <v>Tierra Baja</v>
          </cell>
          <cell r="H428" t="str">
            <v>consulta_externa</v>
          </cell>
          <cell r="J428" t="str">
            <v>bueno</v>
          </cell>
          <cell r="K428" t="str">
            <v>defsi</v>
          </cell>
        </row>
        <row r="429">
          <cell r="B429" t="b">
            <v>1</v>
          </cell>
          <cell r="E429" t="str">
            <v>Bicentenario</v>
          </cell>
          <cell r="H429" t="str">
            <v>consulta_externa</v>
          </cell>
          <cell r="J429" t="str">
            <v>bueno</v>
          </cell>
          <cell r="K429" t="str">
            <v>probsi</v>
          </cell>
        </row>
        <row r="430">
          <cell r="B430" t="b">
            <v>1</v>
          </cell>
          <cell r="E430" t="str">
            <v>Bicentenario</v>
          </cell>
          <cell r="H430" t="str">
            <v>consulta_externa</v>
          </cell>
          <cell r="J430" t="str">
            <v>bueno</v>
          </cell>
          <cell r="K430" t="str">
            <v>probsi</v>
          </cell>
        </row>
        <row r="431">
          <cell r="B431" t="b">
            <v>1</v>
          </cell>
          <cell r="E431" t="str">
            <v>Tierra Baja</v>
          </cell>
          <cell r="H431" t="str">
            <v>salud_oral</v>
          </cell>
          <cell r="J431" t="str">
            <v>bueno</v>
          </cell>
          <cell r="K431" t="str">
            <v>defsi</v>
          </cell>
        </row>
        <row r="432">
          <cell r="B432" t="b">
            <v>1</v>
          </cell>
          <cell r="E432" t="str">
            <v>Bicentenario</v>
          </cell>
          <cell r="H432" t="str">
            <v>consulta_externa</v>
          </cell>
          <cell r="J432" t="str">
            <v>bueno</v>
          </cell>
          <cell r="K432" t="str">
            <v>probsi</v>
          </cell>
        </row>
        <row r="433">
          <cell r="B433" t="b">
            <v>1</v>
          </cell>
          <cell r="E433" t="str">
            <v>Bicentenario</v>
          </cell>
          <cell r="H433" t="str">
            <v>consulta_externa</v>
          </cell>
          <cell r="J433" t="str">
            <v>bueno</v>
          </cell>
          <cell r="K433" t="str">
            <v>probsi</v>
          </cell>
        </row>
        <row r="434">
          <cell r="B434" t="b">
            <v>1</v>
          </cell>
          <cell r="E434" t="str">
            <v>Bicentenario</v>
          </cell>
          <cell r="H434" t="str">
            <v>consulta_externa</v>
          </cell>
          <cell r="J434" t="str">
            <v>bueno</v>
          </cell>
          <cell r="K434" t="str">
            <v>probsi</v>
          </cell>
        </row>
        <row r="435">
          <cell r="B435" t="b">
            <v>1</v>
          </cell>
          <cell r="E435" t="str">
            <v>Foco Rojo</v>
          </cell>
          <cell r="H435" t="str">
            <v>consulta_externa</v>
          </cell>
          <cell r="J435" t="str">
            <v>bueno</v>
          </cell>
          <cell r="K435" t="str">
            <v>probsi</v>
          </cell>
        </row>
        <row r="436">
          <cell r="B436" t="b">
            <v>1</v>
          </cell>
          <cell r="E436" t="str">
            <v>Tierra Baja</v>
          </cell>
          <cell r="H436" t="str">
            <v>laboratorio</v>
          </cell>
          <cell r="J436" t="str">
            <v>bueno</v>
          </cell>
          <cell r="K436" t="str">
            <v>defsi</v>
          </cell>
        </row>
        <row r="437">
          <cell r="B437" t="b">
            <v>1</v>
          </cell>
          <cell r="E437" t="str">
            <v>Tierra Baja</v>
          </cell>
          <cell r="H437" t="str">
            <v>laboratorio</v>
          </cell>
          <cell r="J437" t="str">
            <v>bueno</v>
          </cell>
          <cell r="K437" t="str">
            <v>defsi</v>
          </cell>
        </row>
        <row r="438">
          <cell r="B438" t="b">
            <v>1</v>
          </cell>
          <cell r="E438" t="str">
            <v>Bicentenario</v>
          </cell>
          <cell r="H438" t="str">
            <v>laboratorio</v>
          </cell>
          <cell r="J438" t="str">
            <v>bueno</v>
          </cell>
          <cell r="K438" t="str">
            <v>probsi</v>
          </cell>
        </row>
        <row r="439">
          <cell r="B439" t="b">
            <v>1</v>
          </cell>
          <cell r="E439" t="str">
            <v>Bicentenario</v>
          </cell>
          <cell r="H439" t="str">
            <v>laboratorio</v>
          </cell>
          <cell r="J439" t="str">
            <v>bueno</v>
          </cell>
          <cell r="K439" t="str">
            <v>probsi</v>
          </cell>
        </row>
        <row r="440">
          <cell r="B440" t="b">
            <v>1</v>
          </cell>
          <cell r="E440" t="str">
            <v>Bicentenario</v>
          </cell>
          <cell r="H440" t="str">
            <v>laboratorio</v>
          </cell>
          <cell r="J440" t="str">
            <v>bueno</v>
          </cell>
          <cell r="K440" t="str">
            <v>probsi</v>
          </cell>
        </row>
        <row r="441">
          <cell r="B441" t="b">
            <v>1</v>
          </cell>
          <cell r="E441" t="str">
            <v>Bicentenario</v>
          </cell>
          <cell r="H441" t="str">
            <v>laboratorio</v>
          </cell>
          <cell r="J441" t="str">
            <v>bueno</v>
          </cell>
          <cell r="K441" t="str">
            <v>probsi</v>
          </cell>
        </row>
        <row r="442">
          <cell r="B442" t="b">
            <v>1</v>
          </cell>
          <cell r="E442" t="str">
            <v>Bicentenario</v>
          </cell>
          <cell r="H442" t="str">
            <v>laboratorio</v>
          </cell>
          <cell r="J442" t="str">
            <v>bueno</v>
          </cell>
          <cell r="K442" t="str">
            <v>probsi</v>
          </cell>
        </row>
        <row r="443">
          <cell r="B443" t="b">
            <v>1</v>
          </cell>
          <cell r="E443" t="str">
            <v>Bicentenario</v>
          </cell>
          <cell r="H443" t="str">
            <v>urgencia</v>
          </cell>
          <cell r="J443" t="str">
            <v>bueno</v>
          </cell>
          <cell r="K443" t="str">
            <v>probsi</v>
          </cell>
        </row>
        <row r="444">
          <cell r="B444" t="b">
            <v>1</v>
          </cell>
          <cell r="E444" t="str">
            <v>Tierra Baja</v>
          </cell>
          <cell r="H444" t="str">
            <v>salud_oral</v>
          </cell>
          <cell r="J444" t="str">
            <v>bueno</v>
          </cell>
          <cell r="K444" t="str">
            <v>defsi</v>
          </cell>
        </row>
        <row r="445">
          <cell r="B445" t="b">
            <v>1</v>
          </cell>
          <cell r="E445" t="str">
            <v>Bicentenario</v>
          </cell>
          <cell r="H445" t="str">
            <v>urgencia</v>
          </cell>
          <cell r="J445" t="str">
            <v>bueno</v>
          </cell>
          <cell r="K445" t="str">
            <v>probsi</v>
          </cell>
        </row>
        <row r="446">
          <cell r="B446" t="b">
            <v>1</v>
          </cell>
          <cell r="E446" t="str">
            <v>Tierra Baja</v>
          </cell>
          <cell r="H446" t="str">
            <v>salud_oral</v>
          </cell>
          <cell r="J446" t="str">
            <v>bueno</v>
          </cell>
          <cell r="K446" t="str">
            <v>defsi</v>
          </cell>
        </row>
        <row r="447">
          <cell r="B447" t="b">
            <v>1</v>
          </cell>
          <cell r="E447" t="str">
            <v>Bicentenario</v>
          </cell>
          <cell r="H447" t="str">
            <v>urgencia</v>
          </cell>
          <cell r="J447" t="str">
            <v>bueno</v>
          </cell>
          <cell r="K447" t="str">
            <v>probsi</v>
          </cell>
        </row>
        <row r="448">
          <cell r="B448" t="b">
            <v>1</v>
          </cell>
          <cell r="E448" t="str">
            <v>Bicentenario</v>
          </cell>
          <cell r="H448" t="str">
            <v>urgencia</v>
          </cell>
          <cell r="J448" t="str">
            <v>bueno</v>
          </cell>
          <cell r="K448" t="str">
            <v>probsi</v>
          </cell>
        </row>
        <row r="449">
          <cell r="B449" t="b">
            <v>1</v>
          </cell>
          <cell r="E449" t="str">
            <v>Tierra Baja</v>
          </cell>
          <cell r="H449" t="str">
            <v>salud_oral</v>
          </cell>
          <cell r="J449" t="str">
            <v>bueno</v>
          </cell>
          <cell r="K449" t="str">
            <v>defsi</v>
          </cell>
        </row>
        <row r="450">
          <cell r="B450" t="b">
            <v>1</v>
          </cell>
          <cell r="E450" t="str">
            <v>Tierra Baja</v>
          </cell>
          <cell r="H450" t="str">
            <v>salud_oral</v>
          </cell>
          <cell r="J450" t="str">
            <v>bueno</v>
          </cell>
          <cell r="K450" t="str">
            <v>defsi</v>
          </cell>
        </row>
        <row r="451">
          <cell r="B451" t="b">
            <v>1</v>
          </cell>
          <cell r="E451" t="str">
            <v>Bicentenario</v>
          </cell>
          <cell r="H451" t="str">
            <v>urgencia</v>
          </cell>
          <cell r="J451" t="str">
            <v>bueno</v>
          </cell>
          <cell r="K451" t="str">
            <v>probsi</v>
          </cell>
        </row>
        <row r="452">
          <cell r="B452" t="b">
            <v>1</v>
          </cell>
          <cell r="E452" t="str">
            <v>Tierra Baja</v>
          </cell>
          <cell r="H452" t="str">
            <v>salud_oral</v>
          </cell>
          <cell r="J452" t="str">
            <v>bueno</v>
          </cell>
          <cell r="K452" t="str">
            <v>defsi</v>
          </cell>
        </row>
        <row r="453">
          <cell r="B453" t="b">
            <v>1</v>
          </cell>
          <cell r="E453" t="str">
            <v>Bicentenario</v>
          </cell>
          <cell r="H453" t="str">
            <v>urgencia</v>
          </cell>
          <cell r="J453" t="str">
            <v>bueno</v>
          </cell>
          <cell r="K453" t="str">
            <v>probsi</v>
          </cell>
        </row>
        <row r="454">
          <cell r="B454" t="b">
            <v>1</v>
          </cell>
          <cell r="E454" t="str">
            <v>Bicentenario</v>
          </cell>
          <cell r="H454" t="str">
            <v>urgencia</v>
          </cell>
          <cell r="J454" t="str">
            <v>bueno</v>
          </cell>
          <cell r="K454" t="str">
            <v>probsi</v>
          </cell>
        </row>
        <row r="455">
          <cell r="B455" t="b">
            <v>1</v>
          </cell>
          <cell r="E455" t="str">
            <v>Bicentenario</v>
          </cell>
          <cell r="H455" t="str">
            <v>urgencia</v>
          </cell>
          <cell r="J455" t="str">
            <v>bueno</v>
          </cell>
          <cell r="K455" t="str">
            <v>probsi</v>
          </cell>
        </row>
        <row r="456">
          <cell r="B456" t="b">
            <v>1</v>
          </cell>
          <cell r="E456" t="str">
            <v>Tierra Baja</v>
          </cell>
          <cell r="H456" t="str">
            <v>consulta_externa</v>
          </cell>
          <cell r="J456" t="str">
            <v>bueno</v>
          </cell>
          <cell r="K456" t="str">
            <v>defsi</v>
          </cell>
        </row>
        <row r="457">
          <cell r="B457" t="b">
            <v>1</v>
          </cell>
          <cell r="E457" t="str">
            <v>Tierra Baja</v>
          </cell>
          <cell r="H457" t="str">
            <v>laboratorio</v>
          </cell>
          <cell r="J457" t="str">
            <v>bueno</v>
          </cell>
          <cell r="K457" t="str">
            <v>defsi</v>
          </cell>
        </row>
        <row r="458">
          <cell r="B458" t="b">
            <v>1</v>
          </cell>
          <cell r="E458" t="str">
            <v>Tierra Baja</v>
          </cell>
          <cell r="H458" t="str">
            <v>salud_oral</v>
          </cell>
          <cell r="J458" t="str">
            <v>bueno</v>
          </cell>
          <cell r="K458" t="str">
            <v>defsi</v>
          </cell>
        </row>
        <row r="459">
          <cell r="B459" t="b">
            <v>1</v>
          </cell>
          <cell r="E459" t="str">
            <v>Tierra Baja</v>
          </cell>
          <cell r="H459" t="str">
            <v>consulta_externa</v>
          </cell>
          <cell r="J459" t="str">
            <v>bueno</v>
          </cell>
          <cell r="K459" t="str">
            <v>defsi</v>
          </cell>
        </row>
        <row r="460">
          <cell r="B460" t="b">
            <v>1</v>
          </cell>
          <cell r="E460" t="str">
            <v>Tierra Baja</v>
          </cell>
          <cell r="H460" t="str">
            <v>salud_oral</v>
          </cell>
          <cell r="J460" t="str">
            <v>bueno</v>
          </cell>
          <cell r="K460" t="str">
            <v>defsi</v>
          </cell>
        </row>
        <row r="461">
          <cell r="B461" t="b">
            <v>1</v>
          </cell>
          <cell r="E461" t="str">
            <v>Tierra Baja</v>
          </cell>
          <cell r="H461" t="str">
            <v>laboratorio</v>
          </cell>
          <cell r="J461" t="str">
            <v>bueno</v>
          </cell>
          <cell r="K461" t="str">
            <v>defsi</v>
          </cell>
        </row>
        <row r="462">
          <cell r="B462" t="b">
            <v>1</v>
          </cell>
          <cell r="E462" t="str">
            <v>Tierra Baja</v>
          </cell>
          <cell r="H462" t="str">
            <v>consulta_externa</v>
          </cell>
          <cell r="J462" t="str">
            <v>bueno</v>
          </cell>
          <cell r="K462" t="str">
            <v>defsi</v>
          </cell>
        </row>
        <row r="463">
          <cell r="B463" t="b">
            <v>1</v>
          </cell>
          <cell r="E463" t="str">
            <v>Tierra Baja</v>
          </cell>
          <cell r="H463" t="str">
            <v>salud_oral</v>
          </cell>
          <cell r="J463" t="str">
            <v>bueno</v>
          </cell>
          <cell r="K463" t="str">
            <v>defsi</v>
          </cell>
        </row>
        <row r="464">
          <cell r="B464" t="b">
            <v>1</v>
          </cell>
          <cell r="E464" t="str">
            <v>Tierra Baja</v>
          </cell>
          <cell r="H464" t="str">
            <v>laboratorio</v>
          </cell>
          <cell r="J464" t="str">
            <v>bueno</v>
          </cell>
          <cell r="K464" t="str">
            <v>defsi</v>
          </cell>
        </row>
        <row r="465">
          <cell r="B465" t="b">
            <v>1</v>
          </cell>
          <cell r="E465" t="str">
            <v>Tierra Baja</v>
          </cell>
          <cell r="H465" t="str">
            <v>consulta_externa</v>
          </cell>
          <cell r="J465" t="str">
            <v>bueno</v>
          </cell>
          <cell r="K465" t="str">
            <v>defsi</v>
          </cell>
        </row>
        <row r="466">
          <cell r="B466" t="b">
            <v>1</v>
          </cell>
          <cell r="E466" t="str">
            <v>Bicentenario</v>
          </cell>
          <cell r="H466" t="str">
            <v>consulta_externa</v>
          </cell>
          <cell r="J466" t="str">
            <v>bueno</v>
          </cell>
          <cell r="K466" t="str">
            <v>probsi</v>
          </cell>
        </row>
        <row r="467">
          <cell r="B467" t="b">
            <v>1</v>
          </cell>
          <cell r="E467" t="str">
            <v>Bicentenario</v>
          </cell>
          <cell r="H467" t="str">
            <v>consulta_externa</v>
          </cell>
          <cell r="J467" t="str">
            <v>bueno</v>
          </cell>
          <cell r="K467" t="str">
            <v>probsi</v>
          </cell>
        </row>
        <row r="468">
          <cell r="B468" t="b">
            <v>1</v>
          </cell>
          <cell r="E468" t="str">
            <v>Tierra Baja</v>
          </cell>
          <cell r="H468" t="str">
            <v>salud_oral</v>
          </cell>
          <cell r="J468" t="str">
            <v>bueno</v>
          </cell>
          <cell r="K468" t="str">
            <v>defsi</v>
          </cell>
        </row>
        <row r="469">
          <cell r="B469" t="b">
            <v>1</v>
          </cell>
          <cell r="E469" t="str">
            <v>Bicentenario</v>
          </cell>
          <cell r="H469" t="str">
            <v>laboratorio</v>
          </cell>
          <cell r="J469" t="str">
            <v>bueno</v>
          </cell>
          <cell r="K469" t="str">
            <v>probsi</v>
          </cell>
        </row>
        <row r="470">
          <cell r="B470" t="b">
            <v>1</v>
          </cell>
          <cell r="E470" t="str">
            <v>Bicentenario</v>
          </cell>
          <cell r="H470" t="str">
            <v>laboratorio</v>
          </cell>
          <cell r="J470" t="str">
            <v>bueno</v>
          </cell>
          <cell r="K470" t="str">
            <v>probsi</v>
          </cell>
        </row>
        <row r="471">
          <cell r="B471" t="b">
            <v>1</v>
          </cell>
          <cell r="E471" t="str">
            <v>Bicentenario</v>
          </cell>
          <cell r="H471" t="str">
            <v>laboratorio</v>
          </cell>
          <cell r="J471" t="str">
            <v>bueno</v>
          </cell>
          <cell r="K471" t="str">
            <v>probsi</v>
          </cell>
        </row>
        <row r="472">
          <cell r="B472" t="b">
            <v>1</v>
          </cell>
          <cell r="E472" t="str">
            <v>Bicentenario</v>
          </cell>
          <cell r="H472" t="str">
            <v>salud_oral</v>
          </cell>
          <cell r="J472" t="str">
            <v>bueno</v>
          </cell>
          <cell r="K472" t="str">
            <v>probsi</v>
          </cell>
        </row>
        <row r="473">
          <cell r="B473" t="b">
            <v>1</v>
          </cell>
          <cell r="E473" t="str">
            <v>Bicentenario</v>
          </cell>
          <cell r="H473" t="str">
            <v>salud_oral</v>
          </cell>
          <cell r="J473" t="str">
            <v>bueno</v>
          </cell>
          <cell r="K473" t="str">
            <v>probsi</v>
          </cell>
        </row>
        <row r="474">
          <cell r="B474" t="b">
            <v>1</v>
          </cell>
          <cell r="E474" t="str">
            <v>Tierra Baja</v>
          </cell>
          <cell r="H474" t="str">
            <v>laboratorio</v>
          </cell>
          <cell r="J474" t="str">
            <v>bueno</v>
          </cell>
          <cell r="K474" t="str">
            <v>defsi</v>
          </cell>
        </row>
        <row r="475">
          <cell r="B475" t="b">
            <v>1</v>
          </cell>
          <cell r="E475" t="str">
            <v>Tierra Baja</v>
          </cell>
          <cell r="H475" t="str">
            <v>consulta_externa</v>
          </cell>
          <cell r="J475" t="str">
            <v>bueno</v>
          </cell>
          <cell r="K475" t="str">
            <v>defsi</v>
          </cell>
        </row>
        <row r="476">
          <cell r="B476" t="b">
            <v>1</v>
          </cell>
          <cell r="E476" t="str">
            <v>Foco Rojo</v>
          </cell>
          <cell r="H476" t="str">
            <v>consulta_externa</v>
          </cell>
          <cell r="J476" t="str">
            <v>bueno</v>
          </cell>
          <cell r="K476" t="str">
            <v>probsi</v>
          </cell>
        </row>
        <row r="477">
          <cell r="B477" t="b">
            <v>1</v>
          </cell>
          <cell r="E477" t="str">
            <v>Foco Rojo</v>
          </cell>
          <cell r="H477" t="str">
            <v>laboratorio</v>
          </cell>
          <cell r="J477" t="str">
            <v>bueno</v>
          </cell>
          <cell r="K477" t="str">
            <v>probsi</v>
          </cell>
        </row>
        <row r="478">
          <cell r="B478" t="b">
            <v>1</v>
          </cell>
          <cell r="E478" t="str">
            <v>Tierra Baja</v>
          </cell>
          <cell r="H478" t="str">
            <v>salud_oral</v>
          </cell>
          <cell r="J478" t="str">
            <v>bueno</v>
          </cell>
          <cell r="K478" t="str">
            <v>defsi</v>
          </cell>
        </row>
        <row r="479">
          <cell r="B479" t="b">
            <v>1</v>
          </cell>
          <cell r="E479" t="str">
            <v>Tierra Baja</v>
          </cell>
          <cell r="H479" t="str">
            <v>laboratorio</v>
          </cell>
          <cell r="J479" t="str">
            <v>bueno</v>
          </cell>
          <cell r="K479" t="str">
            <v>defsi</v>
          </cell>
        </row>
        <row r="480">
          <cell r="B480" t="b">
            <v>1</v>
          </cell>
          <cell r="E480" t="str">
            <v>Foco Rojo</v>
          </cell>
          <cell r="H480" t="str">
            <v>consulta_externa</v>
          </cell>
          <cell r="J480" t="str">
            <v>bueno</v>
          </cell>
          <cell r="K480" t="str">
            <v>probsi</v>
          </cell>
        </row>
        <row r="481">
          <cell r="B481" t="b">
            <v>1</v>
          </cell>
          <cell r="E481" t="str">
            <v>Foco Rojo</v>
          </cell>
          <cell r="H481" t="str">
            <v>consulta_externa</v>
          </cell>
          <cell r="J481" t="str">
            <v>bueno</v>
          </cell>
          <cell r="K481" t="str">
            <v>probsi</v>
          </cell>
        </row>
        <row r="482">
          <cell r="B482" t="b">
            <v>1</v>
          </cell>
          <cell r="E482" t="str">
            <v>Foco Rojo</v>
          </cell>
          <cell r="H482" t="str">
            <v>salud_oral</v>
          </cell>
          <cell r="J482" t="str">
            <v>bueno</v>
          </cell>
          <cell r="K482" t="str">
            <v>probsi</v>
          </cell>
        </row>
        <row r="483">
          <cell r="B483" t="b">
            <v>1</v>
          </cell>
          <cell r="E483" t="str">
            <v>Foco Rojo</v>
          </cell>
          <cell r="H483" t="str">
            <v>laboratorio</v>
          </cell>
          <cell r="J483" t="str">
            <v>muybueno</v>
          </cell>
          <cell r="K483" t="str">
            <v>probsi</v>
          </cell>
        </row>
        <row r="484">
          <cell r="B484" t="b">
            <v>1</v>
          </cell>
          <cell r="E484" t="str">
            <v>Tierra Baja</v>
          </cell>
          <cell r="H484" t="str">
            <v>consulta_externa</v>
          </cell>
          <cell r="J484" t="str">
            <v>bueno</v>
          </cell>
          <cell r="K484" t="str">
            <v>defsi</v>
          </cell>
        </row>
        <row r="485">
          <cell r="B485" t="b">
            <v>1</v>
          </cell>
          <cell r="E485" t="str">
            <v>Tierra Baja</v>
          </cell>
          <cell r="H485" t="str">
            <v>salud_oral</v>
          </cell>
          <cell r="J485" t="str">
            <v>bueno</v>
          </cell>
          <cell r="K485" t="str">
            <v>defsi</v>
          </cell>
        </row>
        <row r="486">
          <cell r="B486" t="b">
            <v>1</v>
          </cell>
          <cell r="E486" t="str">
            <v>Tierra Baja</v>
          </cell>
          <cell r="H486" t="str">
            <v>laboratorio</v>
          </cell>
          <cell r="J486" t="str">
            <v>bueno</v>
          </cell>
          <cell r="K486" t="str">
            <v>defsi</v>
          </cell>
        </row>
        <row r="487">
          <cell r="B487" t="b">
            <v>1</v>
          </cell>
          <cell r="E487" t="str">
            <v>Tierra Baja</v>
          </cell>
          <cell r="H487" t="str">
            <v>consulta_externa</v>
          </cell>
          <cell r="J487" t="str">
            <v>bueno</v>
          </cell>
          <cell r="K487" t="str">
            <v>defsi</v>
          </cell>
        </row>
        <row r="488">
          <cell r="B488" t="b">
            <v>1</v>
          </cell>
          <cell r="E488" t="str">
            <v>Tierra Baja</v>
          </cell>
          <cell r="H488" t="str">
            <v>salud_oral</v>
          </cell>
          <cell r="J488" t="str">
            <v>bueno</v>
          </cell>
          <cell r="K488" t="str">
            <v>defsi</v>
          </cell>
        </row>
        <row r="489">
          <cell r="B489" t="b">
            <v>1</v>
          </cell>
          <cell r="E489" t="str">
            <v>Tierra Baja</v>
          </cell>
          <cell r="H489" t="str">
            <v>laboratorio</v>
          </cell>
          <cell r="J489" t="str">
            <v>bueno</v>
          </cell>
          <cell r="K489" t="str">
            <v>defsi</v>
          </cell>
        </row>
        <row r="490">
          <cell r="B490" t="b">
            <v>1</v>
          </cell>
          <cell r="E490" t="str">
            <v>Foco Rojo</v>
          </cell>
          <cell r="H490" t="str">
            <v>consulta_externa</v>
          </cell>
          <cell r="J490" t="str">
            <v>bueno</v>
          </cell>
          <cell r="K490" t="str">
            <v>probsi</v>
          </cell>
        </row>
        <row r="491">
          <cell r="B491" t="b">
            <v>1</v>
          </cell>
          <cell r="E491" t="str">
            <v>Foco Rojo</v>
          </cell>
          <cell r="H491" t="str">
            <v>salud_oral</v>
          </cell>
          <cell r="J491" t="str">
            <v>bueno</v>
          </cell>
          <cell r="K491" t="str">
            <v>probsi</v>
          </cell>
        </row>
        <row r="492">
          <cell r="B492" t="b">
            <v>1</v>
          </cell>
          <cell r="E492" t="str">
            <v>Foco Rojo</v>
          </cell>
          <cell r="H492" t="str">
            <v>laboratorio</v>
          </cell>
          <cell r="J492" t="str">
            <v>bueno</v>
          </cell>
          <cell r="K492" t="str">
            <v>probsi</v>
          </cell>
        </row>
        <row r="493">
          <cell r="B493" t="b">
            <v>1</v>
          </cell>
          <cell r="E493" t="str">
            <v>Foco Rojo</v>
          </cell>
          <cell r="H493" t="str">
            <v>salud_oral</v>
          </cell>
          <cell r="J493" t="str">
            <v>muybueno</v>
          </cell>
          <cell r="K493" t="str">
            <v>probsi</v>
          </cell>
        </row>
        <row r="494">
          <cell r="B494" t="b">
            <v>1</v>
          </cell>
          <cell r="E494" t="str">
            <v>Foco Rojo</v>
          </cell>
          <cell r="H494" t="str">
            <v>salud_oral</v>
          </cell>
          <cell r="J494" t="str">
            <v>bueno</v>
          </cell>
          <cell r="K494" t="str">
            <v>probsi</v>
          </cell>
        </row>
        <row r="495">
          <cell r="B495" t="b">
            <v>1</v>
          </cell>
          <cell r="E495" t="str">
            <v>Foco Rojo</v>
          </cell>
          <cell r="H495" t="str">
            <v>salud_oral</v>
          </cell>
          <cell r="J495" t="str">
            <v>bueno</v>
          </cell>
          <cell r="K495" t="str">
            <v>probsi</v>
          </cell>
        </row>
        <row r="496">
          <cell r="B496" t="b">
            <v>1</v>
          </cell>
          <cell r="E496" t="str">
            <v>Foco Rojo</v>
          </cell>
          <cell r="H496" t="str">
            <v>salud_oral</v>
          </cell>
          <cell r="J496" t="str">
            <v>bueno</v>
          </cell>
          <cell r="K496" t="str">
            <v>probsi</v>
          </cell>
        </row>
        <row r="497">
          <cell r="B497" t="b">
            <v>1</v>
          </cell>
          <cell r="E497" t="str">
            <v>Foco Rojo</v>
          </cell>
          <cell r="H497" t="str">
            <v>salud_oral</v>
          </cell>
          <cell r="J497" t="str">
            <v>bueno</v>
          </cell>
          <cell r="K497" t="str">
            <v>probsi</v>
          </cell>
        </row>
        <row r="498">
          <cell r="B498" t="b">
            <v>1</v>
          </cell>
          <cell r="E498" t="str">
            <v>Boston</v>
          </cell>
          <cell r="H498" t="str">
            <v>consulta_externa</v>
          </cell>
          <cell r="J498" t="str">
            <v>bueno</v>
          </cell>
          <cell r="K498" t="str">
            <v>defsi</v>
          </cell>
        </row>
        <row r="499">
          <cell r="B499" t="b">
            <v>1</v>
          </cell>
          <cell r="E499" t="str">
            <v>Boston</v>
          </cell>
          <cell r="H499" t="str">
            <v>consulta_externa</v>
          </cell>
          <cell r="J499" t="str">
            <v>bueno</v>
          </cell>
          <cell r="K499" t="str">
            <v>defsi</v>
          </cell>
        </row>
        <row r="500">
          <cell r="B500" t="b">
            <v>1</v>
          </cell>
          <cell r="E500" t="str">
            <v>Boston</v>
          </cell>
          <cell r="H500" t="str">
            <v>consulta_externa</v>
          </cell>
          <cell r="J500" t="str">
            <v>bueno</v>
          </cell>
          <cell r="K500" t="str">
            <v>defsi</v>
          </cell>
        </row>
        <row r="501">
          <cell r="B501" t="b">
            <v>1</v>
          </cell>
          <cell r="E501" t="str">
            <v>Boston</v>
          </cell>
          <cell r="H501" t="str">
            <v>consulta_externa</v>
          </cell>
          <cell r="J501" t="str">
            <v>bueno</v>
          </cell>
          <cell r="K501" t="str">
            <v>defsi</v>
          </cell>
        </row>
        <row r="502">
          <cell r="B502" t="b">
            <v>1</v>
          </cell>
          <cell r="E502" t="str">
            <v>Boston</v>
          </cell>
          <cell r="H502" t="str">
            <v>consulta_externa</v>
          </cell>
          <cell r="J502" t="str">
            <v>bueno</v>
          </cell>
          <cell r="K502" t="str">
            <v>defsi</v>
          </cell>
        </row>
        <row r="503">
          <cell r="B503" t="b">
            <v>1</v>
          </cell>
          <cell r="E503" t="str">
            <v>Boston</v>
          </cell>
          <cell r="H503" t="str">
            <v>consulta_externa</v>
          </cell>
          <cell r="J503" t="str">
            <v>bueno</v>
          </cell>
          <cell r="K503" t="str">
            <v>defsi</v>
          </cell>
        </row>
        <row r="504">
          <cell r="B504" t="b">
            <v>1</v>
          </cell>
          <cell r="E504" t="str">
            <v>Boston</v>
          </cell>
          <cell r="H504" t="str">
            <v>consulta_externa</v>
          </cell>
          <cell r="J504" t="str">
            <v>bueno</v>
          </cell>
          <cell r="K504" t="str">
            <v>defsi</v>
          </cell>
        </row>
        <row r="505">
          <cell r="B505" t="b">
            <v>1</v>
          </cell>
          <cell r="E505" t="str">
            <v>Boston</v>
          </cell>
          <cell r="H505" t="str">
            <v>consulta_externa</v>
          </cell>
          <cell r="J505" t="str">
            <v>bueno</v>
          </cell>
          <cell r="K505" t="str">
            <v>defsi</v>
          </cell>
        </row>
        <row r="506">
          <cell r="B506" t="b">
            <v>1</v>
          </cell>
          <cell r="E506" t="str">
            <v>Nelson Mandela UPA</v>
          </cell>
          <cell r="H506" t="str">
            <v>laboratorio</v>
          </cell>
          <cell r="J506" t="str">
            <v>bueno</v>
          </cell>
          <cell r="K506" t="str">
            <v>defsi</v>
          </cell>
        </row>
        <row r="507">
          <cell r="B507" t="b">
            <v>1</v>
          </cell>
          <cell r="E507" t="str">
            <v>Nelson Mandela UPA</v>
          </cell>
          <cell r="H507" t="str">
            <v>laboratorio</v>
          </cell>
          <cell r="J507" t="str">
            <v>bueno</v>
          </cell>
          <cell r="K507" t="str">
            <v>defsi</v>
          </cell>
        </row>
        <row r="508">
          <cell r="B508" t="b">
            <v>1</v>
          </cell>
          <cell r="E508" t="str">
            <v>Nelson Mandela UPA</v>
          </cell>
          <cell r="H508" t="str">
            <v>laboratorio</v>
          </cell>
          <cell r="J508" t="str">
            <v>bueno</v>
          </cell>
          <cell r="K508" t="str">
            <v>defsi</v>
          </cell>
        </row>
        <row r="509">
          <cell r="B509" t="b">
            <v>1</v>
          </cell>
          <cell r="E509" t="str">
            <v>Nelson Mandela UPA</v>
          </cell>
          <cell r="H509" t="str">
            <v>laboratorio</v>
          </cell>
          <cell r="J509" t="str">
            <v>bueno</v>
          </cell>
          <cell r="K509" t="str">
            <v>defsi</v>
          </cell>
        </row>
        <row r="510">
          <cell r="B510" t="b">
            <v>1</v>
          </cell>
          <cell r="E510" t="str">
            <v>Nelson Mandela UPA</v>
          </cell>
          <cell r="H510" t="str">
            <v>laboratorio</v>
          </cell>
          <cell r="J510" t="str">
            <v>bueno</v>
          </cell>
          <cell r="K510" t="str">
            <v>defsi</v>
          </cell>
        </row>
        <row r="511">
          <cell r="B511" t="b">
            <v>1</v>
          </cell>
          <cell r="E511" t="str">
            <v>Foco Rojo</v>
          </cell>
          <cell r="H511" t="str">
            <v>laboratorio</v>
          </cell>
          <cell r="J511" t="str">
            <v>bueno</v>
          </cell>
          <cell r="K511" t="str">
            <v>probsi</v>
          </cell>
        </row>
        <row r="512">
          <cell r="B512" t="b">
            <v>1</v>
          </cell>
          <cell r="E512" t="str">
            <v>Nelson Mandela UPA</v>
          </cell>
          <cell r="H512" t="str">
            <v>laboratorio</v>
          </cell>
          <cell r="J512" t="str">
            <v>bueno</v>
          </cell>
          <cell r="K512" t="str">
            <v>defsi</v>
          </cell>
        </row>
        <row r="513">
          <cell r="B513" t="b">
            <v>1</v>
          </cell>
          <cell r="E513" t="str">
            <v>Nelson Mandela UPA</v>
          </cell>
          <cell r="H513" t="str">
            <v>consulta_externa</v>
          </cell>
          <cell r="J513" t="str">
            <v>bueno</v>
          </cell>
          <cell r="K513" t="str">
            <v>defsi</v>
          </cell>
        </row>
        <row r="514">
          <cell r="B514" t="b">
            <v>1</v>
          </cell>
          <cell r="E514" t="str">
            <v>Nelson Mandela UPA</v>
          </cell>
          <cell r="H514" t="str">
            <v>consulta_externa</v>
          </cell>
          <cell r="J514" t="str">
            <v>bueno</v>
          </cell>
          <cell r="K514" t="str">
            <v>defsi</v>
          </cell>
        </row>
        <row r="515">
          <cell r="B515" t="b">
            <v>1</v>
          </cell>
          <cell r="E515" t="str">
            <v>Foco Rojo</v>
          </cell>
          <cell r="H515" t="str">
            <v>laboratorio</v>
          </cell>
          <cell r="J515" t="str">
            <v>bueno</v>
          </cell>
          <cell r="K515" t="str">
            <v>probsi</v>
          </cell>
        </row>
        <row r="516">
          <cell r="B516" t="b">
            <v>1</v>
          </cell>
          <cell r="E516" t="str">
            <v>Nelson Mandela UPA</v>
          </cell>
          <cell r="H516" t="str">
            <v>laboratorio</v>
          </cell>
          <cell r="J516" t="str">
            <v>bueno</v>
          </cell>
          <cell r="K516" t="str">
            <v>defsi</v>
          </cell>
        </row>
        <row r="517">
          <cell r="B517" t="b">
            <v>1</v>
          </cell>
          <cell r="E517" t="str">
            <v>Nelson Mandela UPA</v>
          </cell>
          <cell r="H517" t="str">
            <v>consulta_externa</v>
          </cell>
          <cell r="J517" t="str">
            <v>bueno</v>
          </cell>
          <cell r="K517" t="str">
            <v>defsi</v>
          </cell>
        </row>
        <row r="518">
          <cell r="B518" t="b">
            <v>1</v>
          </cell>
          <cell r="E518" t="str">
            <v>Nelson Mandela UPA</v>
          </cell>
          <cell r="H518" t="str">
            <v>laboratorio</v>
          </cell>
          <cell r="J518" t="str">
            <v>bueno</v>
          </cell>
          <cell r="K518" t="str">
            <v>defsi</v>
          </cell>
        </row>
        <row r="519">
          <cell r="B519" t="b">
            <v>1</v>
          </cell>
          <cell r="E519" t="str">
            <v>Nelson Mandela UPA</v>
          </cell>
          <cell r="H519" t="str">
            <v>consulta_externa</v>
          </cell>
          <cell r="J519" t="str">
            <v>bueno</v>
          </cell>
          <cell r="K519" t="str">
            <v>defsi</v>
          </cell>
        </row>
        <row r="520">
          <cell r="B520" t="b">
            <v>1</v>
          </cell>
          <cell r="E520" t="str">
            <v>Nelson Mandela UPA</v>
          </cell>
          <cell r="H520" t="str">
            <v>consulta_externa</v>
          </cell>
          <cell r="J520" t="str">
            <v>bueno</v>
          </cell>
          <cell r="K520" t="str">
            <v>defsi</v>
          </cell>
        </row>
        <row r="521">
          <cell r="B521" t="b">
            <v>1</v>
          </cell>
          <cell r="E521" t="str">
            <v>Boston</v>
          </cell>
          <cell r="H521" t="str">
            <v>consulta_externa</v>
          </cell>
          <cell r="J521" t="str">
            <v>bueno</v>
          </cell>
          <cell r="K521" t="str">
            <v>defsi</v>
          </cell>
        </row>
        <row r="522">
          <cell r="B522" t="b">
            <v>1</v>
          </cell>
          <cell r="E522" t="str">
            <v>Boston</v>
          </cell>
          <cell r="H522" t="str">
            <v>consulta_externa</v>
          </cell>
          <cell r="J522" t="str">
            <v>bueno</v>
          </cell>
          <cell r="K522" t="str">
            <v>defsi</v>
          </cell>
        </row>
        <row r="523">
          <cell r="B523" t="b">
            <v>1</v>
          </cell>
          <cell r="E523" t="str">
            <v>Boston</v>
          </cell>
          <cell r="H523" t="str">
            <v>consulta_externa</v>
          </cell>
          <cell r="J523" t="str">
            <v>bueno</v>
          </cell>
          <cell r="K523" t="str">
            <v>defsi</v>
          </cell>
        </row>
        <row r="524">
          <cell r="B524" t="b">
            <v>0</v>
          </cell>
          <cell r="E524" t="str">
            <v>Boston</v>
          </cell>
          <cell r="H524" t="str">
            <v>consulta_externa</v>
          </cell>
          <cell r="J524" t="str">
            <v>regular</v>
          </cell>
          <cell r="K524" t="str">
            <v>probno</v>
          </cell>
        </row>
        <row r="525">
          <cell r="B525" t="b">
            <v>1</v>
          </cell>
          <cell r="E525" t="str">
            <v>Boston</v>
          </cell>
          <cell r="H525" t="str">
            <v>consulta_externa</v>
          </cell>
          <cell r="J525" t="str">
            <v>bueno</v>
          </cell>
          <cell r="K525" t="str">
            <v>defsi</v>
          </cell>
        </row>
        <row r="526">
          <cell r="B526" t="b">
            <v>1</v>
          </cell>
          <cell r="E526" t="str">
            <v>Boston</v>
          </cell>
          <cell r="H526" t="str">
            <v>consulta_externa</v>
          </cell>
          <cell r="J526" t="str">
            <v>bueno</v>
          </cell>
          <cell r="K526" t="str">
            <v>defsi</v>
          </cell>
        </row>
        <row r="527">
          <cell r="B527" t="b">
            <v>1</v>
          </cell>
          <cell r="E527" t="str">
            <v>Nelson Mandela UPA</v>
          </cell>
          <cell r="H527" t="str">
            <v>salud_oral</v>
          </cell>
          <cell r="J527" t="str">
            <v>bueno</v>
          </cell>
          <cell r="K527" t="str">
            <v>defsi</v>
          </cell>
        </row>
        <row r="528">
          <cell r="B528" t="b">
            <v>1</v>
          </cell>
          <cell r="E528" t="str">
            <v>Nelson Mandela UPA</v>
          </cell>
          <cell r="H528" t="str">
            <v>salud_oral</v>
          </cell>
          <cell r="J528" t="str">
            <v>bueno</v>
          </cell>
          <cell r="K528" t="str">
            <v>defsi</v>
          </cell>
        </row>
        <row r="529">
          <cell r="B529" t="b">
            <v>1</v>
          </cell>
          <cell r="E529" t="str">
            <v>Nelson Mandela UPA</v>
          </cell>
          <cell r="H529" t="str">
            <v>salud_oral</v>
          </cell>
          <cell r="J529" t="str">
            <v>bueno</v>
          </cell>
          <cell r="K529" t="str">
            <v>defsi</v>
          </cell>
        </row>
        <row r="530">
          <cell r="B530" t="b">
            <v>1</v>
          </cell>
          <cell r="E530" t="str">
            <v>Nelson Mandela UPA</v>
          </cell>
          <cell r="H530" t="str">
            <v>consulta_externa</v>
          </cell>
          <cell r="J530" t="str">
            <v>bueno</v>
          </cell>
          <cell r="K530" t="str">
            <v>defsi</v>
          </cell>
        </row>
        <row r="531">
          <cell r="B531" t="b">
            <v>1</v>
          </cell>
          <cell r="E531" t="str">
            <v>Nelson Mandela UPA</v>
          </cell>
          <cell r="H531" t="str">
            <v>consulta_externa</v>
          </cell>
          <cell r="J531" t="str">
            <v>bueno</v>
          </cell>
          <cell r="K531" t="str">
            <v>defsi</v>
          </cell>
        </row>
        <row r="532">
          <cell r="B532" t="b">
            <v>1</v>
          </cell>
          <cell r="E532" t="str">
            <v>Nelson Mandela UPA</v>
          </cell>
          <cell r="H532" t="str">
            <v>consulta_externa</v>
          </cell>
          <cell r="J532" t="str">
            <v>bueno</v>
          </cell>
          <cell r="K532" t="str">
            <v>defsi</v>
          </cell>
        </row>
        <row r="533">
          <cell r="B533" t="b">
            <v>0</v>
          </cell>
          <cell r="E533" t="str">
            <v>Nelson Mandela UPA</v>
          </cell>
          <cell r="H533" t="str">
            <v>consulta_externa</v>
          </cell>
          <cell r="J533" t="str">
            <v>regular</v>
          </cell>
          <cell r="K533" t="str">
            <v>defsi</v>
          </cell>
        </row>
        <row r="534">
          <cell r="B534" t="b">
            <v>1</v>
          </cell>
          <cell r="E534" t="str">
            <v>Nelson Mandela UPA</v>
          </cell>
          <cell r="H534" t="str">
            <v>salud_oral</v>
          </cell>
          <cell r="J534" t="str">
            <v>bueno</v>
          </cell>
          <cell r="K534" t="str">
            <v>defsi</v>
          </cell>
        </row>
        <row r="535">
          <cell r="B535" t="b">
            <v>1</v>
          </cell>
          <cell r="E535" t="str">
            <v>Nelson Mandela UPA</v>
          </cell>
          <cell r="H535" t="str">
            <v>salud_oral</v>
          </cell>
          <cell r="J535" t="str">
            <v>bueno</v>
          </cell>
          <cell r="K535" t="str">
            <v>defsi</v>
          </cell>
        </row>
        <row r="536">
          <cell r="B536" t="b">
            <v>1</v>
          </cell>
          <cell r="E536" t="str">
            <v>Nelson Mandela UPA</v>
          </cell>
          <cell r="H536" t="str">
            <v>salud_oral</v>
          </cell>
          <cell r="J536" t="str">
            <v>bueno</v>
          </cell>
          <cell r="K536" t="str">
            <v>defsi</v>
          </cell>
        </row>
        <row r="537">
          <cell r="B537" t="b">
            <v>1</v>
          </cell>
          <cell r="E537" t="str">
            <v>Nelson Mandela UPA</v>
          </cell>
          <cell r="H537" t="str">
            <v>consulta_externa</v>
          </cell>
          <cell r="J537" t="str">
            <v>bueno</v>
          </cell>
          <cell r="K537" t="str">
            <v>defsi</v>
          </cell>
        </row>
        <row r="538">
          <cell r="B538" t="b">
            <v>1</v>
          </cell>
          <cell r="E538" t="str">
            <v>Nelson Mandela UPA</v>
          </cell>
          <cell r="H538" t="str">
            <v>salud_oral</v>
          </cell>
          <cell r="J538" t="str">
            <v>bueno</v>
          </cell>
          <cell r="K538" t="str">
            <v>defsi</v>
          </cell>
        </row>
        <row r="539">
          <cell r="B539" t="b">
            <v>1</v>
          </cell>
          <cell r="E539" t="str">
            <v>Nelson Mandela UPA</v>
          </cell>
          <cell r="H539" t="str">
            <v>salud_oral</v>
          </cell>
          <cell r="J539" t="str">
            <v>bueno</v>
          </cell>
          <cell r="K539" t="str">
            <v>defsi</v>
          </cell>
        </row>
        <row r="540">
          <cell r="B540" t="b">
            <v>1</v>
          </cell>
          <cell r="E540" t="str">
            <v>Foco Rojo</v>
          </cell>
          <cell r="H540" t="str">
            <v>laboratorio</v>
          </cell>
          <cell r="J540" t="str">
            <v>bueno</v>
          </cell>
          <cell r="K540" t="str">
            <v>probsi</v>
          </cell>
        </row>
        <row r="541">
          <cell r="B541" t="b">
            <v>1</v>
          </cell>
          <cell r="E541" t="str">
            <v>Foco Rojo</v>
          </cell>
          <cell r="H541" t="str">
            <v>laboratorio</v>
          </cell>
          <cell r="J541" t="str">
            <v>bueno</v>
          </cell>
          <cell r="K541" t="str">
            <v>probsi</v>
          </cell>
        </row>
        <row r="542">
          <cell r="B542" t="b">
            <v>1</v>
          </cell>
          <cell r="E542" t="str">
            <v>Nelson Mandela UPA</v>
          </cell>
          <cell r="H542" t="str">
            <v>salud_oral</v>
          </cell>
          <cell r="J542" t="str">
            <v>bueno</v>
          </cell>
          <cell r="K542" t="str">
            <v>defsi</v>
          </cell>
        </row>
        <row r="543">
          <cell r="B543" t="b">
            <v>1</v>
          </cell>
          <cell r="E543" t="str">
            <v>Nelson Mandela UPA</v>
          </cell>
          <cell r="H543" t="str">
            <v>consulta_externa</v>
          </cell>
          <cell r="J543" t="str">
            <v>bueno</v>
          </cell>
          <cell r="K543" t="str">
            <v>defsi</v>
          </cell>
        </row>
        <row r="544">
          <cell r="B544" t="b">
            <v>1</v>
          </cell>
          <cell r="E544" t="str">
            <v>Nelson Mandela UPA</v>
          </cell>
          <cell r="H544" t="str">
            <v>consulta_externa</v>
          </cell>
          <cell r="J544" t="str">
            <v>bueno</v>
          </cell>
          <cell r="K544" t="str">
            <v>defsi</v>
          </cell>
        </row>
        <row r="545">
          <cell r="B545" t="b">
            <v>1</v>
          </cell>
          <cell r="E545" t="str">
            <v>Nelson Mandela UPA</v>
          </cell>
          <cell r="H545" t="str">
            <v>salud_oral</v>
          </cell>
          <cell r="J545" t="str">
            <v>bueno</v>
          </cell>
          <cell r="K545" t="str">
            <v>defsi</v>
          </cell>
        </row>
        <row r="546">
          <cell r="B546" t="b">
            <v>1</v>
          </cell>
          <cell r="E546" t="str">
            <v>Nelson Mandela UPA</v>
          </cell>
          <cell r="H546" t="str">
            <v>salud_oral</v>
          </cell>
          <cell r="J546" t="str">
            <v>bueno</v>
          </cell>
          <cell r="K546" t="str">
            <v>defsi</v>
          </cell>
        </row>
        <row r="547">
          <cell r="B547" t="b">
            <v>1</v>
          </cell>
          <cell r="E547" t="str">
            <v>Nelson Mandela UPA</v>
          </cell>
          <cell r="H547" t="str">
            <v>salud_oral</v>
          </cell>
          <cell r="J547" t="str">
            <v>bueno</v>
          </cell>
          <cell r="K547" t="str">
            <v>defsi</v>
          </cell>
        </row>
        <row r="548">
          <cell r="B548" t="b">
            <v>1</v>
          </cell>
          <cell r="E548" t="str">
            <v>Nelson Mandela UPA</v>
          </cell>
          <cell r="H548" t="str">
            <v>salud_oral</v>
          </cell>
          <cell r="J548" t="str">
            <v>bueno</v>
          </cell>
          <cell r="K548" t="str">
            <v>defsi</v>
          </cell>
        </row>
        <row r="549">
          <cell r="B549" t="b">
            <v>1</v>
          </cell>
          <cell r="E549" t="str">
            <v>Nelson Mandela UPA</v>
          </cell>
          <cell r="H549" t="str">
            <v>laboratorio</v>
          </cell>
          <cell r="J549" t="str">
            <v>bueno</v>
          </cell>
          <cell r="K549" t="str">
            <v>defsi</v>
          </cell>
        </row>
        <row r="550">
          <cell r="B550" t="b">
            <v>1</v>
          </cell>
          <cell r="E550" t="str">
            <v>Nelson Mandela UPA</v>
          </cell>
          <cell r="H550" t="str">
            <v>consulta_externa</v>
          </cell>
          <cell r="J550" t="str">
            <v>bueno</v>
          </cell>
          <cell r="K550" t="str">
            <v>defsi</v>
          </cell>
        </row>
        <row r="551">
          <cell r="B551" t="b">
            <v>1</v>
          </cell>
          <cell r="E551" t="str">
            <v>Nelson Mandela UPA</v>
          </cell>
          <cell r="H551" t="str">
            <v>urgencia</v>
          </cell>
          <cell r="J551" t="str">
            <v>bueno</v>
          </cell>
          <cell r="K551" t="str">
            <v>defsi</v>
          </cell>
        </row>
        <row r="552">
          <cell r="B552" t="b">
            <v>1</v>
          </cell>
          <cell r="E552" t="str">
            <v>Nelson Mandela UPA</v>
          </cell>
          <cell r="H552" t="str">
            <v>urgencia</v>
          </cell>
          <cell r="J552" t="str">
            <v>bueno</v>
          </cell>
          <cell r="K552" t="str">
            <v>defsi</v>
          </cell>
        </row>
        <row r="553">
          <cell r="B553" t="b">
            <v>1</v>
          </cell>
          <cell r="E553" t="str">
            <v>Nelson Mandela UPA</v>
          </cell>
          <cell r="H553" t="str">
            <v>laboratorio</v>
          </cell>
          <cell r="J553" t="str">
            <v>bueno</v>
          </cell>
          <cell r="K553" t="str">
            <v>defsi</v>
          </cell>
        </row>
        <row r="554">
          <cell r="B554" t="b">
            <v>1</v>
          </cell>
          <cell r="E554" t="str">
            <v>Nelson Mandela UPA</v>
          </cell>
          <cell r="H554" t="str">
            <v>laboratorio</v>
          </cell>
          <cell r="J554" t="str">
            <v>bueno</v>
          </cell>
          <cell r="K554" t="str">
            <v>defsi</v>
          </cell>
        </row>
        <row r="555">
          <cell r="B555" t="b">
            <v>0</v>
          </cell>
          <cell r="E555" t="str">
            <v>Nelson Mandela UPA</v>
          </cell>
          <cell r="H555" t="str">
            <v>urgencia</v>
          </cell>
          <cell r="J555" t="str">
            <v>regular</v>
          </cell>
          <cell r="K555" t="str">
            <v>defsi</v>
          </cell>
        </row>
        <row r="556">
          <cell r="B556" t="b">
            <v>1</v>
          </cell>
          <cell r="E556" t="str">
            <v>Nelson Mandela UPA</v>
          </cell>
          <cell r="H556" t="str">
            <v>urgencia</v>
          </cell>
          <cell r="J556" t="str">
            <v>bueno</v>
          </cell>
          <cell r="K556" t="str">
            <v>defsi</v>
          </cell>
        </row>
        <row r="557">
          <cell r="B557" t="b">
            <v>1</v>
          </cell>
          <cell r="E557" t="str">
            <v>Nelson Mandela UPA</v>
          </cell>
          <cell r="H557" t="str">
            <v>urgencia</v>
          </cell>
          <cell r="J557" t="str">
            <v>bueno</v>
          </cell>
          <cell r="K557" t="str">
            <v>defsi</v>
          </cell>
        </row>
        <row r="558">
          <cell r="B558" t="b">
            <v>1</v>
          </cell>
          <cell r="E558" t="str">
            <v>Nelson Mandela UPA</v>
          </cell>
          <cell r="H558" t="str">
            <v>laboratorio</v>
          </cell>
          <cell r="J558" t="str">
            <v>bueno</v>
          </cell>
          <cell r="K558" t="str">
            <v>defsi</v>
          </cell>
        </row>
        <row r="559">
          <cell r="B559" t="b">
            <v>1</v>
          </cell>
          <cell r="E559" t="str">
            <v>Pozon</v>
          </cell>
          <cell r="H559" t="str">
            <v>consulta_externa</v>
          </cell>
          <cell r="J559" t="str">
            <v>bueno</v>
          </cell>
          <cell r="K559" t="str">
            <v>probsi</v>
          </cell>
        </row>
        <row r="560">
          <cell r="B560" t="b">
            <v>1</v>
          </cell>
          <cell r="E560" t="str">
            <v>Pozon</v>
          </cell>
          <cell r="H560" t="str">
            <v>consulta_externa</v>
          </cell>
          <cell r="J560" t="str">
            <v>bueno</v>
          </cell>
          <cell r="K560" t="str">
            <v>probsi</v>
          </cell>
        </row>
        <row r="561">
          <cell r="B561" t="b">
            <v>1</v>
          </cell>
          <cell r="E561" t="str">
            <v>Pozon</v>
          </cell>
          <cell r="H561" t="str">
            <v>consulta_externa</v>
          </cell>
          <cell r="J561" t="str">
            <v>bueno</v>
          </cell>
          <cell r="K561" t="str">
            <v>probsi</v>
          </cell>
        </row>
        <row r="562">
          <cell r="B562" t="b">
            <v>1</v>
          </cell>
          <cell r="E562" t="str">
            <v>Pozon</v>
          </cell>
          <cell r="H562" t="str">
            <v>consulta_externa</v>
          </cell>
          <cell r="J562" t="str">
            <v>bueno</v>
          </cell>
          <cell r="K562" t="str">
            <v>probsi</v>
          </cell>
        </row>
        <row r="563">
          <cell r="B563" t="b">
            <v>1</v>
          </cell>
          <cell r="E563" t="str">
            <v>Pozon</v>
          </cell>
          <cell r="H563" t="str">
            <v>consulta_externa</v>
          </cell>
          <cell r="J563" t="str">
            <v>bueno</v>
          </cell>
          <cell r="K563" t="str">
            <v>probsi</v>
          </cell>
        </row>
        <row r="564">
          <cell r="B564" t="b">
            <v>1</v>
          </cell>
          <cell r="E564" t="str">
            <v>Pozon</v>
          </cell>
          <cell r="H564" t="str">
            <v>consulta_externa</v>
          </cell>
          <cell r="J564" t="str">
            <v>bueno</v>
          </cell>
          <cell r="K564" t="str">
            <v>probsi</v>
          </cell>
        </row>
        <row r="565">
          <cell r="B565" t="b">
            <v>1</v>
          </cell>
          <cell r="E565" t="str">
            <v>Pozon</v>
          </cell>
          <cell r="H565" t="str">
            <v>laboratorio</v>
          </cell>
          <cell r="J565" t="str">
            <v>bueno</v>
          </cell>
          <cell r="K565" t="str">
            <v>probsi</v>
          </cell>
        </row>
        <row r="566">
          <cell r="B566" t="b">
            <v>1</v>
          </cell>
          <cell r="E566" t="str">
            <v>Pozon</v>
          </cell>
          <cell r="H566" t="str">
            <v>laboratorio</v>
          </cell>
          <cell r="J566" t="str">
            <v>bueno</v>
          </cell>
          <cell r="K566" t="str">
            <v>probsi</v>
          </cell>
        </row>
        <row r="567">
          <cell r="B567" t="b">
            <v>1</v>
          </cell>
          <cell r="E567" t="str">
            <v>Pozon</v>
          </cell>
          <cell r="H567" t="str">
            <v>salud_oral</v>
          </cell>
          <cell r="J567" t="str">
            <v>bueno</v>
          </cell>
          <cell r="K567" t="str">
            <v>probsi</v>
          </cell>
        </row>
        <row r="568">
          <cell r="B568" t="b">
            <v>1</v>
          </cell>
          <cell r="E568" t="str">
            <v>Pozon</v>
          </cell>
          <cell r="H568" t="str">
            <v>salud_oral</v>
          </cell>
          <cell r="J568" t="str">
            <v>bueno</v>
          </cell>
          <cell r="K568" t="str">
            <v>probsi</v>
          </cell>
        </row>
        <row r="569">
          <cell r="B569" t="b">
            <v>1</v>
          </cell>
          <cell r="E569" t="str">
            <v>Pozon</v>
          </cell>
          <cell r="H569" t="str">
            <v>urgencia</v>
          </cell>
          <cell r="J569" t="str">
            <v>bueno</v>
          </cell>
          <cell r="K569" t="str">
            <v>probsi</v>
          </cell>
        </row>
        <row r="570">
          <cell r="B570" t="b">
            <v>1</v>
          </cell>
          <cell r="E570" t="str">
            <v>Pozon</v>
          </cell>
          <cell r="H570" t="str">
            <v>urgencia</v>
          </cell>
          <cell r="J570" t="str">
            <v>bueno</v>
          </cell>
          <cell r="K570" t="str">
            <v>probsi</v>
          </cell>
        </row>
        <row r="571">
          <cell r="B571" t="b">
            <v>1</v>
          </cell>
          <cell r="E571" t="str">
            <v>Pozon</v>
          </cell>
          <cell r="H571" t="str">
            <v>urgencia</v>
          </cell>
          <cell r="J571" t="str">
            <v>bueno</v>
          </cell>
          <cell r="K571" t="str">
            <v>probsi</v>
          </cell>
        </row>
        <row r="572">
          <cell r="B572" t="b">
            <v>1</v>
          </cell>
          <cell r="E572" t="str">
            <v>Pozon</v>
          </cell>
          <cell r="H572" t="str">
            <v>urgencia</v>
          </cell>
          <cell r="J572" t="str">
            <v>bueno</v>
          </cell>
          <cell r="K572" t="str">
            <v>probsi</v>
          </cell>
        </row>
        <row r="573">
          <cell r="B573" t="b">
            <v>1</v>
          </cell>
          <cell r="E573" t="str">
            <v>Pozon</v>
          </cell>
          <cell r="H573" t="str">
            <v>urgencia</v>
          </cell>
          <cell r="J573" t="str">
            <v>bueno</v>
          </cell>
          <cell r="K573" t="str">
            <v>probsi</v>
          </cell>
        </row>
        <row r="574">
          <cell r="B574" t="b">
            <v>1</v>
          </cell>
          <cell r="E574" t="str">
            <v>Nelson Mandela UPA</v>
          </cell>
          <cell r="H574" t="str">
            <v>urgencia</v>
          </cell>
          <cell r="J574" t="str">
            <v>bueno</v>
          </cell>
          <cell r="K574" t="str">
            <v>defsi</v>
          </cell>
        </row>
        <row r="575">
          <cell r="B575" t="b">
            <v>1</v>
          </cell>
          <cell r="E575" t="str">
            <v>Nelson Mandela UPA</v>
          </cell>
          <cell r="H575" t="str">
            <v>urgencia</v>
          </cell>
          <cell r="J575" t="str">
            <v>bueno</v>
          </cell>
          <cell r="K575" t="str">
            <v>defsi</v>
          </cell>
        </row>
        <row r="576">
          <cell r="B576" t="b">
            <v>1</v>
          </cell>
          <cell r="E576" t="str">
            <v>Pozon</v>
          </cell>
          <cell r="H576" t="str">
            <v>consulta_externa</v>
          </cell>
          <cell r="J576" t="str">
            <v>bueno</v>
          </cell>
          <cell r="K576" t="str">
            <v>probsi</v>
          </cell>
        </row>
        <row r="577">
          <cell r="B577" t="b">
            <v>1</v>
          </cell>
          <cell r="E577" t="str">
            <v>Pozon</v>
          </cell>
          <cell r="H577" t="str">
            <v>consulta_externa</v>
          </cell>
          <cell r="J577" t="str">
            <v>bueno</v>
          </cell>
          <cell r="K577" t="str">
            <v>probsi</v>
          </cell>
        </row>
        <row r="578">
          <cell r="B578" t="b">
            <v>1</v>
          </cell>
          <cell r="E578" t="str">
            <v>Nelson Mandela UPA</v>
          </cell>
          <cell r="H578" t="str">
            <v>urgencia</v>
          </cell>
          <cell r="J578" t="str">
            <v>bueno</v>
          </cell>
          <cell r="K578" t="str">
            <v>defsi</v>
          </cell>
        </row>
        <row r="579">
          <cell r="B579" t="b">
            <v>1</v>
          </cell>
          <cell r="E579" t="str">
            <v>Nelson Mandela UPA</v>
          </cell>
          <cell r="H579" t="str">
            <v>urgencia</v>
          </cell>
          <cell r="J579" t="str">
            <v>bueno</v>
          </cell>
          <cell r="K579" t="str">
            <v>defsi</v>
          </cell>
        </row>
        <row r="580">
          <cell r="B580" t="b">
            <v>1</v>
          </cell>
          <cell r="E580" t="str">
            <v>Puerto Rey</v>
          </cell>
          <cell r="H580" t="str">
            <v>consulta_externa</v>
          </cell>
          <cell r="J580" t="str">
            <v>bueno</v>
          </cell>
          <cell r="K580" t="str">
            <v>defsi</v>
          </cell>
        </row>
        <row r="581">
          <cell r="B581" t="b">
            <v>1</v>
          </cell>
          <cell r="E581" t="str">
            <v>Puerto Rey</v>
          </cell>
          <cell r="H581" t="str">
            <v>salud_oral</v>
          </cell>
          <cell r="J581" t="str">
            <v>bueno</v>
          </cell>
          <cell r="K581" t="str">
            <v>defsi</v>
          </cell>
        </row>
        <row r="582">
          <cell r="B582" t="b">
            <v>1</v>
          </cell>
          <cell r="E582" t="str">
            <v>Puerto Rey</v>
          </cell>
          <cell r="H582" t="str">
            <v>laboratorio</v>
          </cell>
          <cell r="J582" t="str">
            <v>bueno</v>
          </cell>
          <cell r="K582" t="str">
            <v>defsi</v>
          </cell>
        </row>
        <row r="583">
          <cell r="B583" t="b">
            <v>1</v>
          </cell>
          <cell r="E583" t="str">
            <v>Puerto Rey</v>
          </cell>
          <cell r="H583" t="str">
            <v>consulta_externa</v>
          </cell>
          <cell r="J583" t="str">
            <v>bueno</v>
          </cell>
          <cell r="K583" t="str">
            <v>defsi</v>
          </cell>
        </row>
        <row r="584">
          <cell r="B584" t="b">
            <v>1</v>
          </cell>
          <cell r="E584" t="str">
            <v>Puerto Rey</v>
          </cell>
          <cell r="H584" t="str">
            <v>salud_oral</v>
          </cell>
          <cell r="J584" t="str">
            <v>bueno</v>
          </cell>
          <cell r="K584" t="str">
            <v>defsi</v>
          </cell>
        </row>
        <row r="585">
          <cell r="B585" t="b">
            <v>1</v>
          </cell>
          <cell r="E585" t="str">
            <v>Puerto Rey</v>
          </cell>
          <cell r="H585" t="str">
            <v>laboratorio</v>
          </cell>
          <cell r="J585" t="str">
            <v>bueno</v>
          </cell>
          <cell r="K585" t="str">
            <v>defsi</v>
          </cell>
        </row>
        <row r="586">
          <cell r="B586" t="b">
            <v>1</v>
          </cell>
          <cell r="E586" t="str">
            <v>Puerto Rey</v>
          </cell>
          <cell r="H586" t="str">
            <v>consulta_externa</v>
          </cell>
          <cell r="J586" t="str">
            <v>bueno</v>
          </cell>
          <cell r="K586" t="str">
            <v>defsi</v>
          </cell>
        </row>
        <row r="587">
          <cell r="B587" t="b">
            <v>1</v>
          </cell>
          <cell r="E587" t="str">
            <v>Puerto Rey</v>
          </cell>
          <cell r="H587" t="str">
            <v>salud_oral</v>
          </cell>
          <cell r="J587" t="str">
            <v>bueno</v>
          </cell>
          <cell r="K587" t="str">
            <v>defsi</v>
          </cell>
        </row>
        <row r="588">
          <cell r="B588" t="b">
            <v>1</v>
          </cell>
          <cell r="E588" t="str">
            <v>Puerto Rey</v>
          </cell>
          <cell r="H588" t="str">
            <v>laboratorio</v>
          </cell>
          <cell r="J588" t="str">
            <v>bueno</v>
          </cell>
          <cell r="K588" t="str">
            <v>defsi</v>
          </cell>
        </row>
        <row r="589">
          <cell r="B589" t="b">
            <v>1</v>
          </cell>
          <cell r="E589" t="str">
            <v>Puerto Rey</v>
          </cell>
          <cell r="H589" t="str">
            <v>consulta_externa</v>
          </cell>
          <cell r="J589" t="str">
            <v>bueno</v>
          </cell>
          <cell r="K589" t="str">
            <v>defsi</v>
          </cell>
        </row>
        <row r="590">
          <cell r="B590" t="b">
            <v>1</v>
          </cell>
          <cell r="E590" t="str">
            <v>Puerto Rey</v>
          </cell>
          <cell r="H590" t="str">
            <v>salud_oral</v>
          </cell>
          <cell r="J590" t="str">
            <v>bueno</v>
          </cell>
          <cell r="K590" t="str">
            <v>defsi</v>
          </cell>
        </row>
        <row r="591">
          <cell r="B591" t="b">
            <v>1</v>
          </cell>
          <cell r="E591" t="str">
            <v>Puerto Rey</v>
          </cell>
          <cell r="H591" t="str">
            <v>laboratorio</v>
          </cell>
          <cell r="J591" t="str">
            <v>bueno</v>
          </cell>
          <cell r="K591" t="str">
            <v>defsi</v>
          </cell>
        </row>
        <row r="592">
          <cell r="B592" t="b">
            <v>1</v>
          </cell>
          <cell r="E592" t="str">
            <v>Puerto Rey</v>
          </cell>
          <cell r="H592" t="str">
            <v>consulta_externa</v>
          </cell>
          <cell r="J592" t="str">
            <v>bueno</v>
          </cell>
          <cell r="K592" t="str">
            <v>defsi</v>
          </cell>
        </row>
        <row r="593">
          <cell r="B593" t="b">
            <v>1</v>
          </cell>
          <cell r="E593" t="str">
            <v>Puerto Rey</v>
          </cell>
          <cell r="H593" t="str">
            <v>salud_oral</v>
          </cell>
          <cell r="J593" t="str">
            <v>bueno</v>
          </cell>
          <cell r="K593" t="str">
            <v>defsi</v>
          </cell>
        </row>
        <row r="594">
          <cell r="B594" t="b">
            <v>1</v>
          </cell>
          <cell r="E594" t="str">
            <v>Puerto Rey</v>
          </cell>
          <cell r="H594" t="str">
            <v>laboratorio</v>
          </cell>
          <cell r="J594" t="str">
            <v>bueno</v>
          </cell>
          <cell r="K594" t="str">
            <v>defsi</v>
          </cell>
        </row>
        <row r="595">
          <cell r="B595" t="b">
            <v>1</v>
          </cell>
          <cell r="E595" t="str">
            <v>Puerto Rey</v>
          </cell>
          <cell r="H595" t="str">
            <v>consulta_externa</v>
          </cell>
          <cell r="J595" t="str">
            <v>bueno</v>
          </cell>
          <cell r="K595" t="str">
            <v>defsi</v>
          </cell>
        </row>
        <row r="596">
          <cell r="B596" t="b">
            <v>1</v>
          </cell>
          <cell r="E596" t="str">
            <v>Puerto Rey</v>
          </cell>
          <cell r="H596" t="str">
            <v>salud_oral</v>
          </cell>
          <cell r="J596" t="str">
            <v>bueno</v>
          </cell>
          <cell r="K596" t="str">
            <v>defsi</v>
          </cell>
        </row>
        <row r="597">
          <cell r="B597" t="b">
            <v>1</v>
          </cell>
          <cell r="E597" t="str">
            <v>Pozon</v>
          </cell>
          <cell r="H597" t="str">
            <v>consulta_externa</v>
          </cell>
          <cell r="J597" t="str">
            <v>bueno</v>
          </cell>
          <cell r="K597" t="str">
            <v>probsi</v>
          </cell>
        </row>
        <row r="598">
          <cell r="B598" t="b">
            <v>1</v>
          </cell>
          <cell r="E598" t="str">
            <v>Pozon</v>
          </cell>
          <cell r="H598" t="str">
            <v>laboratorio</v>
          </cell>
          <cell r="J598" t="str">
            <v>bueno</v>
          </cell>
          <cell r="K598" t="str">
            <v>probsi</v>
          </cell>
        </row>
        <row r="599">
          <cell r="B599" t="b">
            <v>1</v>
          </cell>
          <cell r="E599" t="str">
            <v>Puerto Rey</v>
          </cell>
          <cell r="H599" t="str">
            <v>laboratorio</v>
          </cell>
          <cell r="J599" t="str">
            <v>bueno</v>
          </cell>
          <cell r="K599" t="str">
            <v>defsi</v>
          </cell>
        </row>
        <row r="600">
          <cell r="B600" t="b">
            <v>1</v>
          </cell>
          <cell r="E600" t="str">
            <v>Pozon</v>
          </cell>
          <cell r="H600" t="str">
            <v>laboratorio</v>
          </cell>
          <cell r="J600" t="str">
            <v>bueno</v>
          </cell>
          <cell r="K600" t="str">
            <v>probsi</v>
          </cell>
        </row>
        <row r="601">
          <cell r="B601" t="b">
            <v>1</v>
          </cell>
          <cell r="E601" t="str">
            <v>Pozon</v>
          </cell>
          <cell r="H601" t="str">
            <v>laboratorio</v>
          </cell>
          <cell r="J601" t="str">
            <v>bueno</v>
          </cell>
          <cell r="K601" t="str">
            <v>probsi</v>
          </cell>
        </row>
        <row r="602">
          <cell r="B602" t="b">
            <v>1</v>
          </cell>
          <cell r="E602" t="str">
            <v>Pozon</v>
          </cell>
          <cell r="H602" t="str">
            <v>laboratorio</v>
          </cell>
          <cell r="J602" t="str">
            <v>bueno</v>
          </cell>
          <cell r="K602" t="str">
            <v>probsi</v>
          </cell>
        </row>
        <row r="603">
          <cell r="B603" t="b">
            <v>1</v>
          </cell>
          <cell r="E603" t="str">
            <v>Pozon</v>
          </cell>
          <cell r="H603" t="str">
            <v>laboratorio</v>
          </cell>
          <cell r="J603" t="str">
            <v>bueno</v>
          </cell>
          <cell r="K603" t="str">
            <v>probsi</v>
          </cell>
        </row>
        <row r="604">
          <cell r="B604" t="b">
            <v>1</v>
          </cell>
          <cell r="E604" t="str">
            <v>Pozon</v>
          </cell>
          <cell r="H604" t="str">
            <v>consulta_externa</v>
          </cell>
          <cell r="J604" t="str">
            <v>bueno</v>
          </cell>
          <cell r="K604" t="str">
            <v>probsi</v>
          </cell>
        </row>
        <row r="605">
          <cell r="B605" t="b">
            <v>1</v>
          </cell>
          <cell r="E605" t="str">
            <v>Puerto Rey</v>
          </cell>
          <cell r="H605" t="str">
            <v>consulta_externa</v>
          </cell>
          <cell r="J605" t="str">
            <v>bueno</v>
          </cell>
          <cell r="K605" t="str">
            <v>defsi</v>
          </cell>
        </row>
        <row r="606">
          <cell r="B606" t="b">
            <v>1</v>
          </cell>
          <cell r="E606" t="str">
            <v>Candelaria</v>
          </cell>
          <cell r="H606" t="str">
            <v>laboratorio</v>
          </cell>
          <cell r="J606" t="str">
            <v>bueno</v>
          </cell>
          <cell r="K606" t="str">
            <v>probsi</v>
          </cell>
        </row>
        <row r="607">
          <cell r="B607" t="b">
            <v>1</v>
          </cell>
          <cell r="E607" t="str">
            <v>Puerto Rey</v>
          </cell>
          <cell r="H607" t="str">
            <v>salud_oral</v>
          </cell>
          <cell r="J607" t="str">
            <v>bueno</v>
          </cell>
          <cell r="K607" t="str">
            <v>defsi</v>
          </cell>
        </row>
        <row r="608">
          <cell r="B608" t="b">
            <v>1</v>
          </cell>
          <cell r="E608" t="str">
            <v>Candelaria</v>
          </cell>
          <cell r="H608" t="str">
            <v>consulta_externa</v>
          </cell>
          <cell r="J608" t="str">
            <v>bueno</v>
          </cell>
          <cell r="K608" t="str">
            <v>probsi</v>
          </cell>
        </row>
        <row r="609">
          <cell r="B609" t="b">
            <v>1</v>
          </cell>
          <cell r="E609" t="str">
            <v>Puerto Rey</v>
          </cell>
          <cell r="H609" t="str">
            <v>laboratorio</v>
          </cell>
          <cell r="J609" t="str">
            <v>bueno</v>
          </cell>
          <cell r="K609" t="str">
            <v>defsi</v>
          </cell>
        </row>
        <row r="610">
          <cell r="B610" t="b">
            <v>1</v>
          </cell>
          <cell r="E610" t="str">
            <v>Candelaria</v>
          </cell>
          <cell r="H610" t="str">
            <v>laboratorio</v>
          </cell>
          <cell r="J610" t="str">
            <v>bueno</v>
          </cell>
          <cell r="K610" t="str">
            <v>probsi</v>
          </cell>
        </row>
        <row r="611">
          <cell r="B611" t="b">
            <v>1</v>
          </cell>
          <cell r="E611" t="str">
            <v>Candelaria</v>
          </cell>
          <cell r="H611" t="str">
            <v>consulta_externa</v>
          </cell>
          <cell r="J611" t="str">
            <v>bueno</v>
          </cell>
          <cell r="K611" t="str">
            <v>probsi</v>
          </cell>
        </row>
        <row r="612">
          <cell r="B612" t="b">
            <v>1</v>
          </cell>
          <cell r="E612" t="str">
            <v>Candelaria</v>
          </cell>
          <cell r="H612" t="str">
            <v>laboratorio</v>
          </cell>
          <cell r="J612" t="str">
            <v>bueno</v>
          </cell>
          <cell r="K612" t="str">
            <v>probsi</v>
          </cell>
        </row>
        <row r="613">
          <cell r="B613" t="b">
            <v>1</v>
          </cell>
          <cell r="E613" t="str">
            <v>Candelaria</v>
          </cell>
          <cell r="H613" t="str">
            <v>salud_oral</v>
          </cell>
          <cell r="J613" t="str">
            <v>bueno</v>
          </cell>
          <cell r="K613" t="str">
            <v>probsi</v>
          </cell>
        </row>
        <row r="614">
          <cell r="B614" t="b">
            <v>1</v>
          </cell>
          <cell r="E614" t="str">
            <v>Candelaria</v>
          </cell>
          <cell r="H614" t="str">
            <v>consulta_externa</v>
          </cell>
          <cell r="J614" t="str">
            <v>bueno</v>
          </cell>
          <cell r="K614" t="str">
            <v>probsi</v>
          </cell>
        </row>
        <row r="615">
          <cell r="B615" t="b">
            <v>1</v>
          </cell>
          <cell r="E615" t="str">
            <v>Candelaria</v>
          </cell>
          <cell r="H615" t="str">
            <v>salud_oral</v>
          </cell>
          <cell r="J615" t="str">
            <v>bueno</v>
          </cell>
          <cell r="K615" t="str">
            <v>probsi</v>
          </cell>
        </row>
        <row r="616">
          <cell r="B616" t="b">
            <v>1</v>
          </cell>
          <cell r="E616" t="str">
            <v>Candelaria</v>
          </cell>
          <cell r="H616" t="str">
            <v>laboratorio</v>
          </cell>
          <cell r="J616" t="str">
            <v>bueno</v>
          </cell>
          <cell r="K616" t="str">
            <v>probsi</v>
          </cell>
        </row>
        <row r="617">
          <cell r="B617" t="b">
            <v>1</v>
          </cell>
          <cell r="E617" t="str">
            <v>Puerto Rey</v>
          </cell>
          <cell r="H617" t="str">
            <v>consulta_externa</v>
          </cell>
          <cell r="J617" t="str">
            <v>bueno</v>
          </cell>
          <cell r="K617" t="str">
            <v>defsi</v>
          </cell>
        </row>
        <row r="618">
          <cell r="B618" t="b">
            <v>1</v>
          </cell>
          <cell r="E618" t="str">
            <v>Puerto Rey</v>
          </cell>
          <cell r="H618" t="str">
            <v>salud_oral</v>
          </cell>
          <cell r="J618" t="str">
            <v>bueno</v>
          </cell>
          <cell r="K618" t="str">
            <v>defsi</v>
          </cell>
        </row>
        <row r="619">
          <cell r="B619" t="b">
            <v>1</v>
          </cell>
          <cell r="E619" t="str">
            <v>Puerto Rey</v>
          </cell>
          <cell r="H619" t="str">
            <v>laboratorio</v>
          </cell>
          <cell r="J619" t="str">
            <v>bueno</v>
          </cell>
          <cell r="K619" t="str">
            <v>defsi</v>
          </cell>
        </row>
        <row r="620">
          <cell r="B620" t="b">
            <v>1</v>
          </cell>
          <cell r="E620" t="str">
            <v>Candelaria</v>
          </cell>
          <cell r="H620" t="str">
            <v>consulta_externa</v>
          </cell>
          <cell r="J620" t="str">
            <v>bueno</v>
          </cell>
          <cell r="K620" t="str">
            <v>probsi</v>
          </cell>
        </row>
        <row r="621">
          <cell r="B621" t="b">
            <v>1</v>
          </cell>
          <cell r="E621" t="str">
            <v>Candelaria</v>
          </cell>
          <cell r="H621" t="str">
            <v>consulta_externa</v>
          </cell>
          <cell r="J621" t="str">
            <v>bueno</v>
          </cell>
          <cell r="K621" t="str">
            <v>probsi</v>
          </cell>
        </row>
        <row r="622">
          <cell r="B622" t="b">
            <v>1</v>
          </cell>
          <cell r="E622" t="str">
            <v>Candelaria</v>
          </cell>
          <cell r="H622" t="str">
            <v>salud_oral</v>
          </cell>
          <cell r="J622" t="str">
            <v>bueno</v>
          </cell>
          <cell r="K622" t="str">
            <v>probsi</v>
          </cell>
        </row>
        <row r="623">
          <cell r="B623" t="b">
            <v>1</v>
          </cell>
          <cell r="E623" t="str">
            <v>Candelaria</v>
          </cell>
          <cell r="H623" t="str">
            <v>laboratorio</v>
          </cell>
          <cell r="J623" t="str">
            <v>bueno</v>
          </cell>
          <cell r="K623" t="str">
            <v>probsi</v>
          </cell>
        </row>
        <row r="624">
          <cell r="B624" t="b">
            <v>1</v>
          </cell>
          <cell r="E624" t="str">
            <v>Puerto Rey</v>
          </cell>
          <cell r="H624" t="str">
            <v>consulta_externa</v>
          </cell>
          <cell r="J624" t="str">
            <v>bueno</v>
          </cell>
          <cell r="K624" t="str">
            <v>defsi</v>
          </cell>
        </row>
        <row r="625">
          <cell r="B625" t="b">
            <v>1</v>
          </cell>
          <cell r="E625" t="str">
            <v>Candelaria</v>
          </cell>
          <cell r="H625" t="str">
            <v>electros</v>
          </cell>
          <cell r="J625" t="str">
            <v>bueno</v>
          </cell>
          <cell r="K625" t="str">
            <v>probsi</v>
          </cell>
        </row>
        <row r="626">
          <cell r="B626" t="b">
            <v>1</v>
          </cell>
          <cell r="E626" t="str">
            <v>Candelaria</v>
          </cell>
          <cell r="H626" t="str">
            <v>salud_oral</v>
          </cell>
          <cell r="J626" t="str">
            <v>bueno</v>
          </cell>
          <cell r="K626" t="str">
            <v>probsi</v>
          </cell>
        </row>
        <row r="627">
          <cell r="B627" t="b">
            <v>1</v>
          </cell>
          <cell r="E627" t="str">
            <v>Candelaria</v>
          </cell>
          <cell r="H627" t="str">
            <v>consulta_externa</v>
          </cell>
          <cell r="J627" t="str">
            <v>bueno</v>
          </cell>
          <cell r="K627" t="str">
            <v>probsi</v>
          </cell>
        </row>
        <row r="628">
          <cell r="B628" t="b">
            <v>1</v>
          </cell>
          <cell r="E628" t="str">
            <v>Puerto Rey</v>
          </cell>
          <cell r="H628" t="str">
            <v>salud_oral</v>
          </cell>
          <cell r="J628" t="str">
            <v>bueno</v>
          </cell>
          <cell r="K628" t="str">
            <v>defsi</v>
          </cell>
        </row>
        <row r="629">
          <cell r="B629" t="b">
            <v>1</v>
          </cell>
          <cell r="E629" t="str">
            <v>Candelaria</v>
          </cell>
          <cell r="H629" t="str">
            <v>electros</v>
          </cell>
          <cell r="J629" t="str">
            <v>bueno</v>
          </cell>
          <cell r="K629" t="str">
            <v>probsi</v>
          </cell>
        </row>
        <row r="630">
          <cell r="B630" t="b">
            <v>1</v>
          </cell>
          <cell r="E630" t="str">
            <v>Puerto Rey</v>
          </cell>
          <cell r="H630" t="str">
            <v>laboratorio</v>
          </cell>
          <cell r="J630" t="str">
            <v>bueno</v>
          </cell>
          <cell r="K630" t="str">
            <v>defsi</v>
          </cell>
        </row>
        <row r="631">
          <cell r="B631" t="b">
            <v>1</v>
          </cell>
          <cell r="E631" t="str">
            <v>Candelaria</v>
          </cell>
          <cell r="H631" t="str">
            <v>consulta_externa</v>
          </cell>
          <cell r="J631" t="str">
            <v>bueno</v>
          </cell>
          <cell r="K631" t="str">
            <v>probsi</v>
          </cell>
        </row>
        <row r="632">
          <cell r="B632" t="b">
            <v>1</v>
          </cell>
          <cell r="E632" t="str">
            <v>Candelaria</v>
          </cell>
          <cell r="H632" t="str">
            <v>salud_oral</v>
          </cell>
          <cell r="J632" t="str">
            <v>bueno</v>
          </cell>
          <cell r="K632" t="str">
            <v>probsi</v>
          </cell>
        </row>
        <row r="633">
          <cell r="B633" t="b">
            <v>1</v>
          </cell>
          <cell r="E633" t="str">
            <v>Puerto Rey</v>
          </cell>
          <cell r="H633" t="str">
            <v>consulta_externa</v>
          </cell>
          <cell r="J633" t="str">
            <v>bueno</v>
          </cell>
          <cell r="K633" t="str">
            <v>defsi</v>
          </cell>
        </row>
        <row r="634">
          <cell r="B634" t="b">
            <v>1</v>
          </cell>
          <cell r="E634" t="str">
            <v>Tierra Baja</v>
          </cell>
          <cell r="H634" t="str">
            <v>salud_oral</v>
          </cell>
          <cell r="J634" t="str">
            <v>bueno</v>
          </cell>
          <cell r="K634" t="str">
            <v>defsi</v>
          </cell>
        </row>
        <row r="635">
          <cell r="B635" t="b">
            <v>1</v>
          </cell>
          <cell r="E635" t="str">
            <v>Puerto Rey</v>
          </cell>
          <cell r="H635" t="str">
            <v>laboratorio</v>
          </cell>
          <cell r="J635" t="str">
            <v>bueno</v>
          </cell>
          <cell r="K635" t="str">
            <v>defsi</v>
          </cell>
        </row>
        <row r="636">
          <cell r="B636" t="b">
            <v>1</v>
          </cell>
          <cell r="E636" t="str">
            <v>Hospital Pozon</v>
          </cell>
          <cell r="H636" t="str">
            <v>consulta_externa</v>
          </cell>
          <cell r="J636" t="str">
            <v>bueno</v>
          </cell>
          <cell r="K636" t="str">
            <v>probsi</v>
          </cell>
        </row>
        <row r="637">
          <cell r="B637" t="b">
            <v>1</v>
          </cell>
          <cell r="E637" t="str">
            <v>Hospital Pozon</v>
          </cell>
          <cell r="H637" t="str">
            <v>consulta_externa</v>
          </cell>
          <cell r="J637" t="str">
            <v>bueno</v>
          </cell>
          <cell r="K637" t="str">
            <v>probsi</v>
          </cell>
        </row>
        <row r="638">
          <cell r="B638" t="b">
            <v>1</v>
          </cell>
          <cell r="E638" t="str">
            <v>Hospital Pozon</v>
          </cell>
          <cell r="H638" t="str">
            <v>consulta_externa</v>
          </cell>
          <cell r="J638" t="str">
            <v>bueno</v>
          </cell>
          <cell r="K638" t="str">
            <v>probsi</v>
          </cell>
        </row>
        <row r="639">
          <cell r="B639" t="b">
            <v>1</v>
          </cell>
          <cell r="E639" t="str">
            <v>Hospital Pozon</v>
          </cell>
          <cell r="H639" t="str">
            <v>consulta_externa</v>
          </cell>
          <cell r="J639" t="str">
            <v>bueno</v>
          </cell>
          <cell r="K639" t="str">
            <v>probsi</v>
          </cell>
        </row>
        <row r="640">
          <cell r="B640" t="b">
            <v>1</v>
          </cell>
          <cell r="E640" t="str">
            <v>Hospital Pozon</v>
          </cell>
          <cell r="H640" t="str">
            <v>consulta_externa</v>
          </cell>
          <cell r="J640" t="str">
            <v>bueno</v>
          </cell>
          <cell r="K640" t="str">
            <v>probsi</v>
          </cell>
        </row>
        <row r="641">
          <cell r="B641" t="b">
            <v>1</v>
          </cell>
          <cell r="E641" t="str">
            <v>Hospital Pozon</v>
          </cell>
          <cell r="H641" t="str">
            <v>consulta_externa</v>
          </cell>
          <cell r="J641" t="str">
            <v>bueno</v>
          </cell>
          <cell r="K641" t="str">
            <v>probsi</v>
          </cell>
        </row>
        <row r="642">
          <cell r="B642" t="b">
            <v>1</v>
          </cell>
          <cell r="E642" t="str">
            <v>Hospital Pozon</v>
          </cell>
          <cell r="H642" t="str">
            <v>rx</v>
          </cell>
          <cell r="J642" t="str">
            <v>bueno</v>
          </cell>
          <cell r="K642" t="str">
            <v>probsi</v>
          </cell>
        </row>
        <row r="643">
          <cell r="B643" t="b">
            <v>1</v>
          </cell>
          <cell r="E643" t="str">
            <v>Hospital Pozon</v>
          </cell>
          <cell r="H643" t="str">
            <v>rx</v>
          </cell>
          <cell r="J643" t="str">
            <v>bueno</v>
          </cell>
          <cell r="K643" t="str">
            <v>probsi</v>
          </cell>
        </row>
        <row r="644">
          <cell r="B644" t="b">
            <v>1</v>
          </cell>
          <cell r="E644" t="str">
            <v>Hospital Pozon</v>
          </cell>
          <cell r="H644" t="str">
            <v>rx</v>
          </cell>
          <cell r="J644" t="str">
            <v>bueno</v>
          </cell>
          <cell r="K644" t="str">
            <v>probsi</v>
          </cell>
        </row>
        <row r="645">
          <cell r="B645" t="b">
            <v>1</v>
          </cell>
          <cell r="E645" t="str">
            <v>Hospital Pozon</v>
          </cell>
          <cell r="H645" t="str">
            <v>rx</v>
          </cell>
          <cell r="J645" t="str">
            <v>bueno</v>
          </cell>
          <cell r="K645" t="str">
            <v>probsi</v>
          </cell>
        </row>
        <row r="646">
          <cell r="B646" t="b">
            <v>1</v>
          </cell>
          <cell r="E646" t="str">
            <v>Hospital Pozon</v>
          </cell>
          <cell r="H646" t="str">
            <v>rx</v>
          </cell>
          <cell r="J646" t="str">
            <v>bueno</v>
          </cell>
          <cell r="K646" t="str">
            <v>probsi</v>
          </cell>
        </row>
        <row r="647">
          <cell r="B647" t="b">
            <v>1</v>
          </cell>
          <cell r="E647" t="str">
            <v>Hospital Pozon</v>
          </cell>
          <cell r="H647" t="str">
            <v>pediatria</v>
          </cell>
          <cell r="J647" t="str">
            <v>bueno</v>
          </cell>
          <cell r="K647" t="str">
            <v>probsi</v>
          </cell>
        </row>
        <row r="648">
          <cell r="B648" t="b">
            <v>1</v>
          </cell>
          <cell r="E648" t="str">
            <v>Hospital Pozon</v>
          </cell>
          <cell r="H648" t="str">
            <v>pediatria</v>
          </cell>
          <cell r="J648" t="str">
            <v>bueno</v>
          </cell>
          <cell r="K648" t="str">
            <v>probsi</v>
          </cell>
        </row>
        <row r="649">
          <cell r="B649" t="b">
            <v>1</v>
          </cell>
          <cell r="E649" t="str">
            <v>Pozon</v>
          </cell>
          <cell r="H649" t="str">
            <v>consulta_externa</v>
          </cell>
          <cell r="J649" t="str">
            <v>bueno</v>
          </cell>
          <cell r="K649" t="str">
            <v>probsi</v>
          </cell>
        </row>
        <row r="650">
          <cell r="B650" t="b">
            <v>1</v>
          </cell>
          <cell r="E650" t="str">
            <v>Pozon</v>
          </cell>
          <cell r="H650" t="str">
            <v>consulta_externa</v>
          </cell>
          <cell r="J650" t="str">
            <v>bueno</v>
          </cell>
          <cell r="K650" t="str">
            <v>probsi</v>
          </cell>
        </row>
        <row r="651">
          <cell r="B651" t="b">
            <v>1</v>
          </cell>
          <cell r="E651" t="str">
            <v>Pozon</v>
          </cell>
          <cell r="H651" t="str">
            <v>laboratorio</v>
          </cell>
          <cell r="J651" t="str">
            <v>bueno</v>
          </cell>
          <cell r="K651" t="str">
            <v>probsi</v>
          </cell>
        </row>
        <row r="652">
          <cell r="B652" t="b">
            <v>1</v>
          </cell>
          <cell r="E652" t="str">
            <v>Pozon</v>
          </cell>
          <cell r="H652" t="str">
            <v>laboratorio</v>
          </cell>
          <cell r="J652" t="str">
            <v>bueno</v>
          </cell>
          <cell r="K652" t="str">
            <v>probsi</v>
          </cell>
        </row>
        <row r="653">
          <cell r="B653" t="b">
            <v>1</v>
          </cell>
          <cell r="E653" t="str">
            <v>Pozon</v>
          </cell>
          <cell r="H653" t="str">
            <v>salud_oral</v>
          </cell>
          <cell r="J653" t="str">
            <v>bueno</v>
          </cell>
          <cell r="K653" t="str">
            <v>probsi</v>
          </cell>
        </row>
        <row r="654">
          <cell r="B654" t="b">
            <v>1</v>
          </cell>
          <cell r="E654" t="str">
            <v>Pozon</v>
          </cell>
          <cell r="H654" t="str">
            <v>salud_oral</v>
          </cell>
          <cell r="J654" t="str">
            <v>bueno</v>
          </cell>
          <cell r="K654" t="str">
            <v>probsi</v>
          </cell>
        </row>
        <row r="655">
          <cell r="B655" t="b">
            <v>1</v>
          </cell>
          <cell r="E655" t="str">
            <v>Pozon</v>
          </cell>
          <cell r="H655" t="str">
            <v>salud_oral</v>
          </cell>
          <cell r="J655" t="str">
            <v>bueno</v>
          </cell>
          <cell r="K655" t="str">
            <v>probsi</v>
          </cell>
        </row>
        <row r="656">
          <cell r="B656" t="b">
            <v>1</v>
          </cell>
          <cell r="E656" t="str">
            <v>Pozon</v>
          </cell>
          <cell r="H656" t="str">
            <v>salud_oral</v>
          </cell>
          <cell r="J656" t="str">
            <v>bueno</v>
          </cell>
          <cell r="K656" t="str">
            <v>probsi</v>
          </cell>
        </row>
        <row r="657">
          <cell r="B657" t="b">
            <v>1</v>
          </cell>
          <cell r="E657" t="str">
            <v>Pozon</v>
          </cell>
          <cell r="H657" t="str">
            <v>salud_oral</v>
          </cell>
          <cell r="J657" t="str">
            <v>bueno</v>
          </cell>
          <cell r="K657" t="str">
            <v>probsi</v>
          </cell>
        </row>
        <row r="658">
          <cell r="B658" t="b">
            <v>1</v>
          </cell>
          <cell r="E658" t="str">
            <v>Pozon</v>
          </cell>
          <cell r="H658" t="str">
            <v>consulta_externa</v>
          </cell>
          <cell r="J658" t="str">
            <v>bueno</v>
          </cell>
          <cell r="K658" t="str">
            <v>probsi</v>
          </cell>
        </row>
        <row r="659">
          <cell r="B659" t="b">
            <v>1</v>
          </cell>
          <cell r="E659" t="str">
            <v>Pozon</v>
          </cell>
          <cell r="H659" t="str">
            <v>consulta_externa</v>
          </cell>
          <cell r="J659" t="str">
            <v>bueno</v>
          </cell>
          <cell r="K659" t="str">
            <v>probsi</v>
          </cell>
        </row>
        <row r="660">
          <cell r="B660" t="b">
            <v>1</v>
          </cell>
          <cell r="E660" t="str">
            <v>Pozon</v>
          </cell>
          <cell r="H660" t="str">
            <v>consulta_externa</v>
          </cell>
          <cell r="J660" t="str">
            <v>bueno</v>
          </cell>
          <cell r="K660" t="str">
            <v>probsi</v>
          </cell>
        </row>
        <row r="661">
          <cell r="B661" t="b">
            <v>1</v>
          </cell>
          <cell r="E661" t="str">
            <v>Pozon</v>
          </cell>
          <cell r="H661" t="str">
            <v>consulta_externa</v>
          </cell>
          <cell r="J661" t="str">
            <v>bueno</v>
          </cell>
          <cell r="K661" t="str">
            <v>probsi</v>
          </cell>
        </row>
        <row r="662">
          <cell r="B662" t="b">
            <v>1</v>
          </cell>
          <cell r="E662" t="str">
            <v>Pozon</v>
          </cell>
          <cell r="H662" t="str">
            <v>consulta_externa</v>
          </cell>
          <cell r="J662" t="str">
            <v>bueno</v>
          </cell>
          <cell r="K662" t="str">
            <v>probsi</v>
          </cell>
        </row>
        <row r="663">
          <cell r="B663" t="b">
            <v>1</v>
          </cell>
          <cell r="E663" t="str">
            <v>Hospital Pozon</v>
          </cell>
          <cell r="H663" t="str">
            <v>consulta_externa</v>
          </cell>
          <cell r="J663" t="str">
            <v>bueno</v>
          </cell>
          <cell r="K663" t="str">
            <v>probsi</v>
          </cell>
        </row>
        <row r="664">
          <cell r="B664" t="b">
            <v>1</v>
          </cell>
          <cell r="E664" t="str">
            <v>Hospital Pozon</v>
          </cell>
          <cell r="H664" t="str">
            <v>consulta_externa</v>
          </cell>
          <cell r="J664" t="str">
            <v>bueno</v>
          </cell>
          <cell r="K664" t="str">
            <v>probsi</v>
          </cell>
        </row>
        <row r="665">
          <cell r="B665" t="b">
            <v>1</v>
          </cell>
          <cell r="E665" t="str">
            <v>Hospital Pozon</v>
          </cell>
          <cell r="H665" t="str">
            <v>consulta_externa</v>
          </cell>
          <cell r="J665" t="str">
            <v>bueno</v>
          </cell>
          <cell r="K665" t="str">
            <v>probsi</v>
          </cell>
        </row>
        <row r="666">
          <cell r="B666" t="b">
            <v>1</v>
          </cell>
          <cell r="E666" t="str">
            <v>Hospital Pozon</v>
          </cell>
          <cell r="H666" t="str">
            <v>laboratorio</v>
          </cell>
          <cell r="J666" t="str">
            <v>bueno</v>
          </cell>
          <cell r="K666" t="str">
            <v>probsi</v>
          </cell>
        </row>
        <row r="667">
          <cell r="B667" t="b">
            <v>1</v>
          </cell>
          <cell r="E667" t="str">
            <v>Hospital Pozon</v>
          </cell>
          <cell r="H667" t="str">
            <v>laboratorio</v>
          </cell>
          <cell r="J667" t="str">
            <v>bueno</v>
          </cell>
          <cell r="K667" t="str">
            <v>probsi</v>
          </cell>
        </row>
        <row r="668">
          <cell r="B668" t="b">
            <v>1</v>
          </cell>
          <cell r="E668" t="str">
            <v>Hospital Pozon</v>
          </cell>
          <cell r="H668" t="str">
            <v>consulta_externa</v>
          </cell>
          <cell r="J668" t="str">
            <v>bueno</v>
          </cell>
          <cell r="K668" t="str">
            <v>probsi</v>
          </cell>
        </row>
        <row r="669">
          <cell r="B669" t="b">
            <v>1</v>
          </cell>
          <cell r="E669" t="str">
            <v>Hospital Pozon</v>
          </cell>
          <cell r="H669" t="str">
            <v>consulta_externa</v>
          </cell>
          <cell r="J669" t="str">
            <v>bueno</v>
          </cell>
          <cell r="K669" t="str">
            <v>probsi</v>
          </cell>
        </row>
        <row r="670">
          <cell r="B670" t="b">
            <v>1</v>
          </cell>
          <cell r="E670" t="str">
            <v>Hospital Pozon</v>
          </cell>
          <cell r="H670" t="str">
            <v>consulta_externa</v>
          </cell>
          <cell r="J670" t="str">
            <v>bueno</v>
          </cell>
          <cell r="K670" t="str">
            <v>probsi</v>
          </cell>
        </row>
        <row r="671">
          <cell r="B671" t="b">
            <v>1</v>
          </cell>
          <cell r="E671" t="str">
            <v>Hospital Pozon</v>
          </cell>
          <cell r="H671" t="str">
            <v>consulta_externa</v>
          </cell>
          <cell r="J671" t="str">
            <v>bueno</v>
          </cell>
          <cell r="K671" t="str">
            <v>probsi</v>
          </cell>
        </row>
        <row r="672">
          <cell r="B672" t="b">
            <v>0</v>
          </cell>
          <cell r="E672" t="str">
            <v>Candelaria</v>
          </cell>
          <cell r="H672" t="str">
            <v>electros</v>
          </cell>
          <cell r="J672" t="str">
            <v>regular</v>
          </cell>
          <cell r="K672" t="str">
            <v>probsi</v>
          </cell>
        </row>
        <row r="673">
          <cell r="B673" t="b">
            <v>0</v>
          </cell>
          <cell r="E673" t="str">
            <v>Candelaria</v>
          </cell>
          <cell r="H673" t="str">
            <v>electros</v>
          </cell>
          <cell r="J673" t="str">
            <v>regular</v>
          </cell>
          <cell r="K673" t="str">
            <v>probsi</v>
          </cell>
        </row>
        <row r="674">
          <cell r="B674" t="b">
            <v>0</v>
          </cell>
          <cell r="E674" t="str">
            <v>Candelaria</v>
          </cell>
          <cell r="H674" t="str">
            <v>electros</v>
          </cell>
          <cell r="J674" t="str">
            <v>regular</v>
          </cell>
          <cell r="K674" t="str">
            <v>probsi</v>
          </cell>
        </row>
        <row r="675">
          <cell r="B675" t="b">
            <v>1</v>
          </cell>
          <cell r="E675" t="str">
            <v>Candelaria</v>
          </cell>
          <cell r="H675" t="str">
            <v>electros</v>
          </cell>
          <cell r="J675" t="str">
            <v>bueno</v>
          </cell>
          <cell r="K675" t="str">
            <v>probsi</v>
          </cell>
        </row>
        <row r="676">
          <cell r="B676" t="b">
            <v>1</v>
          </cell>
          <cell r="E676" t="str">
            <v>Candelaria</v>
          </cell>
          <cell r="H676" t="str">
            <v>electros</v>
          </cell>
          <cell r="J676" t="str">
            <v>bueno</v>
          </cell>
          <cell r="K676" t="str">
            <v>probsi</v>
          </cell>
        </row>
        <row r="677">
          <cell r="B677" t="b">
            <v>1</v>
          </cell>
          <cell r="E677" t="str">
            <v>Candelaria</v>
          </cell>
          <cell r="H677" t="str">
            <v>electros</v>
          </cell>
          <cell r="J677" t="str">
            <v>bueno</v>
          </cell>
          <cell r="K677" t="str">
            <v>probsi</v>
          </cell>
        </row>
        <row r="678">
          <cell r="B678" t="b">
            <v>1</v>
          </cell>
          <cell r="E678" t="str">
            <v>Candelaria</v>
          </cell>
          <cell r="H678" t="str">
            <v>salud_oral</v>
          </cell>
          <cell r="J678" t="str">
            <v>bueno</v>
          </cell>
          <cell r="K678" t="str">
            <v>probsi</v>
          </cell>
        </row>
        <row r="679">
          <cell r="B679" t="b">
            <v>1</v>
          </cell>
          <cell r="E679" t="str">
            <v>Candelaria</v>
          </cell>
          <cell r="H679" t="str">
            <v>salud_oral</v>
          </cell>
          <cell r="J679" t="str">
            <v>bueno</v>
          </cell>
          <cell r="K679" t="str">
            <v>probsi</v>
          </cell>
        </row>
        <row r="680">
          <cell r="B680" t="b">
            <v>1</v>
          </cell>
          <cell r="E680" t="str">
            <v>Candelaria</v>
          </cell>
          <cell r="H680" t="str">
            <v>salud_oral</v>
          </cell>
          <cell r="J680" t="str">
            <v>bueno</v>
          </cell>
          <cell r="K680" t="str">
            <v>probsi</v>
          </cell>
        </row>
        <row r="681">
          <cell r="B681" t="b">
            <v>1</v>
          </cell>
          <cell r="E681" t="str">
            <v>Candelaria</v>
          </cell>
          <cell r="H681" t="str">
            <v>laboratorio</v>
          </cell>
          <cell r="J681" t="str">
            <v>bueno</v>
          </cell>
          <cell r="K681" t="str">
            <v>probsi</v>
          </cell>
        </row>
        <row r="682">
          <cell r="B682" t="b">
            <v>0</v>
          </cell>
          <cell r="E682" t="str">
            <v>Candelaria</v>
          </cell>
          <cell r="H682" t="str">
            <v>laboratorio</v>
          </cell>
          <cell r="J682" t="str">
            <v>regular</v>
          </cell>
          <cell r="K682" t="str">
            <v>probsi</v>
          </cell>
        </row>
        <row r="683">
          <cell r="B683" t="b">
            <v>0</v>
          </cell>
          <cell r="E683" t="str">
            <v>Candelaria</v>
          </cell>
          <cell r="H683" t="str">
            <v>laboratorio</v>
          </cell>
          <cell r="J683" t="str">
            <v>regular</v>
          </cell>
          <cell r="K683" t="str">
            <v>probsi</v>
          </cell>
        </row>
        <row r="684">
          <cell r="B684" t="b">
            <v>0</v>
          </cell>
          <cell r="E684" t="str">
            <v>Candelaria</v>
          </cell>
          <cell r="H684" t="str">
            <v>laboratorio</v>
          </cell>
          <cell r="J684" t="str">
            <v>regular</v>
          </cell>
          <cell r="K684" t="str">
            <v>probsi</v>
          </cell>
        </row>
        <row r="685">
          <cell r="B685" t="b">
            <v>0</v>
          </cell>
          <cell r="E685" t="str">
            <v>Candelaria</v>
          </cell>
          <cell r="H685" t="str">
            <v>laboratorio</v>
          </cell>
          <cell r="J685" t="str">
            <v>regular</v>
          </cell>
          <cell r="K685" t="str">
            <v>probsi</v>
          </cell>
        </row>
        <row r="686">
          <cell r="B686" t="b">
            <v>1</v>
          </cell>
          <cell r="E686" t="str">
            <v>Candelaria</v>
          </cell>
          <cell r="H686" t="str">
            <v>laboratorio</v>
          </cell>
          <cell r="J686" t="str">
            <v>bueno</v>
          </cell>
          <cell r="K686" t="str">
            <v>probsi</v>
          </cell>
        </row>
        <row r="687">
          <cell r="B687" t="b">
            <v>1</v>
          </cell>
          <cell r="E687" t="str">
            <v>Candelaria</v>
          </cell>
          <cell r="H687" t="str">
            <v>laboratorio</v>
          </cell>
          <cell r="J687" t="str">
            <v>bueno</v>
          </cell>
          <cell r="K687" t="str">
            <v>probsi</v>
          </cell>
        </row>
        <row r="688">
          <cell r="B688" t="b">
            <v>1</v>
          </cell>
          <cell r="E688" t="str">
            <v>Candelaria</v>
          </cell>
          <cell r="H688" t="str">
            <v>medicina_interna</v>
          </cell>
          <cell r="J688" t="str">
            <v>bueno</v>
          </cell>
          <cell r="K688" t="str">
            <v>probsi</v>
          </cell>
        </row>
        <row r="689">
          <cell r="B689" t="b">
            <v>1</v>
          </cell>
          <cell r="E689" t="str">
            <v>Candelaria</v>
          </cell>
          <cell r="H689" t="str">
            <v>medicina_interna</v>
          </cell>
          <cell r="J689" t="str">
            <v>bueno</v>
          </cell>
          <cell r="K689" t="str">
            <v>probsi</v>
          </cell>
        </row>
        <row r="690">
          <cell r="B690" t="b">
            <v>1</v>
          </cell>
          <cell r="E690" t="str">
            <v>Candelaria</v>
          </cell>
          <cell r="H690" t="str">
            <v>medicina_interna</v>
          </cell>
          <cell r="J690" t="str">
            <v>bueno</v>
          </cell>
          <cell r="K690" t="str">
            <v>probsi</v>
          </cell>
        </row>
        <row r="691">
          <cell r="B691" t="b">
            <v>1</v>
          </cell>
          <cell r="E691" t="str">
            <v>Candelaria</v>
          </cell>
          <cell r="H691" t="str">
            <v>electros</v>
          </cell>
          <cell r="J691" t="str">
            <v>bueno</v>
          </cell>
          <cell r="K691" t="str">
            <v>probsi</v>
          </cell>
        </row>
        <row r="692">
          <cell r="B692" t="b">
            <v>1</v>
          </cell>
          <cell r="E692" t="str">
            <v>Candelaria</v>
          </cell>
          <cell r="H692" t="str">
            <v>salud_oral</v>
          </cell>
          <cell r="J692" t="str">
            <v>bueno</v>
          </cell>
          <cell r="K692" t="str">
            <v>probsi</v>
          </cell>
        </row>
        <row r="693">
          <cell r="B693" t="b">
            <v>1</v>
          </cell>
          <cell r="E693" t="str">
            <v>Candelaria</v>
          </cell>
          <cell r="H693" t="str">
            <v>pediatria</v>
          </cell>
          <cell r="J693" t="str">
            <v>bueno</v>
          </cell>
          <cell r="K693" t="str">
            <v>probsi</v>
          </cell>
        </row>
        <row r="694">
          <cell r="B694" t="b">
            <v>0</v>
          </cell>
          <cell r="E694" t="str">
            <v>Candelaria</v>
          </cell>
          <cell r="H694" t="str">
            <v>consulta_externa</v>
          </cell>
          <cell r="J694" t="str">
            <v>regular</v>
          </cell>
          <cell r="K694" t="str">
            <v>probsi</v>
          </cell>
        </row>
        <row r="695">
          <cell r="B695" t="b">
            <v>0</v>
          </cell>
          <cell r="E695" t="str">
            <v>Candelaria</v>
          </cell>
          <cell r="H695" t="str">
            <v>urgencia</v>
          </cell>
          <cell r="J695" t="str">
            <v>regular</v>
          </cell>
          <cell r="K695" t="str">
            <v>probsi</v>
          </cell>
        </row>
        <row r="696">
          <cell r="B696" t="b">
            <v>0</v>
          </cell>
          <cell r="E696" t="str">
            <v>Candelaria</v>
          </cell>
          <cell r="H696" t="str">
            <v>consulta_externa</v>
          </cell>
          <cell r="J696" t="str">
            <v>regular</v>
          </cell>
          <cell r="K696" t="str">
            <v>probsi</v>
          </cell>
        </row>
        <row r="697">
          <cell r="B697" t="b">
            <v>1</v>
          </cell>
          <cell r="E697" t="str">
            <v>Candelaria</v>
          </cell>
          <cell r="H697" t="str">
            <v>consulta_externa</v>
          </cell>
          <cell r="J697" t="str">
            <v>bueno</v>
          </cell>
          <cell r="K697" t="str">
            <v>probsi</v>
          </cell>
        </row>
        <row r="698">
          <cell r="B698" t="b">
            <v>1</v>
          </cell>
          <cell r="E698" t="str">
            <v>Candelaria</v>
          </cell>
          <cell r="H698" t="str">
            <v>consulta_externa</v>
          </cell>
          <cell r="J698" t="str">
            <v>bueno</v>
          </cell>
          <cell r="K698" t="str">
            <v>probsi</v>
          </cell>
        </row>
        <row r="699">
          <cell r="B699" t="b">
            <v>1</v>
          </cell>
          <cell r="E699" t="str">
            <v>Candelaria</v>
          </cell>
          <cell r="H699" t="str">
            <v>consulta_externa</v>
          </cell>
          <cell r="J699" t="str">
            <v>bueno</v>
          </cell>
          <cell r="K699" t="str">
            <v>probsi</v>
          </cell>
        </row>
        <row r="700">
          <cell r="B700" t="b">
            <v>1</v>
          </cell>
          <cell r="E700" t="str">
            <v>Candelaria</v>
          </cell>
          <cell r="H700" t="str">
            <v>consulta_externa</v>
          </cell>
          <cell r="J700" t="str">
            <v>bueno</v>
          </cell>
          <cell r="K700" t="str">
            <v>probsi</v>
          </cell>
        </row>
        <row r="701">
          <cell r="B701" t="b">
            <v>1</v>
          </cell>
          <cell r="E701" t="str">
            <v>Candelaria</v>
          </cell>
          <cell r="H701" t="str">
            <v>salud_oral</v>
          </cell>
          <cell r="J701" t="str">
            <v>bueno</v>
          </cell>
          <cell r="K701" t="str">
            <v>probsi</v>
          </cell>
        </row>
        <row r="702">
          <cell r="B702" t="b">
            <v>1</v>
          </cell>
          <cell r="E702" t="str">
            <v>Candelaria</v>
          </cell>
          <cell r="H702" t="str">
            <v>salud_oral</v>
          </cell>
          <cell r="J702" t="str">
            <v>bueno</v>
          </cell>
          <cell r="K702" t="str">
            <v>probsi</v>
          </cell>
        </row>
        <row r="703">
          <cell r="B703" t="b">
            <v>1</v>
          </cell>
          <cell r="E703" t="str">
            <v>Candelaria</v>
          </cell>
          <cell r="H703" t="str">
            <v>salud_oral</v>
          </cell>
          <cell r="J703" t="str">
            <v>bueno</v>
          </cell>
          <cell r="K703" t="str">
            <v>probsi</v>
          </cell>
        </row>
        <row r="704">
          <cell r="B704" t="b">
            <v>1</v>
          </cell>
          <cell r="E704" t="str">
            <v>Candelaria</v>
          </cell>
          <cell r="H704" t="str">
            <v>consulta_externa</v>
          </cell>
          <cell r="J704" t="str">
            <v>bueno</v>
          </cell>
          <cell r="K704" t="str">
            <v>probsi</v>
          </cell>
        </row>
        <row r="705">
          <cell r="B705" t="b">
            <v>1</v>
          </cell>
          <cell r="E705" t="str">
            <v>Candelaria</v>
          </cell>
          <cell r="H705" t="str">
            <v>urgencia</v>
          </cell>
          <cell r="J705" t="str">
            <v>bueno</v>
          </cell>
          <cell r="K705" t="str">
            <v>probsi</v>
          </cell>
        </row>
        <row r="706">
          <cell r="B706" t="b">
            <v>0</v>
          </cell>
          <cell r="E706" t="str">
            <v>Candelaria</v>
          </cell>
          <cell r="H706" t="str">
            <v>urgencia</v>
          </cell>
          <cell r="J706" t="str">
            <v>regular</v>
          </cell>
          <cell r="K706" t="str">
            <v>probsi</v>
          </cell>
        </row>
        <row r="707">
          <cell r="B707" t="b">
            <v>1</v>
          </cell>
          <cell r="E707" t="str">
            <v>Candelaria</v>
          </cell>
          <cell r="H707" t="str">
            <v>urgencia</v>
          </cell>
          <cell r="J707" t="str">
            <v>bueno</v>
          </cell>
          <cell r="K707" t="str">
            <v>probsi</v>
          </cell>
        </row>
        <row r="708">
          <cell r="B708" t="b">
            <v>1</v>
          </cell>
          <cell r="E708" t="str">
            <v>Candelaria</v>
          </cell>
          <cell r="H708" t="str">
            <v>consulta_externa</v>
          </cell>
          <cell r="J708" t="str">
            <v>bueno</v>
          </cell>
          <cell r="K708" t="str">
            <v>probsi</v>
          </cell>
        </row>
        <row r="709">
          <cell r="B709" t="b">
            <v>1</v>
          </cell>
          <cell r="E709" t="str">
            <v>Candelaria</v>
          </cell>
          <cell r="H709" t="str">
            <v>salud_oral</v>
          </cell>
          <cell r="J709" t="str">
            <v>bueno</v>
          </cell>
          <cell r="K709" t="str">
            <v>probsi</v>
          </cell>
        </row>
        <row r="710">
          <cell r="B710" t="b">
            <v>1</v>
          </cell>
          <cell r="E710" t="str">
            <v>Candelaria</v>
          </cell>
          <cell r="H710" t="str">
            <v>urgencia</v>
          </cell>
          <cell r="J710" t="str">
            <v>bueno</v>
          </cell>
          <cell r="K710" t="str">
            <v>probsi</v>
          </cell>
        </row>
        <row r="711">
          <cell r="B711" t="b">
            <v>1</v>
          </cell>
          <cell r="E711" t="str">
            <v>Candelaria</v>
          </cell>
          <cell r="H711" t="str">
            <v>electros</v>
          </cell>
          <cell r="J711" t="str">
            <v>muybueno</v>
          </cell>
          <cell r="K711" t="str">
            <v>probsi</v>
          </cell>
        </row>
        <row r="712">
          <cell r="B712" t="b">
            <v>1</v>
          </cell>
          <cell r="E712" t="str">
            <v>Candelaria</v>
          </cell>
          <cell r="H712" t="str">
            <v>electros</v>
          </cell>
          <cell r="J712" t="str">
            <v>bueno</v>
          </cell>
          <cell r="K712" t="str">
            <v>probsi</v>
          </cell>
        </row>
        <row r="713">
          <cell r="B713" t="b">
            <v>1</v>
          </cell>
          <cell r="E713" t="str">
            <v>Isla Fuerte</v>
          </cell>
          <cell r="H713" t="str">
            <v>consulta_externa</v>
          </cell>
          <cell r="J713" t="str">
            <v>bueno</v>
          </cell>
          <cell r="K713" t="str">
            <v>probsi</v>
          </cell>
        </row>
        <row r="714">
          <cell r="B714" t="b">
            <v>1</v>
          </cell>
          <cell r="E714" t="str">
            <v>Isla Fuerte</v>
          </cell>
          <cell r="H714" t="str">
            <v>consulta_externa</v>
          </cell>
          <cell r="J714" t="str">
            <v>bueno</v>
          </cell>
          <cell r="K714" t="str">
            <v>probsi</v>
          </cell>
        </row>
        <row r="715">
          <cell r="B715" t="b">
            <v>1</v>
          </cell>
          <cell r="E715" t="str">
            <v>Isla Fuerte</v>
          </cell>
          <cell r="H715" t="str">
            <v>consulta_externa</v>
          </cell>
          <cell r="J715" t="str">
            <v>bueno</v>
          </cell>
          <cell r="K715" t="str">
            <v>probsi</v>
          </cell>
        </row>
        <row r="716">
          <cell r="B716" t="b">
            <v>1</v>
          </cell>
          <cell r="E716" t="str">
            <v>Isla Fuerte</v>
          </cell>
          <cell r="H716" t="str">
            <v>consulta_externa</v>
          </cell>
          <cell r="J716" t="str">
            <v>bueno</v>
          </cell>
          <cell r="K716" t="str">
            <v>probsi</v>
          </cell>
        </row>
        <row r="717">
          <cell r="B717" t="b">
            <v>1</v>
          </cell>
          <cell r="E717" t="str">
            <v>Isla Fuerte</v>
          </cell>
          <cell r="H717" t="str">
            <v>consulta_externa</v>
          </cell>
          <cell r="J717" t="str">
            <v>bueno</v>
          </cell>
          <cell r="K717" t="str">
            <v>probsi</v>
          </cell>
        </row>
        <row r="718">
          <cell r="B718" t="b">
            <v>1</v>
          </cell>
          <cell r="E718" t="str">
            <v>Isla Fuerte</v>
          </cell>
          <cell r="H718" t="str">
            <v>consulta_externa</v>
          </cell>
          <cell r="J718" t="str">
            <v>bueno</v>
          </cell>
          <cell r="K718" t="str">
            <v>probsi</v>
          </cell>
        </row>
        <row r="719">
          <cell r="B719" t="b">
            <v>1</v>
          </cell>
          <cell r="E719" t="str">
            <v>Isla Fuerte</v>
          </cell>
          <cell r="H719" t="str">
            <v>laboratorio</v>
          </cell>
          <cell r="J719" t="str">
            <v>bueno</v>
          </cell>
          <cell r="K719" t="str">
            <v>probsi</v>
          </cell>
        </row>
        <row r="720">
          <cell r="B720" t="b">
            <v>1</v>
          </cell>
          <cell r="E720" t="str">
            <v>Isla Fuerte</v>
          </cell>
          <cell r="H720" t="str">
            <v>laboratorio</v>
          </cell>
          <cell r="J720" t="str">
            <v>bueno</v>
          </cell>
          <cell r="K720" t="str">
            <v>probsi</v>
          </cell>
        </row>
        <row r="721">
          <cell r="B721" t="b">
            <v>1</v>
          </cell>
          <cell r="E721" t="str">
            <v>Isla Fuerte</v>
          </cell>
          <cell r="H721" t="str">
            <v>laboratorio</v>
          </cell>
          <cell r="J721" t="str">
            <v>bueno</v>
          </cell>
          <cell r="K721" t="str">
            <v>probsi</v>
          </cell>
        </row>
        <row r="722">
          <cell r="B722" t="b">
            <v>1</v>
          </cell>
          <cell r="E722" t="str">
            <v>Isla Fuerte</v>
          </cell>
          <cell r="H722" t="str">
            <v>laboratorio</v>
          </cell>
          <cell r="J722" t="str">
            <v>bueno</v>
          </cell>
          <cell r="K722" t="str">
            <v>probsi</v>
          </cell>
        </row>
        <row r="723">
          <cell r="B723" t="b">
            <v>1</v>
          </cell>
          <cell r="E723" t="str">
            <v>Isla Fuerte</v>
          </cell>
          <cell r="H723" t="str">
            <v>laboratorio</v>
          </cell>
          <cell r="J723" t="str">
            <v>bueno</v>
          </cell>
          <cell r="K723" t="str">
            <v>probsi</v>
          </cell>
        </row>
        <row r="724">
          <cell r="B724" t="b">
            <v>1</v>
          </cell>
          <cell r="E724" t="str">
            <v>Isla Fuerte</v>
          </cell>
          <cell r="H724" t="str">
            <v>laboratorio</v>
          </cell>
          <cell r="J724" t="str">
            <v>bueno</v>
          </cell>
          <cell r="K724" t="str">
            <v>probsi</v>
          </cell>
        </row>
        <row r="725">
          <cell r="B725" t="b">
            <v>1</v>
          </cell>
          <cell r="E725" t="str">
            <v>Isla Fuerte</v>
          </cell>
          <cell r="H725" t="str">
            <v>salud_oral</v>
          </cell>
          <cell r="J725" t="str">
            <v>bueno</v>
          </cell>
          <cell r="K725" t="str">
            <v>probsi</v>
          </cell>
        </row>
        <row r="726">
          <cell r="B726" t="b">
            <v>1</v>
          </cell>
          <cell r="E726" t="str">
            <v>Isla Fuerte</v>
          </cell>
          <cell r="H726" t="str">
            <v>salud_oral</v>
          </cell>
          <cell r="J726" t="str">
            <v>bueno</v>
          </cell>
          <cell r="K726" t="str">
            <v>probsi</v>
          </cell>
        </row>
        <row r="727">
          <cell r="B727" t="b">
            <v>0</v>
          </cell>
          <cell r="E727" t="str">
            <v>Bayunca</v>
          </cell>
          <cell r="H727" t="str">
            <v>consulta_externa</v>
          </cell>
          <cell r="J727" t="str">
            <v>regular</v>
          </cell>
          <cell r="K727" t="str">
            <v>probsi</v>
          </cell>
        </row>
        <row r="728">
          <cell r="B728" t="b">
            <v>1</v>
          </cell>
          <cell r="E728" t="str">
            <v>Bayunca</v>
          </cell>
          <cell r="H728" t="str">
            <v>salud_oral</v>
          </cell>
          <cell r="J728" t="str">
            <v>bueno</v>
          </cell>
          <cell r="K728" t="str">
            <v>probsi</v>
          </cell>
        </row>
        <row r="729">
          <cell r="B729" t="b">
            <v>0</v>
          </cell>
          <cell r="E729" t="str">
            <v>Bayunca</v>
          </cell>
          <cell r="H729" t="str">
            <v>laboratorio</v>
          </cell>
          <cell r="J729" t="str">
            <v>regular</v>
          </cell>
          <cell r="K729" t="str">
            <v>probsi</v>
          </cell>
        </row>
        <row r="730">
          <cell r="B730" t="b">
            <v>1</v>
          </cell>
          <cell r="E730" t="str">
            <v>Bayunca</v>
          </cell>
          <cell r="H730" t="str">
            <v>laboratorio</v>
          </cell>
          <cell r="J730" t="str">
            <v>bueno</v>
          </cell>
          <cell r="K730" t="str">
            <v>probsi</v>
          </cell>
        </row>
        <row r="731">
          <cell r="B731" t="b">
            <v>1</v>
          </cell>
          <cell r="E731" t="str">
            <v>Bayunca</v>
          </cell>
          <cell r="H731" t="str">
            <v>consulta_externa</v>
          </cell>
          <cell r="J731" t="str">
            <v>bueno</v>
          </cell>
          <cell r="K731" t="str">
            <v>probsi</v>
          </cell>
        </row>
        <row r="732">
          <cell r="B732" t="b">
            <v>1</v>
          </cell>
          <cell r="E732" t="str">
            <v>Bayunca</v>
          </cell>
          <cell r="H732" t="str">
            <v>laboratorio</v>
          </cell>
          <cell r="J732" t="str">
            <v>bueno</v>
          </cell>
          <cell r="K732" t="str">
            <v>probsi</v>
          </cell>
        </row>
        <row r="733">
          <cell r="B733" t="b">
            <v>0</v>
          </cell>
          <cell r="E733" t="str">
            <v>Bayunca</v>
          </cell>
          <cell r="H733" t="str">
            <v>laboratorio</v>
          </cell>
          <cell r="J733" t="str">
            <v>regular</v>
          </cell>
          <cell r="K733" t="str">
            <v>probsi</v>
          </cell>
        </row>
        <row r="734">
          <cell r="B734" t="b">
            <v>0</v>
          </cell>
          <cell r="E734" t="str">
            <v>Bayunca</v>
          </cell>
          <cell r="H734" t="str">
            <v>laboratorio</v>
          </cell>
          <cell r="J734" t="str">
            <v>regular</v>
          </cell>
          <cell r="K734" t="str">
            <v>probsi</v>
          </cell>
        </row>
        <row r="735">
          <cell r="B735" t="b">
            <v>1</v>
          </cell>
          <cell r="E735" t="str">
            <v>Bayunca</v>
          </cell>
          <cell r="H735" t="str">
            <v>consulta_externa</v>
          </cell>
          <cell r="J735" t="str">
            <v>bueno</v>
          </cell>
          <cell r="K735" t="str">
            <v>probsi</v>
          </cell>
        </row>
        <row r="736">
          <cell r="B736" t="b">
            <v>1</v>
          </cell>
          <cell r="E736" t="str">
            <v>Bayunca</v>
          </cell>
          <cell r="H736" t="str">
            <v>laboratorio</v>
          </cell>
          <cell r="J736" t="str">
            <v>bueno</v>
          </cell>
          <cell r="K736" t="str">
            <v>probsi</v>
          </cell>
        </row>
        <row r="737">
          <cell r="B737" t="b">
            <v>1</v>
          </cell>
          <cell r="E737" t="str">
            <v>Nuevo Porvenir</v>
          </cell>
          <cell r="H737" t="str">
            <v>laboratorio</v>
          </cell>
          <cell r="J737" t="str">
            <v>muybueno</v>
          </cell>
          <cell r="K737" t="str">
            <v>defsi</v>
          </cell>
        </row>
        <row r="738">
          <cell r="B738" t="b">
            <v>1</v>
          </cell>
          <cell r="E738" t="str">
            <v>Nuevo Porvenir</v>
          </cell>
          <cell r="H738" t="str">
            <v>laboratorio</v>
          </cell>
          <cell r="J738" t="str">
            <v>muybueno</v>
          </cell>
          <cell r="K738" t="str">
            <v>defsi</v>
          </cell>
        </row>
        <row r="739">
          <cell r="B739" t="b">
            <v>1</v>
          </cell>
          <cell r="E739" t="str">
            <v>Nuevo Porvenir</v>
          </cell>
          <cell r="H739" t="str">
            <v>laboratorio</v>
          </cell>
          <cell r="J739" t="str">
            <v>muybueno</v>
          </cell>
          <cell r="K739" t="str">
            <v>defsi</v>
          </cell>
        </row>
        <row r="740">
          <cell r="B740" t="b">
            <v>1</v>
          </cell>
          <cell r="E740" t="str">
            <v>Nuevo Porvenir</v>
          </cell>
          <cell r="H740" t="str">
            <v>consulta_externa</v>
          </cell>
          <cell r="J740" t="str">
            <v>muybueno</v>
          </cell>
          <cell r="K740" t="str">
            <v>defsi</v>
          </cell>
        </row>
        <row r="741">
          <cell r="B741" t="b">
            <v>1</v>
          </cell>
          <cell r="E741" t="str">
            <v>Nuevo Porvenir</v>
          </cell>
          <cell r="H741" t="str">
            <v>consulta_externa</v>
          </cell>
          <cell r="J741" t="str">
            <v>bueno</v>
          </cell>
          <cell r="K741" t="str">
            <v>defsi</v>
          </cell>
        </row>
        <row r="742">
          <cell r="B742" t="b">
            <v>1</v>
          </cell>
          <cell r="E742" t="str">
            <v>Nuevo Porvenir</v>
          </cell>
          <cell r="H742" t="str">
            <v>consulta_externa</v>
          </cell>
          <cell r="J742" t="str">
            <v>bueno</v>
          </cell>
          <cell r="K742" t="str">
            <v>defsi</v>
          </cell>
        </row>
        <row r="743">
          <cell r="B743" t="b">
            <v>0</v>
          </cell>
          <cell r="E743" t="str">
            <v>Bayunca</v>
          </cell>
          <cell r="H743" t="str">
            <v>laboratorio</v>
          </cell>
          <cell r="J743" t="str">
            <v>malo</v>
          </cell>
          <cell r="K743" t="str">
            <v>probno</v>
          </cell>
        </row>
        <row r="744">
          <cell r="B744" t="b">
            <v>1</v>
          </cell>
          <cell r="E744" t="str">
            <v>Nuevo Porvenir</v>
          </cell>
          <cell r="H744" t="str">
            <v>salud_oral</v>
          </cell>
          <cell r="J744" t="str">
            <v>bueno</v>
          </cell>
          <cell r="K744" t="str">
            <v>defsi</v>
          </cell>
        </row>
        <row r="745">
          <cell r="B745" t="b">
            <v>1</v>
          </cell>
          <cell r="E745" t="str">
            <v>Bayunca</v>
          </cell>
          <cell r="H745" t="str">
            <v>consulta_externa</v>
          </cell>
          <cell r="J745" t="str">
            <v>bueno</v>
          </cell>
          <cell r="K745" t="str">
            <v>probsi</v>
          </cell>
        </row>
        <row r="746">
          <cell r="B746" t="b">
            <v>1</v>
          </cell>
          <cell r="E746" t="str">
            <v>Bayunca</v>
          </cell>
          <cell r="H746" t="str">
            <v>salud_oral</v>
          </cell>
          <cell r="J746" t="str">
            <v>bueno</v>
          </cell>
          <cell r="K746" t="str">
            <v>probsi</v>
          </cell>
        </row>
        <row r="747">
          <cell r="B747" t="b">
            <v>1</v>
          </cell>
          <cell r="E747" t="str">
            <v>Nuevo Porvenir</v>
          </cell>
          <cell r="H747" t="str">
            <v>consulta_externa</v>
          </cell>
          <cell r="J747" t="str">
            <v>bueno</v>
          </cell>
          <cell r="K747" t="str">
            <v>defsi</v>
          </cell>
        </row>
        <row r="748">
          <cell r="B748" t="b">
            <v>1</v>
          </cell>
          <cell r="E748" t="str">
            <v>Nuevo Porvenir</v>
          </cell>
          <cell r="H748" t="str">
            <v>consulta_externa</v>
          </cell>
          <cell r="J748" t="str">
            <v>bueno</v>
          </cell>
          <cell r="K748" t="str">
            <v>defsi</v>
          </cell>
        </row>
        <row r="749">
          <cell r="B749" t="b">
            <v>1</v>
          </cell>
          <cell r="E749" t="str">
            <v>Nuevo Porvenir</v>
          </cell>
          <cell r="H749" t="str">
            <v>laboratorio</v>
          </cell>
          <cell r="J749" t="str">
            <v>bueno</v>
          </cell>
          <cell r="K749" t="str">
            <v>defsi</v>
          </cell>
        </row>
        <row r="750">
          <cell r="B750" t="b">
            <v>1</v>
          </cell>
          <cell r="E750" t="str">
            <v>San Pedro y Libertad</v>
          </cell>
          <cell r="H750" t="str">
            <v>consulta_externa</v>
          </cell>
          <cell r="J750" t="str">
            <v>bueno</v>
          </cell>
          <cell r="K750" t="str">
            <v>probsi</v>
          </cell>
        </row>
        <row r="751">
          <cell r="B751" t="b">
            <v>1</v>
          </cell>
          <cell r="E751" t="str">
            <v>San Pedro y Libertad</v>
          </cell>
          <cell r="H751" t="str">
            <v>consulta_externa</v>
          </cell>
          <cell r="J751" t="str">
            <v>bueno</v>
          </cell>
          <cell r="K751" t="str">
            <v>probsi</v>
          </cell>
        </row>
        <row r="752">
          <cell r="B752" t="b">
            <v>1</v>
          </cell>
          <cell r="E752" t="str">
            <v>Nuevo Porvenir</v>
          </cell>
          <cell r="H752" t="str">
            <v>laboratorio</v>
          </cell>
          <cell r="J752" t="str">
            <v>bueno</v>
          </cell>
          <cell r="K752" t="str">
            <v>defsi</v>
          </cell>
        </row>
        <row r="753">
          <cell r="B753" t="b">
            <v>1</v>
          </cell>
          <cell r="E753" t="str">
            <v>San Pedro y Libertad</v>
          </cell>
          <cell r="H753" t="str">
            <v>consulta_externa</v>
          </cell>
          <cell r="J753" t="str">
            <v>bueno</v>
          </cell>
          <cell r="K753" t="str">
            <v>probsi</v>
          </cell>
        </row>
        <row r="754">
          <cell r="B754" t="b">
            <v>1</v>
          </cell>
          <cell r="E754" t="str">
            <v>San Pedro y Libertad</v>
          </cell>
          <cell r="H754" t="str">
            <v>consulta_externa</v>
          </cell>
          <cell r="J754" t="str">
            <v>bueno</v>
          </cell>
          <cell r="K754" t="str">
            <v>probsi</v>
          </cell>
        </row>
        <row r="755">
          <cell r="B755" t="b">
            <v>1</v>
          </cell>
          <cell r="E755" t="str">
            <v>San Pedro y Libertad</v>
          </cell>
          <cell r="H755" t="str">
            <v>consulta_externa</v>
          </cell>
          <cell r="J755" t="str">
            <v>bueno</v>
          </cell>
          <cell r="K755" t="str">
            <v>probsi</v>
          </cell>
        </row>
        <row r="756">
          <cell r="B756" t="b">
            <v>1</v>
          </cell>
          <cell r="E756" t="str">
            <v>San Pedro y Libertad</v>
          </cell>
          <cell r="H756" t="str">
            <v>laboratorio</v>
          </cell>
          <cell r="J756" t="str">
            <v>bueno</v>
          </cell>
          <cell r="K756" t="str">
            <v>probsi</v>
          </cell>
        </row>
        <row r="757">
          <cell r="B757" t="b">
            <v>1</v>
          </cell>
          <cell r="E757" t="str">
            <v>San Pedro y Libertad</v>
          </cell>
          <cell r="H757" t="str">
            <v>laboratorio</v>
          </cell>
          <cell r="J757" t="str">
            <v>bueno</v>
          </cell>
          <cell r="K757" t="str">
            <v>probsi</v>
          </cell>
        </row>
        <row r="758">
          <cell r="B758" t="b">
            <v>1</v>
          </cell>
          <cell r="E758" t="str">
            <v>San Pedro y Libertad</v>
          </cell>
          <cell r="H758" t="str">
            <v>laboratorio</v>
          </cell>
          <cell r="J758" t="str">
            <v>bueno</v>
          </cell>
          <cell r="K758" t="str">
            <v>probsi</v>
          </cell>
        </row>
        <row r="759">
          <cell r="B759" t="b">
            <v>1</v>
          </cell>
          <cell r="E759" t="str">
            <v>San Pedro y Libertad</v>
          </cell>
          <cell r="H759" t="str">
            <v>salud_oral</v>
          </cell>
          <cell r="J759" t="str">
            <v>bueno</v>
          </cell>
          <cell r="K759" t="str">
            <v>probsi</v>
          </cell>
        </row>
        <row r="760">
          <cell r="B760" t="b">
            <v>1</v>
          </cell>
          <cell r="E760" t="str">
            <v>San Pedro y Libertad</v>
          </cell>
          <cell r="H760" t="str">
            <v>salud_oral</v>
          </cell>
          <cell r="J760" t="str">
            <v>bueno</v>
          </cell>
          <cell r="K760" t="str">
            <v>probsi</v>
          </cell>
        </row>
        <row r="761">
          <cell r="B761" t="b">
            <v>1</v>
          </cell>
          <cell r="E761" t="str">
            <v>San Pedro y Libertad</v>
          </cell>
          <cell r="H761" t="str">
            <v>salud_oral</v>
          </cell>
          <cell r="J761" t="str">
            <v>bueno</v>
          </cell>
          <cell r="K761" t="str">
            <v>probsi</v>
          </cell>
        </row>
        <row r="762">
          <cell r="B762" t="b">
            <v>1</v>
          </cell>
          <cell r="E762" t="str">
            <v>San Pedro y Libertad</v>
          </cell>
          <cell r="H762" t="str">
            <v>salud_oral</v>
          </cell>
          <cell r="J762" t="str">
            <v>bueno</v>
          </cell>
          <cell r="K762" t="str">
            <v>probsi</v>
          </cell>
        </row>
        <row r="763">
          <cell r="B763" t="b">
            <v>1</v>
          </cell>
          <cell r="E763" t="str">
            <v>San Pedro y Libertad</v>
          </cell>
          <cell r="H763" t="str">
            <v>consulta_externa</v>
          </cell>
          <cell r="J763" t="str">
            <v>bueno</v>
          </cell>
          <cell r="K763" t="str">
            <v>probsi</v>
          </cell>
        </row>
        <row r="764">
          <cell r="B764" t="b">
            <v>1</v>
          </cell>
          <cell r="E764" t="str">
            <v>San Pedro y Libertad</v>
          </cell>
          <cell r="H764" t="str">
            <v>consulta_externa</v>
          </cell>
          <cell r="J764" t="str">
            <v>bueno</v>
          </cell>
          <cell r="K764" t="str">
            <v>probsi</v>
          </cell>
        </row>
        <row r="765">
          <cell r="B765" t="b">
            <v>1</v>
          </cell>
          <cell r="E765" t="str">
            <v>Nuevo Porvenir</v>
          </cell>
          <cell r="H765" t="str">
            <v>laboratorio</v>
          </cell>
          <cell r="J765" t="str">
            <v>bueno</v>
          </cell>
          <cell r="K765" t="str">
            <v>defsi</v>
          </cell>
        </row>
        <row r="766">
          <cell r="B766" t="b">
            <v>1</v>
          </cell>
          <cell r="E766" t="str">
            <v>San Pedro y Libertad</v>
          </cell>
          <cell r="H766" t="str">
            <v>consulta_externa</v>
          </cell>
          <cell r="J766" t="str">
            <v>bueno</v>
          </cell>
          <cell r="K766" t="str">
            <v>probsi</v>
          </cell>
        </row>
        <row r="767">
          <cell r="B767" t="b">
            <v>1</v>
          </cell>
          <cell r="E767" t="str">
            <v>San Pedro y Libertad</v>
          </cell>
          <cell r="H767" t="str">
            <v>consulta_externa</v>
          </cell>
          <cell r="J767" t="str">
            <v>bueno</v>
          </cell>
          <cell r="K767" t="str">
            <v>probsi</v>
          </cell>
        </row>
        <row r="768">
          <cell r="B768" t="b">
            <v>1</v>
          </cell>
          <cell r="E768" t="str">
            <v>San Pedro y Libertad</v>
          </cell>
          <cell r="H768" t="str">
            <v>laboratorio</v>
          </cell>
          <cell r="J768" t="str">
            <v>bueno</v>
          </cell>
          <cell r="K768" t="str">
            <v>probsi</v>
          </cell>
        </row>
        <row r="769">
          <cell r="B769" t="b">
            <v>1</v>
          </cell>
          <cell r="E769" t="str">
            <v>San Pedro y Libertad</v>
          </cell>
          <cell r="H769" t="str">
            <v>laboratorio</v>
          </cell>
          <cell r="J769" t="str">
            <v>bueno</v>
          </cell>
          <cell r="K769" t="str">
            <v>probsi</v>
          </cell>
        </row>
        <row r="770">
          <cell r="B770" t="b">
            <v>1</v>
          </cell>
          <cell r="E770" t="str">
            <v>San Pedro y Libertad</v>
          </cell>
          <cell r="H770" t="str">
            <v>laboratorio</v>
          </cell>
          <cell r="J770" t="str">
            <v>bueno</v>
          </cell>
          <cell r="K770" t="str">
            <v>probsi</v>
          </cell>
        </row>
        <row r="771">
          <cell r="B771" t="b">
            <v>1</v>
          </cell>
          <cell r="E771" t="str">
            <v>San Pedro y Libertad</v>
          </cell>
          <cell r="H771" t="str">
            <v>salud_oral</v>
          </cell>
          <cell r="J771" t="str">
            <v>bueno</v>
          </cell>
          <cell r="K771" t="str">
            <v>probsi</v>
          </cell>
        </row>
        <row r="772">
          <cell r="B772" t="b">
            <v>1</v>
          </cell>
          <cell r="E772" t="str">
            <v>San Pedro y Libertad</v>
          </cell>
          <cell r="H772" t="str">
            <v>salud_oral</v>
          </cell>
          <cell r="J772" t="str">
            <v>bueno</v>
          </cell>
          <cell r="K772" t="str">
            <v>probsi</v>
          </cell>
        </row>
        <row r="773">
          <cell r="B773" t="b">
            <v>1</v>
          </cell>
          <cell r="E773" t="str">
            <v>San Pedro y Libertad</v>
          </cell>
          <cell r="H773" t="str">
            <v>salud_oral</v>
          </cell>
          <cell r="J773" t="str">
            <v>bueno</v>
          </cell>
          <cell r="K773" t="str">
            <v>probsi</v>
          </cell>
        </row>
        <row r="774">
          <cell r="B774" t="b">
            <v>1</v>
          </cell>
          <cell r="E774" t="str">
            <v>San Pedro y Libertad</v>
          </cell>
          <cell r="H774" t="str">
            <v>salud_oral</v>
          </cell>
          <cell r="J774" t="str">
            <v>bueno</v>
          </cell>
          <cell r="K774" t="str">
            <v>probsi</v>
          </cell>
        </row>
        <row r="775">
          <cell r="B775" t="b">
            <v>1</v>
          </cell>
          <cell r="E775" t="str">
            <v>San Pedro y Libertad</v>
          </cell>
          <cell r="H775" t="str">
            <v>consulta_externa</v>
          </cell>
          <cell r="J775" t="str">
            <v>bueno</v>
          </cell>
          <cell r="K775" t="str">
            <v>probsi</v>
          </cell>
        </row>
        <row r="776">
          <cell r="B776" t="b">
            <v>1</v>
          </cell>
          <cell r="E776" t="str">
            <v>San Pedro y Libertad</v>
          </cell>
          <cell r="H776" t="str">
            <v>consulta_externa</v>
          </cell>
          <cell r="J776" t="str">
            <v>bueno</v>
          </cell>
          <cell r="K776" t="str">
            <v>probsi</v>
          </cell>
        </row>
        <row r="777">
          <cell r="B777" t="b">
            <v>1</v>
          </cell>
          <cell r="E777" t="str">
            <v>San Pedro y Libertad</v>
          </cell>
          <cell r="H777" t="str">
            <v>consulta_externa</v>
          </cell>
          <cell r="J777" t="str">
            <v>bueno</v>
          </cell>
          <cell r="K777" t="str">
            <v>probsi</v>
          </cell>
        </row>
        <row r="778">
          <cell r="B778" t="b">
            <v>1</v>
          </cell>
          <cell r="E778" t="str">
            <v>San Pedro y Libertad</v>
          </cell>
          <cell r="H778" t="str">
            <v>laboratorio</v>
          </cell>
          <cell r="J778" t="str">
            <v>bueno</v>
          </cell>
          <cell r="K778" t="str">
            <v>probsi</v>
          </cell>
        </row>
        <row r="779">
          <cell r="B779" t="b">
            <v>1</v>
          </cell>
          <cell r="E779" t="str">
            <v>San Pedro y Libertad</v>
          </cell>
          <cell r="H779" t="str">
            <v>laboratorio</v>
          </cell>
          <cell r="J779" t="str">
            <v>bueno</v>
          </cell>
          <cell r="K779" t="str">
            <v>probsi</v>
          </cell>
        </row>
        <row r="780">
          <cell r="B780" t="b">
            <v>1</v>
          </cell>
          <cell r="E780" t="str">
            <v>San Pedro y Libertad</v>
          </cell>
          <cell r="H780" t="str">
            <v>laboratorio</v>
          </cell>
          <cell r="J780" t="str">
            <v>bueno</v>
          </cell>
          <cell r="K780" t="str">
            <v>probsi</v>
          </cell>
        </row>
        <row r="781">
          <cell r="B781" t="b">
            <v>1</v>
          </cell>
          <cell r="E781" t="str">
            <v>San Pedro y Libertad</v>
          </cell>
          <cell r="H781" t="str">
            <v>laboratorio</v>
          </cell>
          <cell r="J781" t="str">
            <v>bueno</v>
          </cell>
          <cell r="K781" t="str">
            <v>probsi</v>
          </cell>
        </row>
        <row r="782">
          <cell r="B782" t="b">
            <v>1</v>
          </cell>
          <cell r="E782" t="str">
            <v>San Pedro y Libertad</v>
          </cell>
          <cell r="H782" t="str">
            <v>consulta_externa</v>
          </cell>
          <cell r="J782" t="str">
            <v>bueno</v>
          </cell>
          <cell r="K782" t="str">
            <v>probsi</v>
          </cell>
        </row>
        <row r="783">
          <cell r="B783" t="b">
            <v>1</v>
          </cell>
          <cell r="E783" t="str">
            <v>San Pedro y Libertad</v>
          </cell>
          <cell r="H783" t="str">
            <v>consulta_externa</v>
          </cell>
          <cell r="J783" t="str">
            <v>bueno</v>
          </cell>
          <cell r="K783" t="str">
            <v>probsi</v>
          </cell>
        </row>
        <row r="784">
          <cell r="B784" t="b">
            <v>1</v>
          </cell>
          <cell r="E784" t="str">
            <v>San Pedro y Libertad</v>
          </cell>
          <cell r="H784" t="str">
            <v>consulta_externa</v>
          </cell>
          <cell r="J784" t="str">
            <v>bueno</v>
          </cell>
          <cell r="K784" t="str">
            <v>probsi</v>
          </cell>
        </row>
        <row r="785">
          <cell r="B785" t="b">
            <v>1</v>
          </cell>
          <cell r="E785" t="str">
            <v>Nuevo Porvenir</v>
          </cell>
          <cell r="H785" t="str">
            <v>consulta_externa</v>
          </cell>
          <cell r="J785" t="str">
            <v>bueno</v>
          </cell>
          <cell r="K785" t="str">
            <v>defsi</v>
          </cell>
        </row>
        <row r="786">
          <cell r="B786" t="b">
            <v>1</v>
          </cell>
          <cell r="E786" t="str">
            <v>Nuevo Porvenir</v>
          </cell>
          <cell r="H786" t="str">
            <v>salud_oral</v>
          </cell>
          <cell r="J786" t="str">
            <v>bueno</v>
          </cell>
          <cell r="K786" t="str">
            <v>defsi</v>
          </cell>
        </row>
        <row r="787">
          <cell r="B787" t="b">
            <v>1</v>
          </cell>
          <cell r="E787" t="str">
            <v>Nuevo Porvenir</v>
          </cell>
          <cell r="H787" t="str">
            <v>consulta_externa</v>
          </cell>
          <cell r="J787" t="str">
            <v>bueno</v>
          </cell>
          <cell r="K787" t="str">
            <v>defsi</v>
          </cell>
        </row>
        <row r="788">
          <cell r="B788" t="b">
            <v>1</v>
          </cell>
          <cell r="E788" t="str">
            <v>Nuevo Porvenir</v>
          </cell>
          <cell r="H788" t="str">
            <v>consulta_externa</v>
          </cell>
          <cell r="J788" t="str">
            <v>muybueno</v>
          </cell>
          <cell r="K788" t="str">
            <v>defsi</v>
          </cell>
        </row>
        <row r="789">
          <cell r="B789" t="b">
            <v>1</v>
          </cell>
          <cell r="E789" t="str">
            <v>Nuevo Porvenir</v>
          </cell>
          <cell r="H789" t="str">
            <v>laboratorio</v>
          </cell>
          <cell r="J789" t="str">
            <v>bueno</v>
          </cell>
          <cell r="K789" t="str">
            <v>defsi</v>
          </cell>
        </row>
        <row r="790">
          <cell r="B790" t="b">
            <v>1</v>
          </cell>
          <cell r="E790" t="str">
            <v>Nuevo Porvenir</v>
          </cell>
          <cell r="H790" t="str">
            <v>laboratorio</v>
          </cell>
          <cell r="J790" t="str">
            <v>bueno</v>
          </cell>
          <cell r="K790" t="str">
            <v>defsi</v>
          </cell>
        </row>
        <row r="791">
          <cell r="B791" t="b">
            <v>1</v>
          </cell>
          <cell r="E791" t="str">
            <v>Nuevo Porvenir</v>
          </cell>
          <cell r="H791" t="str">
            <v>consulta_externa</v>
          </cell>
          <cell r="J791" t="str">
            <v>bueno</v>
          </cell>
          <cell r="K791" t="str">
            <v>defsi</v>
          </cell>
        </row>
        <row r="792">
          <cell r="B792" t="b">
            <v>1</v>
          </cell>
          <cell r="E792" t="str">
            <v>Nuevo Porvenir</v>
          </cell>
          <cell r="H792" t="str">
            <v>salud_oral</v>
          </cell>
          <cell r="J792" t="str">
            <v>bueno</v>
          </cell>
          <cell r="K792" t="str">
            <v>defsi</v>
          </cell>
        </row>
        <row r="793">
          <cell r="B793" t="b">
            <v>1</v>
          </cell>
          <cell r="E793" t="str">
            <v>Nuevo Porvenir</v>
          </cell>
          <cell r="H793" t="str">
            <v>laboratorio</v>
          </cell>
          <cell r="J793" t="str">
            <v>bueno</v>
          </cell>
          <cell r="K793" t="str">
            <v>defsi</v>
          </cell>
        </row>
        <row r="794">
          <cell r="B794" t="b">
            <v>1</v>
          </cell>
          <cell r="E794" t="str">
            <v>Nuevo Porvenir</v>
          </cell>
          <cell r="H794" t="str">
            <v>consulta_externa</v>
          </cell>
          <cell r="J794" t="str">
            <v>bueno</v>
          </cell>
          <cell r="K794" t="str">
            <v>defsi</v>
          </cell>
        </row>
        <row r="795">
          <cell r="B795" t="b">
            <v>1</v>
          </cell>
          <cell r="E795" t="str">
            <v>Nuevo Porvenir</v>
          </cell>
          <cell r="H795" t="str">
            <v>salud_oral</v>
          </cell>
          <cell r="J795" t="str">
            <v>bueno</v>
          </cell>
          <cell r="K795" t="str">
            <v>defsi</v>
          </cell>
        </row>
        <row r="796">
          <cell r="B796" t="b">
            <v>1</v>
          </cell>
          <cell r="E796" t="str">
            <v>Nuevo Porvenir</v>
          </cell>
          <cell r="H796" t="str">
            <v>salud_oral</v>
          </cell>
          <cell r="J796" t="str">
            <v>bueno</v>
          </cell>
          <cell r="K796" t="str">
            <v>defsi</v>
          </cell>
        </row>
        <row r="797">
          <cell r="B797" t="b">
            <v>1</v>
          </cell>
          <cell r="E797" t="str">
            <v>Nuevo Porvenir</v>
          </cell>
          <cell r="H797" t="str">
            <v>salud_oral</v>
          </cell>
          <cell r="J797" t="str">
            <v>bueno</v>
          </cell>
          <cell r="K797" t="str">
            <v>defsi</v>
          </cell>
        </row>
        <row r="798">
          <cell r="B798" t="b">
            <v>1</v>
          </cell>
          <cell r="E798" t="str">
            <v>Nuevo Porvenir</v>
          </cell>
          <cell r="H798" t="str">
            <v>salud_oral</v>
          </cell>
          <cell r="J798" t="str">
            <v>muybueno</v>
          </cell>
          <cell r="K798" t="str">
            <v>defsi</v>
          </cell>
        </row>
        <row r="799">
          <cell r="B799" t="b">
            <v>1</v>
          </cell>
          <cell r="E799" t="str">
            <v>Nuevo Porvenir</v>
          </cell>
          <cell r="H799" t="str">
            <v>consulta_externa</v>
          </cell>
          <cell r="J799" t="str">
            <v>muybueno</v>
          </cell>
          <cell r="K799" t="str">
            <v>defsi</v>
          </cell>
        </row>
        <row r="800">
          <cell r="B800" t="b">
            <v>1</v>
          </cell>
          <cell r="E800" t="str">
            <v>Nuevo Porvenir</v>
          </cell>
          <cell r="H800" t="str">
            <v>consulta_externa</v>
          </cell>
          <cell r="J800" t="str">
            <v>bueno</v>
          </cell>
          <cell r="K800" t="str">
            <v>defsi</v>
          </cell>
        </row>
        <row r="801">
          <cell r="B801" t="b">
            <v>1</v>
          </cell>
          <cell r="E801" t="str">
            <v>Nuevo Porvenir</v>
          </cell>
          <cell r="H801" t="str">
            <v>laboratorio</v>
          </cell>
          <cell r="J801" t="str">
            <v>bueno</v>
          </cell>
          <cell r="K801" t="str">
            <v>defsi</v>
          </cell>
        </row>
        <row r="802">
          <cell r="B802" t="b">
            <v>1</v>
          </cell>
          <cell r="E802" t="str">
            <v>Nuevo Porvenir</v>
          </cell>
          <cell r="H802" t="str">
            <v>laboratorio</v>
          </cell>
          <cell r="J802" t="str">
            <v>bueno</v>
          </cell>
          <cell r="K802" t="str">
            <v>defsi</v>
          </cell>
        </row>
        <row r="803">
          <cell r="B803" t="b">
            <v>1</v>
          </cell>
          <cell r="E803" t="str">
            <v>Nuevo Porvenir</v>
          </cell>
          <cell r="H803" t="str">
            <v>consulta_externa</v>
          </cell>
          <cell r="J803" t="str">
            <v>bueno</v>
          </cell>
          <cell r="K803" t="str">
            <v>defsi</v>
          </cell>
        </row>
        <row r="804">
          <cell r="B804" t="b">
            <v>1</v>
          </cell>
          <cell r="E804" t="str">
            <v>Nuevo Porvenir</v>
          </cell>
          <cell r="H804" t="str">
            <v>laboratorio</v>
          </cell>
          <cell r="J804" t="str">
            <v>bueno</v>
          </cell>
          <cell r="K804" t="str">
            <v>defsi</v>
          </cell>
        </row>
        <row r="805">
          <cell r="B805" t="b">
            <v>1</v>
          </cell>
          <cell r="E805" t="str">
            <v>Nuevo Porvenir</v>
          </cell>
          <cell r="H805" t="str">
            <v>salud_oral</v>
          </cell>
          <cell r="J805" t="str">
            <v>bueno</v>
          </cell>
          <cell r="K805" t="str">
            <v>defsi</v>
          </cell>
        </row>
        <row r="806">
          <cell r="B806" t="b">
            <v>1</v>
          </cell>
          <cell r="E806" t="str">
            <v>Bayunca</v>
          </cell>
          <cell r="H806" t="str">
            <v>consulta_externa</v>
          </cell>
          <cell r="J806" t="str">
            <v>bueno</v>
          </cell>
          <cell r="K806" t="str">
            <v>probsi</v>
          </cell>
        </row>
        <row r="807">
          <cell r="B807" t="b">
            <v>1</v>
          </cell>
          <cell r="E807" t="str">
            <v>Bayunca</v>
          </cell>
          <cell r="H807" t="str">
            <v>salud_oral</v>
          </cell>
          <cell r="J807" t="str">
            <v>bueno</v>
          </cell>
          <cell r="K807" t="str">
            <v>probsi</v>
          </cell>
        </row>
        <row r="808">
          <cell r="B808" t="b">
            <v>1</v>
          </cell>
          <cell r="E808" t="str">
            <v>Bayunca</v>
          </cell>
          <cell r="H808" t="str">
            <v>consulta_externa</v>
          </cell>
          <cell r="J808" t="str">
            <v>bueno</v>
          </cell>
          <cell r="K808" t="str">
            <v>probsi</v>
          </cell>
        </row>
        <row r="809">
          <cell r="B809" t="b">
            <v>1</v>
          </cell>
          <cell r="E809" t="str">
            <v>Bayunca</v>
          </cell>
          <cell r="H809" t="str">
            <v>laboratorio</v>
          </cell>
          <cell r="J809" t="str">
            <v>bueno</v>
          </cell>
          <cell r="K809" t="str">
            <v>probsi</v>
          </cell>
        </row>
        <row r="810">
          <cell r="B810" t="b">
            <v>0</v>
          </cell>
          <cell r="E810" t="str">
            <v>Bayunca</v>
          </cell>
          <cell r="H810" t="str">
            <v>consulta_externa</v>
          </cell>
          <cell r="J810" t="str">
            <v>regular</v>
          </cell>
          <cell r="K810" t="str">
            <v>probsi</v>
          </cell>
        </row>
        <row r="811">
          <cell r="B811" t="b">
            <v>1</v>
          </cell>
          <cell r="E811" t="str">
            <v>Bayunca</v>
          </cell>
          <cell r="H811" t="str">
            <v>consulta_externa</v>
          </cell>
          <cell r="J811" t="str">
            <v>bueno</v>
          </cell>
          <cell r="K811" t="str">
            <v>probsi</v>
          </cell>
        </row>
        <row r="812">
          <cell r="B812" t="b">
            <v>1</v>
          </cell>
          <cell r="E812" t="str">
            <v>Bayunca</v>
          </cell>
          <cell r="H812" t="str">
            <v>consulta_externa</v>
          </cell>
          <cell r="J812" t="str">
            <v>bueno</v>
          </cell>
          <cell r="K812" t="str">
            <v>probsi</v>
          </cell>
        </row>
        <row r="813">
          <cell r="B813" t="b">
            <v>1</v>
          </cell>
          <cell r="E813" t="str">
            <v>Bayunca</v>
          </cell>
          <cell r="H813" t="str">
            <v>salud_oral</v>
          </cell>
          <cell r="J813" t="str">
            <v>bueno</v>
          </cell>
          <cell r="K813" t="str">
            <v>probsi</v>
          </cell>
        </row>
        <row r="814">
          <cell r="B814" t="b">
            <v>1</v>
          </cell>
          <cell r="E814" t="str">
            <v>Bayunca</v>
          </cell>
          <cell r="H814" t="str">
            <v>salud_oral</v>
          </cell>
          <cell r="J814" t="str">
            <v>bueno</v>
          </cell>
          <cell r="K814" t="str">
            <v>probsi</v>
          </cell>
        </row>
        <row r="815">
          <cell r="B815" t="b">
            <v>1</v>
          </cell>
          <cell r="E815" t="str">
            <v>Bayunca</v>
          </cell>
          <cell r="H815" t="str">
            <v>salud_oral</v>
          </cell>
          <cell r="J815" t="str">
            <v>bueno</v>
          </cell>
          <cell r="K815" t="str">
            <v>probsi</v>
          </cell>
        </row>
        <row r="816">
          <cell r="B816" t="b">
            <v>1</v>
          </cell>
          <cell r="E816" t="str">
            <v>Bayunca</v>
          </cell>
          <cell r="H816" t="str">
            <v>salud_oral</v>
          </cell>
          <cell r="J816" t="str">
            <v>bueno</v>
          </cell>
          <cell r="K816" t="str">
            <v>probsi</v>
          </cell>
        </row>
        <row r="817">
          <cell r="B817" t="b">
            <v>1</v>
          </cell>
          <cell r="E817" t="str">
            <v>Bayunca</v>
          </cell>
          <cell r="H817" t="str">
            <v>salud_oral</v>
          </cell>
          <cell r="J817" t="str">
            <v>bueno</v>
          </cell>
          <cell r="K817" t="str">
            <v>probsi</v>
          </cell>
        </row>
        <row r="818">
          <cell r="B818" t="b">
            <v>1</v>
          </cell>
          <cell r="E818" t="str">
            <v>Bayunca</v>
          </cell>
          <cell r="H818" t="str">
            <v>salud_oral</v>
          </cell>
          <cell r="J818" t="str">
            <v>bueno</v>
          </cell>
          <cell r="K818" t="str">
            <v>probsi</v>
          </cell>
        </row>
        <row r="819">
          <cell r="B819" t="b">
            <v>1</v>
          </cell>
          <cell r="E819" t="str">
            <v>Bayunca</v>
          </cell>
          <cell r="H819" t="str">
            <v>salud_oral</v>
          </cell>
          <cell r="J819" t="str">
            <v>bueno</v>
          </cell>
          <cell r="K819" t="str">
            <v>probsi</v>
          </cell>
        </row>
        <row r="820">
          <cell r="B820" t="b">
            <v>1</v>
          </cell>
          <cell r="E820" t="str">
            <v>Los Cerros</v>
          </cell>
          <cell r="H820" t="str">
            <v>consulta_externa</v>
          </cell>
          <cell r="J820" t="str">
            <v>bueno</v>
          </cell>
          <cell r="K820" t="str">
            <v>defsi</v>
          </cell>
        </row>
        <row r="821">
          <cell r="B821" t="b">
            <v>1</v>
          </cell>
          <cell r="E821" t="str">
            <v>Los Cerros</v>
          </cell>
          <cell r="H821" t="str">
            <v>laboratorio</v>
          </cell>
          <cell r="J821" t="str">
            <v>bueno</v>
          </cell>
          <cell r="K821" t="str">
            <v>defsi</v>
          </cell>
        </row>
        <row r="822">
          <cell r="B822" t="b">
            <v>1</v>
          </cell>
          <cell r="E822" t="str">
            <v>Los Cerros</v>
          </cell>
          <cell r="H822" t="str">
            <v>laboratorio</v>
          </cell>
          <cell r="J822" t="str">
            <v>bueno</v>
          </cell>
          <cell r="K822" t="str">
            <v>defsi</v>
          </cell>
        </row>
        <row r="823">
          <cell r="B823" t="b">
            <v>1</v>
          </cell>
          <cell r="E823" t="str">
            <v>Los Cerros</v>
          </cell>
          <cell r="H823" t="str">
            <v>ecografias</v>
          </cell>
          <cell r="J823" t="str">
            <v>bueno</v>
          </cell>
          <cell r="K823" t="str">
            <v>defsi</v>
          </cell>
        </row>
        <row r="824">
          <cell r="B824" t="b">
            <v>1</v>
          </cell>
          <cell r="E824" t="str">
            <v>Los Cerros</v>
          </cell>
          <cell r="H824" t="str">
            <v>ginecologia</v>
          </cell>
          <cell r="J824" t="str">
            <v>bueno</v>
          </cell>
          <cell r="K824" t="str">
            <v>defsi</v>
          </cell>
        </row>
        <row r="825">
          <cell r="B825" t="b">
            <v>1</v>
          </cell>
          <cell r="E825" t="str">
            <v>Los Cerros</v>
          </cell>
          <cell r="H825" t="str">
            <v>pediatria</v>
          </cell>
          <cell r="J825" t="str">
            <v>bueno</v>
          </cell>
          <cell r="K825" t="str">
            <v>defsi</v>
          </cell>
        </row>
        <row r="826">
          <cell r="B826" t="b">
            <v>1</v>
          </cell>
          <cell r="E826" t="str">
            <v>Nuevo Porvenir</v>
          </cell>
          <cell r="H826" t="str">
            <v>salud_oral</v>
          </cell>
          <cell r="J826" t="str">
            <v>bueno</v>
          </cell>
          <cell r="K826" t="str">
            <v>defsi</v>
          </cell>
        </row>
        <row r="827">
          <cell r="B827" t="b">
            <v>1</v>
          </cell>
          <cell r="E827" t="str">
            <v>Nuevo Porvenir</v>
          </cell>
          <cell r="H827" t="str">
            <v>salud_oral</v>
          </cell>
          <cell r="J827" t="str">
            <v>bueno</v>
          </cell>
          <cell r="K827" t="str">
            <v>defsi</v>
          </cell>
        </row>
        <row r="828">
          <cell r="B828" t="b">
            <v>1</v>
          </cell>
          <cell r="E828" t="str">
            <v>Los Cerros</v>
          </cell>
          <cell r="H828" t="str">
            <v>consulta_externa</v>
          </cell>
          <cell r="J828" t="str">
            <v>bueno</v>
          </cell>
          <cell r="K828" t="str">
            <v>defsi</v>
          </cell>
        </row>
        <row r="829">
          <cell r="B829" t="b">
            <v>1</v>
          </cell>
          <cell r="E829" t="str">
            <v>Los Cerros</v>
          </cell>
          <cell r="H829" t="str">
            <v>salud_oral</v>
          </cell>
          <cell r="J829" t="str">
            <v>bueno</v>
          </cell>
          <cell r="K829" t="str">
            <v>defsi</v>
          </cell>
        </row>
        <row r="830">
          <cell r="B830" t="b">
            <v>1</v>
          </cell>
          <cell r="E830" t="str">
            <v>Los Cerros</v>
          </cell>
          <cell r="H830" t="str">
            <v>laboratorio</v>
          </cell>
          <cell r="J830" t="str">
            <v>bueno</v>
          </cell>
          <cell r="K830" t="str">
            <v>defsi</v>
          </cell>
        </row>
        <row r="831">
          <cell r="B831" t="b">
            <v>1</v>
          </cell>
          <cell r="E831" t="str">
            <v>Los Cerros</v>
          </cell>
          <cell r="H831" t="str">
            <v>ecografias</v>
          </cell>
          <cell r="J831" t="str">
            <v>bueno</v>
          </cell>
          <cell r="K831" t="str">
            <v>defsi</v>
          </cell>
        </row>
        <row r="832">
          <cell r="B832" t="b">
            <v>1</v>
          </cell>
          <cell r="E832" t="str">
            <v>Los Cerros</v>
          </cell>
          <cell r="H832" t="str">
            <v>ginecologia</v>
          </cell>
          <cell r="J832" t="str">
            <v>bueno</v>
          </cell>
          <cell r="K832" t="str">
            <v>defsi</v>
          </cell>
        </row>
        <row r="833">
          <cell r="B833" t="b">
            <v>1</v>
          </cell>
          <cell r="E833" t="str">
            <v>Los Cerros</v>
          </cell>
          <cell r="H833" t="str">
            <v>pediatria</v>
          </cell>
          <cell r="J833" t="str">
            <v>bueno</v>
          </cell>
          <cell r="K833" t="str">
            <v>defsi</v>
          </cell>
        </row>
        <row r="834">
          <cell r="B834" t="b">
            <v>1</v>
          </cell>
          <cell r="E834" t="str">
            <v>Daniel Lemaitre</v>
          </cell>
          <cell r="H834" t="str">
            <v>consulta_externa</v>
          </cell>
          <cell r="J834" t="str">
            <v>bueno</v>
          </cell>
          <cell r="K834" t="str">
            <v>probsi</v>
          </cell>
        </row>
        <row r="835">
          <cell r="B835" t="b">
            <v>1</v>
          </cell>
          <cell r="E835" t="str">
            <v>Daniel Lemaitre</v>
          </cell>
          <cell r="H835" t="str">
            <v>consulta_externa</v>
          </cell>
          <cell r="J835" t="str">
            <v>bueno</v>
          </cell>
          <cell r="K835" t="str">
            <v>probsi</v>
          </cell>
        </row>
        <row r="836">
          <cell r="B836" t="b">
            <v>1</v>
          </cell>
          <cell r="E836" t="str">
            <v>Daniel Lemaitre</v>
          </cell>
          <cell r="H836" t="str">
            <v>consulta_externa</v>
          </cell>
          <cell r="J836" t="str">
            <v>bueno</v>
          </cell>
          <cell r="K836" t="str">
            <v>probsi</v>
          </cell>
        </row>
        <row r="837">
          <cell r="B837" t="b">
            <v>1</v>
          </cell>
          <cell r="E837" t="str">
            <v>Daniel Lemaitre</v>
          </cell>
          <cell r="H837" t="str">
            <v>consulta_externa</v>
          </cell>
          <cell r="J837" t="str">
            <v>bueno</v>
          </cell>
          <cell r="K837" t="str">
            <v>probsi</v>
          </cell>
        </row>
        <row r="838">
          <cell r="B838" t="b">
            <v>1</v>
          </cell>
          <cell r="E838" t="str">
            <v>Daniel Lemaitre</v>
          </cell>
          <cell r="H838" t="str">
            <v>consulta_externa</v>
          </cell>
          <cell r="J838" t="str">
            <v>bueno</v>
          </cell>
          <cell r="K838" t="str">
            <v>probsi</v>
          </cell>
        </row>
        <row r="839">
          <cell r="B839" t="b">
            <v>1</v>
          </cell>
          <cell r="E839" t="str">
            <v>Daniel Lemaitre</v>
          </cell>
          <cell r="H839" t="str">
            <v>consulta_externa</v>
          </cell>
          <cell r="J839" t="str">
            <v>bueno</v>
          </cell>
          <cell r="K839" t="str">
            <v>probsi</v>
          </cell>
        </row>
        <row r="840">
          <cell r="B840" t="b">
            <v>1</v>
          </cell>
          <cell r="E840" t="str">
            <v>Daniel Lemaitre</v>
          </cell>
          <cell r="H840" t="str">
            <v>consulta_externa</v>
          </cell>
          <cell r="J840" t="str">
            <v>bueno</v>
          </cell>
          <cell r="K840" t="str">
            <v>probsi</v>
          </cell>
        </row>
        <row r="841">
          <cell r="B841" t="b">
            <v>1</v>
          </cell>
          <cell r="E841" t="str">
            <v>Daniel Lemaitre</v>
          </cell>
          <cell r="H841" t="str">
            <v>consulta_externa</v>
          </cell>
          <cell r="J841" t="str">
            <v>bueno</v>
          </cell>
          <cell r="K841" t="str">
            <v>probsi</v>
          </cell>
        </row>
        <row r="842">
          <cell r="B842" t="b">
            <v>1</v>
          </cell>
          <cell r="E842" t="str">
            <v>Daniel Lemaitre</v>
          </cell>
          <cell r="H842" t="str">
            <v>consulta_externa</v>
          </cell>
          <cell r="J842" t="str">
            <v>bueno</v>
          </cell>
          <cell r="K842" t="str">
            <v>probsi</v>
          </cell>
        </row>
        <row r="843">
          <cell r="B843" t="b">
            <v>1</v>
          </cell>
          <cell r="E843" t="str">
            <v>Daniel Lemaitre</v>
          </cell>
          <cell r="H843" t="str">
            <v>laboratorio</v>
          </cell>
          <cell r="J843" t="str">
            <v>bueno</v>
          </cell>
          <cell r="K843" t="str">
            <v>probsi</v>
          </cell>
        </row>
        <row r="844">
          <cell r="B844" t="b">
            <v>1</v>
          </cell>
          <cell r="E844" t="str">
            <v>Daniel Lemaitre</v>
          </cell>
          <cell r="H844" t="str">
            <v>laboratorio</v>
          </cell>
          <cell r="J844" t="str">
            <v>bueno</v>
          </cell>
          <cell r="K844" t="str">
            <v>probsi</v>
          </cell>
        </row>
        <row r="845">
          <cell r="B845" t="b">
            <v>1</v>
          </cell>
          <cell r="E845" t="str">
            <v>Daniel Lemaitre</v>
          </cell>
          <cell r="H845" t="str">
            <v>laboratorio</v>
          </cell>
          <cell r="J845" t="str">
            <v>bueno</v>
          </cell>
          <cell r="K845" t="str">
            <v>probsi</v>
          </cell>
        </row>
        <row r="846">
          <cell r="B846" t="b">
            <v>1</v>
          </cell>
          <cell r="E846" t="str">
            <v>Nuevo Porvenir</v>
          </cell>
          <cell r="H846" t="str">
            <v>consulta_externa</v>
          </cell>
          <cell r="J846" t="str">
            <v>bueno</v>
          </cell>
          <cell r="K846" t="str">
            <v>defsi</v>
          </cell>
        </row>
        <row r="847">
          <cell r="B847" t="b">
            <v>1</v>
          </cell>
          <cell r="E847" t="str">
            <v>Daniel Lemaitre</v>
          </cell>
          <cell r="H847" t="str">
            <v>laboratorio</v>
          </cell>
          <cell r="J847" t="str">
            <v>bueno</v>
          </cell>
          <cell r="K847" t="str">
            <v>probsi</v>
          </cell>
        </row>
        <row r="848">
          <cell r="B848" t="b">
            <v>1</v>
          </cell>
          <cell r="E848" t="str">
            <v>Nuevo Porvenir</v>
          </cell>
          <cell r="H848" t="str">
            <v>laboratorio</v>
          </cell>
          <cell r="J848" t="str">
            <v>bueno</v>
          </cell>
          <cell r="K848" t="str">
            <v>defsi</v>
          </cell>
        </row>
        <row r="849">
          <cell r="B849" t="b">
            <v>1</v>
          </cell>
          <cell r="E849" t="str">
            <v>Daniel Lemaitre</v>
          </cell>
          <cell r="H849" t="str">
            <v>salud_oral</v>
          </cell>
          <cell r="J849" t="str">
            <v>bueno</v>
          </cell>
          <cell r="K849" t="str">
            <v>probsi</v>
          </cell>
        </row>
        <row r="850">
          <cell r="B850" t="b">
            <v>1</v>
          </cell>
          <cell r="E850" t="str">
            <v>Daniel Lemaitre</v>
          </cell>
          <cell r="H850" t="str">
            <v>salud_oral</v>
          </cell>
          <cell r="J850" t="str">
            <v>bueno</v>
          </cell>
          <cell r="K850" t="str">
            <v>probsi</v>
          </cell>
        </row>
        <row r="851">
          <cell r="B851" t="b">
            <v>1</v>
          </cell>
          <cell r="E851" t="str">
            <v>Daniel Lemaitre</v>
          </cell>
          <cell r="H851" t="str">
            <v>salud_oral</v>
          </cell>
          <cell r="J851" t="str">
            <v>bueno</v>
          </cell>
          <cell r="K851" t="str">
            <v>probsi</v>
          </cell>
        </row>
        <row r="852">
          <cell r="B852" t="b">
            <v>1</v>
          </cell>
          <cell r="E852" t="str">
            <v>Daniel Lemaitre</v>
          </cell>
          <cell r="H852" t="str">
            <v>consulta_externa</v>
          </cell>
          <cell r="J852" t="str">
            <v>bueno</v>
          </cell>
          <cell r="K852" t="str">
            <v>probsi</v>
          </cell>
        </row>
        <row r="853">
          <cell r="B853" t="b">
            <v>1</v>
          </cell>
          <cell r="E853" t="str">
            <v>Daniel Lemaitre</v>
          </cell>
          <cell r="H853" t="str">
            <v>consulta_externa</v>
          </cell>
          <cell r="J853" t="str">
            <v>bueno</v>
          </cell>
          <cell r="K853" t="str">
            <v>probsi</v>
          </cell>
        </row>
        <row r="854">
          <cell r="B854" t="b">
            <v>1</v>
          </cell>
          <cell r="E854" t="str">
            <v>Daniel Lemaitre</v>
          </cell>
          <cell r="H854" t="str">
            <v>consulta_externa</v>
          </cell>
          <cell r="J854" t="str">
            <v>bueno</v>
          </cell>
          <cell r="K854" t="str">
            <v>probsi</v>
          </cell>
        </row>
        <row r="855">
          <cell r="B855" t="b">
            <v>1</v>
          </cell>
          <cell r="E855" t="str">
            <v>Los Cerros</v>
          </cell>
          <cell r="H855" t="str">
            <v>consulta_externa</v>
          </cell>
          <cell r="J855" t="str">
            <v>bueno</v>
          </cell>
          <cell r="K855" t="str">
            <v>defsi</v>
          </cell>
        </row>
        <row r="856">
          <cell r="B856" t="b">
            <v>1</v>
          </cell>
          <cell r="E856" t="str">
            <v>Los Cerros</v>
          </cell>
          <cell r="H856" t="str">
            <v>salud_oral</v>
          </cell>
          <cell r="J856" t="str">
            <v>bueno</v>
          </cell>
          <cell r="K856" t="str">
            <v>defsi</v>
          </cell>
        </row>
        <row r="857">
          <cell r="B857" t="b">
            <v>1</v>
          </cell>
          <cell r="E857" t="str">
            <v>Los Cerros</v>
          </cell>
          <cell r="H857" t="str">
            <v>ecografias</v>
          </cell>
          <cell r="J857" t="str">
            <v>bueno</v>
          </cell>
          <cell r="K857" t="str">
            <v>defsi</v>
          </cell>
        </row>
        <row r="858">
          <cell r="B858" t="b">
            <v>1</v>
          </cell>
          <cell r="E858" t="str">
            <v>Los Cerros</v>
          </cell>
          <cell r="H858" t="str">
            <v>ginecologia</v>
          </cell>
          <cell r="J858" t="str">
            <v>bueno</v>
          </cell>
          <cell r="K858" t="str">
            <v>defsi</v>
          </cell>
        </row>
        <row r="859">
          <cell r="B859" t="b">
            <v>1</v>
          </cell>
          <cell r="E859" t="str">
            <v>Los Cerros</v>
          </cell>
          <cell r="H859" t="str">
            <v>pediatria</v>
          </cell>
          <cell r="J859" t="str">
            <v>bueno</v>
          </cell>
          <cell r="K859" t="str">
            <v>defsi</v>
          </cell>
        </row>
        <row r="860">
          <cell r="B860" t="b">
            <v>1</v>
          </cell>
          <cell r="E860" t="str">
            <v>Bayunca</v>
          </cell>
          <cell r="H860" t="str">
            <v>consulta_externa</v>
          </cell>
          <cell r="J860" t="str">
            <v>bueno</v>
          </cell>
          <cell r="K860" t="str">
            <v>probsi</v>
          </cell>
        </row>
        <row r="861">
          <cell r="B861" t="b">
            <v>1</v>
          </cell>
          <cell r="E861" t="str">
            <v>Bayunca</v>
          </cell>
          <cell r="H861" t="str">
            <v>consulta_externa</v>
          </cell>
          <cell r="J861" t="str">
            <v>bueno</v>
          </cell>
          <cell r="K861" t="str">
            <v>probsi</v>
          </cell>
        </row>
        <row r="862">
          <cell r="B862" t="b">
            <v>1</v>
          </cell>
          <cell r="E862" t="str">
            <v>Bayunca</v>
          </cell>
          <cell r="H862" t="str">
            <v>consulta_externa</v>
          </cell>
          <cell r="J862" t="str">
            <v>bueno</v>
          </cell>
          <cell r="K862" t="str">
            <v>probsi</v>
          </cell>
        </row>
        <row r="863">
          <cell r="B863" t="b">
            <v>1</v>
          </cell>
          <cell r="E863" t="str">
            <v>Bayunca</v>
          </cell>
          <cell r="H863" t="str">
            <v>salud_oral</v>
          </cell>
          <cell r="J863" t="str">
            <v>bueno</v>
          </cell>
          <cell r="K863" t="str">
            <v>probsi</v>
          </cell>
        </row>
        <row r="864">
          <cell r="B864" t="b">
            <v>1</v>
          </cell>
          <cell r="E864" t="str">
            <v>Bayunca</v>
          </cell>
          <cell r="H864" t="str">
            <v>salud_oral</v>
          </cell>
          <cell r="J864" t="str">
            <v>bueno</v>
          </cell>
          <cell r="K864" t="str">
            <v>probsi</v>
          </cell>
        </row>
        <row r="865">
          <cell r="B865" t="b">
            <v>1</v>
          </cell>
          <cell r="E865" t="str">
            <v>Bayunca</v>
          </cell>
          <cell r="H865" t="str">
            <v>salud_oral</v>
          </cell>
          <cell r="J865" t="str">
            <v>bueno</v>
          </cell>
          <cell r="K865" t="str">
            <v>probsi</v>
          </cell>
        </row>
        <row r="866">
          <cell r="B866" t="b">
            <v>1</v>
          </cell>
          <cell r="E866" t="str">
            <v>Fredonia</v>
          </cell>
          <cell r="H866" t="str">
            <v>consulta_externa</v>
          </cell>
          <cell r="J866" t="str">
            <v>bueno</v>
          </cell>
          <cell r="K866" t="str">
            <v>defsi</v>
          </cell>
        </row>
        <row r="867">
          <cell r="B867" t="b">
            <v>0</v>
          </cell>
          <cell r="E867" t="str">
            <v>Bayunca</v>
          </cell>
          <cell r="H867" t="str">
            <v>laboratorio</v>
          </cell>
          <cell r="J867" t="str">
            <v>regular</v>
          </cell>
          <cell r="K867" t="str">
            <v>probsi</v>
          </cell>
        </row>
        <row r="868">
          <cell r="B868" t="b">
            <v>0</v>
          </cell>
          <cell r="E868" t="str">
            <v>Bayunca</v>
          </cell>
          <cell r="H868" t="str">
            <v>laboratorio</v>
          </cell>
          <cell r="J868" t="str">
            <v>regular</v>
          </cell>
          <cell r="K868" t="str">
            <v>probsi</v>
          </cell>
        </row>
        <row r="869">
          <cell r="B869" t="b">
            <v>0</v>
          </cell>
          <cell r="E869" t="str">
            <v>Bayunca</v>
          </cell>
          <cell r="H869" t="str">
            <v>laboratorio</v>
          </cell>
          <cell r="J869" t="str">
            <v>regular</v>
          </cell>
          <cell r="K869" t="str">
            <v>probsi</v>
          </cell>
        </row>
        <row r="870">
          <cell r="B870" t="b">
            <v>1</v>
          </cell>
          <cell r="E870" t="str">
            <v>Bayunca</v>
          </cell>
          <cell r="H870" t="str">
            <v>laboratorio</v>
          </cell>
          <cell r="J870" t="str">
            <v>bueno</v>
          </cell>
          <cell r="K870" t="str">
            <v>probsi</v>
          </cell>
        </row>
        <row r="871">
          <cell r="B871" t="b">
            <v>1</v>
          </cell>
          <cell r="E871" t="str">
            <v>Pontezuela</v>
          </cell>
          <cell r="H871" t="str">
            <v>consulta_externa</v>
          </cell>
          <cell r="J871" t="str">
            <v>bueno</v>
          </cell>
          <cell r="K871" t="str">
            <v>probsi</v>
          </cell>
        </row>
        <row r="872">
          <cell r="B872" t="b">
            <v>1</v>
          </cell>
          <cell r="E872" t="str">
            <v>Pontezuela</v>
          </cell>
          <cell r="H872" t="str">
            <v>consulta_externa</v>
          </cell>
          <cell r="J872" t="str">
            <v>bueno</v>
          </cell>
          <cell r="K872" t="str">
            <v>probsi</v>
          </cell>
        </row>
        <row r="873">
          <cell r="B873" t="b">
            <v>1</v>
          </cell>
          <cell r="E873" t="str">
            <v>Pontezuela</v>
          </cell>
          <cell r="H873" t="str">
            <v>consulta_externa</v>
          </cell>
          <cell r="J873" t="str">
            <v>bueno</v>
          </cell>
          <cell r="K873" t="str">
            <v>probsi</v>
          </cell>
        </row>
        <row r="874">
          <cell r="B874" t="b">
            <v>1</v>
          </cell>
          <cell r="E874" t="str">
            <v>Pontezuela</v>
          </cell>
          <cell r="H874" t="str">
            <v>consulta_externa</v>
          </cell>
          <cell r="J874" t="str">
            <v>bueno</v>
          </cell>
          <cell r="K874" t="str">
            <v>probsi</v>
          </cell>
        </row>
        <row r="875">
          <cell r="B875" t="b">
            <v>1</v>
          </cell>
          <cell r="E875" t="str">
            <v>Pontezuela</v>
          </cell>
          <cell r="H875" t="str">
            <v>consulta_externa</v>
          </cell>
          <cell r="J875" t="str">
            <v>bueno</v>
          </cell>
          <cell r="K875" t="str">
            <v>probsi</v>
          </cell>
        </row>
        <row r="876">
          <cell r="B876" t="b">
            <v>1</v>
          </cell>
          <cell r="E876" t="str">
            <v>Pontezuela</v>
          </cell>
          <cell r="H876" t="str">
            <v>consulta_externa</v>
          </cell>
          <cell r="J876" t="str">
            <v>bueno</v>
          </cell>
          <cell r="K876" t="str">
            <v>probsi</v>
          </cell>
        </row>
        <row r="877">
          <cell r="B877" t="b">
            <v>1</v>
          </cell>
          <cell r="E877" t="str">
            <v>Fredonia</v>
          </cell>
          <cell r="H877" t="str">
            <v>consulta_externa</v>
          </cell>
          <cell r="J877" t="str">
            <v>bueno</v>
          </cell>
          <cell r="K877" t="str">
            <v>defsi</v>
          </cell>
        </row>
        <row r="878">
          <cell r="B878" t="b">
            <v>1</v>
          </cell>
          <cell r="E878" t="str">
            <v>Fredonia</v>
          </cell>
          <cell r="H878" t="str">
            <v>consulta_externa</v>
          </cell>
          <cell r="J878" t="str">
            <v>bueno</v>
          </cell>
          <cell r="K878" t="str">
            <v>defsi</v>
          </cell>
        </row>
        <row r="879">
          <cell r="B879" t="b">
            <v>1</v>
          </cell>
          <cell r="E879" t="str">
            <v>Pontezuela</v>
          </cell>
          <cell r="H879" t="str">
            <v>salud_oral</v>
          </cell>
          <cell r="J879" t="str">
            <v>bueno</v>
          </cell>
          <cell r="K879" t="str">
            <v>probsi</v>
          </cell>
        </row>
        <row r="880">
          <cell r="B880" t="b">
            <v>1</v>
          </cell>
          <cell r="E880" t="str">
            <v>Fredonia</v>
          </cell>
          <cell r="H880" t="str">
            <v>consulta_externa</v>
          </cell>
          <cell r="J880" t="str">
            <v>bueno</v>
          </cell>
          <cell r="K880" t="str">
            <v>defsi</v>
          </cell>
        </row>
        <row r="881">
          <cell r="B881" t="b">
            <v>1</v>
          </cell>
          <cell r="E881" t="str">
            <v>Fredonia</v>
          </cell>
          <cell r="H881" t="str">
            <v>laboratorio</v>
          </cell>
          <cell r="J881" t="str">
            <v>bueno</v>
          </cell>
          <cell r="K881" t="str">
            <v>defsi</v>
          </cell>
        </row>
        <row r="882">
          <cell r="B882" t="b">
            <v>1</v>
          </cell>
          <cell r="E882" t="str">
            <v>Fredonia</v>
          </cell>
          <cell r="H882" t="str">
            <v>consulta_externa</v>
          </cell>
          <cell r="J882" t="str">
            <v>bueno</v>
          </cell>
          <cell r="K882" t="str">
            <v>defsi</v>
          </cell>
        </row>
        <row r="883">
          <cell r="B883" t="b">
            <v>1</v>
          </cell>
          <cell r="E883" t="str">
            <v>Fredonia</v>
          </cell>
          <cell r="H883" t="str">
            <v>consulta_externa</v>
          </cell>
          <cell r="J883" t="str">
            <v>bueno</v>
          </cell>
          <cell r="K883" t="str">
            <v>defsi</v>
          </cell>
        </row>
        <row r="884">
          <cell r="B884" t="b">
            <v>1</v>
          </cell>
          <cell r="E884" t="str">
            <v>Fredonia</v>
          </cell>
          <cell r="H884" t="str">
            <v>laboratorio</v>
          </cell>
          <cell r="J884" t="str">
            <v>bueno</v>
          </cell>
          <cell r="K884" t="str">
            <v>defsi</v>
          </cell>
        </row>
        <row r="885">
          <cell r="B885" t="b">
            <v>1</v>
          </cell>
          <cell r="E885" t="str">
            <v>Fredonia</v>
          </cell>
          <cell r="H885" t="str">
            <v>salud_oral</v>
          </cell>
          <cell r="J885" t="str">
            <v>bueno</v>
          </cell>
          <cell r="K885" t="str">
            <v>defsi</v>
          </cell>
        </row>
        <row r="886">
          <cell r="B886" t="b">
            <v>1</v>
          </cell>
          <cell r="E886" t="str">
            <v>Fredonia</v>
          </cell>
          <cell r="H886" t="str">
            <v>salud_oral</v>
          </cell>
          <cell r="J886" t="str">
            <v>bueno</v>
          </cell>
          <cell r="K886" t="str">
            <v>defsi</v>
          </cell>
        </row>
        <row r="887">
          <cell r="B887" t="b">
            <v>1</v>
          </cell>
          <cell r="E887" t="str">
            <v>Fredonia</v>
          </cell>
          <cell r="H887" t="str">
            <v>salud_oral</v>
          </cell>
          <cell r="J887" t="str">
            <v>bueno</v>
          </cell>
          <cell r="K887" t="str">
            <v>defsi</v>
          </cell>
        </row>
        <row r="888">
          <cell r="B888" t="b">
            <v>1</v>
          </cell>
          <cell r="E888" t="str">
            <v>Fredonia</v>
          </cell>
          <cell r="H888" t="str">
            <v>laboratorio</v>
          </cell>
          <cell r="J888" t="str">
            <v>bueno</v>
          </cell>
          <cell r="K888" t="str">
            <v>defsi</v>
          </cell>
        </row>
        <row r="889">
          <cell r="B889" t="b">
            <v>1</v>
          </cell>
          <cell r="E889" t="str">
            <v>Fredonia</v>
          </cell>
          <cell r="H889" t="str">
            <v>consulta_externa</v>
          </cell>
          <cell r="J889" t="str">
            <v>bueno</v>
          </cell>
          <cell r="K889" t="str">
            <v>defsi</v>
          </cell>
        </row>
        <row r="890">
          <cell r="B890" t="b">
            <v>1</v>
          </cell>
          <cell r="E890" t="str">
            <v>Fredonia</v>
          </cell>
          <cell r="H890" t="str">
            <v>laboratorio</v>
          </cell>
          <cell r="J890" t="str">
            <v>bueno</v>
          </cell>
          <cell r="K890" t="str">
            <v>defsi</v>
          </cell>
        </row>
        <row r="891">
          <cell r="B891" t="b">
            <v>1</v>
          </cell>
          <cell r="E891" t="str">
            <v>Fredonia</v>
          </cell>
          <cell r="H891" t="str">
            <v>consulta_externa</v>
          </cell>
          <cell r="J891" t="str">
            <v>bueno</v>
          </cell>
          <cell r="K891" t="str">
            <v>defsi</v>
          </cell>
        </row>
        <row r="892">
          <cell r="B892" t="b">
            <v>1</v>
          </cell>
          <cell r="E892" t="str">
            <v>Fredonia</v>
          </cell>
          <cell r="H892" t="str">
            <v>consulta_externa</v>
          </cell>
          <cell r="J892" t="str">
            <v>bueno</v>
          </cell>
          <cell r="K892" t="str">
            <v>defsi</v>
          </cell>
        </row>
        <row r="893">
          <cell r="B893" t="b">
            <v>1</v>
          </cell>
          <cell r="E893" t="str">
            <v>Fredonia</v>
          </cell>
          <cell r="H893" t="str">
            <v>salud_oral</v>
          </cell>
          <cell r="J893" t="str">
            <v>bueno</v>
          </cell>
          <cell r="K893" t="str">
            <v>defsi</v>
          </cell>
        </row>
        <row r="894">
          <cell r="B894" t="b">
            <v>1</v>
          </cell>
          <cell r="E894" t="str">
            <v>Fredonia</v>
          </cell>
          <cell r="H894" t="str">
            <v>salud_oral</v>
          </cell>
          <cell r="J894" t="str">
            <v>bueno</v>
          </cell>
          <cell r="K894" t="str">
            <v>defsi</v>
          </cell>
        </row>
        <row r="895">
          <cell r="B895" t="b">
            <v>1</v>
          </cell>
          <cell r="E895" t="str">
            <v>Fredonia</v>
          </cell>
          <cell r="H895" t="str">
            <v>salud_oral</v>
          </cell>
          <cell r="J895" t="str">
            <v>bueno</v>
          </cell>
          <cell r="K895" t="str">
            <v>defsi</v>
          </cell>
        </row>
        <row r="896">
          <cell r="B896" t="b">
            <v>1</v>
          </cell>
          <cell r="E896" t="str">
            <v>Fredonia</v>
          </cell>
          <cell r="H896" t="str">
            <v>laboratorio</v>
          </cell>
          <cell r="J896" t="str">
            <v>bueno</v>
          </cell>
          <cell r="K896" t="str">
            <v>defsi</v>
          </cell>
        </row>
        <row r="897">
          <cell r="B897" t="b">
            <v>1</v>
          </cell>
          <cell r="E897" t="str">
            <v>Fredonia</v>
          </cell>
          <cell r="H897" t="str">
            <v>consulta_externa</v>
          </cell>
          <cell r="J897" t="str">
            <v>bueno</v>
          </cell>
          <cell r="K897" t="str">
            <v>defsi</v>
          </cell>
        </row>
        <row r="898">
          <cell r="B898" t="b">
            <v>1</v>
          </cell>
          <cell r="E898" t="str">
            <v>Fredonia</v>
          </cell>
          <cell r="H898" t="str">
            <v>consulta_externa</v>
          </cell>
          <cell r="J898" t="str">
            <v>bueno</v>
          </cell>
          <cell r="K898" t="str">
            <v>defsi</v>
          </cell>
        </row>
        <row r="899">
          <cell r="B899" t="b">
            <v>1</v>
          </cell>
          <cell r="E899" t="str">
            <v>Fredonia</v>
          </cell>
          <cell r="H899" t="str">
            <v>salud_oral</v>
          </cell>
          <cell r="J899" t="str">
            <v>bueno</v>
          </cell>
          <cell r="K899" t="str">
            <v>defsi</v>
          </cell>
        </row>
        <row r="900">
          <cell r="B900" t="b">
            <v>1</v>
          </cell>
          <cell r="E900" t="str">
            <v>Fredonia</v>
          </cell>
          <cell r="H900" t="str">
            <v>salud_oral</v>
          </cell>
          <cell r="J900" t="str">
            <v>bueno</v>
          </cell>
          <cell r="K900" t="str">
            <v>defsi</v>
          </cell>
        </row>
        <row r="901">
          <cell r="B901" t="b">
            <v>1</v>
          </cell>
          <cell r="E901" t="str">
            <v>Fredonia</v>
          </cell>
          <cell r="H901" t="str">
            <v>laboratorio</v>
          </cell>
          <cell r="J901" t="str">
            <v>bueno</v>
          </cell>
          <cell r="K901" t="str">
            <v>defsi</v>
          </cell>
        </row>
        <row r="902">
          <cell r="B902" t="b">
            <v>1</v>
          </cell>
          <cell r="E902" t="str">
            <v>Fredonia</v>
          </cell>
          <cell r="H902" t="str">
            <v>consulta_externa</v>
          </cell>
          <cell r="J902" t="str">
            <v>bueno</v>
          </cell>
          <cell r="K902" t="str">
            <v>defsi</v>
          </cell>
        </row>
        <row r="903">
          <cell r="B903" t="b">
            <v>1</v>
          </cell>
          <cell r="E903" t="str">
            <v>Fredonia</v>
          </cell>
          <cell r="H903" t="str">
            <v>laboratorio</v>
          </cell>
          <cell r="J903" t="str">
            <v>bueno</v>
          </cell>
          <cell r="K903" t="str">
            <v>defsi</v>
          </cell>
        </row>
        <row r="904">
          <cell r="B904" t="b">
            <v>1</v>
          </cell>
          <cell r="E904" t="str">
            <v>Fredonia</v>
          </cell>
          <cell r="H904" t="str">
            <v>laboratorio</v>
          </cell>
          <cell r="J904" t="str">
            <v>bueno</v>
          </cell>
          <cell r="K904" t="str">
            <v>defsi</v>
          </cell>
        </row>
        <row r="905">
          <cell r="B905" t="b">
            <v>1</v>
          </cell>
          <cell r="E905" t="str">
            <v>Fredonia</v>
          </cell>
          <cell r="H905" t="str">
            <v>salud_oral</v>
          </cell>
          <cell r="J905" t="str">
            <v>bueno</v>
          </cell>
          <cell r="K905" t="str">
            <v>defsi</v>
          </cell>
        </row>
        <row r="906">
          <cell r="B906" t="b">
            <v>1</v>
          </cell>
          <cell r="E906" t="str">
            <v>Fredonia</v>
          </cell>
          <cell r="H906" t="str">
            <v>consulta_externa</v>
          </cell>
          <cell r="J906" t="str">
            <v>bueno</v>
          </cell>
          <cell r="K906" t="str">
            <v>defsi</v>
          </cell>
        </row>
        <row r="907">
          <cell r="B907" t="b">
            <v>1</v>
          </cell>
          <cell r="E907" t="str">
            <v>Los Cerros</v>
          </cell>
          <cell r="H907" t="str">
            <v>consulta_externa</v>
          </cell>
          <cell r="J907" t="str">
            <v>bueno</v>
          </cell>
          <cell r="K907" t="str">
            <v>defsi</v>
          </cell>
        </row>
        <row r="908">
          <cell r="B908" t="b">
            <v>1</v>
          </cell>
          <cell r="E908" t="str">
            <v>Los Cerros</v>
          </cell>
          <cell r="H908" t="str">
            <v>salud_oral</v>
          </cell>
          <cell r="J908" t="str">
            <v>bueno</v>
          </cell>
          <cell r="K908" t="str">
            <v>defsi</v>
          </cell>
        </row>
        <row r="909">
          <cell r="B909" t="b">
            <v>1</v>
          </cell>
          <cell r="E909" t="str">
            <v>Los Cerros</v>
          </cell>
          <cell r="H909" t="str">
            <v>laboratorio</v>
          </cell>
          <cell r="J909" t="str">
            <v>bueno</v>
          </cell>
          <cell r="K909" t="str">
            <v>defsi</v>
          </cell>
        </row>
        <row r="910">
          <cell r="B910" t="b">
            <v>1</v>
          </cell>
          <cell r="E910" t="str">
            <v>Pontezuela</v>
          </cell>
          <cell r="H910" t="str">
            <v>consulta_externa</v>
          </cell>
          <cell r="J910" t="str">
            <v>bueno</v>
          </cell>
          <cell r="K910" t="str">
            <v>probsi</v>
          </cell>
        </row>
        <row r="911">
          <cell r="B911" t="b">
            <v>1</v>
          </cell>
          <cell r="E911" t="str">
            <v>Los Cerros</v>
          </cell>
          <cell r="H911" t="str">
            <v>ecografias</v>
          </cell>
          <cell r="J911" t="str">
            <v>bueno</v>
          </cell>
          <cell r="K911" t="str">
            <v>defsi</v>
          </cell>
        </row>
        <row r="912">
          <cell r="B912" t="b">
            <v>1</v>
          </cell>
          <cell r="E912" t="str">
            <v>Pontezuela</v>
          </cell>
          <cell r="H912" t="str">
            <v>consulta_externa</v>
          </cell>
          <cell r="J912" t="str">
            <v>bueno</v>
          </cell>
          <cell r="K912" t="str">
            <v>probsi</v>
          </cell>
        </row>
        <row r="913">
          <cell r="B913" t="b">
            <v>1</v>
          </cell>
          <cell r="E913" t="str">
            <v>Pontezuela</v>
          </cell>
          <cell r="H913" t="str">
            <v>consulta_externa</v>
          </cell>
          <cell r="J913" t="str">
            <v>bueno</v>
          </cell>
          <cell r="K913" t="str">
            <v>probsi</v>
          </cell>
        </row>
        <row r="914">
          <cell r="B914" t="b">
            <v>1</v>
          </cell>
          <cell r="E914" t="str">
            <v>Pontezuela</v>
          </cell>
          <cell r="H914" t="str">
            <v>consulta_externa</v>
          </cell>
          <cell r="J914" t="str">
            <v>bueno</v>
          </cell>
          <cell r="K914" t="str">
            <v>probsi</v>
          </cell>
        </row>
        <row r="915">
          <cell r="B915" t="b">
            <v>1</v>
          </cell>
          <cell r="E915" t="str">
            <v>Los Cerros</v>
          </cell>
          <cell r="H915" t="str">
            <v>ginecologia</v>
          </cell>
          <cell r="J915" t="str">
            <v>bueno</v>
          </cell>
          <cell r="K915" t="str">
            <v>defsi</v>
          </cell>
        </row>
        <row r="916">
          <cell r="B916" t="b">
            <v>1</v>
          </cell>
          <cell r="E916" t="str">
            <v>Pontezuela</v>
          </cell>
          <cell r="H916" t="str">
            <v>consulta_externa</v>
          </cell>
          <cell r="J916" t="str">
            <v>bueno</v>
          </cell>
          <cell r="K916" t="str">
            <v>probsi</v>
          </cell>
        </row>
        <row r="917">
          <cell r="B917" t="b">
            <v>1</v>
          </cell>
          <cell r="E917" t="str">
            <v>Pontezuela</v>
          </cell>
          <cell r="H917" t="str">
            <v>consulta_externa</v>
          </cell>
          <cell r="J917" t="str">
            <v>bueno</v>
          </cell>
          <cell r="K917" t="str">
            <v>probsi</v>
          </cell>
        </row>
        <row r="918">
          <cell r="B918" t="b">
            <v>1</v>
          </cell>
          <cell r="E918" t="str">
            <v>Pontezuela</v>
          </cell>
          <cell r="H918" t="str">
            <v>salud_oral</v>
          </cell>
          <cell r="J918" t="str">
            <v>bueno</v>
          </cell>
          <cell r="K918" t="str">
            <v>probsi</v>
          </cell>
        </row>
        <row r="919">
          <cell r="B919" t="b">
            <v>1</v>
          </cell>
          <cell r="E919" t="str">
            <v>Pontezuela</v>
          </cell>
          <cell r="H919" t="str">
            <v>salud_oral</v>
          </cell>
          <cell r="J919" t="str">
            <v>bueno</v>
          </cell>
          <cell r="K919" t="str">
            <v>probsi</v>
          </cell>
        </row>
        <row r="920">
          <cell r="B920" t="b">
            <v>1</v>
          </cell>
          <cell r="E920" t="str">
            <v>Pontezuela</v>
          </cell>
          <cell r="H920" t="str">
            <v>salud_oral</v>
          </cell>
          <cell r="J920" t="str">
            <v>bueno</v>
          </cell>
          <cell r="K920" t="str">
            <v>probsi</v>
          </cell>
        </row>
        <row r="921">
          <cell r="B921" t="b">
            <v>1</v>
          </cell>
          <cell r="E921" t="str">
            <v>Pontezuela</v>
          </cell>
          <cell r="H921" t="str">
            <v>salud_oral</v>
          </cell>
          <cell r="J921" t="str">
            <v>bueno</v>
          </cell>
          <cell r="K921" t="str">
            <v>probsi</v>
          </cell>
        </row>
        <row r="922">
          <cell r="B922" t="b">
            <v>1</v>
          </cell>
          <cell r="E922" t="str">
            <v>Pontezuela</v>
          </cell>
          <cell r="H922" t="str">
            <v>salud_oral</v>
          </cell>
          <cell r="J922" t="str">
            <v>bueno</v>
          </cell>
          <cell r="K922" t="str">
            <v>probsi</v>
          </cell>
        </row>
        <row r="923">
          <cell r="B923" t="b">
            <v>1</v>
          </cell>
          <cell r="E923" t="str">
            <v>Pontezuela</v>
          </cell>
          <cell r="H923" t="str">
            <v>salud_oral</v>
          </cell>
          <cell r="J923" t="str">
            <v>bueno</v>
          </cell>
          <cell r="K923" t="str">
            <v>probsi</v>
          </cell>
        </row>
        <row r="924">
          <cell r="B924" t="b">
            <v>1</v>
          </cell>
          <cell r="E924" t="str">
            <v>Los Cerros</v>
          </cell>
          <cell r="H924" t="str">
            <v>pediatria</v>
          </cell>
          <cell r="J924" t="str">
            <v>bueno</v>
          </cell>
          <cell r="K924" t="str">
            <v>defsi</v>
          </cell>
        </row>
        <row r="925">
          <cell r="B925" t="b">
            <v>1</v>
          </cell>
          <cell r="E925" t="str">
            <v>Pontezuela</v>
          </cell>
          <cell r="H925" t="str">
            <v>salud_oral</v>
          </cell>
          <cell r="J925" t="str">
            <v>bueno</v>
          </cell>
          <cell r="K925" t="str">
            <v>probsi</v>
          </cell>
        </row>
        <row r="926">
          <cell r="B926" t="b">
            <v>1</v>
          </cell>
          <cell r="E926" t="str">
            <v>Pontezuela</v>
          </cell>
          <cell r="H926" t="str">
            <v>salud_oral</v>
          </cell>
          <cell r="J926" t="str">
            <v>bueno</v>
          </cell>
          <cell r="K926" t="str">
            <v>probsi</v>
          </cell>
        </row>
        <row r="927">
          <cell r="B927" t="b">
            <v>1</v>
          </cell>
          <cell r="E927" t="str">
            <v>Los Cerros</v>
          </cell>
          <cell r="H927" t="str">
            <v>consulta_externa</v>
          </cell>
          <cell r="J927" t="str">
            <v>bueno</v>
          </cell>
          <cell r="K927" t="str">
            <v>defsi</v>
          </cell>
        </row>
        <row r="928">
          <cell r="B928" t="b">
            <v>1</v>
          </cell>
          <cell r="E928" t="str">
            <v>Los Cerros</v>
          </cell>
          <cell r="H928" t="str">
            <v>salud_oral</v>
          </cell>
          <cell r="J928" t="str">
            <v>bueno</v>
          </cell>
          <cell r="K928" t="str">
            <v>defsi</v>
          </cell>
        </row>
        <row r="929">
          <cell r="B929" t="b">
            <v>1</v>
          </cell>
          <cell r="E929" t="str">
            <v>Los Cerros</v>
          </cell>
          <cell r="H929" t="str">
            <v>laboratorio</v>
          </cell>
          <cell r="J929" t="str">
            <v>bueno</v>
          </cell>
          <cell r="K929" t="str">
            <v>defsi</v>
          </cell>
        </row>
        <row r="930">
          <cell r="B930" t="b">
            <v>1</v>
          </cell>
          <cell r="E930" t="str">
            <v>Los Cerros</v>
          </cell>
          <cell r="H930" t="str">
            <v>ecografias</v>
          </cell>
          <cell r="J930" t="str">
            <v>bueno</v>
          </cell>
          <cell r="K930" t="str">
            <v>defsi</v>
          </cell>
        </row>
        <row r="931">
          <cell r="B931" t="b">
            <v>1</v>
          </cell>
          <cell r="E931" t="str">
            <v>Los Cerros</v>
          </cell>
          <cell r="H931" t="str">
            <v>ginecologia</v>
          </cell>
          <cell r="J931" t="str">
            <v>bueno</v>
          </cell>
          <cell r="K931" t="str">
            <v>defsi</v>
          </cell>
        </row>
        <row r="932">
          <cell r="B932" t="b">
            <v>1</v>
          </cell>
          <cell r="E932" t="str">
            <v>Los Cerros</v>
          </cell>
          <cell r="H932" t="str">
            <v>ginecologia</v>
          </cell>
          <cell r="J932" t="str">
            <v>bueno</v>
          </cell>
          <cell r="K932" t="str">
            <v>defsi</v>
          </cell>
        </row>
        <row r="933">
          <cell r="B933" t="b">
            <v>1</v>
          </cell>
          <cell r="E933" t="str">
            <v>Los Cerros</v>
          </cell>
          <cell r="H933" t="str">
            <v>pediatria</v>
          </cell>
          <cell r="J933" t="str">
            <v>bueno</v>
          </cell>
          <cell r="K933" t="str">
            <v>defsi</v>
          </cell>
        </row>
        <row r="934">
          <cell r="B934" t="b">
            <v>1</v>
          </cell>
          <cell r="E934" t="str">
            <v>Los Cerros</v>
          </cell>
          <cell r="H934" t="str">
            <v>consulta_externa</v>
          </cell>
          <cell r="J934" t="str">
            <v>bueno</v>
          </cell>
          <cell r="K934" t="str">
            <v>defsi</v>
          </cell>
        </row>
        <row r="935">
          <cell r="B935" t="b">
            <v>1</v>
          </cell>
          <cell r="E935" t="str">
            <v>Los Cerros</v>
          </cell>
          <cell r="H935" t="str">
            <v>salud_oral</v>
          </cell>
          <cell r="J935" t="str">
            <v>bueno</v>
          </cell>
          <cell r="K935" t="str">
            <v>defsi</v>
          </cell>
        </row>
        <row r="936">
          <cell r="B936" t="b">
            <v>1</v>
          </cell>
          <cell r="E936" t="str">
            <v>Los Cerros</v>
          </cell>
          <cell r="H936" t="str">
            <v>laboratorio</v>
          </cell>
          <cell r="J936" t="str">
            <v>bueno</v>
          </cell>
          <cell r="K936" t="str">
            <v>defsi</v>
          </cell>
        </row>
        <row r="937">
          <cell r="B937" t="b">
            <v>1</v>
          </cell>
          <cell r="E937" t="str">
            <v>Los Cerros</v>
          </cell>
          <cell r="H937" t="str">
            <v>ecografias</v>
          </cell>
          <cell r="J937" t="str">
            <v>bueno</v>
          </cell>
          <cell r="K937" t="str">
            <v>defsi</v>
          </cell>
        </row>
        <row r="938">
          <cell r="B938" t="b">
            <v>1</v>
          </cell>
          <cell r="E938" t="str">
            <v>Los Cerros</v>
          </cell>
          <cell r="H938" t="str">
            <v>pediatria</v>
          </cell>
          <cell r="J938" t="str">
            <v>bueno</v>
          </cell>
          <cell r="K938" t="str">
            <v>defsi</v>
          </cell>
        </row>
        <row r="939">
          <cell r="B939" t="b">
            <v>1</v>
          </cell>
          <cell r="E939" t="str">
            <v>Los Cerros</v>
          </cell>
          <cell r="H939" t="str">
            <v>consulta_externa</v>
          </cell>
          <cell r="J939" t="str">
            <v>bueno</v>
          </cell>
          <cell r="K939" t="str">
            <v>defsi</v>
          </cell>
        </row>
        <row r="940">
          <cell r="B940" t="b">
            <v>1</v>
          </cell>
          <cell r="E940" t="str">
            <v>Los Cerros</v>
          </cell>
          <cell r="H940" t="str">
            <v>salud_oral</v>
          </cell>
          <cell r="J940" t="str">
            <v>bueno</v>
          </cell>
          <cell r="K940" t="str">
            <v>defsi</v>
          </cell>
        </row>
        <row r="941">
          <cell r="B941" t="b">
            <v>1</v>
          </cell>
          <cell r="E941" t="str">
            <v>Los Cerros</v>
          </cell>
          <cell r="H941" t="str">
            <v>laboratorio</v>
          </cell>
          <cell r="J941" t="str">
            <v>bueno</v>
          </cell>
          <cell r="K941" t="str">
            <v>defsi</v>
          </cell>
        </row>
        <row r="942">
          <cell r="B942" t="b">
            <v>1</v>
          </cell>
          <cell r="E942" t="str">
            <v>Fredonia</v>
          </cell>
          <cell r="H942" t="str">
            <v>salud_oral</v>
          </cell>
          <cell r="J942" t="str">
            <v>bueno</v>
          </cell>
          <cell r="K942" t="str">
            <v>defsi</v>
          </cell>
        </row>
        <row r="943">
          <cell r="B943" t="b">
            <v>1</v>
          </cell>
          <cell r="E943" t="str">
            <v>Fredonia</v>
          </cell>
          <cell r="H943" t="str">
            <v>salud_oral</v>
          </cell>
          <cell r="J943" t="str">
            <v>bueno</v>
          </cell>
          <cell r="K943" t="str">
            <v>defsi</v>
          </cell>
        </row>
        <row r="944">
          <cell r="B944" t="b">
            <v>1</v>
          </cell>
          <cell r="E944" t="str">
            <v>Fredonia</v>
          </cell>
          <cell r="H944" t="str">
            <v>laboratorio</v>
          </cell>
          <cell r="J944" t="str">
            <v>bueno</v>
          </cell>
          <cell r="K944" t="str">
            <v>defsi</v>
          </cell>
        </row>
        <row r="945">
          <cell r="B945" t="b">
            <v>1</v>
          </cell>
          <cell r="E945" t="str">
            <v>Fredonia</v>
          </cell>
          <cell r="H945" t="str">
            <v>laboratorio</v>
          </cell>
          <cell r="J945" t="str">
            <v>bueno</v>
          </cell>
          <cell r="K945" t="str">
            <v>defsi</v>
          </cell>
        </row>
        <row r="946">
          <cell r="B946" t="b">
            <v>1</v>
          </cell>
          <cell r="E946" t="str">
            <v>Los Cerros</v>
          </cell>
          <cell r="H946" t="str">
            <v>ecografias</v>
          </cell>
          <cell r="J946" t="str">
            <v>bueno</v>
          </cell>
          <cell r="K946" t="str">
            <v>defsi</v>
          </cell>
        </row>
        <row r="947">
          <cell r="B947" t="b">
            <v>1</v>
          </cell>
          <cell r="E947" t="str">
            <v>Fredonia</v>
          </cell>
          <cell r="H947" t="str">
            <v>laboratorio</v>
          </cell>
          <cell r="J947" t="str">
            <v>bueno</v>
          </cell>
          <cell r="K947" t="str">
            <v>defsi</v>
          </cell>
        </row>
        <row r="948">
          <cell r="B948" t="b">
            <v>1</v>
          </cell>
          <cell r="E948" t="str">
            <v>Los Cerros</v>
          </cell>
          <cell r="H948" t="str">
            <v>pediatria</v>
          </cell>
          <cell r="J948" t="str">
            <v>bueno</v>
          </cell>
          <cell r="K948" t="str">
            <v>defsi</v>
          </cell>
        </row>
        <row r="949">
          <cell r="B949" t="b">
            <v>1</v>
          </cell>
          <cell r="E949" t="str">
            <v>Los Cerros</v>
          </cell>
          <cell r="H949" t="str">
            <v>consulta_externa</v>
          </cell>
          <cell r="J949" t="str">
            <v>bueno</v>
          </cell>
          <cell r="K949" t="str">
            <v>defsi</v>
          </cell>
        </row>
        <row r="950">
          <cell r="B950" t="b">
            <v>1</v>
          </cell>
          <cell r="E950" t="str">
            <v>Fredonia</v>
          </cell>
          <cell r="H950" t="str">
            <v>laboratorio</v>
          </cell>
          <cell r="J950" t="str">
            <v>muybueno</v>
          </cell>
          <cell r="K950" t="str">
            <v>defsi</v>
          </cell>
        </row>
        <row r="951">
          <cell r="B951" t="b">
            <v>1</v>
          </cell>
          <cell r="E951" t="str">
            <v>Los Cerros</v>
          </cell>
          <cell r="H951" t="str">
            <v>salud_oral</v>
          </cell>
          <cell r="J951" t="str">
            <v>bueno</v>
          </cell>
          <cell r="K951" t="str">
            <v>defsi</v>
          </cell>
        </row>
        <row r="952">
          <cell r="B952" t="b">
            <v>1</v>
          </cell>
          <cell r="E952" t="str">
            <v>Los Cerros</v>
          </cell>
          <cell r="H952" t="str">
            <v>laboratorio</v>
          </cell>
          <cell r="J952" t="str">
            <v>bueno</v>
          </cell>
          <cell r="K952" t="str">
            <v>defsi</v>
          </cell>
        </row>
        <row r="953">
          <cell r="B953" t="b">
            <v>1</v>
          </cell>
          <cell r="E953" t="str">
            <v>Fredonia</v>
          </cell>
          <cell r="H953" t="str">
            <v>salud_oral</v>
          </cell>
          <cell r="J953" t="str">
            <v>bueno</v>
          </cell>
          <cell r="K953" t="str">
            <v>defsi</v>
          </cell>
        </row>
        <row r="954">
          <cell r="B954" t="b">
            <v>1</v>
          </cell>
          <cell r="E954" t="str">
            <v>Los Cerros</v>
          </cell>
          <cell r="H954" t="str">
            <v>ecografias</v>
          </cell>
          <cell r="J954" t="str">
            <v>bueno</v>
          </cell>
          <cell r="K954" t="str">
            <v>defsi</v>
          </cell>
        </row>
        <row r="955">
          <cell r="B955" t="b">
            <v>1</v>
          </cell>
          <cell r="E955" t="str">
            <v>Los Cerros</v>
          </cell>
          <cell r="H955" t="str">
            <v>consulta_externa</v>
          </cell>
          <cell r="J955" t="str">
            <v>bueno</v>
          </cell>
          <cell r="K955" t="str">
            <v>defsi</v>
          </cell>
        </row>
        <row r="956">
          <cell r="B956" t="b">
            <v>1</v>
          </cell>
          <cell r="E956" t="str">
            <v>Los Cerros</v>
          </cell>
          <cell r="H956" t="str">
            <v>salud_oral</v>
          </cell>
          <cell r="J956" t="str">
            <v>bueno</v>
          </cell>
          <cell r="K956" t="str">
            <v>defsi</v>
          </cell>
        </row>
        <row r="957">
          <cell r="B957" t="b">
            <v>1</v>
          </cell>
          <cell r="E957" t="str">
            <v>Los Cerros</v>
          </cell>
          <cell r="H957" t="str">
            <v>laboratorio</v>
          </cell>
          <cell r="J957" t="str">
            <v>bueno</v>
          </cell>
          <cell r="K957" t="str">
            <v>defsi</v>
          </cell>
        </row>
        <row r="958">
          <cell r="B958" t="b">
            <v>1</v>
          </cell>
          <cell r="E958" t="str">
            <v>Los Cerros</v>
          </cell>
          <cell r="H958" t="str">
            <v>ecografias</v>
          </cell>
          <cell r="J958" t="str">
            <v>bueno</v>
          </cell>
          <cell r="K958" t="str">
            <v>defsi</v>
          </cell>
        </row>
        <row r="959">
          <cell r="B959" t="b">
            <v>1</v>
          </cell>
          <cell r="E959" t="str">
            <v>Los Cerros</v>
          </cell>
          <cell r="H959" t="str">
            <v>medicina_interna</v>
          </cell>
          <cell r="J959" t="str">
            <v>bueno</v>
          </cell>
          <cell r="K959" t="str">
            <v>defsi</v>
          </cell>
        </row>
        <row r="960">
          <cell r="B960" t="b">
            <v>1</v>
          </cell>
          <cell r="E960" t="str">
            <v>Los Cerros</v>
          </cell>
          <cell r="H960" t="str">
            <v>medicina_interna</v>
          </cell>
          <cell r="J960" t="str">
            <v>bueno</v>
          </cell>
          <cell r="K960" t="str">
            <v>defsi</v>
          </cell>
        </row>
        <row r="961">
          <cell r="B961" t="b">
            <v>1</v>
          </cell>
          <cell r="E961" t="str">
            <v>Los Cerros</v>
          </cell>
          <cell r="H961" t="str">
            <v>medicina_interna</v>
          </cell>
          <cell r="J961" t="str">
            <v>bueno</v>
          </cell>
          <cell r="K961" t="str">
            <v>defsi</v>
          </cell>
        </row>
        <row r="962">
          <cell r="B962" t="b">
            <v>1</v>
          </cell>
          <cell r="E962" t="str">
            <v>Los Cerros</v>
          </cell>
          <cell r="H962" t="str">
            <v>medicina_interna</v>
          </cell>
          <cell r="J962" t="str">
            <v>bueno</v>
          </cell>
          <cell r="K962" t="str">
            <v>defsi</v>
          </cell>
        </row>
        <row r="963">
          <cell r="B963" t="b">
            <v>1</v>
          </cell>
          <cell r="E963" t="str">
            <v>Los Cerros</v>
          </cell>
          <cell r="H963" t="str">
            <v>consulta_externa</v>
          </cell>
          <cell r="J963" t="str">
            <v>bueno</v>
          </cell>
          <cell r="K963" t="str">
            <v>defsi</v>
          </cell>
        </row>
        <row r="964">
          <cell r="B964" t="b">
            <v>1</v>
          </cell>
          <cell r="E964" t="str">
            <v>Los Cerros</v>
          </cell>
          <cell r="H964" t="str">
            <v>salud_oral</v>
          </cell>
          <cell r="J964" t="str">
            <v>bueno</v>
          </cell>
          <cell r="K964" t="str">
            <v>defsi</v>
          </cell>
        </row>
        <row r="965">
          <cell r="B965" t="b">
            <v>1</v>
          </cell>
          <cell r="E965" t="str">
            <v>Los Cerros</v>
          </cell>
          <cell r="H965" t="str">
            <v>ecografias</v>
          </cell>
          <cell r="J965" t="str">
            <v>bueno</v>
          </cell>
          <cell r="K965" t="str">
            <v>defsi</v>
          </cell>
        </row>
        <row r="966">
          <cell r="B966" t="b">
            <v>1</v>
          </cell>
          <cell r="E966" t="str">
            <v>Los Cerros</v>
          </cell>
          <cell r="H966" t="str">
            <v>medicina_interna</v>
          </cell>
          <cell r="J966" t="str">
            <v>bueno</v>
          </cell>
          <cell r="K966" t="str">
            <v>defsi</v>
          </cell>
        </row>
        <row r="967">
          <cell r="B967" t="b">
            <v>1</v>
          </cell>
          <cell r="E967" t="str">
            <v>Los Cerros</v>
          </cell>
          <cell r="H967" t="str">
            <v>consulta_externa</v>
          </cell>
          <cell r="J967" t="str">
            <v>bueno</v>
          </cell>
          <cell r="K967" t="str">
            <v>defsi</v>
          </cell>
        </row>
        <row r="968">
          <cell r="B968" t="b">
            <v>1</v>
          </cell>
          <cell r="E968" t="str">
            <v>Los Cerros</v>
          </cell>
          <cell r="H968" t="str">
            <v>salud_oral</v>
          </cell>
          <cell r="J968" t="str">
            <v>bueno</v>
          </cell>
          <cell r="K968" t="str">
            <v>defsi</v>
          </cell>
        </row>
        <row r="969">
          <cell r="B969" t="b">
            <v>1</v>
          </cell>
          <cell r="E969" t="str">
            <v>Los Cerros</v>
          </cell>
          <cell r="H969" t="str">
            <v>laboratorio</v>
          </cell>
          <cell r="J969" t="str">
            <v>bueno</v>
          </cell>
          <cell r="K969" t="str">
            <v>defsi</v>
          </cell>
        </row>
        <row r="970">
          <cell r="B970" t="b">
            <v>1</v>
          </cell>
          <cell r="E970" t="str">
            <v>Los Cerros</v>
          </cell>
          <cell r="H970" t="str">
            <v>ecografias</v>
          </cell>
          <cell r="J970" t="str">
            <v>bueno</v>
          </cell>
          <cell r="K970" t="str">
            <v>defsi</v>
          </cell>
        </row>
        <row r="971">
          <cell r="B971" t="b">
            <v>1</v>
          </cell>
          <cell r="E971" t="str">
            <v>Los Cerros</v>
          </cell>
          <cell r="H971" t="str">
            <v>medicina_interna</v>
          </cell>
          <cell r="J971" t="str">
            <v>bueno</v>
          </cell>
          <cell r="K971" t="str">
            <v>defsi</v>
          </cell>
        </row>
        <row r="972">
          <cell r="B972" t="b">
            <v>1</v>
          </cell>
          <cell r="E972" t="str">
            <v>Los Cerros</v>
          </cell>
          <cell r="H972" t="str">
            <v>consulta_externa</v>
          </cell>
          <cell r="J972" t="str">
            <v>bueno</v>
          </cell>
          <cell r="K972" t="str">
            <v>defsi</v>
          </cell>
        </row>
        <row r="973">
          <cell r="B973" t="b">
            <v>1</v>
          </cell>
          <cell r="E973" t="str">
            <v>Los Cerros</v>
          </cell>
          <cell r="H973" t="str">
            <v>salud_oral</v>
          </cell>
          <cell r="J973" t="str">
            <v>bueno</v>
          </cell>
          <cell r="K973" t="str">
            <v>defsi</v>
          </cell>
        </row>
        <row r="974">
          <cell r="B974" t="b">
            <v>1</v>
          </cell>
          <cell r="E974" t="str">
            <v>Los Cerros</v>
          </cell>
          <cell r="H974" t="str">
            <v>laboratorio</v>
          </cell>
          <cell r="J974" t="str">
            <v>bueno</v>
          </cell>
          <cell r="K974" t="str">
            <v>defsi</v>
          </cell>
        </row>
        <row r="975">
          <cell r="B975" t="b">
            <v>1</v>
          </cell>
          <cell r="E975" t="str">
            <v>Los Cerros</v>
          </cell>
          <cell r="H975" t="str">
            <v>medicina_interna</v>
          </cell>
          <cell r="J975" t="str">
            <v>bueno</v>
          </cell>
          <cell r="K975" t="str">
            <v>defsi</v>
          </cell>
        </row>
        <row r="976">
          <cell r="B976" t="b">
            <v>0</v>
          </cell>
          <cell r="E976" t="str">
            <v>Arroz Barato</v>
          </cell>
          <cell r="H976" t="str">
            <v>consulta_externa</v>
          </cell>
          <cell r="J976" t="str">
            <v>regular</v>
          </cell>
          <cell r="K976" t="str">
            <v>probsi</v>
          </cell>
        </row>
        <row r="977">
          <cell r="B977" t="b">
            <v>0</v>
          </cell>
          <cell r="E977" t="str">
            <v>Arroz Barato</v>
          </cell>
          <cell r="H977" t="str">
            <v>salud_oral</v>
          </cell>
          <cell r="J977" t="str">
            <v>regular</v>
          </cell>
          <cell r="K977" t="str">
            <v>probsi</v>
          </cell>
        </row>
        <row r="978">
          <cell r="B978" t="b">
            <v>1</v>
          </cell>
          <cell r="E978" t="str">
            <v>Arroz Barato</v>
          </cell>
          <cell r="H978" t="str">
            <v>laboratorio</v>
          </cell>
          <cell r="J978" t="str">
            <v>bueno</v>
          </cell>
          <cell r="K978" t="str">
            <v>probsi</v>
          </cell>
        </row>
        <row r="979">
          <cell r="B979" t="b">
            <v>0</v>
          </cell>
          <cell r="E979" t="str">
            <v>Arroz Barato</v>
          </cell>
          <cell r="H979" t="str">
            <v>consulta_externa</v>
          </cell>
          <cell r="J979" t="str">
            <v>regular</v>
          </cell>
          <cell r="K979" t="str">
            <v>probsi</v>
          </cell>
        </row>
        <row r="980">
          <cell r="B980" t="b">
            <v>0</v>
          </cell>
          <cell r="E980" t="str">
            <v>Arroz Barato</v>
          </cell>
          <cell r="H980" t="str">
            <v>consulta_externa</v>
          </cell>
          <cell r="J980" t="str">
            <v>regular</v>
          </cell>
          <cell r="K980" t="str">
            <v>probsi</v>
          </cell>
        </row>
        <row r="981">
          <cell r="B981" t="b">
            <v>1</v>
          </cell>
          <cell r="E981" t="str">
            <v>Arroz Barato</v>
          </cell>
          <cell r="H981" t="str">
            <v>consulta_externa</v>
          </cell>
          <cell r="J981" t="str">
            <v>bueno</v>
          </cell>
          <cell r="K981" t="str">
            <v>probsi</v>
          </cell>
        </row>
        <row r="982">
          <cell r="B982" t="b">
            <v>1</v>
          </cell>
          <cell r="E982" t="str">
            <v>Arroz Barato</v>
          </cell>
          <cell r="H982" t="str">
            <v>salud_oral</v>
          </cell>
          <cell r="J982" t="str">
            <v>bueno</v>
          </cell>
          <cell r="K982" t="str">
            <v>probsi</v>
          </cell>
        </row>
        <row r="983">
          <cell r="B983" t="b">
            <v>1</v>
          </cell>
          <cell r="E983" t="str">
            <v>Arroz Barato</v>
          </cell>
          <cell r="H983" t="str">
            <v>laboratorio</v>
          </cell>
          <cell r="J983" t="str">
            <v>bueno</v>
          </cell>
          <cell r="K983" t="str">
            <v>probsi</v>
          </cell>
        </row>
        <row r="984">
          <cell r="B984" t="b">
            <v>0</v>
          </cell>
          <cell r="E984" t="str">
            <v>Arroz Barato</v>
          </cell>
          <cell r="H984" t="str">
            <v>consulta_externa</v>
          </cell>
          <cell r="J984" t="str">
            <v>regular</v>
          </cell>
          <cell r="K984" t="str">
            <v>probsi</v>
          </cell>
        </row>
        <row r="985">
          <cell r="B985" t="b">
            <v>1</v>
          </cell>
          <cell r="E985" t="str">
            <v>Arroz Barato</v>
          </cell>
          <cell r="H985" t="str">
            <v>salud_oral</v>
          </cell>
          <cell r="J985" t="str">
            <v>bueno</v>
          </cell>
          <cell r="K985" t="str">
            <v>probsi</v>
          </cell>
        </row>
        <row r="986">
          <cell r="B986" t="b">
            <v>1</v>
          </cell>
          <cell r="E986" t="str">
            <v>Esperanza</v>
          </cell>
          <cell r="H986" t="str">
            <v>consulta_externa</v>
          </cell>
          <cell r="J986" t="str">
            <v>bueno</v>
          </cell>
          <cell r="K986" t="str">
            <v>probsi</v>
          </cell>
        </row>
        <row r="987">
          <cell r="B987" t="b">
            <v>1</v>
          </cell>
          <cell r="E987" t="str">
            <v>Esperanza</v>
          </cell>
          <cell r="H987" t="str">
            <v>consulta_externa</v>
          </cell>
          <cell r="J987" t="str">
            <v>bueno</v>
          </cell>
          <cell r="K987" t="str">
            <v>probsi</v>
          </cell>
        </row>
        <row r="988">
          <cell r="B988" t="b">
            <v>1</v>
          </cell>
          <cell r="E988" t="str">
            <v>Esperanza</v>
          </cell>
          <cell r="H988" t="str">
            <v>laboratorio</v>
          </cell>
          <cell r="J988" t="str">
            <v>bueno</v>
          </cell>
          <cell r="K988" t="str">
            <v>probsi</v>
          </cell>
        </row>
        <row r="989">
          <cell r="B989" t="b">
            <v>1</v>
          </cell>
          <cell r="E989" t="str">
            <v>Esperanza</v>
          </cell>
          <cell r="H989" t="str">
            <v>laboratorio</v>
          </cell>
          <cell r="J989" t="str">
            <v>bueno</v>
          </cell>
          <cell r="K989" t="str">
            <v>probsi</v>
          </cell>
        </row>
        <row r="990">
          <cell r="B990" t="b">
            <v>1</v>
          </cell>
          <cell r="E990" t="str">
            <v>Esperanza</v>
          </cell>
          <cell r="H990" t="str">
            <v>laboratorio</v>
          </cell>
          <cell r="J990" t="str">
            <v>bueno</v>
          </cell>
          <cell r="K990" t="str">
            <v>probsi</v>
          </cell>
        </row>
        <row r="991">
          <cell r="B991" t="b">
            <v>1</v>
          </cell>
          <cell r="E991" t="str">
            <v>Esperanza</v>
          </cell>
          <cell r="H991" t="str">
            <v>laboratorio</v>
          </cell>
          <cell r="J991" t="str">
            <v>bueno</v>
          </cell>
          <cell r="K991" t="str">
            <v>probsi</v>
          </cell>
        </row>
        <row r="992">
          <cell r="B992" t="b">
            <v>1</v>
          </cell>
          <cell r="E992" t="str">
            <v>Esperanza</v>
          </cell>
          <cell r="H992" t="str">
            <v>laboratorio</v>
          </cell>
          <cell r="J992" t="str">
            <v>bueno</v>
          </cell>
          <cell r="K992" t="str">
            <v>probsi</v>
          </cell>
        </row>
        <row r="993">
          <cell r="B993" t="b">
            <v>1</v>
          </cell>
          <cell r="E993" t="str">
            <v>Esperanza</v>
          </cell>
          <cell r="H993" t="str">
            <v>laboratorio</v>
          </cell>
          <cell r="J993" t="str">
            <v>bueno</v>
          </cell>
          <cell r="K993" t="str">
            <v>probsi</v>
          </cell>
        </row>
        <row r="994">
          <cell r="B994" t="b">
            <v>1</v>
          </cell>
          <cell r="E994" t="str">
            <v>Esperanza</v>
          </cell>
          <cell r="H994" t="str">
            <v>consulta_externa</v>
          </cell>
          <cell r="J994" t="str">
            <v>bueno</v>
          </cell>
          <cell r="K994" t="str">
            <v>probsi</v>
          </cell>
        </row>
        <row r="995">
          <cell r="B995" t="b">
            <v>1</v>
          </cell>
          <cell r="E995" t="str">
            <v>Esperanza</v>
          </cell>
          <cell r="H995" t="str">
            <v>consulta_externa</v>
          </cell>
          <cell r="J995" t="str">
            <v>bueno</v>
          </cell>
          <cell r="K995" t="str">
            <v>probsi</v>
          </cell>
        </row>
        <row r="996">
          <cell r="B996" t="b">
            <v>1</v>
          </cell>
          <cell r="E996" t="str">
            <v>Esperanza</v>
          </cell>
          <cell r="H996" t="str">
            <v>salud_oral</v>
          </cell>
          <cell r="J996" t="str">
            <v>bueno</v>
          </cell>
          <cell r="K996" t="str">
            <v>probsi</v>
          </cell>
        </row>
        <row r="997">
          <cell r="B997" t="b">
            <v>1</v>
          </cell>
          <cell r="E997" t="str">
            <v>Esperanza</v>
          </cell>
          <cell r="H997" t="str">
            <v>salud_oral</v>
          </cell>
          <cell r="J997" t="str">
            <v>bueno</v>
          </cell>
          <cell r="K997" t="str">
            <v>probsi</v>
          </cell>
        </row>
        <row r="998">
          <cell r="B998" t="b">
            <v>1</v>
          </cell>
          <cell r="E998" t="str">
            <v>Esperanza</v>
          </cell>
          <cell r="H998" t="str">
            <v>consulta_externa</v>
          </cell>
          <cell r="J998" t="str">
            <v>bueno</v>
          </cell>
          <cell r="K998" t="str">
            <v>probsi</v>
          </cell>
        </row>
        <row r="999">
          <cell r="B999" t="b">
            <v>1</v>
          </cell>
          <cell r="E999" t="str">
            <v>Esperanza</v>
          </cell>
          <cell r="H999" t="str">
            <v>consulta_externa</v>
          </cell>
          <cell r="J999" t="str">
            <v>bueno</v>
          </cell>
          <cell r="K999" t="str">
            <v>probsi</v>
          </cell>
        </row>
        <row r="1000">
          <cell r="B1000" t="b">
            <v>1</v>
          </cell>
          <cell r="E1000" t="str">
            <v>Esperanza</v>
          </cell>
          <cell r="H1000" t="str">
            <v>consulta_externa</v>
          </cell>
          <cell r="J1000" t="str">
            <v>bueno</v>
          </cell>
          <cell r="K1000" t="str">
            <v>probsi</v>
          </cell>
        </row>
        <row r="1001">
          <cell r="B1001" t="b">
            <v>1</v>
          </cell>
          <cell r="E1001" t="str">
            <v>Esperanza</v>
          </cell>
          <cell r="H1001" t="str">
            <v>laboratorio</v>
          </cell>
          <cell r="J1001" t="str">
            <v>bueno</v>
          </cell>
          <cell r="K1001" t="str">
            <v>probsi</v>
          </cell>
        </row>
        <row r="1002">
          <cell r="B1002" t="b">
            <v>1</v>
          </cell>
          <cell r="E1002" t="str">
            <v>Esperanza</v>
          </cell>
          <cell r="H1002" t="str">
            <v>laboratorio</v>
          </cell>
          <cell r="J1002" t="str">
            <v>bueno</v>
          </cell>
          <cell r="K1002" t="str">
            <v>probsi</v>
          </cell>
        </row>
        <row r="1003">
          <cell r="B1003" t="b">
            <v>1</v>
          </cell>
          <cell r="E1003" t="str">
            <v>Esperanza</v>
          </cell>
          <cell r="H1003" t="str">
            <v>laboratorio</v>
          </cell>
          <cell r="J1003" t="str">
            <v>bueno</v>
          </cell>
          <cell r="K1003" t="str">
            <v>probsi</v>
          </cell>
        </row>
        <row r="1004">
          <cell r="B1004" t="b">
            <v>1</v>
          </cell>
          <cell r="E1004" t="str">
            <v>Esperanza</v>
          </cell>
          <cell r="H1004" t="str">
            <v>laboratorio</v>
          </cell>
          <cell r="J1004" t="str">
            <v>bueno</v>
          </cell>
          <cell r="K1004" t="str">
            <v>probsi</v>
          </cell>
        </row>
        <row r="1005">
          <cell r="B1005" t="b">
            <v>1</v>
          </cell>
          <cell r="E1005" t="str">
            <v>Esperanza</v>
          </cell>
          <cell r="H1005" t="str">
            <v>consulta_externa</v>
          </cell>
          <cell r="J1005" t="str">
            <v>bueno</v>
          </cell>
          <cell r="K1005" t="str">
            <v>probsi</v>
          </cell>
        </row>
        <row r="1006">
          <cell r="B1006" t="b">
            <v>1</v>
          </cell>
          <cell r="E1006" t="str">
            <v>Esperanza</v>
          </cell>
          <cell r="H1006" t="str">
            <v>consulta_externa</v>
          </cell>
          <cell r="J1006" t="str">
            <v>bueno</v>
          </cell>
          <cell r="K1006" t="str">
            <v>probsi</v>
          </cell>
        </row>
        <row r="1007">
          <cell r="B1007" t="b">
            <v>1</v>
          </cell>
          <cell r="E1007" t="str">
            <v>Esperanza</v>
          </cell>
          <cell r="H1007" t="str">
            <v>consulta_externa</v>
          </cell>
          <cell r="J1007" t="str">
            <v>bueno</v>
          </cell>
          <cell r="K1007" t="str">
            <v>probsi</v>
          </cell>
        </row>
        <row r="1008">
          <cell r="B1008" t="b">
            <v>1</v>
          </cell>
          <cell r="E1008" t="str">
            <v>Esperanza</v>
          </cell>
          <cell r="H1008" t="str">
            <v>salud_oral</v>
          </cell>
          <cell r="J1008" t="str">
            <v>bueno</v>
          </cell>
          <cell r="K1008" t="str">
            <v>probsi</v>
          </cell>
        </row>
        <row r="1009">
          <cell r="B1009" t="b">
            <v>1</v>
          </cell>
          <cell r="E1009" t="str">
            <v>Esperanza</v>
          </cell>
          <cell r="H1009" t="str">
            <v>salud_oral</v>
          </cell>
          <cell r="J1009" t="str">
            <v>bueno</v>
          </cell>
          <cell r="K1009" t="str">
            <v>probsi</v>
          </cell>
        </row>
        <row r="1010">
          <cell r="B1010" t="b">
            <v>1</v>
          </cell>
          <cell r="E1010" t="str">
            <v>Esperanza</v>
          </cell>
          <cell r="H1010" t="str">
            <v>urgencia</v>
          </cell>
          <cell r="J1010" t="str">
            <v>bueno</v>
          </cell>
          <cell r="K1010" t="str">
            <v>probsi</v>
          </cell>
        </row>
        <row r="1011">
          <cell r="B1011" t="b">
            <v>1</v>
          </cell>
          <cell r="E1011" t="str">
            <v>Esperanza</v>
          </cell>
          <cell r="H1011" t="str">
            <v>urgencia</v>
          </cell>
          <cell r="J1011" t="str">
            <v>bueno</v>
          </cell>
          <cell r="K1011" t="str">
            <v>probsi</v>
          </cell>
        </row>
        <row r="1012">
          <cell r="B1012" t="b">
            <v>1</v>
          </cell>
          <cell r="E1012" t="str">
            <v>Esperanza</v>
          </cell>
          <cell r="H1012" t="str">
            <v>consulta_externa</v>
          </cell>
          <cell r="J1012" t="str">
            <v>bueno</v>
          </cell>
          <cell r="K1012" t="str">
            <v>probsi</v>
          </cell>
        </row>
        <row r="1013">
          <cell r="B1013" t="b">
            <v>1</v>
          </cell>
          <cell r="E1013" t="str">
            <v>Esperanza</v>
          </cell>
          <cell r="H1013" t="str">
            <v>consulta_externa</v>
          </cell>
          <cell r="J1013" t="str">
            <v>bueno</v>
          </cell>
          <cell r="K1013" t="str">
            <v>probsi</v>
          </cell>
        </row>
        <row r="1014">
          <cell r="B1014" t="b">
            <v>1</v>
          </cell>
          <cell r="E1014" t="str">
            <v>Gaviotas</v>
          </cell>
          <cell r="H1014" t="str">
            <v>laboratorio</v>
          </cell>
          <cell r="J1014" t="str">
            <v>bueno</v>
          </cell>
          <cell r="K1014" t="str">
            <v>defsi</v>
          </cell>
        </row>
        <row r="1015">
          <cell r="B1015" t="b">
            <v>1</v>
          </cell>
          <cell r="E1015" t="str">
            <v>Gaviotas</v>
          </cell>
          <cell r="H1015" t="str">
            <v>laboratorio</v>
          </cell>
          <cell r="J1015" t="str">
            <v>bueno</v>
          </cell>
          <cell r="K1015" t="str">
            <v>defsi</v>
          </cell>
        </row>
        <row r="1016">
          <cell r="B1016" t="b">
            <v>1</v>
          </cell>
          <cell r="E1016" t="str">
            <v>Gaviotas</v>
          </cell>
          <cell r="H1016" t="str">
            <v>consulta_externa</v>
          </cell>
          <cell r="J1016" t="str">
            <v>bueno</v>
          </cell>
          <cell r="K1016" t="str">
            <v>defsi</v>
          </cell>
        </row>
        <row r="1017">
          <cell r="B1017" t="b">
            <v>1</v>
          </cell>
          <cell r="E1017" t="str">
            <v>Gaviotas</v>
          </cell>
          <cell r="H1017" t="str">
            <v>consulta_externa</v>
          </cell>
          <cell r="J1017" t="str">
            <v>bueno</v>
          </cell>
          <cell r="K1017" t="str">
            <v>defsi</v>
          </cell>
        </row>
        <row r="1018">
          <cell r="B1018" t="b">
            <v>1</v>
          </cell>
          <cell r="E1018" t="str">
            <v>Gaviotas</v>
          </cell>
          <cell r="H1018" t="str">
            <v>laboratorio</v>
          </cell>
          <cell r="J1018" t="str">
            <v>bueno</v>
          </cell>
          <cell r="K1018" t="str">
            <v>defsi</v>
          </cell>
        </row>
        <row r="1019">
          <cell r="B1019" t="b">
            <v>1</v>
          </cell>
          <cell r="E1019" t="str">
            <v>Gaviotas</v>
          </cell>
          <cell r="H1019" t="str">
            <v>consulta_externa</v>
          </cell>
          <cell r="J1019" t="str">
            <v>bueno</v>
          </cell>
          <cell r="K1019" t="str">
            <v>defsi</v>
          </cell>
        </row>
        <row r="1020">
          <cell r="B1020" t="b">
            <v>1</v>
          </cell>
          <cell r="E1020" t="str">
            <v>Gaviotas</v>
          </cell>
          <cell r="H1020" t="str">
            <v>laboratorio</v>
          </cell>
          <cell r="J1020" t="str">
            <v>bueno</v>
          </cell>
          <cell r="K1020" t="str">
            <v>defsi</v>
          </cell>
        </row>
        <row r="1021">
          <cell r="B1021" t="b">
            <v>1</v>
          </cell>
          <cell r="E1021" t="str">
            <v>Gaviotas</v>
          </cell>
          <cell r="H1021" t="str">
            <v>consulta_externa</v>
          </cell>
          <cell r="J1021" t="str">
            <v>bueno</v>
          </cell>
          <cell r="K1021" t="str">
            <v>defsi</v>
          </cell>
        </row>
        <row r="1022">
          <cell r="B1022" t="b">
            <v>1</v>
          </cell>
          <cell r="E1022" t="str">
            <v>Gaviotas</v>
          </cell>
          <cell r="H1022" t="str">
            <v>laboratorio</v>
          </cell>
          <cell r="J1022" t="str">
            <v>bueno</v>
          </cell>
          <cell r="K1022" t="str">
            <v>defsi</v>
          </cell>
        </row>
        <row r="1023">
          <cell r="B1023" t="b">
            <v>1</v>
          </cell>
          <cell r="E1023" t="str">
            <v>Gaviotas</v>
          </cell>
          <cell r="H1023" t="str">
            <v>consulta_externa</v>
          </cell>
          <cell r="J1023" t="str">
            <v>muybueno</v>
          </cell>
          <cell r="K1023" t="str">
            <v>defsi</v>
          </cell>
        </row>
        <row r="1024">
          <cell r="B1024" t="b">
            <v>1</v>
          </cell>
          <cell r="E1024" t="str">
            <v>Gaviotas</v>
          </cell>
          <cell r="H1024" t="str">
            <v>salud_oral</v>
          </cell>
          <cell r="J1024" t="str">
            <v>bueno</v>
          </cell>
          <cell r="K1024" t="str">
            <v>defsi</v>
          </cell>
        </row>
        <row r="1025">
          <cell r="B1025" t="b">
            <v>1</v>
          </cell>
          <cell r="E1025" t="str">
            <v>Gaviotas</v>
          </cell>
          <cell r="H1025" t="str">
            <v>salud_oral</v>
          </cell>
          <cell r="J1025" t="str">
            <v>bueno</v>
          </cell>
          <cell r="K1025" t="str">
            <v>defsi</v>
          </cell>
        </row>
        <row r="1026">
          <cell r="B1026" t="b">
            <v>1</v>
          </cell>
          <cell r="E1026" t="str">
            <v>Gaviotas</v>
          </cell>
          <cell r="H1026" t="str">
            <v>consulta_externa</v>
          </cell>
          <cell r="J1026" t="str">
            <v>bueno</v>
          </cell>
          <cell r="K1026" t="str">
            <v>defsi</v>
          </cell>
        </row>
        <row r="1027">
          <cell r="B1027" t="b">
            <v>1</v>
          </cell>
          <cell r="E1027" t="str">
            <v>Gaviotas</v>
          </cell>
          <cell r="H1027" t="str">
            <v>salud_oral</v>
          </cell>
          <cell r="J1027" t="str">
            <v>bueno</v>
          </cell>
          <cell r="K1027" t="str">
            <v>defsi</v>
          </cell>
        </row>
        <row r="1028">
          <cell r="B1028" t="b">
            <v>1</v>
          </cell>
          <cell r="E1028" t="str">
            <v>Gaviotas</v>
          </cell>
          <cell r="H1028" t="str">
            <v>consulta_externa</v>
          </cell>
          <cell r="J1028" t="str">
            <v>muybueno</v>
          </cell>
          <cell r="K1028" t="str">
            <v>defsi</v>
          </cell>
        </row>
        <row r="1029">
          <cell r="B1029" t="b">
            <v>1</v>
          </cell>
          <cell r="E1029" t="str">
            <v>Gaviotas</v>
          </cell>
          <cell r="H1029" t="str">
            <v>salud_oral</v>
          </cell>
          <cell r="J1029" t="str">
            <v>muybueno</v>
          </cell>
          <cell r="K1029" t="str">
            <v>defsi</v>
          </cell>
        </row>
        <row r="1030">
          <cell r="B1030" t="b">
            <v>1</v>
          </cell>
          <cell r="E1030" t="str">
            <v>Libano</v>
          </cell>
          <cell r="H1030" t="str">
            <v>consulta_externa</v>
          </cell>
          <cell r="J1030" t="str">
            <v>bueno</v>
          </cell>
          <cell r="K1030" t="str">
            <v>defsi</v>
          </cell>
        </row>
        <row r="1031">
          <cell r="B1031" t="b">
            <v>1</v>
          </cell>
          <cell r="E1031" t="str">
            <v>Gaviotas</v>
          </cell>
          <cell r="H1031" t="str">
            <v>consulta_externa</v>
          </cell>
          <cell r="J1031" t="str">
            <v>bueno</v>
          </cell>
          <cell r="K1031" t="str">
            <v>defsi</v>
          </cell>
        </row>
        <row r="1032">
          <cell r="B1032" t="b">
            <v>1</v>
          </cell>
          <cell r="E1032" t="str">
            <v>Libano</v>
          </cell>
          <cell r="H1032" t="str">
            <v>salud_oral</v>
          </cell>
          <cell r="J1032" t="str">
            <v>bueno</v>
          </cell>
          <cell r="K1032" t="str">
            <v>defsi</v>
          </cell>
        </row>
        <row r="1033">
          <cell r="B1033" t="b">
            <v>1</v>
          </cell>
          <cell r="E1033" t="str">
            <v>Gaviotas</v>
          </cell>
          <cell r="H1033" t="str">
            <v>salud_oral</v>
          </cell>
          <cell r="J1033" t="str">
            <v>bueno</v>
          </cell>
          <cell r="K1033" t="str">
            <v>defsi</v>
          </cell>
        </row>
        <row r="1034">
          <cell r="B1034" t="b">
            <v>1</v>
          </cell>
          <cell r="E1034" t="str">
            <v>Libano</v>
          </cell>
          <cell r="H1034" t="str">
            <v>laboratorio</v>
          </cell>
          <cell r="J1034" t="str">
            <v>bueno</v>
          </cell>
          <cell r="K1034" t="str">
            <v>defsi</v>
          </cell>
        </row>
        <row r="1035">
          <cell r="B1035" t="b">
            <v>1</v>
          </cell>
          <cell r="E1035" t="str">
            <v>Gaviotas</v>
          </cell>
          <cell r="H1035" t="str">
            <v>laboratorio</v>
          </cell>
          <cell r="J1035" t="str">
            <v>bueno</v>
          </cell>
          <cell r="K1035" t="str">
            <v>defsi</v>
          </cell>
        </row>
        <row r="1036">
          <cell r="B1036" t="b">
            <v>1</v>
          </cell>
          <cell r="E1036" t="str">
            <v>Gaviotas</v>
          </cell>
          <cell r="H1036" t="str">
            <v>laboratorio</v>
          </cell>
          <cell r="J1036" t="str">
            <v>bueno</v>
          </cell>
          <cell r="K1036" t="str">
            <v>defsi</v>
          </cell>
        </row>
        <row r="1037">
          <cell r="B1037" t="b">
            <v>1</v>
          </cell>
          <cell r="E1037" t="str">
            <v>Libano</v>
          </cell>
          <cell r="H1037" t="str">
            <v>ecografias</v>
          </cell>
          <cell r="J1037" t="str">
            <v>bueno</v>
          </cell>
          <cell r="K1037" t="str">
            <v>defsi</v>
          </cell>
        </row>
        <row r="1038">
          <cell r="B1038" t="b">
            <v>1</v>
          </cell>
          <cell r="E1038" t="str">
            <v>Gaviotas</v>
          </cell>
          <cell r="H1038" t="str">
            <v>salud_oral</v>
          </cell>
          <cell r="J1038" t="str">
            <v>bueno</v>
          </cell>
          <cell r="K1038" t="str">
            <v>defsi</v>
          </cell>
        </row>
        <row r="1039">
          <cell r="B1039" t="b">
            <v>1</v>
          </cell>
          <cell r="E1039" t="str">
            <v>Gaviotas</v>
          </cell>
          <cell r="H1039" t="str">
            <v>salud_oral</v>
          </cell>
          <cell r="J1039" t="str">
            <v>bueno</v>
          </cell>
          <cell r="K1039" t="str">
            <v>defsi</v>
          </cell>
        </row>
        <row r="1040">
          <cell r="B1040" t="b">
            <v>1</v>
          </cell>
          <cell r="E1040" t="str">
            <v>Gaviotas</v>
          </cell>
          <cell r="H1040" t="str">
            <v>salud_oral</v>
          </cell>
          <cell r="J1040" t="str">
            <v>bueno</v>
          </cell>
          <cell r="K1040" t="str">
            <v>defsi</v>
          </cell>
        </row>
        <row r="1041">
          <cell r="B1041" t="b">
            <v>1</v>
          </cell>
          <cell r="E1041" t="str">
            <v>Libano</v>
          </cell>
          <cell r="H1041" t="str">
            <v>ginecologia</v>
          </cell>
          <cell r="J1041" t="str">
            <v>bueno</v>
          </cell>
          <cell r="K1041" t="str">
            <v>defsi</v>
          </cell>
        </row>
        <row r="1042">
          <cell r="B1042" t="b">
            <v>1</v>
          </cell>
          <cell r="E1042" t="str">
            <v>Libano</v>
          </cell>
          <cell r="H1042" t="str">
            <v>pediatria</v>
          </cell>
          <cell r="J1042" t="str">
            <v>bueno</v>
          </cell>
          <cell r="K1042" t="str">
            <v>defsi</v>
          </cell>
        </row>
        <row r="1043">
          <cell r="B1043" t="b">
            <v>1</v>
          </cell>
          <cell r="E1043" t="str">
            <v>Gaviotas</v>
          </cell>
          <cell r="H1043" t="str">
            <v>consulta_externa</v>
          </cell>
          <cell r="J1043" t="str">
            <v>bueno</v>
          </cell>
          <cell r="K1043" t="str">
            <v>defsi</v>
          </cell>
        </row>
        <row r="1044">
          <cell r="B1044" t="b">
            <v>1</v>
          </cell>
          <cell r="E1044" t="str">
            <v>Gaviotas</v>
          </cell>
          <cell r="H1044" t="str">
            <v>laboratorio</v>
          </cell>
          <cell r="J1044" t="str">
            <v>bueno</v>
          </cell>
          <cell r="K1044" t="str">
            <v>defsi</v>
          </cell>
        </row>
        <row r="1045">
          <cell r="B1045" t="b">
            <v>1</v>
          </cell>
          <cell r="E1045" t="str">
            <v>Esperanza</v>
          </cell>
          <cell r="H1045" t="str">
            <v>consulta_externa</v>
          </cell>
          <cell r="J1045" t="str">
            <v>bueno</v>
          </cell>
          <cell r="K1045" t="str">
            <v>probsi</v>
          </cell>
        </row>
        <row r="1046">
          <cell r="B1046" t="b">
            <v>1</v>
          </cell>
          <cell r="E1046" t="str">
            <v>Gaviotas</v>
          </cell>
          <cell r="H1046" t="str">
            <v>laboratorio</v>
          </cell>
          <cell r="J1046" t="str">
            <v>bueno</v>
          </cell>
          <cell r="K1046" t="str">
            <v>defsi</v>
          </cell>
        </row>
        <row r="1047">
          <cell r="B1047" t="b">
            <v>1</v>
          </cell>
          <cell r="E1047" t="str">
            <v>Esperanza</v>
          </cell>
          <cell r="H1047" t="str">
            <v>laboratorio</v>
          </cell>
          <cell r="J1047" t="str">
            <v>bueno</v>
          </cell>
          <cell r="K1047" t="str">
            <v>probsi</v>
          </cell>
        </row>
        <row r="1048">
          <cell r="B1048" t="b">
            <v>1</v>
          </cell>
          <cell r="E1048" t="str">
            <v>Esperanza</v>
          </cell>
          <cell r="H1048" t="str">
            <v>laboratorio</v>
          </cell>
          <cell r="J1048" t="str">
            <v>bueno</v>
          </cell>
          <cell r="K1048" t="str">
            <v>probsi</v>
          </cell>
        </row>
        <row r="1049">
          <cell r="B1049" t="b">
            <v>1</v>
          </cell>
          <cell r="E1049" t="str">
            <v>Libano</v>
          </cell>
          <cell r="H1049" t="str">
            <v>consulta_externa</v>
          </cell>
          <cell r="J1049" t="str">
            <v>bueno</v>
          </cell>
          <cell r="K1049" t="str">
            <v>defsi</v>
          </cell>
        </row>
        <row r="1050">
          <cell r="B1050" t="b">
            <v>1</v>
          </cell>
          <cell r="E1050" t="str">
            <v>Libano</v>
          </cell>
          <cell r="H1050" t="str">
            <v>salud_oral</v>
          </cell>
          <cell r="J1050" t="str">
            <v>bueno</v>
          </cell>
          <cell r="K1050" t="str">
            <v>defsi</v>
          </cell>
        </row>
        <row r="1051">
          <cell r="B1051" t="b">
            <v>1</v>
          </cell>
          <cell r="E1051" t="str">
            <v>Libano</v>
          </cell>
          <cell r="H1051" t="str">
            <v>laboratorio</v>
          </cell>
          <cell r="J1051" t="str">
            <v>bueno</v>
          </cell>
          <cell r="K1051" t="str">
            <v>defsi</v>
          </cell>
        </row>
        <row r="1052">
          <cell r="B1052" t="b">
            <v>1</v>
          </cell>
          <cell r="E1052" t="str">
            <v>Libano</v>
          </cell>
          <cell r="H1052" t="str">
            <v>ecografias</v>
          </cell>
          <cell r="J1052" t="str">
            <v>bueno</v>
          </cell>
          <cell r="K1052" t="str">
            <v>defsi</v>
          </cell>
        </row>
        <row r="1053">
          <cell r="B1053" t="b">
            <v>1</v>
          </cell>
          <cell r="E1053" t="str">
            <v>Gaviotas</v>
          </cell>
          <cell r="H1053" t="str">
            <v>consulta_externa</v>
          </cell>
          <cell r="J1053" t="str">
            <v>bueno</v>
          </cell>
          <cell r="K1053" t="str">
            <v>defsi</v>
          </cell>
        </row>
        <row r="1054">
          <cell r="B1054" t="b">
            <v>1</v>
          </cell>
          <cell r="E1054" t="str">
            <v>Gaviotas</v>
          </cell>
          <cell r="H1054" t="str">
            <v>laboratorio</v>
          </cell>
          <cell r="J1054" t="str">
            <v>bueno</v>
          </cell>
          <cell r="K1054" t="str">
            <v>defsi</v>
          </cell>
        </row>
        <row r="1055">
          <cell r="B1055" t="b">
            <v>1</v>
          </cell>
          <cell r="E1055" t="str">
            <v>Libano</v>
          </cell>
          <cell r="H1055" t="str">
            <v>ginecologia</v>
          </cell>
          <cell r="J1055" t="str">
            <v>bueno</v>
          </cell>
          <cell r="K1055" t="str">
            <v>defsi</v>
          </cell>
        </row>
        <row r="1056">
          <cell r="B1056" t="b">
            <v>1</v>
          </cell>
          <cell r="E1056" t="str">
            <v>Gaviotas</v>
          </cell>
          <cell r="H1056" t="str">
            <v>laboratorio</v>
          </cell>
          <cell r="J1056" t="str">
            <v>bueno</v>
          </cell>
          <cell r="K1056" t="str">
            <v>defsi</v>
          </cell>
        </row>
        <row r="1057">
          <cell r="B1057" t="b">
            <v>1</v>
          </cell>
          <cell r="E1057" t="str">
            <v>Libano</v>
          </cell>
          <cell r="H1057" t="str">
            <v>pediatria</v>
          </cell>
          <cell r="J1057" t="str">
            <v>bueno</v>
          </cell>
          <cell r="K1057" t="str">
            <v>defsi</v>
          </cell>
        </row>
        <row r="1058">
          <cell r="B1058" t="b">
            <v>0</v>
          </cell>
          <cell r="E1058" t="str">
            <v>Gaviotas</v>
          </cell>
          <cell r="H1058" t="str">
            <v>consulta_externa</v>
          </cell>
          <cell r="J1058" t="str">
            <v>regular</v>
          </cell>
          <cell r="K1058" t="str">
            <v>defsi</v>
          </cell>
        </row>
        <row r="1059">
          <cell r="B1059" t="b">
            <v>0</v>
          </cell>
          <cell r="E1059" t="str">
            <v>Arroz Barato</v>
          </cell>
          <cell r="H1059" t="str">
            <v>consulta_externa</v>
          </cell>
          <cell r="J1059" t="str">
            <v>regular</v>
          </cell>
          <cell r="K1059" t="str">
            <v>probsi</v>
          </cell>
        </row>
        <row r="1060">
          <cell r="B1060" t="b">
            <v>0</v>
          </cell>
          <cell r="E1060" t="str">
            <v>Arroz Barato</v>
          </cell>
          <cell r="H1060" t="str">
            <v>consulta_externa</v>
          </cell>
          <cell r="J1060" t="str">
            <v>regular</v>
          </cell>
          <cell r="K1060" t="str">
            <v>probsi</v>
          </cell>
        </row>
        <row r="1061">
          <cell r="B1061" t="b">
            <v>1</v>
          </cell>
          <cell r="E1061" t="str">
            <v>Arroz Barato</v>
          </cell>
          <cell r="H1061" t="str">
            <v>consulta_externa</v>
          </cell>
          <cell r="J1061" t="str">
            <v>bueno</v>
          </cell>
          <cell r="K1061" t="str">
            <v>probsi</v>
          </cell>
        </row>
        <row r="1062">
          <cell r="B1062" t="b">
            <v>1</v>
          </cell>
          <cell r="E1062" t="str">
            <v>Arroz Barato</v>
          </cell>
          <cell r="H1062" t="str">
            <v>consulta_externa</v>
          </cell>
          <cell r="J1062" t="str">
            <v>bueno</v>
          </cell>
          <cell r="K1062" t="str">
            <v>probsi</v>
          </cell>
        </row>
        <row r="1063">
          <cell r="B1063" t="b">
            <v>1</v>
          </cell>
          <cell r="E1063" t="str">
            <v>Arroz Barato</v>
          </cell>
          <cell r="H1063" t="str">
            <v>consulta_externa</v>
          </cell>
          <cell r="J1063" t="str">
            <v>bueno</v>
          </cell>
          <cell r="K1063" t="str">
            <v>probsi</v>
          </cell>
        </row>
        <row r="1064">
          <cell r="B1064" t="b">
            <v>1</v>
          </cell>
          <cell r="E1064" t="str">
            <v>Arroz Barato</v>
          </cell>
          <cell r="H1064" t="str">
            <v>consulta_externa</v>
          </cell>
          <cell r="J1064" t="str">
            <v>bueno</v>
          </cell>
          <cell r="K1064" t="str">
            <v>probsi</v>
          </cell>
        </row>
        <row r="1065">
          <cell r="B1065" t="b">
            <v>1</v>
          </cell>
          <cell r="E1065" t="str">
            <v>Arroz Barato</v>
          </cell>
          <cell r="H1065" t="str">
            <v>salud_oral</v>
          </cell>
          <cell r="J1065" t="str">
            <v>bueno</v>
          </cell>
          <cell r="K1065" t="str">
            <v>probsi</v>
          </cell>
        </row>
        <row r="1066">
          <cell r="B1066" t="b">
            <v>1</v>
          </cell>
          <cell r="E1066" t="str">
            <v>Arroz Barato</v>
          </cell>
          <cell r="H1066" t="str">
            <v>salud_oral</v>
          </cell>
          <cell r="J1066" t="str">
            <v>bueno</v>
          </cell>
          <cell r="K1066" t="str">
            <v>probsi</v>
          </cell>
        </row>
        <row r="1067">
          <cell r="B1067" t="b">
            <v>1</v>
          </cell>
          <cell r="E1067" t="str">
            <v>Arroz Barato</v>
          </cell>
          <cell r="H1067" t="str">
            <v>salud_oral</v>
          </cell>
          <cell r="J1067" t="str">
            <v>bueno</v>
          </cell>
          <cell r="K1067" t="str">
            <v>probsi</v>
          </cell>
        </row>
        <row r="1068">
          <cell r="B1068" t="b">
            <v>1</v>
          </cell>
          <cell r="E1068" t="str">
            <v>Arroz Barato</v>
          </cell>
          <cell r="H1068" t="str">
            <v>salud_oral</v>
          </cell>
          <cell r="J1068" t="str">
            <v>bueno</v>
          </cell>
          <cell r="K1068" t="str">
            <v>probsi</v>
          </cell>
        </row>
        <row r="1069">
          <cell r="B1069" t="b">
            <v>1</v>
          </cell>
          <cell r="E1069" t="str">
            <v>Arroz Barato</v>
          </cell>
          <cell r="H1069" t="str">
            <v>salud_oral</v>
          </cell>
          <cell r="J1069" t="str">
            <v>bueno</v>
          </cell>
          <cell r="K1069" t="str">
            <v>probsi</v>
          </cell>
        </row>
        <row r="1070">
          <cell r="B1070" t="b">
            <v>1</v>
          </cell>
          <cell r="E1070" t="str">
            <v>Arroz Barato</v>
          </cell>
          <cell r="H1070" t="str">
            <v>salud_oral</v>
          </cell>
          <cell r="J1070" t="str">
            <v>bueno</v>
          </cell>
          <cell r="K1070" t="str">
            <v>probsi</v>
          </cell>
        </row>
        <row r="1071">
          <cell r="B1071" t="b">
            <v>1</v>
          </cell>
          <cell r="E1071" t="str">
            <v>Arroz Barato</v>
          </cell>
          <cell r="H1071" t="str">
            <v>laboratorio</v>
          </cell>
          <cell r="J1071" t="str">
            <v>bueno</v>
          </cell>
          <cell r="K1071" t="str">
            <v>probsi</v>
          </cell>
        </row>
        <row r="1072">
          <cell r="B1072" t="b">
            <v>1</v>
          </cell>
          <cell r="E1072" t="str">
            <v>Arroz Barato</v>
          </cell>
          <cell r="H1072" t="str">
            <v>laboratorio</v>
          </cell>
          <cell r="J1072" t="str">
            <v>bueno</v>
          </cell>
          <cell r="K1072" t="str">
            <v>probsi</v>
          </cell>
        </row>
        <row r="1073">
          <cell r="B1073" t="b">
            <v>1</v>
          </cell>
          <cell r="E1073" t="str">
            <v>Arroz Barato</v>
          </cell>
          <cell r="H1073" t="str">
            <v>laboratorio</v>
          </cell>
          <cell r="J1073" t="str">
            <v>bueno</v>
          </cell>
          <cell r="K1073" t="str">
            <v>probsi</v>
          </cell>
        </row>
        <row r="1074">
          <cell r="B1074" t="b">
            <v>1</v>
          </cell>
          <cell r="E1074" t="str">
            <v>Arroz Barato</v>
          </cell>
          <cell r="H1074" t="str">
            <v>laboratorio</v>
          </cell>
          <cell r="J1074" t="str">
            <v>bueno</v>
          </cell>
          <cell r="K1074" t="str">
            <v>probsi</v>
          </cell>
        </row>
        <row r="1075">
          <cell r="B1075" t="b">
            <v>1</v>
          </cell>
          <cell r="E1075" t="str">
            <v>Arroz Barato</v>
          </cell>
          <cell r="H1075" t="str">
            <v>laboratorio</v>
          </cell>
          <cell r="J1075" t="str">
            <v>bueno</v>
          </cell>
          <cell r="K1075" t="str">
            <v>probsi</v>
          </cell>
        </row>
        <row r="1076">
          <cell r="B1076" t="b">
            <v>1</v>
          </cell>
          <cell r="E1076" t="str">
            <v>Arroz Barato</v>
          </cell>
          <cell r="H1076" t="str">
            <v>laboratorio</v>
          </cell>
          <cell r="J1076" t="str">
            <v>bueno</v>
          </cell>
          <cell r="K1076" t="str">
            <v>probsi</v>
          </cell>
        </row>
        <row r="1077">
          <cell r="B1077" t="b">
            <v>1</v>
          </cell>
          <cell r="E1077" t="str">
            <v>Esperanza</v>
          </cell>
          <cell r="H1077" t="str">
            <v>consulta_externa</v>
          </cell>
          <cell r="J1077" t="str">
            <v>bueno</v>
          </cell>
          <cell r="K1077" t="str">
            <v>probsi</v>
          </cell>
        </row>
        <row r="1078">
          <cell r="B1078" t="b">
            <v>1</v>
          </cell>
          <cell r="E1078" t="str">
            <v>Esperanza</v>
          </cell>
          <cell r="H1078" t="str">
            <v>consulta_externa</v>
          </cell>
          <cell r="J1078" t="str">
            <v>bueno</v>
          </cell>
          <cell r="K1078" t="str">
            <v>probsi</v>
          </cell>
        </row>
        <row r="1079">
          <cell r="B1079" t="b">
            <v>1</v>
          </cell>
          <cell r="E1079" t="str">
            <v>Esperanza</v>
          </cell>
          <cell r="H1079" t="str">
            <v>consulta_externa</v>
          </cell>
          <cell r="J1079" t="str">
            <v>bueno</v>
          </cell>
          <cell r="K1079" t="str">
            <v>probsi</v>
          </cell>
        </row>
        <row r="1080">
          <cell r="B1080" t="b">
            <v>1</v>
          </cell>
          <cell r="E1080" t="str">
            <v>Esperanza</v>
          </cell>
          <cell r="H1080" t="str">
            <v>consulta_externa</v>
          </cell>
          <cell r="J1080" t="str">
            <v>bueno</v>
          </cell>
          <cell r="K1080" t="str">
            <v>probsi</v>
          </cell>
        </row>
        <row r="1081">
          <cell r="B1081" t="b">
            <v>1</v>
          </cell>
          <cell r="E1081" t="str">
            <v>Esperanza</v>
          </cell>
          <cell r="H1081" t="str">
            <v>salud_oral</v>
          </cell>
          <cell r="J1081" t="str">
            <v>bueno</v>
          </cell>
          <cell r="K1081" t="str">
            <v>probsi</v>
          </cell>
        </row>
        <row r="1082">
          <cell r="B1082" t="b">
            <v>1</v>
          </cell>
          <cell r="E1082" t="str">
            <v>Esperanza</v>
          </cell>
          <cell r="H1082" t="str">
            <v>salud_oral</v>
          </cell>
          <cell r="J1082" t="str">
            <v>bueno</v>
          </cell>
          <cell r="K1082" t="str">
            <v>probsi</v>
          </cell>
        </row>
        <row r="1083">
          <cell r="B1083" t="b">
            <v>1</v>
          </cell>
          <cell r="E1083" t="str">
            <v>Esperanza</v>
          </cell>
          <cell r="H1083" t="str">
            <v>salud_oral</v>
          </cell>
          <cell r="J1083" t="str">
            <v>bueno</v>
          </cell>
          <cell r="K1083" t="str">
            <v>probsi</v>
          </cell>
        </row>
        <row r="1084">
          <cell r="B1084" t="b">
            <v>1</v>
          </cell>
          <cell r="E1084" t="str">
            <v>Esperanza</v>
          </cell>
          <cell r="H1084" t="str">
            <v>salud_oral</v>
          </cell>
          <cell r="J1084" t="str">
            <v>bueno</v>
          </cell>
          <cell r="K1084" t="str">
            <v>probsi</v>
          </cell>
        </row>
        <row r="1085">
          <cell r="B1085" t="b">
            <v>1</v>
          </cell>
          <cell r="E1085" t="str">
            <v>Esperanza</v>
          </cell>
          <cell r="H1085" t="str">
            <v>salud_oral</v>
          </cell>
          <cell r="J1085" t="str">
            <v>bueno</v>
          </cell>
          <cell r="K1085" t="str">
            <v>probsi</v>
          </cell>
        </row>
        <row r="1086">
          <cell r="B1086" t="b">
            <v>1</v>
          </cell>
          <cell r="E1086" t="str">
            <v>Esperanza</v>
          </cell>
          <cell r="H1086" t="str">
            <v>salud_oral</v>
          </cell>
          <cell r="J1086" t="str">
            <v>bueno</v>
          </cell>
          <cell r="K1086" t="str">
            <v>probsi</v>
          </cell>
        </row>
        <row r="1087">
          <cell r="B1087" t="b">
            <v>1</v>
          </cell>
          <cell r="E1087" t="str">
            <v>Gaviotas</v>
          </cell>
          <cell r="H1087" t="str">
            <v>consulta_externa</v>
          </cell>
          <cell r="J1087" t="str">
            <v>bueno</v>
          </cell>
          <cell r="K1087" t="str">
            <v>defsi</v>
          </cell>
        </row>
        <row r="1088">
          <cell r="B1088" t="b">
            <v>1</v>
          </cell>
          <cell r="E1088" t="str">
            <v>Gaviotas</v>
          </cell>
          <cell r="H1088" t="str">
            <v>laboratorio</v>
          </cell>
          <cell r="J1088" t="str">
            <v>bueno</v>
          </cell>
          <cell r="K1088" t="str">
            <v>defsi</v>
          </cell>
        </row>
        <row r="1089">
          <cell r="B1089" t="b">
            <v>1</v>
          </cell>
          <cell r="E1089" t="str">
            <v>Gaviotas</v>
          </cell>
          <cell r="H1089" t="str">
            <v>consulta_externa</v>
          </cell>
          <cell r="J1089" t="str">
            <v>bueno</v>
          </cell>
          <cell r="K1089" t="str">
            <v>defsi</v>
          </cell>
        </row>
        <row r="1090">
          <cell r="B1090" t="b">
            <v>1</v>
          </cell>
          <cell r="E1090" t="str">
            <v>Libano</v>
          </cell>
          <cell r="H1090" t="str">
            <v>consulta_externa</v>
          </cell>
          <cell r="J1090" t="str">
            <v>bueno</v>
          </cell>
          <cell r="K1090" t="str">
            <v>defsi</v>
          </cell>
        </row>
        <row r="1091">
          <cell r="B1091" t="b">
            <v>1</v>
          </cell>
          <cell r="E1091" t="str">
            <v>Gaviotas</v>
          </cell>
          <cell r="H1091" t="str">
            <v>salud_oral</v>
          </cell>
          <cell r="J1091" t="str">
            <v>bueno</v>
          </cell>
          <cell r="K1091" t="str">
            <v>defsi</v>
          </cell>
        </row>
        <row r="1092">
          <cell r="B1092" t="b">
            <v>1</v>
          </cell>
          <cell r="E1092" t="str">
            <v>Gaviotas</v>
          </cell>
          <cell r="H1092" t="str">
            <v>salud_oral</v>
          </cell>
          <cell r="J1092" t="str">
            <v>bueno</v>
          </cell>
          <cell r="K1092" t="str">
            <v>defsi</v>
          </cell>
        </row>
        <row r="1093">
          <cell r="B1093" t="b">
            <v>1</v>
          </cell>
          <cell r="E1093" t="str">
            <v>Gaviotas</v>
          </cell>
          <cell r="H1093" t="str">
            <v>consulta_externa</v>
          </cell>
          <cell r="J1093" t="str">
            <v>bueno</v>
          </cell>
          <cell r="K1093" t="str">
            <v>defsi</v>
          </cell>
        </row>
        <row r="1094">
          <cell r="B1094" t="b">
            <v>1</v>
          </cell>
          <cell r="E1094" t="str">
            <v>Libano</v>
          </cell>
          <cell r="H1094" t="str">
            <v>salud_oral</v>
          </cell>
          <cell r="J1094" t="str">
            <v>bueno</v>
          </cell>
          <cell r="K1094" t="str">
            <v>defsi</v>
          </cell>
        </row>
        <row r="1095">
          <cell r="B1095" t="b">
            <v>1</v>
          </cell>
          <cell r="E1095" t="str">
            <v>Libano</v>
          </cell>
          <cell r="H1095" t="str">
            <v>laboratorio</v>
          </cell>
          <cell r="J1095" t="str">
            <v>bueno</v>
          </cell>
          <cell r="K1095" t="str">
            <v>defsi</v>
          </cell>
        </row>
        <row r="1096">
          <cell r="B1096" t="b">
            <v>1</v>
          </cell>
          <cell r="E1096" t="str">
            <v>Libano</v>
          </cell>
          <cell r="H1096" t="str">
            <v>ecografias</v>
          </cell>
          <cell r="J1096" t="str">
            <v>bueno</v>
          </cell>
          <cell r="K1096" t="str">
            <v>defsi</v>
          </cell>
        </row>
        <row r="1097">
          <cell r="B1097" t="b">
            <v>1</v>
          </cell>
          <cell r="E1097" t="str">
            <v>Libano</v>
          </cell>
          <cell r="H1097" t="str">
            <v>ginecologia</v>
          </cell>
          <cell r="J1097" t="str">
            <v>bueno</v>
          </cell>
          <cell r="K1097" t="str">
            <v>defsi</v>
          </cell>
        </row>
        <row r="1098">
          <cell r="B1098" t="b">
            <v>1</v>
          </cell>
          <cell r="E1098" t="str">
            <v>Gaviotas</v>
          </cell>
          <cell r="H1098" t="str">
            <v>consulta_externa</v>
          </cell>
          <cell r="J1098" t="str">
            <v>bueno</v>
          </cell>
          <cell r="K1098" t="str">
            <v>defsi</v>
          </cell>
        </row>
        <row r="1099">
          <cell r="B1099" t="b">
            <v>1</v>
          </cell>
          <cell r="E1099" t="str">
            <v>Libano</v>
          </cell>
          <cell r="H1099" t="str">
            <v>pediatria</v>
          </cell>
          <cell r="J1099" t="str">
            <v>bueno</v>
          </cell>
          <cell r="K1099" t="str">
            <v>defsi</v>
          </cell>
        </row>
        <row r="1100">
          <cell r="B1100" t="b">
            <v>1</v>
          </cell>
          <cell r="E1100" t="str">
            <v>Gaviotas</v>
          </cell>
          <cell r="H1100" t="str">
            <v>consulta_externa</v>
          </cell>
          <cell r="J1100" t="str">
            <v>bueno</v>
          </cell>
          <cell r="K1100" t="str">
            <v>defsi</v>
          </cell>
        </row>
        <row r="1101">
          <cell r="B1101" t="b">
            <v>1</v>
          </cell>
          <cell r="E1101" t="str">
            <v>Gaviotas</v>
          </cell>
          <cell r="H1101" t="str">
            <v>laboratorio</v>
          </cell>
          <cell r="J1101" t="str">
            <v>bueno</v>
          </cell>
          <cell r="K1101" t="str">
            <v>defsi</v>
          </cell>
        </row>
        <row r="1102">
          <cell r="B1102" t="b">
            <v>1</v>
          </cell>
          <cell r="E1102" t="str">
            <v>Libano</v>
          </cell>
          <cell r="H1102" t="str">
            <v>consulta_externa</v>
          </cell>
          <cell r="J1102" t="str">
            <v>bueno</v>
          </cell>
          <cell r="K1102" t="str">
            <v>probsi</v>
          </cell>
        </row>
        <row r="1103">
          <cell r="B1103" t="b">
            <v>1</v>
          </cell>
          <cell r="E1103" t="str">
            <v>Libano</v>
          </cell>
          <cell r="H1103" t="str">
            <v>laboratorio</v>
          </cell>
          <cell r="J1103" t="str">
            <v>bueno</v>
          </cell>
          <cell r="K1103" t="str">
            <v>defsi</v>
          </cell>
        </row>
        <row r="1104">
          <cell r="B1104" t="b">
            <v>1</v>
          </cell>
          <cell r="E1104" t="str">
            <v>Libano</v>
          </cell>
          <cell r="H1104" t="str">
            <v>ecografias</v>
          </cell>
          <cell r="J1104" t="str">
            <v>bueno</v>
          </cell>
          <cell r="K1104" t="str">
            <v>defsi</v>
          </cell>
        </row>
        <row r="1105">
          <cell r="B1105" t="b">
            <v>1</v>
          </cell>
          <cell r="E1105" t="str">
            <v>Libano</v>
          </cell>
          <cell r="H1105" t="str">
            <v>ecografias</v>
          </cell>
          <cell r="J1105" t="str">
            <v>bueno</v>
          </cell>
          <cell r="K1105" t="str">
            <v>defsi</v>
          </cell>
        </row>
        <row r="1106">
          <cell r="B1106" t="b">
            <v>1</v>
          </cell>
          <cell r="E1106" t="str">
            <v>Libano</v>
          </cell>
          <cell r="H1106" t="str">
            <v>pediatria</v>
          </cell>
          <cell r="J1106" t="str">
            <v>bueno</v>
          </cell>
          <cell r="K1106" t="str">
            <v>defsi</v>
          </cell>
        </row>
        <row r="1107">
          <cell r="B1107" t="b">
            <v>1</v>
          </cell>
          <cell r="E1107" t="str">
            <v>Pasacaballos</v>
          </cell>
          <cell r="H1107" t="str">
            <v>consulta_externa</v>
          </cell>
          <cell r="J1107" t="str">
            <v>bueno</v>
          </cell>
          <cell r="K1107" t="str">
            <v>probsi</v>
          </cell>
        </row>
        <row r="1108">
          <cell r="B1108" t="b">
            <v>1</v>
          </cell>
          <cell r="E1108" t="str">
            <v>Pasacaballos</v>
          </cell>
          <cell r="H1108" t="str">
            <v>laboratorio</v>
          </cell>
          <cell r="J1108" t="str">
            <v>bueno</v>
          </cell>
          <cell r="K1108" t="str">
            <v>probsi</v>
          </cell>
        </row>
        <row r="1109">
          <cell r="B1109" t="b">
            <v>1</v>
          </cell>
          <cell r="E1109" t="str">
            <v>Pasacaballos</v>
          </cell>
          <cell r="H1109" t="str">
            <v>consulta_externa</v>
          </cell>
          <cell r="J1109" t="str">
            <v>bueno</v>
          </cell>
          <cell r="K1109" t="str">
            <v>probsi</v>
          </cell>
        </row>
        <row r="1110">
          <cell r="B1110" t="b">
            <v>1</v>
          </cell>
          <cell r="E1110" t="str">
            <v>Pasacaballos</v>
          </cell>
          <cell r="H1110" t="str">
            <v>salud_oral</v>
          </cell>
          <cell r="J1110" t="str">
            <v>bueno</v>
          </cell>
          <cell r="K1110" t="str">
            <v>probsi</v>
          </cell>
        </row>
        <row r="1111">
          <cell r="B1111" t="b">
            <v>1</v>
          </cell>
          <cell r="E1111" t="str">
            <v>Pasacaballos</v>
          </cell>
          <cell r="H1111" t="str">
            <v>consulta_externa</v>
          </cell>
          <cell r="J1111" t="str">
            <v>bueno</v>
          </cell>
          <cell r="K1111" t="str">
            <v>probsi</v>
          </cell>
        </row>
        <row r="1112">
          <cell r="B1112" t="b">
            <v>1</v>
          </cell>
          <cell r="E1112" t="str">
            <v>Pasacaballos</v>
          </cell>
          <cell r="H1112" t="str">
            <v>consulta_externa</v>
          </cell>
          <cell r="J1112" t="str">
            <v>bueno</v>
          </cell>
          <cell r="K1112" t="str">
            <v>probsi</v>
          </cell>
        </row>
        <row r="1113">
          <cell r="B1113" t="b">
            <v>1</v>
          </cell>
          <cell r="E1113" t="str">
            <v>Pasacaballos</v>
          </cell>
          <cell r="H1113" t="str">
            <v>consulta_externa</v>
          </cell>
          <cell r="J1113" t="str">
            <v>bueno</v>
          </cell>
          <cell r="K1113" t="str">
            <v>probsi</v>
          </cell>
        </row>
        <row r="1114">
          <cell r="B1114" t="b">
            <v>1</v>
          </cell>
          <cell r="E1114" t="str">
            <v>Pasacaballos</v>
          </cell>
          <cell r="H1114" t="str">
            <v>salud_oral</v>
          </cell>
          <cell r="J1114" t="str">
            <v>bueno</v>
          </cell>
          <cell r="K1114" t="str">
            <v>probsi</v>
          </cell>
        </row>
        <row r="1115">
          <cell r="B1115" t="b">
            <v>1</v>
          </cell>
          <cell r="E1115" t="str">
            <v>Pasacaballos</v>
          </cell>
          <cell r="H1115" t="str">
            <v>salud_oral</v>
          </cell>
          <cell r="J1115" t="str">
            <v>bueno</v>
          </cell>
          <cell r="K1115" t="str">
            <v>probsi</v>
          </cell>
        </row>
        <row r="1116">
          <cell r="B1116" t="b">
            <v>0</v>
          </cell>
          <cell r="E1116" t="str">
            <v>Pasacaballos</v>
          </cell>
          <cell r="H1116" t="str">
            <v>consulta_externa</v>
          </cell>
          <cell r="J1116" t="str">
            <v>regular</v>
          </cell>
          <cell r="K1116" t="str">
            <v>probsi</v>
          </cell>
        </row>
        <row r="1117">
          <cell r="B1117" t="b">
            <v>0</v>
          </cell>
          <cell r="E1117" t="str">
            <v>Pasacaballos</v>
          </cell>
          <cell r="H1117" t="str">
            <v>consulta_externa</v>
          </cell>
          <cell r="J1117" t="str">
            <v>regular</v>
          </cell>
          <cell r="K1117" t="str">
            <v>probsi</v>
          </cell>
        </row>
        <row r="1118">
          <cell r="B1118" t="b">
            <v>1</v>
          </cell>
          <cell r="E1118" t="str">
            <v>Pasacaballos</v>
          </cell>
          <cell r="H1118" t="str">
            <v>consulta_externa</v>
          </cell>
          <cell r="J1118" t="str">
            <v>bueno</v>
          </cell>
          <cell r="K1118" t="str">
            <v>probsi</v>
          </cell>
        </row>
        <row r="1119">
          <cell r="B1119" t="b">
            <v>0</v>
          </cell>
          <cell r="E1119" t="str">
            <v>Pasacaballos</v>
          </cell>
          <cell r="H1119" t="str">
            <v>consulta_externa</v>
          </cell>
          <cell r="J1119" t="str">
            <v>regular</v>
          </cell>
          <cell r="K1119" t="str">
            <v>probsi</v>
          </cell>
        </row>
        <row r="1120">
          <cell r="B1120" t="b">
            <v>1</v>
          </cell>
          <cell r="E1120" t="str">
            <v>Pasacaballos</v>
          </cell>
          <cell r="H1120" t="str">
            <v>laboratorio</v>
          </cell>
          <cell r="J1120" t="str">
            <v>bueno</v>
          </cell>
          <cell r="K1120" t="str">
            <v>probsi</v>
          </cell>
        </row>
        <row r="1121">
          <cell r="B1121" t="b">
            <v>1</v>
          </cell>
          <cell r="E1121" t="str">
            <v>Pasacaballos</v>
          </cell>
          <cell r="H1121" t="str">
            <v>laboratorio</v>
          </cell>
          <cell r="J1121" t="str">
            <v>bueno</v>
          </cell>
          <cell r="K1121" t="str">
            <v>probsi</v>
          </cell>
        </row>
        <row r="1122">
          <cell r="B1122" t="b">
            <v>1</v>
          </cell>
          <cell r="E1122" t="str">
            <v>Pasacaballos</v>
          </cell>
          <cell r="H1122" t="str">
            <v>salud_oral</v>
          </cell>
          <cell r="J1122" t="str">
            <v>bueno</v>
          </cell>
          <cell r="K1122" t="str">
            <v>probsi</v>
          </cell>
        </row>
        <row r="1123">
          <cell r="B1123" t="b">
            <v>1</v>
          </cell>
          <cell r="E1123" t="str">
            <v>Pasacaballos</v>
          </cell>
          <cell r="H1123" t="str">
            <v>salud_oral</v>
          </cell>
          <cell r="J1123" t="str">
            <v>bueno</v>
          </cell>
          <cell r="K1123" t="str">
            <v>probsi</v>
          </cell>
        </row>
        <row r="1124">
          <cell r="B1124" t="b">
            <v>1</v>
          </cell>
          <cell r="E1124" t="str">
            <v>Pasacaballos</v>
          </cell>
          <cell r="H1124" t="str">
            <v>salud_oral</v>
          </cell>
          <cell r="J1124" t="str">
            <v>bueno</v>
          </cell>
          <cell r="K1124" t="str">
            <v>probsi</v>
          </cell>
        </row>
        <row r="1125">
          <cell r="B1125" t="b">
            <v>1</v>
          </cell>
          <cell r="E1125" t="str">
            <v>Pasacaballos</v>
          </cell>
          <cell r="H1125" t="str">
            <v>consulta_externa</v>
          </cell>
          <cell r="J1125" t="str">
            <v>muybueno</v>
          </cell>
          <cell r="K1125" t="str">
            <v>probsi</v>
          </cell>
        </row>
        <row r="1126">
          <cell r="B1126" t="b">
            <v>1</v>
          </cell>
          <cell r="E1126" t="str">
            <v>Pasacaballos</v>
          </cell>
          <cell r="H1126" t="str">
            <v>salud_oral</v>
          </cell>
          <cell r="J1126" t="str">
            <v>bueno</v>
          </cell>
          <cell r="K1126" t="str">
            <v>probsi</v>
          </cell>
        </row>
        <row r="1127">
          <cell r="B1127" t="b">
            <v>1</v>
          </cell>
          <cell r="E1127" t="str">
            <v>Boston</v>
          </cell>
          <cell r="H1127" t="str">
            <v>consulta_externa</v>
          </cell>
          <cell r="J1127" t="str">
            <v>bueno</v>
          </cell>
          <cell r="K1127" t="str">
            <v>defsi</v>
          </cell>
        </row>
        <row r="1128">
          <cell r="B1128" t="b">
            <v>1</v>
          </cell>
          <cell r="E1128" t="str">
            <v>Boston</v>
          </cell>
          <cell r="H1128" t="str">
            <v>consulta_externa</v>
          </cell>
          <cell r="J1128" t="str">
            <v>bueno</v>
          </cell>
          <cell r="K1128" t="str">
            <v>defsi</v>
          </cell>
        </row>
        <row r="1129">
          <cell r="B1129" t="b">
            <v>1</v>
          </cell>
          <cell r="E1129" t="str">
            <v>Boston</v>
          </cell>
          <cell r="H1129" t="str">
            <v>consulta_externa</v>
          </cell>
          <cell r="J1129" t="str">
            <v>bueno</v>
          </cell>
          <cell r="K1129" t="str">
            <v>defsi</v>
          </cell>
        </row>
        <row r="1130">
          <cell r="B1130" t="b">
            <v>1</v>
          </cell>
          <cell r="E1130" t="str">
            <v>Boston</v>
          </cell>
          <cell r="H1130" t="str">
            <v>consulta_externa</v>
          </cell>
          <cell r="J1130" t="str">
            <v>bueno</v>
          </cell>
          <cell r="K1130" t="str">
            <v>defsi</v>
          </cell>
        </row>
        <row r="1131">
          <cell r="B1131" t="b">
            <v>1</v>
          </cell>
          <cell r="E1131" t="str">
            <v>Boston</v>
          </cell>
          <cell r="H1131" t="str">
            <v>consulta_externa</v>
          </cell>
          <cell r="J1131" t="str">
            <v>muybueno</v>
          </cell>
          <cell r="K1131" t="str">
            <v>defsi</v>
          </cell>
        </row>
        <row r="1132">
          <cell r="B1132" t="b">
            <v>1</v>
          </cell>
          <cell r="E1132" t="str">
            <v>Boston</v>
          </cell>
          <cell r="H1132" t="str">
            <v>consulta_externa</v>
          </cell>
          <cell r="J1132" t="str">
            <v>muybueno</v>
          </cell>
          <cell r="K1132" t="str">
            <v>defsi</v>
          </cell>
        </row>
        <row r="1133">
          <cell r="B1133" t="b">
            <v>1</v>
          </cell>
          <cell r="E1133" t="str">
            <v>Boston</v>
          </cell>
          <cell r="H1133" t="str">
            <v>consulta_externa</v>
          </cell>
          <cell r="J1133" t="str">
            <v>bueno</v>
          </cell>
          <cell r="K1133" t="str">
            <v>defsi</v>
          </cell>
        </row>
        <row r="1134">
          <cell r="B1134" t="b">
            <v>1</v>
          </cell>
          <cell r="E1134" t="str">
            <v>Boston</v>
          </cell>
          <cell r="H1134" t="str">
            <v>consulta_externa</v>
          </cell>
          <cell r="J1134" t="str">
            <v>bueno</v>
          </cell>
          <cell r="K1134" t="str">
            <v>defsi</v>
          </cell>
        </row>
        <row r="1135">
          <cell r="B1135" t="b">
            <v>1</v>
          </cell>
          <cell r="E1135" t="str">
            <v>Boston</v>
          </cell>
          <cell r="H1135" t="str">
            <v>consulta_externa</v>
          </cell>
          <cell r="J1135" t="str">
            <v>bueno</v>
          </cell>
          <cell r="K1135" t="str">
            <v>defsi</v>
          </cell>
        </row>
        <row r="1136">
          <cell r="B1136" t="b">
            <v>1</v>
          </cell>
          <cell r="E1136" t="str">
            <v>Libano</v>
          </cell>
          <cell r="H1136" t="str">
            <v>consulta_externa</v>
          </cell>
          <cell r="J1136" t="str">
            <v>bueno</v>
          </cell>
          <cell r="K1136" t="str">
            <v>defsi</v>
          </cell>
        </row>
        <row r="1137">
          <cell r="B1137" t="b">
            <v>0</v>
          </cell>
          <cell r="E1137" t="str">
            <v>Boston</v>
          </cell>
          <cell r="H1137" t="str">
            <v>consulta_externa</v>
          </cell>
          <cell r="J1137" t="str">
            <v>regular</v>
          </cell>
          <cell r="K1137" t="str">
            <v>defsi</v>
          </cell>
        </row>
        <row r="1138">
          <cell r="B1138" t="b">
            <v>1</v>
          </cell>
          <cell r="E1138" t="str">
            <v>Libano</v>
          </cell>
          <cell r="H1138" t="str">
            <v>salud_oral</v>
          </cell>
          <cell r="J1138" t="str">
            <v>bueno</v>
          </cell>
          <cell r="K1138" t="str">
            <v>defsi</v>
          </cell>
        </row>
        <row r="1139">
          <cell r="B1139" t="b">
            <v>1</v>
          </cell>
          <cell r="E1139" t="str">
            <v>Boston</v>
          </cell>
          <cell r="H1139" t="str">
            <v>consulta_externa</v>
          </cell>
          <cell r="J1139" t="str">
            <v>muybueno</v>
          </cell>
          <cell r="K1139" t="str">
            <v>defsi</v>
          </cell>
        </row>
        <row r="1140">
          <cell r="B1140" t="b">
            <v>1</v>
          </cell>
          <cell r="E1140" t="str">
            <v>Libano</v>
          </cell>
          <cell r="H1140" t="str">
            <v>laboratorio</v>
          </cell>
          <cell r="J1140" t="str">
            <v>bueno</v>
          </cell>
          <cell r="K1140" t="str">
            <v>defsi</v>
          </cell>
        </row>
        <row r="1141">
          <cell r="B1141" t="b">
            <v>1</v>
          </cell>
          <cell r="E1141" t="str">
            <v>Boston</v>
          </cell>
          <cell r="H1141" t="str">
            <v>consulta_externa</v>
          </cell>
          <cell r="J1141" t="str">
            <v>muybueno</v>
          </cell>
          <cell r="K1141" t="str">
            <v>defsi</v>
          </cell>
        </row>
        <row r="1142">
          <cell r="B1142" t="b">
            <v>1</v>
          </cell>
          <cell r="E1142" t="str">
            <v>Boston</v>
          </cell>
          <cell r="H1142" t="str">
            <v>consulta_externa</v>
          </cell>
          <cell r="J1142" t="str">
            <v>muybueno</v>
          </cell>
          <cell r="K1142" t="str">
            <v>defsi</v>
          </cell>
        </row>
        <row r="1143">
          <cell r="B1143" t="b">
            <v>1</v>
          </cell>
          <cell r="E1143" t="str">
            <v>Libano</v>
          </cell>
          <cell r="H1143" t="str">
            <v>ecografias</v>
          </cell>
          <cell r="J1143" t="str">
            <v>bueno</v>
          </cell>
          <cell r="K1143" t="str">
            <v>defsi</v>
          </cell>
        </row>
        <row r="1144">
          <cell r="B1144" t="b">
            <v>1</v>
          </cell>
          <cell r="E1144" t="str">
            <v>Boston</v>
          </cell>
          <cell r="H1144" t="str">
            <v>consulta_externa</v>
          </cell>
          <cell r="J1144" t="str">
            <v>bueno</v>
          </cell>
          <cell r="K1144" t="str">
            <v>defsi</v>
          </cell>
        </row>
        <row r="1145">
          <cell r="B1145" t="b">
            <v>1</v>
          </cell>
          <cell r="E1145" t="str">
            <v>Libano</v>
          </cell>
          <cell r="H1145" t="str">
            <v>ginecologia</v>
          </cell>
          <cell r="J1145" t="str">
            <v>bueno</v>
          </cell>
          <cell r="K1145" t="str">
            <v>defsi</v>
          </cell>
        </row>
        <row r="1146">
          <cell r="B1146" t="b">
            <v>1</v>
          </cell>
          <cell r="E1146" t="str">
            <v>Libano</v>
          </cell>
          <cell r="H1146" t="str">
            <v>pediatria</v>
          </cell>
          <cell r="J1146" t="str">
            <v>bueno</v>
          </cell>
          <cell r="K1146" t="str">
            <v>defsi</v>
          </cell>
        </row>
        <row r="1147">
          <cell r="B1147" t="b">
            <v>1</v>
          </cell>
          <cell r="E1147" t="str">
            <v>Libano</v>
          </cell>
          <cell r="H1147" t="str">
            <v>consulta_externa</v>
          </cell>
          <cell r="J1147" t="str">
            <v>bueno</v>
          </cell>
          <cell r="K1147" t="str">
            <v>defsi</v>
          </cell>
        </row>
        <row r="1148">
          <cell r="B1148" t="b">
            <v>1</v>
          </cell>
          <cell r="E1148" t="str">
            <v>Libano</v>
          </cell>
          <cell r="H1148" t="str">
            <v>salud_oral</v>
          </cell>
          <cell r="J1148" t="str">
            <v>bueno</v>
          </cell>
          <cell r="K1148" t="str">
            <v>defsi</v>
          </cell>
        </row>
        <row r="1149">
          <cell r="B1149" t="b">
            <v>1</v>
          </cell>
          <cell r="E1149" t="str">
            <v>Libano</v>
          </cell>
          <cell r="H1149" t="str">
            <v>laboratorio</v>
          </cell>
          <cell r="J1149" t="str">
            <v>bueno</v>
          </cell>
          <cell r="K1149" t="str">
            <v>defsi</v>
          </cell>
        </row>
        <row r="1150">
          <cell r="B1150" t="b">
            <v>1</v>
          </cell>
          <cell r="E1150" t="str">
            <v>Libano</v>
          </cell>
          <cell r="H1150" t="str">
            <v>ecografias</v>
          </cell>
          <cell r="J1150" t="str">
            <v>bueno</v>
          </cell>
          <cell r="K1150" t="str">
            <v>defsi</v>
          </cell>
        </row>
        <row r="1151">
          <cell r="B1151" t="b">
            <v>1</v>
          </cell>
          <cell r="E1151" t="str">
            <v>Libano</v>
          </cell>
          <cell r="H1151" t="str">
            <v>ginecologia</v>
          </cell>
          <cell r="J1151" t="str">
            <v>bueno</v>
          </cell>
          <cell r="K1151" t="str">
            <v>defsi</v>
          </cell>
        </row>
        <row r="1152">
          <cell r="B1152" t="b">
            <v>1</v>
          </cell>
          <cell r="E1152" t="str">
            <v>Libano</v>
          </cell>
          <cell r="H1152" t="str">
            <v>pediatria</v>
          </cell>
          <cell r="J1152" t="str">
            <v>bueno</v>
          </cell>
          <cell r="K1152" t="str">
            <v>defsi</v>
          </cell>
        </row>
        <row r="1153">
          <cell r="B1153" t="b">
            <v>1</v>
          </cell>
          <cell r="E1153" t="str">
            <v>Libano</v>
          </cell>
          <cell r="H1153" t="str">
            <v>consulta_externa</v>
          </cell>
          <cell r="J1153" t="str">
            <v>bueno</v>
          </cell>
          <cell r="K1153" t="str">
            <v>defsi</v>
          </cell>
        </row>
        <row r="1154">
          <cell r="B1154" t="b">
            <v>1</v>
          </cell>
          <cell r="E1154" t="str">
            <v>Libano</v>
          </cell>
          <cell r="H1154" t="str">
            <v>salud_oral</v>
          </cell>
          <cell r="J1154" t="str">
            <v>bueno</v>
          </cell>
          <cell r="K1154" t="str">
            <v>defsi</v>
          </cell>
        </row>
        <row r="1155">
          <cell r="B1155" t="b">
            <v>0</v>
          </cell>
          <cell r="E1155" t="str">
            <v>Nelson Mandela UPA</v>
          </cell>
          <cell r="H1155" t="str">
            <v>consulta_externa</v>
          </cell>
          <cell r="J1155" t="str">
            <v>regular</v>
          </cell>
          <cell r="K1155" t="str">
            <v>defsi</v>
          </cell>
        </row>
        <row r="1156">
          <cell r="B1156" t="b">
            <v>0</v>
          </cell>
          <cell r="E1156" t="str">
            <v>Nelson Mandela UPA</v>
          </cell>
          <cell r="H1156" t="str">
            <v>salud_oral</v>
          </cell>
          <cell r="J1156" t="str">
            <v>regular</v>
          </cell>
          <cell r="K1156" t="str">
            <v>defsi</v>
          </cell>
        </row>
        <row r="1157">
          <cell r="B1157" t="b">
            <v>0</v>
          </cell>
          <cell r="E1157" t="str">
            <v>Nelson Mandela UPA</v>
          </cell>
          <cell r="H1157" t="str">
            <v>laboratorio</v>
          </cell>
          <cell r="J1157" t="str">
            <v>regular</v>
          </cell>
          <cell r="K1157" t="str">
            <v>defsi</v>
          </cell>
        </row>
        <row r="1158">
          <cell r="B1158" t="b">
            <v>0</v>
          </cell>
          <cell r="E1158" t="str">
            <v>Nelson Mandela UPA</v>
          </cell>
          <cell r="H1158" t="str">
            <v>consulta_externa</v>
          </cell>
          <cell r="J1158" t="str">
            <v>regular</v>
          </cell>
          <cell r="K1158" t="str">
            <v>probsi</v>
          </cell>
        </row>
        <row r="1159">
          <cell r="B1159" t="b">
            <v>1</v>
          </cell>
          <cell r="E1159" t="str">
            <v>Nelson Mandela UPA</v>
          </cell>
          <cell r="H1159" t="str">
            <v>consulta_externa</v>
          </cell>
          <cell r="J1159" t="str">
            <v>bueno</v>
          </cell>
          <cell r="K1159" t="str">
            <v>defsi</v>
          </cell>
        </row>
        <row r="1160">
          <cell r="B1160" t="b">
            <v>1</v>
          </cell>
          <cell r="E1160" t="str">
            <v>Nelson Mandela UPA</v>
          </cell>
          <cell r="H1160" t="str">
            <v>laboratorio</v>
          </cell>
          <cell r="J1160" t="str">
            <v>bueno</v>
          </cell>
          <cell r="K1160" t="str">
            <v>defsi</v>
          </cell>
        </row>
        <row r="1161">
          <cell r="B1161" t="b">
            <v>1</v>
          </cell>
          <cell r="E1161" t="str">
            <v>Nelson Mandela UPA</v>
          </cell>
          <cell r="H1161" t="str">
            <v>laboratorio</v>
          </cell>
          <cell r="J1161" t="str">
            <v>bueno</v>
          </cell>
          <cell r="K1161" t="str">
            <v>defsi</v>
          </cell>
        </row>
        <row r="1162">
          <cell r="B1162" t="b">
            <v>1</v>
          </cell>
          <cell r="E1162" t="str">
            <v>Nelson Mandela UPA</v>
          </cell>
          <cell r="H1162" t="str">
            <v>consulta_externa</v>
          </cell>
          <cell r="J1162" t="str">
            <v>bueno</v>
          </cell>
          <cell r="K1162" t="str">
            <v>probsi</v>
          </cell>
        </row>
        <row r="1163">
          <cell r="B1163" t="b">
            <v>1</v>
          </cell>
          <cell r="E1163" t="str">
            <v>Nelson Mandela UPA</v>
          </cell>
          <cell r="H1163" t="str">
            <v>salud_oral</v>
          </cell>
          <cell r="J1163" t="str">
            <v>bueno</v>
          </cell>
          <cell r="K1163" t="str">
            <v>probsi</v>
          </cell>
        </row>
        <row r="1164">
          <cell r="B1164" t="b">
            <v>1</v>
          </cell>
          <cell r="E1164" t="str">
            <v>Nelson Mandela UPA</v>
          </cell>
          <cell r="H1164" t="str">
            <v>consulta_externa</v>
          </cell>
          <cell r="J1164" t="str">
            <v>bueno</v>
          </cell>
          <cell r="K1164" t="str">
            <v>defsi</v>
          </cell>
        </row>
        <row r="1165">
          <cell r="B1165" t="b">
            <v>1</v>
          </cell>
          <cell r="E1165" t="str">
            <v>Libano</v>
          </cell>
          <cell r="H1165" t="str">
            <v>consulta_externa</v>
          </cell>
          <cell r="J1165" t="str">
            <v>bueno</v>
          </cell>
          <cell r="K1165" t="str">
            <v>defsi</v>
          </cell>
        </row>
        <row r="1166">
          <cell r="B1166" t="b">
            <v>1</v>
          </cell>
          <cell r="E1166" t="str">
            <v>Libano</v>
          </cell>
          <cell r="H1166" t="str">
            <v>salud_oral</v>
          </cell>
          <cell r="J1166" t="str">
            <v>bueno</v>
          </cell>
          <cell r="K1166" t="str">
            <v>defsi</v>
          </cell>
        </row>
        <row r="1167">
          <cell r="B1167" t="b">
            <v>1</v>
          </cell>
          <cell r="E1167" t="str">
            <v>Nelson Mandela UPA</v>
          </cell>
          <cell r="H1167" t="str">
            <v>salud_oral</v>
          </cell>
          <cell r="J1167" t="str">
            <v>bueno</v>
          </cell>
          <cell r="K1167" t="str">
            <v>defsi</v>
          </cell>
        </row>
        <row r="1168">
          <cell r="B1168" t="b">
            <v>1</v>
          </cell>
          <cell r="E1168" t="str">
            <v>Libano</v>
          </cell>
          <cell r="H1168" t="str">
            <v>laboratorio</v>
          </cell>
          <cell r="J1168" t="str">
            <v>bueno</v>
          </cell>
          <cell r="K1168" t="str">
            <v>defsi</v>
          </cell>
        </row>
        <row r="1169">
          <cell r="B1169" t="b">
            <v>1</v>
          </cell>
          <cell r="E1169" t="str">
            <v>Nelson Mandela UPA</v>
          </cell>
          <cell r="H1169" t="str">
            <v>consulta_externa</v>
          </cell>
          <cell r="J1169" t="str">
            <v>bueno</v>
          </cell>
          <cell r="K1169" t="str">
            <v>defsi</v>
          </cell>
        </row>
        <row r="1170">
          <cell r="B1170" t="b">
            <v>1</v>
          </cell>
          <cell r="E1170" t="str">
            <v>Nelson Mandela UPA</v>
          </cell>
          <cell r="H1170" t="str">
            <v>salud_oral</v>
          </cell>
          <cell r="J1170" t="str">
            <v>bueno</v>
          </cell>
          <cell r="K1170" t="str">
            <v>defsi</v>
          </cell>
        </row>
        <row r="1171">
          <cell r="B1171" t="b">
            <v>1</v>
          </cell>
          <cell r="E1171" t="str">
            <v>Nelson Mandela UPA</v>
          </cell>
          <cell r="H1171" t="str">
            <v>consulta_externa</v>
          </cell>
          <cell r="J1171" t="str">
            <v>bueno</v>
          </cell>
          <cell r="K1171" t="str">
            <v>probsi</v>
          </cell>
        </row>
        <row r="1172">
          <cell r="B1172" t="b">
            <v>0</v>
          </cell>
          <cell r="E1172" t="str">
            <v>Nelson Mandela UPA</v>
          </cell>
          <cell r="H1172" t="str">
            <v>urgencia</v>
          </cell>
          <cell r="J1172" t="str">
            <v>malo</v>
          </cell>
          <cell r="K1172" t="str">
            <v>defno</v>
          </cell>
        </row>
        <row r="1173">
          <cell r="B1173" t="b">
            <v>1</v>
          </cell>
          <cell r="E1173" t="str">
            <v>Nelson Mandela UPA</v>
          </cell>
          <cell r="H1173" t="str">
            <v>consulta_externa</v>
          </cell>
          <cell r="J1173" t="str">
            <v>bueno</v>
          </cell>
          <cell r="K1173" t="str">
            <v>defsi</v>
          </cell>
        </row>
        <row r="1174">
          <cell r="B1174" t="b">
            <v>1</v>
          </cell>
          <cell r="E1174" t="str">
            <v>Nelson Mandela UPA</v>
          </cell>
          <cell r="H1174" t="str">
            <v>laboratorio</v>
          </cell>
          <cell r="J1174" t="str">
            <v>bueno</v>
          </cell>
          <cell r="K1174" t="str">
            <v>defsi</v>
          </cell>
        </row>
        <row r="1175">
          <cell r="B1175" t="b">
            <v>0</v>
          </cell>
          <cell r="E1175" t="str">
            <v>Nelson Mandela UPA</v>
          </cell>
          <cell r="H1175" t="str">
            <v>consulta_externa</v>
          </cell>
          <cell r="J1175" t="str">
            <v>regular</v>
          </cell>
          <cell r="K1175" t="str">
            <v>probsi</v>
          </cell>
        </row>
        <row r="1176">
          <cell r="B1176" t="b">
            <v>1</v>
          </cell>
          <cell r="E1176" t="str">
            <v>Nelson Mandela UPA</v>
          </cell>
          <cell r="H1176" t="str">
            <v>consulta_externa</v>
          </cell>
          <cell r="J1176" t="str">
            <v>bueno</v>
          </cell>
          <cell r="K1176" t="str">
            <v>defsi</v>
          </cell>
        </row>
        <row r="1177">
          <cell r="B1177" t="b">
            <v>1</v>
          </cell>
          <cell r="E1177" t="str">
            <v>Nelson Mandela UPA</v>
          </cell>
          <cell r="H1177" t="str">
            <v>salud_oral</v>
          </cell>
          <cell r="J1177" t="str">
            <v>muybueno</v>
          </cell>
          <cell r="K1177" t="str">
            <v>defsi</v>
          </cell>
        </row>
        <row r="1178">
          <cell r="B1178" t="b">
            <v>1</v>
          </cell>
          <cell r="E1178" t="str">
            <v>Libano</v>
          </cell>
          <cell r="H1178" t="str">
            <v>ecografias</v>
          </cell>
          <cell r="J1178" t="str">
            <v>bueno</v>
          </cell>
          <cell r="K1178" t="str">
            <v>defsi</v>
          </cell>
        </row>
        <row r="1179">
          <cell r="B1179" t="b">
            <v>1</v>
          </cell>
          <cell r="E1179" t="str">
            <v>Libano</v>
          </cell>
          <cell r="H1179" t="str">
            <v>ginecologia</v>
          </cell>
          <cell r="J1179" t="str">
            <v>bueno</v>
          </cell>
          <cell r="K1179" t="str">
            <v>defsi</v>
          </cell>
        </row>
        <row r="1180">
          <cell r="B1180" t="b">
            <v>1</v>
          </cell>
          <cell r="E1180" t="str">
            <v>Libano</v>
          </cell>
          <cell r="H1180" t="str">
            <v>pediatria</v>
          </cell>
          <cell r="J1180" t="str">
            <v>bueno</v>
          </cell>
          <cell r="K1180" t="str">
            <v>defsi</v>
          </cell>
        </row>
        <row r="1181">
          <cell r="B1181" t="b">
            <v>1</v>
          </cell>
          <cell r="E1181" t="str">
            <v>Libano</v>
          </cell>
          <cell r="H1181" t="str">
            <v>consulta_externa</v>
          </cell>
          <cell r="J1181" t="str">
            <v>bueno</v>
          </cell>
          <cell r="K1181" t="str">
            <v>defsi</v>
          </cell>
        </row>
        <row r="1182">
          <cell r="B1182" t="b">
            <v>1</v>
          </cell>
          <cell r="E1182" t="str">
            <v>Libano</v>
          </cell>
          <cell r="H1182" t="str">
            <v>salud_oral</v>
          </cell>
          <cell r="J1182" t="str">
            <v>bueno</v>
          </cell>
          <cell r="K1182" t="str">
            <v>defsi</v>
          </cell>
        </row>
        <row r="1183">
          <cell r="B1183" t="b">
            <v>1</v>
          </cell>
          <cell r="E1183" t="str">
            <v>Nelson Mandela UPA</v>
          </cell>
          <cell r="H1183" t="str">
            <v>urgencia</v>
          </cell>
          <cell r="J1183" t="str">
            <v>bueno</v>
          </cell>
          <cell r="K1183" t="str">
            <v>defsi</v>
          </cell>
        </row>
        <row r="1184">
          <cell r="B1184" t="b">
            <v>1</v>
          </cell>
          <cell r="E1184" t="str">
            <v>Nelson Mandela UPA</v>
          </cell>
          <cell r="H1184" t="str">
            <v>urgencia</v>
          </cell>
          <cell r="J1184" t="str">
            <v>bueno</v>
          </cell>
          <cell r="K1184" t="str">
            <v>defsi</v>
          </cell>
        </row>
        <row r="1185">
          <cell r="B1185" t="b">
            <v>1</v>
          </cell>
          <cell r="E1185" t="str">
            <v>Libano</v>
          </cell>
          <cell r="H1185" t="str">
            <v>laboratorio</v>
          </cell>
          <cell r="J1185" t="str">
            <v>bueno</v>
          </cell>
          <cell r="K1185" t="str">
            <v>defsi</v>
          </cell>
        </row>
        <row r="1186">
          <cell r="B1186" t="b">
            <v>1</v>
          </cell>
          <cell r="E1186" t="str">
            <v>Libano</v>
          </cell>
          <cell r="H1186" t="str">
            <v>ecografias</v>
          </cell>
          <cell r="J1186" t="str">
            <v>bueno</v>
          </cell>
          <cell r="K1186" t="str">
            <v>defsi</v>
          </cell>
        </row>
        <row r="1187">
          <cell r="B1187" t="b">
            <v>1</v>
          </cell>
          <cell r="E1187" t="str">
            <v>Libano</v>
          </cell>
          <cell r="H1187" t="str">
            <v>ginecologia</v>
          </cell>
          <cell r="J1187" t="str">
            <v>bueno</v>
          </cell>
          <cell r="K1187" t="str">
            <v>defsi</v>
          </cell>
        </row>
        <row r="1188">
          <cell r="B1188" t="b">
            <v>0</v>
          </cell>
          <cell r="E1188" t="str">
            <v>Arroz Barato</v>
          </cell>
          <cell r="H1188" t="str">
            <v>consulta_externa</v>
          </cell>
          <cell r="J1188" t="str">
            <v>regular</v>
          </cell>
          <cell r="K1188" t="str">
            <v>probsi</v>
          </cell>
        </row>
        <row r="1189">
          <cell r="B1189" t="b">
            <v>0</v>
          </cell>
          <cell r="E1189" t="str">
            <v>Arroz Barato</v>
          </cell>
          <cell r="H1189" t="str">
            <v>consulta_externa</v>
          </cell>
          <cell r="J1189" t="str">
            <v>regular</v>
          </cell>
          <cell r="K1189" t="str">
            <v>probsi</v>
          </cell>
        </row>
        <row r="1190">
          <cell r="B1190" t="b">
            <v>1</v>
          </cell>
          <cell r="E1190" t="str">
            <v>Arroz Barato</v>
          </cell>
          <cell r="H1190" t="str">
            <v>salud_oral</v>
          </cell>
          <cell r="J1190" t="str">
            <v>bueno</v>
          </cell>
          <cell r="K1190" t="str">
            <v>probsi</v>
          </cell>
        </row>
        <row r="1191">
          <cell r="B1191" t="b">
            <v>1</v>
          </cell>
          <cell r="E1191" t="str">
            <v>Arroz Barato</v>
          </cell>
          <cell r="H1191" t="str">
            <v>salud_oral</v>
          </cell>
          <cell r="J1191" t="str">
            <v>bueno</v>
          </cell>
          <cell r="K1191" t="str">
            <v>probsi</v>
          </cell>
        </row>
        <row r="1192">
          <cell r="B1192" t="b">
            <v>1</v>
          </cell>
          <cell r="E1192" t="str">
            <v>Arroz Barato</v>
          </cell>
          <cell r="H1192" t="str">
            <v>salud_oral</v>
          </cell>
          <cell r="J1192" t="str">
            <v>bueno</v>
          </cell>
          <cell r="K1192" t="str">
            <v>probsi</v>
          </cell>
        </row>
        <row r="1193">
          <cell r="B1193" t="b">
            <v>1</v>
          </cell>
          <cell r="E1193" t="str">
            <v>Arroz Barato</v>
          </cell>
          <cell r="H1193" t="str">
            <v>salud_oral</v>
          </cell>
          <cell r="J1193" t="str">
            <v>bueno</v>
          </cell>
          <cell r="K1193" t="str">
            <v>probsi</v>
          </cell>
        </row>
        <row r="1194">
          <cell r="B1194" t="b">
            <v>1</v>
          </cell>
          <cell r="E1194" t="str">
            <v>Arroz Barato</v>
          </cell>
          <cell r="H1194" t="str">
            <v>laboratorio</v>
          </cell>
          <cell r="J1194" t="str">
            <v>bueno</v>
          </cell>
          <cell r="K1194" t="str">
            <v>probsi</v>
          </cell>
        </row>
        <row r="1195">
          <cell r="B1195" t="b">
            <v>1</v>
          </cell>
          <cell r="E1195" t="str">
            <v>Arroz Barato</v>
          </cell>
          <cell r="H1195" t="str">
            <v>laboratorio</v>
          </cell>
          <cell r="J1195" t="str">
            <v>bueno</v>
          </cell>
          <cell r="K1195" t="str">
            <v>probsi</v>
          </cell>
        </row>
        <row r="1196">
          <cell r="B1196" t="b">
            <v>1</v>
          </cell>
          <cell r="E1196" t="str">
            <v>Arroz Barato</v>
          </cell>
          <cell r="H1196" t="str">
            <v>laboratorio</v>
          </cell>
          <cell r="J1196" t="str">
            <v>bueno</v>
          </cell>
          <cell r="K1196" t="str">
            <v>probsi</v>
          </cell>
        </row>
        <row r="1197">
          <cell r="B1197" t="b">
            <v>1</v>
          </cell>
          <cell r="E1197" t="str">
            <v>Arroz Barato</v>
          </cell>
          <cell r="H1197" t="str">
            <v>laboratorio</v>
          </cell>
          <cell r="J1197" t="str">
            <v>bueno</v>
          </cell>
          <cell r="K1197" t="str">
            <v>probsi</v>
          </cell>
        </row>
        <row r="1198">
          <cell r="B1198" t="b">
            <v>1</v>
          </cell>
          <cell r="E1198" t="str">
            <v>Arroz Barato</v>
          </cell>
          <cell r="H1198" t="str">
            <v>laboratorio</v>
          </cell>
          <cell r="J1198" t="str">
            <v>bueno</v>
          </cell>
          <cell r="K1198" t="str">
            <v>probsi</v>
          </cell>
        </row>
        <row r="1199">
          <cell r="B1199" t="b">
            <v>0</v>
          </cell>
          <cell r="E1199" t="str">
            <v>Arroz Barato</v>
          </cell>
          <cell r="H1199" t="str">
            <v>urgencia</v>
          </cell>
          <cell r="J1199" t="str">
            <v>regular</v>
          </cell>
          <cell r="K1199" t="str">
            <v>probsi</v>
          </cell>
        </row>
        <row r="1200">
          <cell r="B1200" t="b">
            <v>0</v>
          </cell>
          <cell r="E1200" t="str">
            <v>Arroz Barato</v>
          </cell>
          <cell r="H1200" t="str">
            <v>urgencia</v>
          </cell>
          <cell r="J1200" t="str">
            <v>regular</v>
          </cell>
          <cell r="K1200" t="str">
            <v>probsi</v>
          </cell>
        </row>
        <row r="1201">
          <cell r="B1201" t="b">
            <v>1</v>
          </cell>
          <cell r="E1201" t="str">
            <v>Arroz Barato</v>
          </cell>
          <cell r="H1201" t="str">
            <v>urgencia</v>
          </cell>
          <cell r="J1201" t="str">
            <v>bueno</v>
          </cell>
          <cell r="K1201" t="str">
            <v>probsi</v>
          </cell>
        </row>
        <row r="1202">
          <cell r="B1202" t="b">
            <v>1</v>
          </cell>
          <cell r="E1202" t="str">
            <v>Arroz Barato</v>
          </cell>
          <cell r="H1202" t="str">
            <v>urgencia</v>
          </cell>
          <cell r="J1202" t="str">
            <v>bueno</v>
          </cell>
          <cell r="K1202" t="str">
            <v>probsi</v>
          </cell>
        </row>
        <row r="1203">
          <cell r="B1203" t="b">
            <v>1</v>
          </cell>
          <cell r="E1203" t="str">
            <v>Arroz Barato</v>
          </cell>
          <cell r="H1203" t="str">
            <v>urgencia</v>
          </cell>
          <cell r="J1203" t="str">
            <v>bueno</v>
          </cell>
          <cell r="K1203" t="str">
            <v>probsi</v>
          </cell>
        </row>
        <row r="1204">
          <cell r="B1204" t="b">
            <v>1</v>
          </cell>
          <cell r="E1204" t="str">
            <v>Libano</v>
          </cell>
          <cell r="H1204" t="str">
            <v>pediatria</v>
          </cell>
          <cell r="J1204" t="str">
            <v>bueno</v>
          </cell>
          <cell r="K1204" t="str">
            <v>defsi</v>
          </cell>
        </row>
        <row r="1205">
          <cell r="B1205" t="b">
            <v>1</v>
          </cell>
          <cell r="E1205" t="str">
            <v>Arroz Barato</v>
          </cell>
          <cell r="H1205" t="str">
            <v>urgencia</v>
          </cell>
          <cell r="J1205" t="str">
            <v>bueno</v>
          </cell>
          <cell r="K1205" t="str">
            <v>probsi</v>
          </cell>
        </row>
        <row r="1206">
          <cell r="B1206" t="b">
            <v>1</v>
          </cell>
          <cell r="E1206" t="str">
            <v>Arroz Barato</v>
          </cell>
          <cell r="H1206" t="str">
            <v>urgencia</v>
          </cell>
          <cell r="J1206" t="str">
            <v>bueno</v>
          </cell>
          <cell r="K1206" t="str">
            <v>probsi</v>
          </cell>
        </row>
        <row r="1207">
          <cell r="B1207" t="b">
            <v>1</v>
          </cell>
          <cell r="E1207" t="str">
            <v>Arroz Barato</v>
          </cell>
          <cell r="H1207" t="str">
            <v>urgencia</v>
          </cell>
          <cell r="J1207" t="str">
            <v>bueno</v>
          </cell>
          <cell r="K1207" t="str">
            <v>probsi</v>
          </cell>
        </row>
        <row r="1208">
          <cell r="B1208" t="b">
            <v>1</v>
          </cell>
          <cell r="E1208" t="str">
            <v>Pasacaballos</v>
          </cell>
          <cell r="H1208" t="str">
            <v>laboratorio</v>
          </cell>
          <cell r="J1208" t="str">
            <v>bueno</v>
          </cell>
          <cell r="K1208" t="str">
            <v>probsi</v>
          </cell>
        </row>
        <row r="1209">
          <cell r="B1209" t="b">
            <v>1</v>
          </cell>
          <cell r="E1209" t="str">
            <v>Pasacaballos</v>
          </cell>
          <cell r="H1209" t="str">
            <v>laboratorio</v>
          </cell>
          <cell r="J1209" t="str">
            <v>bueno</v>
          </cell>
          <cell r="K1209" t="str">
            <v>probsi</v>
          </cell>
        </row>
        <row r="1210">
          <cell r="B1210" t="b">
            <v>1</v>
          </cell>
          <cell r="E1210" t="str">
            <v>Pasacaballos</v>
          </cell>
          <cell r="H1210" t="str">
            <v>laboratorio</v>
          </cell>
          <cell r="J1210" t="str">
            <v>bueno</v>
          </cell>
          <cell r="K1210" t="str">
            <v>probsi</v>
          </cell>
        </row>
        <row r="1211">
          <cell r="B1211" t="b">
            <v>1</v>
          </cell>
          <cell r="E1211" t="str">
            <v>Pasacaballos</v>
          </cell>
          <cell r="H1211" t="str">
            <v>laboratorio</v>
          </cell>
          <cell r="J1211" t="str">
            <v>bueno</v>
          </cell>
          <cell r="K1211" t="str">
            <v>probsi</v>
          </cell>
        </row>
        <row r="1212">
          <cell r="B1212" t="b">
            <v>1</v>
          </cell>
          <cell r="E1212" t="str">
            <v>Pasacaballos</v>
          </cell>
          <cell r="H1212" t="str">
            <v>laboratorio</v>
          </cell>
          <cell r="J1212" t="str">
            <v>bueno</v>
          </cell>
          <cell r="K1212" t="str">
            <v>probsi</v>
          </cell>
        </row>
        <row r="1213">
          <cell r="B1213" t="b">
            <v>1</v>
          </cell>
          <cell r="E1213" t="str">
            <v>Pasacaballos</v>
          </cell>
          <cell r="H1213" t="str">
            <v>laboratorio</v>
          </cell>
          <cell r="J1213" t="str">
            <v>bueno</v>
          </cell>
          <cell r="K1213" t="str">
            <v>probsi</v>
          </cell>
        </row>
        <row r="1214">
          <cell r="B1214" t="b">
            <v>1</v>
          </cell>
          <cell r="E1214" t="str">
            <v>Pasacaballos</v>
          </cell>
          <cell r="H1214" t="str">
            <v>laboratorio</v>
          </cell>
          <cell r="J1214" t="str">
            <v>bueno</v>
          </cell>
          <cell r="K1214" t="str">
            <v>probsi</v>
          </cell>
        </row>
        <row r="1215">
          <cell r="B1215" t="b">
            <v>1</v>
          </cell>
          <cell r="E1215" t="str">
            <v>Pasacaballos</v>
          </cell>
          <cell r="H1215" t="str">
            <v>laboratorio</v>
          </cell>
          <cell r="J1215" t="str">
            <v>bueno</v>
          </cell>
          <cell r="K1215" t="str">
            <v>probsi</v>
          </cell>
        </row>
        <row r="1216">
          <cell r="B1216" t="b">
            <v>1</v>
          </cell>
          <cell r="E1216" t="str">
            <v>Pasacaballos</v>
          </cell>
          <cell r="H1216" t="str">
            <v>laboratorio</v>
          </cell>
          <cell r="J1216" t="str">
            <v>bueno</v>
          </cell>
          <cell r="K1216" t="str">
            <v>probsi</v>
          </cell>
        </row>
        <row r="1217">
          <cell r="B1217" t="b">
            <v>0</v>
          </cell>
          <cell r="E1217" t="str">
            <v>Pasacaballos</v>
          </cell>
          <cell r="H1217" t="str">
            <v>laboratorio</v>
          </cell>
          <cell r="J1217" t="str">
            <v>regular</v>
          </cell>
          <cell r="K1217" t="str">
            <v>probsi</v>
          </cell>
        </row>
        <row r="1218">
          <cell r="B1218" t="b">
            <v>0</v>
          </cell>
          <cell r="E1218" t="str">
            <v>Pasacaballos</v>
          </cell>
          <cell r="H1218" t="str">
            <v>laboratorio</v>
          </cell>
          <cell r="J1218" t="str">
            <v>regular</v>
          </cell>
          <cell r="K1218" t="str">
            <v>probsi</v>
          </cell>
        </row>
        <row r="1219">
          <cell r="B1219" t="b">
            <v>0</v>
          </cell>
          <cell r="E1219" t="str">
            <v>Pasacaballos</v>
          </cell>
          <cell r="H1219" t="str">
            <v>salud_oral</v>
          </cell>
          <cell r="J1219" t="str">
            <v>regular</v>
          </cell>
          <cell r="K1219" t="str">
            <v>probsi</v>
          </cell>
        </row>
        <row r="1220">
          <cell r="B1220" t="b">
            <v>0</v>
          </cell>
          <cell r="E1220" t="str">
            <v>Pasacaballos</v>
          </cell>
          <cell r="H1220" t="str">
            <v>salud_oral</v>
          </cell>
          <cell r="J1220" t="str">
            <v>regular</v>
          </cell>
          <cell r="K1220" t="str">
            <v>probsi</v>
          </cell>
        </row>
        <row r="1221">
          <cell r="B1221" t="b">
            <v>0</v>
          </cell>
          <cell r="E1221" t="str">
            <v>Pasacaballos</v>
          </cell>
          <cell r="H1221" t="str">
            <v>salud_oral</v>
          </cell>
          <cell r="J1221" t="str">
            <v>regular</v>
          </cell>
          <cell r="K1221" t="str">
            <v>probsi</v>
          </cell>
        </row>
        <row r="1222">
          <cell r="B1222" t="b">
            <v>0</v>
          </cell>
          <cell r="E1222" t="str">
            <v>Pasacaballos</v>
          </cell>
          <cell r="H1222" t="str">
            <v>salud_oral</v>
          </cell>
          <cell r="J1222" t="str">
            <v>regular</v>
          </cell>
          <cell r="K1222" t="str">
            <v>probsi</v>
          </cell>
        </row>
        <row r="1223">
          <cell r="B1223" t="b">
            <v>1</v>
          </cell>
          <cell r="E1223" t="str">
            <v>Pasacaballos</v>
          </cell>
          <cell r="H1223" t="str">
            <v>salud_oral</v>
          </cell>
          <cell r="J1223" t="str">
            <v>bueno</v>
          </cell>
          <cell r="K1223" t="str">
            <v>probsi</v>
          </cell>
        </row>
        <row r="1224">
          <cell r="B1224" t="b">
            <v>1</v>
          </cell>
          <cell r="E1224" t="str">
            <v>Pasacaballos</v>
          </cell>
          <cell r="H1224" t="str">
            <v>salud_oral</v>
          </cell>
          <cell r="J1224" t="str">
            <v>bueno</v>
          </cell>
          <cell r="K1224" t="str">
            <v>probsi</v>
          </cell>
        </row>
        <row r="1225">
          <cell r="B1225" t="b">
            <v>1</v>
          </cell>
          <cell r="E1225" t="str">
            <v>Pasacaballos</v>
          </cell>
          <cell r="H1225" t="str">
            <v>salud_oral</v>
          </cell>
          <cell r="J1225" t="str">
            <v>bueno</v>
          </cell>
          <cell r="K1225" t="str">
            <v>probsi</v>
          </cell>
        </row>
        <row r="1226">
          <cell r="B1226" t="b">
            <v>1</v>
          </cell>
          <cell r="E1226" t="str">
            <v>Nelson Mandela UPA</v>
          </cell>
          <cell r="H1226" t="str">
            <v>salud_oral</v>
          </cell>
          <cell r="J1226" t="str">
            <v>bueno</v>
          </cell>
          <cell r="K1226" t="str">
            <v>defsi</v>
          </cell>
        </row>
        <row r="1227">
          <cell r="B1227" t="b">
            <v>1</v>
          </cell>
          <cell r="E1227" t="str">
            <v>Nelson Mandela UPA</v>
          </cell>
          <cell r="H1227" t="str">
            <v>salud_oral</v>
          </cell>
          <cell r="J1227" t="str">
            <v>bueno</v>
          </cell>
          <cell r="K1227" t="str">
            <v>defsi</v>
          </cell>
        </row>
        <row r="1228">
          <cell r="B1228" t="b">
            <v>1</v>
          </cell>
          <cell r="E1228" t="str">
            <v>Nelson Mandela UPA</v>
          </cell>
          <cell r="H1228" t="str">
            <v>laboratorio</v>
          </cell>
          <cell r="J1228" t="str">
            <v>bueno</v>
          </cell>
          <cell r="K1228" t="str">
            <v>defsi</v>
          </cell>
        </row>
        <row r="1229">
          <cell r="B1229" t="b">
            <v>1</v>
          </cell>
          <cell r="E1229" t="str">
            <v>Nelson Mandela UPA</v>
          </cell>
          <cell r="H1229" t="str">
            <v>consulta_externa</v>
          </cell>
          <cell r="J1229" t="str">
            <v>bueno</v>
          </cell>
          <cell r="K1229" t="str">
            <v>defsi</v>
          </cell>
        </row>
        <row r="1230">
          <cell r="B1230" t="b">
            <v>1</v>
          </cell>
          <cell r="E1230" t="str">
            <v>Nelson Mandela UPA</v>
          </cell>
          <cell r="H1230" t="str">
            <v>consulta_externa</v>
          </cell>
          <cell r="J1230" t="str">
            <v>bueno</v>
          </cell>
          <cell r="K1230" t="str">
            <v>defsi</v>
          </cell>
        </row>
        <row r="1231">
          <cell r="B1231" t="b">
            <v>1</v>
          </cell>
          <cell r="E1231" t="str">
            <v>Nelson Mandela UPA</v>
          </cell>
          <cell r="H1231" t="str">
            <v>salud_oral</v>
          </cell>
          <cell r="J1231" t="str">
            <v>bueno</v>
          </cell>
          <cell r="K1231" t="str">
            <v>defsi</v>
          </cell>
        </row>
        <row r="1232">
          <cell r="B1232" t="b">
            <v>1</v>
          </cell>
          <cell r="E1232" t="str">
            <v>Nelson Mandela UPA</v>
          </cell>
          <cell r="H1232" t="str">
            <v>consulta_externa</v>
          </cell>
          <cell r="J1232" t="str">
            <v>bueno</v>
          </cell>
          <cell r="K1232" t="str">
            <v>defsi</v>
          </cell>
        </row>
        <row r="1233">
          <cell r="B1233" t="b">
            <v>0</v>
          </cell>
          <cell r="E1233" t="str">
            <v>Nelson Mandela UPA</v>
          </cell>
          <cell r="H1233" t="str">
            <v>consulta_externa</v>
          </cell>
          <cell r="J1233" t="str">
            <v>regular</v>
          </cell>
          <cell r="K1233" t="str">
            <v>defsi</v>
          </cell>
        </row>
        <row r="1234">
          <cell r="B1234" t="b">
            <v>1</v>
          </cell>
          <cell r="E1234" t="str">
            <v>Libano</v>
          </cell>
          <cell r="H1234" t="str">
            <v>consulta_externa</v>
          </cell>
          <cell r="J1234" t="str">
            <v>bueno</v>
          </cell>
          <cell r="K1234" t="str">
            <v>defsi</v>
          </cell>
        </row>
        <row r="1235">
          <cell r="B1235" t="b">
            <v>0</v>
          </cell>
          <cell r="E1235" t="str">
            <v>Nelson Mandela UPA</v>
          </cell>
          <cell r="H1235" t="str">
            <v>urgencia</v>
          </cell>
          <cell r="J1235" t="str">
            <v>regular</v>
          </cell>
          <cell r="K1235" t="str">
            <v>probno</v>
          </cell>
        </row>
        <row r="1236">
          <cell r="B1236" t="b">
            <v>1</v>
          </cell>
          <cell r="E1236" t="str">
            <v>Libano</v>
          </cell>
          <cell r="H1236" t="str">
            <v>salud_oral</v>
          </cell>
          <cell r="J1236" t="str">
            <v>bueno</v>
          </cell>
          <cell r="K1236" t="str">
            <v>defsi</v>
          </cell>
        </row>
        <row r="1237">
          <cell r="B1237" t="b">
            <v>0</v>
          </cell>
          <cell r="E1237" t="str">
            <v>Nelson Mandela UPA</v>
          </cell>
          <cell r="H1237" t="str">
            <v>urgencia</v>
          </cell>
          <cell r="J1237" t="str">
            <v>regular</v>
          </cell>
          <cell r="K1237" t="str">
            <v>probsi</v>
          </cell>
        </row>
        <row r="1238">
          <cell r="B1238" t="b">
            <v>1</v>
          </cell>
          <cell r="E1238" t="str">
            <v>Libano</v>
          </cell>
          <cell r="H1238" t="str">
            <v>laboratorio</v>
          </cell>
          <cell r="J1238" t="str">
            <v>bueno</v>
          </cell>
          <cell r="K1238" t="str">
            <v>defsi</v>
          </cell>
        </row>
        <row r="1239">
          <cell r="B1239" t="b">
            <v>1</v>
          </cell>
          <cell r="E1239" t="str">
            <v>Libano</v>
          </cell>
          <cell r="H1239" t="str">
            <v>consulta_externa</v>
          </cell>
          <cell r="J1239" t="str">
            <v>bueno</v>
          </cell>
          <cell r="K1239" t="str">
            <v>defsi</v>
          </cell>
        </row>
        <row r="1240">
          <cell r="B1240" t="b">
            <v>0</v>
          </cell>
          <cell r="E1240" t="str">
            <v>Nelson Mandela UPA</v>
          </cell>
          <cell r="H1240" t="str">
            <v>urgencia</v>
          </cell>
          <cell r="J1240" t="str">
            <v>regular</v>
          </cell>
          <cell r="K1240" t="str">
            <v>defno</v>
          </cell>
        </row>
        <row r="1241">
          <cell r="B1241" t="b">
            <v>1</v>
          </cell>
          <cell r="E1241" t="str">
            <v>Libano</v>
          </cell>
          <cell r="H1241" t="str">
            <v>salud_oral</v>
          </cell>
          <cell r="J1241" t="str">
            <v>bueno</v>
          </cell>
          <cell r="K1241" t="str">
            <v>defsi</v>
          </cell>
        </row>
        <row r="1242">
          <cell r="B1242" t="b">
            <v>1</v>
          </cell>
          <cell r="E1242" t="str">
            <v>Nelson Mandela UPA</v>
          </cell>
          <cell r="H1242" t="str">
            <v>urgencia</v>
          </cell>
          <cell r="J1242" t="str">
            <v>bueno</v>
          </cell>
          <cell r="K1242" t="str">
            <v>defsi</v>
          </cell>
        </row>
        <row r="1243">
          <cell r="B1243" t="b">
            <v>1</v>
          </cell>
          <cell r="E1243" t="str">
            <v>Libano</v>
          </cell>
          <cell r="H1243" t="str">
            <v>laboratorio</v>
          </cell>
          <cell r="J1243" t="str">
            <v>bueno</v>
          </cell>
          <cell r="K1243" t="str">
            <v>defsi</v>
          </cell>
        </row>
        <row r="1244">
          <cell r="B1244" t="b">
            <v>1</v>
          </cell>
          <cell r="E1244" t="str">
            <v>Libano</v>
          </cell>
          <cell r="H1244" t="str">
            <v>consulta_externa</v>
          </cell>
          <cell r="J1244" t="str">
            <v>bueno</v>
          </cell>
          <cell r="K1244" t="str">
            <v>defsi</v>
          </cell>
        </row>
        <row r="1245">
          <cell r="B1245" t="b">
            <v>1</v>
          </cell>
          <cell r="E1245" t="str">
            <v>Libano</v>
          </cell>
          <cell r="H1245" t="str">
            <v>salud_oral</v>
          </cell>
          <cell r="J1245" t="str">
            <v>bueno</v>
          </cell>
          <cell r="K1245" t="str">
            <v>defsi</v>
          </cell>
        </row>
        <row r="1246">
          <cell r="B1246" t="b">
            <v>1</v>
          </cell>
          <cell r="E1246" t="str">
            <v>Nelson Mandela UPA</v>
          </cell>
          <cell r="H1246" t="str">
            <v>laboratorio</v>
          </cell>
          <cell r="J1246" t="str">
            <v>bueno</v>
          </cell>
          <cell r="K1246" t="str">
            <v>defsi</v>
          </cell>
        </row>
        <row r="1247">
          <cell r="B1247" t="b">
            <v>1</v>
          </cell>
          <cell r="E1247" t="str">
            <v>Nelson Mandela UPA</v>
          </cell>
          <cell r="H1247" t="str">
            <v>laboratorio</v>
          </cell>
          <cell r="J1247" t="str">
            <v>bueno</v>
          </cell>
          <cell r="K1247" t="str">
            <v>defsi</v>
          </cell>
        </row>
        <row r="1248">
          <cell r="B1248" t="b">
            <v>1</v>
          </cell>
          <cell r="E1248" t="str">
            <v>Nelson Mandela UPA</v>
          </cell>
          <cell r="H1248" t="str">
            <v>laboratorio</v>
          </cell>
          <cell r="J1248" t="str">
            <v>muybueno</v>
          </cell>
          <cell r="K1248" t="str">
            <v>defsi</v>
          </cell>
        </row>
        <row r="1249">
          <cell r="B1249" t="b">
            <v>1</v>
          </cell>
          <cell r="E1249" t="str">
            <v>Nelson Mandela UPA</v>
          </cell>
          <cell r="H1249" t="str">
            <v>consulta_externa</v>
          </cell>
          <cell r="J1249" t="str">
            <v>bueno</v>
          </cell>
          <cell r="K1249" t="str">
            <v>defsi</v>
          </cell>
        </row>
        <row r="1250">
          <cell r="B1250" t="b">
            <v>1</v>
          </cell>
          <cell r="E1250" t="str">
            <v>Santa Ana</v>
          </cell>
          <cell r="H1250" t="str">
            <v>consulta_externa</v>
          </cell>
          <cell r="J1250" t="str">
            <v>bueno</v>
          </cell>
          <cell r="K1250" t="str">
            <v>defsi</v>
          </cell>
        </row>
        <row r="1251">
          <cell r="B1251" t="b">
            <v>1</v>
          </cell>
          <cell r="E1251" t="str">
            <v>Santa Ana</v>
          </cell>
          <cell r="H1251" t="str">
            <v>salud_oral</v>
          </cell>
          <cell r="J1251" t="str">
            <v>bueno</v>
          </cell>
          <cell r="K1251" t="str">
            <v>defsi</v>
          </cell>
        </row>
        <row r="1252">
          <cell r="B1252" t="b">
            <v>1</v>
          </cell>
          <cell r="E1252" t="str">
            <v>Santa Ana</v>
          </cell>
          <cell r="H1252" t="str">
            <v>laboratorio</v>
          </cell>
          <cell r="J1252" t="str">
            <v>bueno</v>
          </cell>
          <cell r="K1252" t="str">
            <v>defsi</v>
          </cell>
        </row>
        <row r="1253">
          <cell r="B1253" t="b">
            <v>1</v>
          </cell>
          <cell r="E1253" t="str">
            <v>Santa Ana</v>
          </cell>
          <cell r="H1253" t="str">
            <v>urgencia</v>
          </cell>
          <cell r="J1253" t="str">
            <v>bueno</v>
          </cell>
          <cell r="K1253" t="str">
            <v>defsi</v>
          </cell>
        </row>
        <row r="1254">
          <cell r="B1254" t="b">
            <v>1</v>
          </cell>
          <cell r="E1254" t="str">
            <v>Santa Ana</v>
          </cell>
          <cell r="H1254" t="str">
            <v>consulta_externa</v>
          </cell>
          <cell r="J1254" t="str">
            <v>bueno</v>
          </cell>
          <cell r="K1254" t="str">
            <v>defsi</v>
          </cell>
        </row>
        <row r="1255">
          <cell r="B1255" t="b">
            <v>1</v>
          </cell>
          <cell r="E1255" t="str">
            <v>Santa Ana</v>
          </cell>
          <cell r="H1255" t="str">
            <v>salud_oral</v>
          </cell>
          <cell r="J1255" t="str">
            <v>bueno</v>
          </cell>
          <cell r="K1255" t="str">
            <v>defsi</v>
          </cell>
        </row>
        <row r="1256">
          <cell r="B1256" t="b">
            <v>1</v>
          </cell>
          <cell r="E1256" t="str">
            <v>Santa Ana</v>
          </cell>
          <cell r="H1256" t="str">
            <v>laboratorio</v>
          </cell>
          <cell r="J1256" t="str">
            <v>bueno</v>
          </cell>
          <cell r="K1256" t="str">
            <v>defsi</v>
          </cell>
        </row>
        <row r="1257">
          <cell r="B1257" t="b">
            <v>1</v>
          </cell>
          <cell r="E1257" t="str">
            <v>Santa Ana</v>
          </cell>
          <cell r="H1257" t="str">
            <v>urgencia</v>
          </cell>
          <cell r="J1257" t="str">
            <v>bueno</v>
          </cell>
          <cell r="K1257" t="str">
            <v>defsi</v>
          </cell>
        </row>
        <row r="1258">
          <cell r="B1258" t="b">
            <v>1</v>
          </cell>
          <cell r="E1258" t="str">
            <v>Santa Ana</v>
          </cell>
          <cell r="H1258" t="str">
            <v>consulta_externa</v>
          </cell>
          <cell r="J1258" t="str">
            <v>bueno</v>
          </cell>
          <cell r="K1258" t="str">
            <v>defsi</v>
          </cell>
        </row>
        <row r="1259">
          <cell r="B1259" t="b">
            <v>1</v>
          </cell>
          <cell r="E1259" t="str">
            <v>Santa Ana</v>
          </cell>
          <cell r="H1259" t="str">
            <v>salud_oral</v>
          </cell>
          <cell r="J1259" t="str">
            <v>bueno</v>
          </cell>
          <cell r="K1259" t="str">
            <v>defsi</v>
          </cell>
        </row>
        <row r="1260">
          <cell r="B1260" t="b">
            <v>1</v>
          </cell>
          <cell r="E1260" t="str">
            <v>Santa Ana</v>
          </cell>
          <cell r="H1260" t="str">
            <v>laboratorio</v>
          </cell>
          <cell r="J1260" t="str">
            <v>bueno</v>
          </cell>
          <cell r="K1260" t="str">
            <v>defsi</v>
          </cell>
        </row>
        <row r="1261">
          <cell r="B1261" t="b">
            <v>1</v>
          </cell>
          <cell r="E1261" t="str">
            <v>Santa Ana</v>
          </cell>
          <cell r="H1261" t="str">
            <v>urgencia</v>
          </cell>
          <cell r="J1261" t="str">
            <v>bueno</v>
          </cell>
          <cell r="K1261" t="str">
            <v>defsi</v>
          </cell>
        </row>
        <row r="1262">
          <cell r="B1262" t="b">
            <v>1</v>
          </cell>
          <cell r="E1262" t="str">
            <v>Las Reinas</v>
          </cell>
          <cell r="H1262" t="str">
            <v>laboratorio</v>
          </cell>
          <cell r="J1262" t="str">
            <v>bueno</v>
          </cell>
          <cell r="K1262" t="str">
            <v>defsi</v>
          </cell>
        </row>
        <row r="1263">
          <cell r="B1263" t="b">
            <v>1</v>
          </cell>
          <cell r="E1263" t="str">
            <v>Las Reinas</v>
          </cell>
          <cell r="H1263" t="str">
            <v>laboratorio</v>
          </cell>
          <cell r="J1263" t="str">
            <v>bueno</v>
          </cell>
          <cell r="K1263" t="str">
            <v>defsi</v>
          </cell>
        </row>
        <row r="1264">
          <cell r="B1264" t="b">
            <v>1</v>
          </cell>
          <cell r="E1264" t="str">
            <v>Las Reinas</v>
          </cell>
          <cell r="H1264" t="str">
            <v>consulta_externa</v>
          </cell>
          <cell r="J1264" t="str">
            <v>bueno</v>
          </cell>
          <cell r="K1264" t="str">
            <v>defsi</v>
          </cell>
        </row>
        <row r="1265">
          <cell r="B1265" t="b">
            <v>1</v>
          </cell>
          <cell r="E1265" t="str">
            <v>Las Reinas</v>
          </cell>
          <cell r="H1265" t="str">
            <v>consulta_externa</v>
          </cell>
          <cell r="J1265" t="str">
            <v>bueno</v>
          </cell>
          <cell r="K1265" t="str">
            <v>defsi</v>
          </cell>
        </row>
        <row r="1266">
          <cell r="B1266" t="b">
            <v>1</v>
          </cell>
          <cell r="E1266" t="str">
            <v>Las Reinas</v>
          </cell>
          <cell r="H1266" t="str">
            <v>consulta_externa</v>
          </cell>
          <cell r="J1266" t="str">
            <v>bueno</v>
          </cell>
          <cell r="K1266" t="str">
            <v>defsi</v>
          </cell>
        </row>
        <row r="1267">
          <cell r="B1267" t="b">
            <v>1</v>
          </cell>
          <cell r="E1267" t="str">
            <v>Las Reinas</v>
          </cell>
          <cell r="H1267" t="str">
            <v>laboratorio</v>
          </cell>
          <cell r="J1267" t="str">
            <v>bueno</v>
          </cell>
          <cell r="K1267" t="str">
            <v>defsi</v>
          </cell>
        </row>
        <row r="1268">
          <cell r="B1268" t="b">
            <v>1</v>
          </cell>
          <cell r="E1268" t="str">
            <v>Las Reinas</v>
          </cell>
          <cell r="H1268" t="str">
            <v>laboratorio</v>
          </cell>
          <cell r="J1268" t="str">
            <v>bueno</v>
          </cell>
          <cell r="K1268" t="str">
            <v>defsi</v>
          </cell>
        </row>
        <row r="1269">
          <cell r="B1269" t="b">
            <v>1</v>
          </cell>
          <cell r="E1269" t="str">
            <v>Las Reinas</v>
          </cell>
          <cell r="H1269" t="str">
            <v>laboratorio</v>
          </cell>
          <cell r="J1269" t="str">
            <v>bueno</v>
          </cell>
          <cell r="K1269" t="str">
            <v>defsi</v>
          </cell>
        </row>
        <row r="1270">
          <cell r="B1270" t="b">
            <v>1</v>
          </cell>
          <cell r="E1270" t="str">
            <v>Las Reinas</v>
          </cell>
          <cell r="H1270" t="str">
            <v>laboratorio</v>
          </cell>
          <cell r="J1270" t="str">
            <v>bueno</v>
          </cell>
          <cell r="K1270" t="str">
            <v>defsi</v>
          </cell>
        </row>
        <row r="1271">
          <cell r="B1271" t="b">
            <v>1</v>
          </cell>
          <cell r="E1271" t="str">
            <v>Las Reinas</v>
          </cell>
          <cell r="H1271" t="str">
            <v>laboratorio</v>
          </cell>
          <cell r="J1271" t="str">
            <v>bueno</v>
          </cell>
          <cell r="K1271" t="str">
            <v>defsi</v>
          </cell>
        </row>
        <row r="1272">
          <cell r="B1272" t="b">
            <v>1</v>
          </cell>
          <cell r="E1272" t="str">
            <v>Las Reinas</v>
          </cell>
          <cell r="H1272" t="str">
            <v>laboratorio</v>
          </cell>
          <cell r="J1272" t="str">
            <v>bueno</v>
          </cell>
          <cell r="K1272" t="str">
            <v>defsi</v>
          </cell>
        </row>
        <row r="1273">
          <cell r="B1273" t="b">
            <v>1</v>
          </cell>
          <cell r="E1273" t="str">
            <v>Las Reinas</v>
          </cell>
          <cell r="H1273" t="str">
            <v>laboratorio</v>
          </cell>
          <cell r="J1273" t="str">
            <v>bueno</v>
          </cell>
          <cell r="K1273" t="str">
            <v>defsi</v>
          </cell>
        </row>
        <row r="1274">
          <cell r="B1274" t="b">
            <v>1</v>
          </cell>
          <cell r="E1274" t="str">
            <v>Las Reinas</v>
          </cell>
          <cell r="H1274" t="str">
            <v>consulta_externa</v>
          </cell>
          <cell r="J1274" t="str">
            <v>bueno</v>
          </cell>
          <cell r="K1274" t="str">
            <v>defsi</v>
          </cell>
        </row>
        <row r="1275">
          <cell r="B1275" t="b">
            <v>1</v>
          </cell>
          <cell r="E1275" t="str">
            <v>Las Reinas</v>
          </cell>
          <cell r="H1275" t="str">
            <v>consulta_externa</v>
          </cell>
          <cell r="J1275" t="str">
            <v>bueno</v>
          </cell>
          <cell r="K1275" t="str">
            <v>defsi</v>
          </cell>
        </row>
        <row r="1276">
          <cell r="B1276" t="b">
            <v>1</v>
          </cell>
          <cell r="E1276" t="str">
            <v>Las Reinas</v>
          </cell>
          <cell r="H1276" t="str">
            <v>consulta_externa</v>
          </cell>
          <cell r="J1276" t="str">
            <v>bueno</v>
          </cell>
          <cell r="K1276" t="str">
            <v>defsi</v>
          </cell>
        </row>
        <row r="1277">
          <cell r="B1277" t="b">
            <v>0</v>
          </cell>
          <cell r="E1277" t="str">
            <v>Las Reinas</v>
          </cell>
          <cell r="H1277" t="str">
            <v>consulta_externa</v>
          </cell>
          <cell r="J1277" t="str">
            <v>regular</v>
          </cell>
          <cell r="K1277" t="str">
            <v>probsi</v>
          </cell>
        </row>
        <row r="1278">
          <cell r="B1278" t="b">
            <v>1</v>
          </cell>
          <cell r="E1278" t="str">
            <v>Las Reinas</v>
          </cell>
          <cell r="H1278" t="str">
            <v>consulta_externa</v>
          </cell>
          <cell r="J1278" t="str">
            <v>bueno</v>
          </cell>
          <cell r="K1278" t="str">
            <v>defsi</v>
          </cell>
        </row>
        <row r="1279">
          <cell r="B1279" t="b">
            <v>1</v>
          </cell>
          <cell r="E1279" t="str">
            <v>Las Reinas</v>
          </cell>
          <cell r="H1279" t="str">
            <v>laboratorio</v>
          </cell>
          <cell r="J1279" t="str">
            <v>bueno</v>
          </cell>
          <cell r="K1279" t="str">
            <v>defsi</v>
          </cell>
        </row>
        <row r="1280">
          <cell r="B1280" t="b">
            <v>1</v>
          </cell>
          <cell r="E1280" t="str">
            <v>Las Reinas</v>
          </cell>
          <cell r="H1280" t="str">
            <v>salud_oral</v>
          </cell>
          <cell r="J1280" t="str">
            <v>bueno</v>
          </cell>
          <cell r="K1280" t="str">
            <v>defsi</v>
          </cell>
        </row>
        <row r="1281">
          <cell r="B1281" t="b">
            <v>1</v>
          </cell>
          <cell r="E1281" t="str">
            <v>Socorro</v>
          </cell>
          <cell r="H1281" t="str">
            <v>consulta_externa</v>
          </cell>
          <cell r="J1281" t="str">
            <v>bueno</v>
          </cell>
          <cell r="K1281" t="str">
            <v>probsi</v>
          </cell>
        </row>
        <row r="1282">
          <cell r="B1282" t="b">
            <v>1</v>
          </cell>
          <cell r="E1282" t="str">
            <v>Socorro</v>
          </cell>
          <cell r="H1282" t="str">
            <v>laboratorio</v>
          </cell>
          <cell r="J1282" t="str">
            <v>bueno</v>
          </cell>
          <cell r="K1282" t="str">
            <v>probsi</v>
          </cell>
        </row>
        <row r="1283">
          <cell r="B1283" t="b">
            <v>1</v>
          </cell>
          <cell r="E1283" t="str">
            <v>Socorro</v>
          </cell>
          <cell r="H1283" t="str">
            <v>consulta_externa</v>
          </cell>
          <cell r="J1283" t="str">
            <v>bueno</v>
          </cell>
          <cell r="K1283" t="str">
            <v>probsi</v>
          </cell>
        </row>
        <row r="1284">
          <cell r="B1284" t="b">
            <v>1</v>
          </cell>
          <cell r="E1284" t="str">
            <v>Socorro</v>
          </cell>
          <cell r="H1284" t="str">
            <v>salud_oral</v>
          </cell>
          <cell r="J1284" t="str">
            <v>bueno</v>
          </cell>
          <cell r="K1284" t="str">
            <v>probsi</v>
          </cell>
        </row>
        <row r="1285">
          <cell r="B1285" t="b">
            <v>1</v>
          </cell>
          <cell r="E1285" t="str">
            <v>Socorro</v>
          </cell>
          <cell r="H1285" t="str">
            <v>laboratorio</v>
          </cell>
          <cell r="J1285" t="str">
            <v>bueno</v>
          </cell>
          <cell r="K1285" t="str">
            <v>probsi</v>
          </cell>
        </row>
        <row r="1286">
          <cell r="B1286" t="b">
            <v>1</v>
          </cell>
          <cell r="E1286" t="str">
            <v>Bosque</v>
          </cell>
          <cell r="H1286" t="str">
            <v>consulta_externa</v>
          </cell>
          <cell r="J1286" t="str">
            <v>bueno</v>
          </cell>
          <cell r="K1286" t="str">
            <v>defsi</v>
          </cell>
        </row>
        <row r="1287">
          <cell r="B1287" t="b">
            <v>1</v>
          </cell>
          <cell r="E1287" t="str">
            <v>Socorro</v>
          </cell>
          <cell r="H1287" t="str">
            <v>consulta_externa</v>
          </cell>
          <cell r="J1287" t="str">
            <v>muybueno</v>
          </cell>
          <cell r="K1287" t="str">
            <v>probsi</v>
          </cell>
        </row>
        <row r="1288">
          <cell r="B1288" t="b">
            <v>1</v>
          </cell>
          <cell r="E1288" t="str">
            <v>Socorro</v>
          </cell>
          <cell r="H1288" t="str">
            <v>salud_oral</v>
          </cell>
          <cell r="J1288" t="str">
            <v>bueno</v>
          </cell>
          <cell r="K1288" t="str">
            <v>probsi</v>
          </cell>
        </row>
        <row r="1289">
          <cell r="B1289" t="b">
            <v>1</v>
          </cell>
          <cell r="E1289" t="str">
            <v>Socorro</v>
          </cell>
          <cell r="H1289" t="str">
            <v>laboratorio</v>
          </cell>
          <cell r="J1289" t="str">
            <v>bueno</v>
          </cell>
          <cell r="K1289" t="str">
            <v>probsi</v>
          </cell>
        </row>
        <row r="1290">
          <cell r="B1290" t="b">
            <v>1</v>
          </cell>
          <cell r="E1290" t="str">
            <v>Bosque</v>
          </cell>
          <cell r="H1290" t="str">
            <v>salud_oral</v>
          </cell>
          <cell r="J1290" t="str">
            <v>bueno</v>
          </cell>
          <cell r="K1290" t="str">
            <v>defsi</v>
          </cell>
        </row>
        <row r="1291">
          <cell r="B1291" t="b">
            <v>1</v>
          </cell>
          <cell r="E1291" t="str">
            <v>Socorro</v>
          </cell>
          <cell r="H1291" t="str">
            <v>consulta_externa</v>
          </cell>
          <cell r="J1291" t="str">
            <v>bueno</v>
          </cell>
          <cell r="K1291" t="str">
            <v>probsi</v>
          </cell>
        </row>
        <row r="1292">
          <cell r="B1292" t="b">
            <v>1</v>
          </cell>
          <cell r="E1292" t="str">
            <v>Socorro</v>
          </cell>
          <cell r="H1292" t="str">
            <v>consulta_externa</v>
          </cell>
          <cell r="J1292" t="str">
            <v>bueno</v>
          </cell>
          <cell r="K1292" t="str">
            <v>probsi</v>
          </cell>
        </row>
        <row r="1293">
          <cell r="B1293" t="b">
            <v>1</v>
          </cell>
          <cell r="E1293" t="str">
            <v>Socorro</v>
          </cell>
          <cell r="H1293" t="str">
            <v>consulta_externa</v>
          </cell>
          <cell r="J1293" t="str">
            <v>bueno</v>
          </cell>
          <cell r="K1293" t="str">
            <v>probsi</v>
          </cell>
        </row>
        <row r="1294">
          <cell r="B1294" t="b">
            <v>1</v>
          </cell>
          <cell r="E1294" t="str">
            <v>Socorro</v>
          </cell>
          <cell r="H1294" t="str">
            <v>salud_oral</v>
          </cell>
          <cell r="J1294" t="str">
            <v>bueno</v>
          </cell>
          <cell r="K1294" t="str">
            <v>probsi</v>
          </cell>
        </row>
        <row r="1295">
          <cell r="B1295" t="b">
            <v>1</v>
          </cell>
          <cell r="E1295" t="str">
            <v>Bosque</v>
          </cell>
          <cell r="H1295" t="str">
            <v>laboratorio</v>
          </cell>
          <cell r="J1295" t="str">
            <v>bueno</v>
          </cell>
          <cell r="K1295" t="str">
            <v>defsi</v>
          </cell>
        </row>
        <row r="1296">
          <cell r="B1296" t="b">
            <v>1</v>
          </cell>
          <cell r="E1296" t="str">
            <v>Bosque</v>
          </cell>
          <cell r="H1296" t="str">
            <v>consulta_externa</v>
          </cell>
          <cell r="J1296" t="str">
            <v>bueno</v>
          </cell>
          <cell r="K1296" t="str">
            <v>defsi</v>
          </cell>
        </row>
        <row r="1297">
          <cell r="B1297" t="b">
            <v>1</v>
          </cell>
          <cell r="E1297" t="str">
            <v>Bosque</v>
          </cell>
          <cell r="H1297" t="str">
            <v>salud_oral</v>
          </cell>
          <cell r="J1297" t="str">
            <v>bueno</v>
          </cell>
          <cell r="K1297" t="str">
            <v>defsi</v>
          </cell>
        </row>
        <row r="1298">
          <cell r="B1298" t="b">
            <v>1</v>
          </cell>
          <cell r="E1298" t="str">
            <v>Bosque</v>
          </cell>
          <cell r="H1298" t="str">
            <v>laboratorio</v>
          </cell>
          <cell r="J1298" t="str">
            <v>bueno</v>
          </cell>
          <cell r="K1298" t="str">
            <v>defsi</v>
          </cell>
        </row>
        <row r="1299">
          <cell r="B1299" t="b">
            <v>0</v>
          </cell>
          <cell r="E1299" t="str">
            <v>Socorro</v>
          </cell>
          <cell r="H1299" t="str">
            <v>consulta_externa</v>
          </cell>
          <cell r="J1299" t="str">
            <v>regular</v>
          </cell>
          <cell r="K1299" t="str">
            <v>probsi</v>
          </cell>
        </row>
        <row r="1300">
          <cell r="B1300" t="b">
            <v>1</v>
          </cell>
          <cell r="E1300" t="str">
            <v>Bosque</v>
          </cell>
          <cell r="H1300" t="str">
            <v>consulta_externa</v>
          </cell>
          <cell r="J1300" t="str">
            <v>bueno</v>
          </cell>
          <cell r="K1300" t="str">
            <v>defsi</v>
          </cell>
        </row>
        <row r="1301">
          <cell r="B1301" t="b">
            <v>0</v>
          </cell>
          <cell r="E1301" t="str">
            <v>Socorro</v>
          </cell>
          <cell r="H1301" t="str">
            <v>laboratorio</v>
          </cell>
          <cell r="J1301" t="str">
            <v>regular</v>
          </cell>
          <cell r="K1301" t="str">
            <v>probsi</v>
          </cell>
        </row>
        <row r="1302">
          <cell r="B1302" t="b">
            <v>1</v>
          </cell>
          <cell r="E1302" t="str">
            <v>Bosque</v>
          </cell>
          <cell r="H1302" t="str">
            <v>salud_oral</v>
          </cell>
          <cell r="J1302" t="str">
            <v>bueno</v>
          </cell>
          <cell r="K1302" t="str">
            <v>defsi</v>
          </cell>
        </row>
        <row r="1303">
          <cell r="B1303" t="b">
            <v>1</v>
          </cell>
          <cell r="E1303" t="str">
            <v>Bosque</v>
          </cell>
          <cell r="H1303" t="str">
            <v>laboratorio</v>
          </cell>
          <cell r="J1303" t="str">
            <v>bueno</v>
          </cell>
          <cell r="K1303" t="str">
            <v>defsi</v>
          </cell>
        </row>
        <row r="1304">
          <cell r="B1304" t="b">
            <v>1</v>
          </cell>
          <cell r="E1304" t="str">
            <v>Socorro</v>
          </cell>
          <cell r="H1304" t="str">
            <v>ecografias</v>
          </cell>
          <cell r="J1304" t="str">
            <v>bueno</v>
          </cell>
          <cell r="K1304" t="str">
            <v>probsi</v>
          </cell>
        </row>
        <row r="1305">
          <cell r="B1305" t="b">
            <v>1</v>
          </cell>
          <cell r="E1305" t="str">
            <v>Socorro</v>
          </cell>
          <cell r="H1305" t="str">
            <v>consulta_externa</v>
          </cell>
          <cell r="J1305" t="str">
            <v>bueno</v>
          </cell>
          <cell r="K1305" t="str">
            <v>probsi</v>
          </cell>
        </row>
        <row r="1306">
          <cell r="B1306" t="b">
            <v>1</v>
          </cell>
          <cell r="E1306" t="str">
            <v>Socorro</v>
          </cell>
          <cell r="H1306" t="str">
            <v>laboratorio</v>
          </cell>
          <cell r="J1306" t="str">
            <v>bueno</v>
          </cell>
          <cell r="K1306" t="str">
            <v>probsi</v>
          </cell>
        </row>
        <row r="1307">
          <cell r="B1307" t="b">
            <v>1</v>
          </cell>
          <cell r="E1307" t="str">
            <v>Bosque</v>
          </cell>
          <cell r="H1307" t="str">
            <v>consulta_externa</v>
          </cell>
          <cell r="J1307" t="str">
            <v>bueno</v>
          </cell>
          <cell r="K1307" t="str">
            <v>defsi</v>
          </cell>
        </row>
        <row r="1308">
          <cell r="B1308" t="b">
            <v>1</v>
          </cell>
          <cell r="E1308" t="str">
            <v>Socorro</v>
          </cell>
          <cell r="H1308" t="str">
            <v>consulta_externa</v>
          </cell>
          <cell r="J1308" t="str">
            <v>bueno</v>
          </cell>
          <cell r="K1308" t="str">
            <v>probsi</v>
          </cell>
        </row>
        <row r="1309">
          <cell r="B1309" t="b">
            <v>1</v>
          </cell>
          <cell r="E1309" t="str">
            <v>Socorro</v>
          </cell>
          <cell r="H1309" t="str">
            <v>laboratorio</v>
          </cell>
          <cell r="J1309" t="str">
            <v>bueno</v>
          </cell>
          <cell r="K1309" t="str">
            <v>probsi</v>
          </cell>
        </row>
        <row r="1310">
          <cell r="B1310" t="b">
            <v>1</v>
          </cell>
          <cell r="E1310" t="str">
            <v>Bosque</v>
          </cell>
          <cell r="H1310" t="str">
            <v>salud_oral</v>
          </cell>
          <cell r="J1310" t="str">
            <v>bueno</v>
          </cell>
          <cell r="K1310" t="str">
            <v>defsi</v>
          </cell>
        </row>
        <row r="1311">
          <cell r="B1311" t="b">
            <v>1</v>
          </cell>
          <cell r="E1311" t="str">
            <v>Bosque</v>
          </cell>
          <cell r="H1311" t="str">
            <v>laboratorio</v>
          </cell>
          <cell r="J1311" t="str">
            <v>bueno</v>
          </cell>
          <cell r="K1311" t="str">
            <v>defsi</v>
          </cell>
        </row>
        <row r="1312">
          <cell r="B1312" t="b">
            <v>1</v>
          </cell>
          <cell r="E1312" t="str">
            <v>Boquilla</v>
          </cell>
          <cell r="H1312" t="str">
            <v>consulta_externa</v>
          </cell>
          <cell r="J1312" t="str">
            <v>bueno</v>
          </cell>
          <cell r="K1312" t="str">
            <v>probsi</v>
          </cell>
        </row>
        <row r="1313">
          <cell r="B1313" t="b">
            <v>1</v>
          </cell>
          <cell r="E1313" t="str">
            <v>Boquilla</v>
          </cell>
          <cell r="H1313" t="str">
            <v>consulta_externa</v>
          </cell>
          <cell r="J1313" t="str">
            <v>bueno</v>
          </cell>
          <cell r="K1313" t="str">
            <v>probsi</v>
          </cell>
        </row>
        <row r="1314">
          <cell r="B1314" t="b">
            <v>1</v>
          </cell>
          <cell r="E1314" t="str">
            <v>Boquilla</v>
          </cell>
          <cell r="H1314" t="str">
            <v>consulta_externa</v>
          </cell>
          <cell r="J1314" t="str">
            <v>bueno</v>
          </cell>
          <cell r="K1314" t="str">
            <v>probsi</v>
          </cell>
        </row>
        <row r="1315">
          <cell r="B1315" t="b">
            <v>1</v>
          </cell>
          <cell r="E1315" t="str">
            <v>Boquilla</v>
          </cell>
          <cell r="H1315" t="str">
            <v>consulta_externa</v>
          </cell>
          <cell r="J1315" t="str">
            <v>bueno</v>
          </cell>
          <cell r="K1315" t="str">
            <v>probsi</v>
          </cell>
        </row>
        <row r="1316">
          <cell r="B1316" t="b">
            <v>1</v>
          </cell>
          <cell r="E1316" t="str">
            <v>Boquilla</v>
          </cell>
          <cell r="H1316" t="str">
            <v>consulta_externa</v>
          </cell>
          <cell r="J1316" t="str">
            <v>bueno</v>
          </cell>
          <cell r="K1316" t="str">
            <v>probsi</v>
          </cell>
        </row>
        <row r="1317">
          <cell r="B1317" t="b">
            <v>1</v>
          </cell>
          <cell r="E1317" t="str">
            <v>Boquilla</v>
          </cell>
          <cell r="H1317" t="str">
            <v>consulta_externa</v>
          </cell>
          <cell r="J1317" t="str">
            <v>bueno</v>
          </cell>
          <cell r="K1317" t="str">
            <v>probsi</v>
          </cell>
        </row>
        <row r="1318">
          <cell r="B1318" t="b">
            <v>1</v>
          </cell>
          <cell r="E1318" t="str">
            <v>Boquilla</v>
          </cell>
          <cell r="H1318" t="str">
            <v>consulta_externa</v>
          </cell>
          <cell r="J1318" t="str">
            <v>bueno</v>
          </cell>
          <cell r="K1318" t="str">
            <v>probsi</v>
          </cell>
        </row>
        <row r="1319">
          <cell r="B1319" t="b">
            <v>1</v>
          </cell>
          <cell r="E1319" t="str">
            <v>Boquilla</v>
          </cell>
          <cell r="H1319" t="str">
            <v>laboratorio</v>
          </cell>
          <cell r="J1319" t="str">
            <v>bueno</v>
          </cell>
          <cell r="K1319" t="str">
            <v>probsi</v>
          </cell>
        </row>
        <row r="1320">
          <cell r="B1320" t="b">
            <v>1</v>
          </cell>
          <cell r="E1320" t="str">
            <v>Boquilla</v>
          </cell>
          <cell r="H1320" t="str">
            <v>laboratorio</v>
          </cell>
          <cell r="J1320" t="str">
            <v>bueno</v>
          </cell>
          <cell r="K1320" t="str">
            <v>probsi</v>
          </cell>
        </row>
        <row r="1321">
          <cell r="B1321" t="b">
            <v>1</v>
          </cell>
          <cell r="E1321" t="str">
            <v>Boquilla</v>
          </cell>
          <cell r="H1321" t="str">
            <v>salud_oral</v>
          </cell>
          <cell r="J1321" t="str">
            <v>bueno</v>
          </cell>
          <cell r="K1321" t="str">
            <v>probsi</v>
          </cell>
        </row>
        <row r="1322">
          <cell r="B1322" t="b">
            <v>1</v>
          </cell>
          <cell r="E1322" t="str">
            <v>Boquilla</v>
          </cell>
          <cell r="H1322" t="str">
            <v>salud_oral</v>
          </cell>
          <cell r="J1322" t="str">
            <v>bueno</v>
          </cell>
          <cell r="K1322" t="str">
            <v>probsi</v>
          </cell>
        </row>
        <row r="1323">
          <cell r="B1323" t="b">
            <v>1</v>
          </cell>
          <cell r="E1323" t="str">
            <v>Boquilla</v>
          </cell>
          <cell r="H1323" t="str">
            <v>salud_oral</v>
          </cell>
          <cell r="J1323" t="str">
            <v>bueno</v>
          </cell>
          <cell r="K1323" t="str">
            <v>probsi</v>
          </cell>
        </row>
        <row r="1324">
          <cell r="B1324" t="b">
            <v>1</v>
          </cell>
          <cell r="E1324" t="str">
            <v>Boquilla</v>
          </cell>
          <cell r="H1324" t="str">
            <v>consulta_externa</v>
          </cell>
          <cell r="J1324" t="str">
            <v>bueno</v>
          </cell>
          <cell r="K1324" t="str">
            <v>probsi</v>
          </cell>
        </row>
        <row r="1325">
          <cell r="B1325" t="b">
            <v>1</v>
          </cell>
          <cell r="E1325" t="str">
            <v>Boquilla</v>
          </cell>
          <cell r="H1325" t="str">
            <v>consulta_externa</v>
          </cell>
          <cell r="J1325" t="str">
            <v>bueno</v>
          </cell>
          <cell r="K1325" t="str">
            <v>probsi</v>
          </cell>
        </row>
        <row r="1326">
          <cell r="B1326" t="b">
            <v>1</v>
          </cell>
          <cell r="E1326" t="str">
            <v>Boquilla</v>
          </cell>
          <cell r="H1326" t="str">
            <v>consulta_externa</v>
          </cell>
          <cell r="J1326" t="str">
            <v>bueno</v>
          </cell>
          <cell r="K1326" t="str">
            <v>probsi</v>
          </cell>
        </row>
        <row r="1327">
          <cell r="B1327" t="b">
            <v>1</v>
          </cell>
          <cell r="E1327" t="str">
            <v>Boquilla</v>
          </cell>
          <cell r="H1327" t="str">
            <v>laboratorio</v>
          </cell>
          <cell r="J1327" t="str">
            <v>bueno</v>
          </cell>
          <cell r="K1327" t="str">
            <v>probsi</v>
          </cell>
        </row>
        <row r="1328">
          <cell r="B1328" t="b">
            <v>1</v>
          </cell>
          <cell r="E1328" t="str">
            <v>Boquilla</v>
          </cell>
          <cell r="H1328" t="str">
            <v>laboratorio</v>
          </cell>
          <cell r="J1328" t="str">
            <v>bueno</v>
          </cell>
          <cell r="K1328" t="str">
            <v>probsi</v>
          </cell>
        </row>
        <row r="1329">
          <cell r="B1329" t="b">
            <v>1</v>
          </cell>
          <cell r="E1329" t="str">
            <v>Boquilla</v>
          </cell>
          <cell r="H1329" t="str">
            <v>laboratorio</v>
          </cell>
          <cell r="J1329" t="str">
            <v>bueno</v>
          </cell>
          <cell r="K1329" t="str">
            <v>probsi</v>
          </cell>
        </row>
        <row r="1330">
          <cell r="B1330" t="b">
            <v>1</v>
          </cell>
          <cell r="E1330" t="str">
            <v>Boquilla</v>
          </cell>
          <cell r="H1330" t="str">
            <v>laboratorio</v>
          </cell>
          <cell r="J1330" t="str">
            <v>bueno</v>
          </cell>
          <cell r="K1330" t="str">
            <v>probsi</v>
          </cell>
        </row>
        <row r="1331">
          <cell r="B1331" t="b">
            <v>1</v>
          </cell>
          <cell r="E1331" t="str">
            <v>Boquilla</v>
          </cell>
          <cell r="H1331" t="str">
            <v>laboratorio</v>
          </cell>
          <cell r="J1331" t="str">
            <v>bueno</v>
          </cell>
          <cell r="K1331" t="str">
            <v>probsi</v>
          </cell>
        </row>
        <row r="1332">
          <cell r="B1332" t="b">
            <v>1</v>
          </cell>
          <cell r="E1332" t="str">
            <v>Boquilla</v>
          </cell>
          <cell r="H1332" t="str">
            <v>consulta_externa</v>
          </cell>
          <cell r="J1332" t="str">
            <v>bueno</v>
          </cell>
          <cell r="K1332" t="str">
            <v>probsi</v>
          </cell>
        </row>
        <row r="1333">
          <cell r="B1333" t="b">
            <v>1</v>
          </cell>
          <cell r="E1333" t="str">
            <v>Boquilla</v>
          </cell>
          <cell r="H1333" t="str">
            <v>consulta_externa</v>
          </cell>
          <cell r="J1333" t="str">
            <v>bueno</v>
          </cell>
          <cell r="K1333" t="str">
            <v>probsi</v>
          </cell>
        </row>
        <row r="1334">
          <cell r="B1334" t="b">
            <v>1</v>
          </cell>
          <cell r="E1334" t="str">
            <v>Boquilla</v>
          </cell>
          <cell r="H1334" t="str">
            <v>consulta_externa</v>
          </cell>
          <cell r="J1334" t="str">
            <v>bueno</v>
          </cell>
          <cell r="K1334" t="str">
            <v>probsi</v>
          </cell>
        </row>
        <row r="1335">
          <cell r="B1335" t="b">
            <v>1</v>
          </cell>
          <cell r="E1335" t="str">
            <v>Boquilla</v>
          </cell>
          <cell r="H1335" t="str">
            <v>consulta_externa</v>
          </cell>
          <cell r="J1335" t="str">
            <v>bueno</v>
          </cell>
          <cell r="K1335" t="str">
            <v>probsi</v>
          </cell>
        </row>
        <row r="1336">
          <cell r="B1336" t="b">
            <v>1</v>
          </cell>
          <cell r="E1336" t="str">
            <v>Boquilla</v>
          </cell>
          <cell r="H1336" t="str">
            <v>laboratorio</v>
          </cell>
          <cell r="J1336" t="str">
            <v>bueno</v>
          </cell>
          <cell r="K1336" t="str">
            <v>probsi</v>
          </cell>
        </row>
        <row r="1337">
          <cell r="B1337" t="b">
            <v>1</v>
          </cell>
          <cell r="E1337" t="str">
            <v>Boquilla</v>
          </cell>
          <cell r="H1337" t="str">
            <v>laboratorio</v>
          </cell>
          <cell r="J1337" t="str">
            <v>bueno</v>
          </cell>
          <cell r="K1337" t="str">
            <v>probsi</v>
          </cell>
        </row>
        <row r="1338">
          <cell r="B1338" t="b">
            <v>1</v>
          </cell>
          <cell r="E1338" t="str">
            <v>Boquilla</v>
          </cell>
          <cell r="H1338" t="str">
            <v>laboratorio</v>
          </cell>
          <cell r="J1338" t="str">
            <v>bueno</v>
          </cell>
          <cell r="K1338" t="str">
            <v>probsi</v>
          </cell>
        </row>
        <row r="1339">
          <cell r="B1339" t="b">
            <v>1</v>
          </cell>
          <cell r="E1339" t="str">
            <v>Boquilla</v>
          </cell>
          <cell r="H1339" t="str">
            <v>laboratorio</v>
          </cell>
          <cell r="J1339" t="str">
            <v>bueno</v>
          </cell>
          <cell r="K1339" t="str">
            <v>probsi</v>
          </cell>
        </row>
        <row r="1340">
          <cell r="B1340" t="b">
            <v>1</v>
          </cell>
          <cell r="E1340" t="str">
            <v>Boquilla</v>
          </cell>
          <cell r="H1340" t="str">
            <v>laboratorio</v>
          </cell>
          <cell r="J1340" t="str">
            <v>bueno</v>
          </cell>
          <cell r="K1340" t="str">
            <v>probsi</v>
          </cell>
        </row>
        <row r="1341">
          <cell r="B1341" t="b">
            <v>1</v>
          </cell>
          <cell r="E1341" t="str">
            <v>Boquilla</v>
          </cell>
          <cell r="H1341" t="str">
            <v>laboratorio</v>
          </cell>
          <cell r="J1341" t="str">
            <v>bueno</v>
          </cell>
          <cell r="K1341" t="str">
            <v>probsi</v>
          </cell>
        </row>
        <row r="1342">
          <cell r="B1342" t="b">
            <v>1</v>
          </cell>
          <cell r="E1342" t="str">
            <v>Esperanza</v>
          </cell>
          <cell r="H1342" t="str">
            <v>laboratorio</v>
          </cell>
          <cell r="J1342" t="str">
            <v>bueno</v>
          </cell>
          <cell r="K1342" t="str">
            <v>probsi</v>
          </cell>
        </row>
        <row r="1343">
          <cell r="B1343" t="b">
            <v>1</v>
          </cell>
          <cell r="E1343" t="str">
            <v>Bosque</v>
          </cell>
          <cell r="H1343" t="str">
            <v>consulta_externa</v>
          </cell>
          <cell r="J1343" t="str">
            <v>bueno</v>
          </cell>
          <cell r="K1343" t="str">
            <v>defsi</v>
          </cell>
        </row>
        <row r="1344">
          <cell r="B1344" t="b">
            <v>1</v>
          </cell>
          <cell r="E1344" t="str">
            <v>Bosque</v>
          </cell>
          <cell r="H1344" t="str">
            <v>salud_oral</v>
          </cell>
          <cell r="J1344" t="str">
            <v>bueno</v>
          </cell>
          <cell r="K1344" t="str">
            <v>defsi</v>
          </cell>
        </row>
        <row r="1345">
          <cell r="B1345" t="b">
            <v>1</v>
          </cell>
          <cell r="E1345" t="str">
            <v>Bosque</v>
          </cell>
          <cell r="H1345" t="str">
            <v>laboratorio</v>
          </cell>
          <cell r="J1345" t="str">
            <v>bueno</v>
          </cell>
          <cell r="K1345" t="str">
            <v>defsi</v>
          </cell>
        </row>
        <row r="1346">
          <cell r="B1346" t="b">
            <v>1</v>
          </cell>
          <cell r="E1346" t="str">
            <v>Socorro</v>
          </cell>
          <cell r="H1346" t="str">
            <v>consulta_externa</v>
          </cell>
          <cell r="J1346" t="str">
            <v>bueno</v>
          </cell>
          <cell r="K1346" t="str">
            <v>probsi</v>
          </cell>
        </row>
        <row r="1347">
          <cell r="B1347" t="b">
            <v>1</v>
          </cell>
          <cell r="E1347" t="str">
            <v>Socorro</v>
          </cell>
          <cell r="H1347" t="str">
            <v>salud_oral</v>
          </cell>
          <cell r="J1347" t="str">
            <v>bueno</v>
          </cell>
          <cell r="K1347" t="str">
            <v>probsi</v>
          </cell>
        </row>
        <row r="1348">
          <cell r="B1348" t="b">
            <v>1</v>
          </cell>
          <cell r="E1348" t="str">
            <v>Socorro</v>
          </cell>
          <cell r="H1348" t="str">
            <v>laboratorio</v>
          </cell>
          <cell r="J1348" t="str">
            <v>bueno</v>
          </cell>
          <cell r="K1348" t="str">
            <v>probsi</v>
          </cell>
        </row>
        <row r="1349">
          <cell r="B1349" t="b">
            <v>1</v>
          </cell>
          <cell r="E1349" t="str">
            <v>Socorro</v>
          </cell>
          <cell r="H1349" t="str">
            <v>consulta_externa</v>
          </cell>
          <cell r="J1349" t="str">
            <v>bueno</v>
          </cell>
          <cell r="K1349" t="str">
            <v>probsi</v>
          </cell>
        </row>
        <row r="1350">
          <cell r="B1350" t="b">
            <v>1</v>
          </cell>
          <cell r="E1350" t="str">
            <v>Socorro</v>
          </cell>
          <cell r="H1350" t="str">
            <v>salud_oral</v>
          </cell>
          <cell r="J1350" t="str">
            <v>bueno</v>
          </cell>
          <cell r="K1350" t="str">
            <v>probsi</v>
          </cell>
        </row>
        <row r="1351">
          <cell r="B1351" t="b">
            <v>1</v>
          </cell>
          <cell r="E1351" t="str">
            <v>Socorro</v>
          </cell>
          <cell r="H1351" t="str">
            <v>laboratorio</v>
          </cell>
          <cell r="J1351" t="str">
            <v>bueno</v>
          </cell>
          <cell r="K1351" t="str">
            <v>probsi</v>
          </cell>
        </row>
        <row r="1352">
          <cell r="B1352" t="b">
            <v>1</v>
          </cell>
          <cell r="E1352" t="str">
            <v>Socorro</v>
          </cell>
          <cell r="H1352" t="str">
            <v>laboratorio</v>
          </cell>
          <cell r="J1352" t="str">
            <v>bueno</v>
          </cell>
          <cell r="K1352" t="str">
            <v>probsi</v>
          </cell>
        </row>
        <row r="1353">
          <cell r="B1353" t="b">
            <v>1</v>
          </cell>
          <cell r="E1353" t="str">
            <v>Socorro</v>
          </cell>
          <cell r="H1353" t="str">
            <v>consulta_externa</v>
          </cell>
          <cell r="J1353" t="str">
            <v>bueno</v>
          </cell>
          <cell r="K1353" t="str">
            <v>probsi</v>
          </cell>
        </row>
        <row r="1354">
          <cell r="B1354" t="b">
            <v>1</v>
          </cell>
          <cell r="E1354" t="str">
            <v>Socorro</v>
          </cell>
          <cell r="H1354" t="str">
            <v>laboratorio</v>
          </cell>
          <cell r="J1354" t="str">
            <v>bueno</v>
          </cell>
          <cell r="K1354" t="str">
            <v>probsi</v>
          </cell>
        </row>
        <row r="1355">
          <cell r="B1355" t="b">
            <v>1</v>
          </cell>
          <cell r="E1355" t="str">
            <v>Bosque</v>
          </cell>
          <cell r="H1355" t="str">
            <v>consulta_externa</v>
          </cell>
          <cell r="J1355" t="str">
            <v>bueno</v>
          </cell>
          <cell r="K1355" t="str">
            <v>defsi</v>
          </cell>
        </row>
        <row r="1356">
          <cell r="B1356" t="b">
            <v>1</v>
          </cell>
          <cell r="E1356" t="str">
            <v>Boquilla</v>
          </cell>
          <cell r="H1356" t="str">
            <v>consulta_externa</v>
          </cell>
          <cell r="J1356" t="str">
            <v>bueno</v>
          </cell>
          <cell r="K1356" t="str">
            <v>probsi</v>
          </cell>
        </row>
        <row r="1357">
          <cell r="B1357" t="b">
            <v>1</v>
          </cell>
          <cell r="E1357" t="str">
            <v>Socorro</v>
          </cell>
          <cell r="H1357" t="str">
            <v>consulta_externa</v>
          </cell>
          <cell r="J1357" t="str">
            <v>bueno</v>
          </cell>
          <cell r="K1357" t="str">
            <v>probsi</v>
          </cell>
        </row>
        <row r="1358">
          <cell r="B1358" t="b">
            <v>1</v>
          </cell>
          <cell r="E1358" t="str">
            <v>Boquilla</v>
          </cell>
          <cell r="H1358" t="str">
            <v>consulta_externa</v>
          </cell>
          <cell r="J1358" t="str">
            <v>bueno</v>
          </cell>
          <cell r="K1358" t="str">
            <v>probsi</v>
          </cell>
        </row>
        <row r="1359">
          <cell r="B1359" t="b">
            <v>1</v>
          </cell>
          <cell r="E1359" t="str">
            <v>Socorro</v>
          </cell>
          <cell r="H1359" t="str">
            <v>salud_oral</v>
          </cell>
          <cell r="J1359" t="str">
            <v>bueno</v>
          </cell>
          <cell r="K1359" t="str">
            <v>probsi</v>
          </cell>
        </row>
        <row r="1360">
          <cell r="B1360" t="b">
            <v>1</v>
          </cell>
          <cell r="E1360" t="str">
            <v>Socorro</v>
          </cell>
          <cell r="H1360" t="str">
            <v>laboratorio</v>
          </cell>
          <cell r="J1360" t="str">
            <v>bueno</v>
          </cell>
          <cell r="K1360" t="str">
            <v>probsi</v>
          </cell>
        </row>
        <row r="1361">
          <cell r="B1361" t="b">
            <v>1</v>
          </cell>
          <cell r="E1361" t="str">
            <v>Boquilla</v>
          </cell>
          <cell r="H1361" t="str">
            <v>urgencia</v>
          </cell>
          <cell r="J1361" t="str">
            <v>bueno</v>
          </cell>
          <cell r="K1361" t="str">
            <v>probsi</v>
          </cell>
        </row>
        <row r="1362">
          <cell r="B1362" t="b">
            <v>1</v>
          </cell>
          <cell r="E1362" t="str">
            <v>Boquilla</v>
          </cell>
          <cell r="H1362" t="str">
            <v>urgencia</v>
          </cell>
          <cell r="J1362" t="str">
            <v>bueno</v>
          </cell>
          <cell r="K1362" t="str">
            <v>probsi</v>
          </cell>
        </row>
        <row r="1363">
          <cell r="B1363" t="b">
            <v>1</v>
          </cell>
          <cell r="E1363" t="str">
            <v>Boquilla</v>
          </cell>
          <cell r="H1363" t="str">
            <v>urgencia</v>
          </cell>
          <cell r="J1363" t="str">
            <v>bueno</v>
          </cell>
          <cell r="K1363" t="str">
            <v>probsi</v>
          </cell>
        </row>
        <row r="1364">
          <cell r="B1364" t="b">
            <v>1</v>
          </cell>
          <cell r="E1364" t="str">
            <v>Boquilla</v>
          </cell>
          <cell r="H1364" t="str">
            <v>urgencia</v>
          </cell>
          <cell r="J1364" t="str">
            <v>bueno</v>
          </cell>
          <cell r="K1364" t="str">
            <v>probsi</v>
          </cell>
        </row>
        <row r="1365">
          <cell r="B1365" t="b">
            <v>1</v>
          </cell>
          <cell r="E1365" t="str">
            <v>Boquilla</v>
          </cell>
          <cell r="H1365" t="str">
            <v>urgencia</v>
          </cell>
          <cell r="J1365" t="str">
            <v>bueno</v>
          </cell>
          <cell r="K1365" t="str">
            <v>probsi</v>
          </cell>
        </row>
        <row r="1366">
          <cell r="B1366" t="b">
            <v>1</v>
          </cell>
          <cell r="E1366" t="str">
            <v>Boquilla</v>
          </cell>
          <cell r="H1366" t="str">
            <v>urgencia</v>
          </cell>
          <cell r="J1366" t="str">
            <v>bueno</v>
          </cell>
          <cell r="K1366" t="str">
            <v>probsi</v>
          </cell>
        </row>
        <row r="1367">
          <cell r="B1367" t="b">
            <v>1</v>
          </cell>
          <cell r="E1367" t="str">
            <v>Boquilla</v>
          </cell>
          <cell r="H1367" t="str">
            <v>urgencia</v>
          </cell>
          <cell r="J1367" t="str">
            <v>bueno</v>
          </cell>
          <cell r="K1367" t="str">
            <v>probsi</v>
          </cell>
        </row>
        <row r="1368">
          <cell r="B1368" t="b">
            <v>1</v>
          </cell>
          <cell r="E1368" t="str">
            <v>Boquilla</v>
          </cell>
          <cell r="H1368" t="str">
            <v>urgencia</v>
          </cell>
          <cell r="J1368" t="str">
            <v>bueno</v>
          </cell>
          <cell r="K1368" t="str">
            <v>probsi</v>
          </cell>
        </row>
        <row r="1369">
          <cell r="B1369" t="b">
            <v>1</v>
          </cell>
          <cell r="E1369" t="str">
            <v>Boquilla</v>
          </cell>
          <cell r="H1369" t="str">
            <v>urgencia</v>
          </cell>
          <cell r="J1369" t="str">
            <v>bueno</v>
          </cell>
          <cell r="K1369" t="str">
            <v>probsi</v>
          </cell>
        </row>
        <row r="1370">
          <cell r="B1370" t="b">
            <v>1</v>
          </cell>
          <cell r="E1370" t="str">
            <v>Boquilla</v>
          </cell>
          <cell r="H1370" t="str">
            <v>urgencia</v>
          </cell>
          <cell r="J1370" t="str">
            <v>bueno</v>
          </cell>
          <cell r="K1370" t="str">
            <v>probsi</v>
          </cell>
        </row>
        <row r="1371">
          <cell r="B1371" t="b">
            <v>1</v>
          </cell>
          <cell r="E1371" t="str">
            <v>Boquilla</v>
          </cell>
          <cell r="H1371" t="str">
            <v>urgencia</v>
          </cell>
          <cell r="J1371" t="str">
            <v>bueno</v>
          </cell>
          <cell r="K1371" t="str">
            <v>probsi</v>
          </cell>
        </row>
        <row r="1372">
          <cell r="B1372" t="b">
            <v>1</v>
          </cell>
          <cell r="E1372" t="str">
            <v>Boquilla</v>
          </cell>
          <cell r="H1372" t="str">
            <v>urgencia</v>
          </cell>
          <cell r="J1372" t="str">
            <v>bueno</v>
          </cell>
          <cell r="K1372" t="str">
            <v>probsi</v>
          </cell>
        </row>
        <row r="1373">
          <cell r="B1373" t="b">
            <v>1</v>
          </cell>
          <cell r="E1373" t="str">
            <v>Bosque</v>
          </cell>
          <cell r="H1373" t="str">
            <v>salud_oral</v>
          </cell>
          <cell r="J1373" t="str">
            <v>bueno</v>
          </cell>
          <cell r="K1373" t="str">
            <v>defsi</v>
          </cell>
        </row>
        <row r="1374">
          <cell r="B1374" t="b">
            <v>1</v>
          </cell>
          <cell r="E1374" t="str">
            <v>Bosque</v>
          </cell>
          <cell r="H1374" t="str">
            <v>laboratorio</v>
          </cell>
          <cell r="J1374" t="str">
            <v>bueno</v>
          </cell>
          <cell r="K1374" t="str">
            <v>defsi</v>
          </cell>
        </row>
        <row r="1375">
          <cell r="B1375" t="b">
            <v>1</v>
          </cell>
          <cell r="E1375" t="str">
            <v>Bosque</v>
          </cell>
          <cell r="H1375" t="str">
            <v>consulta_externa</v>
          </cell>
          <cell r="J1375" t="str">
            <v>bueno</v>
          </cell>
          <cell r="K1375" t="str">
            <v>defsi</v>
          </cell>
        </row>
        <row r="1376">
          <cell r="B1376" t="b">
            <v>1</v>
          </cell>
          <cell r="E1376" t="str">
            <v>Bosque</v>
          </cell>
          <cell r="H1376" t="str">
            <v>salud_oral</v>
          </cell>
          <cell r="J1376" t="str">
            <v>bueno</v>
          </cell>
          <cell r="K1376" t="str">
            <v>defsi</v>
          </cell>
        </row>
        <row r="1377">
          <cell r="B1377" t="b">
            <v>1</v>
          </cell>
          <cell r="E1377" t="str">
            <v>Boquilla</v>
          </cell>
          <cell r="H1377" t="str">
            <v>consulta_externa</v>
          </cell>
          <cell r="J1377" t="str">
            <v>bueno</v>
          </cell>
          <cell r="K1377" t="str">
            <v>probsi</v>
          </cell>
        </row>
        <row r="1378">
          <cell r="B1378" t="b">
            <v>1</v>
          </cell>
          <cell r="E1378" t="str">
            <v>Boquilla</v>
          </cell>
          <cell r="H1378" t="str">
            <v>consulta_externa</v>
          </cell>
          <cell r="J1378" t="str">
            <v>bueno</v>
          </cell>
          <cell r="K1378" t="str">
            <v>probsi</v>
          </cell>
        </row>
        <row r="1379">
          <cell r="B1379" t="b">
            <v>1</v>
          </cell>
          <cell r="E1379" t="str">
            <v>Boquilla</v>
          </cell>
          <cell r="H1379" t="str">
            <v>consulta_externa</v>
          </cell>
          <cell r="J1379" t="str">
            <v>bueno</v>
          </cell>
          <cell r="K1379" t="str">
            <v>probsi</v>
          </cell>
        </row>
        <row r="1380">
          <cell r="B1380" t="b">
            <v>1</v>
          </cell>
          <cell r="E1380" t="str">
            <v>Boquilla</v>
          </cell>
          <cell r="H1380" t="str">
            <v>consulta_externa</v>
          </cell>
          <cell r="J1380" t="str">
            <v>bueno</v>
          </cell>
          <cell r="K1380" t="str">
            <v>probsi</v>
          </cell>
        </row>
        <row r="1381">
          <cell r="B1381" t="b">
            <v>1</v>
          </cell>
          <cell r="E1381" t="str">
            <v>Ternera</v>
          </cell>
          <cell r="H1381" t="str">
            <v>consulta_externa</v>
          </cell>
          <cell r="J1381" t="str">
            <v>bueno</v>
          </cell>
          <cell r="K1381" t="str">
            <v>probsi</v>
          </cell>
        </row>
        <row r="1382">
          <cell r="B1382" t="b">
            <v>1</v>
          </cell>
          <cell r="E1382" t="str">
            <v>Ternera</v>
          </cell>
          <cell r="H1382" t="str">
            <v>consulta_externa</v>
          </cell>
          <cell r="J1382" t="str">
            <v>bueno</v>
          </cell>
          <cell r="K1382" t="str">
            <v>probsi</v>
          </cell>
        </row>
        <row r="1383">
          <cell r="B1383" t="b">
            <v>1</v>
          </cell>
          <cell r="E1383" t="str">
            <v>Ternera</v>
          </cell>
          <cell r="H1383" t="str">
            <v>salud_oral</v>
          </cell>
          <cell r="J1383" t="str">
            <v>bueno</v>
          </cell>
          <cell r="K1383" t="str">
            <v>probsi</v>
          </cell>
        </row>
        <row r="1384">
          <cell r="B1384" t="b">
            <v>1</v>
          </cell>
          <cell r="E1384" t="str">
            <v>Ternera</v>
          </cell>
          <cell r="H1384" t="str">
            <v>consulta_externa</v>
          </cell>
          <cell r="J1384" t="str">
            <v>bueno</v>
          </cell>
          <cell r="K1384" t="str">
            <v>probsi</v>
          </cell>
        </row>
        <row r="1385">
          <cell r="B1385" t="b">
            <v>1</v>
          </cell>
          <cell r="E1385" t="str">
            <v>Ternera</v>
          </cell>
          <cell r="H1385" t="str">
            <v>salud_oral</v>
          </cell>
          <cell r="J1385" t="str">
            <v>bueno</v>
          </cell>
          <cell r="K1385" t="str">
            <v>probsi</v>
          </cell>
        </row>
        <row r="1386">
          <cell r="B1386" t="b">
            <v>0</v>
          </cell>
          <cell r="E1386" t="str">
            <v>Ternera</v>
          </cell>
          <cell r="H1386" t="str">
            <v>consulta_externa</v>
          </cell>
          <cell r="J1386" t="str">
            <v>regular</v>
          </cell>
          <cell r="K1386" t="str">
            <v>probsi</v>
          </cell>
        </row>
        <row r="1387">
          <cell r="B1387" t="b">
            <v>1</v>
          </cell>
          <cell r="E1387" t="str">
            <v>Ternera</v>
          </cell>
          <cell r="H1387" t="str">
            <v>consulta_externa</v>
          </cell>
          <cell r="J1387" t="str">
            <v>bueno</v>
          </cell>
          <cell r="K1387" t="str">
            <v>probsi</v>
          </cell>
        </row>
        <row r="1388">
          <cell r="B1388" t="b">
            <v>1</v>
          </cell>
          <cell r="E1388" t="str">
            <v>Ternera</v>
          </cell>
          <cell r="H1388" t="str">
            <v>salud_oral</v>
          </cell>
          <cell r="J1388" t="str">
            <v>bueno</v>
          </cell>
          <cell r="K1388" t="str">
            <v>probsi</v>
          </cell>
        </row>
        <row r="1389">
          <cell r="B1389" t="b">
            <v>1</v>
          </cell>
          <cell r="E1389" t="str">
            <v>Ternera</v>
          </cell>
          <cell r="H1389" t="str">
            <v>consulta_externa</v>
          </cell>
          <cell r="J1389" t="str">
            <v>bueno</v>
          </cell>
          <cell r="K1389" t="str">
            <v>probsi</v>
          </cell>
        </row>
        <row r="1390">
          <cell r="B1390" t="b">
            <v>1</v>
          </cell>
          <cell r="E1390" t="str">
            <v>Ternera</v>
          </cell>
          <cell r="H1390" t="str">
            <v>consulta_externa</v>
          </cell>
          <cell r="J1390" t="str">
            <v>bueno</v>
          </cell>
          <cell r="K1390" t="str">
            <v>probsi</v>
          </cell>
        </row>
        <row r="1391">
          <cell r="B1391" t="b">
            <v>1</v>
          </cell>
          <cell r="E1391" t="str">
            <v>Ternera</v>
          </cell>
          <cell r="H1391" t="str">
            <v>consulta_externa</v>
          </cell>
          <cell r="J1391" t="str">
            <v>bueno</v>
          </cell>
          <cell r="K1391" t="str">
            <v>probsi</v>
          </cell>
        </row>
        <row r="1392">
          <cell r="B1392" t="b">
            <v>1</v>
          </cell>
          <cell r="E1392" t="str">
            <v>Ternera</v>
          </cell>
          <cell r="H1392" t="str">
            <v>salud_oral</v>
          </cell>
          <cell r="J1392" t="str">
            <v>bueno</v>
          </cell>
          <cell r="K1392" t="str">
            <v>probsi</v>
          </cell>
        </row>
        <row r="1393">
          <cell r="B1393" t="b">
            <v>1</v>
          </cell>
          <cell r="E1393" t="str">
            <v>Bosque</v>
          </cell>
          <cell r="H1393" t="str">
            <v>laboratorio</v>
          </cell>
          <cell r="J1393" t="str">
            <v>bueno</v>
          </cell>
          <cell r="K1393" t="str">
            <v>defsi</v>
          </cell>
        </row>
        <row r="1394">
          <cell r="B1394" t="b">
            <v>1</v>
          </cell>
          <cell r="E1394" t="str">
            <v>Ternera</v>
          </cell>
          <cell r="H1394" t="str">
            <v>consulta_externa</v>
          </cell>
          <cell r="J1394" t="str">
            <v>bueno</v>
          </cell>
          <cell r="K1394" t="str">
            <v>probsi</v>
          </cell>
        </row>
        <row r="1395">
          <cell r="B1395" t="b">
            <v>1</v>
          </cell>
          <cell r="E1395" t="str">
            <v>Ternera</v>
          </cell>
          <cell r="H1395" t="str">
            <v>salud_oral</v>
          </cell>
          <cell r="J1395" t="str">
            <v>bueno</v>
          </cell>
          <cell r="K1395" t="str">
            <v>probsi</v>
          </cell>
        </row>
        <row r="1396">
          <cell r="B1396" t="b">
            <v>1</v>
          </cell>
          <cell r="E1396" t="str">
            <v>Ternera</v>
          </cell>
          <cell r="H1396" t="str">
            <v>laboratorio</v>
          </cell>
          <cell r="J1396" t="str">
            <v>bueno</v>
          </cell>
          <cell r="K1396" t="str">
            <v>probsi</v>
          </cell>
        </row>
        <row r="1397">
          <cell r="B1397" t="b">
            <v>1</v>
          </cell>
          <cell r="E1397" t="str">
            <v>Bosque</v>
          </cell>
          <cell r="H1397" t="str">
            <v>consulta_externa</v>
          </cell>
          <cell r="J1397" t="str">
            <v>bueno</v>
          </cell>
          <cell r="K1397" t="str">
            <v>defsi</v>
          </cell>
        </row>
        <row r="1398">
          <cell r="B1398" t="b">
            <v>1</v>
          </cell>
          <cell r="E1398" t="str">
            <v>Bosque</v>
          </cell>
          <cell r="H1398" t="str">
            <v>salud_oral</v>
          </cell>
          <cell r="J1398" t="str">
            <v>bueno</v>
          </cell>
          <cell r="K1398" t="str">
            <v>defsi</v>
          </cell>
        </row>
        <row r="1399">
          <cell r="B1399" t="b">
            <v>0</v>
          </cell>
          <cell r="E1399" t="str">
            <v>Ternera</v>
          </cell>
          <cell r="H1399" t="str">
            <v>consulta_externa</v>
          </cell>
          <cell r="J1399" t="str">
            <v>regular</v>
          </cell>
          <cell r="K1399" t="str">
            <v>probsi</v>
          </cell>
        </row>
        <row r="1400">
          <cell r="B1400" t="b">
            <v>1</v>
          </cell>
          <cell r="E1400" t="str">
            <v>Bosque</v>
          </cell>
          <cell r="H1400" t="str">
            <v>laboratorio</v>
          </cell>
          <cell r="J1400" t="str">
            <v>bueno</v>
          </cell>
          <cell r="K1400" t="str">
            <v>defsi</v>
          </cell>
        </row>
        <row r="1401">
          <cell r="B1401" t="b">
            <v>1</v>
          </cell>
          <cell r="E1401" t="str">
            <v>Ternera</v>
          </cell>
          <cell r="H1401" t="str">
            <v>consulta_externa</v>
          </cell>
          <cell r="J1401" t="str">
            <v>bueno</v>
          </cell>
          <cell r="K1401" t="str">
            <v>probsi</v>
          </cell>
        </row>
        <row r="1402">
          <cell r="B1402" t="b">
            <v>1</v>
          </cell>
          <cell r="E1402" t="str">
            <v>Ternera</v>
          </cell>
          <cell r="H1402" t="str">
            <v>salud_oral</v>
          </cell>
          <cell r="J1402" t="str">
            <v>bueno</v>
          </cell>
          <cell r="K1402" t="str">
            <v>probsi</v>
          </cell>
        </row>
        <row r="1403">
          <cell r="B1403" t="b">
            <v>1</v>
          </cell>
          <cell r="E1403" t="str">
            <v>Ternera</v>
          </cell>
          <cell r="H1403" t="str">
            <v>consulta_externa</v>
          </cell>
          <cell r="J1403" t="str">
            <v>bueno</v>
          </cell>
          <cell r="K1403" t="str">
            <v>probsi</v>
          </cell>
        </row>
        <row r="1404">
          <cell r="B1404" t="b">
            <v>1</v>
          </cell>
          <cell r="E1404" t="str">
            <v>Ternera</v>
          </cell>
          <cell r="H1404" t="str">
            <v>salud_oral</v>
          </cell>
          <cell r="J1404" t="str">
            <v>bueno</v>
          </cell>
          <cell r="K1404" t="str">
            <v>probsi</v>
          </cell>
        </row>
        <row r="1405">
          <cell r="B1405" t="b">
            <v>1</v>
          </cell>
          <cell r="E1405" t="str">
            <v>Ternera</v>
          </cell>
          <cell r="H1405" t="str">
            <v>laboratorio</v>
          </cell>
          <cell r="J1405" t="str">
            <v>bueno</v>
          </cell>
          <cell r="K1405" t="str">
            <v>probsi</v>
          </cell>
        </row>
        <row r="1406">
          <cell r="B1406" t="b">
            <v>1</v>
          </cell>
          <cell r="E1406" t="str">
            <v>Ternera</v>
          </cell>
          <cell r="H1406" t="str">
            <v>laboratorio</v>
          </cell>
          <cell r="J1406" t="str">
            <v>bueno</v>
          </cell>
          <cell r="K1406" t="str">
            <v>probsi</v>
          </cell>
        </row>
        <row r="1407">
          <cell r="B1407" t="b">
            <v>1</v>
          </cell>
          <cell r="E1407" t="str">
            <v>Ternera</v>
          </cell>
          <cell r="H1407" t="str">
            <v>laboratorio</v>
          </cell>
          <cell r="J1407" t="str">
            <v>bueno</v>
          </cell>
          <cell r="K1407" t="str">
            <v>probsi</v>
          </cell>
        </row>
        <row r="1408">
          <cell r="B1408" t="b">
            <v>1</v>
          </cell>
          <cell r="E1408" t="str">
            <v>Ternera</v>
          </cell>
          <cell r="H1408" t="str">
            <v>laboratorio</v>
          </cell>
          <cell r="J1408" t="str">
            <v>bueno</v>
          </cell>
          <cell r="K1408" t="str">
            <v>probsi</v>
          </cell>
        </row>
        <row r="1409">
          <cell r="B1409" t="b">
            <v>1</v>
          </cell>
          <cell r="E1409" t="str">
            <v>Socorro</v>
          </cell>
          <cell r="H1409" t="str">
            <v>consulta_externa</v>
          </cell>
          <cell r="J1409" t="str">
            <v>bueno</v>
          </cell>
          <cell r="K1409" t="str">
            <v>probsi</v>
          </cell>
        </row>
        <row r="1410">
          <cell r="B1410" t="b">
            <v>1</v>
          </cell>
          <cell r="E1410" t="str">
            <v>Blasdelezo</v>
          </cell>
          <cell r="H1410" t="str">
            <v>consulta_externa</v>
          </cell>
          <cell r="J1410" t="str">
            <v>bueno</v>
          </cell>
          <cell r="K1410" t="str">
            <v>defsi</v>
          </cell>
        </row>
        <row r="1411">
          <cell r="B1411" t="b">
            <v>1</v>
          </cell>
          <cell r="E1411" t="str">
            <v>Blasdelezo</v>
          </cell>
          <cell r="H1411" t="str">
            <v>salud_oral</v>
          </cell>
          <cell r="J1411" t="str">
            <v>bueno</v>
          </cell>
          <cell r="K1411" t="str">
            <v>defsi</v>
          </cell>
        </row>
        <row r="1412">
          <cell r="B1412" t="b">
            <v>1</v>
          </cell>
          <cell r="E1412" t="str">
            <v>Blasdelezo</v>
          </cell>
          <cell r="H1412" t="str">
            <v>laboratorio</v>
          </cell>
          <cell r="J1412" t="str">
            <v>bueno</v>
          </cell>
          <cell r="K1412" t="str">
            <v>defsi</v>
          </cell>
        </row>
        <row r="1413">
          <cell r="B1413" t="b">
            <v>1</v>
          </cell>
          <cell r="E1413" t="str">
            <v>Blasdelezo</v>
          </cell>
          <cell r="H1413" t="str">
            <v>urgencia</v>
          </cell>
          <cell r="J1413" t="str">
            <v>bueno</v>
          </cell>
          <cell r="K1413" t="str">
            <v>defsi</v>
          </cell>
        </row>
        <row r="1414">
          <cell r="B1414" t="b">
            <v>1</v>
          </cell>
          <cell r="E1414" t="str">
            <v>Blasdelezo</v>
          </cell>
          <cell r="H1414" t="str">
            <v>pediatria</v>
          </cell>
          <cell r="J1414" t="str">
            <v>bueno</v>
          </cell>
          <cell r="K1414" t="str">
            <v>defsi</v>
          </cell>
        </row>
        <row r="1415">
          <cell r="B1415" t="b">
            <v>1</v>
          </cell>
          <cell r="E1415" t="str">
            <v>Blasdelezo</v>
          </cell>
          <cell r="H1415" t="str">
            <v>medicina_interna</v>
          </cell>
          <cell r="J1415" t="str">
            <v>bueno</v>
          </cell>
          <cell r="K1415" t="str">
            <v>defsi</v>
          </cell>
        </row>
        <row r="1416">
          <cell r="B1416" t="b">
            <v>1</v>
          </cell>
          <cell r="E1416" t="str">
            <v>Blasdelezo</v>
          </cell>
          <cell r="H1416" t="str">
            <v>consulta_externa</v>
          </cell>
          <cell r="J1416" t="str">
            <v>bueno</v>
          </cell>
          <cell r="K1416" t="str">
            <v>defsi</v>
          </cell>
        </row>
        <row r="1417">
          <cell r="B1417" t="b">
            <v>1</v>
          </cell>
          <cell r="E1417" t="str">
            <v>Blasdelezo</v>
          </cell>
          <cell r="H1417" t="str">
            <v>salud_oral</v>
          </cell>
          <cell r="J1417" t="str">
            <v>bueno</v>
          </cell>
          <cell r="K1417" t="str">
            <v>defsi</v>
          </cell>
        </row>
        <row r="1418">
          <cell r="B1418" t="b">
            <v>1</v>
          </cell>
          <cell r="E1418" t="str">
            <v>Blasdelezo</v>
          </cell>
          <cell r="H1418" t="str">
            <v>laboratorio</v>
          </cell>
          <cell r="J1418" t="str">
            <v>bueno</v>
          </cell>
          <cell r="K1418" t="str">
            <v>defsi</v>
          </cell>
        </row>
        <row r="1419">
          <cell r="B1419" t="b">
            <v>1</v>
          </cell>
          <cell r="E1419" t="str">
            <v>Blasdelezo</v>
          </cell>
          <cell r="H1419" t="str">
            <v>urgencia</v>
          </cell>
          <cell r="J1419" t="str">
            <v>bueno</v>
          </cell>
          <cell r="K1419" t="str">
            <v>defsi</v>
          </cell>
        </row>
        <row r="1420">
          <cell r="B1420" t="b">
            <v>1</v>
          </cell>
          <cell r="E1420" t="str">
            <v>Blasdelezo</v>
          </cell>
          <cell r="H1420" t="str">
            <v>pediatria</v>
          </cell>
          <cell r="J1420" t="str">
            <v>bueno</v>
          </cell>
          <cell r="K1420" t="str">
            <v>defsi</v>
          </cell>
        </row>
        <row r="1421">
          <cell r="B1421" t="b">
            <v>1</v>
          </cell>
          <cell r="E1421" t="str">
            <v>Blasdelezo</v>
          </cell>
          <cell r="H1421" t="str">
            <v>medicina_interna</v>
          </cell>
          <cell r="J1421" t="str">
            <v>bueno</v>
          </cell>
          <cell r="K1421" t="str">
            <v>defsi</v>
          </cell>
        </row>
        <row r="1422">
          <cell r="B1422" t="b">
            <v>1</v>
          </cell>
          <cell r="E1422" t="str">
            <v>Blasdelezo</v>
          </cell>
          <cell r="H1422" t="str">
            <v>consulta_externa</v>
          </cell>
          <cell r="J1422" t="str">
            <v>bueno</v>
          </cell>
          <cell r="K1422" t="str">
            <v>defsi</v>
          </cell>
        </row>
        <row r="1423">
          <cell r="B1423" t="b">
            <v>1</v>
          </cell>
          <cell r="E1423" t="str">
            <v>Blasdelezo</v>
          </cell>
          <cell r="H1423" t="str">
            <v>salud_oral</v>
          </cell>
          <cell r="J1423" t="str">
            <v>bueno</v>
          </cell>
          <cell r="K1423" t="str">
            <v>defsi</v>
          </cell>
        </row>
        <row r="1424">
          <cell r="B1424" t="b">
            <v>1</v>
          </cell>
          <cell r="E1424" t="str">
            <v>Blasdelezo</v>
          </cell>
          <cell r="H1424" t="str">
            <v>laboratorio</v>
          </cell>
          <cell r="J1424" t="str">
            <v>bueno</v>
          </cell>
          <cell r="K1424" t="str">
            <v>defsi</v>
          </cell>
        </row>
        <row r="1425">
          <cell r="B1425" t="b">
            <v>1</v>
          </cell>
          <cell r="E1425" t="str">
            <v>Blasdelezo</v>
          </cell>
          <cell r="H1425" t="str">
            <v>urgencia</v>
          </cell>
          <cell r="J1425" t="str">
            <v>bueno</v>
          </cell>
          <cell r="K1425" t="str">
            <v>defsi</v>
          </cell>
        </row>
        <row r="1426">
          <cell r="B1426" t="b">
            <v>1</v>
          </cell>
          <cell r="E1426" t="str">
            <v>Blasdelezo</v>
          </cell>
          <cell r="H1426" t="str">
            <v>pediatria</v>
          </cell>
          <cell r="J1426" t="str">
            <v>bueno</v>
          </cell>
          <cell r="K1426" t="str">
            <v>defsi</v>
          </cell>
        </row>
        <row r="1427">
          <cell r="B1427" t="b">
            <v>1</v>
          </cell>
          <cell r="E1427" t="str">
            <v>Blasdelezo</v>
          </cell>
          <cell r="H1427" t="str">
            <v>medicina_interna</v>
          </cell>
          <cell r="J1427" t="str">
            <v>bueno</v>
          </cell>
          <cell r="K1427" t="str">
            <v>defsi</v>
          </cell>
        </row>
        <row r="1428">
          <cell r="B1428" t="b">
            <v>1</v>
          </cell>
          <cell r="E1428" t="str">
            <v>Blasdelezo</v>
          </cell>
          <cell r="H1428" t="str">
            <v>consulta_externa</v>
          </cell>
          <cell r="J1428" t="str">
            <v>bueno</v>
          </cell>
          <cell r="K1428" t="str">
            <v>defsi</v>
          </cell>
        </row>
        <row r="1429">
          <cell r="B1429" t="b">
            <v>1</v>
          </cell>
          <cell r="E1429" t="str">
            <v>Blasdelezo</v>
          </cell>
          <cell r="H1429" t="str">
            <v>salud_oral</v>
          </cell>
          <cell r="J1429" t="str">
            <v>bueno</v>
          </cell>
          <cell r="K1429" t="str">
            <v>defsi</v>
          </cell>
        </row>
        <row r="1430">
          <cell r="B1430" t="b">
            <v>1</v>
          </cell>
          <cell r="E1430" t="str">
            <v>Blasdelezo</v>
          </cell>
          <cell r="H1430" t="str">
            <v>laboratorio</v>
          </cell>
          <cell r="J1430" t="str">
            <v>bueno</v>
          </cell>
          <cell r="K1430" t="str">
            <v>defsi</v>
          </cell>
        </row>
        <row r="1431">
          <cell r="B1431" t="b">
            <v>1</v>
          </cell>
          <cell r="E1431" t="str">
            <v>Blasdelezo</v>
          </cell>
          <cell r="H1431" t="str">
            <v>urgencia</v>
          </cell>
          <cell r="J1431" t="str">
            <v>bueno</v>
          </cell>
          <cell r="K1431" t="str">
            <v>defsi</v>
          </cell>
        </row>
        <row r="1432">
          <cell r="B1432" t="b">
            <v>1</v>
          </cell>
          <cell r="E1432" t="str">
            <v>Blasdelezo</v>
          </cell>
          <cell r="H1432" t="str">
            <v>medicina_interna</v>
          </cell>
          <cell r="J1432" t="str">
            <v>bueno</v>
          </cell>
          <cell r="K1432" t="str">
            <v>defsi</v>
          </cell>
        </row>
        <row r="1433">
          <cell r="B1433" t="b">
            <v>1</v>
          </cell>
          <cell r="E1433" t="str">
            <v>Blasdelezo</v>
          </cell>
          <cell r="H1433" t="str">
            <v>consulta_externa</v>
          </cell>
          <cell r="J1433" t="str">
            <v>bueno</v>
          </cell>
          <cell r="K1433" t="str">
            <v>defsi</v>
          </cell>
        </row>
        <row r="1434">
          <cell r="B1434" t="b">
            <v>1</v>
          </cell>
          <cell r="E1434" t="str">
            <v>Blasdelezo</v>
          </cell>
          <cell r="H1434" t="str">
            <v>salud_oral</v>
          </cell>
          <cell r="J1434" t="str">
            <v>bueno</v>
          </cell>
          <cell r="K1434" t="str">
            <v>defsi</v>
          </cell>
        </row>
        <row r="1435">
          <cell r="B1435" t="b">
            <v>1</v>
          </cell>
          <cell r="E1435" t="str">
            <v>Blasdelezo</v>
          </cell>
          <cell r="H1435" t="str">
            <v>laboratorio</v>
          </cell>
          <cell r="J1435" t="str">
            <v>bueno</v>
          </cell>
          <cell r="K1435" t="str">
            <v>defsi</v>
          </cell>
        </row>
        <row r="1436">
          <cell r="B1436" t="b">
            <v>1</v>
          </cell>
          <cell r="E1436" t="str">
            <v>Blasdelezo</v>
          </cell>
          <cell r="H1436" t="str">
            <v>urgencia</v>
          </cell>
          <cell r="J1436" t="str">
            <v>bueno</v>
          </cell>
          <cell r="K1436" t="str">
            <v>defsi</v>
          </cell>
        </row>
        <row r="1437">
          <cell r="B1437" t="b">
            <v>1</v>
          </cell>
          <cell r="E1437" t="str">
            <v>Blasdelezo</v>
          </cell>
          <cell r="H1437" t="str">
            <v>medicina_interna</v>
          </cell>
          <cell r="J1437" t="str">
            <v>bueno</v>
          </cell>
          <cell r="K1437" t="str">
            <v>defsi</v>
          </cell>
        </row>
        <row r="1438">
          <cell r="B1438" t="b">
            <v>1</v>
          </cell>
          <cell r="E1438" t="str">
            <v>Blasdelezo</v>
          </cell>
          <cell r="H1438" t="str">
            <v>consulta_externa</v>
          </cell>
          <cell r="J1438" t="str">
            <v>bueno</v>
          </cell>
          <cell r="K1438" t="str">
            <v>defsi</v>
          </cell>
        </row>
        <row r="1439">
          <cell r="B1439" t="b">
            <v>1</v>
          </cell>
          <cell r="E1439" t="str">
            <v>Blasdelezo</v>
          </cell>
          <cell r="H1439" t="str">
            <v>salud_oral</v>
          </cell>
          <cell r="J1439" t="str">
            <v>bueno</v>
          </cell>
          <cell r="K1439" t="str">
            <v>defsi</v>
          </cell>
        </row>
        <row r="1440">
          <cell r="B1440" t="b">
            <v>1</v>
          </cell>
          <cell r="E1440" t="str">
            <v>Blasdelezo</v>
          </cell>
          <cell r="H1440" t="str">
            <v>laboratorio</v>
          </cell>
          <cell r="J1440" t="str">
            <v>bueno</v>
          </cell>
          <cell r="K1440" t="str">
            <v>defsi</v>
          </cell>
        </row>
        <row r="1441">
          <cell r="B1441" t="b">
            <v>1</v>
          </cell>
          <cell r="E1441" t="str">
            <v>Blasdelezo</v>
          </cell>
          <cell r="H1441" t="str">
            <v>urgencia</v>
          </cell>
          <cell r="J1441" t="str">
            <v>bueno</v>
          </cell>
          <cell r="K1441" t="str">
            <v>defsi</v>
          </cell>
        </row>
        <row r="1442">
          <cell r="B1442" t="b">
            <v>1</v>
          </cell>
          <cell r="E1442" t="str">
            <v>Blasdelezo</v>
          </cell>
          <cell r="H1442" t="str">
            <v>medicina_interna</v>
          </cell>
          <cell r="J1442" t="str">
            <v>bueno</v>
          </cell>
          <cell r="K1442" t="str">
            <v>defsi</v>
          </cell>
        </row>
        <row r="1443">
          <cell r="B1443" t="b">
            <v>1</v>
          </cell>
          <cell r="E1443" t="str">
            <v>Blasdelezo</v>
          </cell>
          <cell r="H1443" t="str">
            <v>consulta_externa</v>
          </cell>
          <cell r="J1443" t="str">
            <v>bueno</v>
          </cell>
          <cell r="K1443" t="str">
            <v>defsi</v>
          </cell>
        </row>
        <row r="1444">
          <cell r="B1444" t="b">
            <v>1</v>
          </cell>
          <cell r="E1444" t="str">
            <v>Blasdelezo</v>
          </cell>
          <cell r="H1444" t="str">
            <v>salud_oral</v>
          </cell>
          <cell r="J1444" t="str">
            <v>bueno</v>
          </cell>
          <cell r="K1444" t="str">
            <v>defsi</v>
          </cell>
        </row>
        <row r="1445">
          <cell r="B1445" t="b">
            <v>1</v>
          </cell>
          <cell r="E1445" t="str">
            <v>Blasdelezo</v>
          </cell>
          <cell r="H1445" t="str">
            <v>laboratorio</v>
          </cell>
          <cell r="J1445" t="str">
            <v>bueno</v>
          </cell>
          <cell r="K1445" t="str">
            <v>defsi</v>
          </cell>
        </row>
        <row r="1446">
          <cell r="B1446" t="b">
            <v>1</v>
          </cell>
          <cell r="E1446" t="str">
            <v>Blasdelezo</v>
          </cell>
          <cell r="H1446" t="str">
            <v>urgencia</v>
          </cell>
          <cell r="J1446" t="str">
            <v>bueno</v>
          </cell>
          <cell r="K1446" t="str">
            <v>defsi</v>
          </cell>
        </row>
        <row r="1447">
          <cell r="B1447" t="b">
            <v>1</v>
          </cell>
          <cell r="E1447" t="str">
            <v>Blasdelezo</v>
          </cell>
          <cell r="H1447" t="str">
            <v>medicina_interna</v>
          </cell>
          <cell r="J1447" t="str">
            <v>bueno</v>
          </cell>
          <cell r="K1447" t="str">
            <v>defsi</v>
          </cell>
        </row>
        <row r="1448">
          <cell r="B1448" t="b">
            <v>0</v>
          </cell>
          <cell r="E1448" t="str">
            <v>Socorro</v>
          </cell>
          <cell r="H1448" t="str">
            <v>salud_oral</v>
          </cell>
          <cell r="J1448" t="str">
            <v>regular</v>
          </cell>
          <cell r="K1448" t="str">
            <v>probsi</v>
          </cell>
        </row>
        <row r="1449">
          <cell r="B1449" t="b">
            <v>1</v>
          </cell>
          <cell r="E1449" t="str">
            <v>Socorro</v>
          </cell>
          <cell r="H1449" t="str">
            <v>salud_oral</v>
          </cell>
          <cell r="J1449" t="str">
            <v>bueno</v>
          </cell>
          <cell r="K1449" t="str">
            <v>probsi</v>
          </cell>
        </row>
        <row r="1450">
          <cell r="B1450" t="b">
            <v>1</v>
          </cell>
          <cell r="E1450" t="str">
            <v>Socorro</v>
          </cell>
          <cell r="H1450" t="str">
            <v>salud_oral</v>
          </cell>
          <cell r="J1450" t="str">
            <v>bueno</v>
          </cell>
          <cell r="K1450" t="str">
            <v>probsi</v>
          </cell>
        </row>
        <row r="1451">
          <cell r="B1451" t="b">
            <v>1</v>
          </cell>
          <cell r="E1451" t="str">
            <v>Socorro</v>
          </cell>
          <cell r="H1451" t="str">
            <v>salud_oral</v>
          </cell>
          <cell r="J1451" t="str">
            <v>bueno</v>
          </cell>
          <cell r="K1451" t="str">
            <v>probsi</v>
          </cell>
        </row>
        <row r="1452">
          <cell r="B1452" t="b">
            <v>1</v>
          </cell>
          <cell r="E1452" t="str">
            <v>Socorro</v>
          </cell>
          <cell r="H1452" t="str">
            <v>salud_oral</v>
          </cell>
          <cell r="J1452" t="str">
            <v>bueno</v>
          </cell>
          <cell r="K1452" t="str">
            <v>probsi</v>
          </cell>
        </row>
        <row r="1453">
          <cell r="B1453" t="b">
            <v>1</v>
          </cell>
          <cell r="E1453" t="str">
            <v>Socorro</v>
          </cell>
          <cell r="H1453" t="str">
            <v>salud_oral</v>
          </cell>
          <cell r="J1453" t="str">
            <v>bueno</v>
          </cell>
          <cell r="K1453" t="str">
            <v>probsi</v>
          </cell>
        </row>
        <row r="1454">
          <cell r="B1454" t="b">
            <v>1</v>
          </cell>
          <cell r="E1454" t="str">
            <v>Blasdelezo</v>
          </cell>
          <cell r="H1454" t="str">
            <v>consulta_externa</v>
          </cell>
          <cell r="J1454" t="str">
            <v>bueno</v>
          </cell>
          <cell r="K1454" t="str">
            <v>defsi</v>
          </cell>
        </row>
        <row r="1455">
          <cell r="B1455" t="b">
            <v>1</v>
          </cell>
          <cell r="E1455" t="str">
            <v>Blasdelezo</v>
          </cell>
          <cell r="H1455" t="str">
            <v>salud_oral</v>
          </cell>
          <cell r="J1455" t="str">
            <v>bueno</v>
          </cell>
          <cell r="K1455" t="str">
            <v>defsi</v>
          </cell>
        </row>
        <row r="1456">
          <cell r="B1456" t="b">
            <v>1</v>
          </cell>
          <cell r="E1456" t="str">
            <v>Blasdelezo</v>
          </cell>
          <cell r="H1456" t="str">
            <v>laboratorio</v>
          </cell>
          <cell r="J1456" t="str">
            <v>bueno</v>
          </cell>
          <cell r="K1456" t="str">
            <v>defsi</v>
          </cell>
        </row>
        <row r="1457">
          <cell r="B1457" t="b">
            <v>1</v>
          </cell>
          <cell r="E1457" t="str">
            <v>Blasdelezo</v>
          </cell>
          <cell r="H1457" t="str">
            <v>urgencia</v>
          </cell>
          <cell r="J1457" t="str">
            <v>bueno</v>
          </cell>
          <cell r="K1457" t="str">
            <v>defsi</v>
          </cell>
        </row>
        <row r="1458">
          <cell r="B1458" t="b">
            <v>1</v>
          </cell>
          <cell r="E1458" t="str">
            <v>Blasdelezo</v>
          </cell>
          <cell r="H1458" t="str">
            <v>medicina_interna</v>
          </cell>
          <cell r="J1458" t="str">
            <v>bueno</v>
          </cell>
          <cell r="K1458" t="str">
            <v>defsi</v>
          </cell>
        </row>
        <row r="1459">
          <cell r="B1459" t="b">
            <v>1</v>
          </cell>
          <cell r="E1459" t="str">
            <v>Blasdelezo</v>
          </cell>
          <cell r="H1459" t="str">
            <v>consulta_externa</v>
          </cell>
          <cell r="J1459" t="str">
            <v>bueno</v>
          </cell>
          <cell r="K1459" t="str">
            <v>defsi</v>
          </cell>
        </row>
        <row r="1460">
          <cell r="B1460" t="b">
            <v>1</v>
          </cell>
          <cell r="E1460" t="str">
            <v>Blasdelezo</v>
          </cell>
          <cell r="H1460" t="str">
            <v>salud_oral</v>
          </cell>
          <cell r="J1460" t="str">
            <v>bueno</v>
          </cell>
          <cell r="K1460" t="str">
            <v>defsi</v>
          </cell>
        </row>
        <row r="1461">
          <cell r="B1461" t="b">
            <v>1</v>
          </cell>
          <cell r="E1461" t="str">
            <v>Blasdelezo</v>
          </cell>
          <cell r="H1461" t="str">
            <v>laboratorio</v>
          </cell>
          <cell r="J1461" t="str">
            <v>bueno</v>
          </cell>
          <cell r="K1461" t="str">
            <v>defsi</v>
          </cell>
        </row>
        <row r="1462">
          <cell r="B1462" t="b">
            <v>1</v>
          </cell>
          <cell r="E1462" t="str">
            <v>Blasdelezo</v>
          </cell>
          <cell r="H1462" t="str">
            <v>urgencia</v>
          </cell>
          <cell r="J1462" t="str">
            <v>bueno</v>
          </cell>
          <cell r="K1462" t="str">
            <v>defsi</v>
          </cell>
        </row>
        <row r="1463">
          <cell r="B1463" t="b">
            <v>1</v>
          </cell>
          <cell r="E1463" t="str">
            <v>Blasdelezo</v>
          </cell>
          <cell r="H1463" t="str">
            <v>consulta_externa</v>
          </cell>
          <cell r="J1463" t="str">
            <v>bueno</v>
          </cell>
          <cell r="K1463" t="str">
            <v>defsi</v>
          </cell>
        </row>
        <row r="1464">
          <cell r="B1464" t="b">
            <v>1</v>
          </cell>
          <cell r="E1464" t="str">
            <v>Blasdelezo</v>
          </cell>
          <cell r="H1464" t="str">
            <v>salud_oral</v>
          </cell>
          <cell r="J1464" t="str">
            <v>bueno</v>
          </cell>
          <cell r="K1464" t="str">
            <v>defsi</v>
          </cell>
        </row>
        <row r="1465">
          <cell r="B1465" t="b">
            <v>1</v>
          </cell>
          <cell r="E1465" t="str">
            <v>Blasdelezo</v>
          </cell>
          <cell r="H1465" t="str">
            <v>laboratorio</v>
          </cell>
          <cell r="J1465" t="str">
            <v>bueno</v>
          </cell>
          <cell r="K1465" t="str">
            <v>defsi</v>
          </cell>
        </row>
        <row r="1466">
          <cell r="B1466" t="b">
            <v>1</v>
          </cell>
          <cell r="E1466" t="str">
            <v>Blasdelezo</v>
          </cell>
          <cell r="H1466" t="str">
            <v>urgencia</v>
          </cell>
          <cell r="J1466" t="str">
            <v>bueno</v>
          </cell>
          <cell r="K1466" t="str">
            <v>defsi</v>
          </cell>
        </row>
        <row r="1467">
          <cell r="B1467" t="b">
            <v>1</v>
          </cell>
          <cell r="E1467" t="str">
            <v>Blasdelezo</v>
          </cell>
          <cell r="H1467" t="str">
            <v>consulta_externa</v>
          </cell>
          <cell r="J1467" t="str">
            <v>bueno</v>
          </cell>
          <cell r="K1467" t="str">
            <v>defsi</v>
          </cell>
        </row>
        <row r="1468">
          <cell r="B1468" t="b">
            <v>1</v>
          </cell>
          <cell r="E1468" t="str">
            <v>Blasdelezo</v>
          </cell>
          <cell r="H1468" t="str">
            <v>salud_oral</v>
          </cell>
          <cell r="J1468" t="str">
            <v>bueno</v>
          </cell>
          <cell r="K1468" t="str">
            <v>defsi</v>
          </cell>
        </row>
        <row r="1469">
          <cell r="B1469" t="b">
            <v>1</v>
          </cell>
          <cell r="E1469" t="str">
            <v>Blasdelezo</v>
          </cell>
          <cell r="H1469" t="str">
            <v>laboratorio</v>
          </cell>
          <cell r="J1469" t="str">
            <v>bueno</v>
          </cell>
          <cell r="K1469" t="str">
            <v>defsi</v>
          </cell>
        </row>
        <row r="1470">
          <cell r="B1470" t="b">
            <v>1</v>
          </cell>
          <cell r="E1470" t="str">
            <v>Las Reinas</v>
          </cell>
          <cell r="H1470" t="str">
            <v>salud_oral</v>
          </cell>
          <cell r="J1470" t="str">
            <v>bueno</v>
          </cell>
          <cell r="K1470" t="str">
            <v>defsi</v>
          </cell>
        </row>
        <row r="1471">
          <cell r="B1471" t="b">
            <v>1</v>
          </cell>
          <cell r="E1471" t="str">
            <v>Las Reinas</v>
          </cell>
          <cell r="H1471" t="str">
            <v>salud_oral</v>
          </cell>
          <cell r="J1471" t="str">
            <v>bueno</v>
          </cell>
          <cell r="K1471" t="str">
            <v>defsi</v>
          </cell>
        </row>
        <row r="1472">
          <cell r="B1472" t="b">
            <v>0</v>
          </cell>
          <cell r="E1472" t="str">
            <v>Las Reinas</v>
          </cell>
          <cell r="H1472" t="str">
            <v>salud_oral</v>
          </cell>
          <cell r="J1472" t="str">
            <v>regular</v>
          </cell>
          <cell r="K1472" t="str">
            <v>defsi</v>
          </cell>
        </row>
        <row r="1473">
          <cell r="B1473" t="b">
            <v>0</v>
          </cell>
          <cell r="E1473" t="str">
            <v>Las Reinas</v>
          </cell>
          <cell r="H1473" t="str">
            <v>consulta_externa</v>
          </cell>
          <cell r="J1473" t="str">
            <v>regular</v>
          </cell>
          <cell r="K1473" t="str">
            <v>probsi</v>
          </cell>
        </row>
        <row r="1474">
          <cell r="B1474" t="b">
            <v>0</v>
          </cell>
          <cell r="E1474" t="str">
            <v>Las Reinas</v>
          </cell>
          <cell r="H1474" t="str">
            <v>consulta_externa</v>
          </cell>
          <cell r="J1474" t="str">
            <v>regular</v>
          </cell>
          <cell r="K1474" t="str">
            <v>defsi</v>
          </cell>
        </row>
        <row r="1475">
          <cell r="B1475" t="b">
            <v>1</v>
          </cell>
          <cell r="E1475" t="str">
            <v>Las Reinas</v>
          </cell>
          <cell r="H1475" t="str">
            <v>consulta_externa</v>
          </cell>
          <cell r="J1475" t="str">
            <v>bueno</v>
          </cell>
          <cell r="K1475" t="str">
            <v>defsi</v>
          </cell>
        </row>
        <row r="1476">
          <cell r="B1476" t="b">
            <v>1</v>
          </cell>
          <cell r="E1476" t="str">
            <v>Las Reinas</v>
          </cell>
          <cell r="H1476" t="str">
            <v>salud_oral</v>
          </cell>
          <cell r="J1476" t="str">
            <v>bueno</v>
          </cell>
          <cell r="K1476" t="str">
            <v>defsi</v>
          </cell>
        </row>
        <row r="1477">
          <cell r="B1477" t="b">
            <v>1</v>
          </cell>
          <cell r="E1477" t="str">
            <v>Las Reinas</v>
          </cell>
          <cell r="H1477" t="str">
            <v>salud_oral</v>
          </cell>
          <cell r="J1477" t="str">
            <v>bueno</v>
          </cell>
          <cell r="K1477" t="str">
            <v>defsi</v>
          </cell>
        </row>
        <row r="1478">
          <cell r="B1478" t="b">
            <v>1</v>
          </cell>
          <cell r="E1478" t="str">
            <v>Las Reinas</v>
          </cell>
          <cell r="H1478" t="str">
            <v>salud_oral</v>
          </cell>
          <cell r="J1478" t="str">
            <v>bueno</v>
          </cell>
          <cell r="K1478" t="str">
            <v>defsi</v>
          </cell>
        </row>
        <row r="1479">
          <cell r="B1479" t="b">
            <v>1</v>
          </cell>
          <cell r="E1479" t="str">
            <v>Las Reinas</v>
          </cell>
          <cell r="H1479" t="str">
            <v>salud_oral</v>
          </cell>
          <cell r="J1479" t="str">
            <v>bueno</v>
          </cell>
          <cell r="K1479" t="str">
            <v>defsi</v>
          </cell>
        </row>
        <row r="1480">
          <cell r="B1480" t="b">
            <v>0</v>
          </cell>
          <cell r="E1480" t="str">
            <v>Las Reinas</v>
          </cell>
          <cell r="H1480" t="str">
            <v>consulta_externa</v>
          </cell>
          <cell r="J1480" t="str">
            <v>regular</v>
          </cell>
          <cell r="K1480" t="str">
            <v>defsi</v>
          </cell>
        </row>
        <row r="1481">
          <cell r="B1481" t="b">
            <v>1</v>
          </cell>
          <cell r="E1481" t="str">
            <v>Las Reinas</v>
          </cell>
          <cell r="H1481" t="str">
            <v>consulta_externa</v>
          </cell>
          <cell r="J1481" t="str">
            <v>bueno</v>
          </cell>
          <cell r="K1481" t="str">
            <v>defsi</v>
          </cell>
        </row>
        <row r="1482">
          <cell r="B1482" t="b">
            <v>1</v>
          </cell>
          <cell r="E1482" t="str">
            <v>Las Reinas</v>
          </cell>
          <cell r="H1482" t="str">
            <v>laboratorio</v>
          </cell>
          <cell r="J1482" t="str">
            <v>bueno</v>
          </cell>
          <cell r="K1482" t="str">
            <v>defsi</v>
          </cell>
        </row>
        <row r="1483">
          <cell r="B1483" t="b">
            <v>1</v>
          </cell>
          <cell r="E1483" t="str">
            <v>Las Reinas</v>
          </cell>
          <cell r="H1483" t="str">
            <v>laboratorio</v>
          </cell>
          <cell r="J1483" t="str">
            <v>bueno</v>
          </cell>
          <cell r="K1483" t="str">
            <v>defsi</v>
          </cell>
        </row>
        <row r="1484">
          <cell r="B1484" t="b">
            <v>0</v>
          </cell>
          <cell r="E1484" t="str">
            <v>Las Reinas</v>
          </cell>
          <cell r="H1484" t="str">
            <v>consulta_externa</v>
          </cell>
          <cell r="J1484" t="str">
            <v>regular</v>
          </cell>
          <cell r="K1484" t="str">
            <v>probsi</v>
          </cell>
        </row>
        <row r="1485">
          <cell r="B1485" t="b">
            <v>1</v>
          </cell>
          <cell r="E1485" t="str">
            <v>Las Reinas</v>
          </cell>
          <cell r="H1485" t="str">
            <v>salud_oral</v>
          </cell>
          <cell r="J1485" t="str">
            <v>bueno</v>
          </cell>
          <cell r="K1485" t="str">
            <v>defsi</v>
          </cell>
        </row>
        <row r="1486">
          <cell r="B1486" t="b">
            <v>1</v>
          </cell>
          <cell r="E1486" t="str">
            <v>Las Reinas</v>
          </cell>
          <cell r="H1486" t="str">
            <v>salud_oral</v>
          </cell>
          <cell r="J1486" t="str">
            <v>bueno</v>
          </cell>
          <cell r="K1486" t="str">
            <v>defsi</v>
          </cell>
        </row>
        <row r="1487">
          <cell r="B1487" t="b">
            <v>1</v>
          </cell>
          <cell r="E1487" t="str">
            <v>Las Reinas</v>
          </cell>
          <cell r="H1487" t="str">
            <v>salud_oral</v>
          </cell>
          <cell r="J1487" t="str">
            <v>muybueno</v>
          </cell>
          <cell r="K1487" t="str">
            <v>defsi</v>
          </cell>
        </row>
        <row r="1488">
          <cell r="B1488" t="b">
            <v>1</v>
          </cell>
          <cell r="E1488" t="str">
            <v>Ternera</v>
          </cell>
          <cell r="H1488" t="str">
            <v>laboratorio</v>
          </cell>
          <cell r="J1488" t="str">
            <v>bueno</v>
          </cell>
          <cell r="K1488" t="str">
            <v>probsi</v>
          </cell>
        </row>
        <row r="1489">
          <cell r="B1489" t="b">
            <v>1</v>
          </cell>
          <cell r="E1489" t="str">
            <v>Ternera</v>
          </cell>
          <cell r="H1489" t="str">
            <v>laboratorio</v>
          </cell>
          <cell r="J1489" t="str">
            <v>bueno</v>
          </cell>
          <cell r="K1489" t="str">
            <v>probsi</v>
          </cell>
        </row>
        <row r="1490">
          <cell r="B1490" t="b">
            <v>1</v>
          </cell>
          <cell r="E1490" t="str">
            <v>Ternera</v>
          </cell>
          <cell r="H1490" t="str">
            <v>laboratorio</v>
          </cell>
          <cell r="J1490" t="str">
            <v>bueno</v>
          </cell>
          <cell r="K1490" t="str">
            <v>probsi</v>
          </cell>
        </row>
        <row r="1491">
          <cell r="B1491" t="b">
            <v>1</v>
          </cell>
          <cell r="E1491" t="str">
            <v>Las Reinas</v>
          </cell>
          <cell r="H1491" t="str">
            <v>consulta_externa</v>
          </cell>
          <cell r="J1491" t="str">
            <v>bueno</v>
          </cell>
          <cell r="K1491" t="str">
            <v>defsi</v>
          </cell>
        </row>
        <row r="1492">
          <cell r="B1492" t="b">
            <v>1</v>
          </cell>
          <cell r="E1492" t="str">
            <v>Ternera</v>
          </cell>
          <cell r="H1492" t="str">
            <v>laboratorio</v>
          </cell>
          <cell r="J1492" t="str">
            <v>bueno</v>
          </cell>
          <cell r="K1492" t="str">
            <v>probsi</v>
          </cell>
        </row>
        <row r="1493">
          <cell r="B1493" t="b">
            <v>1</v>
          </cell>
          <cell r="E1493" t="str">
            <v>Ternera</v>
          </cell>
          <cell r="H1493" t="str">
            <v>laboratorio</v>
          </cell>
          <cell r="J1493" t="str">
            <v>bueno</v>
          </cell>
          <cell r="K1493" t="str">
            <v>probsi</v>
          </cell>
        </row>
        <row r="1494">
          <cell r="B1494" t="b">
            <v>1</v>
          </cell>
          <cell r="E1494" t="str">
            <v>Las Reinas</v>
          </cell>
          <cell r="H1494" t="str">
            <v>laboratorio</v>
          </cell>
          <cell r="J1494" t="str">
            <v>bueno</v>
          </cell>
          <cell r="K1494" t="str">
            <v>defsi</v>
          </cell>
        </row>
        <row r="1495">
          <cell r="B1495" t="b">
            <v>1</v>
          </cell>
          <cell r="E1495" t="str">
            <v>Ternera</v>
          </cell>
          <cell r="H1495" t="str">
            <v>laboratorio</v>
          </cell>
          <cell r="J1495" t="str">
            <v>bueno</v>
          </cell>
          <cell r="K1495" t="str">
            <v>probsi</v>
          </cell>
        </row>
        <row r="1496">
          <cell r="B1496" t="b">
            <v>1</v>
          </cell>
          <cell r="E1496" t="str">
            <v>Ternera</v>
          </cell>
          <cell r="H1496" t="str">
            <v>laboratorio</v>
          </cell>
          <cell r="J1496" t="str">
            <v>bueno</v>
          </cell>
          <cell r="K1496" t="str">
            <v>probsi</v>
          </cell>
        </row>
        <row r="1497">
          <cell r="B1497" t="b">
            <v>1</v>
          </cell>
          <cell r="E1497" t="str">
            <v>Ternera</v>
          </cell>
          <cell r="H1497" t="str">
            <v>salud_oral</v>
          </cell>
          <cell r="J1497" t="str">
            <v>bueno</v>
          </cell>
          <cell r="K1497" t="str">
            <v>probsi</v>
          </cell>
        </row>
        <row r="1498">
          <cell r="B1498" t="b">
            <v>0</v>
          </cell>
          <cell r="E1498" t="str">
            <v>Ternera</v>
          </cell>
          <cell r="H1498" t="str">
            <v>salud_oral</v>
          </cell>
          <cell r="J1498" t="str">
            <v>regular</v>
          </cell>
          <cell r="K1498" t="str">
            <v>probsi</v>
          </cell>
        </row>
        <row r="1499">
          <cell r="B1499" t="b">
            <v>0</v>
          </cell>
          <cell r="E1499" t="str">
            <v>Ternera</v>
          </cell>
          <cell r="H1499" t="str">
            <v>salud_oral</v>
          </cell>
          <cell r="J1499" t="str">
            <v>regular</v>
          </cell>
          <cell r="K1499" t="str">
            <v>probsi</v>
          </cell>
        </row>
        <row r="1500">
          <cell r="B1500" t="b">
            <v>1</v>
          </cell>
          <cell r="E1500" t="str">
            <v>Ternera</v>
          </cell>
          <cell r="H1500" t="str">
            <v>salud_oral</v>
          </cell>
          <cell r="J1500" t="str">
            <v>bueno</v>
          </cell>
          <cell r="K1500" t="str">
            <v>probsi</v>
          </cell>
        </row>
        <row r="1501">
          <cell r="B1501" t="b">
            <v>1</v>
          </cell>
          <cell r="E1501" t="str">
            <v>Ternera</v>
          </cell>
          <cell r="H1501" t="str">
            <v>salud_oral</v>
          </cell>
          <cell r="J1501" t="str">
            <v>bueno</v>
          </cell>
          <cell r="K1501" t="str">
            <v>probsi</v>
          </cell>
        </row>
        <row r="1502">
          <cell r="B1502" t="b">
            <v>1</v>
          </cell>
          <cell r="E1502" t="str">
            <v>Ternera</v>
          </cell>
          <cell r="H1502" t="str">
            <v>salud_oral</v>
          </cell>
          <cell r="J1502" t="str">
            <v>bueno</v>
          </cell>
          <cell r="K1502" t="str">
            <v>probsi</v>
          </cell>
        </row>
        <row r="1503">
          <cell r="B1503" t="b">
            <v>1</v>
          </cell>
          <cell r="E1503" t="str">
            <v>Santa Ana</v>
          </cell>
          <cell r="H1503" t="str">
            <v>consulta_externa</v>
          </cell>
          <cell r="J1503" t="str">
            <v>bueno</v>
          </cell>
          <cell r="K1503" t="str">
            <v>defsi</v>
          </cell>
        </row>
        <row r="1504">
          <cell r="B1504" t="b">
            <v>1</v>
          </cell>
          <cell r="E1504" t="str">
            <v>Santa Ana</v>
          </cell>
          <cell r="H1504" t="str">
            <v>salud_oral</v>
          </cell>
          <cell r="J1504" t="str">
            <v>bueno</v>
          </cell>
          <cell r="K1504" t="str">
            <v>defsi</v>
          </cell>
        </row>
        <row r="1505">
          <cell r="B1505" t="b">
            <v>1</v>
          </cell>
          <cell r="E1505" t="str">
            <v>Santa Ana</v>
          </cell>
          <cell r="H1505" t="str">
            <v>laboratorio</v>
          </cell>
          <cell r="J1505" t="str">
            <v>bueno</v>
          </cell>
          <cell r="K1505" t="str">
            <v>defsi</v>
          </cell>
        </row>
        <row r="1506">
          <cell r="B1506" t="b">
            <v>1</v>
          </cell>
          <cell r="E1506" t="str">
            <v>Santa Ana</v>
          </cell>
          <cell r="H1506" t="str">
            <v>consulta_externa</v>
          </cell>
          <cell r="J1506" t="str">
            <v>bueno</v>
          </cell>
          <cell r="K1506" t="str">
            <v>defsi</v>
          </cell>
        </row>
        <row r="1507">
          <cell r="B1507" t="b">
            <v>1</v>
          </cell>
          <cell r="E1507" t="str">
            <v>Santa Ana</v>
          </cell>
          <cell r="H1507" t="str">
            <v>salud_oral</v>
          </cell>
          <cell r="J1507" t="str">
            <v>bueno</v>
          </cell>
          <cell r="K1507" t="str">
            <v>defsi</v>
          </cell>
        </row>
        <row r="1508">
          <cell r="B1508" t="b">
            <v>1</v>
          </cell>
          <cell r="E1508" t="str">
            <v>Santa Ana</v>
          </cell>
          <cell r="H1508" t="str">
            <v>laboratorio</v>
          </cell>
          <cell r="J1508" t="str">
            <v>bueno</v>
          </cell>
          <cell r="K1508" t="str">
            <v>defsi</v>
          </cell>
        </row>
        <row r="1509">
          <cell r="B1509" t="b">
            <v>1</v>
          </cell>
          <cell r="E1509" t="str">
            <v>Santa Ana</v>
          </cell>
          <cell r="H1509" t="str">
            <v>urgencia</v>
          </cell>
          <cell r="J1509" t="str">
            <v>bueno</v>
          </cell>
          <cell r="K1509" t="str">
            <v>defsi</v>
          </cell>
        </row>
        <row r="1510">
          <cell r="B1510" t="b">
            <v>1</v>
          </cell>
          <cell r="E1510" t="str">
            <v>Santa Ana</v>
          </cell>
          <cell r="H1510" t="str">
            <v>consulta_externa</v>
          </cell>
          <cell r="J1510" t="str">
            <v>bueno</v>
          </cell>
          <cell r="K1510" t="str">
            <v>defsi</v>
          </cell>
        </row>
        <row r="1511">
          <cell r="B1511" t="b">
            <v>1</v>
          </cell>
          <cell r="E1511" t="str">
            <v>Santa Ana</v>
          </cell>
          <cell r="H1511" t="str">
            <v>salud_oral</v>
          </cell>
          <cell r="J1511" t="str">
            <v>bueno</v>
          </cell>
          <cell r="K1511" t="str">
            <v>defsi</v>
          </cell>
        </row>
        <row r="1512">
          <cell r="B1512" t="b">
            <v>1</v>
          </cell>
          <cell r="E1512" t="str">
            <v>Santa Ana</v>
          </cell>
          <cell r="H1512" t="str">
            <v>laboratorio</v>
          </cell>
          <cell r="J1512" t="str">
            <v>bueno</v>
          </cell>
          <cell r="K1512" t="str">
            <v>defsi</v>
          </cell>
        </row>
        <row r="1513">
          <cell r="B1513" t="b">
            <v>1</v>
          </cell>
          <cell r="E1513" t="str">
            <v>Santa Ana</v>
          </cell>
          <cell r="H1513" t="str">
            <v>urgencia</v>
          </cell>
          <cell r="J1513" t="str">
            <v>bueno</v>
          </cell>
          <cell r="K1513" t="str">
            <v>defsi</v>
          </cell>
        </row>
        <row r="1514">
          <cell r="B1514" t="b">
            <v>1</v>
          </cell>
          <cell r="E1514" t="str">
            <v>Santa Ana</v>
          </cell>
          <cell r="H1514" t="str">
            <v>consulta_externa</v>
          </cell>
          <cell r="J1514" t="str">
            <v>bueno</v>
          </cell>
          <cell r="K1514" t="str">
            <v>defsi</v>
          </cell>
        </row>
        <row r="1515">
          <cell r="B1515" t="b">
            <v>1</v>
          </cell>
          <cell r="E1515" t="str">
            <v>Santa Ana</v>
          </cell>
          <cell r="H1515" t="str">
            <v>salud_oral</v>
          </cell>
          <cell r="J1515" t="str">
            <v>bueno</v>
          </cell>
          <cell r="K1515" t="str">
            <v>defsi</v>
          </cell>
        </row>
        <row r="1516">
          <cell r="B1516" t="b">
            <v>1</v>
          </cell>
          <cell r="E1516" t="str">
            <v>Santa Ana</v>
          </cell>
          <cell r="H1516" t="str">
            <v>laboratorio</v>
          </cell>
          <cell r="J1516" t="str">
            <v>bueno</v>
          </cell>
          <cell r="K1516" t="str">
            <v>defsi</v>
          </cell>
        </row>
        <row r="1517">
          <cell r="B1517" t="b">
            <v>1</v>
          </cell>
          <cell r="E1517" t="str">
            <v>Santa Ana</v>
          </cell>
          <cell r="H1517" t="str">
            <v>urgencia</v>
          </cell>
          <cell r="J1517" t="str">
            <v>bueno</v>
          </cell>
          <cell r="K1517" t="str">
            <v>defsi</v>
          </cell>
        </row>
        <row r="1518">
          <cell r="B1518" t="b">
            <v>1</v>
          </cell>
          <cell r="E1518" t="str">
            <v>Arroyo de las Canoas</v>
          </cell>
          <cell r="H1518" t="str">
            <v>salud_oral</v>
          </cell>
          <cell r="J1518" t="str">
            <v>bueno</v>
          </cell>
          <cell r="K1518" t="str">
            <v>defsi</v>
          </cell>
        </row>
        <row r="1519">
          <cell r="B1519" t="b">
            <v>1</v>
          </cell>
          <cell r="E1519" t="str">
            <v>Arroyo de las Canoas</v>
          </cell>
          <cell r="H1519" t="str">
            <v>salud_oral</v>
          </cell>
          <cell r="J1519" t="str">
            <v>bueno</v>
          </cell>
          <cell r="K1519" t="str">
            <v>defsi</v>
          </cell>
        </row>
        <row r="1520">
          <cell r="B1520" t="b">
            <v>1</v>
          </cell>
          <cell r="E1520" t="str">
            <v>Arroyo de las Canoas</v>
          </cell>
          <cell r="H1520" t="str">
            <v>consulta_externa</v>
          </cell>
          <cell r="J1520" t="str">
            <v>bueno</v>
          </cell>
          <cell r="K1520" t="str">
            <v>defsi</v>
          </cell>
        </row>
        <row r="1521">
          <cell r="B1521" t="b">
            <v>1</v>
          </cell>
          <cell r="E1521" t="str">
            <v>Arroyo de las Canoas</v>
          </cell>
          <cell r="H1521" t="str">
            <v>laboratorio</v>
          </cell>
          <cell r="J1521" t="str">
            <v>bueno</v>
          </cell>
          <cell r="K1521" t="str">
            <v>defsi</v>
          </cell>
        </row>
        <row r="1522">
          <cell r="B1522" t="b">
            <v>1</v>
          </cell>
          <cell r="E1522" t="str">
            <v>Arroyo de las Canoas</v>
          </cell>
          <cell r="H1522" t="str">
            <v>consulta_externa</v>
          </cell>
          <cell r="J1522" t="str">
            <v>bueno</v>
          </cell>
          <cell r="K1522" t="str">
            <v>defsi</v>
          </cell>
        </row>
        <row r="1523">
          <cell r="B1523" t="b">
            <v>1</v>
          </cell>
          <cell r="E1523" t="str">
            <v>Arroyo de las Canoas</v>
          </cell>
          <cell r="H1523" t="str">
            <v>laboratorio</v>
          </cell>
          <cell r="J1523" t="str">
            <v>bueno</v>
          </cell>
          <cell r="K1523" t="str">
            <v>defsi</v>
          </cell>
        </row>
        <row r="1524">
          <cell r="B1524" t="b">
            <v>1</v>
          </cell>
          <cell r="E1524" t="str">
            <v>Arroyo de las Canoas</v>
          </cell>
          <cell r="H1524" t="str">
            <v>laboratorio</v>
          </cell>
          <cell r="J1524" t="str">
            <v>bueno</v>
          </cell>
          <cell r="K1524" t="str">
            <v>defsi</v>
          </cell>
        </row>
        <row r="1525">
          <cell r="B1525" t="b">
            <v>1</v>
          </cell>
          <cell r="E1525" t="str">
            <v>Arroyo de las Canoas</v>
          </cell>
          <cell r="H1525" t="str">
            <v>consulta_externa</v>
          </cell>
          <cell r="J1525" t="str">
            <v>bueno</v>
          </cell>
          <cell r="K1525" t="str">
            <v>defsi</v>
          </cell>
        </row>
        <row r="1526">
          <cell r="B1526" t="b">
            <v>1</v>
          </cell>
          <cell r="E1526" t="str">
            <v>Arroyo de las Canoas</v>
          </cell>
          <cell r="H1526" t="str">
            <v>laboratorio</v>
          </cell>
          <cell r="J1526" t="str">
            <v>muybueno</v>
          </cell>
          <cell r="K1526" t="str">
            <v>defsi</v>
          </cell>
        </row>
        <row r="1527">
          <cell r="B1527" t="b">
            <v>1</v>
          </cell>
          <cell r="E1527" t="str">
            <v>Arroyo de las Canoas</v>
          </cell>
          <cell r="H1527" t="str">
            <v>consulta_externa</v>
          </cell>
          <cell r="J1527" t="str">
            <v>muybueno</v>
          </cell>
          <cell r="K1527" t="str">
            <v>defsi</v>
          </cell>
        </row>
        <row r="1528">
          <cell r="B1528" t="b">
            <v>1</v>
          </cell>
          <cell r="E1528" t="str">
            <v>Arroyo de las Canoas</v>
          </cell>
          <cell r="H1528" t="str">
            <v>laboratorio</v>
          </cell>
          <cell r="J1528" t="str">
            <v>muybueno</v>
          </cell>
          <cell r="K1528" t="str">
            <v>defsi</v>
          </cell>
        </row>
        <row r="1529">
          <cell r="B1529" t="b">
            <v>1</v>
          </cell>
          <cell r="E1529" t="str">
            <v>Arroyo de las Canoas</v>
          </cell>
          <cell r="H1529" t="str">
            <v>consulta_externa</v>
          </cell>
          <cell r="J1529" t="str">
            <v>bueno</v>
          </cell>
          <cell r="K1529" t="str">
            <v>defsi</v>
          </cell>
        </row>
        <row r="1530">
          <cell r="B1530" t="b">
            <v>1</v>
          </cell>
          <cell r="E1530" t="str">
            <v>Arroyo de las Canoas</v>
          </cell>
          <cell r="H1530" t="str">
            <v>laboratorio</v>
          </cell>
          <cell r="J1530" t="str">
            <v>bueno</v>
          </cell>
          <cell r="K1530" t="str">
            <v>defsi</v>
          </cell>
        </row>
        <row r="1531">
          <cell r="B1531" t="b">
            <v>1</v>
          </cell>
          <cell r="E1531" t="str">
            <v>Puerto Rey</v>
          </cell>
          <cell r="H1531" t="str">
            <v>consulta_externa</v>
          </cell>
          <cell r="J1531" t="str">
            <v>bueno</v>
          </cell>
          <cell r="K1531" t="str">
            <v>defsi</v>
          </cell>
        </row>
        <row r="1532">
          <cell r="B1532" t="b">
            <v>1</v>
          </cell>
          <cell r="E1532" t="str">
            <v>Puerto Rey</v>
          </cell>
          <cell r="H1532" t="str">
            <v>salud_oral</v>
          </cell>
          <cell r="J1532" t="str">
            <v>bueno</v>
          </cell>
          <cell r="K1532" t="str">
            <v>defsi</v>
          </cell>
        </row>
        <row r="1533">
          <cell r="B1533" t="b">
            <v>1</v>
          </cell>
          <cell r="E1533" t="str">
            <v>Puerto Rey</v>
          </cell>
          <cell r="H1533" t="str">
            <v>laboratorio</v>
          </cell>
          <cell r="J1533" t="str">
            <v>bueno</v>
          </cell>
          <cell r="K1533" t="str">
            <v>defsi</v>
          </cell>
        </row>
        <row r="1534">
          <cell r="B1534" t="b">
            <v>1</v>
          </cell>
          <cell r="E1534" t="str">
            <v>Puerto Rey</v>
          </cell>
          <cell r="H1534" t="str">
            <v>consulta_externa</v>
          </cell>
          <cell r="J1534" t="str">
            <v>bueno</v>
          </cell>
          <cell r="K1534" t="str">
            <v>defsi</v>
          </cell>
        </row>
        <row r="1535">
          <cell r="B1535" t="b">
            <v>1</v>
          </cell>
          <cell r="E1535" t="str">
            <v>Puerto Rey</v>
          </cell>
          <cell r="H1535" t="str">
            <v>salud_oral</v>
          </cell>
          <cell r="J1535" t="str">
            <v>bueno</v>
          </cell>
          <cell r="K1535" t="str">
            <v>defsi</v>
          </cell>
        </row>
        <row r="1536">
          <cell r="B1536" t="b">
            <v>1</v>
          </cell>
          <cell r="E1536" t="str">
            <v>Arroyo de las Canoas</v>
          </cell>
          <cell r="H1536" t="str">
            <v>consulta_externa</v>
          </cell>
          <cell r="J1536" t="str">
            <v>muybueno</v>
          </cell>
          <cell r="K1536" t="str">
            <v>defsi</v>
          </cell>
        </row>
        <row r="1537">
          <cell r="B1537" t="b">
            <v>1</v>
          </cell>
          <cell r="E1537" t="str">
            <v>Puerto Rey</v>
          </cell>
          <cell r="H1537" t="str">
            <v>laboratorio</v>
          </cell>
          <cell r="J1537" t="str">
            <v>bueno</v>
          </cell>
          <cell r="K1537" t="str">
            <v>defsi</v>
          </cell>
        </row>
        <row r="1538">
          <cell r="B1538" t="b">
            <v>1</v>
          </cell>
          <cell r="E1538" t="str">
            <v>Arroyo de las Canoas</v>
          </cell>
          <cell r="H1538" t="str">
            <v>salud_oral</v>
          </cell>
          <cell r="J1538" t="str">
            <v>muybueno</v>
          </cell>
          <cell r="K1538" t="str">
            <v>defsi</v>
          </cell>
        </row>
        <row r="1539">
          <cell r="B1539" t="b">
            <v>1</v>
          </cell>
          <cell r="E1539" t="str">
            <v>Arroyo de las Canoas</v>
          </cell>
          <cell r="H1539" t="str">
            <v>salud_oral</v>
          </cell>
          <cell r="J1539" t="str">
            <v>muybueno</v>
          </cell>
          <cell r="K1539" t="str">
            <v>defsi</v>
          </cell>
        </row>
        <row r="1540">
          <cell r="B1540" t="b">
            <v>1</v>
          </cell>
          <cell r="E1540" t="str">
            <v>Arroyo de las Canoas</v>
          </cell>
          <cell r="H1540" t="str">
            <v>salud_oral</v>
          </cell>
          <cell r="J1540" t="str">
            <v>bueno</v>
          </cell>
          <cell r="K1540" t="str">
            <v>defsi</v>
          </cell>
        </row>
        <row r="1541">
          <cell r="B1541" t="b">
            <v>1</v>
          </cell>
          <cell r="E1541" t="str">
            <v>Arroyo de las Canoas</v>
          </cell>
          <cell r="H1541" t="str">
            <v>laboratorio</v>
          </cell>
          <cell r="J1541" t="str">
            <v>bueno</v>
          </cell>
          <cell r="K1541" t="str">
            <v>defsi</v>
          </cell>
        </row>
        <row r="1542">
          <cell r="B1542" t="b">
            <v>1</v>
          </cell>
          <cell r="E1542" t="str">
            <v>Arroyo de las Canoas</v>
          </cell>
          <cell r="H1542" t="str">
            <v>salud_oral</v>
          </cell>
          <cell r="J1542" t="str">
            <v>bueno</v>
          </cell>
          <cell r="K1542" t="str">
            <v>defsi</v>
          </cell>
        </row>
        <row r="1543">
          <cell r="B1543" t="b">
            <v>1</v>
          </cell>
          <cell r="E1543" t="str">
            <v>Arroyo de las Canoas</v>
          </cell>
          <cell r="H1543" t="str">
            <v>consulta_externa</v>
          </cell>
          <cell r="J1543" t="str">
            <v>bueno</v>
          </cell>
          <cell r="K1543" t="str">
            <v>defsi</v>
          </cell>
        </row>
        <row r="1544">
          <cell r="B1544" t="b">
            <v>1</v>
          </cell>
          <cell r="E1544" t="str">
            <v>Arroyo de las Canoas</v>
          </cell>
          <cell r="H1544" t="str">
            <v>laboratorio</v>
          </cell>
          <cell r="J1544" t="str">
            <v>bueno</v>
          </cell>
          <cell r="K1544" t="str">
            <v>defsi</v>
          </cell>
        </row>
        <row r="1545">
          <cell r="B1545" t="b">
            <v>1</v>
          </cell>
          <cell r="E1545" t="str">
            <v>Arroyo de las Canoas</v>
          </cell>
          <cell r="H1545" t="str">
            <v>laboratorio</v>
          </cell>
          <cell r="J1545" t="str">
            <v>bueno</v>
          </cell>
          <cell r="K1545" t="str">
            <v>defsi</v>
          </cell>
        </row>
        <row r="1546">
          <cell r="B1546" t="b">
            <v>1</v>
          </cell>
          <cell r="E1546" t="str">
            <v>Arroyo de las Canoas</v>
          </cell>
          <cell r="H1546" t="str">
            <v>consulta_externa</v>
          </cell>
          <cell r="J1546" t="str">
            <v>bueno</v>
          </cell>
          <cell r="K1546" t="str">
            <v>defsi</v>
          </cell>
        </row>
        <row r="1547">
          <cell r="B1547" t="b">
            <v>1</v>
          </cell>
          <cell r="E1547" t="str">
            <v>Arroyo de las Canoas</v>
          </cell>
          <cell r="H1547" t="str">
            <v>salud_oral</v>
          </cell>
          <cell r="J1547" t="str">
            <v>bueno</v>
          </cell>
          <cell r="K1547" t="str">
            <v>defsi</v>
          </cell>
        </row>
        <row r="1548">
          <cell r="B1548" t="b">
            <v>1</v>
          </cell>
          <cell r="E1548" t="str">
            <v>Arroyo de las Canoas</v>
          </cell>
          <cell r="H1548" t="str">
            <v>salud_oral</v>
          </cell>
          <cell r="J1548" t="str">
            <v>bueno</v>
          </cell>
          <cell r="K1548" t="str">
            <v>defsi</v>
          </cell>
        </row>
        <row r="1549">
          <cell r="B1549" t="b">
            <v>1</v>
          </cell>
          <cell r="E1549" t="str">
            <v>Arroyo de las Canoas</v>
          </cell>
          <cell r="H1549" t="str">
            <v>salud_oral</v>
          </cell>
          <cell r="J1549" t="str">
            <v>bueno</v>
          </cell>
          <cell r="K1549" t="str">
            <v>defsi</v>
          </cell>
        </row>
        <row r="1550">
          <cell r="B1550" t="b">
            <v>1</v>
          </cell>
          <cell r="E1550" t="str">
            <v>Puerto Rey</v>
          </cell>
          <cell r="H1550" t="str">
            <v>consulta_externa</v>
          </cell>
          <cell r="J1550" t="str">
            <v>bueno</v>
          </cell>
          <cell r="K1550" t="str">
            <v>defsi</v>
          </cell>
        </row>
        <row r="1551">
          <cell r="B1551" t="b">
            <v>1</v>
          </cell>
          <cell r="E1551" t="str">
            <v>Puerto Rey</v>
          </cell>
          <cell r="H1551" t="str">
            <v>salud_oral</v>
          </cell>
          <cell r="J1551" t="str">
            <v>bueno</v>
          </cell>
          <cell r="K1551" t="str">
            <v>defsi</v>
          </cell>
        </row>
        <row r="1552">
          <cell r="B1552" t="b">
            <v>1</v>
          </cell>
          <cell r="E1552" t="str">
            <v>Puerto Rey</v>
          </cell>
          <cell r="H1552" t="str">
            <v>laboratorio</v>
          </cell>
          <cell r="J1552" t="str">
            <v>bueno</v>
          </cell>
          <cell r="K1552" t="str">
            <v>defsi</v>
          </cell>
        </row>
        <row r="1553">
          <cell r="B1553" t="b">
            <v>1</v>
          </cell>
          <cell r="E1553" t="str">
            <v>Puerto Rey</v>
          </cell>
          <cell r="H1553" t="str">
            <v>consulta_externa</v>
          </cell>
          <cell r="J1553" t="str">
            <v>bueno</v>
          </cell>
          <cell r="K1553" t="str">
            <v>defsi</v>
          </cell>
        </row>
        <row r="1554">
          <cell r="B1554" t="b">
            <v>1</v>
          </cell>
          <cell r="E1554" t="str">
            <v>Arroyo de las Canoas</v>
          </cell>
          <cell r="H1554" t="str">
            <v>consulta_externa</v>
          </cell>
          <cell r="J1554" t="str">
            <v>bueno</v>
          </cell>
          <cell r="K1554" t="str">
            <v>defsi</v>
          </cell>
        </row>
        <row r="1555">
          <cell r="B1555" t="b">
            <v>1</v>
          </cell>
          <cell r="E1555" t="str">
            <v>Arroyo de las Canoas</v>
          </cell>
          <cell r="H1555" t="str">
            <v>salud_oral</v>
          </cell>
          <cell r="J1555" t="str">
            <v>bueno</v>
          </cell>
          <cell r="K1555" t="str">
            <v>defsi</v>
          </cell>
        </row>
        <row r="1556">
          <cell r="B1556" t="b">
            <v>1</v>
          </cell>
          <cell r="E1556" t="str">
            <v>Puerto Rey</v>
          </cell>
          <cell r="H1556" t="str">
            <v>salud_oral</v>
          </cell>
          <cell r="J1556" t="str">
            <v>bueno</v>
          </cell>
          <cell r="K1556" t="str">
            <v>defsi</v>
          </cell>
        </row>
        <row r="1557">
          <cell r="B1557" t="b">
            <v>1</v>
          </cell>
          <cell r="E1557" t="str">
            <v>Puerto Rey</v>
          </cell>
          <cell r="H1557" t="str">
            <v>laboratorio</v>
          </cell>
          <cell r="J1557" t="str">
            <v>bueno</v>
          </cell>
          <cell r="K1557" t="str">
            <v>defsi</v>
          </cell>
        </row>
        <row r="1558">
          <cell r="B1558" t="b">
            <v>1</v>
          </cell>
          <cell r="E1558" t="str">
            <v>Puerto Rey</v>
          </cell>
          <cell r="H1558" t="str">
            <v>consulta_externa</v>
          </cell>
          <cell r="J1558" t="str">
            <v>bueno</v>
          </cell>
          <cell r="K1558" t="str">
            <v>defsi</v>
          </cell>
        </row>
        <row r="1559">
          <cell r="B1559" t="b">
            <v>1</v>
          </cell>
          <cell r="E1559" t="str">
            <v>Puerto Rey</v>
          </cell>
          <cell r="H1559" t="str">
            <v>salud_oral</v>
          </cell>
          <cell r="J1559" t="str">
            <v>bueno</v>
          </cell>
          <cell r="K1559" t="str">
            <v>defsi</v>
          </cell>
        </row>
        <row r="1560">
          <cell r="B1560" t="b">
            <v>1</v>
          </cell>
          <cell r="E1560" t="str">
            <v>Puerto Rey</v>
          </cell>
          <cell r="H1560" t="str">
            <v>laboratorio</v>
          </cell>
          <cell r="J1560" t="str">
            <v>bueno</v>
          </cell>
          <cell r="K1560" t="str">
            <v>defsi</v>
          </cell>
        </row>
        <row r="1561">
          <cell r="B1561" t="b">
            <v>1</v>
          </cell>
          <cell r="E1561" t="str">
            <v>Puerto Rey</v>
          </cell>
          <cell r="H1561" t="str">
            <v>consulta_externa</v>
          </cell>
          <cell r="J1561" t="str">
            <v>bueno</v>
          </cell>
          <cell r="K1561" t="str">
            <v>defsi</v>
          </cell>
        </row>
        <row r="1562">
          <cell r="B1562" t="b">
            <v>1</v>
          </cell>
          <cell r="E1562" t="str">
            <v>Puerto Rey</v>
          </cell>
          <cell r="H1562" t="str">
            <v>salud_oral</v>
          </cell>
          <cell r="J1562" t="str">
            <v>bueno</v>
          </cell>
          <cell r="K1562" t="str">
            <v>defsi</v>
          </cell>
        </row>
        <row r="1563">
          <cell r="B1563" t="b">
            <v>1</v>
          </cell>
          <cell r="E1563" t="str">
            <v>Puerto Rey</v>
          </cell>
          <cell r="H1563" t="str">
            <v>laboratorio</v>
          </cell>
          <cell r="J1563" t="str">
            <v>bueno</v>
          </cell>
          <cell r="K1563" t="str">
            <v>defsi</v>
          </cell>
        </row>
        <row r="1564">
          <cell r="B1564" t="b">
            <v>1</v>
          </cell>
          <cell r="E1564" t="str">
            <v>Puerto Rey</v>
          </cell>
          <cell r="H1564" t="str">
            <v>consulta_externa</v>
          </cell>
          <cell r="J1564" t="str">
            <v>bueno</v>
          </cell>
          <cell r="K1564" t="str">
            <v>defsi</v>
          </cell>
        </row>
        <row r="1565">
          <cell r="B1565" t="b">
            <v>1</v>
          </cell>
          <cell r="E1565" t="str">
            <v>Puerto Rey</v>
          </cell>
          <cell r="H1565" t="str">
            <v>salud_oral</v>
          </cell>
          <cell r="J1565" t="str">
            <v>bueno</v>
          </cell>
          <cell r="K1565" t="str">
            <v>defsi</v>
          </cell>
        </row>
        <row r="1566">
          <cell r="B1566" t="b">
            <v>1</v>
          </cell>
          <cell r="E1566" t="str">
            <v>Puerto Rey</v>
          </cell>
          <cell r="H1566" t="str">
            <v>laboratorio</v>
          </cell>
          <cell r="J1566" t="str">
            <v>bueno</v>
          </cell>
          <cell r="K1566" t="str">
            <v>defsi</v>
          </cell>
        </row>
        <row r="1567">
          <cell r="B1567" t="b">
            <v>1</v>
          </cell>
          <cell r="E1567" t="str">
            <v>Puerto Rey</v>
          </cell>
          <cell r="H1567" t="str">
            <v>consulta_externa</v>
          </cell>
          <cell r="J1567" t="str">
            <v>bueno</v>
          </cell>
          <cell r="K1567" t="str">
            <v>defsi</v>
          </cell>
        </row>
        <row r="1568">
          <cell r="B1568" t="b">
            <v>1</v>
          </cell>
          <cell r="E1568" t="str">
            <v>Puerto Rey</v>
          </cell>
          <cell r="H1568" t="str">
            <v>salud_oral</v>
          </cell>
          <cell r="J1568" t="str">
            <v>bueno</v>
          </cell>
          <cell r="K1568" t="str">
            <v>defsi</v>
          </cell>
        </row>
        <row r="1569">
          <cell r="B1569" t="b">
            <v>1</v>
          </cell>
          <cell r="E1569" t="str">
            <v>Arroyo de las Canoas</v>
          </cell>
          <cell r="H1569" t="str">
            <v>consulta_externa</v>
          </cell>
          <cell r="J1569" t="str">
            <v>bueno</v>
          </cell>
          <cell r="K1569" t="str">
            <v>defsi</v>
          </cell>
        </row>
        <row r="1570">
          <cell r="B1570" t="b">
            <v>1</v>
          </cell>
          <cell r="E1570" t="str">
            <v>Puerto Rey</v>
          </cell>
          <cell r="H1570" t="str">
            <v>laboratorio</v>
          </cell>
          <cell r="J1570" t="str">
            <v>bueno</v>
          </cell>
          <cell r="K1570" t="str">
            <v>defsi</v>
          </cell>
        </row>
        <row r="1571">
          <cell r="B1571" t="b">
            <v>1</v>
          </cell>
          <cell r="E1571" t="str">
            <v>Arroyo de las Canoas</v>
          </cell>
          <cell r="H1571" t="str">
            <v>laboratorio</v>
          </cell>
          <cell r="J1571" t="str">
            <v>bueno</v>
          </cell>
          <cell r="K1571" t="str">
            <v>defsi</v>
          </cell>
        </row>
        <row r="1572">
          <cell r="B1572" t="b">
            <v>1</v>
          </cell>
          <cell r="E1572" t="str">
            <v>Arroyo de las Canoas</v>
          </cell>
          <cell r="H1572" t="str">
            <v>laboratorio</v>
          </cell>
          <cell r="J1572" t="str">
            <v>bueno</v>
          </cell>
          <cell r="K1572" t="str">
            <v>defsi</v>
          </cell>
        </row>
        <row r="1573">
          <cell r="B1573" t="b">
            <v>1</v>
          </cell>
          <cell r="E1573" t="str">
            <v>Arroyo de las Canoas</v>
          </cell>
          <cell r="H1573" t="str">
            <v>laboratorio</v>
          </cell>
          <cell r="J1573" t="str">
            <v>bueno</v>
          </cell>
          <cell r="K1573" t="str">
            <v>defsi</v>
          </cell>
        </row>
        <row r="1574">
          <cell r="B1574" t="b">
            <v>1</v>
          </cell>
          <cell r="E1574" t="str">
            <v>Arroyo de las Canoas</v>
          </cell>
          <cell r="H1574" t="str">
            <v>consulta_externa</v>
          </cell>
          <cell r="J1574" t="str">
            <v>bueno</v>
          </cell>
          <cell r="K1574" t="str">
            <v>defsi</v>
          </cell>
        </row>
        <row r="1575">
          <cell r="B1575" t="b">
            <v>1</v>
          </cell>
          <cell r="E1575" t="str">
            <v>Arroyo de las Canoas</v>
          </cell>
          <cell r="H1575" t="str">
            <v>consulta_externa</v>
          </cell>
          <cell r="J1575" t="str">
            <v>muybueno</v>
          </cell>
          <cell r="K1575" t="str">
            <v>defsi</v>
          </cell>
        </row>
        <row r="1576">
          <cell r="B1576" t="b">
            <v>1</v>
          </cell>
          <cell r="E1576" t="str">
            <v>Arroyo de las Canoas</v>
          </cell>
          <cell r="H1576" t="str">
            <v>laboratorio</v>
          </cell>
          <cell r="J1576" t="str">
            <v>muybueno</v>
          </cell>
          <cell r="K1576" t="str">
            <v>defsi</v>
          </cell>
        </row>
        <row r="1577">
          <cell r="B1577" t="b">
            <v>1</v>
          </cell>
          <cell r="E1577" t="str">
            <v>Arroyo de las Canoas</v>
          </cell>
          <cell r="H1577" t="str">
            <v>laboratorio</v>
          </cell>
          <cell r="J1577" t="str">
            <v>muybueno</v>
          </cell>
          <cell r="K1577" t="str">
            <v>defsi</v>
          </cell>
        </row>
        <row r="1578">
          <cell r="B1578" t="b">
            <v>1</v>
          </cell>
          <cell r="E1578" t="str">
            <v>Arroyo de las Canoas</v>
          </cell>
          <cell r="H1578" t="str">
            <v>consulta_externa</v>
          </cell>
          <cell r="J1578" t="str">
            <v>bueno</v>
          </cell>
          <cell r="K1578" t="str">
            <v>defsi</v>
          </cell>
        </row>
        <row r="1579">
          <cell r="B1579" t="b">
            <v>1</v>
          </cell>
          <cell r="E1579" t="str">
            <v>Puerto Rey</v>
          </cell>
          <cell r="H1579" t="str">
            <v>consulta_externa</v>
          </cell>
          <cell r="J1579" t="str">
            <v>bueno</v>
          </cell>
          <cell r="K1579" t="str">
            <v>defsi</v>
          </cell>
        </row>
        <row r="1580">
          <cell r="B1580" t="b">
            <v>1</v>
          </cell>
          <cell r="E1580" t="str">
            <v>Arroyo de las Canoas</v>
          </cell>
          <cell r="H1580" t="str">
            <v>salud_oral</v>
          </cell>
          <cell r="J1580" t="str">
            <v>bueno</v>
          </cell>
          <cell r="K1580" t="str">
            <v>defsi</v>
          </cell>
        </row>
        <row r="1581">
          <cell r="B1581" t="b">
            <v>1</v>
          </cell>
          <cell r="E1581" t="str">
            <v>Arroyo de las Canoas</v>
          </cell>
          <cell r="H1581" t="str">
            <v>salud_oral</v>
          </cell>
          <cell r="J1581" t="str">
            <v>bueno</v>
          </cell>
          <cell r="K1581" t="str">
            <v>defsi</v>
          </cell>
        </row>
        <row r="1582">
          <cell r="B1582" t="b">
            <v>1</v>
          </cell>
          <cell r="E1582" t="str">
            <v>Puerto Rey</v>
          </cell>
          <cell r="H1582" t="str">
            <v>salud_oral</v>
          </cell>
          <cell r="J1582" t="str">
            <v>bueno</v>
          </cell>
          <cell r="K1582" t="str">
            <v>defsi</v>
          </cell>
        </row>
        <row r="1583">
          <cell r="B1583" t="b">
            <v>1</v>
          </cell>
          <cell r="E1583" t="str">
            <v>Puerto Rey</v>
          </cell>
          <cell r="H1583" t="str">
            <v>laboratorio</v>
          </cell>
          <cell r="J1583" t="str">
            <v>bueno</v>
          </cell>
          <cell r="K1583" t="str">
            <v>defsi</v>
          </cell>
        </row>
        <row r="1584">
          <cell r="B1584" t="b">
            <v>1</v>
          </cell>
          <cell r="E1584" t="str">
            <v>Cano de Oro</v>
          </cell>
          <cell r="H1584" t="str">
            <v>consulta_externa</v>
          </cell>
          <cell r="J1584" t="str">
            <v>bueno</v>
          </cell>
          <cell r="K1584" t="str">
            <v>probsi</v>
          </cell>
        </row>
        <row r="1585">
          <cell r="B1585" t="b">
            <v>1</v>
          </cell>
          <cell r="E1585" t="str">
            <v>Cano de Oro</v>
          </cell>
          <cell r="H1585" t="str">
            <v>salud_oral</v>
          </cell>
          <cell r="J1585" t="str">
            <v>bueno</v>
          </cell>
          <cell r="K1585" t="str">
            <v>probsi</v>
          </cell>
        </row>
        <row r="1586">
          <cell r="B1586" t="b">
            <v>1</v>
          </cell>
          <cell r="E1586" t="str">
            <v>Cano de Oro</v>
          </cell>
          <cell r="H1586" t="str">
            <v>laboratorio</v>
          </cell>
          <cell r="J1586" t="str">
            <v>bueno</v>
          </cell>
          <cell r="K1586" t="str">
            <v>probsi</v>
          </cell>
        </row>
        <row r="1587">
          <cell r="B1587" t="b">
            <v>1</v>
          </cell>
          <cell r="E1587" t="str">
            <v>Arroyo de las Canoas</v>
          </cell>
          <cell r="H1587" t="str">
            <v>consulta_externa</v>
          </cell>
          <cell r="J1587" t="str">
            <v>bueno</v>
          </cell>
          <cell r="K1587" t="str">
            <v>defsi</v>
          </cell>
        </row>
        <row r="1588">
          <cell r="B1588" t="b">
            <v>1</v>
          </cell>
          <cell r="E1588" t="str">
            <v>Cano de Oro</v>
          </cell>
          <cell r="H1588" t="str">
            <v>consulta_externa</v>
          </cell>
          <cell r="J1588" t="str">
            <v>bueno</v>
          </cell>
          <cell r="K1588" t="str">
            <v>probsi</v>
          </cell>
        </row>
        <row r="1589">
          <cell r="B1589" t="b">
            <v>1</v>
          </cell>
          <cell r="E1589" t="str">
            <v>Cano de Oro</v>
          </cell>
          <cell r="H1589" t="str">
            <v>salud_oral</v>
          </cell>
          <cell r="J1589" t="str">
            <v>bueno</v>
          </cell>
          <cell r="K1589" t="str">
            <v>probsi</v>
          </cell>
        </row>
        <row r="1590">
          <cell r="B1590" t="b">
            <v>1</v>
          </cell>
          <cell r="E1590" t="str">
            <v>Cano de Oro</v>
          </cell>
          <cell r="H1590" t="str">
            <v>laboratorio</v>
          </cell>
          <cell r="J1590" t="str">
            <v>bueno</v>
          </cell>
          <cell r="K1590" t="str">
            <v>probsi</v>
          </cell>
        </row>
        <row r="1591">
          <cell r="B1591" t="b">
            <v>1</v>
          </cell>
          <cell r="E1591" t="str">
            <v>Cano de Oro</v>
          </cell>
          <cell r="H1591" t="str">
            <v>laboratorio</v>
          </cell>
          <cell r="J1591" t="str">
            <v>bueno</v>
          </cell>
          <cell r="K1591" t="str">
            <v>probsi</v>
          </cell>
        </row>
        <row r="1592">
          <cell r="B1592" t="b">
            <v>1</v>
          </cell>
          <cell r="E1592" t="str">
            <v>Cano de Oro</v>
          </cell>
          <cell r="H1592" t="str">
            <v>salud_oral</v>
          </cell>
          <cell r="J1592" t="str">
            <v>bueno</v>
          </cell>
          <cell r="K1592" t="str">
            <v>probsi</v>
          </cell>
        </row>
        <row r="1593">
          <cell r="B1593" t="b">
            <v>1</v>
          </cell>
          <cell r="E1593" t="str">
            <v>Puerto Rey</v>
          </cell>
          <cell r="H1593" t="str">
            <v>consulta_externa</v>
          </cell>
          <cell r="J1593" t="str">
            <v>bueno</v>
          </cell>
          <cell r="K1593" t="str">
            <v>defsi</v>
          </cell>
        </row>
        <row r="1594">
          <cell r="B1594" t="b">
            <v>1</v>
          </cell>
          <cell r="E1594" t="str">
            <v>Arroyo de las Canoas</v>
          </cell>
          <cell r="H1594" t="str">
            <v>consulta_externa</v>
          </cell>
          <cell r="J1594" t="str">
            <v>bueno</v>
          </cell>
          <cell r="K1594" t="str">
            <v>defsi</v>
          </cell>
        </row>
        <row r="1595">
          <cell r="B1595" t="b">
            <v>1</v>
          </cell>
          <cell r="E1595" t="str">
            <v>Arroyo de las Canoas</v>
          </cell>
          <cell r="H1595" t="str">
            <v>laboratorio</v>
          </cell>
          <cell r="J1595" t="str">
            <v>bueno</v>
          </cell>
          <cell r="K1595" t="str">
            <v>defsi</v>
          </cell>
        </row>
        <row r="1596">
          <cell r="B1596" t="b">
            <v>1</v>
          </cell>
          <cell r="E1596" t="str">
            <v>Puerto Rey</v>
          </cell>
          <cell r="H1596" t="str">
            <v>salud_oral</v>
          </cell>
          <cell r="J1596" t="str">
            <v>bueno</v>
          </cell>
          <cell r="K1596" t="str">
            <v>defsi</v>
          </cell>
        </row>
        <row r="1597">
          <cell r="B1597" t="b">
            <v>1</v>
          </cell>
          <cell r="E1597" t="str">
            <v>Puerto Rey</v>
          </cell>
          <cell r="H1597" t="str">
            <v>laboratorio</v>
          </cell>
          <cell r="J1597" t="str">
            <v>bueno</v>
          </cell>
          <cell r="K1597" t="str">
            <v>defsi</v>
          </cell>
        </row>
        <row r="1598">
          <cell r="B1598" t="b">
            <v>1</v>
          </cell>
          <cell r="E1598" t="str">
            <v>Arroyo de las Canoas</v>
          </cell>
          <cell r="H1598" t="str">
            <v>salud_oral</v>
          </cell>
          <cell r="J1598" t="str">
            <v>bueno</v>
          </cell>
          <cell r="K1598" t="str">
            <v>defsi</v>
          </cell>
        </row>
        <row r="1599">
          <cell r="B1599" t="b">
            <v>1</v>
          </cell>
          <cell r="E1599" t="str">
            <v>Arroyo de las Canoas</v>
          </cell>
          <cell r="H1599" t="str">
            <v>salud_oral</v>
          </cell>
          <cell r="J1599" t="str">
            <v>bueno</v>
          </cell>
          <cell r="K1599" t="str">
            <v>defsi</v>
          </cell>
        </row>
        <row r="1600">
          <cell r="B1600" t="b">
            <v>1</v>
          </cell>
          <cell r="E1600" t="str">
            <v>Arroyo de las Canoas</v>
          </cell>
          <cell r="H1600" t="str">
            <v>consulta_externa</v>
          </cell>
          <cell r="J1600" t="str">
            <v>bueno</v>
          </cell>
          <cell r="K1600" t="str">
            <v>defsi</v>
          </cell>
        </row>
        <row r="1601">
          <cell r="B1601" t="b">
            <v>1</v>
          </cell>
          <cell r="E1601" t="str">
            <v>Arroyo de las Canoas</v>
          </cell>
          <cell r="H1601" t="str">
            <v>laboratorio</v>
          </cell>
          <cell r="J1601" t="str">
            <v>bueno</v>
          </cell>
          <cell r="K1601" t="str">
            <v>defsi</v>
          </cell>
        </row>
        <row r="1602">
          <cell r="B1602" t="b">
            <v>1</v>
          </cell>
          <cell r="E1602" t="str">
            <v>Arroyo de las Canoas</v>
          </cell>
          <cell r="H1602" t="str">
            <v>laboratorio</v>
          </cell>
          <cell r="J1602" t="str">
            <v>bueno</v>
          </cell>
          <cell r="K1602" t="str">
            <v>defsi</v>
          </cell>
        </row>
        <row r="1603">
          <cell r="B1603" t="b">
            <v>1</v>
          </cell>
          <cell r="E1603" t="str">
            <v>Arroyo de las Canoas</v>
          </cell>
          <cell r="H1603" t="str">
            <v>consulta_externa</v>
          </cell>
          <cell r="J1603" t="str">
            <v>bueno</v>
          </cell>
          <cell r="K1603" t="str">
            <v>defsi</v>
          </cell>
        </row>
        <row r="1604">
          <cell r="B1604" t="b">
            <v>1</v>
          </cell>
          <cell r="E1604" t="str">
            <v>Arroyo de las Canoas</v>
          </cell>
          <cell r="H1604" t="str">
            <v>consulta_externa</v>
          </cell>
          <cell r="J1604" t="str">
            <v>bueno</v>
          </cell>
          <cell r="K1604" t="str">
            <v>defsi</v>
          </cell>
        </row>
        <row r="1605">
          <cell r="B1605" t="b">
            <v>1</v>
          </cell>
          <cell r="E1605" t="str">
            <v>Arroyo de Piedra</v>
          </cell>
          <cell r="H1605" t="str">
            <v>consulta_externa</v>
          </cell>
          <cell r="J1605" t="str">
            <v>bueno</v>
          </cell>
          <cell r="K1605" t="str">
            <v>defsi</v>
          </cell>
        </row>
        <row r="1606">
          <cell r="B1606" t="b">
            <v>1</v>
          </cell>
          <cell r="E1606" t="str">
            <v>Arroyo de Piedra</v>
          </cell>
          <cell r="H1606" t="str">
            <v>consulta_externa</v>
          </cell>
          <cell r="J1606" t="str">
            <v>bueno</v>
          </cell>
          <cell r="K1606" t="str">
            <v>defsi</v>
          </cell>
        </row>
        <row r="1607">
          <cell r="B1607" t="b">
            <v>1</v>
          </cell>
          <cell r="E1607" t="str">
            <v>Arroyo de Piedra</v>
          </cell>
          <cell r="H1607" t="str">
            <v>laboratorio</v>
          </cell>
          <cell r="J1607" t="str">
            <v>bueno</v>
          </cell>
          <cell r="K1607" t="str">
            <v>defsi</v>
          </cell>
        </row>
        <row r="1608">
          <cell r="B1608" t="b">
            <v>1</v>
          </cell>
          <cell r="E1608" t="str">
            <v>Cano de Oro</v>
          </cell>
          <cell r="H1608" t="str">
            <v>consulta_externa</v>
          </cell>
          <cell r="J1608" t="str">
            <v>bueno</v>
          </cell>
          <cell r="K1608" t="str">
            <v>probsi</v>
          </cell>
        </row>
        <row r="1609">
          <cell r="B1609" t="b">
            <v>1</v>
          </cell>
          <cell r="E1609" t="str">
            <v>Cano de Oro</v>
          </cell>
          <cell r="H1609" t="str">
            <v>consulta_externa</v>
          </cell>
          <cell r="J1609" t="str">
            <v>bueno</v>
          </cell>
          <cell r="K1609" t="str">
            <v>probsi</v>
          </cell>
        </row>
        <row r="1610">
          <cell r="B1610" t="b">
            <v>1</v>
          </cell>
          <cell r="E1610" t="str">
            <v>Cano de Oro</v>
          </cell>
          <cell r="H1610" t="str">
            <v>consulta_externa</v>
          </cell>
          <cell r="J1610" t="str">
            <v>bueno</v>
          </cell>
          <cell r="K1610" t="str">
            <v>probsi</v>
          </cell>
        </row>
        <row r="1611">
          <cell r="B1611" t="b">
            <v>1</v>
          </cell>
          <cell r="E1611" t="str">
            <v>Cano de Oro</v>
          </cell>
          <cell r="H1611" t="str">
            <v>consulta_externa</v>
          </cell>
          <cell r="J1611" t="str">
            <v>bueno</v>
          </cell>
          <cell r="K1611" t="str">
            <v>probsi</v>
          </cell>
        </row>
        <row r="1612">
          <cell r="B1612" t="b">
            <v>1</v>
          </cell>
          <cell r="E1612" t="str">
            <v>Cano de Oro</v>
          </cell>
          <cell r="H1612" t="str">
            <v>consulta_externa</v>
          </cell>
          <cell r="J1612" t="str">
            <v>bueno</v>
          </cell>
          <cell r="K1612" t="str">
            <v>probsi</v>
          </cell>
        </row>
        <row r="1613">
          <cell r="B1613" t="b">
            <v>1</v>
          </cell>
          <cell r="E1613" t="str">
            <v>Cano de Oro</v>
          </cell>
          <cell r="H1613" t="str">
            <v>salud_oral</v>
          </cell>
          <cell r="J1613" t="str">
            <v>bueno</v>
          </cell>
          <cell r="K1613" t="str">
            <v>probsi</v>
          </cell>
        </row>
        <row r="1614">
          <cell r="B1614" t="b">
            <v>1</v>
          </cell>
          <cell r="E1614" t="str">
            <v>Cano de Oro</v>
          </cell>
          <cell r="H1614" t="str">
            <v>salud_oral</v>
          </cell>
          <cell r="J1614" t="str">
            <v>bueno</v>
          </cell>
          <cell r="K1614" t="str">
            <v>probsi</v>
          </cell>
        </row>
        <row r="1615">
          <cell r="B1615" t="b">
            <v>1</v>
          </cell>
          <cell r="E1615" t="str">
            <v>Cano de Oro</v>
          </cell>
          <cell r="H1615" t="str">
            <v>salud_oral</v>
          </cell>
          <cell r="J1615" t="str">
            <v>bueno</v>
          </cell>
          <cell r="K1615" t="str">
            <v>probsi</v>
          </cell>
        </row>
        <row r="1616">
          <cell r="B1616" t="b">
            <v>1</v>
          </cell>
          <cell r="E1616" t="str">
            <v>Cano de Oro</v>
          </cell>
          <cell r="H1616" t="str">
            <v>salud_oral</v>
          </cell>
          <cell r="J1616" t="str">
            <v>bueno</v>
          </cell>
          <cell r="K1616" t="str">
            <v>probsi</v>
          </cell>
        </row>
        <row r="1617">
          <cell r="B1617" t="b">
            <v>1</v>
          </cell>
          <cell r="E1617" t="str">
            <v>Cano de Oro</v>
          </cell>
          <cell r="H1617" t="str">
            <v>salud_oral</v>
          </cell>
          <cell r="J1617" t="str">
            <v>bueno</v>
          </cell>
          <cell r="K1617" t="str">
            <v>probsi</v>
          </cell>
        </row>
        <row r="1618">
          <cell r="B1618" t="b">
            <v>1</v>
          </cell>
          <cell r="E1618" t="str">
            <v>Cano de Oro</v>
          </cell>
          <cell r="H1618" t="str">
            <v>laboratorio</v>
          </cell>
          <cell r="J1618" t="str">
            <v>bueno</v>
          </cell>
          <cell r="K1618" t="str">
            <v>probsi</v>
          </cell>
        </row>
        <row r="1619">
          <cell r="B1619" t="b">
            <v>1</v>
          </cell>
          <cell r="E1619" t="str">
            <v>Cano de Oro</v>
          </cell>
          <cell r="H1619" t="str">
            <v>laboratorio</v>
          </cell>
          <cell r="J1619" t="str">
            <v>bueno</v>
          </cell>
          <cell r="K1619" t="str">
            <v>probsi</v>
          </cell>
        </row>
        <row r="1620">
          <cell r="B1620" t="b">
            <v>1</v>
          </cell>
          <cell r="E1620" t="str">
            <v>Cano de Oro</v>
          </cell>
          <cell r="H1620" t="str">
            <v>laboratorio</v>
          </cell>
          <cell r="J1620" t="str">
            <v>bueno</v>
          </cell>
          <cell r="K1620" t="str">
            <v>probsi</v>
          </cell>
        </row>
        <row r="1621">
          <cell r="B1621" t="b">
            <v>1</v>
          </cell>
          <cell r="E1621" t="str">
            <v>Cano de Oro</v>
          </cell>
          <cell r="H1621" t="str">
            <v>laboratorio</v>
          </cell>
          <cell r="J1621" t="str">
            <v>bueno</v>
          </cell>
          <cell r="K1621" t="str">
            <v>probsi</v>
          </cell>
        </row>
        <row r="1622">
          <cell r="B1622" t="b">
            <v>1</v>
          </cell>
          <cell r="E1622" t="str">
            <v>Cano de Oro</v>
          </cell>
          <cell r="H1622" t="str">
            <v>laboratorio</v>
          </cell>
          <cell r="J1622" t="str">
            <v>bueno</v>
          </cell>
          <cell r="K1622" t="str">
            <v>probsi</v>
          </cell>
        </row>
        <row r="1623">
          <cell r="B1623" t="b">
            <v>1</v>
          </cell>
          <cell r="E1623" t="str">
            <v>Cano de Oro</v>
          </cell>
          <cell r="H1623" t="str">
            <v>laboratorio</v>
          </cell>
          <cell r="J1623" t="str">
            <v>bueno</v>
          </cell>
          <cell r="K1623" t="str">
            <v>probsi</v>
          </cell>
        </row>
        <row r="1624">
          <cell r="B1624" t="b">
            <v>1</v>
          </cell>
          <cell r="E1624" t="str">
            <v>Arroyo de Piedra</v>
          </cell>
          <cell r="H1624" t="str">
            <v>laboratorio</v>
          </cell>
          <cell r="J1624" t="str">
            <v>bueno</v>
          </cell>
          <cell r="K1624" t="str">
            <v>defsi</v>
          </cell>
        </row>
        <row r="1625">
          <cell r="B1625" t="b">
            <v>1</v>
          </cell>
          <cell r="E1625" t="str">
            <v>Arroyo de Piedra</v>
          </cell>
          <cell r="H1625" t="str">
            <v>consulta_externa</v>
          </cell>
          <cell r="J1625" t="str">
            <v>bueno</v>
          </cell>
          <cell r="K1625" t="str">
            <v>defsi</v>
          </cell>
        </row>
        <row r="1626">
          <cell r="B1626" t="b">
            <v>1</v>
          </cell>
          <cell r="E1626" t="str">
            <v>Arroyo de Piedra</v>
          </cell>
          <cell r="H1626" t="str">
            <v>laboratorio</v>
          </cell>
          <cell r="J1626" t="str">
            <v>bueno</v>
          </cell>
          <cell r="K1626" t="str">
            <v>defsi</v>
          </cell>
        </row>
        <row r="1627">
          <cell r="B1627" t="b">
            <v>1</v>
          </cell>
          <cell r="E1627" t="str">
            <v>Arroyo de Piedra</v>
          </cell>
          <cell r="H1627" t="str">
            <v>laboratorio</v>
          </cell>
          <cell r="J1627" t="str">
            <v>bueno</v>
          </cell>
          <cell r="K1627" t="str">
            <v>defsi</v>
          </cell>
        </row>
        <row r="1628">
          <cell r="B1628" t="b">
            <v>1</v>
          </cell>
          <cell r="E1628" t="str">
            <v>Arroyo de Piedra</v>
          </cell>
          <cell r="H1628" t="str">
            <v>consulta_externa</v>
          </cell>
          <cell r="J1628" t="str">
            <v>bueno</v>
          </cell>
          <cell r="K1628" t="str">
            <v>defsi</v>
          </cell>
        </row>
        <row r="1629">
          <cell r="B1629" t="b">
            <v>1</v>
          </cell>
          <cell r="E1629" t="str">
            <v>Arroyo de Piedra</v>
          </cell>
          <cell r="H1629" t="str">
            <v>laboratorio</v>
          </cell>
          <cell r="J1629" t="str">
            <v>bueno</v>
          </cell>
          <cell r="K1629" t="str">
            <v>defsi</v>
          </cell>
        </row>
        <row r="1630">
          <cell r="B1630" t="b">
            <v>1</v>
          </cell>
          <cell r="E1630" t="str">
            <v>Arroyo de Piedra</v>
          </cell>
          <cell r="H1630" t="str">
            <v>consulta_externa</v>
          </cell>
          <cell r="J1630" t="str">
            <v>bueno</v>
          </cell>
          <cell r="K1630" t="str">
            <v>defsi</v>
          </cell>
        </row>
        <row r="1631">
          <cell r="B1631" t="b">
            <v>1</v>
          </cell>
          <cell r="E1631" t="str">
            <v>Arroyo de Piedra</v>
          </cell>
          <cell r="H1631" t="str">
            <v>consulta_externa</v>
          </cell>
          <cell r="J1631" t="str">
            <v>bueno</v>
          </cell>
          <cell r="K1631" t="str">
            <v>defsi</v>
          </cell>
        </row>
        <row r="1632">
          <cell r="B1632" t="b">
            <v>1</v>
          </cell>
          <cell r="E1632" t="str">
            <v>Arroyo de Piedra</v>
          </cell>
          <cell r="H1632" t="str">
            <v>salud_oral</v>
          </cell>
          <cell r="J1632" t="str">
            <v>bueno</v>
          </cell>
          <cell r="K1632" t="str">
            <v>defsi</v>
          </cell>
        </row>
        <row r="1633">
          <cell r="B1633" t="b">
            <v>1</v>
          </cell>
          <cell r="E1633" t="str">
            <v>Arroyo de Piedra</v>
          </cell>
          <cell r="H1633" t="str">
            <v>consulta_externa</v>
          </cell>
          <cell r="J1633" t="str">
            <v>bueno</v>
          </cell>
          <cell r="K1633" t="str">
            <v>defsi</v>
          </cell>
        </row>
        <row r="1634">
          <cell r="B1634" t="b">
            <v>1</v>
          </cell>
          <cell r="E1634" t="str">
            <v>Arroyo de Piedra</v>
          </cell>
          <cell r="H1634" t="str">
            <v>consulta_externa</v>
          </cell>
          <cell r="J1634" t="str">
            <v>bueno</v>
          </cell>
          <cell r="K1634" t="str">
            <v>defsi</v>
          </cell>
        </row>
        <row r="1635">
          <cell r="B1635" t="b">
            <v>1</v>
          </cell>
          <cell r="E1635" t="str">
            <v>Arroyo de Piedra</v>
          </cell>
          <cell r="H1635" t="str">
            <v>consulta_externa</v>
          </cell>
          <cell r="J1635" t="str">
            <v>bueno</v>
          </cell>
          <cell r="K1635" t="str">
            <v>defsi</v>
          </cell>
        </row>
        <row r="1636">
          <cell r="B1636" t="b">
            <v>1</v>
          </cell>
          <cell r="E1636" t="str">
            <v>Arroyo de Piedra</v>
          </cell>
          <cell r="H1636" t="str">
            <v>consulta_externa</v>
          </cell>
          <cell r="J1636" t="str">
            <v>bueno</v>
          </cell>
          <cell r="K1636" t="str">
            <v>defsi</v>
          </cell>
        </row>
        <row r="1637">
          <cell r="B1637" t="b">
            <v>1</v>
          </cell>
          <cell r="E1637" t="str">
            <v>Arroyo de Piedra</v>
          </cell>
          <cell r="H1637" t="str">
            <v>consulta_externa</v>
          </cell>
          <cell r="J1637" t="str">
            <v>bueno</v>
          </cell>
          <cell r="K1637" t="str">
            <v>defsi</v>
          </cell>
        </row>
        <row r="1638">
          <cell r="B1638" t="b">
            <v>1</v>
          </cell>
          <cell r="E1638" t="str">
            <v>Arroyo de Piedra</v>
          </cell>
          <cell r="H1638" t="str">
            <v>salud_oral</v>
          </cell>
          <cell r="J1638" t="str">
            <v>bueno</v>
          </cell>
          <cell r="K1638" t="str">
            <v>defsi</v>
          </cell>
        </row>
        <row r="1639">
          <cell r="B1639" t="b">
            <v>1</v>
          </cell>
          <cell r="E1639" t="str">
            <v>Arroyo de Piedra</v>
          </cell>
          <cell r="H1639" t="str">
            <v>salud_oral</v>
          </cell>
          <cell r="J1639" t="str">
            <v>bueno</v>
          </cell>
          <cell r="K1639" t="str">
            <v>defsi</v>
          </cell>
        </row>
        <row r="1640">
          <cell r="B1640" t="b">
            <v>1</v>
          </cell>
          <cell r="E1640" t="str">
            <v>Arroyo de Piedra</v>
          </cell>
          <cell r="H1640" t="str">
            <v>consulta_externa</v>
          </cell>
          <cell r="J1640" t="str">
            <v>bueno</v>
          </cell>
          <cell r="K1640" t="str">
            <v>defsi</v>
          </cell>
        </row>
        <row r="1641">
          <cell r="B1641" t="b">
            <v>1</v>
          </cell>
          <cell r="E1641" t="str">
            <v>Arroyo de Piedra</v>
          </cell>
          <cell r="H1641" t="str">
            <v>laboratorio</v>
          </cell>
          <cell r="J1641" t="str">
            <v>bueno</v>
          </cell>
          <cell r="K1641" t="str">
            <v>defsi</v>
          </cell>
        </row>
        <row r="1642">
          <cell r="B1642" t="b">
            <v>1</v>
          </cell>
          <cell r="E1642" t="str">
            <v>Cano de Oro</v>
          </cell>
          <cell r="H1642" t="str">
            <v>consulta_externa</v>
          </cell>
          <cell r="J1642" t="str">
            <v>bueno</v>
          </cell>
          <cell r="K1642" t="str">
            <v>probsi</v>
          </cell>
        </row>
        <row r="1643">
          <cell r="B1643" t="b">
            <v>1</v>
          </cell>
          <cell r="E1643" t="str">
            <v>Cano de Oro</v>
          </cell>
          <cell r="H1643" t="str">
            <v>consulta_externa</v>
          </cell>
          <cell r="J1643" t="str">
            <v>bueno</v>
          </cell>
          <cell r="K1643" t="str">
            <v>probsi</v>
          </cell>
        </row>
        <row r="1644">
          <cell r="B1644" t="b">
            <v>1</v>
          </cell>
          <cell r="E1644" t="str">
            <v>Cano de Oro</v>
          </cell>
          <cell r="H1644" t="str">
            <v>laboratorio</v>
          </cell>
          <cell r="J1644" t="str">
            <v>bueno</v>
          </cell>
          <cell r="K1644" t="str">
            <v>probsi</v>
          </cell>
        </row>
        <row r="1645">
          <cell r="B1645" t="b">
            <v>1</v>
          </cell>
          <cell r="E1645" t="str">
            <v>Cano de Oro</v>
          </cell>
          <cell r="H1645" t="str">
            <v>laboratorio</v>
          </cell>
          <cell r="J1645" t="str">
            <v>bueno</v>
          </cell>
          <cell r="K1645" t="str">
            <v>probsi</v>
          </cell>
        </row>
        <row r="1646">
          <cell r="B1646" t="b">
            <v>1</v>
          </cell>
          <cell r="E1646" t="str">
            <v>Cano de Oro</v>
          </cell>
          <cell r="H1646" t="str">
            <v>laboratorio</v>
          </cell>
          <cell r="J1646" t="str">
            <v>bueno</v>
          </cell>
          <cell r="K1646" t="str">
            <v>probsi</v>
          </cell>
        </row>
        <row r="1647">
          <cell r="B1647" t="b">
            <v>1</v>
          </cell>
          <cell r="E1647" t="str">
            <v>Cano de Oro</v>
          </cell>
          <cell r="H1647" t="str">
            <v>laboratorio</v>
          </cell>
          <cell r="J1647" t="str">
            <v>bueno</v>
          </cell>
          <cell r="K1647" t="str">
            <v>probsi</v>
          </cell>
        </row>
        <row r="1648">
          <cell r="B1648" t="b">
            <v>1</v>
          </cell>
          <cell r="E1648" t="str">
            <v>Arroyo de Piedra</v>
          </cell>
          <cell r="H1648" t="str">
            <v>salud_oral</v>
          </cell>
          <cell r="J1648" t="str">
            <v>bueno</v>
          </cell>
          <cell r="K1648" t="str">
            <v>defsi</v>
          </cell>
        </row>
        <row r="1649">
          <cell r="B1649" t="b">
            <v>1</v>
          </cell>
          <cell r="E1649" t="str">
            <v>Cano de Oro</v>
          </cell>
          <cell r="H1649" t="str">
            <v>salud_oral</v>
          </cell>
          <cell r="J1649" t="str">
            <v>bueno</v>
          </cell>
          <cell r="K1649" t="str">
            <v>probsi</v>
          </cell>
        </row>
        <row r="1650">
          <cell r="B1650" t="b">
            <v>1</v>
          </cell>
          <cell r="E1650" t="str">
            <v>Cano de Oro</v>
          </cell>
          <cell r="H1650" t="str">
            <v>salud_oral</v>
          </cell>
          <cell r="J1650" t="str">
            <v>bueno</v>
          </cell>
          <cell r="K1650" t="str">
            <v>probsi</v>
          </cell>
        </row>
        <row r="1651">
          <cell r="B1651" t="b">
            <v>1</v>
          </cell>
          <cell r="E1651" t="str">
            <v>Cano de Oro</v>
          </cell>
          <cell r="H1651" t="str">
            <v>salud_oral</v>
          </cell>
          <cell r="J1651" t="str">
            <v>bueno</v>
          </cell>
          <cell r="K1651" t="str">
            <v>probsi</v>
          </cell>
        </row>
        <row r="1652">
          <cell r="B1652" t="b">
            <v>1</v>
          </cell>
          <cell r="E1652" t="str">
            <v>Cano de Oro</v>
          </cell>
          <cell r="H1652" t="str">
            <v>salud_oral</v>
          </cell>
          <cell r="J1652" t="str">
            <v>bueno</v>
          </cell>
          <cell r="K1652" t="str">
            <v>probsi</v>
          </cell>
        </row>
        <row r="1653">
          <cell r="B1653" t="b">
            <v>1</v>
          </cell>
          <cell r="E1653" t="str">
            <v>Arroyo de Piedra</v>
          </cell>
          <cell r="H1653" t="str">
            <v>laboratorio</v>
          </cell>
          <cell r="J1653" t="str">
            <v>muybueno</v>
          </cell>
          <cell r="K1653" t="str">
            <v>defsi</v>
          </cell>
        </row>
        <row r="1654">
          <cell r="B1654" t="b">
            <v>1</v>
          </cell>
          <cell r="E1654" t="str">
            <v>Arroyo de Piedra</v>
          </cell>
          <cell r="H1654" t="str">
            <v>laboratorio</v>
          </cell>
          <cell r="J1654" t="str">
            <v>muybueno</v>
          </cell>
          <cell r="K1654" t="str">
            <v>defsi</v>
          </cell>
        </row>
        <row r="1655">
          <cell r="B1655" t="b">
            <v>1</v>
          </cell>
          <cell r="E1655" t="str">
            <v>Tierra Baja</v>
          </cell>
          <cell r="H1655" t="str">
            <v>consulta_externa</v>
          </cell>
          <cell r="J1655" t="str">
            <v>bueno</v>
          </cell>
          <cell r="K1655" t="str">
            <v>defsi</v>
          </cell>
        </row>
        <row r="1656">
          <cell r="B1656" t="b">
            <v>1</v>
          </cell>
          <cell r="E1656" t="str">
            <v>Tierra Baja</v>
          </cell>
          <cell r="H1656" t="str">
            <v>salud_oral</v>
          </cell>
          <cell r="J1656" t="str">
            <v>bueno</v>
          </cell>
          <cell r="K1656" t="str">
            <v>defsi</v>
          </cell>
        </row>
        <row r="1657">
          <cell r="B1657" t="b">
            <v>1</v>
          </cell>
          <cell r="E1657" t="str">
            <v>Tierra Baja</v>
          </cell>
          <cell r="H1657" t="str">
            <v>laboratorio</v>
          </cell>
          <cell r="J1657" t="str">
            <v>bueno</v>
          </cell>
          <cell r="K1657" t="str">
            <v>defsi</v>
          </cell>
        </row>
        <row r="1658">
          <cell r="B1658" t="b">
            <v>1</v>
          </cell>
          <cell r="E1658" t="str">
            <v>Tierra Baja</v>
          </cell>
          <cell r="H1658" t="str">
            <v>consulta_externa</v>
          </cell>
          <cell r="J1658" t="str">
            <v>bueno</v>
          </cell>
          <cell r="K1658" t="str">
            <v>defsi</v>
          </cell>
        </row>
        <row r="1659">
          <cell r="B1659" t="b">
            <v>1</v>
          </cell>
          <cell r="E1659" t="str">
            <v>Tierra Baja</v>
          </cell>
          <cell r="H1659" t="str">
            <v>salud_oral</v>
          </cell>
          <cell r="J1659" t="str">
            <v>bueno</v>
          </cell>
          <cell r="K1659" t="str">
            <v>defsi</v>
          </cell>
        </row>
        <row r="1660">
          <cell r="B1660" t="b">
            <v>1</v>
          </cell>
          <cell r="E1660" t="str">
            <v>Tierra Baja</v>
          </cell>
          <cell r="H1660" t="str">
            <v>laboratorio</v>
          </cell>
          <cell r="J1660" t="str">
            <v>bueno</v>
          </cell>
          <cell r="K1660" t="str">
            <v>defsi</v>
          </cell>
        </row>
        <row r="1661">
          <cell r="B1661" t="b">
            <v>1</v>
          </cell>
          <cell r="E1661" t="str">
            <v>Cano de Oro</v>
          </cell>
          <cell r="H1661" t="str">
            <v>consulta_externa</v>
          </cell>
          <cell r="J1661" t="str">
            <v>bueno</v>
          </cell>
          <cell r="K1661" t="str">
            <v>probsi</v>
          </cell>
        </row>
        <row r="1662">
          <cell r="B1662" t="b">
            <v>1</v>
          </cell>
          <cell r="E1662" t="str">
            <v>Cano de Oro</v>
          </cell>
          <cell r="H1662" t="str">
            <v>consulta_externa</v>
          </cell>
          <cell r="J1662" t="str">
            <v>bueno</v>
          </cell>
          <cell r="K1662" t="str">
            <v>probsi</v>
          </cell>
        </row>
        <row r="1663">
          <cell r="B1663" t="b">
            <v>1</v>
          </cell>
          <cell r="E1663" t="str">
            <v>Cano de Oro</v>
          </cell>
          <cell r="H1663" t="str">
            <v>consulta_externa</v>
          </cell>
          <cell r="J1663" t="str">
            <v>bueno</v>
          </cell>
          <cell r="K1663" t="str">
            <v>probsi</v>
          </cell>
        </row>
        <row r="1664">
          <cell r="B1664" t="b">
            <v>1</v>
          </cell>
          <cell r="E1664" t="str">
            <v>Cano de Oro</v>
          </cell>
          <cell r="H1664" t="str">
            <v>consulta_externa</v>
          </cell>
          <cell r="J1664" t="str">
            <v>bueno</v>
          </cell>
          <cell r="K1664" t="str">
            <v>probsi</v>
          </cell>
        </row>
        <row r="1665">
          <cell r="B1665" t="b">
            <v>1</v>
          </cell>
          <cell r="E1665" t="str">
            <v>Cano de Oro</v>
          </cell>
          <cell r="H1665" t="str">
            <v>consulta_externa</v>
          </cell>
          <cell r="J1665" t="str">
            <v>bueno</v>
          </cell>
          <cell r="K1665" t="str">
            <v>probsi</v>
          </cell>
        </row>
        <row r="1666">
          <cell r="B1666" t="b">
            <v>1</v>
          </cell>
          <cell r="E1666" t="str">
            <v>Cano de Oro</v>
          </cell>
          <cell r="H1666" t="str">
            <v>salud_oral</v>
          </cell>
          <cell r="J1666" t="str">
            <v>bueno</v>
          </cell>
          <cell r="K1666" t="str">
            <v>probsi</v>
          </cell>
        </row>
        <row r="1667">
          <cell r="B1667" t="b">
            <v>1</v>
          </cell>
          <cell r="E1667" t="str">
            <v>Cano de Oro</v>
          </cell>
          <cell r="H1667" t="str">
            <v>salud_oral</v>
          </cell>
          <cell r="J1667" t="str">
            <v>bueno</v>
          </cell>
          <cell r="K1667" t="str">
            <v>probsi</v>
          </cell>
        </row>
        <row r="1668">
          <cell r="B1668" t="b">
            <v>1</v>
          </cell>
          <cell r="E1668" t="str">
            <v>Cano de Oro</v>
          </cell>
          <cell r="H1668" t="str">
            <v>laboratorio</v>
          </cell>
          <cell r="J1668" t="str">
            <v>bueno</v>
          </cell>
          <cell r="K1668" t="str">
            <v>probsi</v>
          </cell>
        </row>
        <row r="1669">
          <cell r="B1669" t="b">
            <v>1</v>
          </cell>
          <cell r="E1669" t="str">
            <v>Cano de Oro</v>
          </cell>
          <cell r="H1669" t="str">
            <v>laboratorio</v>
          </cell>
          <cell r="J1669" t="str">
            <v>bueno</v>
          </cell>
          <cell r="K1669" t="str">
            <v>probsi</v>
          </cell>
        </row>
        <row r="1670">
          <cell r="B1670" t="b">
            <v>1</v>
          </cell>
          <cell r="E1670" t="str">
            <v>Cano de Oro</v>
          </cell>
          <cell r="H1670" t="str">
            <v>laboratorio</v>
          </cell>
          <cell r="J1670" t="str">
            <v>bueno</v>
          </cell>
          <cell r="K1670" t="str">
            <v>probsi</v>
          </cell>
        </row>
        <row r="1671">
          <cell r="B1671" t="b">
            <v>1</v>
          </cell>
          <cell r="E1671" t="str">
            <v>Cano de Oro</v>
          </cell>
          <cell r="H1671" t="str">
            <v>laboratorio</v>
          </cell>
          <cell r="J1671" t="str">
            <v>bueno</v>
          </cell>
          <cell r="K1671" t="str">
            <v>probsi</v>
          </cell>
        </row>
        <row r="1672">
          <cell r="B1672" t="b">
            <v>1</v>
          </cell>
          <cell r="E1672" t="str">
            <v>Cano de Oro</v>
          </cell>
          <cell r="H1672" t="str">
            <v>laboratorio</v>
          </cell>
          <cell r="J1672" t="str">
            <v>bueno</v>
          </cell>
          <cell r="K1672" t="str">
            <v>probsi</v>
          </cell>
        </row>
        <row r="1673">
          <cell r="B1673" t="b">
            <v>1</v>
          </cell>
          <cell r="E1673" t="str">
            <v>Arroyo de Piedra</v>
          </cell>
          <cell r="H1673" t="str">
            <v>salud_oral</v>
          </cell>
          <cell r="J1673" t="str">
            <v>bueno</v>
          </cell>
          <cell r="K1673" t="str">
            <v>defsi</v>
          </cell>
        </row>
        <row r="1674">
          <cell r="B1674" t="b">
            <v>1</v>
          </cell>
          <cell r="E1674" t="str">
            <v>Arroyo de Piedra</v>
          </cell>
          <cell r="H1674" t="str">
            <v>salud_oral</v>
          </cell>
          <cell r="J1674" t="str">
            <v>muybueno</v>
          </cell>
          <cell r="K1674" t="str">
            <v>defsi</v>
          </cell>
        </row>
        <row r="1675">
          <cell r="B1675" t="b">
            <v>1</v>
          </cell>
          <cell r="E1675" t="str">
            <v>Arroyo de Piedra</v>
          </cell>
          <cell r="H1675" t="str">
            <v>consulta_externa</v>
          </cell>
          <cell r="J1675" t="str">
            <v>bueno</v>
          </cell>
          <cell r="K1675" t="str">
            <v>defsi</v>
          </cell>
        </row>
        <row r="1676">
          <cell r="B1676" t="b">
            <v>1</v>
          </cell>
          <cell r="E1676" t="str">
            <v>Pozon</v>
          </cell>
          <cell r="H1676" t="str">
            <v>consulta_externa</v>
          </cell>
          <cell r="J1676" t="str">
            <v>bueno</v>
          </cell>
          <cell r="K1676" t="str">
            <v>probsi</v>
          </cell>
        </row>
        <row r="1677">
          <cell r="B1677" t="b">
            <v>1</v>
          </cell>
          <cell r="E1677" t="str">
            <v>Pozon</v>
          </cell>
          <cell r="H1677" t="str">
            <v>consulta_externa</v>
          </cell>
          <cell r="J1677" t="str">
            <v>bueno</v>
          </cell>
          <cell r="K1677" t="str">
            <v>probsi</v>
          </cell>
        </row>
        <row r="1678">
          <cell r="B1678" t="b">
            <v>1</v>
          </cell>
          <cell r="E1678" t="str">
            <v>Pozon</v>
          </cell>
          <cell r="H1678" t="str">
            <v>consulta_externa</v>
          </cell>
          <cell r="J1678" t="str">
            <v>bueno</v>
          </cell>
          <cell r="K1678" t="str">
            <v>probsi</v>
          </cell>
        </row>
        <row r="1679">
          <cell r="B1679" t="b">
            <v>1</v>
          </cell>
          <cell r="E1679" t="str">
            <v>Pozon</v>
          </cell>
          <cell r="H1679" t="str">
            <v>laboratorio</v>
          </cell>
          <cell r="J1679" t="str">
            <v>bueno</v>
          </cell>
          <cell r="K1679" t="str">
            <v>probsi</v>
          </cell>
        </row>
        <row r="1680">
          <cell r="B1680" t="b">
            <v>1</v>
          </cell>
          <cell r="E1680" t="str">
            <v>Pozon</v>
          </cell>
          <cell r="H1680" t="str">
            <v>laboratorio</v>
          </cell>
          <cell r="J1680" t="str">
            <v>bueno</v>
          </cell>
          <cell r="K1680" t="str">
            <v>probsi</v>
          </cell>
        </row>
        <row r="1681">
          <cell r="B1681" t="b">
            <v>1</v>
          </cell>
          <cell r="E1681" t="str">
            <v>Pozon</v>
          </cell>
          <cell r="H1681" t="str">
            <v>laboratorio</v>
          </cell>
          <cell r="J1681" t="str">
            <v>bueno</v>
          </cell>
          <cell r="K1681" t="str">
            <v>probsi</v>
          </cell>
        </row>
        <row r="1682">
          <cell r="B1682" t="b">
            <v>1</v>
          </cell>
          <cell r="E1682" t="str">
            <v>Pozon</v>
          </cell>
          <cell r="H1682" t="str">
            <v>laboratorio</v>
          </cell>
          <cell r="J1682" t="str">
            <v>bueno</v>
          </cell>
          <cell r="K1682" t="str">
            <v>probsi</v>
          </cell>
        </row>
        <row r="1683">
          <cell r="B1683" t="b">
            <v>1</v>
          </cell>
          <cell r="E1683" t="str">
            <v>Pozon</v>
          </cell>
          <cell r="H1683" t="str">
            <v>salud_oral</v>
          </cell>
          <cell r="J1683" t="str">
            <v>bueno</v>
          </cell>
          <cell r="K1683" t="str">
            <v>probsi</v>
          </cell>
        </row>
        <row r="1684">
          <cell r="B1684" t="b">
            <v>1</v>
          </cell>
          <cell r="E1684" t="str">
            <v>Pozon</v>
          </cell>
          <cell r="H1684" t="str">
            <v>consulta_externa</v>
          </cell>
          <cell r="J1684" t="str">
            <v>bueno</v>
          </cell>
          <cell r="K1684" t="str">
            <v>probsi</v>
          </cell>
        </row>
        <row r="1685">
          <cell r="B1685" t="b">
            <v>1</v>
          </cell>
          <cell r="E1685" t="str">
            <v>Pozon</v>
          </cell>
          <cell r="H1685" t="str">
            <v>consulta_externa</v>
          </cell>
          <cell r="J1685" t="str">
            <v>bueno</v>
          </cell>
          <cell r="K1685" t="str">
            <v>probsi</v>
          </cell>
        </row>
        <row r="1686">
          <cell r="B1686" t="b">
            <v>1</v>
          </cell>
          <cell r="E1686" t="str">
            <v>Pozon</v>
          </cell>
          <cell r="H1686" t="str">
            <v>laboratorio</v>
          </cell>
          <cell r="J1686" t="str">
            <v>bueno</v>
          </cell>
          <cell r="K1686" t="str">
            <v>probsi</v>
          </cell>
        </row>
        <row r="1687">
          <cell r="B1687" t="b">
            <v>1</v>
          </cell>
          <cell r="E1687" t="str">
            <v>Pozon</v>
          </cell>
          <cell r="H1687" t="str">
            <v>laboratorio</v>
          </cell>
          <cell r="J1687" t="str">
            <v>bueno</v>
          </cell>
          <cell r="K1687" t="str">
            <v>probsi</v>
          </cell>
        </row>
        <row r="1688">
          <cell r="B1688" t="b">
            <v>1</v>
          </cell>
          <cell r="E1688" t="str">
            <v>Pozon</v>
          </cell>
          <cell r="H1688" t="str">
            <v>laboratorio</v>
          </cell>
          <cell r="J1688" t="str">
            <v>bueno</v>
          </cell>
          <cell r="K1688" t="str">
            <v>probsi</v>
          </cell>
        </row>
        <row r="1689">
          <cell r="B1689" t="b">
            <v>1</v>
          </cell>
          <cell r="E1689" t="str">
            <v>Pozon</v>
          </cell>
          <cell r="H1689" t="str">
            <v>laboratorio</v>
          </cell>
          <cell r="J1689" t="str">
            <v>bueno</v>
          </cell>
          <cell r="K1689" t="str">
            <v>probsi</v>
          </cell>
        </row>
        <row r="1690">
          <cell r="B1690" t="b">
            <v>1</v>
          </cell>
          <cell r="E1690" t="str">
            <v>Pozon</v>
          </cell>
          <cell r="H1690" t="str">
            <v>laboratorio</v>
          </cell>
          <cell r="J1690" t="str">
            <v>bueno</v>
          </cell>
          <cell r="K1690" t="str">
            <v>probsi</v>
          </cell>
        </row>
        <row r="1691">
          <cell r="B1691" t="b">
            <v>1</v>
          </cell>
          <cell r="E1691" t="str">
            <v>Pozon</v>
          </cell>
          <cell r="H1691" t="str">
            <v>laboratorio</v>
          </cell>
          <cell r="J1691" t="str">
            <v>bueno</v>
          </cell>
          <cell r="K1691" t="str">
            <v>probsi</v>
          </cell>
        </row>
        <row r="1692">
          <cell r="B1692" t="b">
            <v>1</v>
          </cell>
          <cell r="E1692" t="str">
            <v>Pozon</v>
          </cell>
          <cell r="H1692" t="str">
            <v>salud_oral</v>
          </cell>
          <cell r="J1692" t="str">
            <v>bueno</v>
          </cell>
          <cell r="K1692" t="str">
            <v>probsi</v>
          </cell>
        </row>
        <row r="1693">
          <cell r="B1693" t="b">
            <v>1</v>
          </cell>
          <cell r="E1693" t="str">
            <v>Pozon</v>
          </cell>
          <cell r="H1693" t="str">
            <v>salud_oral</v>
          </cell>
          <cell r="J1693" t="str">
            <v>bueno</v>
          </cell>
          <cell r="K1693" t="str">
            <v>probsi</v>
          </cell>
        </row>
        <row r="1694">
          <cell r="B1694" t="b">
            <v>1</v>
          </cell>
          <cell r="E1694" t="str">
            <v>Pozon</v>
          </cell>
          <cell r="H1694" t="str">
            <v>salud_oral</v>
          </cell>
          <cell r="J1694" t="str">
            <v>bueno</v>
          </cell>
          <cell r="K1694" t="str">
            <v>probsi</v>
          </cell>
        </row>
        <row r="1695">
          <cell r="B1695" t="b">
            <v>1</v>
          </cell>
          <cell r="E1695" t="str">
            <v>Pozon</v>
          </cell>
          <cell r="H1695" t="str">
            <v>salud_oral</v>
          </cell>
          <cell r="J1695" t="str">
            <v>bueno</v>
          </cell>
          <cell r="K1695" t="str">
            <v>probsi</v>
          </cell>
        </row>
        <row r="1696">
          <cell r="B1696" t="b">
            <v>1</v>
          </cell>
          <cell r="E1696" t="str">
            <v>Pozon</v>
          </cell>
          <cell r="H1696" t="str">
            <v>salud_oral</v>
          </cell>
          <cell r="J1696" t="str">
            <v>bueno</v>
          </cell>
          <cell r="K1696" t="str">
            <v>probsi</v>
          </cell>
        </row>
        <row r="1697">
          <cell r="B1697" t="b">
            <v>1</v>
          </cell>
          <cell r="E1697" t="str">
            <v>Pozon</v>
          </cell>
          <cell r="H1697" t="str">
            <v>consulta_externa</v>
          </cell>
          <cell r="J1697" t="str">
            <v>bueno</v>
          </cell>
          <cell r="K1697" t="str">
            <v>probsi</v>
          </cell>
        </row>
        <row r="1698">
          <cell r="B1698" t="b">
            <v>1</v>
          </cell>
          <cell r="E1698" t="str">
            <v>Pozon</v>
          </cell>
          <cell r="H1698" t="str">
            <v>consulta_externa</v>
          </cell>
          <cell r="J1698" t="str">
            <v>bueno</v>
          </cell>
          <cell r="K1698" t="str">
            <v>probsi</v>
          </cell>
        </row>
        <row r="1699">
          <cell r="B1699" t="b">
            <v>1</v>
          </cell>
          <cell r="E1699" t="str">
            <v>Pozon</v>
          </cell>
          <cell r="H1699" t="str">
            <v>consulta_externa</v>
          </cell>
          <cell r="J1699" t="str">
            <v>bueno</v>
          </cell>
          <cell r="K1699" t="str">
            <v>probsi</v>
          </cell>
        </row>
        <row r="1700">
          <cell r="B1700" t="b">
            <v>1</v>
          </cell>
          <cell r="E1700" t="str">
            <v>Pozon</v>
          </cell>
          <cell r="H1700" t="str">
            <v>consulta_externa</v>
          </cell>
          <cell r="J1700" t="str">
            <v>bueno</v>
          </cell>
          <cell r="K1700" t="str">
            <v>probsi</v>
          </cell>
        </row>
        <row r="1701">
          <cell r="B1701" t="b">
            <v>1</v>
          </cell>
          <cell r="E1701" t="str">
            <v>Pozon</v>
          </cell>
          <cell r="H1701" t="str">
            <v>consulta_externa</v>
          </cell>
          <cell r="J1701" t="str">
            <v>bueno</v>
          </cell>
          <cell r="K1701" t="str">
            <v>probsi</v>
          </cell>
        </row>
        <row r="1702">
          <cell r="B1702" t="b">
            <v>1</v>
          </cell>
          <cell r="E1702" t="str">
            <v>Pozon</v>
          </cell>
          <cell r="H1702" t="str">
            <v>consulta_externa</v>
          </cell>
          <cell r="J1702" t="str">
            <v>bueno</v>
          </cell>
          <cell r="K1702" t="str">
            <v>probsi</v>
          </cell>
        </row>
        <row r="1703">
          <cell r="B1703" t="b">
            <v>1</v>
          </cell>
          <cell r="E1703" t="str">
            <v>Pozon</v>
          </cell>
          <cell r="H1703" t="str">
            <v>consulta_externa</v>
          </cell>
          <cell r="J1703" t="str">
            <v>bueno</v>
          </cell>
          <cell r="K1703" t="str">
            <v>probsi</v>
          </cell>
        </row>
        <row r="1704">
          <cell r="B1704" t="b">
            <v>1</v>
          </cell>
          <cell r="E1704" t="str">
            <v>Cano de Oro</v>
          </cell>
          <cell r="H1704" t="str">
            <v>consulta_externa</v>
          </cell>
          <cell r="J1704" t="str">
            <v>bueno</v>
          </cell>
          <cell r="K1704" t="str">
            <v>probsi</v>
          </cell>
        </row>
        <row r="1705">
          <cell r="B1705" t="b">
            <v>1</v>
          </cell>
          <cell r="E1705" t="str">
            <v>Cano de Oro</v>
          </cell>
          <cell r="H1705" t="str">
            <v>consulta_externa</v>
          </cell>
          <cell r="J1705" t="str">
            <v>bueno</v>
          </cell>
          <cell r="K1705" t="str">
            <v>probsi</v>
          </cell>
        </row>
        <row r="1706">
          <cell r="B1706" t="b">
            <v>1</v>
          </cell>
          <cell r="E1706" t="str">
            <v>Cano de Oro</v>
          </cell>
          <cell r="H1706" t="str">
            <v>consulta_externa</v>
          </cell>
          <cell r="J1706" t="str">
            <v>bueno</v>
          </cell>
          <cell r="K1706" t="str">
            <v>probsi</v>
          </cell>
        </row>
        <row r="1707">
          <cell r="B1707" t="b">
            <v>1</v>
          </cell>
          <cell r="E1707" t="str">
            <v>Cano de Oro</v>
          </cell>
          <cell r="H1707" t="str">
            <v>consulta_externa</v>
          </cell>
          <cell r="J1707" t="str">
            <v>bueno</v>
          </cell>
          <cell r="K1707" t="str">
            <v>probsi</v>
          </cell>
        </row>
        <row r="1708">
          <cell r="B1708" t="b">
            <v>1</v>
          </cell>
          <cell r="E1708" t="str">
            <v>Cano de Oro</v>
          </cell>
          <cell r="H1708" t="str">
            <v>salud_oral</v>
          </cell>
          <cell r="J1708" t="str">
            <v>bueno</v>
          </cell>
          <cell r="K1708" t="str">
            <v>probsi</v>
          </cell>
        </row>
        <row r="1709">
          <cell r="B1709" t="b">
            <v>1</v>
          </cell>
          <cell r="E1709" t="str">
            <v>Cano de Oro</v>
          </cell>
          <cell r="H1709" t="str">
            <v>salud_oral</v>
          </cell>
          <cell r="J1709" t="str">
            <v>bueno</v>
          </cell>
          <cell r="K1709" t="str">
            <v>probsi</v>
          </cell>
        </row>
        <row r="1710">
          <cell r="B1710" t="b">
            <v>1</v>
          </cell>
          <cell r="E1710" t="str">
            <v>Cano de Oro</v>
          </cell>
          <cell r="H1710" t="str">
            <v>salud_oral</v>
          </cell>
          <cell r="J1710" t="str">
            <v>bueno</v>
          </cell>
          <cell r="K1710" t="str">
            <v>probsi</v>
          </cell>
        </row>
        <row r="1711">
          <cell r="B1711" t="b">
            <v>1</v>
          </cell>
          <cell r="E1711" t="str">
            <v>Pozon</v>
          </cell>
          <cell r="H1711" t="str">
            <v>urgencia</v>
          </cell>
          <cell r="J1711" t="str">
            <v>bueno</v>
          </cell>
          <cell r="K1711" t="str">
            <v>probno</v>
          </cell>
        </row>
        <row r="1712">
          <cell r="B1712" t="b">
            <v>1</v>
          </cell>
          <cell r="E1712" t="str">
            <v>Pozon</v>
          </cell>
          <cell r="H1712" t="str">
            <v>urgencia</v>
          </cell>
          <cell r="J1712" t="str">
            <v>bueno</v>
          </cell>
          <cell r="K1712" t="str">
            <v>probno</v>
          </cell>
        </row>
        <row r="1713">
          <cell r="B1713" t="b">
            <v>1</v>
          </cell>
          <cell r="E1713" t="str">
            <v>Pozon</v>
          </cell>
          <cell r="H1713" t="str">
            <v>urgencia</v>
          </cell>
          <cell r="J1713" t="str">
            <v>bueno</v>
          </cell>
          <cell r="K1713" t="str">
            <v>probno</v>
          </cell>
        </row>
        <row r="1714">
          <cell r="B1714" t="b">
            <v>1</v>
          </cell>
          <cell r="E1714" t="str">
            <v>Pozon</v>
          </cell>
          <cell r="H1714" t="str">
            <v>urgencia</v>
          </cell>
          <cell r="J1714" t="str">
            <v>bueno</v>
          </cell>
          <cell r="K1714" t="str">
            <v>probno</v>
          </cell>
        </row>
        <row r="1715">
          <cell r="B1715" t="b">
            <v>1</v>
          </cell>
          <cell r="E1715" t="str">
            <v>Pozon</v>
          </cell>
          <cell r="H1715" t="str">
            <v>urgencia</v>
          </cell>
          <cell r="J1715" t="str">
            <v>bueno</v>
          </cell>
          <cell r="K1715" t="str">
            <v>probno</v>
          </cell>
        </row>
        <row r="1716">
          <cell r="B1716" t="b">
            <v>1</v>
          </cell>
          <cell r="E1716" t="str">
            <v>Pozon</v>
          </cell>
          <cell r="H1716" t="str">
            <v>urgencia</v>
          </cell>
          <cell r="J1716" t="str">
            <v>bueno</v>
          </cell>
          <cell r="K1716" t="str">
            <v>probno</v>
          </cell>
        </row>
        <row r="1717">
          <cell r="B1717" t="b">
            <v>1</v>
          </cell>
          <cell r="E1717" t="str">
            <v>Pozon</v>
          </cell>
          <cell r="H1717" t="str">
            <v>urgencia</v>
          </cell>
          <cell r="J1717" t="str">
            <v>bueno</v>
          </cell>
          <cell r="K1717" t="str">
            <v>probno</v>
          </cell>
        </row>
        <row r="1718">
          <cell r="B1718" t="b">
            <v>1</v>
          </cell>
          <cell r="E1718" t="str">
            <v>Pozon</v>
          </cell>
          <cell r="H1718" t="str">
            <v>urgencia</v>
          </cell>
          <cell r="J1718" t="str">
            <v>bueno</v>
          </cell>
          <cell r="K1718" t="str">
            <v>probno</v>
          </cell>
        </row>
        <row r="1719">
          <cell r="B1719" t="b">
            <v>1</v>
          </cell>
          <cell r="E1719" t="str">
            <v>Pozon</v>
          </cell>
          <cell r="H1719" t="str">
            <v>urgencia</v>
          </cell>
          <cell r="J1719" t="str">
            <v>bueno</v>
          </cell>
          <cell r="K1719" t="str">
            <v>probno</v>
          </cell>
        </row>
        <row r="1720">
          <cell r="B1720" t="b">
            <v>1</v>
          </cell>
          <cell r="E1720" t="str">
            <v>Pozon</v>
          </cell>
          <cell r="H1720" t="str">
            <v>urgencia</v>
          </cell>
          <cell r="J1720" t="str">
            <v>bueno</v>
          </cell>
          <cell r="K1720" t="str">
            <v>probno</v>
          </cell>
        </row>
        <row r="1721">
          <cell r="B1721" t="b">
            <v>1</v>
          </cell>
          <cell r="E1721" t="str">
            <v>Pozon</v>
          </cell>
          <cell r="H1721" t="str">
            <v>urgencia</v>
          </cell>
          <cell r="J1721" t="str">
            <v>bueno</v>
          </cell>
          <cell r="K1721" t="str">
            <v>probno</v>
          </cell>
        </row>
        <row r="1722">
          <cell r="B1722" t="b">
            <v>1</v>
          </cell>
          <cell r="E1722" t="str">
            <v>Pozon</v>
          </cell>
          <cell r="H1722" t="str">
            <v>urgencia</v>
          </cell>
          <cell r="J1722" t="str">
            <v>bueno</v>
          </cell>
          <cell r="K1722" t="str">
            <v>probno</v>
          </cell>
        </row>
        <row r="1723">
          <cell r="B1723" t="b">
            <v>1</v>
          </cell>
          <cell r="E1723" t="str">
            <v>Pozon</v>
          </cell>
          <cell r="H1723" t="str">
            <v>urgencia</v>
          </cell>
          <cell r="J1723" t="str">
            <v>bueno</v>
          </cell>
          <cell r="K1723" t="str">
            <v>probno</v>
          </cell>
        </row>
        <row r="1724">
          <cell r="B1724" t="b">
            <v>1</v>
          </cell>
          <cell r="E1724" t="str">
            <v>Pozon</v>
          </cell>
          <cell r="H1724" t="str">
            <v>urgencia</v>
          </cell>
          <cell r="J1724" t="str">
            <v>bueno</v>
          </cell>
          <cell r="K1724" t="str">
            <v>probno</v>
          </cell>
        </row>
        <row r="1725">
          <cell r="B1725" t="b">
            <v>1</v>
          </cell>
          <cell r="E1725" t="str">
            <v>Pozon</v>
          </cell>
          <cell r="H1725" t="str">
            <v>urgencia</v>
          </cell>
          <cell r="J1725" t="str">
            <v>bueno</v>
          </cell>
          <cell r="K1725" t="str">
            <v>probno</v>
          </cell>
        </row>
        <row r="1726">
          <cell r="B1726" t="b">
            <v>1</v>
          </cell>
          <cell r="E1726" t="str">
            <v>Pozon</v>
          </cell>
          <cell r="H1726" t="str">
            <v>urgencia</v>
          </cell>
          <cell r="J1726" t="str">
            <v>bueno</v>
          </cell>
          <cell r="K1726" t="str">
            <v>probno</v>
          </cell>
        </row>
        <row r="1727">
          <cell r="B1727" t="b">
            <v>1</v>
          </cell>
          <cell r="E1727" t="str">
            <v>Pozon</v>
          </cell>
          <cell r="H1727" t="str">
            <v>urgencia</v>
          </cell>
          <cell r="J1727" t="str">
            <v>bueno</v>
          </cell>
          <cell r="K1727" t="str">
            <v>probno</v>
          </cell>
        </row>
        <row r="1728">
          <cell r="B1728" t="b">
            <v>1</v>
          </cell>
          <cell r="E1728" t="str">
            <v>Pozon</v>
          </cell>
          <cell r="H1728" t="str">
            <v>urgencia</v>
          </cell>
          <cell r="J1728" t="str">
            <v>bueno</v>
          </cell>
          <cell r="K1728" t="str">
            <v>probno</v>
          </cell>
        </row>
        <row r="1729">
          <cell r="B1729" t="b">
            <v>1</v>
          </cell>
          <cell r="E1729" t="str">
            <v>Pozon</v>
          </cell>
          <cell r="H1729" t="str">
            <v>urgencia</v>
          </cell>
          <cell r="J1729" t="str">
            <v>bueno</v>
          </cell>
          <cell r="K1729" t="str">
            <v>probno</v>
          </cell>
        </row>
        <row r="1730">
          <cell r="B1730" t="b">
            <v>1</v>
          </cell>
          <cell r="E1730" t="str">
            <v>Pozon</v>
          </cell>
          <cell r="H1730" t="str">
            <v>urgencia</v>
          </cell>
          <cell r="J1730" t="str">
            <v>bueno</v>
          </cell>
          <cell r="K1730" t="str">
            <v>probno</v>
          </cell>
        </row>
        <row r="1731">
          <cell r="B1731" t="b">
            <v>1</v>
          </cell>
          <cell r="E1731" t="str">
            <v>Tierra Baja</v>
          </cell>
          <cell r="H1731" t="str">
            <v>consulta_externa</v>
          </cell>
          <cell r="J1731" t="str">
            <v>bueno</v>
          </cell>
          <cell r="K1731" t="str">
            <v>defsi</v>
          </cell>
        </row>
        <row r="1732">
          <cell r="B1732" t="b">
            <v>1</v>
          </cell>
          <cell r="E1732" t="str">
            <v>Tierra Baja</v>
          </cell>
          <cell r="H1732" t="str">
            <v>salud_oral</v>
          </cell>
          <cell r="J1732" t="str">
            <v>bueno</v>
          </cell>
          <cell r="K1732" t="str">
            <v>defsi</v>
          </cell>
        </row>
        <row r="1733">
          <cell r="B1733" t="b">
            <v>1</v>
          </cell>
          <cell r="E1733" t="str">
            <v>Tierra Baja</v>
          </cell>
          <cell r="H1733" t="str">
            <v>laboratorio</v>
          </cell>
          <cell r="J1733" t="str">
            <v>bueno</v>
          </cell>
          <cell r="K1733" t="str">
            <v>defsi</v>
          </cell>
        </row>
        <row r="1734">
          <cell r="B1734" t="b">
            <v>1</v>
          </cell>
          <cell r="E1734" t="str">
            <v>Tierra Baja</v>
          </cell>
          <cell r="H1734" t="str">
            <v>consulta_externa</v>
          </cell>
          <cell r="J1734" t="str">
            <v>bueno</v>
          </cell>
          <cell r="K1734" t="str">
            <v>defsi</v>
          </cell>
        </row>
        <row r="1735">
          <cell r="B1735" t="b">
            <v>1</v>
          </cell>
          <cell r="E1735" t="str">
            <v>Tierra Baja</v>
          </cell>
          <cell r="H1735" t="str">
            <v>salud_oral</v>
          </cell>
          <cell r="J1735" t="str">
            <v>bueno</v>
          </cell>
          <cell r="K1735" t="str">
            <v>defsi</v>
          </cell>
        </row>
        <row r="1736">
          <cell r="B1736" t="b">
            <v>1</v>
          </cell>
          <cell r="E1736" t="str">
            <v>Tierra Baja</v>
          </cell>
          <cell r="H1736" t="str">
            <v>laboratorio</v>
          </cell>
          <cell r="J1736" t="str">
            <v>bueno</v>
          </cell>
          <cell r="K1736" t="str">
            <v>defsi</v>
          </cell>
        </row>
        <row r="1737">
          <cell r="B1737" t="b">
            <v>1</v>
          </cell>
          <cell r="E1737" t="str">
            <v>Tierra Baja</v>
          </cell>
          <cell r="H1737" t="str">
            <v>consulta_externa</v>
          </cell>
          <cell r="J1737" t="str">
            <v>bueno</v>
          </cell>
          <cell r="K1737" t="str">
            <v>defsi</v>
          </cell>
        </row>
        <row r="1738">
          <cell r="B1738" t="b">
            <v>1</v>
          </cell>
          <cell r="E1738" t="str">
            <v>Tierra Baja</v>
          </cell>
          <cell r="H1738" t="str">
            <v>salud_oral</v>
          </cell>
          <cell r="J1738" t="str">
            <v>bueno</v>
          </cell>
          <cell r="K1738" t="str">
            <v>defsi</v>
          </cell>
        </row>
        <row r="1739">
          <cell r="B1739" t="b">
            <v>1</v>
          </cell>
          <cell r="E1739" t="str">
            <v>Tierra Baja</v>
          </cell>
          <cell r="H1739" t="str">
            <v>laboratorio</v>
          </cell>
          <cell r="J1739" t="str">
            <v>bueno</v>
          </cell>
          <cell r="K1739" t="str">
            <v>defsi</v>
          </cell>
        </row>
        <row r="1740">
          <cell r="B1740" t="b">
            <v>1</v>
          </cell>
          <cell r="E1740" t="str">
            <v>Foco Rojo</v>
          </cell>
          <cell r="H1740" t="str">
            <v>consulta_externa</v>
          </cell>
          <cell r="J1740" t="str">
            <v>bueno</v>
          </cell>
          <cell r="K1740" t="str">
            <v>probsi</v>
          </cell>
        </row>
        <row r="1741">
          <cell r="B1741" t="b">
            <v>1</v>
          </cell>
          <cell r="E1741" t="str">
            <v>Foco Rojo</v>
          </cell>
          <cell r="H1741" t="str">
            <v>consulta_externa</v>
          </cell>
          <cell r="J1741" t="str">
            <v>bueno</v>
          </cell>
          <cell r="K1741" t="str">
            <v>probsi</v>
          </cell>
        </row>
        <row r="1742">
          <cell r="B1742" t="b">
            <v>1</v>
          </cell>
          <cell r="E1742" t="str">
            <v>Foco Rojo</v>
          </cell>
          <cell r="H1742" t="str">
            <v>salud_oral</v>
          </cell>
          <cell r="J1742" t="str">
            <v>bueno</v>
          </cell>
          <cell r="K1742" t="str">
            <v>probsi</v>
          </cell>
        </row>
        <row r="1743">
          <cell r="B1743" t="b">
            <v>1</v>
          </cell>
          <cell r="E1743" t="str">
            <v>Foco Rojo</v>
          </cell>
          <cell r="H1743" t="str">
            <v>laboratorio</v>
          </cell>
          <cell r="J1743" t="str">
            <v>bueno</v>
          </cell>
          <cell r="K1743" t="str">
            <v>probsi</v>
          </cell>
        </row>
        <row r="1744">
          <cell r="B1744" t="b">
            <v>1</v>
          </cell>
          <cell r="E1744" t="str">
            <v>Foco Rojo</v>
          </cell>
          <cell r="H1744" t="str">
            <v>consulta_externa</v>
          </cell>
          <cell r="J1744" t="str">
            <v>muybueno</v>
          </cell>
          <cell r="K1744" t="str">
            <v>probsi</v>
          </cell>
        </row>
        <row r="1745">
          <cell r="B1745" t="b">
            <v>1</v>
          </cell>
          <cell r="E1745" t="str">
            <v>Foco Rojo</v>
          </cell>
          <cell r="H1745" t="str">
            <v>salud_oral</v>
          </cell>
          <cell r="J1745" t="str">
            <v>muybueno</v>
          </cell>
          <cell r="K1745" t="str">
            <v>probsi</v>
          </cell>
        </row>
        <row r="1746">
          <cell r="B1746" t="b">
            <v>1</v>
          </cell>
          <cell r="E1746" t="str">
            <v>Foco Rojo</v>
          </cell>
          <cell r="H1746" t="str">
            <v>laboratorio</v>
          </cell>
          <cell r="J1746" t="str">
            <v>bueno</v>
          </cell>
          <cell r="K1746" t="str">
            <v>probsi</v>
          </cell>
        </row>
        <row r="1747">
          <cell r="B1747" t="b">
            <v>1</v>
          </cell>
          <cell r="E1747" t="str">
            <v>Foco Rojo</v>
          </cell>
          <cell r="H1747" t="str">
            <v>consulta_externa</v>
          </cell>
          <cell r="J1747" t="str">
            <v>bueno</v>
          </cell>
          <cell r="K1747" t="str">
            <v>probsi</v>
          </cell>
        </row>
        <row r="1748">
          <cell r="B1748" t="b">
            <v>1</v>
          </cell>
          <cell r="E1748" t="str">
            <v>Foco Rojo</v>
          </cell>
          <cell r="H1748" t="str">
            <v>salud_oral</v>
          </cell>
          <cell r="J1748" t="str">
            <v>bueno</v>
          </cell>
          <cell r="K1748" t="str">
            <v>probsi</v>
          </cell>
        </row>
        <row r="1749">
          <cell r="B1749" t="b">
            <v>1</v>
          </cell>
          <cell r="E1749" t="str">
            <v>Foco Rojo</v>
          </cell>
          <cell r="H1749" t="str">
            <v>consulta_externa</v>
          </cell>
          <cell r="J1749" t="str">
            <v>bueno</v>
          </cell>
          <cell r="K1749" t="str">
            <v>probsi</v>
          </cell>
        </row>
        <row r="1750">
          <cell r="B1750" t="b">
            <v>1</v>
          </cell>
          <cell r="E1750" t="str">
            <v>Foco Rojo</v>
          </cell>
          <cell r="H1750" t="str">
            <v>consulta_externa</v>
          </cell>
          <cell r="J1750" t="str">
            <v>bueno</v>
          </cell>
          <cell r="K1750" t="str">
            <v>probsi</v>
          </cell>
        </row>
        <row r="1751">
          <cell r="B1751" t="b">
            <v>1</v>
          </cell>
          <cell r="E1751" t="str">
            <v>Foco Rojo</v>
          </cell>
          <cell r="H1751" t="str">
            <v>salud_oral</v>
          </cell>
          <cell r="J1751" t="str">
            <v>bueno</v>
          </cell>
          <cell r="K1751" t="str">
            <v>probsi</v>
          </cell>
        </row>
        <row r="1752">
          <cell r="B1752" t="b">
            <v>1</v>
          </cell>
          <cell r="E1752" t="str">
            <v>Foco Rojo</v>
          </cell>
          <cell r="H1752" t="str">
            <v>laboratorio</v>
          </cell>
          <cell r="J1752" t="str">
            <v>bueno</v>
          </cell>
          <cell r="K1752" t="str">
            <v>probsi</v>
          </cell>
        </row>
        <row r="1753">
          <cell r="B1753" t="b">
            <v>1</v>
          </cell>
          <cell r="E1753" t="str">
            <v>Foco Rojo</v>
          </cell>
          <cell r="H1753" t="str">
            <v>laboratorio</v>
          </cell>
          <cell r="J1753" t="str">
            <v>bueno</v>
          </cell>
          <cell r="K1753" t="str">
            <v>probsi</v>
          </cell>
        </row>
        <row r="1754">
          <cell r="B1754" t="b">
            <v>1</v>
          </cell>
          <cell r="E1754" t="str">
            <v>Foco Rojo</v>
          </cell>
          <cell r="H1754" t="str">
            <v>laboratorio</v>
          </cell>
          <cell r="J1754" t="str">
            <v>bueno</v>
          </cell>
          <cell r="K1754" t="str">
            <v>probsi</v>
          </cell>
        </row>
        <row r="1755">
          <cell r="B1755" t="b">
            <v>1</v>
          </cell>
          <cell r="E1755" t="str">
            <v>Foco Rojo</v>
          </cell>
          <cell r="H1755" t="str">
            <v>consulta_externa</v>
          </cell>
          <cell r="J1755" t="str">
            <v>bueno</v>
          </cell>
          <cell r="K1755" t="str">
            <v>probsi</v>
          </cell>
        </row>
        <row r="1756">
          <cell r="B1756" t="b">
            <v>1</v>
          </cell>
          <cell r="E1756" t="str">
            <v>Foco Rojo</v>
          </cell>
          <cell r="H1756" t="str">
            <v>salud_oral</v>
          </cell>
          <cell r="J1756" t="str">
            <v>bueno</v>
          </cell>
          <cell r="K1756" t="str">
            <v>probsi</v>
          </cell>
        </row>
        <row r="1757">
          <cell r="B1757" t="b">
            <v>1</v>
          </cell>
          <cell r="E1757" t="str">
            <v>Foco Rojo</v>
          </cell>
          <cell r="H1757" t="str">
            <v>consulta_externa</v>
          </cell>
          <cell r="J1757" t="str">
            <v>bueno</v>
          </cell>
          <cell r="K1757" t="str">
            <v>probsi</v>
          </cell>
        </row>
        <row r="1758">
          <cell r="B1758" t="b">
            <v>1</v>
          </cell>
          <cell r="E1758" t="str">
            <v>Foco Rojo</v>
          </cell>
          <cell r="H1758" t="str">
            <v>salud_oral</v>
          </cell>
          <cell r="J1758" t="str">
            <v>bueno</v>
          </cell>
          <cell r="K1758" t="str">
            <v>probsi</v>
          </cell>
        </row>
        <row r="1759">
          <cell r="B1759" t="b">
            <v>1</v>
          </cell>
          <cell r="E1759" t="str">
            <v>Foco Rojo</v>
          </cell>
          <cell r="H1759" t="str">
            <v>consulta_externa</v>
          </cell>
          <cell r="J1759" t="str">
            <v>muybueno</v>
          </cell>
          <cell r="K1759" t="str">
            <v>probsi</v>
          </cell>
        </row>
        <row r="1760">
          <cell r="B1760" t="b">
            <v>1</v>
          </cell>
          <cell r="E1760" t="str">
            <v>Foco Rojo</v>
          </cell>
          <cell r="H1760" t="str">
            <v>salud_oral</v>
          </cell>
          <cell r="J1760" t="str">
            <v>muybueno</v>
          </cell>
          <cell r="K1760" t="str">
            <v>probsi</v>
          </cell>
        </row>
        <row r="1761">
          <cell r="B1761" t="b">
            <v>1</v>
          </cell>
          <cell r="E1761" t="str">
            <v>Foco Rojo</v>
          </cell>
          <cell r="H1761" t="str">
            <v>laboratorio</v>
          </cell>
          <cell r="J1761" t="str">
            <v>muybueno</v>
          </cell>
          <cell r="K1761" t="str">
            <v>probsi</v>
          </cell>
        </row>
        <row r="1762">
          <cell r="B1762" t="b">
            <v>1</v>
          </cell>
          <cell r="E1762" t="str">
            <v>Foco Rojo</v>
          </cell>
          <cell r="H1762" t="str">
            <v>consulta_externa</v>
          </cell>
          <cell r="J1762" t="str">
            <v>bueno</v>
          </cell>
          <cell r="K1762" t="str">
            <v>probsi</v>
          </cell>
        </row>
        <row r="1763">
          <cell r="B1763" t="b">
            <v>1</v>
          </cell>
          <cell r="E1763" t="str">
            <v>Foco Rojo</v>
          </cell>
          <cell r="H1763" t="str">
            <v>salud_oral</v>
          </cell>
          <cell r="J1763" t="str">
            <v>bueno</v>
          </cell>
          <cell r="K1763" t="str">
            <v>probsi</v>
          </cell>
        </row>
        <row r="1764">
          <cell r="B1764" t="b">
            <v>1</v>
          </cell>
          <cell r="E1764" t="str">
            <v>Punta Arena</v>
          </cell>
          <cell r="H1764" t="str">
            <v>laboratorio</v>
          </cell>
          <cell r="J1764" t="str">
            <v>muybueno</v>
          </cell>
          <cell r="K1764" t="str">
            <v>defsi</v>
          </cell>
        </row>
        <row r="1765">
          <cell r="B1765" t="b">
            <v>1</v>
          </cell>
          <cell r="E1765" t="str">
            <v>Punta Arena</v>
          </cell>
          <cell r="H1765" t="str">
            <v>laboratorio</v>
          </cell>
          <cell r="J1765" t="str">
            <v>bueno</v>
          </cell>
          <cell r="K1765" t="str">
            <v>defsi</v>
          </cell>
        </row>
        <row r="1766">
          <cell r="B1766" t="b">
            <v>1</v>
          </cell>
          <cell r="E1766" t="str">
            <v>Punta Arena</v>
          </cell>
          <cell r="H1766" t="str">
            <v>salud_oral</v>
          </cell>
          <cell r="J1766" t="str">
            <v>bueno</v>
          </cell>
          <cell r="K1766" t="str">
            <v>defsi</v>
          </cell>
        </row>
        <row r="1767">
          <cell r="B1767" t="b">
            <v>1</v>
          </cell>
          <cell r="E1767" t="str">
            <v>Punta Arena</v>
          </cell>
          <cell r="H1767" t="str">
            <v>consulta_externa</v>
          </cell>
          <cell r="J1767" t="str">
            <v>bueno</v>
          </cell>
          <cell r="K1767" t="str">
            <v>defsi</v>
          </cell>
        </row>
        <row r="1768">
          <cell r="B1768" t="b">
            <v>1</v>
          </cell>
          <cell r="E1768" t="str">
            <v>Punta Arena</v>
          </cell>
          <cell r="H1768" t="str">
            <v>consulta_externa</v>
          </cell>
          <cell r="J1768" t="str">
            <v>bueno</v>
          </cell>
          <cell r="K1768" t="str">
            <v>defsi</v>
          </cell>
        </row>
        <row r="1769">
          <cell r="B1769" t="b">
            <v>1</v>
          </cell>
          <cell r="E1769" t="str">
            <v>Foco Rojo</v>
          </cell>
          <cell r="H1769" t="str">
            <v>consulta_externa</v>
          </cell>
          <cell r="J1769" t="str">
            <v>bueno</v>
          </cell>
          <cell r="K1769" t="str">
            <v>probsi</v>
          </cell>
        </row>
        <row r="1770">
          <cell r="B1770" t="b">
            <v>1</v>
          </cell>
          <cell r="E1770" t="str">
            <v>Foco Rojo</v>
          </cell>
          <cell r="H1770" t="str">
            <v>salud_oral</v>
          </cell>
          <cell r="J1770" t="str">
            <v>bueno</v>
          </cell>
          <cell r="K1770" t="str">
            <v>probsi</v>
          </cell>
        </row>
        <row r="1771">
          <cell r="B1771" t="b">
            <v>1</v>
          </cell>
          <cell r="E1771" t="str">
            <v>Punta Arena</v>
          </cell>
          <cell r="H1771" t="str">
            <v>consulta_externa</v>
          </cell>
          <cell r="J1771" t="str">
            <v>bueno</v>
          </cell>
          <cell r="K1771" t="str">
            <v>defsi</v>
          </cell>
        </row>
        <row r="1772">
          <cell r="B1772" t="b">
            <v>1</v>
          </cell>
          <cell r="E1772" t="str">
            <v>Punta Arena</v>
          </cell>
          <cell r="H1772" t="str">
            <v>consulta_externa</v>
          </cell>
          <cell r="J1772" t="str">
            <v>muybueno</v>
          </cell>
          <cell r="K1772" t="str">
            <v>defsi</v>
          </cell>
        </row>
        <row r="1773">
          <cell r="B1773" t="b">
            <v>1</v>
          </cell>
          <cell r="E1773" t="str">
            <v>Punta Arena</v>
          </cell>
          <cell r="H1773" t="str">
            <v>consulta_externa</v>
          </cell>
          <cell r="J1773" t="str">
            <v>bueno</v>
          </cell>
          <cell r="K1773" t="str">
            <v>defsi</v>
          </cell>
        </row>
        <row r="1774">
          <cell r="B1774" t="b">
            <v>1</v>
          </cell>
          <cell r="E1774" t="str">
            <v>Punta Arena</v>
          </cell>
          <cell r="H1774" t="str">
            <v>consulta_externa</v>
          </cell>
          <cell r="J1774" t="str">
            <v>bueno</v>
          </cell>
          <cell r="K1774" t="str">
            <v>defsi</v>
          </cell>
        </row>
        <row r="1775">
          <cell r="B1775" t="b">
            <v>1</v>
          </cell>
          <cell r="E1775" t="str">
            <v>Punta Arena</v>
          </cell>
          <cell r="H1775" t="str">
            <v>laboratorio</v>
          </cell>
          <cell r="J1775" t="str">
            <v>bueno</v>
          </cell>
          <cell r="K1775" t="str">
            <v>defsi</v>
          </cell>
        </row>
        <row r="1776">
          <cell r="B1776" t="b">
            <v>1</v>
          </cell>
          <cell r="E1776" t="str">
            <v>Punta Arena</v>
          </cell>
          <cell r="H1776" t="str">
            <v>salud_oral</v>
          </cell>
          <cell r="J1776" t="str">
            <v>bueno</v>
          </cell>
          <cell r="K1776" t="str">
            <v>defsi</v>
          </cell>
        </row>
        <row r="1777">
          <cell r="B1777" t="b">
            <v>1</v>
          </cell>
          <cell r="E1777" t="str">
            <v>Punta Arena</v>
          </cell>
          <cell r="H1777" t="str">
            <v>consulta_externa</v>
          </cell>
          <cell r="J1777" t="str">
            <v>bueno</v>
          </cell>
          <cell r="K1777" t="str">
            <v>defsi</v>
          </cell>
        </row>
        <row r="1778">
          <cell r="B1778" t="b">
            <v>1</v>
          </cell>
          <cell r="E1778" t="str">
            <v>Punta Arena</v>
          </cell>
          <cell r="H1778" t="str">
            <v>salud_oral</v>
          </cell>
          <cell r="J1778" t="str">
            <v>bueno</v>
          </cell>
          <cell r="K1778" t="str">
            <v>defsi</v>
          </cell>
        </row>
        <row r="1779">
          <cell r="B1779" t="b">
            <v>1</v>
          </cell>
          <cell r="E1779" t="str">
            <v>Foco Rojo</v>
          </cell>
          <cell r="H1779" t="str">
            <v>consulta_externa</v>
          </cell>
          <cell r="J1779" t="str">
            <v>bueno</v>
          </cell>
          <cell r="K1779" t="str">
            <v>probsi</v>
          </cell>
        </row>
        <row r="1780">
          <cell r="B1780" t="b">
            <v>1</v>
          </cell>
          <cell r="E1780" t="str">
            <v>Foco Rojo</v>
          </cell>
          <cell r="H1780" t="str">
            <v>consulta_externa</v>
          </cell>
          <cell r="J1780" t="str">
            <v>bueno</v>
          </cell>
          <cell r="K1780" t="str">
            <v>probsi</v>
          </cell>
        </row>
        <row r="1781">
          <cell r="B1781" t="b">
            <v>1</v>
          </cell>
          <cell r="E1781" t="str">
            <v>Foco Rojo</v>
          </cell>
          <cell r="H1781" t="str">
            <v>consulta_externa</v>
          </cell>
          <cell r="J1781" t="str">
            <v>bueno</v>
          </cell>
          <cell r="K1781" t="str">
            <v>probsi</v>
          </cell>
        </row>
        <row r="1782">
          <cell r="B1782" t="b">
            <v>1</v>
          </cell>
          <cell r="E1782" t="str">
            <v>Punta Arena</v>
          </cell>
          <cell r="H1782" t="str">
            <v>consulta_externa</v>
          </cell>
          <cell r="J1782" t="str">
            <v>bueno</v>
          </cell>
          <cell r="K1782" t="str">
            <v>defsi</v>
          </cell>
        </row>
        <row r="1783">
          <cell r="B1783" t="b">
            <v>1</v>
          </cell>
          <cell r="E1783" t="str">
            <v>Punta Arena</v>
          </cell>
          <cell r="H1783" t="str">
            <v>salud_oral</v>
          </cell>
          <cell r="J1783" t="str">
            <v>bueno</v>
          </cell>
          <cell r="K1783" t="str">
            <v>defsi</v>
          </cell>
        </row>
        <row r="1784">
          <cell r="B1784" t="b">
            <v>1</v>
          </cell>
          <cell r="E1784" t="str">
            <v>Punta Arena</v>
          </cell>
          <cell r="H1784" t="str">
            <v>salud_oral</v>
          </cell>
          <cell r="J1784" t="str">
            <v>bueno</v>
          </cell>
          <cell r="K1784" t="str">
            <v>defsi</v>
          </cell>
        </row>
        <row r="1785">
          <cell r="B1785" t="b">
            <v>1</v>
          </cell>
          <cell r="E1785" t="str">
            <v>Punta Arena</v>
          </cell>
          <cell r="H1785" t="str">
            <v>salud_oral</v>
          </cell>
          <cell r="J1785" t="str">
            <v>bueno</v>
          </cell>
          <cell r="K1785" t="str">
            <v>defsi</v>
          </cell>
        </row>
        <row r="1786">
          <cell r="B1786" t="b">
            <v>1</v>
          </cell>
          <cell r="E1786" t="str">
            <v>Punta Arena</v>
          </cell>
          <cell r="H1786" t="str">
            <v>salud_oral</v>
          </cell>
          <cell r="J1786" t="str">
            <v>bueno</v>
          </cell>
          <cell r="K1786" t="str">
            <v>defsi</v>
          </cell>
        </row>
        <row r="1787">
          <cell r="B1787" t="b">
            <v>1</v>
          </cell>
          <cell r="E1787" t="str">
            <v>Punta Arena</v>
          </cell>
          <cell r="H1787" t="str">
            <v>salud_oral</v>
          </cell>
          <cell r="J1787" t="str">
            <v>bueno</v>
          </cell>
          <cell r="K1787" t="str">
            <v>defsi</v>
          </cell>
        </row>
        <row r="1788">
          <cell r="B1788" t="b">
            <v>1</v>
          </cell>
          <cell r="E1788" t="str">
            <v>Punta Arena</v>
          </cell>
          <cell r="H1788" t="str">
            <v>consulta_externa</v>
          </cell>
          <cell r="J1788" t="str">
            <v>bueno</v>
          </cell>
          <cell r="K1788" t="str">
            <v>defsi</v>
          </cell>
        </row>
        <row r="1789">
          <cell r="B1789" t="b">
            <v>1</v>
          </cell>
          <cell r="E1789" t="str">
            <v>Punta Arena</v>
          </cell>
          <cell r="H1789" t="str">
            <v>consulta_externa</v>
          </cell>
          <cell r="J1789" t="str">
            <v>muybueno</v>
          </cell>
          <cell r="K1789" t="str">
            <v>defsi</v>
          </cell>
        </row>
        <row r="1790">
          <cell r="B1790" t="b">
            <v>1</v>
          </cell>
          <cell r="E1790" t="str">
            <v>Punta Arena</v>
          </cell>
          <cell r="H1790" t="str">
            <v>laboratorio</v>
          </cell>
          <cell r="J1790" t="str">
            <v>muybueno</v>
          </cell>
          <cell r="K1790" t="str">
            <v>defsi</v>
          </cell>
        </row>
        <row r="1791">
          <cell r="B1791" t="b">
            <v>1</v>
          </cell>
          <cell r="E1791" t="str">
            <v>Punta Arena</v>
          </cell>
          <cell r="H1791" t="str">
            <v>consulta_externa</v>
          </cell>
          <cell r="J1791" t="str">
            <v>bueno</v>
          </cell>
          <cell r="K1791" t="str">
            <v>defsi</v>
          </cell>
        </row>
        <row r="1792">
          <cell r="B1792" t="b">
            <v>1</v>
          </cell>
          <cell r="E1792" t="str">
            <v>Punta Arena</v>
          </cell>
          <cell r="H1792" t="str">
            <v>laboratorio</v>
          </cell>
          <cell r="J1792" t="str">
            <v>bueno</v>
          </cell>
          <cell r="K1792" t="str">
            <v>defsi</v>
          </cell>
        </row>
        <row r="1793">
          <cell r="B1793" t="b">
            <v>1</v>
          </cell>
          <cell r="E1793" t="str">
            <v>Punta Arena</v>
          </cell>
          <cell r="H1793" t="str">
            <v>consulta_externa</v>
          </cell>
          <cell r="J1793" t="str">
            <v>bueno</v>
          </cell>
          <cell r="K1793" t="str">
            <v>defsi</v>
          </cell>
        </row>
        <row r="1794">
          <cell r="B1794" t="b">
            <v>1</v>
          </cell>
          <cell r="E1794" t="str">
            <v>Punta Arena</v>
          </cell>
          <cell r="H1794" t="str">
            <v>consulta_externa</v>
          </cell>
          <cell r="J1794" t="str">
            <v>bueno</v>
          </cell>
          <cell r="K1794" t="str">
            <v>defsi</v>
          </cell>
        </row>
        <row r="1795">
          <cell r="B1795" t="b">
            <v>1</v>
          </cell>
          <cell r="E1795" t="str">
            <v>Punta Arena</v>
          </cell>
          <cell r="H1795" t="str">
            <v>salud_oral</v>
          </cell>
          <cell r="J1795" t="str">
            <v>bueno</v>
          </cell>
          <cell r="K1795" t="str">
            <v>defsi</v>
          </cell>
        </row>
        <row r="1796">
          <cell r="B1796" t="b">
            <v>1</v>
          </cell>
          <cell r="E1796" t="str">
            <v>Punta Arena</v>
          </cell>
          <cell r="H1796" t="str">
            <v>salud_oral</v>
          </cell>
          <cell r="J1796" t="str">
            <v>bueno</v>
          </cell>
          <cell r="K1796" t="str">
            <v>defsi</v>
          </cell>
        </row>
        <row r="1797">
          <cell r="B1797" t="b">
            <v>1</v>
          </cell>
          <cell r="E1797" t="str">
            <v>Punta Arena</v>
          </cell>
          <cell r="H1797" t="str">
            <v>consulta_externa</v>
          </cell>
          <cell r="J1797" t="str">
            <v>muybueno</v>
          </cell>
          <cell r="K1797" t="str">
            <v>defsi</v>
          </cell>
        </row>
        <row r="1798">
          <cell r="B1798" t="b">
            <v>1</v>
          </cell>
          <cell r="E1798" t="str">
            <v>Punta Arena</v>
          </cell>
          <cell r="H1798" t="str">
            <v>laboratorio</v>
          </cell>
          <cell r="J1798" t="str">
            <v>muybueno</v>
          </cell>
          <cell r="K1798" t="str">
            <v>defsi</v>
          </cell>
        </row>
        <row r="1799">
          <cell r="B1799" t="b">
            <v>1</v>
          </cell>
          <cell r="E1799" t="str">
            <v>Punta Arena</v>
          </cell>
          <cell r="H1799" t="str">
            <v>consulta_externa</v>
          </cell>
          <cell r="J1799" t="str">
            <v>bueno</v>
          </cell>
          <cell r="K1799" t="str">
            <v>defsi</v>
          </cell>
        </row>
        <row r="1800">
          <cell r="B1800" t="b">
            <v>0</v>
          </cell>
          <cell r="E1800" t="str">
            <v>Punta Arena</v>
          </cell>
          <cell r="H1800" t="str">
            <v>laboratorio</v>
          </cell>
          <cell r="J1800" t="str">
            <v>malo</v>
          </cell>
          <cell r="K1800" t="str">
            <v>defno</v>
          </cell>
        </row>
        <row r="1801">
          <cell r="B1801" t="b">
            <v>1</v>
          </cell>
          <cell r="E1801" t="str">
            <v>Punta Arena</v>
          </cell>
          <cell r="H1801" t="str">
            <v>laboratorio</v>
          </cell>
          <cell r="J1801" t="str">
            <v>bueno</v>
          </cell>
          <cell r="K1801" t="str">
            <v>defsi</v>
          </cell>
        </row>
        <row r="1802">
          <cell r="B1802" t="b">
            <v>1</v>
          </cell>
          <cell r="E1802" t="str">
            <v>Foco Rojo</v>
          </cell>
          <cell r="H1802" t="str">
            <v>laboratorio</v>
          </cell>
          <cell r="J1802" t="str">
            <v>bueno</v>
          </cell>
          <cell r="K1802" t="str">
            <v>probsi</v>
          </cell>
        </row>
        <row r="1803">
          <cell r="B1803" t="b">
            <v>1</v>
          </cell>
          <cell r="E1803" t="str">
            <v>Foco Rojo</v>
          </cell>
          <cell r="H1803" t="str">
            <v>laboratorio</v>
          </cell>
          <cell r="J1803" t="str">
            <v>bueno</v>
          </cell>
          <cell r="K1803" t="str">
            <v>probsi</v>
          </cell>
        </row>
        <row r="1804">
          <cell r="B1804" t="b">
            <v>1</v>
          </cell>
          <cell r="E1804" t="str">
            <v>Foco Rojo</v>
          </cell>
          <cell r="H1804" t="str">
            <v>laboratorio</v>
          </cell>
          <cell r="J1804" t="str">
            <v>bueno</v>
          </cell>
          <cell r="K1804" t="str">
            <v>probsi</v>
          </cell>
        </row>
        <row r="1805">
          <cell r="B1805" t="b">
            <v>1</v>
          </cell>
          <cell r="E1805" t="str">
            <v>Foco Rojo</v>
          </cell>
          <cell r="H1805" t="str">
            <v>laboratorio</v>
          </cell>
          <cell r="J1805" t="str">
            <v>bueno</v>
          </cell>
          <cell r="K1805" t="str">
            <v>probsi</v>
          </cell>
        </row>
        <row r="1806">
          <cell r="B1806" t="b">
            <v>1</v>
          </cell>
          <cell r="E1806" t="str">
            <v>Foco Rojo</v>
          </cell>
          <cell r="H1806" t="str">
            <v>laboratorio</v>
          </cell>
          <cell r="J1806" t="str">
            <v>bueno</v>
          </cell>
          <cell r="K1806" t="str">
            <v>probsi</v>
          </cell>
        </row>
        <row r="1807">
          <cell r="B1807" t="b">
            <v>1</v>
          </cell>
          <cell r="E1807" t="str">
            <v>Foco Rojo</v>
          </cell>
          <cell r="H1807" t="str">
            <v>consulta_externa</v>
          </cell>
          <cell r="J1807" t="str">
            <v>bueno</v>
          </cell>
          <cell r="K1807" t="str">
            <v>probsi</v>
          </cell>
        </row>
        <row r="1808">
          <cell r="B1808" t="b">
            <v>1</v>
          </cell>
          <cell r="E1808" t="str">
            <v>Foco Rojo</v>
          </cell>
          <cell r="H1808" t="str">
            <v>consulta_externa</v>
          </cell>
          <cell r="J1808" t="str">
            <v>bueno</v>
          </cell>
          <cell r="K1808" t="str">
            <v>probsi</v>
          </cell>
        </row>
        <row r="1809">
          <cell r="B1809" t="b">
            <v>1</v>
          </cell>
          <cell r="E1809" t="str">
            <v>Candelaria</v>
          </cell>
          <cell r="H1809" t="str">
            <v>consulta_externa</v>
          </cell>
          <cell r="J1809" t="str">
            <v>bueno</v>
          </cell>
          <cell r="K1809" t="str">
            <v>probsi</v>
          </cell>
        </row>
        <row r="1810">
          <cell r="B1810" t="b">
            <v>1</v>
          </cell>
          <cell r="E1810" t="str">
            <v>Candelaria</v>
          </cell>
          <cell r="H1810" t="str">
            <v>consulta_externa</v>
          </cell>
          <cell r="J1810" t="str">
            <v>bueno</v>
          </cell>
          <cell r="K1810" t="str">
            <v>probsi</v>
          </cell>
        </row>
        <row r="1811">
          <cell r="B1811" t="b">
            <v>1</v>
          </cell>
          <cell r="E1811" t="str">
            <v>Candelaria</v>
          </cell>
          <cell r="H1811" t="str">
            <v>consulta_externa</v>
          </cell>
          <cell r="J1811" t="str">
            <v>bueno</v>
          </cell>
          <cell r="K1811" t="str">
            <v>probsi</v>
          </cell>
        </row>
        <row r="1812">
          <cell r="B1812" t="b">
            <v>1</v>
          </cell>
          <cell r="E1812" t="str">
            <v>Candelaria</v>
          </cell>
          <cell r="H1812" t="str">
            <v>consulta_externa</v>
          </cell>
          <cell r="J1812" t="str">
            <v>bueno</v>
          </cell>
          <cell r="K1812" t="str">
            <v>probsi</v>
          </cell>
        </row>
        <row r="1813">
          <cell r="B1813" t="b">
            <v>1</v>
          </cell>
          <cell r="E1813" t="str">
            <v>Candelaria</v>
          </cell>
          <cell r="H1813" t="str">
            <v>salud_oral</v>
          </cell>
          <cell r="J1813" t="str">
            <v>bueno</v>
          </cell>
          <cell r="K1813" t="str">
            <v>probsi</v>
          </cell>
        </row>
        <row r="1814">
          <cell r="B1814" t="b">
            <v>1</v>
          </cell>
          <cell r="E1814" t="str">
            <v>Tierra Bomba</v>
          </cell>
          <cell r="H1814" t="str">
            <v>consulta_externa</v>
          </cell>
          <cell r="J1814" t="str">
            <v>bueno</v>
          </cell>
          <cell r="K1814" t="str">
            <v>defsi</v>
          </cell>
        </row>
        <row r="1815">
          <cell r="B1815" t="b">
            <v>1</v>
          </cell>
          <cell r="E1815" t="str">
            <v>Candelaria</v>
          </cell>
          <cell r="H1815" t="str">
            <v>laboratorio</v>
          </cell>
          <cell r="J1815" t="str">
            <v>bueno</v>
          </cell>
          <cell r="K1815" t="str">
            <v>probsi</v>
          </cell>
        </row>
        <row r="1816">
          <cell r="B1816" t="b">
            <v>1</v>
          </cell>
          <cell r="E1816" t="str">
            <v>Candelaria</v>
          </cell>
          <cell r="H1816" t="str">
            <v>laboratorio</v>
          </cell>
          <cell r="J1816" t="str">
            <v>bueno</v>
          </cell>
          <cell r="K1816" t="str">
            <v>probsi</v>
          </cell>
        </row>
        <row r="1817">
          <cell r="B1817" t="b">
            <v>1</v>
          </cell>
          <cell r="E1817" t="str">
            <v>Candelaria</v>
          </cell>
          <cell r="H1817" t="str">
            <v>salud_oral</v>
          </cell>
          <cell r="J1817" t="str">
            <v>bueno</v>
          </cell>
          <cell r="K1817" t="str">
            <v>probsi</v>
          </cell>
        </row>
        <row r="1818">
          <cell r="B1818" t="b">
            <v>1</v>
          </cell>
          <cell r="E1818" t="str">
            <v>Punta Arena</v>
          </cell>
          <cell r="H1818" t="str">
            <v>salud_oral</v>
          </cell>
          <cell r="J1818" t="str">
            <v>bueno</v>
          </cell>
          <cell r="K1818" t="str">
            <v>defsi</v>
          </cell>
        </row>
        <row r="1819">
          <cell r="B1819" t="b">
            <v>1</v>
          </cell>
          <cell r="E1819" t="str">
            <v>Punta Arena</v>
          </cell>
          <cell r="H1819" t="str">
            <v>consulta_externa</v>
          </cell>
          <cell r="J1819" t="str">
            <v>bueno</v>
          </cell>
          <cell r="K1819" t="str">
            <v>defsi</v>
          </cell>
        </row>
        <row r="1820">
          <cell r="B1820" t="b">
            <v>1</v>
          </cell>
          <cell r="E1820" t="str">
            <v>Punta Arena</v>
          </cell>
          <cell r="H1820" t="str">
            <v>laboratorio</v>
          </cell>
          <cell r="J1820" t="str">
            <v>bueno</v>
          </cell>
          <cell r="K1820" t="str">
            <v>defsi</v>
          </cell>
        </row>
        <row r="1821">
          <cell r="B1821" t="b">
            <v>1</v>
          </cell>
          <cell r="E1821" t="str">
            <v>Punta Arena</v>
          </cell>
          <cell r="H1821" t="str">
            <v>consulta_externa</v>
          </cell>
          <cell r="J1821" t="str">
            <v>bueno</v>
          </cell>
          <cell r="K1821" t="str">
            <v>defsi</v>
          </cell>
        </row>
        <row r="1822">
          <cell r="B1822" t="b">
            <v>1</v>
          </cell>
          <cell r="E1822" t="str">
            <v>Punta Arena</v>
          </cell>
          <cell r="H1822" t="str">
            <v>laboratorio</v>
          </cell>
          <cell r="J1822" t="str">
            <v>bueno</v>
          </cell>
          <cell r="K1822" t="str">
            <v>defsi</v>
          </cell>
        </row>
        <row r="1823">
          <cell r="B1823" t="b">
            <v>1</v>
          </cell>
          <cell r="E1823" t="str">
            <v>Candelaria</v>
          </cell>
          <cell r="H1823" t="str">
            <v>consulta_externa</v>
          </cell>
          <cell r="J1823" t="str">
            <v>bueno</v>
          </cell>
          <cell r="K1823" t="str">
            <v>probsi</v>
          </cell>
        </row>
        <row r="1824">
          <cell r="B1824" t="b">
            <v>1</v>
          </cell>
          <cell r="E1824" t="str">
            <v>Tierra Bomba</v>
          </cell>
          <cell r="H1824" t="str">
            <v>salud_oral</v>
          </cell>
          <cell r="J1824" t="str">
            <v>bueno</v>
          </cell>
          <cell r="K1824" t="str">
            <v>defsi</v>
          </cell>
        </row>
        <row r="1825">
          <cell r="B1825" t="b">
            <v>1</v>
          </cell>
          <cell r="E1825" t="str">
            <v>Tierra Bomba</v>
          </cell>
          <cell r="H1825" t="str">
            <v>laboratorio</v>
          </cell>
          <cell r="J1825" t="str">
            <v>bueno</v>
          </cell>
          <cell r="K1825" t="str">
            <v>defsi</v>
          </cell>
        </row>
        <row r="1826">
          <cell r="B1826" t="b">
            <v>1</v>
          </cell>
          <cell r="E1826" t="str">
            <v>Candelaria</v>
          </cell>
          <cell r="H1826" t="str">
            <v>consulta_externa</v>
          </cell>
          <cell r="J1826" t="str">
            <v>bueno</v>
          </cell>
          <cell r="K1826" t="str">
            <v>probsi</v>
          </cell>
        </row>
        <row r="1827">
          <cell r="B1827" t="b">
            <v>1</v>
          </cell>
          <cell r="E1827" t="str">
            <v>Candelaria</v>
          </cell>
          <cell r="H1827" t="str">
            <v>salud_oral</v>
          </cell>
          <cell r="J1827" t="str">
            <v>bueno</v>
          </cell>
          <cell r="K1827" t="str">
            <v>probsi</v>
          </cell>
        </row>
        <row r="1828">
          <cell r="B1828" t="b">
            <v>1</v>
          </cell>
          <cell r="E1828" t="str">
            <v>Candelaria</v>
          </cell>
          <cell r="H1828" t="str">
            <v>laboratorio</v>
          </cell>
          <cell r="J1828" t="str">
            <v>bueno</v>
          </cell>
          <cell r="K1828" t="str">
            <v>probsi</v>
          </cell>
        </row>
        <row r="1829">
          <cell r="B1829" t="b">
            <v>1</v>
          </cell>
          <cell r="E1829" t="str">
            <v>Candelaria</v>
          </cell>
          <cell r="H1829" t="str">
            <v>laboratorio</v>
          </cell>
          <cell r="J1829" t="str">
            <v>bueno</v>
          </cell>
          <cell r="K1829" t="str">
            <v>probsi</v>
          </cell>
        </row>
        <row r="1830">
          <cell r="B1830" t="b">
            <v>1</v>
          </cell>
          <cell r="E1830" t="str">
            <v>Candelaria</v>
          </cell>
          <cell r="H1830" t="str">
            <v>laboratorio</v>
          </cell>
          <cell r="J1830" t="str">
            <v>bueno</v>
          </cell>
          <cell r="K1830" t="str">
            <v>probsi</v>
          </cell>
        </row>
        <row r="1831">
          <cell r="B1831" t="b">
            <v>1</v>
          </cell>
          <cell r="E1831" t="str">
            <v>Candelaria</v>
          </cell>
          <cell r="H1831" t="str">
            <v>laboratorio</v>
          </cell>
          <cell r="J1831" t="str">
            <v>bueno</v>
          </cell>
          <cell r="K1831" t="str">
            <v>probsi</v>
          </cell>
        </row>
        <row r="1832">
          <cell r="B1832" t="b">
            <v>1</v>
          </cell>
          <cell r="E1832" t="str">
            <v>Candelaria</v>
          </cell>
          <cell r="H1832" t="str">
            <v>consulta_externa</v>
          </cell>
          <cell r="J1832" t="str">
            <v>bueno</v>
          </cell>
          <cell r="K1832" t="str">
            <v>probsi</v>
          </cell>
        </row>
        <row r="1833">
          <cell r="B1833" t="b">
            <v>1</v>
          </cell>
          <cell r="E1833" t="str">
            <v>Candelaria</v>
          </cell>
          <cell r="H1833" t="str">
            <v>salud_oral</v>
          </cell>
          <cell r="J1833" t="str">
            <v>bueno</v>
          </cell>
          <cell r="K1833" t="str">
            <v>probsi</v>
          </cell>
        </row>
        <row r="1834">
          <cell r="B1834" t="b">
            <v>1</v>
          </cell>
          <cell r="E1834" t="str">
            <v>Tierra Bomba</v>
          </cell>
          <cell r="H1834" t="str">
            <v>consulta_externa</v>
          </cell>
          <cell r="J1834" t="str">
            <v>bueno</v>
          </cell>
          <cell r="K1834" t="str">
            <v>defsi</v>
          </cell>
        </row>
        <row r="1835">
          <cell r="B1835" t="b">
            <v>1</v>
          </cell>
          <cell r="E1835" t="str">
            <v>Candelaria</v>
          </cell>
          <cell r="H1835" t="str">
            <v>medicina_interna</v>
          </cell>
          <cell r="J1835" t="str">
            <v>bueno</v>
          </cell>
          <cell r="K1835" t="str">
            <v>probsi</v>
          </cell>
        </row>
        <row r="1836">
          <cell r="B1836" t="b">
            <v>1</v>
          </cell>
          <cell r="E1836" t="str">
            <v>Candelaria</v>
          </cell>
          <cell r="H1836" t="str">
            <v>medicina_interna</v>
          </cell>
          <cell r="J1836" t="str">
            <v>bueno</v>
          </cell>
          <cell r="K1836" t="str">
            <v>probsi</v>
          </cell>
        </row>
        <row r="1837">
          <cell r="B1837" t="b">
            <v>1</v>
          </cell>
          <cell r="E1837" t="str">
            <v>Candelaria</v>
          </cell>
          <cell r="H1837" t="str">
            <v>medicina_interna</v>
          </cell>
          <cell r="J1837" t="str">
            <v>bueno</v>
          </cell>
          <cell r="K1837" t="str">
            <v>probsi</v>
          </cell>
        </row>
        <row r="1838">
          <cell r="B1838" t="b">
            <v>1</v>
          </cell>
          <cell r="E1838" t="str">
            <v>Candelaria</v>
          </cell>
          <cell r="H1838" t="str">
            <v>medicina_interna</v>
          </cell>
          <cell r="J1838" t="str">
            <v>bueno</v>
          </cell>
          <cell r="K1838" t="str">
            <v>probsi</v>
          </cell>
        </row>
        <row r="1839">
          <cell r="B1839" t="b">
            <v>1</v>
          </cell>
          <cell r="E1839" t="str">
            <v>Candelaria</v>
          </cell>
          <cell r="H1839" t="str">
            <v>medicina_interna</v>
          </cell>
          <cell r="J1839" t="str">
            <v>bueno</v>
          </cell>
          <cell r="K1839" t="str">
            <v>probsi</v>
          </cell>
        </row>
        <row r="1840">
          <cell r="B1840" t="b">
            <v>1</v>
          </cell>
          <cell r="E1840" t="str">
            <v>Candelaria</v>
          </cell>
          <cell r="H1840" t="str">
            <v>medicina_interna</v>
          </cell>
          <cell r="J1840" t="str">
            <v>bueno</v>
          </cell>
          <cell r="K1840" t="str">
            <v>probsi</v>
          </cell>
        </row>
        <row r="1841">
          <cell r="B1841" t="b">
            <v>1</v>
          </cell>
          <cell r="E1841" t="str">
            <v>Tierra Bomba</v>
          </cell>
          <cell r="H1841" t="str">
            <v>salud_oral</v>
          </cell>
          <cell r="J1841" t="str">
            <v>bueno</v>
          </cell>
          <cell r="K1841" t="str">
            <v>defsi</v>
          </cell>
        </row>
        <row r="1842">
          <cell r="B1842" t="b">
            <v>1</v>
          </cell>
          <cell r="E1842" t="str">
            <v>Tierra Bomba</v>
          </cell>
          <cell r="H1842" t="str">
            <v>laboratorio</v>
          </cell>
          <cell r="J1842" t="str">
            <v>bueno</v>
          </cell>
          <cell r="K1842" t="str">
            <v>defsi</v>
          </cell>
        </row>
        <row r="1843">
          <cell r="B1843" t="b">
            <v>1</v>
          </cell>
          <cell r="E1843" t="str">
            <v>Tierra Bomba</v>
          </cell>
          <cell r="H1843" t="str">
            <v>consulta_externa</v>
          </cell>
          <cell r="J1843" t="str">
            <v>bueno</v>
          </cell>
          <cell r="K1843" t="str">
            <v>defsi</v>
          </cell>
        </row>
        <row r="1844">
          <cell r="B1844" t="b">
            <v>1</v>
          </cell>
          <cell r="E1844" t="str">
            <v>Tierra Bomba</v>
          </cell>
          <cell r="H1844" t="str">
            <v>salud_oral</v>
          </cell>
          <cell r="J1844" t="str">
            <v>bueno</v>
          </cell>
          <cell r="K1844" t="str">
            <v>defsi</v>
          </cell>
        </row>
        <row r="1845">
          <cell r="B1845" t="b">
            <v>1</v>
          </cell>
          <cell r="E1845" t="str">
            <v>Tierra Bomba</v>
          </cell>
          <cell r="H1845" t="str">
            <v>laboratorio</v>
          </cell>
          <cell r="J1845" t="str">
            <v>bueno</v>
          </cell>
          <cell r="K1845" t="str">
            <v>defsi</v>
          </cell>
        </row>
        <row r="1846">
          <cell r="B1846" t="b">
            <v>1</v>
          </cell>
          <cell r="E1846" t="str">
            <v>Tierra Bomba</v>
          </cell>
          <cell r="H1846" t="str">
            <v>consulta_externa</v>
          </cell>
          <cell r="J1846" t="str">
            <v>bueno</v>
          </cell>
          <cell r="K1846" t="str">
            <v>defsi</v>
          </cell>
        </row>
        <row r="1847">
          <cell r="B1847" t="b">
            <v>1</v>
          </cell>
          <cell r="E1847" t="str">
            <v>Tierra Bomba</v>
          </cell>
          <cell r="H1847" t="str">
            <v>salud_oral</v>
          </cell>
          <cell r="J1847" t="str">
            <v>bueno</v>
          </cell>
          <cell r="K1847" t="str">
            <v>defsi</v>
          </cell>
        </row>
        <row r="1848">
          <cell r="B1848" t="b">
            <v>1</v>
          </cell>
          <cell r="E1848" t="str">
            <v>Tierra Bomba</v>
          </cell>
          <cell r="H1848" t="str">
            <v>laboratorio</v>
          </cell>
          <cell r="J1848" t="str">
            <v>bueno</v>
          </cell>
          <cell r="K1848" t="str">
            <v>defsi</v>
          </cell>
        </row>
        <row r="1849">
          <cell r="B1849" t="b">
            <v>1</v>
          </cell>
          <cell r="E1849" t="str">
            <v>Tierra Bomba</v>
          </cell>
          <cell r="H1849" t="str">
            <v>consulta_externa</v>
          </cell>
          <cell r="J1849" t="str">
            <v>bueno</v>
          </cell>
          <cell r="K1849" t="str">
            <v>defsi</v>
          </cell>
        </row>
        <row r="1850">
          <cell r="B1850" t="b">
            <v>1</v>
          </cell>
          <cell r="E1850" t="str">
            <v>Tierra Bomba</v>
          </cell>
          <cell r="H1850" t="str">
            <v>salud_oral</v>
          </cell>
          <cell r="J1850" t="str">
            <v>bueno</v>
          </cell>
          <cell r="K1850" t="str">
            <v>defsi</v>
          </cell>
        </row>
        <row r="1851">
          <cell r="B1851" t="b">
            <v>1</v>
          </cell>
          <cell r="E1851" t="str">
            <v>Tierra Bomba</v>
          </cell>
          <cell r="H1851" t="str">
            <v>laboratorio</v>
          </cell>
          <cell r="J1851" t="str">
            <v>bueno</v>
          </cell>
          <cell r="K1851" t="str">
            <v>defsi</v>
          </cell>
        </row>
        <row r="1852">
          <cell r="B1852" t="b">
            <v>0</v>
          </cell>
          <cell r="E1852" t="str">
            <v>Candelaria</v>
          </cell>
          <cell r="H1852" t="str">
            <v>salud_oral</v>
          </cell>
          <cell r="J1852" t="str">
            <v>regular</v>
          </cell>
          <cell r="K1852" t="str">
            <v>probsi</v>
          </cell>
        </row>
        <row r="1853">
          <cell r="B1853" t="b">
            <v>0</v>
          </cell>
          <cell r="E1853" t="str">
            <v>Candelaria</v>
          </cell>
          <cell r="H1853" t="str">
            <v>salud_oral</v>
          </cell>
          <cell r="J1853" t="str">
            <v>regular</v>
          </cell>
          <cell r="K1853" t="str">
            <v>probsi</v>
          </cell>
        </row>
        <row r="1854">
          <cell r="B1854" t="b">
            <v>1</v>
          </cell>
          <cell r="E1854" t="str">
            <v>Candelaria</v>
          </cell>
          <cell r="H1854" t="str">
            <v>salud_oral</v>
          </cell>
          <cell r="J1854" t="str">
            <v>bueno</v>
          </cell>
          <cell r="K1854" t="str">
            <v>probsi</v>
          </cell>
        </row>
        <row r="1855">
          <cell r="B1855" t="b">
            <v>1</v>
          </cell>
          <cell r="E1855" t="str">
            <v>Candelaria</v>
          </cell>
          <cell r="H1855" t="str">
            <v>salud_oral</v>
          </cell>
          <cell r="J1855" t="str">
            <v>bueno</v>
          </cell>
          <cell r="K1855" t="str">
            <v>probsi</v>
          </cell>
        </row>
        <row r="1856">
          <cell r="B1856" t="b">
            <v>1</v>
          </cell>
          <cell r="E1856" t="str">
            <v>Tierra Bomba</v>
          </cell>
          <cell r="H1856" t="str">
            <v>consulta_externa</v>
          </cell>
          <cell r="J1856" t="str">
            <v>bueno</v>
          </cell>
          <cell r="K1856" t="str">
            <v>defsi</v>
          </cell>
        </row>
        <row r="1857">
          <cell r="B1857" t="b">
            <v>1</v>
          </cell>
          <cell r="E1857" t="str">
            <v>Tierra Bomba</v>
          </cell>
          <cell r="H1857" t="str">
            <v>salud_oral</v>
          </cell>
          <cell r="J1857" t="str">
            <v>bueno</v>
          </cell>
          <cell r="K1857" t="str">
            <v>defsi</v>
          </cell>
        </row>
        <row r="1858">
          <cell r="B1858" t="b">
            <v>1</v>
          </cell>
          <cell r="E1858" t="str">
            <v>Tierra Bomba</v>
          </cell>
          <cell r="H1858" t="str">
            <v>laboratorio</v>
          </cell>
          <cell r="J1858" t="str">
            <v>bueno</v>
          </cell>
          <cell r="K1858" t="str">
            <v>defsi</v>
          </cell>
        </row>
        <row r="1859">
          <cell r="B1859" t="b">
            <v>1</v>
          </cell>
          <cell r="E1859" t="str">
            <v>Tierra Bomba</v>
          </cell>
          <cell r="H1859" t="str">
            <v>consulta_externa</v>
          </cell>
          <cell r="J1859" t="str">
            <v>bueno</v>
          </cell>
          <cell r="K1859" t="str">
            <v>defsi</v>
          </cell>
        </row>
        <row r="1860">
          <cell r="B1860" t="b">
            <v>1</v>
          </cell>
          <cell r="E1860" t="str">
            <v>Tierra Bomba</v>
          </cell>
          <cell r="H1860" t="str">
            <v>salud_oral</v>
          </cell>
          <cell r="J1860" t="str">
            <v>bueno</v>
          </cell>
          <cell r="K1860" t="str">
            <v>defsi</v>
          </cell>
        </row>
        <row r="1861">
          <cell r="B1861" t="b">
            <v>1</v>
          </cell>
          <cell r="E1861" t="str">
            <v>Tierra Bomba</v>
          </cell>
          <cell r="H1861" t="str">
            <v>laboratorio</v>
          </cell>
          <cell r="J1861" t="str">
            <v>bueno</v>
          </cell>
          <cell r="K1861" t="str">
            <v>defsi</v>
          </cell>
        </row>
        <row r="1862">
          <cell r="B1862" t="b">
            <v>1</v>
          </cell>
          <cell r="E1862" t="str">
            <v>Tierra Bomba</v>
          </cell>
          <cell r="H1862" t="str">
            <v>consulta_externa</v>
          </cell>
          <cell r="J1862" t="str">
            <v>bueno</v>
          </cell>
          <cell r="K1862" t="str">
            <v>defsi</v>
          </cell>
        </row>
        <row r="1863">
          <cell r="B1863" t="b">
            <v>1</v>
          </cell>
          <cell r="E1863" t="str">
            <v>Tierra Bomba</v>
          </cell>
          <cell r="H1863" t="str">
            <v>salud_oral</v>
          </cell>
          <cell r="J1863" t="str">
            <v>bueno</v>
          </cell>
          <cell r="K1863" t="str">
            <v>defsi</v>
          </cell>
        </row>
        <row r="1864">
          <cell r="B1864" t="b">
            <v>1</v>
          </cell>
          <cell r="E1864" t="str">
            <v>Tierra Bomba</v>
          </cell>
          <cell r="H1864" t="str">
            <v>laboratorio</v>
          </cell>
          <cell r="J1864" t="str">
            <v>bueno</v>
          </cell>
          <cell r="K1864" t="str">
            <v>defsi</v>
          </cell>
        </row>
        <row r="1865">
          <cell r="B1865" t="b">
            <v>1</v>
          </cell>
          <cell r="E1865" t="str">
            <v>Tierra Bomba</v>
          </cell>
          <cell r="H1865" t="str">
            <v>consulta_externa</v>
          </cell>
          <cell r="J1865" t="str">
            <v>bueno</v>
          </cell>
          <cell r="K1865" t="str">
            <v>defsi</v>
          </cell>
        </row>
        <row r="1866">
          <cell r="B1866" t="b">
            <v>1</v>
          </cell>
          <cell r="E1866" t="str">
            <v>Tierra Bomba</v>
          </cell>
          <cell r="H1866" t="str">
            <v>salud_oral</v>
          </cell>
          <cell r="J1866" t="str">
            <v>bueno</v>
          </cell>
          <cell r="K1866" t="str">
            <v>defsi</v>
          </cell>
        </row>
        <row r="1867">
          <cell r="B1867" t="b">
            <v>1</v>
          </cell>
          <cell r="E1867" t="str">
            <v>Tierra Bomba</v>
          </cell>
          <cell r="H1867" t="str">
            <v>laboratorio</v>
          </cell>
          <cell r="J1867" t="str">
            <v>bueno</v>
          </cell>
          <cell r="K1867" t="str">
            <v>defsi</v>
          </cell>
        </row>
        <row r="1868">
          <cell r="B1868" t="b">
            <v>1</v>
          </cell>
          <cell r="E1868" t="str">
            <v>Tierra Bomba</v>
          </cell>
          <cell r="H1868" t="str">
            <v>consulta_externa</v>
          </cell>
          <cell r="J1868" t="str">
            <v>bueno</v>
          </cell>
          <cell r="K1868" t="str">
            <v>defsi</v>
          </cell>
        </row>
        <row r="1869">
          <cell r="B1869" t="b">
            <v>1</v>
          </cell>
          <cell r="E1869" t="str">
            <v>Tierra Bomba</v>
          </cell>
          <cell r="H1869" t="str">
            <v>salud_oral</v>
          </cell>
          <cell r="J1869" t="str">
            <v>bueno</v>
          </cell>
          <cell r="K1869" t="str">
            <v>defsi</v>
          </cell>
        </row>
        <row r="1870">
          <cell r="B1870" t="b">
            <v>1</v>
          </cell>
          <cell r="E1870" t="str">
            <v>Tierra Bomba</v>
          </cell>
          <cell r="H1870" t="str">
            <v>laboratorio</v>
          </cell>
          <cell r="J1870" t="str">
            <v>bueno</v>
          </cell>
          <cell r="K1870" t="str">
            <v>defsi</v>
          </cell>
        </row>
        <row r="1871">
          <cell r="B1871" t="b">
            <v>1</v>
          </cell>
          <cell r="E1871" t="str">
            <v>Santa Ana</v>
          </cell>
          <cell r="H1871" t="str">
            <v>consulta_externa</v>
          </cell>
          <cell r="J1871" t="str">
            <v>bueno</v>
          </cell>
          <cell r="K1871" t="str">
            <v>defsi</v>
          </cell>
        </row>
        <row r="1872">
          <cell r="B1872" t="b">
            <v>1</v>
          </cell>
          <cell r="E1872" t="str">
            <v>Santa Ana</v>
          </cell>
          <cell r="H1872" t="str">
            <v>salud_oral</v>
          </cell>
          <cell r="J1872" t="str">
            <v>bueno</v>
          </cell>
          <cell r="K1872" t="str">
            <v>defsi</v>
          </cell>
        </row>
        <row r="1873">
          <cell r="B1873" t="b">
            <v>1</v>
          </cell>
          <cell r="E1873" t="str">
            <v>Santa Ana</v>
          </cell>
          <cell r="H1873" t="str">
            <v>laboratorio</v>
          </cell>
          <cell r="J1873" t="str">
            <v>bueno</v>
          </cell>
          <cell r="K1873" t="str">
            <v>defsi</v>
          </cell>
        </row>
        <row r="1874">
          <cell r="B1874" t="b">
            <v>1</v>
          </cell>
          <cell r="E1874" t="str">
            <v>Bayunca</v>
          </cell>
          <cell r="H1874" t="str">
            <v>consulta_externa</v>
          </cell>
          <cell r="J1874" t="str">
            <v>bueno</v>
          </cell>
          <cell r="K1874" t="str">
            <v>probsi</v>
          </cell>
        </row>
        <row r="1875">
          <cell r="B1875" t="b">
            <v>1</v>
          </cell>
          <cell r="E1875" t="str">
            <v>Bayunca</v>
          </cell>
          <cell r="H1875" t="str">
            <v>laboratorio</v>
          </cell>
          <cell r="J1875" t="str">
            <v>bueno</v>
          </cell>
          <cell r="K1875" t="str">
            <v>probsi</v>
          </cell>
        </row>
        <row r="1876">
          <cell r="B1876" t="b">
            <v>1</v>
          </cell>
          <cell r="E1876" t="str">
            <v>Bayunca</v>
          </cell>
          <cell r="H1876" t="str">
            <v>laboratorio</v>
          </cell>
          <cell r="J1876" t="str">
            <v>bueno</v>
          </cell>
          <cell r="K1876" t="str">
            <v>probsi</v>
          </cell>
        </row>
        <row r="1877">
          <cell r="B1877" t="b">
            <v>1</v>
          </cell>
          <cell r="E1877" t="str">
            <v>Bayunca</v>
          </cell>
          <cell r="H1877" t="str">
            <v>laboratorio</v>
          </cell>
          <cell r="J1877" t="str">
            <v>bueno</v>
          </cell>
          <cell r="K1877" t="str">
            <v>probsi</v>
          </cell>
        </row>
        <row r="1878">
          <cell r="B1878" t="b">
            <v>1</v>
          </cell>
          <cell r="E1878" t="str">
            <v>Bayunca</v>
          </cell>
          <cell r="H1878" t="str">
            <v>consulta_externa</v>
          </cell>
          <cell r="J1878" t="str">
            <v>bueno</v>
          </cell>
          <cell r="K1878" t="str">
            <v>probsi</v>
          </cell>
        </row>
        <row r="1879">
          <cell r="B1879" t="b">
            <v>1</v>
          </cell>
          <cell r="E1879" t="str">
            <v>Bayunca</v>
          </cell>
          <cell r="H1879" t="str">
            <v>consulta_externa</v>
          </cell>
          <cell r="J1879" t="str">
            <v>bueno</v>
          </cell>
          <cell r="K1879" t="str">
            <v>probsi</v>
          </cell>
        </row>
        <row r="1880">
          <cell r="B1880" t="b">
            <v>1</v>
          </cell>
          <cell r="E1880" t="str">
            <v>Bayunca</v>
          </cell>
          <cell r="H1880" t="str">
            <v>consulta_externa</v>
          </cell>
          <cell r="J1880" t="str">
            <v>bueno</v>
          </cell>
          <cell r="K1880" t="str">
            <v>probsi</v>
          </cell>
        </row>
        <row r="1881">
          <cell r="B1881" t="b">
            <v>1</v>
          </cell>
          <cell r="E1881" t="str">
            <v>Bayunca</v>
          </cell>
          <cell r="H1881" t="str">
            <v>salud_oral</v>
          </cell>
          <cell r="J1881" t="str">
            <v>bueno</v>
          </cell>
          <cell r="K1881" t="str">
            <v>probsi</v>
          </cell>
        </row>
        <row r="1882">
          <cell r="B1882" t="b">
            <v>1</v>
          </cell>
          <cell r="E1882" t="str">
            <v>Bayunca</v>
          </cell>
          <cell r="H1882" t="str">
            <v>consulta_externa</v>
          </cell>
          <cell r="J1882" t="str">
            <v>bueno</v>
          </cell>
          <cell r="K1882" t="str">
            <v>probsi</v>
          </cell>
        </row>
        <row r="1883">
          <cell r="B1883" t="b">
            <v>1</v>
          </cell>
          <cell r="E1883" t="str">
            <v>Bayunca</v>
          </cell>
          <cell r="H1883" t="str">
            <v>laboratorio</v>
          </cell>
          <cell r="J1883" t="str">
            <v>bueno</v>
          </cell>
          <cell r="K1883" t="str">
            <v>probsi</v>
          </cell>
        </row>
        <row r="1884">
          <cell r="B1884" t="b">
            <v>1</v>
          </cell>
          <cell r="E1884" t="str">
            <v>Bayunca</v>
          </cell>
          <cell r="H1884" t="str">
            <v>urgencia</v>
          </cell>
          <cell r="J1884" t="str">
            <v>bueno</v>
          </cell>
          <cell r="K1884" t="str">
            <v>probsi</v>
          </cell>
        </row>
        <row r="1885">
          <cell r="B1885" t="b">
            <v>1</v>
          </cell>
          <cell r="E1885" t="str">
            <v>Bayunca</v>
          </cell>
          <cell r="H1885" t="str">
            <v>consulta_externa</v>
          </cell>
          <cell r="J1885" t="str">
            <v>bueno</v>
          </cell>
          <cell r="K1885" t="str">
            <v>probsi</v>
          </cell>
        </row>
        <row r="1886">
          <cell r="B1886" t="b">
            <v>1</v>
          </cell>
          <cell r="E1886" t="str">
            <v>Bayunca</v>
          </cell>
          <cell r="H1886" t="str">
            <v>salud_oral</v>
          </cell>
          <cell r="J1886" t="str">
            <v>bueno</v>
          </cell>
          <cell r="K1886" t="str">
            <v>probsi</v>
          </cell>
        </row>
        <row r="1887">
          <cell r="B1887" t="b">
            <v>1</v>
          </cell>
          <cell r="E1887" t="str">
            <v>Bayunca</v>
          </cell>
          <cell r="H1887" t="str">
            <v>laboratorio</v>
          </cell>
          <cell r="J1887" t="str">
            <v>bueno</v>
          </cell>
          <cell r="K1887" t="str">
            <v>probsi</v>
          </cell>
        </row>
        <row r="1888">
          <cell r="B1888" t="b">
            <v>1</v>
          </cell>
          <cell r="E1888" t="str">
            <v>Bayunca</v>
          </cell>
          <cell r="H1888" t="str">
            <v>consulta_externa</v>
          </cell>
          <cell r="J1888" t="str">
            <v>bueno</v>
          </cell>
          <cell r="K1888" t="str">
            <v>probsi</v>
          </cell>
        </row>
        <row r="1889">
          <cell r="B1889" t="b">
            <v>1</v>
          </cell>
          <cell r="E1889" t="str">
            <v>Bayunca</v>
          </cell>
          <cell r="H1889" t="str">
            <v>salud_oral</v>
          </cell>
          <cell r="J1889" t="str">
            <v>bueno</v>
          </cell>
          <cell r="K1889" t="str">
            <v>probsi</v>
          </cell>
        </row>
        <row r="1890">
          <cell r="B1890" t="b">
            <v>1</v>
          </cell>
          <cell r="E1890" t="str">
            <v>Bayunca</v>
          </cell>
          <cell r="H1890" t="str">
            <v>laboratorio</v>
          </cell>
          <cell r="J1890" t="str">
            <v>bueno</v>
          </cell>
          <cell r="K1890" t="str">
            <v>probsi</v>
          </cell>
        </row>
        <row r="1891">
          <cell r="B1891" t="b">
            <v>1</v>
          </cell>
          <cell r="E1891" t="str">
            <v>Bayunca</v>
          </cell>
          <cell r="H1891" t="str">
            <v>laboratorio</v>
          </cell>
          <cell r="J1891" t="str">
            <v>bueno</v>
          </cell>
          <cell r="K1891" t="str">
            <v>probsi</v>
          </cell>
        </row>
        <row r="1892">
          <cell r="B1892" t="b">
            <v>1</v>
          </cell>
          <cell r="E1892" t="str">
            <v>Bayunca</v>
          </cell>
          <cell r="H1892" t="str">
            <v>urgencia</v>
          </cell>
          <cell r="J1892" t="str">
            <v>bueno</v>
          </cell>
          <cell r="K1892" t="str">
            <v>probsi</v>
          </cell>
        </row>
        <row r="1893">
          <cell r="B1893" t="b">
            <v>1</v>
          </cell>
          <cell r="E1893" t="str">
            <v>Bayunca</v>
          </cell>
          <cell r="H1893" t="str">
            <v>consulta_externa</v>
          </cell>
          <cell r="J1893" t="str">
            <v>bueno</v>
          </cell>
          <cell r="K1893" t="str">
            <v>probsi</v>
          </cell>
        </row>
        <row r="1894">
          <cell r="B1894" t="b">
            <v>1</v>
          </cell>
          <cell r="E1894" t="str">
            <v>Bayunca</v>
          </cell>
          <cell r="H1894" t="str">
            <v>urgencia</v>
          </cell>
          <cell r="J1894" t="str">
            <v>bueno</v>
          </cell>
          <cell r="K1894" t="str">
            <v>probsi</v>
          </cell>
        </row>
        <row r="1895">
          <cell r="B1895" t="b">
            <v>1</v>
          </cell>
          <cell r="E1895" t="str">
            <v>Bayunca</v>
          </cell>
          <cell r="H1895" t="str">
            <v>laboratorio</v>
          </cell>
          <cell r="J1895" t="str">
            <v>bueno</v>
          </cell>
          <cell r="K1895" t="str">
            <v>probsi</v>
          </cell>
        </row>
        <row r="1896">
          <cell r="B1896" t="b">
            <v>0</v>
          </cell>
          <cell r="E1896" t="str">
            <v>Bayunca</v>
          </cell>
          <cell r="H1896" t="str">
            <v>consulta_externa</v>
          </cell>
          <cell r="J1896" t="str">
            <v>regular</v>
          </cell>
          <cell r="K1896" t="str">
            <v>probsi</v>
          </cell>
        </row>
        <row r="1897">
          <cell r="B1897" t="b">
            <v>0</v>
          </cell>
          <cell r="E1897" t="str">
            <v>Bayunca</v>
          </cell>
          <cell r="H1897" t="str">
            <v>urgencia</v>
          </cell>
          <cell r="J1897" t="str">
            <v>regular</v>
          </cell>
          <cell r="K1897" t="str">
            <v>probsi</v>
          </cell>
        </row>
        <row r="1898">
          <cell r="B1898" t="b">
            <v>1</v>
          </cell>
          <cell r="E1898" t="str">
            <v>Bayunca</v>
          </cell>
          <cell r="H1898" t="str">
            <v>consulta_externa</v>
          </cell>
          <cell r="J1898" t="str">
            <v>bueno</v>
          </cell>
          <cell r="K1898" t="str">
            <v>probsi</v>
          </cell>
        </row>
        <row r="1899">
          <cell r="B1899" t="b">
            <v>1</v>
          </cell>
          <cell r="E1899" t="str">
            <v>Bayunca</v>
          </cell>
          <cell r="H1899" t="str">
            <v>consulta_externa</v>
          </cell>
          <cell r="J1899" t="str">
            <v>bueno</v>
          </cell>
          <cell r="K1899" t="str">
            <v>probsi</v>
          </cell>
        </row>
        <row r="1900">
          <cell r="B1900" t="b">
            <v>1</v>
          </cell>
          <cell r="E1900" t="str">
            <v>Bayunca</v>
          </cell>
          <cell r="H1900" t="str">
            <v>laboratorio</v>
          </cell>
          <cell r="J1900" t="str">
            <v>bueno</v>
          </cell>
          <cell r="K1900" t="str">
            <v>probsi</v>
          </cell>
        </row>
        <row r="1901">
          <cell r="B1901" t="b">
            <v>0</v>
          </cell>
          <cell r="E1901" t="str">
            <v>Bayunca</v>
          </cell>
          <cell r="H1901" t="str">
            <v>urgencia</v>
          </cell>
          <cell r="J1901" t="str">
            <v>malo</v>
          </cell>
          <cell r="K1901" t="str">
            <v>probno</v>
          </cell>
        </row>
        <row r="1902">
          <cell r="B1902" t="b">
            <v>1</v>
          </cell>
          <cell r="E1902" t="str">
            <v>Bayunca</v>
          </cell>
          <cell r="H1902" t="str">
            <v>consulta_externa</v>
          </cell>
          <cell r="J1902" t="str">
            <v>bueno</v>
          </cell>
          <cell r="K1902" t="str">
            <v>probsi</v>
          </cell>
        </row>
        <row r="1903">
          <cell r="B1903" t="b">
            <v>0</v>
          </cell>
          <cell r="E1903" t="str">
            <v>Bayunca</v>
          </cell>
          <cell r="H1903" t="str">
            <v>urgencia</v>
          </cell>
          <cell r="J1903" t="str">
            <v>malo</v>
          </cell>
          <cell r="K1903" t="str">
            <v>probno</v>
          </cell>
        </row>
        <row r="1904">
          <cell r="B1904" t="b">
            <v>1</v>
          </cell>
          <cell r="E1904" t="str">
            <v>Bayunca</v>
          </cell>
          <cell r="H1904" t="str">
            <v>salud_oral</v>
          </cell>
          <cell r="J1904" t="str">
            <v>bueno</v>
          </cell>
          <cell r="K1904" t="str">
            <v>probsi</v>
          </cell>
        </row>
        <row r="1905">
          <cell r="B1905" t="b">
            <v>1</v>
          </cell>
          <cell r="E1905" t="str">
            <v>Bayunca</v>
          </cell>
          <cell r="H1905" t="str">
            <v>consulta_externa</v>
          </cell>
          <cell r="J1905" t="str">
            <v>bueno</v>
          </cell>
          <cell r="K1905" t="str">
            <v>probsi</v>
          </cell>
        </row>
        <row r="1906">
          <cell r="B1906" t="b">
            <v>1</v>
          </cell>
          <cell r="E1906" t="str">
            <v>Bayunca</v>
          </cell>
          <cell r="H1906" t="str">
            <v>salud_oral</v>
          </cell>
          <cell r="J1906" t="str">
            <v>bueno</v>
          </cell>
          <cell r="K1906" t="str">
            <v>probsi</v>
          </cell>
        </row>
        <row r="1907">
          <cell r="B1907" t="b">
            <v>1</v>
          </cell>
          <cell r="E1907" t="str">
            <v>Bayunca</v>
          </cell>
          <cell r="H1907" t="str">
            <v>consulta_externa</v>
          </cell>
          <cell r="J1907" t="str">
            <v>bueno</v>
          </cell>
          <cell r="K1907" t="str">
            <v>probsi</v>
          </cell>
        </row>
        <row r="1908">
          <cell r="B1908" t="b">
            <v>1</v>
          </cell>
          <cell r="E1908" t="str">
            <v>San Pedro y Libertad</v>
          </cell>
          <cell r="H1908" t="str">
            <v>consulta_externa</v>
          </cell>
          <cell r="J1908" t="str">
            <v>bueno</v>
          </cell>
          <cell r="K1908" t="str">
            <v>probsi</v>
          </cell>
        </row>
        <row r="1909">
          <cell r="B1909" t="b">
            <v>1</v>
          </cell>
          <cell r="E1909" t="str">
            <v>San Pedro y Libertad</v>
          </cell>
          <cell r="H1909" t="str">
            <v>consulta_externa</v>
          </cell>
          <cell r="J1909" t="str">
            <v>bueno</v>
          </cell>
          <cell r="K1909" t="str">
            <v>probsi</v>
          </cell>
        </row>
        <row r="1910">
          <cell r="B1910" t="b">
            <v>1</v>
          </cell>
          <cell r="E1910" t="str">
            <v>San Pedro y Libertad</v>
          </cell>
          <cell r="H1910" t="str">
            <v>consulta_externa</v>
          </cell>
          <cell r="J1910" t="str">
            <v>bueno</v>
          </cell>
          <cell r="K1910" t="str">
            <v>probsi</v>
          </cell>
        </row>
        <row r="1911">
          <cell r="B1911" t="b">
            <v>1</v>
          </cell>
          <cell r="E1911" t="str">
            <v>San Pedro y Libertad</v>
          </cell>
          <cell r="H1911" t="str">
            <v>laboratorio</v>
          </cell>
          <cell r="J1911" t="str">
            <v>bueno</v>
          </cell>
          <cell r="K1911" t="str">
            <v>probsi</v>
          </cell>
        </row>
        <row r="1912">
          <cell r="B1912" t="b">
            <v>1</v>
          </cell>
          <cell r="E1912" t="str">
            <v>San Pedro y Libertad</v>
          </cell>
          <cell r="H1912" t="str">
            <v>laboratorio</v>
          </cell>
          <cell r="J1912" t="str">
            <v>bueno</v>
          </cell>
          <cell r="K1912" t="str">
            <v>probsi</v>
          </cell>
        </row>
        <row r="1913">
          <cell r="B1913" t="b">
            <v>1</v>
          </cell>
          <cell r="E1913" t="str">
            <v>Bayunca</v>
          </cell>
          <cell r="H1913" t="str">
            <v>consulta_externa</v>
          </cell>
          <cell r="J1913" t="str">
            <v>bueno</v>
          </cell>
          <cell r="K1913" t="str">
            <v>probsi</v>
          </cell>
        </row>
        <row r="1914">
          <cell r="B1914" t="b">
            <v>1</v>
          </cell>
          <cell r="E1914" t="str">
            <v>San Pedro y Libertad</v>
          </cell>
          <cell r="H1914" t="str">
            <v>laboratorio</v>
          </cell>
          <cell r="J1914" t="str">
            <v>bueno</v>
          </cell>
          <cell r="K1914" t="str">
            <v>probsi</v>
          </cell>
        </row>
        <row r="1915">
          <cell r="B1915" t="b">
            <v>1</v>
          </cell>
          <cell r="E1915" t="str">
            <v>San Pedro y Libertad</v>
          </cell>
          <cell r="H1915" t="str">
            <v>consulta_externa</v>
          </cell>
          <cell r="J1915" t="str">
            <v>bueno</v>
          </cell>
          <cell r="K1915" t="str">
            <v>probsi</v>
          </cell>
        </row>
        <row r="1916">
          <cell r="B1916" t="b">
            <v>1</v>
          </cell>
          <cell r="E1916" t="str">
            <v>San Pedro y Libertad</v>
          </cell>
          <cell r="H1916" t="str">
            <v>consulta_externa</v>
          </cell>
          <cell r="J1916" t="str">
            <v>bueno</v>
          </cell>
          <cell r="K1916" t="str">
            <v>probsi</v>
          </cell>
        </row>
        <row r="1917">
          <cell r="B1917" t="b">
            <v>1</v>
          </cell>
          <cell r="E1917" t="str">
            <v>San Pedro y Libertad</v>
          </cell>
          <cell r="H1917" t="str">
            <v>consulta_externa</v>
          </cell>
          <cell r="J1917" t="str">
            <v>bueno</v>
          </cell>
          <cell r="K1917" t="str">
            <v>probsi</v>
          </cell>
        </row>
        <row r="1918">
          <cell r="B1918" t="b">
            <v>1</v>
          </cell>
          <cell r="E1918" t="str">
            <v>San Pedro y Libertad</v>
          </cell>
          <cell r="H1918" t="str">
            <v>consulta_externa</v>
          </cell>
          <cell r="J1918" t="str">
            <v>bueno</v>
          </cell>
          <cell r="K1918" t="str">
            <v>probsi</v>
          </cell>
        </row>
        <row r="1919">
          <cell r="B1919" t="b">
            <v>1</v>
          </cell>
          <cell r="E1919" t="str">
            <v>San Pedro y Libertad</v>
          </cell>
          <cell r="H1919" t="str">
            <v>consulta_externa</v>
          </cell>
          <cell r="J1919" t="str">
            <v>bueno</v>
          </cell>
          <cell r="K1919" t="str">
            <v>probsi</v>
          </cell>
        </row>
        <row r="1920">
          <cell r="B1920" t="b">
            <v>1</v>
          </cell>
          <cell r="E1920" t="str">
            <v>San Pedro y Libertad</v>
          </cell>
          <cell r="H1920" t="str">
            <v>consulta_externa</v>
          </cell>
          <cell r="J1920" t="str">
            <v>bueno</v>
          </cell>
          <cell r="K1920" t="str">
            <v>probsi</v>
          </cell>
        </row>
        <row r="1921">
          <cell r="B1921" t="b">
            <v>1</v>
          </cell>
          <cell r="E1921" t="str">
            <v>San Pedro y Libertad</v>
          </cell>
          <cell r="H1921" t="str">
            <v>consulta_externa</v>
          </cell>
          <cell r="J1921" t="str">
            <v>bueno</v>
          </cell>
          <cell r="K1921" t="str">
            <v>probsi</v>
          </cell>
        </row>
        <row r="1922">
          <cell r="B1922" t="b">
            <v>1</v>
          </cell>
          <cell r="E1922" t="str">
            <v>San Pedro y Libertad</v>
          </cell>
          <cell r="H1922" t="str">
            <v>consulta_externa</v>
          </cell>
          <cell r="J1922" t="str">
            <v>bueno</v>
          </cell>
          <cell r="K1922" t="str">
            <v>probsi</v>
          </cell>
        </row>
        <row r="1923">
          <cell r="B1923" t="b">
            <v>1</v>
          </cell>
          <cell r="E1923" t="str">
            <v>San Pedro y Libertad</v>
          </cell>
          <cell r="H1923" t="str">
            <v>salud_oral</v>
          </cell>
          <cell r="J1923" t="str">
            <v>bueno</v>
          </cell>
          <cell r="K1923" t="str">
            <v>probsi</v>
          </cell>
        </row>
        <row r="1924">
          <cell r="B1924" t="b">
            <v>1</v>
          </cell>
          <cell r="E1924" t="str">
            <v>San Pedro y Libertad</v>
          </cell>
          <cell r="H1924" t="str">
            <v>salud_oral</v>
          </cell>
          <cell r="J1924" t="str">
            <v>bueno</v>
          </cell>
          <cell r="K1924" t="str">
            <v>probsi</v>
          </cell>
        </row>
        <row r="1925">
          <cell r="B1925" t="b">
            <v>1</v>
          </cell>
          <cell r="E1925" t="str">
            <v>San Pedro y Libertad</v>
          </cell>
          <cell r="H1925" t="str">
            <v>salud_oral</v>
          </cell>
          <cell r="J1925" t="str">
            <v>bueno</v>
          </cell>
          <cell r="K1925" t="str">
            <v>probsi</v>
          </cell>
        </row>
        <row r="1926">
          <cell r="B1926" t="b">
            <v>1</v>
          </cell>
          <cell r="E1926" t="str">
            <v>Bayunca</v>
          </cell>
          <cell r="H1926" t="str">
            <v>salud_oral</v>
          </cell>
          <cell r="J1926" t="str">
            <v>bueno</v>
          </cell>
          <cell r="K1926" t="str">
            <v>probsi</v>
          </cell>
        </row>
        <row r="1927">
          <cell r="B1927" t="b">
            <v>1</v>
          </cell>
          <cell r="E1927" t="str">
            <v>Bayunca</v>
          </cell>
          <cell r="H1927" t="str">
            <v>salud_oral</v>
          </cell>
          <cell r="J1927" t="str">
            <v>bueno</v>
          </cell>
          <cell r="K1927" t="str">
            <v>probsi</v>
          </cell>
        </row>
        <row r="1928">
          <cell r="B1928" t="b">
            <v>1</v>
          </cell>
          <cell r="E1928" t="str">
            <v>Bayunca</v>
          </cell>
          <cell r="H1928" t="str">
            <v>pediatria</v>
          </cell>
          <cell r="J1928" t="str">
            <v>bueno</v>
          </cell>
          <cell r="K1928" t="str">
            <v>probsi</v>
          </cell>
        </row>
        <row r="1929">
          <cell r="B1929" t="b">
            <v>1</v>
          </cell>
          <cell r="E1929" t="str">
            <v>Bayunca</v>
          </cell>
          <cell r="H1929" t="str">
            <v>pediatria</v>
          </cell>
          <cell r="J1929" t="str">
            <v>bueno</v>
          </cell>
          <cell r="K1929" t="str">
            <v>probsi</v>
          </cell>
        </row>
        <row r="1930">
          <cell r="B1930" t="b">
            <v>1</v>
          </cell>
          <cell r="E1930" t="str">
            <v>Bayunca</v>
          </cell>
          <cell r="H1930" t="str">
            <v>pediatria</v>
          </cell>
          <cell r="J1930" t="str">
            <v>bueno</v>
          </cell>
          <cell r="K1930" t="str">
            <v>probsi</v>
          </cell>
        </row>
        <row r="1931">
          <cell r="B1931" t="b">
            <v>1</v>
          </cell>
          <cell r="E1931" t="str">
            <v>Bayunca</v>
          </cell>
          <cell r="H1931" t="str">
            <v>pediatria</v>
          </cell>
          <cell r="J1931" t="str">
            <v>bueno</v>
          </cell>
          <cell r="K1931" t="str">
            <v>probsi</v>
          </cell>
        </row>
        <row r="1932">
          <cell r="B1932" t="b">
            <v>1</v>
          </cell>
          <cell r="E1932" t="str">
            <v>Bayunca</v>
          </cell>
          <cell r="H1932" t="str">
            <v>urgencia</v>
          </cell>
          <cell r="J1932" t="str">
            <v>bueno</v>
          </cell>
          <cell r="K1932" t="str">
            <v>probsi</v>
          </cell>
        </row>
        <row r="1933">
          <cell r="B1933" t="b">
            <v>1</v>
          </cell>
          <cell r="E1933" t="str">
            <v>San Pedro y Libertad</v>
          </cell>
          <cell r="H1933" t="str">
            <v>salud_oral</v>
          </cell>
          <cell r="J1933" t="str">
            <v>bueno</v>
          </cell>
          <cell r="K1933" t="str">
            <v>probsi</v>
          </cell>
        </row>
        <row r="1934">
          <cell r="B1934" t="b">
            <v>1</v>
          </cell>
          <cell r="E1934" t="str">
            <v>San Pedro y Libertad</v>
          </cell>
          <cell r="H1934" t="str">
            <v>salud_oral</v>
          </cell>
          <cell r="J1934" t="str">
            <v>bueno</v>
          </cell>
          <cell r="K1934" t="str">
            <v>probsi</v>
          </cell>
        </row>
        <row r="1935">
          <cell r="B1935" t="b">
            <v>1</v>
          </cell>
          <cell r="E1935" t="str">
            <v>San Pedro y Libertad</v>
          </cell>
          <cell r="H1935" t="str">
            <v>salud_oral</v>
          </cell>
          <cell r="J1935" t="str">
            <v>bueno</v>
          </cell>
          <cell r="K1935" t="str">
            <v>probsi</v>
          </cell>
        </row>
        <row r="1936">
          <cell r="B1936" t="b">
            <v>1</v>
          </cell>
          <cell r="E1936" t="str">
            <v>San Pedro y Libertad</v>
          </cell>
          <cell r="H1936" t="str">
            <v>consulta_externa</v>
          </cell>
          <cell r="J1936" t="str">
            <v>bueno</v>
          </cell>
          <cell r="K1936" t="str">
            <v>probsi</v>
          </cell>
        </row>
        <row r="1937">
          <cell r="B1937" t="b">
            <v>1</v>
          </cell>
          <cell r="E1937" t="str">
            <v>San Pedro y Libertad</v>
          </cell>
          <cell r="H1937" t="str">
            <v>consulta_externa</v>
          </cell>
          <cell r="J1937" t="str">
            <v>bueno</v>
          </cell>
          <cell r="K1937" t="str">
            <v>probsi</v>
          </cell>
        </row>
        <row r="1938">
          <cell r="B1938" t="b">
            <v>1</v>
          </cell>
          <cell r="E1938" t="str">
            <v>San Pedro y Libertad</v>
          </cell>
          <cell r="H1938" t="str">
            <v>consulta_externa</v>
          </cell>
          <cell r="J1938" t="str">
            <v>bueno</v>
          </cell>
          <cell r="K1938" t="str">
            <v>probsi</v>
          </cell>
        </row>
        <row r="1939">
          <cell r="B1939" t="b">
            <v>1</v>
          </cell>
          <cell r="E1939" t="str">
            <v>San Pedro y Libertad</v>
          </cell>
          <cell r="H1939" t="str">
            <v>consulta_externa</v>
          </cell>
          <cell r="J1939" t="str">
            <v>bueno</v>
          </cell>
          <cell r="K1939" t="str">
            <v>probsi</v>
          </cell>
        </row>
        <row r="1940">
          <cell r="B1940" t="b">
            <v>1</v>
          </cell>
          <cell r="E1940" t="str">
            <v>San Pedro y Libertad</v>
          </cell>
          <cell r="H1940" t="str">
            <v>laboratorio</v>
          </cell>
          <cell r="J1940" t="str">
            <v>bueno</v>
          </cell>
          <cell r="K1940" t="str">
            <v>probsi</v>
          </cell>
        </row>
        <row r="1941">
          <cell r="B1941" t="b">
            <v>1</v>
          </cell>
          <cell r="E1941" t="str">
            <v>San Pedro y Libertad</v>
          </cell>
          <cell r="H1941" t="str">
            <v>laboratorio</v>
          </cell>
          <cell r="J1941" t="str">
            <v>bueno</v>
          </cell>
          <cell r="K1941" t="str">
            <v>probsi</v>
          </cell>
        </row>
        <row r="1942">
          <cell r="B1942" t="b">
            <v>1</v>
          </cell>
          <cell r="E1942" t="str">
            <v>San Pedro y Libertad</v>
          </cell>
          <cell r="H1942" t="str">
            <v>laboratorio</v>
          </cell>
          <cell r="J1942" t="str">
            <v>bueno</v>
          </cell>
          <cell r="K1942" t="str">
            <v>probsi</v>
          </cell>
        </row>
        <row r="1943">
          <cell r="B1943" t="b">
            <v>1</v>
          </cell>
          <cell r="E1943" t="str">
            <v>San Pedro y Libertad</v>
          </cell>
          <cell r="H1943" t="str">
            <v>laboratorio</v>
          </cell>
          <cell r="J1943" t="str">
            <v>bueno</v>
          </cell>
          <cell r="K1943" t="str">
            <v>probsi</v>
          </cell>
        </row>
        <row r="1944">
          <cell r="B1944" t="b">
            <v>1</v>
          </cell>
          <cell r="E1944" t="str">
            <v>San Pedro y Libertad</v>
          </cell>
          <cell r="H1944" t="str">
            <v>laboratorio</v>
          </cell>
          <cell r="J1944" t="str">
            <v>bueno</v>
          </cell>
          <cell r="K1944" t="str">
            <v>probsi</v>
          </cell>
        </row>
        <row r="1945">
          <cell r="B1945" t="b">
            <v>1</v>
          </cell>
          <cell r="E1945" t="str">
            <v>San Pedro y Libertad</v>
          </cell>
          <cell r="H1945" t="str">
            <v>laboratorio</v>
          </cell>
          <cell r="J1945" t="str">
            <v>bueno</v>
          </cell>
          <cell r="K1945" t="str">
            <v>probsi</v>
          </cell>
        </row>
        <row r="1946">
          <cell r="B1946" t="b">
            <v>1</v>
          </cell>
          <cell r="E1946" t="str">
            <v>San Pedro y Libertad</v>
          </cell>
          <cell r="H1946" t="str">
            <v>laboratorio</v>
          </cell>
          <cell r="J1946" t="str">
            <v>bueno</v>
          </cell>
          <cell r="K1946" t="str">
            <v>probsi</v>
          </cell>
        </row>
        <row r="1947">
          <cell r="B1947" t="b">
            <v>1</v>
          </cell>
          <cell r="E1947" t="str">
            <v>San Pedro y Libertad</v>
          </cell>
          <cell r="H1947" t="str">
            <v>laboratorio</v>
          </cell>
          <cell r="J1947" t="str">
            <v>bueno</v>
          </cell>
          <cell r="K1947" t="str">
            <v>probsi</v>
          </cell>
        </row>
        <row r="1948">
          <cell r="B1948" t="b">
            <v>1</v>
          </cell>
          <cell r="E1948" t="str">
            <v>San Pedro y Libertad</v>
          </cell>
          <cell r="H1948" t="str">
            <v>laboratorio</v>
          </cell>
          <cell r="J1948" t="str">
            <v>bueno</v>
          </cell>
          <cell r="K1948" t="str">
            <v>probsi</v>
          </cell>
        </row>
        <row r="1949">
          <cell r="B1949" t="b">
            <v>1</v>
          </cell>
          <cell r="E1949" t="str">
            <v>San Pedro y Libertad</v>
          </cell>
          <cell r="H1949" t="str">
            <v>laboratorio</v>
          </cell>
          <cell r="J1949" t="str">
            <v>bueno</v>
          </cell>
          <cell r="K1949" t="str">
            <v>probsi</v>
          </cell>
        </row>
        <row r="1950">
          <cell r="B1950" t="b">
            <v>1</v>
          </cell>
          <cell r="E1950" t="str">
            <v>San Pedro y Libertad</v>
          </cell>
          <cell r="H1950" t="str">
            <v>laboratorio</v>
          </cell>
          <cell r="J1950" t="str">
            <v>bueno</v>
          </cell>
          <cell r="K1950" t="str">
            <v>probsi</v>
          </cell>
        </row>
        <row r="1951">
          <cell r="B1951" t="b">
            <v>1</v>
          </cell>
          <cell r="E1951" t="str">
            <v>San Pedro y Libertad</v>
          </cell>
          <cell r="H1951" t="str">
            <v>laboratorio</v>
          </cell>
          <cell r="J1951" t="str">
            <v>bueno</v>
          </cell>
          <cell r="K1951" t="str">
            <v>probsi</v>
          </cell>
        </row>
        <row r="1952">
          <cell r="B1952" t="b">
            <v>1</v>
          </cell>
          <cell r="E1952" t="str">
            <v>San Pedro y Libertad</v>
          </cell>
          <cell r="H1952" t="str">
            <v>laboratorio</v>
          </cell>
          <cell r="J1952" t="str">
            <v>bueno</v>
          </cell>
          <cell r="K1952" t="str">
            <v>probsi</v>
          </cell>
        </row>
        <row r="1953">
          <cell r="B1953" t="b">
            <v>1</v>
          </cell>
          <cell r="E1953" t="str">
            <v>San Pedro y Libertad</v>
          </cell>
          <cell r="H1953" t="str">
            <v>consulta_externa</v>
          </cell>
          <cell r="J1953" t="str">
            <v>bueno</v>
          </cell>
          <cell r="K1953" t="str">
            <v>probsi</v>
          </cell>
        </row>
        <row r="1954">
          <cell r="B1954" t="b">
            <v>1</v>
          </cell>
          <cell r="E1954" t="str">
            <v>San Pedro y Libertad</v>
          </cell>
          <cell r="H1954" t="str">
            <v>laboratorio</v>
          </cell>
          <cell r="J1954" t="str">
            <v>bueno</v>
          </cell>
          <cell r="K1954" t="str">
            <v>probsi</v>
          </cell>
        </row>
        <row r="1955">
          <cell r="B1955" t="b">
            <v>1</v>
          </cell>
          <cell r="E1955" t="str">
            <v>San Pedro y Libertad</v>
          </cell>
          <cell r="H1955" t="str">
            <v>laboratorio</v>
          </cell>
          <cell r="J1955" t="str">
            <v>bueno</v>
          </cell>
          <cell r="K1955" t="str">
            <v>probsi</v>
          </cell>
        </row>
        <row r="1956">
          <cell r="B1956" t="b">
            <v>1</v>
          </cell>
          <cell r="E1956" t="str">
            <v>Los Cerros</v>
          </cell>
          <cell r="H1956" t="str">
            <v>consulta_externa</v>
          </cell>
          <cell r="J1956" t="str">
            <v>bueno</v>
          </cell>
          <cell r="K1956" t="str">
            <v>defsi</v>
          </cell>
        </row>
        <row r="1957">
          <cell r="B1957" t="b">
            <v>1</v>
          </cell>
          <cell r="E1957" t="str">
            <v>Los Cerros</v>
          </cell>
          <cell r="H1957" t="str">
            <v>salud_oral</v>
          </cell>
          <cell r="J1957" t="str">
            <v>bueno</v>
          </cell>
          <cell r="K1957" t="str">
            <v>defsi</v>
          </cell>
        </row>
        <row r="1958">
          <cell r="B1958" t="b">
            <v>1</v>
          </cell>
          <cell r="E1958" t="str">
            <v>Los Cerros</v>
          </cell>
          <cell r="H1958" t="str">
            <v>laboratorio</v>
          </cell>
          <cell r="J1958" t="str">
            <v>bueno</v>
          </cell>
          <cell r="K1958" t="str">
            <v>defsi</v>
          </cell>
        </row>
        <row r="1959">
          <cell r="B1959" t="b">
            <v>1</v>
          </cell>
          <cell r="E1959" t="str">
            <v>Los Cerros</v>
          </cell>
          <cell r="H1959" t="str">
            <v>ecografias</v>
          </cell>
          <cell r="J1959" t="str">
            <v>bueno</v>
          </cell>
          <cell r="K1959" t="str">
            <v>defsi</v>
          </cell>
        </row>
        <row r="1960">
          <cell r="B1960" t="b">
            <v>1</v>
          </cell>
          <cell r="E1960" t="str">
            <v>Bayunca</v>
          </cell>
          <cell r="H1960" t="str">
            <v>salud_oral</v>
          </cell>
          <cell r="J1960" t="str">
            <v>bueno</v>
          </cell>
          <cell r="K1960" t="str">
            <v>probsi</v>
          </cell>
        </row>
        <row r="1961">
          <cell r="B1961" t="b">
            <v>1</v>
          </cell>
          <cell r="E1961" t="str">
            <v>Bayunca</v>
          </cell>
          <cell r="H1961" t="str">
            <v>pediatria</v>
          </cell>
          <cell r="J1961" t="str">
            <v>bueno</v>
          </cell>
          <cell r="K1961" t="str">
            <v>probsi</v>
          </cell>
        </row>
        <row r="1962">
          <cell r="B1962" t="b">
            <v>1</v>
          </cell>
          <cell r="E1962" t="str">
            <v>Bayunca</v>
          </cell>
          <cell r="H1962" t="str">
            <v>pediatria</v>
          </cell>
          <cell r="J1962" t="str">
            <v>bueno</v>
          </cell>
          <cell r="K1962" t="str">
            <v>probsi</v>
          </cell>
        </row>
        <row r="1963">
          <cell r="B1963" t="b">
            <v>1</v>
          </cell>
          <cell r="E1963" t="str">
            <v>Bayunca</v>
          </cell>
          <cell r="H1963" t="str">
            <v>pediatria</v>
          </cell>
          <cell r="J1963" t="str">
            <v>bueno</v>
          </cell>
          <cell r="K1963" t="str">
            <v>probsi</v>
          </cell>
        </row>
        <row r="1964">
          <cell r="B1964" t="b">
            <v>1</v>
          </cell>
          <cell r="E1964" t="str">
            <v>Bayunca</v>
          </cell>
          <cell r="H1964" t="str">
            <v>pediatria</v>
          </cell>
          <cell r="J1964" t="str">
            <v>bueno</v>
          </cell>
          <cell r="K1964" t="str">
            <v>probsi</v>
          </cell>
        </row>
        <row r="1965">
          <cell r="B1965" t="b">
            <v>1</v>
          </cell>
          <cell r="E1965" t="str">
            <v>Bayunca</v>
          </cell>
          <cell r="H1965" t="str">
            <v>pediatria</v>
          </cell>
          <cell r="J1965" t="str">
            <v>bueno</v>
          </cell>
          <cell r="K1965" t="str">
            <v>probsi</v>
          </cell>
        </row>
        <row r="1966">
          <cell r="B1966" t="b">
            <v>1</v>
          </cell>
          <cell r="E1966" t="str">
            <v>Los Cerros</v>
          </cell>
          <cell r="H1966" t="str">
            <v>ginecologia</v>
          </cell>
          <cell r="J1966" t="str">
            <v>bueno</v>
          </cell>
          <cell r="K1966" t="str">
            <v>defsi</v>
          </cell>
        </row>
        <row r="1967">
          <cell r="B1967" t="b">
            <v>1</v>
          </cell>
          <cell r="E1967" t="str">
            <v>Los Cerros</v>
          </cell>
          <cell r="H1967" t="str">
            <v>pediatria</v>
          </cell>
          <cell r="J1967" t="str">
            <v>bueno</v>
          </cell>
          <cell r="K1967" t="str">
            <v>defsi</v>
          </cell>
        </row>
        <row r="1968">
          <cell r="B1968" t="b">
            <v>1</v>
          </cell>
          <cell r="E1968" t="str">
            <v>Los Cerros</v>
          </cell>
          <cell r="H1968" t="str">
            <v>medicina_interna</v>
          </cell>
          <cell r="J1968" t="str">
            <v>bueno</v>
          </cell>
          <cell r="K1968" t="str">
            <v>defsi</v>
          </cell>
        </row>
        <row r="1969">
          <cell r="B1969" t="b">
            <v>1</v>
          </cell>
          <cell r="E1969" t="str">
            <v>Los Cerros</v>
          </cell>
          <cell r="H1969" t="str">
            <v>consulta_externa</v>
          </cell>
          <cell r="J1969" t="str">
            <v>bueno</v>
          </cell>
          <cell r="K1969" t="str">
            <v>defsi</v>
          </cell>
        </row>
        <row r="1970">
          <cell r="B1970" t="b">
            <v>1</v>
          </cell>
          <cell r="E1970" t="str">
            <v>Los Cerros</v>
          </cell>
          <cell r="H1970" t="str">
            <v>salud_oral</v>
          </cell>
          <cell r="J1970" t="str">
            <v>bueno</v>
          </cell>
          <cell r="K1970" t="str">
            <v>defsi</v>
          </cell>
        </row>
        <row r="1971">
          <cell r="B1971" t="b">
            <v>1</v>
          </cell>
          <cell r="E1971" t="str">
            <v>Los Cerros</v>
          </cell>
          <cell r="H1971" t="str">
            <v>laboratorio</v>
          </cell>
          <cell r="J1971" t="str">
            <v>bueno</v>
          </cell>
          <cell r="K1971" t="str">
            <v>defsi</v>
          </cell>
        </row>
        <row r="1972">
          <cell r="B1972" t="b">
            <v>1</v>
          </cell>
          <cell r="E1972" t="str">
            <v>Los Cerros</v>
          </cell>
          <cell r="H1972" t="str">
            <v>ecografias</v>
          </cell>
          <cell r="J1972" t="str">
            <v>bueno</v>
          </cell>
          <cell r="K1972" t="str">
            <v>defsi</v>
          </cell>
        </row>
        <row r="1973">
          <cell r="B1973" t="b">
            <v>1</v>
          </cell>
          <cell r="E1973" t="str">
            <v>Los Cerros</v>
          </cell>
          <cell r="H1973" t="str">
            <v>ginecologia</v>
          </cell>
          <cell r="J1973" t="str">
            <v>bueno</v>
          </cell>
          <cell r="K1973" t="str">
            <v>defsi</v>
          </cell>
        </row>
        <row r="1974">
          <cell r="B1974" t="b">
            <v>1</v>
          </cell>
          <cell r="E1974" t="str">
            <v>Los Cerros</v>
          </cell>
          <cell r="H1974" t="str">
            <v>pediatria</v>
          </cell>
          <cell r="J1974" t="str">
            <v>bueno</v>
          </cell>
          <cell r="K1974" t="str">
            <v>defsi</v>
          </cell>
        </row>
        <row r="1975">
          <cell r="B1975" t="b">
            <v>1</v>
          </cell>
          <cell r="E1975" t="str">
            <v>Los Cerros</v>
          </cell>
          <cell r="H1975" t="str">
            <v>medicina_interna</v>
          </cell>
          <cell r="J1975" t="str">
            <v>bueno</v>
          </cell>
          <cell r="K1975" t="str">
            <v>defsi</v>
          </cell>
        </row>
        <row r="1976">
          <cell r="B1976" t="b">
            <v>1</v>
          </cell>
          <cell r="E1976" t="str">
            <v>Bayunca</v>
          </cell>
          <cell r="H1976" t="str">
            <v>salud_oral</v>
          </cell>
          <cell r="J1976" t="str">
            <v>bueno</v>
          </cell>
          <cell r="K1976" t="str">
            <v>probsi</v>
          </cell>
        </row>
        <row r="1977">
          <cell r="B1977" t="b">
            <v>1</v>
          </cell>
          <cell r="E1977" t="str">
            <v>Bayunca</v>
          </cell>
          <cell r="H1977" t="str">
            <v>salud_oral</v>
          </cell>
          <cell r="J1977" t="str">
            <v>bueno</v>
          </cell>
          <cell r="K1977" t="str">
            <v>probsi</v>
          </cell>
        </row>
        <row r="1978">
          <cell r="B1978" t="b">
            <v>1</v>
          </cell>
          <cell r="E1978" t="str">
            <v>Bayunca</v>
          </cell>
          <cell r="H1978" t="str">
            <v>salud_oral</v>
          </cell>
          <cell r="J1978" t="str">
            <v>bueno</v>
          </cell>
          <cell r="K1978" t="str">
            <v>probsi</v>
          </cell>
        </row>
        <row r="1979">
          <cell r="B1979" t="b">
            <v>1</v>
          </cell>
          <cell r="E1979" t="str">
            <v>Los Cerros</v>
          </cell>
          <cell r="H1979" t="str">
            <v>consulta_externa</v>
          </cell>
          <cell r="J1979" t="str">
            <v>bueno</v>
          </cell>
          <cell r="K1979" t="str">
            <v>defsi</v>
          </cell>
        </row>
        <row r="1980">
          <cell r="B1980" t="b">
            <v>1</v>
          </cell>
          <cell r="E1980" t="str">
            <v>Los Cerros</v>
          </cell>
          <cell r="H1980" t="str">
            <v>salud_oral</v>
          </cell>
          <cell r="J1980" t="str">
            <v>bueno</v>
          </cell>
          <cell r="K1980" t="str">
            <v>defsi</v>
          </cell>
        </row>
        <row r="1981">
          <cell r="B1981" t="b">
            <v>1</v>
          </cell>
          <cell r="E1981" t="str">
            <v>Los Cerros</v>
          </cell>
          <cell r="H1981" t="str">
            <v>laboratorio</v>
          </cell>
          <cell r="J1981" t="str">
            <v>bueno</v>
          </cell>
          <cell r="K1981" t="str">
            <v>defsi</v>
          </cell>
        </row>
        <row r="1982">
          <cell r="B1982" t="b">
            <v>1</v>
          </cell>
          <cell r="E1982" t="str">
            <v>Los Cerros</v>
          </cell>
          <cell r="H1982" t="str">
            <v>ecografias</v>
          </cell>
          <cell r="J1982" t="str">
            <v>bueno</v>
          </cell>
          <cell r="K1982" t="str">
            <v>defsi</v>
          </cell>
        </row>
        <row r="1983">
          <cell r="B1983" t="b">
            <v>1</v>
          </cell>
          <cell r="E1983" t="str">
            <v>Los Cerros</v>
          </cell>
          <cell r="H1983" t="str">
            <v>ginecologia</v>
          </cell>
          <cell r="J1983" t="str">
            <v>bueno</v>
          </cell>
          <cell r="K1983" t="str">
            <v>defsi</v>
          </cell>
        </row>
        <row r="1984">
          <cell r="B1984" t="b">
            <v>1</v>
          </cell>
          <cell r="E1984" t="str">
            <v>Los Cerros</v>
          </cell>
          <cell r="H1984" t="str">
            <v>pediatria</v>
          </cell>
          <cell r="J1984" t="str">
            <v>bueno</v>
          </cell>
          <cell r="K1984" t="str">
            <v>defsi</v>
          </cell>
        </row>
        <row r="1985">
          <cell r="B1985" t="b">
            <v>1</v>
          </cell>
          <cell r="E1985" t="str">
            <v>Los Cerros</v>
          </cell>
          <cell r="H1985" t="str">
            <v>medicina_interna</v>
          </cell>
          <cell r="J1985" t="str">
            <v>bueno</v>
          </cell>
          <cell r="K1985" t="str">
            <v>defsi</v>
          </cell>
        </row>
        <row r="1986">
          <cell r="B1986" t="b">
            <v>1</v>
          </cell>
          <cell r="E1986" t="str">
            <v>Pontezuela</v>
          </cell>
          <cell r="H1986" t="str">
            <v>consulta_externa</v>
          </cell>
          <cell r="J1986" t="str">
            <v>bueno</v>
          </cell>
          <cell r="K1986" t="str">
            <v>probsi</v>
          </cell>
        </row>
        <row r="1987">
          <cell r="B1987" t="b">
            <v>1</v>
          </cell>
          <cell r="E1987" t="str">
            <v>Pontezuela</v>
          </cell>
          <cell r="H1987" t="str">
            <v>salud_oral</v>
          </cell>
          <cell r="J1987" t="str">
            <v>bueno</v>
          </cell>
          <cell r="K1987" t="str">
            <v>probsi</v>
          </cell>
        </row>
        <row r="1988">
          <cell r="B1988" t="b">
            <v>1</v>
          </cell>
          <cell r="E1988" t="str">
            <v>Pontezuela</v>
          </cell>
          <cell r="H1988" t="str">
            <v>consulta_externa</v>
          </cell>
          <cell r="J1988" t="str">
            <v>bueno</v>
          </cell>
          <cell r="K1988" t="str">
            <v>probsi</v>
          </cell>
        </row>
        <row r="1989">
          <cell r="B1989" t="b">
            <v>1</v>
          </cell>
          <cell r="E1989" t="str">
            <v>Pontezuela</v>
          </cell>
          <cell r="H1989" t="str">
            <v>consulta_externa</v>
          </cell>
          <cell r="J1989" t="str">
            <v>bueno</v>
          </cell>
          <cell r="K1989" t="str">
            <v>probsi</v>
          </cell>
        </row>
        <row r="1990">
          <cell r="B1990" t="b">
            <v>1</v>
          </cell>
          <cell r="E1990" t="str">
            <v>Pontezuela</v>
          </cell>
          <cell r="H1990" t="str">
            <v>consulta_externa</v>
          </cell>
          <cell r="J1990" t="str">
            <v>bueno</v>
          </cell>
          <cell r="K1990" t="str">
            <v>probsi</v>
          </cell>
        </row>
        <row r="1991">
          <cell r="B1991" t="b">
            <v>1</v>
          </cell>
          <cell r="E1991" t="str">
            <v>Pontezuela</v>
          </cell>
          <cell r="H1991" t="str">
            <v>salud_oral</v>
          </cell>
          <cell r="J1991" t="str">
            <v>bueno</v>
          </cell>
          <cell r="K1991" t="str">
            <v>probsi</v>
          </cell>
        </row>
        <row r="1992">
          <cell r="B1992" t="b">
            <v>1</v>
          </cell>
          <cell r="E1992" t="str">
            <v>Pontezuela</v>
          </cell>
          <cell r="H1992" t="str">
            <v>consulta_externa</v>
          </cell>
          <cell r="J1992" t="str">
            <v>muybueno</v>
          </cell>
          <cell r="K1992" t="str">
            <v>probsi</v>
          </cell>
        </row>
        <row r="1993">
          <cell r="B1993" t="b">
            <v>1</v>
          </cell>
          <cell r="E1993" t="str">
            <v>Pontezuela</v>
          </cell>
          <cell r="H1993" t="str">
            <v>consulta_externa</v>
          </cell>
          <cell r="J1993" t="str">
            <v>bueno</v>
          </cell>
          <cell r="K1993" t="str">
            <v>probsi</v>
          </cell>
        </row>
        <row r="1994">
          <cell r="B1994" t="b">
            <v>1</v>
          </cell>
          <cell r="E1994" t="str">
            <v>Pontezuela</v>
          </cell>
          <cell r="H1994" t="str">
            <v>consulta_externa</v>
          </cell>
          <cell r="J1994" t="str">
            <v>muybueno</v>
          </cell>
          <cell r="K1994" t="str">
            <v>probsi</v>
          </cell>
        </row>
        <row r="1995">
          <cell r="B1995" t="b">
            <v>1</v>
          </cell>
          <cell r="E1995" t="str">
            <v>Pontezuela</v>
          </cell>
          <cell r="H1995" t="str">
            <v>consulta_externa</v>
          </cell>
          <cell r="J1995" t="str">
            <v>bueno</v>
          </cell>
          <cell r="K1995" t="str">
            <v>probsi</v>
          </cell>
        </row>
        <row r="1996">
          <cell r="B1996" t="b">
            <v>1</v>
          </cell>
          <cell r="E1996" t="str">
            <v>Pontezuela</v>
          </cell>
          <cell r="H1996" t="str">
            <v>consulta_externa</v>
          </cell>
          <cell r="J1996" t="str">
            <v>bueno</v>
          </cell>
          <cell r="K1996" t="str">
            <v>probsi</v>
          </cell>
        </row>
        <row r="1997">
          <cell r="B1997" t="b">
            <v>1</v>
          </cell>
          <cell r="E1997" t="str">
            <v>Los Cerros</v>
          </cell>
          <cell r="H1997" t="str">
            <v>consulta_externa</v>
          </cell>
          <cell r="J1997" t="str">
            <v>bueno</v>
          </cell>
          <cell r="K1997" t="str">
            <v>defsi</v>
          </cell>
        </row>
        <row r="1998">
          <cell r="B1998" t="b">
            <v>1</v>
          </cell>
          <cell r="E1998" t="str">
            <v>Los Cerros</v>
          </cell>
          <cell r="H1998" t="str">
            <v>salud_oral</v>
          </cell>
          <cell r="J1998" t="str">
            <v>bueno</v>
          </cell>
          <cell r="K1998" t="str">
            <v>defsi</v>
          </cell>
        </row>
        <row r="1999">
          <cell r="B1999" t="b">
            <v>1</v>
          </cell>
          <cell r="E1999" t="str">
            <v>Los Cerros</v>
          </cell>
          <cell r="H1999" t="str">
            <v>laboratorio</v>
          </cell>
          <cell r="J1999" t="str">
            <v>bueno</v>
          </cell>
          <cell r="K1999" t="str">
            <v>defsi</v>
          </cell>
        </row>
        <row r="2000">
          <cell r="B2000" t="b">
            <v>1</v>
          </cell>
          <cell r="E2000" t="str">
            <v>Los Cerros</v>
          </cell>
          <cell r="H2000" t="str">
            <v>ecografias</v>
          </cell>
          <cell r="J2000" t="str">
            <v>bueno</v>
          </cell>
          <cell r="K2000" t="str">
            <v>defsi</v>
          </cell>
        </row>
        <row r="2001">
          <cell r="B2001" t="b">
            <v>1</v>
          </cell>
          <cell r="E2001" t="str">
            <v>Los Cerros</v>
          </cell>
          <cell r="H2001" t="str">
            <v>ginecologia</v>
          </cell>
          <cell r="J2001" t="str">
            <v>bueno</v>
          </cell>
          <cell r="K2001" t="str">
            <v>defsi</v>
          </cell>
        </row>
        <row r="2002">
          <cell r="B2002" t="b">
            <v>1</v>
          </cell>
          <cell r="E2002" t="str">
            <v>Los Cerros</v>
          </cell>
          <cell r="H2002" t="str">
            <v>pediatria</v>
          </cell>
          <cell r="J2002" t="str">
            <v>bueno</v>
          </cell>
          <cell r="K2002" t="str">
            <v>defsi</v>
          </cell>
        </row>
        <row r="2003">
          <cell r="B2003" t="b">
            <v>1</v>
          </cell>
          <cell r="E2003" t="str">
            <v>Los Cerros</v>
          </cell>
          <cell r="H2003" t="str">
            <v>medicina_interna</v>
          </cell>
          <cell r="J2003" t="str">
            <v>bueno</v>
          </cell>
          <cell r="K2003" t="str">
            <v>defsi</v>
          </cell>
        </row>
        <row r="2004">
          <cell r="B2004" t="b">
            <v>1</v>
          </cell>
          <cell r="E2004" t="str">
            <v>Pontezuela</v>
          </cell>
          <cell r="H2004" t="str">
            <v>consulta_externa</v>
          </cell>
          <cell r="J2004" t="str">
            <v>bueno</v>
          </cell>
          <cell r="K2004" t="str">
            <v>probsi</v>
          </cell>
        </row>
        <row r="2005">
          <cell r="B2005" t="b">
            <v>1</v>
          </cell>
          <cell r="E2005" t="str">
            <v>Pontezuela</v>
          </cell>
          <cell r="H2005" t="str">
            <v>consulta_externa</v>
          </cell>
          <cell r="J2005" t="str">
            <v>bueno</v>
          </cell>
          <cell r="K2005" t="str">
            <v>probsi</v>
          </cell>
        </row>
        <row r="2006">
          <cell r="B2006" t="b">
            <v>1</v>
          </cell>
          <cell r="E2006" t="str">
            <v>Los Cerros</v>
          </cell>
          <cell r="H2006" t="str">
            <v>consulta_externa</v>
          </cell>
          <cell r="J2006" t="str">
            <v>bueno</v>
          </cell>
          <cell r="K2006" t="str">
            <v>defsi</v>
          </cell>
        </row>
        <row r="2007">
          <cell r="B2007" t="b">
            <v>1</v>
          </cell>
          <cell r="E2007" t="str">
            <v>Pontezuela</v>
          </cell>
          <cell r="H2007" t="str">
            <v>salud_oral</v>
          </cell>
          <cell r="J2007" t="str">
            <v>bueno</v>
          </cell>
          <cell r="K2007" t="str">
            <v>probsi</v>
          </cell>
        </row>
        <row r="2008">
          <cell r="B2008" t="b">
            <v>1</v>
          </cell>
          <cell r="E2008" t="str">
            <v>Pontezuela</v>
          </cell>
          <cell r="H2008" t="str">
            <v>consulta_externa</v>
          </cell>
          <cell r="J2008" t="str">
            <v>bueno</v>
          </cell>
          <cell r="K2008" t="str">
            <v>probsi</v>
          </cell>
        </row>
        <row r="2009">
          <cell r="B2009" t="b">
            <v>1</v>
          </cell>
          <cell r="E2009" t="str">
            <v>Los Cerros</v>
          </cell>
          <cell r="H2009" t="str">
            <v>salud_oral</v>
          </cell>
          <cell r="J2009" t="str">
            <v>bueno</v>
          </cell>
          <cell r="K2009" t="str">
            <v>defsi</v>
          </cell>
        </row>
        <row r="2010">
          <cell r="B2010" t="b">
            <v>1</v>
          </cell>
          <cell r="E2010" t="str">
            <v>Los Cerros</v>
          </cell>
          <cell r="H2010" t="str">
            <v>laboratorio</v>
          </cell>
          <cell r="J2010" t="str">
            <v>bueno</v>
          </cell>
          <cell r="K2010" t="str">
            <v>defsi</v>
          </cell>
        </row>
        <row r="2011">
          <cell r="B2011" t="b">
            <v>1</v>
          </cell>
          <cell r="E2011" t="str">
            <v>Los Cerros</v>
          </cell>
          <cell r="H2011" t="str">
            <v>ecografias</v>
          </cell>
          <cell r="J2011" t="str">
            <v>bueno</v>
          </cell>
          <cell r="K2011" t="str">
            <v>defsi</v>
          </cell>
        </row>
        <row r="2012">
          <cell r="B2012" t="b">
            <v>1</v>
          </cell>
          <cell r="E2012" t="str">
            <v>Los Cerros</v>
          </cell>
          <cell r="H2012" t="str">
            <v>ginecologia</v>
          </cell>
          <cell r="J2012" t="str">
            <v>bueno</v>
          </cell>
          <cell r="K2012" t="str">
            <v>defsi</v>
          </cell>
        </row>
        <row r="2013">
          <cell r="B2013" t="b">
            <v>1</v>
          </cell>
          <cell r="E2013" t="str">
            <v>Los Cerros</v>
          </cell>
          <cell r="H2013" t="str">
            <v>pediatria</v>
          </cell>
          <cell r="J2013" t="str">
            <v>bueno</v>
          </cell>
          <cell r="K2013" t="str">
            <v>defsi</v>
          </cell>
        </row>
        <row r="2014">
          <cell r="B2014" t="b">
            <v>1</v>
          </cell>
          <cell r="E2014" t="str">
            <v>Los Cerros</v>
          </cell>
          <cell r="H2014" t="str">
            <v>medicina_interna</v>
          </cell>
          <cell r="J2014" t="str">
            <v>bueno</v>
          </cell>
          <cell r="K2014" t="str">
            <v>defsi</v>
          </cell>
        </row>
        <row r="2015">
          <cell r="B2015" t="b">
            <v>1</v>
          </cell>
          <cell r="E2015" t="str">
            <v>Los Cerros</v>
          </cell>
          <cell r="H2015" t="str">
            <v>consulta_externa</v>
          </cell>
          <cell r="J2015" t="str">
            <v>bueno</v>
          </cell>
          <cell r="K2015" t="str">
            <v>defsi</v>
          </cell>
        </row>
        <row r="2016">
          <cell r="B2016" t="b">
            <v>1</v>
          </cell>
          <cell r="E2016" t="str">
            <v>Los Cerros</v>
          </cell>
          <cell r="H2016" t="str">
            <v>salud_oral</v>
          </cell>
          <cell r="J2016" t="str">
            <v>bueno</v>
          </cell>
          <cell r="K2016" t="str">
            <v>defsi</v>
          </cell>
        </row>
        <row r="2017">
          <cell r="B2017" t="b">
            <v>1</v>
          </cell>
          <cell r="E2017" t="str">
            <v>Los Cerros</v>
          </cell>
          <cell r="H2017" t="str">
            <v>laboratorio</v>
          </cell>
          <cell r="J2017" t="str">
            <v>bueno</v>
          </cell>
          <cell r="K2017" t="str">
            <v>defsi</v>
          </cell>
        </row>
        <row r="2018">
          <cell r="B2018" t="b">
            <v>1</v>
          </cell>
          <cell r="E2018" t="str">
            <v>Pontezuela</v>
          </cell>
          <cell r="H2018" t="str">
            <v>consulta_externa</v>
          </cell>
          <cell r="J2018" t="str">
            <v>bueno</v>
          </cell>
          <cell r="K2018" t="str">
            <v>probsi</v>
          </cell>
        </row>
        <row r="2019">
          <cell r="B2019" t="b">
            <v>1</v>
          </cell>
          <cell r="E2019" t="str">
            <v>Pontezuela</v>
          </cell>
          <cell r="H2019" t="str">
            <v>salud_oral</v>
          </cell>
          <cell r="J2019" t="str">
            <v>bueno</v>
          </cell>
          <cell r="K2019" t="str">
            <v>probsi</v>
          </cell>
        </row>
        <row r="2020">
          <cell r="B2020" t="b">
            <v>1</v>
          </cell>
          <cell r="E2020" t="str">
            <v>Los Cerros</v>
          </cell>
          <cell r="H2020" t="str">
            <v>ecografias</v>
          </cell>
          <cell r="J2020" t="str">
            <v>bueno</v>
          </cell>
          <cell r="K2020" t="str">
            <v>defsi</v>
          </cell>
        </row>
        <row r="2021">
          <cell r="B2021" t="b">
            <v>1</v>
          </cell>
          <cell r="E2021" t="str">
            <v>Los Cerros</v>
          </cell>
          <cell r="H2021" t="str">
            <v>ginecologia</v>
          </cell>
          <cell r="J2021" t="str">
            <v>bueno</v>
          </cell>
          <cell r="K2021" t="str">
            <v>defsi</v>
          </cell>
        </row>
        <row r="2022">
          <cell r="B2022" t="b">
            <v>1</v>
          </cell>
          <cell r="E2022" t="str">
            <v>Los Cerros</v>
          </cell>
          <cell r="H2022" t="str">
            <v>pediatria</v>
          </cell>
          <cell r="J2022" t="str">
            <v>bueno</v>
          </cell>
          <cell r="K2022" t="str">
            <v>defsi</v>
          </cell>
        </row>
        <row r="2023">
          <cell r="B2023" t="b">
            <v>1</v>
          </cell>
          <cell r="E2023" t="str">
            <v>Los Cerros</v>
          </cell>
          <cell r="H2023" t="str">
            <v>medicina_interna</v>
          </cell>
          <cell r="J2023" t="str">
            <v>bueno</v>
          </cell>
          <cell r="K2023" t="str">
            <v>defsi</v>
          </cell>
        </row>
        <row r="2024">
          <cell r="B2024" t="b">
            <v>1</v>
          </cell>
          <cell r="E2024" t="str">
            <v>Los Cerros</v>
          </cell>
          <cell r="H2024" t="str">
            <v>consulta_externa</v>
          </cell>
          <cell r="J2024" t="str">
            <v>bueno</v>
          </cell>
          <cell r="K2024" t="str">
            <v>defsi</v>
          </cell>
        </row>
        <row r="2025">
          <cell r="B2025" t="b">
            <v>1</v>
          </cell>
          <cell r="E2025" t="str">
            <v>Los Cerros</v>
          </cell>
          <cell r="H2025" t="str">
            <v>salud_oral</v>
          </cell>
          <cell r="J2025" t="str">
            <v>bueno</v>
          </cell>
          <cell r="K2025" t="str">
            <v>defsi</v>
          </cell>
        </row>
        <row r="2026">
          <cell r="B2026" t="b">
            <v>1</v>
          </cell>
          <cell r="E2026" t="str">
            <v>Los Cerros</v>
          </cell>
          <cell r="H2026" t="str">
            <v>laboratorio</v>
          </cell>
          <cell r="J2026" t="str">
            <v>bueno</v>
          </cell>
          <cell r="K2026" t="str">
            <v>defsi</v>
          </cell>
        </row>
        <row r="2027">
          <cell r="B2027" t="b">
            <v>1</v>
          </cell>
          <cell r="E2027" t="str">
            <v>Los Cerros</v>
          </cell>
          <cell r="H2027" t="str">
            <v>ecografias</v>
          </cell>
          <cell r="J2027" t="str">
            <v>bueno</v>
          </cell>
          <cell r="K2027" t="str">
            <v>probsi</v>
          </cell>
        </row>
        <row r="2028">
          <cell r="B2028" t="b">
            <v>1</v>
          </cell>
          <cell r="E2028" t="str">
            <v>Daniel Lemaitre</v>
          </cell>
          <cell r="H2028" t="str">
            <v>consulta_externa</v>
          </cell>
          <cell r="J2028" t="str">
            <v>bueno</v>
          </cell>
          <cell r="K2028" t="str">
            <v>probsi</v>
          </cell>
        </row>
        <row r="2029">
          <cell r="B2029" t="b">
            <v>1</v>
          </cell>
          <cell r="E2029" t="str">
            <v>Daniel Lemaitre</v>
          </cell>
          <cell r="H2029" t="str">
            <v>consulta_externa</v>
          </cell>
          <cell r="J2029" t="str">
            <v>bueno</v>
          </cell>
          <cell r="K2029" t="str">
            <v>probsi</v>
          </cell>
        </row>
        <row r="2030">
          <cell r="B2030" t="b">
            <v>1</v>
          </cell>
          <cell r="E2030" t="str">
            <v>Daniel Lemaitre</v>
          </cell>
          <cell r="H2030" t="str">
            <v>consulta_externa</v>
          </cell>
          <cell r="J2030" t="str">
            <v>bueno</v>
          </cell>
          <cell r="K2030" t="str">
            <v>probsi</v>
          </cell>
        </row>
        <row r="2031">
          <cell r="B2031" t="b">
            <v>1</v>
          </cell>
          <cell r="E2031" t="str">
            <v>Daniel Lemaitre</v>
          </cell>
          <cell r="H2031" t="str">
            <v>consulta_externa</v>
          </cell>
          <cell r="J2031" t="str">
            <v>bueno</v>
          </cell>
          <cell r="K2031" t="str">
            <v>probsi</v>
          </cell>
        </row>
        <row r="2032">
          <cell r="B2032" t="b">
            <v>1</v>
          </cell>
          <cell r="E2032" t="str">
            <v>Daniel Lemaitre</v>
          </cell>
          <cell r="H2032" t="str">
            <v>consulta_externa</v>
          </cell>
          <cell r="J2032" t="str">
            <v>bueno</v>
          </cell>
          <cell r="K2032" t="str">
            <v>probsi</v>
          </cell>
        </row>
        <row r="2033">
          <cell r="B2033" t="b">
            <v>1</v>
          </cell>
          <cell r="E2033" t="str">
            <v>Daniel Lemaitre</v>
          </cell>
          <cell r="H2033" t="str">
            <v>consulta_externa</v>
          </cell>
          <cell r="J2033" t="str">
            <v>bueno</v>
          </cell>
          <cell r="K2033" t="str">
            <v>probsi</v>
          </cell>
        </row>
        <row r="2034">
          <cell r="B2034" t="b">
            <v>1</v>
          </cell>
          <cell r="E2034" t="str">
            <v>Daniel Lemaitre</v>
          </cell>
          <cell r="H2034" t="str">
            <v>consulta_externa</v>
          </cell>
          <cell r="J2034" t="str">
            <v>bueno</v>
          </cell>
          <cell r="K2034" t="str">
            <v>probsi</v>
          </cell>
        </row>
        <row r="2035">
          <cell r="B2035" t="b">
            <v>1</v>
          </cell>
          <cell r="E2035" t="str">
            <v>Daniel Lemaitre</v>
          </cell>
          <cell r="H2035" t="str">
            <v>laboratorio</v>
          </cell>
          <cell r="J2035" t="str">
            <v>bueno</v>
          </cell>
          <cell r="K2035" t="str">
            <v>probsi</v>
          </cell>
        </row>
        <row r="2036">
          <cell r="B2036" t="b">
            <v>1</v>
          </cell>
          <cell r="E2036" t="str">
            <v>Daniel Lemaitre</v>
          </cell>
          <cell r="H2036" t="str">
            <v>laboratorio</v>
          </cell>
          <cell r="J2036" t="str">
            <v>bueno</v>
          </cell>
          <cell r="K2036" t="str">
            <v>probsi</v>
          </cell>
        </row>
        <row r="2037">
          <cell r="B2037" t="b">
            <v>1</v>
          </cell>
          <cell r="E2037" t="str">
            <v>Daniel Lemaitre</v>
          </cell>
          <cell r="H2037" t="str">
            <v>laboratorio</v>
          </cell>
          <cell r="J2037" t="str">
            <v>bueno</v>
          </cell>
          <cell r="K2037" t="str">
            <v>probsi</v>
          </cell>
        </row>
        <row r="2038">
          <cell r="B2038" t="b">
            <v>1</v>
          </cell>
          <cell r="E2038" t="str">
            <v>Daniel Lemaitre</v>
          </cell>
          <cell r="H2038" t="str">
            <v>laboratorio</v>
          </cell>
          <cell r="J2038" t="str">
            <v>bueno</v>
          </cell>
          <cell r="K2038" t="str">
            <v>probsi</v>
          </cell>
        </row>
        <row r="2039">
          <cell r="B2039" t="b">
            <v>1</v>
          </cell>
          <cell r="E2039" t="str">
            <v>Daniel Lemaitre</v>
          </cell>
          <cell r="H2039" t="str">
            <v>salud_oral</v>
          </cell>
          <cell r="J2039" t="str">
            <v>bueno</v>
          </cell>
          <cell r="K2039" t="str">
            <v>probsi</v>
          </cell>
        </row>
        <row r="2040">
          <cell r="B2040" t="b">
            <v>1</v>
          </cell>
          <cell r="E2040" t="str">
            <v>Daniel Lemaitre</v>
          </cell>
          <cell r="H2040" t="str">
            <v>salud_oral</v>
          </cell>
          <cell r="J2040" t="str">
            <v>bueno</v>
          </cell>
          <cell r="K2040" t="str">
            <v>probsi</v>
          </cell>
        </row>
        <row r="2041">
          <cell r="B2041" t="b">
            <v>1</v>
          </cell>
          <cell r="E2041" t="str">
            <v>Daniel Lemaitre</v>
          </cell>
          <cell r="H2041" t="str">
            <v>salud_oral</v>
          </cell>
          <cell r="J2041" t="str">
            <v>bueno</v>
          </cell>
          <cell r="K2041" t="str">
            <v>probsi</v>
          </cell>
        </row>
        <row r="2042">
          <cell r="B2042" t="b">
            <v>1</v>
          </cell>
          <cell r="E2042" t="str">
            <v>Daniel Lemaitre</v>
          </cell>
          <cell r="H2042" t="str">
            <v>salud_oral</v>
          </cell>
          <cell r="J2042" t="str">
            <v>bueno</v>
          </cell>
          <cell r="K2042" t="str">
            <v>probsi</v>
          </cell>
        </row>
        <row r="2043">
          <cell r="B2043" t="b">
            <v>1</v>
          </cell>
          <cell r="E2043" t="str">
            <v>Los Cerros</v>
          </cell>
          <cell r="H2043" t="str">
            <v>ginecologia</v>
          </cell>
          <cell r="J2043" t="str">
            <v>bueno</v>
          </cell>
          <cell r="K2043" t="str">
            <v>defsi</v>
          </cell>
        </row>
        <row r="2044">
          <cell r="B2044" t="b">
            <v>1</v>
          </cell>
          <cell r="E2044" t="str">
            <v>Daniel Lemaitre</v>
          </cell>
          <cell r="H2044" t="str">
            <v>laboratorio</v>
          </cell>
          <cell r="J2044" t="str">
            <v>bueno</v>
          </cell>
          <cell r="K2044" t="str">
            <v>probsi</v>
          </cell>
        </row>
        <row r="2045">
          <cell r="B2045" t="b">
            <v>1</v>
          </cell>
          <cell r="E2045" t="str">
            <v>Los Cerros</v>
          </cell>
          <cell r="H2045" t="str">
            <v>pediatria</v>
          </cell>
          <cell r="J2045" t="str">
            <v>bueno</v>
          </cell>
          <cell r="K2045" t="str">
            <v>defsi</v>
          </cell>
        </row>
        <row r="2046">
          <cell r="B2046" t="b">
            <v>1</v>
          </cell>
          <cell r="E2046" t="str">
            <v>Los Cerros</v>
          </cell>
          <cell r="H2046" t="str">
            <v>medicina_interna</v>
          </cell>
          <cell r="J2046" t="str">
            <v>bueno</v>
          </cell>
          <cell r="K2046" t="str">
            <v>defsi</v>
          </cell>
        </row>
        <row r="2047">
          <cell r="B2047" t="b">
            <v>1</v>
          </cell>
          <cell r="E2047" t="str">
            <v>Daniel Lemaitre</v>
          </cell>
          <cell r="H2047" t="str">
            <v>consulta_externa</v>
          </cell>
          <cell r="J2047" t="str">
            <v>bueno</v>
          </cell>
          <cell r="K2047" t="str">
            <v>probsi</v>
          </cell>
        </row>
        <row r="2048">
          <cell r="B2048" t="b">
            <v>1</v>
          </cell>
          <cell r="E2048" t="str">
            <v>Daniel Lemaitre</v>
          </cell>
          <cell r="H2048" t="str">
            <v>consulta_externa</v>
          </cell>
          <cell r="J2048" t="str">
            <v>bueno</v>
          </cell>
          <cell r="K2048" t="str">
            <v>probsi</v>
          </cell>
        </row>
        <row r="2049">
          <cell r="B2049" t="b">
            <v>1</v>
          </cell>
          <cell r="E2049" t="str">
            <v>Daniel Lemaitre</v>
          </cell>
          <cell r="H2049" t="str">
            <v>consulta_externa</v>
          </cell>
          <cell r="J2049" t="str">
            <v>bueno</v>
          </cell>
          <cell r="K2049" t="str">
            <v>probsi</v>
          </cell>
        </row>
        <row r="2050">
          <cell r="B2050" t="b">
            <v>1</v>
          </cell>
          <cell r="E2050" t="str">
            <v>Daniel Lemaitre</v>
          </cell>
          <cell r="H2050" t="str">
            <v>laboratorio</v>
          </cell>
          <cell r="J2050" t="str">
            <v>bueno</v>
          </cell>
          <cell r="K2050" t="str">
            <v>probsi</v>
          </cell>
        </row>
        <row r="2051">
          <cell r="B2051" t="b">
            <v>1</v>
          </cell>
          <cell r="E2051" t="str">
            <v>Daniel Lemaitre</v>
          </cell>
          <cell r="H2051" t="str">
            <v>laboratorio</v>
          </cell>
          <cell r="J2051" t="str">
            <v>bueno</v>
          </cell>
          <cell r="K2051" t="str">
            <v>probsi</v>
          </cell>
        </row>
        <row r="2052">
          <cell r="B2052" t="b">
            <v>1</v>
          </cell>
          <cell r="E2052" t="str">
            <v>Daniel Lemaitre</v>
          </cell>
          <cell r="H2052" t="str">
            <v>laboratorio</v>
          </cell>
          <cell r="J2052" t="str">
            <v>bueno</v>
          </cell>
          <cell r="K2052" t="str">
            <v>probsi</v>
          </cell>
        </row>
        <row r="2053">
          <cell r="B2053" t="b">
            <v>1</v>
          </cell>
          <cell r="E2053" t="str">
            <v>Daniel Lemaitre</v>
          </cell>
          <cell r="H2053" t="str">
            <v>laboratorio</v>
          </cell>
          <cell r="J2053" t="str">
            <v>bueno</v>
          </cell>
          <cell r="K2053" t="str">
            <v>probsi</v>
          </cell>
        </row>
        <row r="2054">
          <cell r="B2054" t="b">
            <v>1</v>
          </cell>
          <cell r="E2054" t="str">
            <v>Daniel Lemaitre</v>
          </cell>
          <cell r="H2054" t="str">
            <v>laboratorio</v>
          </cell>
          <cell r="J2054" t="str">
            <v>bueno</v>
          </cell>
          <cell r="K2054" t="str">
            <v>probsi</v>
          </cell>
        </row>
        <row r="2055">
          <cell r="B2055" t="b">
            <v>1</v>
          </cell>
          <cell r="E2055" t="str">
            <v>Daniel Lemaitre</v>
          </cell>
          <cell r="H2055" t="str">
            <v>salud_oral</v>
          </cell>
          <cell r="J2055" t="str">
            <v>bueno</v>
          </cell>
          <cell r="K2055" t="str">
            <v>probsi</v>
          </cell>
        </row>
        <row r="2056">
          <cell r="B2056" t="b">
            <v>1</v>
          </cell>
          <cell r="E2056" t="str">
            <v>Daniel Lemaitre</v>
          </cell>
          <cell r="H2056" t="str">
            <v>salud_oral</v>
          </cell>
          <cell r="J2056" t="str">
            <v>bueno</v>
          </cell>
          <cell r="K2056" t="str">
            <v>probsi</v>
          </cell>
        </row>
        <row r="2057">
          <cell r="B2057" t="b">
            <v>1</v>
          </cell>
          <cell r="E2057" t="str">
            <v>Daniel Lemaitre</v>
          </cell>
          <cell r="H2057" t="str">
            <v>salud_oral</v>
          </cell>
          <cell r="J2057" t="str">
            <v>bueno</v>
          </cell>
          <cell r="K2057" t="str">
            <v>probsi</v>
          </cell>
        </row>
        <row r="2058">
          <cell r="B2058" t="b">
            <v>1</v>
          </cell>
          <cell r="E2058" t="str">
            <v>Daniel Lemaitre</v>
          </cell>
          <cell r="H2058" t="str">
            <v>salud_oral</v>
          </cell>
          <cell r="J2058" t="str">
            <v>bueno</v>
          </cell>
          <cell r="K2058" t="str">
            <v>probsi</v>
          </cell>
        </row>
        <row r="2059">
          <cell r="B2059" t="b">
            <v>1</v>
          </cell>
          <cell r="E2059" t="str">
            <v>Daniel Lemaitre</v>
          </cell>
          <cell r="H2059" t="str">
            <v>salud_oral</v>
          </cell>
          <cell r="J2059" t="str">
            <v>bueno</v>
          </cell>
          <cell r="K2059" t="str">
            <v>probsi</v>
          </cell>
        </row>
        <row r="2060">
          <cell r="B2060" t="b">
            <v>1</v>
          </cell>
          <cell r="E2060" t="str">
            <v>Daniel Lemaitre</v>
          </cell>
          <cell r="H2060" t="str">
            <v>laboratorio</v>
          </cell>
          <cell r="J2060" t="str">
            <v>bueno</v>
          </cell>
          <cell r="K2060" t="str">
            <v>probsi</v>
          </cell>
        </row>
        <row r="2061">
          <cell r="B2061" t="b">
            <v>1</v>
          </cell>
          <cell r="E2061" t="str">
            <v>Daniel Lemaitre</v>
          </cell>
          <cell r="H2061" t="str">
            <v>laboratorio</v>
          </cell>
          <cell r="J2061" t="str">
            <v>bueno</v>
          </cell>
          <cell r="K2061" t="str">
            <v>probsi</v>
          </cell>
        </row>
        <row r="2062">
          <cell r="B2062" t="b">
            <v>1</v>
          </cell>
          <cell r="E2062" t="str">
            <v>Daniel Lemaitre</v>
          </cell>
          <cell r="H2062" t="str">
            <v>laboratorio</v>
          </cell>
          <cell r="J2062" t="str">
            <v>bueno</v>
          </cell>
          <cell r="K2062" t="str">
            <v>probsi</v>
          </cell>
        </row>
        <row r="2063">
          <cell r="B2063" t="b">
            <v>1</v>
          </cell>
          <cell r="E2063" t="str">
            <v>Daniel Lemaitre</v>
          </cell>
          <cell r="H2063" t="str">
            <v>laboratorio</v>
          </cell>
          <cell r="J2063" t="str">
            <v>bueno</v>
          </cell>
          <cell r="K2063" t="str">
            <v>probsi</v>
          </cell>
        </row>
        <row r="2064">
          <cell r="B2064" t="b">
            <v>1</v>
          </cell>
          <cell r="E2064" t="str">
            <v>Daniel Lemaitre</v>
          </cell>
          <cell r="H2064" t="str">
            <v>laboratorio</v>
          </cell>
          <cell r="J2064" t="str">
            <v>bueno</v>
          </cell>
          <cell r="K2064" t="str">
            <v>probsi</v>
          </cell>
        </row>
        <row r="2065">
          <cell r="B2065" t="b">
            <v>1</v>
          </cell>
          <cell r="E2065" t="str">
            <v>Daniel Lemaitre</v>
          </cell>
          <cell r="H2065" t="str">
            <v>laboratorio</v>
          </cell>
          <cell r="J2065" t="str">
            <v>bueno</v>
          </cell>
          <cell r="K2065" t="str">
            <v>probsi</v>
          </cell>
        </row>
        <row r="2066">
          <cell r="B2066" t="b">
            <v>1</v>
          </cell>
          <cell r="E2066" t="str">
            <v>Daniel Lemaitre</v>
          </cell>
          <cell r="H2066" t="str">
            <v>laboratorio</v>
          </cell>
          <cell r="J2066" t="str">
            <v>bueno</v>
          </cell>
          <cell r="K2066" t="str">
            <v>probsi</v>
          </cell>
        </row>
        <row r="2067">
          <cell r="B2067" t="b">
            <v>1</v>
          </cell>
          <cell r="E2067" t="str">
            <v>Daniel Lemaitre</v>
          </cell>
          <cell r="H2067" t="str">
            <v>laboratorio</v>
          </cell>
          <cell r="J2067" t="str">
            <v>bueno</v>
          </cell>
          <cell r="K2067" t="str">
            <v>probsi</v>
          </cell>
        </row>
        <row r="2068">
          <cell r="B2068" t="b">
            <v>1</v>
          </cell>
          <cell r="E2068" t="str">
            <v>Daniel Lemaitre</v>
          </cell>
          <cell r="H2068" t="str">
            <v>laboratorio</v>
          </cell>
          <cell r="J2068" t="str">
            <v>bueno</v>
          </cell>
          <cell r="K2068" t="str">
            <v>probsi</v>
          </cell>
        </row>
        <row r="2069">
          <cell r="B2069" t="b">
            <v>1</v>
          </cell>
          <cell r="E2069" t="str">
            <v>Daniel Lemaitre</v>
          </cell>
          <cell r="H2069" t="str">
            <v>consulta_externa</v>
          </cell>
          <cell r="J2069" t="str">
            <v>bueno</v>
          </cell>
          <cell r="K2069" t="str">
            <v>probsi</v>
          </cell>
        </row>
        <row r="2070">
          <cell r="B2070" t="b">
            <v>1</v>
          </cell>
          <cell r="E2070" t="str">
            <v>Daniel Lemaitre</v>
          </cell>
          <cell r="H2070" t="str">
            <v>consulta_externa</v>
          </cell>
          <cell r="J2070" t="str">
            <v>bueno</v>
          </cell>
          <cell r="K2070" t="str">
            <v>probsi</v>
          </cell>
        </row>
        <row r="2071">
          <cell r="B2071" t="b">
            <v>1</v>
          </cell>
          <cell r="E2071" t="str">
            <v>Daniel Lemaitre</v>
          </cell>
          <cell r="H2071" t="str">
            <v>consulta_externa</v>
          </cell>
          <cell r="J2071" t="str">
            <v>bueno</v>
          </cell>
          <cell r="K2071" t="str">
            <v>probsi</v>
          </cell>
        </row>
        <row r="2072">
          <cell r="B2072" t="b">
            <v>1</v>
          </cell>
          <cell r="E2072" t="str">
            <v>Daniel Lemaitre</v>
          </cell>
          <cell r="H2072" t="str">
            <v>consulta_externa</v>
          </cell>
          <cell r="J2072" t="str">
            <v>bueno</v>
          </cell>
          <cell r="K2072" t="str">
            <v>probsi</v>
          </cell>
        </row>
        <row r="2073">
          <cell r="B2073" t="b">
            <v>1</v>
          </cell>
          <cell r="E2073" t="str">
            <v>Daniel Lemaitre</v>
          </cell>
          <cell r="H2073" t="str">
            <v>consulta_externa</v>
          </cell>
          <cell r="J2073" t="str">
            <v>bueno</v>
          </cell>
          <cell r="K2073" t="str">
            <v>probsi</v>
          </cell>
        </row>
        <row r="2074">
          <cell r="B2074" t="b">
            <v>1</v>
          </cell>
          <cell r="E2074" t="str">
            <v>Daniel Lemaitre</v>
          </cell>
          <cell r="H2074" t="str">
            <v>salud_oral</v>
          </cell>
          <cell r="J2074" t="str">
            <v>bueno</v>
          </cell>
          <cell r="K2074" t="str">
            <v>probsi</v>
          </cell>
        </row>
        <row r="2075">
          <cell r="B2075" t="b">
            <v>1</v>
          </cell>
          <cell r="E2075" t="str">
            <v>Daniel Lemaitre</v>
          </cell>
          <cell r="H2075" t="str">
            <v>salud_oral</v>
          </cell>
          <cell r="J2075" t="str">
            <v>bueno</v>
          </cell>
          <cell r="K2075" t="str">
            <v>probsi</v>
          </cell>
        </row>
        <row r="2076">
          <cell r="B2076" t="b">
            <v>1</v>
          </cell>
          <cell r="E2076" t="str">
            <v>Daniel Lemaitre</v>
          </cell>
          <cell r="H2076" t="str">
            <v>consulta_externa</v>
          </cell>
          <cell r="J2076" t="str">
            <v>bueno</v>
          </cell>
          <cell r="K2076" t="str">
            <v>probsi</v>
          </cell>
        </row>
        <row r="2077">
          <cell r="B2077" t="b">
            <v>1</v>
          </cell>
          <cell r="E2077" t="str">
            <v>Daniel Lemaitre</v>
          </cell>
          <cell r="H2077" t="str">
            <v>consulta_externa</v>
          </cell>
          <cell r="J2077" t="str">
            <v>bueno</v>
          </cell>
          <cell r="K2077" t="str">
            <v>probsi</v>
          </cell>
        </row>
        <row r="2078">
          <cell r="B2078" t="b">
            <v>1</v>
          </cell>
          <cell r="E2078" t="str">
            <v>Daniel Lemaitre</v>
          </cell>
          <cell r="H2078" t="str">
            <v>consulta_externa</v>
          </cell>
          <cell r="J2078" t="str">
            <v>bueno</v>
          </cell>
          <cell r="K2078" t="str">
            <v>probsi</v>
          </cell>
        </row>
        <row r="2079">
          <cell r="B2079" t="b">
            <v>1</v>
          </cell>
          <cell r="E2079" t="str">
            <v>Daniel Lemaitre</v>
          </cell>
          <cell r="H2079" t="str">
            <v>consulta_externa</v>
          </cell>
          <cell r="J2079" t="str">
            <v>bueno</v>
          </cell>
          <cell r="K2079" t="str">
            <v>probsi</v>
          </cell>
        </row>
        <row r="2080">
          <cell r="B2080" t="b">
            <v>1</v>
          </cell>
          <cell r="E2080" t="str">
            <v>Daniel Lemaitre</v>
          </cell>
          <cell r="H2080" t="str">
            <v>consulta_externa</v>
          </cell>
          <cell r="J2080" t="str">
            <v>bueno</v>
          </cell>
          <cell r="K2080" t="str">
            <v>probsi</v>
          </cell>
        </row>
        <row r="2081">
          <cell r="B2081" t="b">
            <v>1</v>
          </cell>
          <cell r="E2081" t="str">
            <v>Daniel Lemaitre</v>
          </cell>
          <cell r="H2081" t="str">
            <v>consulta_externa</v>
          </cell>
          <cell r="J2081" t="str">
            <v>bueno</v>
          </cell>
          <cell r="K2081" t="str">
            <v>probsi</v>
          </cell>
        </row>
        <row r="2082">
          <cell r="B2082" t="b">
            <v>1</v>
          </cell>
          <cell r="E2082" t="str">
            <v>Daniel Lemaitre</v>
          </cell>
          <cell r="H2082" t="str">
            <v>laboratorio</v>
          </cell>
          <cell r="J2082" t="str">
            <v>bueno</v>
          </cell>
          <cell r="K2082" t="str">
            <v>probsi</v>
          </cell>
        </row>
        <row r="2083">
          <cell r="B2083" t="b">
            <v>1</v>
          </cell>
          <cell r="E2083" t="str">
            <v>Daniel Lemaitre</v>
          </cell>
          <cell r="H2083" t="str">
            <v>laboratorio</v>
          </cell>
          <cell r="J2083" t="str">
            <v>bueno</v>
          </cell>
          <cell r="K2083" t="str">
            <v>probsi</v>
          </cell>
        </row>
        <row r="2084">
          <cell r="B2084" t="b">
            <v>1</v>
          </cell>
          <cell r="E2084" t="str">
            <v>Pontezuela</v>
          </cell>
          <cell r="H2084" t="str">
            <v>salud_oral</v>
          </cell>
          <cell r="J2084" t="str">
            <v>bueno</v>
          </cell>
          <cell r="K2084" t="str">
            <v>probsi</v>
          </cell>
        </row>
        <row r="2085">
          <cell r="B2085" t="b">
            <v>1</v>
          </cell>
          <cell r="E2085" t="str">
            <v>Pontezuela</v>
          </cell>
          <cell r="H2085" t="str">
            <v>salud_oral</v>
          </cell>
          <cell r="J2085" t="str">
            <v>bueno</v>
          </cell>
          <cell r="K2085" t="str">
            <v>probsi</v>
          </cell>
        </row>
        <row r="2086">
          <cell r="B2086" t="b">
            <v>1</v>
          </cell>
          <cell r="E2086" t="str">
            <v>Pontezuela</v>
          </cell>
          <cell r="H2086" t="str">
            <v>salud_oral</v>
          </cell>
          <cell r="J2086" t="str">
            <v>bueno</v>
          </cell>
          <cell r="K2086" t="str">
            <v>probsi</v>
          </cell>
        </row>
        <row r="2087">
          <cell r="B2087" t="b">
            <v>1</v>
          </cell>
          <cell r="E2087" t="str">
            <v>Pontezuela</v>
          </cell>
          <cell r="H2087" t="str">
            <v>salud_oral</v>
          </cell>
          <cell r="J2087" t="str">
            <v>bueno</v>
          </cell>
          <cell r="K2087" t="str">
            <v>probsi</v>
          </cell>
        </row>
        <row r="2088">
          <cell r="B2088" t="b">
            <v>1</v>
          </cell>
          <cell r="E2088" t="str">
            <v>Pontezuela</v>
          </cell>
          <cell r="H2088" t="str">
            <v>salud_oral</v>
          </cell>
          <cell r="J2088" t="str">
            <v>bueno</v>
          </cell>
          <cell r="K2088" t="str">
            <v>probsi</v>
          </cell>
        </row>
        <row r="2089">
          <cell r="B2089" t="b">
            <v>1</v>
          </cell>
          <cell r="E2089" t="str">
            <v>Fredonia</v>
          </cell>
          <cell r="H2089" t="str">
            <v>consulta_externa</v>
          </cell>
          <cell r="J2089" t="str">
            <v>bueno</v>
          </cell>
          <cell r="K2089" t="str">
            <v>defsi</v>
          </cell>
        </row>
        <row r="2090">
          <cell r="B2090" t="b">
            <v>1</v>
          </cell>
          <cell r="E2090" t="str">
            <v>Fredonia</v>
          </cell>
          <cell r="H2090" t="str">
            <v>laboratorio</v>
          </cell>
          <cell r="J2090" t="str">
            <v>bueno</v>
          </cell>
          <cell r="K2090" t="str">
            <v>defsi</v>
          </cell>
        </row>
        <row r="2091">
          <cell r="B2091" t="b">
            <v>1</v>
          </cell>
          <cell r="E2091" t="str">
            <v>Fredonia</v>
          </cell>
          <cell r="H2091" t="str">
            <v>consulta_externa</v>
          </cell>
          <cell r="J2091" t="str">
            <v>bueno</v>
          </cell>
          <cell r="K2091" t="str">
            <v>defsi</v>
          </cell>
        </row>
        <row r="2092">
          <cell r="B2092" t="b">
            <v>1</v>
          </cell>
          <cell r="E2092" t="str">
            <v>Fredonia</v>
          </cell>
          <cell r="H2092" t="str">
            <v>laboratorio</v>
          </cell>
          <cell r="J2092" t="str">
            <v>bueno</v>
          </cell>
          <cell r="K2092" t="str">
            <v>defsi</v>
          </cell>
        </row>
        <row r="2093">
          <cell r="B2093" t="b">
            <v>1</v>
          </cell>
          <cell r="E2093" t="str">
            <v>Fredonia</v>
          </cell>
          <cell r="H2093" t="str">
            <v>laboratorio</v>
          </cell>
          <cell r="J2093" t="str">
            <v>bueno</v>
          </cell>
          <cell r="K2093" t="str">
            <v>defsi</v>
          </cell>
        </row>
        <row r="2094">
          <cell r="B2094" t="b">
            <v>1</v>
          </cell>
          <cell r="E2094" t="str">
            <v>Fredonia</v>
          </cell>
          <cell r="H2094" t="str">
            <v>consulta_externa</v>
          </cell>
          <cell r="J2094" t="str">
            <v>bueno</v>
          </cell>
          <cell r="K2094" t="str">
            <v>defsi</v>
          </cell>
        </row>
        <row r="2095">
          <cell r="B2095" t="b">
            <v>1</v>
          </cell>
          <cell r="E2095" t="str">
            <v>Fredonia</v>
          </cell>
          <cell r="H2095" t="str">
            <v>consulta_externa</v>
          </cell>
          <cell r="J2095" t="str">
            <v>bueno</v>
          </cell>
          <cell r="K2095" t="str">
            <v>defsi</v>
          </cell>
        </row>
        <row r="2096">
          <cell r="B2096" t="b">
            <v>1</v>
          </cell>
          <cell r="E2096" t="str">
            <v>Fredonia</v>
          </cell>
          <cell r="H2096" t="str">
            <v>consulta_externa</v>
          </cell>
          <cell r="J2096" t="str">
            <v>muybueno</v>
          </cell>
          <cell r="K2096" t="str">
            <v>defsi</v>
          </cell>
        </row>
        <row r="2097">
          <cell r="B2097" t="b">
            <v>1</v>
          </cell>
          <cell r="E2097" t="str">
            <v>Fredonia</v>
          </cell>
          <cell r="H2097" t="str">
            <v>laboratorio</v>
          </cell>
          <cell r="J2097" t="str">
            <v>muybueno</v>
          </cell>
          <cell r="K2097" t="str">
            <v>defsi</v>
          </cell>
        </row>
        <row r="2098">
          <cell r="B2098" t="b">
            <v>1</v>
          </cell>
          <cell r="E2098" t="str">
            <v>Fredonia</v>
          </cell>
          <cell r="H2098" t="str">
            <v>laboratorio</v>
          </cell>
          <cell r="J2098" t="str">
            <v>muybueno</v>
          </cell>
          <cell r="K2098" t="str">
            <v>defsi</v>
          </cell>
        </row>
        <row r="2099">
          <cell r="B2099" t="b">
            <v>0</v>
          </cell>
          <cell r="E2099" t="str">
            <v>Fredonia</v>
          </cell>
          <cell r="H2099" t="str">
            <v>consulta_externa</v>
          </cell>
          <cell r="J2099" t="str">
            <v>regular</v>
          </cell>
          <cell r="K2099" t="str">
            <v>probno</v>
          </cell>
        </row>
        <row r="2100">
          <cell r="B2100" t="b">
            <v>1</v>
          </cell>
          <cell r="E2100" t="str">
            <v>Fredonia</v>
          </cell>
          <cell r="H2100" t="str">
            <v>consulta_externa</v>
          </cell>
          <cell r="J2100" t="str">
            <v>bueno</v>
          </cell>
          <cell r="K2100" t="str">
            <v>defsi</v>
          </cell>
        </row>
        <row r="2101">
          <cell r="B2101" t="b">
            <v>1</v>
          </cell>
          <cell r="E2101" t="str">
            <v>Fredonia</v>
          </cell>
          <cell r="H2101" t="str">
            <v>consulta_externa</v>
          </cell>
          <cell r="J2101" t="str">
            <v>bueno</v>
          </cell>
          <cell r="K2101" t="str">
            <v>defsi</v>
          </cell>
        </row>
        <row r="2102">
          <cell r="B2102" t="b">
            <v>1</v>
          </cell>
          <cell r="E2102" t="str">
            <v>Fredonia</v>
          </cell>
          <cell r="H2102" t="str">
            <v>laboratorio</v>
          </cell>
          <cell r="J2102" t="str">
            <v>bueno</v>
          </cell>
          <cell r="K2102" t="str">
            <v>defsi</v>
          </cell>
        </row>
        <row r="2103">
          <cell r="B2103" t="b">
            <v>1</v>
          </cell>
          <cell r="E2103" t="str">
            <v>Fredonia</v>
          </cell>
          <cell r="H2103" t="str">
            <v>consulta_externa</v>
          </cell>
          <cell r="J2103" t="str">
            <v>bueno</v>
          </cell>
          <cell r="K2103" t="str">
            <v>defsi</v>
          </cell>
        </row>
        <row r="2104">
          <cell r="B2104" t="b">
            <v>1</v>
          </cell>
          <cell r="E2104" t="str">
            <v>Fredonia</v>
          </cell>
          <cell r="H2104" t="str">
            <v>salud_oral</v>
          </cell>
          <cell r="J2104" t="str">
            <v>bueno</v>
          </cell>
          <cell r="K2104" t="str">
            <v>defsi</v>
          </cell>
        </row>
        <row r="2105">
          <cell r="B2105" t="b">
            <v>1</v>
          </cell>
          <cell r="E2105" t="str">
            <v>Fredonia</v>
          </cell>
          <cell r="H2105" t="str">
            <v>salud_oral</v>
          </cell>
          <cell r="J2105" t="str">
            <v>bueno</v>
          </cell>
          <cell r="K2105" t="str">
            <v>defsi</v>
          </cell>
        </row>
        <row r="2106">
          <cell r="B2106" t="b">
            <v>1</v>
          </cell>
          <cell r="E2106" t="str">
            <v>Fredonia</v>
          </cell>
          <cell r="H2106" t="str">
            <v>salud_oral</v>
          </cell>
          <cell r="J2106" t="str">
            <v>bueno</v>
          </cell>
          <cell r="K2106" t="str">
            <v>defsi</v>
          </cell>
        </row>
        <row r="2107">
          <cell r="B2107" t="b">
            <v>1</v>
          </cell>
          <cell r="E2107" t="str">
            <v>Los Cerros</v>
          </cell>
          <cell r="H2107" t="str">
            <v>consulta_externa</v>
          </cell>
          <cell r="J2107" t="str">
            <v>bueno</v>
          </cell>
          <cell r="K2107" t="str">
            <v>defsi</v>
          </cell>
        </row>
        <row r="2108">
          <cell r="B2108" t="b">
            <v>1</v>
          </cell>
          <cell r="E2108" t="str">
            <v>Los Cerros</v>
          </cell>
          <cell r="H2108" t="str">
            <v>salud_oral</v>
          </cell>
          <cell r="J2108" t="str">
            <v>bueno</v>
          </cell>
          <cell r="K2108" t="str">
            <v>defsi</v>
          </cell>
        </row>
        <row r="2109">
          <cell r="B2109" t="b">
            <v>1</v>
          </cell>
          <cell r="E2109" t="str">
            <v>Los Cerros</v>
          </cell>
          <cell r="H2109" t="str">
            <v>laboratorio</v>
          </cell>
          <cell r="J2109" t="str">
            <v>bueno</v>
          </cell>
          <cell r="K2109" t="str">
            <v>defsi</v>
          </cell>
        </row>
        <row r="2110">
          <cell r="B2110" t="b">
            <v>1</v>
          </cell>
          <cell r="E2110" t="str">
            <v>Los Cerros</v>
          </cell>
          <cell r="H2110" t="str">
            <v>ecografias</v>
          </cell>
          <cell r="J2110" t="str">
            <v>bueno</v>
          </cell>
          <cell r="K2110" t="str">
            <v>defsi</v>
          </cell>
        </row>
        <row r="2111">
          <cell r="B2111" t="b">
            <v>1</v>
          </cell>
          <cell r="E2111" t="str">
            <v>Los Cerros</v>
          </cell>
          <cell r="H2111" t="str">
            <v>ginecologia</v>
          </cell>
          <cell r="J2111" t="str">
            <v>bueno</v>
          </cell>
          <cell r="K2111" t="str">
            <v>defsi</v>
          </cell>
        </row>
        <row r="2112">
          <cell r="B2112" t="b">
            <v>1</v>
          </cell>
          <cell r="E2112" t="str">
            <v>Los Cerros</v>
          </cell>
          <cell r="H2112" t="str">
            <v>pediatria</v>
          </cell>
          <cell r="J2112" t="str">
            <v>bueno</v>
          </cell>
          <cell r="K2112" t="str">
            <v>defsi</v>
          </cell>
        </row>
        <row r="2113">
          <cell r="B2113" t="b">
            <v>1</v>
          </cell>
          <cell r="E2113" t="str">
            <v>Los Cerros</v>
          </cell>
          <cell r="H2113" t="str">
            <v>medicina_interna</v>
          </cell>
          <cell r="J2113" t="str">
            <v>bueno</v>
          </cell>
          <cell r="K2113" t="str">
            <v>defsi</v>
          </cell>
        </row>
        <row r="2114">
          <cell r="B2114" t="b">
            <v>1</v>
          </cell>
          <cell r="E2114" t="str">
            <v>Los Cerros</v>
          </cell>
          <cell r="H2114" t="str">
            <v>consulta_externa</v>
          </cell>
          <cell r="J2114" t="str">
            <v>bueno</v>
          </cell>
          <cell r="K2114" t="str">
            <v>defsi</v>
          </cell>
        </row>
        <row r="2115">
          <cell r="B2115" t="b">
            <v>1</v>
          </cell>
          <cell r="E2115" t="str">
            <v>Los Cerros</v>
          </cell>
          <cell r="H2115" t="str">
            <v>salud_oral</v>
          </cell>
          <cell r="J2115" t="str">
            <v>bueno</v>
          </cell>
          <cell r="K2115" t="str">
            <v>defsi</v>
          </cell>
        </row>
        <row r="2116">
          <cell r="B2116" t="b">
            <v>1</v>
          </cell>
          <cell r="E2116" t="str">
            <v>Los Cerros</v>
          </cell>
          <cell r="H2116" t="str">
            <v>laboratorio</v>
          </cell>
          <cell r="J2116" t="str">
            <v>bueno</v>
          </cell>
          <cell r="K2116" t="str">
            <v>defsi</v>
          </cell>
        </row>
        <row r="2117">
          <cell r="B2117" t="b">
            <v>1</v>
          </cell>
          <cell r="E2117" t="str">
            <v>Los Cerros</v>
          </cell>
          <cell r="H2117" t="str">
            <v>ecografias</v>
          </cell>
          <cell r="J2117" t="str">
            <v>bueno</v>
          </cell>
          <cell r="K2117" t="str">
            <v>defsi</v>
          </cell>
        </row>
        <row r="2118">
          <cell r="B2118" t="b">
            <v>1</v>
          </cell>
          <cell r="E2118" t="str">
            <v>Los Cerros</v>
          </cell>
          <cell r="H2118" t="str">
            <v>ginecologia</v>
          </cell>
          <cell r="J2118" t="str">
            <v>bueno</v>
          </cell>
          <cell r="K2118" t="str">
            <v>defsi</v>
          </cell>
        </row>
        <row r="2119">
          <cell r="B2119" t="b">
            <v>1</v>
          </cell>
          <cell r="E2119" t="str">
            <v>Los Cerros</v>
          </cell>
          <cell r="H2119" t="str">
            <v>pediatria</v>
          </cell>
          <cell r="J2119" t="str">
            <v>bueno</v>
          </cell>
          <cell r="K2119" t="str">
            <v>defsi</v>
          </cell>
        </row>
        <row r="2120">
          <cell r="B2120" t="b">
            <v>1</v>
          </cell>
          <cell r="E2120" t="str">
            <v>Los Cerros</v>
          </cell>
          <cell r="H2120" t="str">
            <v>medicina_interna</v>
          </cell>
          <cell r="J2120" t="str">
            <v>bueno</v>
          </cell>
          <cell r="K2120" t="str">
            <v>defsi</v>
          </cell>
        </row>
        <row r="2121">
          <cell r="B2121" t="b">
            <v>1</v>
          </cell>
          <cell r="E2121" t="str">
            <v>Los Cerros</v>
          </cell>
          <cell r="H2121" t="str">
            <v>consulta_externa</v>
          </cell>
          <cell r="J2121" t="str">
            <v>bueno</v>
          </cell>
          <cell r="K2121" t="str">
            <v>defsi</v>
          </cell>
        </row>
        <row r="2122">
          <cell r="B2122" t="b">
            <v>1</v>
          </cell>
          <cell r="E2122" t="str">
            <v>Los Cerros</v>
          </cell>
          <cell r="H2122" t="str">
            <v>salud_oral</v>
          </cell>
          <cell r="J2122" t="str">
            <v>bueno</v>
          </cell>
          <cell r="K2122" t="str">
            <v>defsi</v>
          </cell>
        </row>
        <row r="2123">
          <cell r="B2123" t="b">
            <v>1</v>
          </cell>
          <cell r="E2123" t="str">
            <v>Fredonia</v>
          </cell>
          <cell r="H2123" t="str">
            <v>consulta_externa</v>
          </cell>
          <cell r="J2123" t="str">
            <v>bueno</v>
          </cell>
          <cell r="K2123" t="str">
            <v>defsi</v>
          </cell>
        </row>
        <row r="2124">
          <cell r="B2124" t="b">
            <v>1</v>
          </cell>
          <cell r="E2124" t="str">
            <v>Fredonia</v>
          </cell>
          <cell r="H2124" t="str">
            <v>salud_oral</v>
          </cell>
          <cell r="J2124" t="str">
            <v>bueno</v>
          </cell>
          <cell r="K2124" t="str">
            <v>defsi</v>
          </cell>
        </row>
        <row r="2125">
          <cell r="B2125" t="b">
            <v>1</v>
          </cell>
          <cell r="E2125" t="str">
            <v>Fredonia</v>
          </cell>
          <cell r="H2125" t="str">
            <v>consulta_externa</v>
          </cell>
          <cell r="J2125" t="str">
            <v>bueno</v>
          </cell>
          <cell r="K2125" t="str">
            <v>defsi</v>
          </cell>
        </row>
        <row r="2126">
          <cell r="B2126" t="b">
            <v>1</v>
          </cell>
          <cell r="E2126" t="str">
            <v>Fredonia</v>
          </cell>
          <cell r="H2126" t="str">
            <v>salud_oral</v>
          </cell>
          <cell r="J2126" t="str">
            <v>bueno</v>
          </cell>
          <cell r="K2126" t="str">
            <v>defsi</v>
          </cell>
        </row>
        <row r="2127">
          <cell r="B2127" t="b">
            <v>1</v>
          </cell>
          <cell r="E2127" t="str">
            <v>Fredonia</v>
          </cell>
          <cell r="H2127" t="str">
            <v>salud_oral</v>
          </cell>
          <cell r="J2127" t="str">
            <v>bueno</v>
          </cell>
          <cell r="K2127" t="str">
            <v>defsi</v>
          </cell>
        </row>
        <row r="2128">
          <cell r="B2128" t="b">
            <v>1</v>
          </cell>
          <cell r="E2128" t="str">
            <v>Fredonia</v>
          </cell>
          <cell r="H2128" t="str">
            <v>salud_oral</v>
          </cell>
          <cell r="J2128" t="str">
            <v>bueno</v>
          </cell>
          <cell r="K2128" t="str">
            <v>defsi</v>
          </cell>
        </row>
        <row r="2129">
          <cell r="B2129" t="b">
            <v>0</v>
          </cell>
          <cell r="E2129" t="str">
            <v>Fredonia</v>
          </cell>
          <cell r="H2129" t="str">
            <v>laboratorio</v>
          </cell>
          <cell r="J2129" t="str">
            <v>regular</v>
          </cell>
          <cell r="K2129" t="str">
            <v>defsi</v>
          </cell>
        </row>
        <row r="2130">
          <cell r="B2130" t="b">
            <v>1</v>
          </cell>
          <cell r="E2130" t="str">
            <v>Fredonia</v>
          </cell>
          <cell r="H2130" t="str">
            <v>salud_oral</v>
          </cell>
          <cell r="J2130" t="str">
            <v>bueno</v>
          </cell>
          <cell r="K2130" t="str">
            <v>defsi</v>
          </cell>
        </row>
        <row r="2131">
          <cell r="B2131" t="b">
            <v>1</v>
          </cell>
          <cell r="E2131" t="str">
            <v>Fredonia</v>
          </cell>
          <cell r="H2131" t="str">
            <v>salud_oral</v>
          </cell>
          <cell r="J2131" t="str">
            <v>bueno</v>
          </cell>
          <cell r="K2131" t="str">
            <v>defsi</v>
          </cell>
        </row>
        <row r="2132">
          <cell r="B2132" t="b">
            <v>1</v>
          </cell>
          <cell r="E2132" t="str">
            <v>Baru</v>
          </cell>
          <cell r="H2132" t="str">
            <v>consulta_externa</v>
          </cell>
          <cell r="J2132" t="str">
            <v>bueno</v>
          </cell>
          <cell r="K2132" t="str">
            <v>defsi</v>
          </cell>
        </row>
        <row r="2133">
          <cell r="B2133" t="b">
            <v>1</v>
          </cell>
          <cell r="E2133" t="str">
            <v>Baru</v>
          </cell>
          <cell r="H2133" t="str">
            <v>consulta_externa</v>
          </cell>
          <cell r="J2133" t="str">
            <v>bueno</v>
          </cell>
          <cell r="K2133" t="str">
            <v>defsi</v>
          </cell>
        </row>
        <row r="2134">
          <cell r="B2134" t="b">
            <v>1</v>
          </cell>
          <cell r="E2134" t="str">
            <v>Baru</v>
          </cell>
          <cell r="H2134" t="str">
            <v>consulta_externa</v>
          </cell>
          <cell r="J2134" t="str">
            <v>bueno</v>
          </cell>
          <cell r="K2134" t="str">
            <v>defsi</v>
          </cell>
        </row>
        <row r="2135">
          <cell r="B2135" t="b">
            <v>1</v>
          </cell>
          <cell r="E2135" t="str">
            <v>Baru</v>
          </cell>
          <cell r="H2135" t="str">
            <v>consulta_externa</v>
          </cell>
          <cell r="J2135" t="str">
            <v>bueno</v>
          </cell>
          <cell r="K2135" t="str">
            <v>defsi</v>
          </cell>
        </row>
        <row r="2136">
          <cell r="B2136" t="b">
            <v>1</v>
          </cell>
          <cell r="E2136" t="str">
            <v>Baru</v>
          </cell>
          <cell r="H2136" t="str">
            <v>salud_oral</v>
          </cell>
          <cell r="J2136" t="str">
            <v>bueno</v>
          </cell>
          <cell r="K2136" t="str">
            <v>defsi</v>
          </cell>
        </row>
        <row r="2137">
          <cell r="B2137" t="b">
            <v>1</v>
          </cell>
          <cell r="E2137" t="str">
            <v>Baru</v>
          </cell>
          <cell r="H2137" t="str">
            <v>salud_oral</v>
          </cell>
          <cell r="J2137" t="str">
            <v>bueno</v>
          </cell>
          <cell r="K2137" t="str">
            <v>defsi</v>
          </cell>
        </row>
        <row r="2138">
          <cell r="B2138" t="b">
            <v>1</v>
          </cell>
          <cell r="E2138" t="str">
            <v>Baru</v>
          </cell>
          <cell r="H2138" t="str">
            <v>consulta_externa</v>
          </cell>
          <cell r="J2138" t="str">
            <v>bueno</v>
          </cell>
          <cell r="K2138" t="str">
            <v>defsi</v>
          </cell>
        </row>
        <row r="2139">
          <cell r="B2139" t="b">
            <v>1</v>
          </cell>
          <cell r="E2139" t="str">
            <v>Baru</v>
          </cell>
          <cell r="H2139" t="str">
            <v>salud_oral</v>
          </cell>
          <cell r="J2139" t="str">
            <v>bueno</v>
          </cell>
          <cell r="K2139" t="str">
            <v>defsi</v>
          </cell>
        </row>
        <row r="2140">
          <cell r="B2140" t="b">
            <v>0</v>
          </cell>
          <cell r="E2140" t="str">
            <v>Baru</v>
          </cell>
          <cell r="H2140" t="str">
            <v>salud_oral</v>
          </cell>
          <cell r="J2140" t="str">
            <v>regular</v>
          </cell>
          <cell r="K2140" t="str">
            <v>defsi</v>
          </cell>
        </row>
        <row r="2141">
          <cell r="B2141" t="b">
            <v>1</v>
          </cell>
          <cell r="E2141" t="str">
            <v>Baru</v>
          </cell>
          <cell r="H2141" t="str">
            <v>salud_oral</v>
          </cell>
          <cell r="J2141" t="str">
            <v>bueno</v>
          </cell>
          <cell r="K2141" t="str">
            <v>defsi</v>
          </cell>
        </row>
        <row r="2142">
          <cell r="B2142" t="b">
            <v>1</v>
          </cell>
          <cell r="E2142" t="str">
            <v>Baru</v>
          </cell>
          <cell r="H2142" t="str">
            <v>consulta_externa</v>
          </cell>
          <cell r="J2142" t="str">
            <v>bueno</v>
          </cell>
          <cell r="K2142" t="str">
            <v>defsi</v>
          </cell>
        </row>
        <row r="2143">
          <cell r="B2143" t="b">
            <v>1</v>
          </cell>
          <cell r="E2143" t="str">
            <v>Baru</v>
          </cell>
          <cell r="H2143" t="str">
            <v>consulta_externa</v>
          </cell>
          <cell r="J2143" t="str">
            <v>bueno</v>
          </cell>
          <cell r="K2143" t="str">
            <v>defsi</v>
          </cell>
        </row>
        <row r="2144">
          <cell r="B2144" t="b">
            <v>1</v>
          </cell>
          <cell r="E2144" t="str">
            <v>Baru</v>
          </cell>
          <cell r="H2144" t="str">
            <v>consulta_externa</v>
          </cell>
          <cell r="J2144" t="str">
            <v>bueno</v>
          </cell>
          <cell r="K2144" t="str">
            <v>defsi</v>
          </cell>
        </row>
        <row r="2145">
          <cell r="B2145" t="b">
            <v>1</v>
          </cell>
          <cell r="E2145" t="str">
            <v>Baru</v>
          </cell>
          <cell r="H2145" t="str">
            <v>salud_oral</v>
          </cell>
          <cell r="J2145" t="str">
            <v>bueno</v>
          </cell>
          <cell r="K2145" t="str">
            <v>defsi</v>
          </cell>
        </row>
        <row r="2146">
          <cell r="B2146" t="b">
            <v>1</v>
          </cell>
          <cell r="E2146" t="str">
            <v>Baru</v>
          </cell>
          <cell r="H2146" t="str">
            <v>salud_oral</v>
          </cell>
          <cell r="J2146" t="str">
            <v>bueno</v>
          </cell>
          <cell r="K2146" t="str">
            <v>defsi</v>
          </cell>
        </row>
        <row r="2147">
          <cell r="B2147" t="b">
            <v>0</v>
          </cell>
          <cell r="E2147" t="str">
            <v>Baru</v>
          </cell>
          <cell r="H2147" t="str">
            <v>consulta_externa</v>
          </cell>
          <cell r="J2147" t="str">
            <v>regular</v>
          </cell>
          <cell r="K2147" t="str">
            <v>defsi</v>
          </cell>
        </row>
        <row r="2148">
          <cell r="B2148" t="b">
            <v>1</v>
          </cell>
          <cell r="E2148" t="str">
            <v>Santa Ana</v>
          </cell>
          <cell r="H2148" t="str">
            <v>consulta_externa</v>
          </cell>
          <cell r="J2148" t="str">
            <v>bueno</v>
          </cell>
          <cell r="K2148" t="str">
            <v>defsi</v>
          </cell>
        </row>
        <row r="2149">
          <cell r="B2149" t="b">
            <v>1</v>
          </cell>
          <cell r="E2149" t="str">
            <v>Santa Ana</v>
          </cell>
          <cell r="H2149" t="str">
            <v>salud_oral</v>
          </cell>
          <cell r="J2149" t="str">
            <v>bueno</v>
          </cell>
          <cell r="K2149" t="str">
            <v>defsi</v>
          </cell>
        </row>
        <row r="2150">
          <cell r="B2150" t="b">
            <v>1</v>
          </cell>
          <cell r="E2150" t="str">
            <v>Santa Ana</v>
          </cell>
          <cell r="H2150" t="str">
            <v>laboratorio</v>
          </cell>
          <cell r="J2150" t="str">
            <v>bueno</v>
          </cell>
          <cell r="K2150" t="str">
            <v>defsi</v>
          </cell>
        </row>
        <row r="2151">
          <cell r="B2151" t="b">
            <v>1</v>
          </cell>
          <cell r="E2151" t="str">
            <v>Santa Ana</v>
          </cell>
          <cell r="H2151" t="str">
            <v>urgencia</v>
          </cell>
          <cell r="J2151" t="str">
            <v>bueno</v>
          </cell>
          <cell r="K2151" t="str">
            <v>defsi</v>
          </cell>
        </row>
        <row r="2152">
          <cell r="B2152" t="b">
            <v>1</v>
          </cell>
          <cell r="E2152" t="str">
            <v>Santa Ana</v>
          </cell>
          <cell r="H2152" t="str">
            <v>consulta_externa</v>
          </cell>
          <cell r="J2152" t="str">
            <v>bueno</v>
          </cell>
          <cell r="K2152" t="str">
            <v>defsi</v>
          </cell>
        </row>
        <row r="2153">
          <cell r="B2153" t="b">
            <v>1</v>
          </cell>
          <cell r="E2153" t="str">
            <v>Santa Ana</v>
          </cell>
          <cell r="H2153" t="str">
            <v>salud_oral</v>
          </cell>
          <cell r="J2153" t="str">
            <v>bueno</v>
          </cell>
          <cell r="K2153" t="str">
            <v>defsi</v>
          </cell>
        </row>
        <row r="2154">
          <cell r="B2154" t="b">
            <v>1</v>
          </cell>
          <cell r="E2154" t="str">
            <v>Santa Ana</v>
          </cell>
          <cell r="H2154" t="str">
            <v>laboratorio</v>
          </cell>
          <cell r="J2154" t="str">
            <v>bueno</v>
          </cell>
          <cell r="K2154" t="str">
            <v>defsi</v>
          </cell>
        </row>
        <row r="2155">
          <cell r="B2155" t="b">
            <v>1</v>
          </cell>
          <cell r="E2155" t="str">
            <v>Santa Ana</v>
          </cell>
          <cell r="H2155" t="str">
            <v>urgencia</v>
          </cell>
          <cell r="J2155" t="str">
            <v>bueno</v>
          </cell>
          <cell r="K2155" t="str">
            <v>defsi</v>
          </cell>
        </row>
        <row r="2156">
          <cell r="B2156" t="b">
            <v>1</v>
          </cell>
          <cell r="E2156" t="str">
            <v>Santa Ana</v>
          </cell>
          <cell r="H2156" t="str">
            <v>consulta_externa</v>
          </cell>
          <cell r="J2156" t="str">
            <v>bueno</v>
          </cell>
          <cell r="K2156" t="str">
            <v>defsi</v>
          </cell>
        </row>
        <row r="2157">
          <cell r="B2157" t="b">
            <v>1</v>
          </cell>
          <cell r="E2157" t="str">
            <v>Santa Ana</v>
          </cell>
          <cell r="H2157" t="str">
            <v>salud_oral</v>
          </cell>
          <cell r="J2157" t="str">
            <v>bueno</v>
          </cell>
          <cell r="K2157" t="str">
            <v>defsi</v>
          </cell>
        </row>
        <row r="2158">
          <cell r="B2158" t="b">
            <v>1</v>
          </cell>
          <cell r="E2158" t="str">
            <v>Santa Ana</v>
          </cell>
          <cell r="H2158" t="str">
            <v>laboratorio</v>
          </cell>
          <cell r="J2158" t="str">
            <v>bueno</v>
          </cell>
          <cell r="K2158" t="str">
            <v>defsi</v>
          </cell>
        </row>
        <row r="2159">
          <cell r="B2159" t="b">
            <v>1</v>
          </cell>
          <cell r="E2159" t="str">
            <v>Santa Ana</v>
          </cell>
          <cell r="H2159" t="str">
            <v>urgencia</v>
          </cell>
          <cell r="J2159" t="str">
            <v>bueno</v>
          </cell>
          <cell r="K2159" t="str">
            <v>defsi</v>
          </cell>
        </row>
        <row r="2160">
          <cell r="B2160" t="b">
            <v>1</v>
          </cell>
          <cell r="E2160" t="str">
            <v>Punta Canoa</v>
          </cell>
          <cell r="H2160" t="str">
            <v>consulta_externa</v>
          </cell>
          <cell r="J2160" t="str">
            <v>bueno</v>
          </cell>
          <cell r="K2160" t="str">
            <v>probsi</v>
          </cell>
        </row>
        <row r="2161">
          <cell r="B2161" t="b">
            <v>1</v>
          </cell>
          <cell r="E2161" t="str">
            <v>Punta Canoa</v>
          </cell>
          <cell r="H2161" t="str">
            <v>salud_oral</v>
          </cell>
          <cell r="J2161" t="str">
            <v>bueno</v>
          </cell>
          <cell r="K2161" t="str">
            <v>probsi</v>
          </cell>
        </row>
        <row r="2162">
          <cell r="B2162" t="b">
            <v>1</v>
          </cell>
          <cell r="E2162" t="str">
            <v>Punta Canoa</v>
          </cell>
          <cell r="H2162" t="str">
            <v>laboratorio</v>
          </cell>
          <cell r="J2162" t="str">
            <v>bueno</v>
          </cell>
          <cell r="K2162" t="str">
            <v>probsi</v>
          </cell>
        </row>
        <row r="2163">
          <cell r="B2163" t="b">
            <v>1</v>
          </cell>
          <cell r="E2163" t="str">
            <v>Punta Canoa</v>
          </cell>
          <cell r="H2163" t="str">
            <v>consulta_externa</v>
          </cell>
          <cell r="J2163" t="str">
            <v>bueno</v>
          </cell>
          <cell r="K2163" t="str">
            <v>probsi</v>
          </cell>
        </row>
        <row r="2164">
          <cell r="B2164" t="b">
            <v>1</v>
          </cell>
          <cell r="E2164" t="str">
            <v>Punta Canoa</v>
          </cell>
          <cell r="H2164" t="str">
            <v>salud_oral</v>
          </cell>
          <cell r="J2164" t="str">
            <v>bueno</v>
          </cell>
          <cell r="K2164" t="str">
            <v>probsi</v>
          </cell>
        </row>
        <row r="2165">
          <cell r="B2165" t="b">
            <v>1</v>
          </cell>
          <cell r="E2165" t="str">
            <v>Punta Canoa</v>
          </cell>
          <cell r="H2165" t="str">
            <v>laboratorio</v>
          </cell>
          <cell r="J2165" t="str">
            <v>bueno</v>
          </cell>
          <cell r="K2165" t="str">
            <v>probsi</v>
          </cell>
        </row>
        <row r="2166">
          <cell r="B2166" t="b">
            <v>1</v>
          </cell>
          <cell r="E2166" t="str">
            <v>Punta Canoa</v>
          </cell>
          <cell r="H2166" t="str">
            <v>salud_oral</v>
          </cell>
          <cell r="J2166" t="str">
            <v>bueno</v>
          </cell>
          <cell r="K2166" t="str">
            <v>probsi</v>
          </cell>
        </row>
        <row r="2167">
          <cell r="B2167" t="b">
            <v>1</v>
          </cell>
          <cell r="E2167" t="str">
            <v>Punta Canoa</v>
          </cell>
          <cell r="H2167" t="str">
            <v>consulta_externa</v>
          </cell>
          <cell r="J2167" t="str">
            <v>bueno</v>
          </cell>
          <cell r="K2167" t="str">
            <v>probsi</v>
          </cell>
        </row>
        <row r="2168">
          <cell r="B2168" t="b">
            <v>1</v>
          </cell>
          <cell r="E2168" t="str">
            <v>Punta Canoa</v>
          </cell>
          <cell r="H2168" t="str">
            <v>consulta_externa</v>
          </cell>
          <cell r="J2168" t="str">
            <v>bueno</v>
          </cell>
          <cell r="K2168" t="str">
            <v>probsi</v>
          </cell>
        </row>
        <row r="2169">
          <cell r="B2169" t="b">
            <v>1</v>
          </cell>
          <cell r="E2169" t="str">
            <v>Punta Canoa</v>
          </cell>
          <cell r="H2169" t="str">
            <v>consulta_externa</v>
          </cell>
          <cell r="J2169" t="str">
            <v>bueno</v>
          </cell>
          <cell r="K2169" t="str">
            <v>probsi</v>
          </cell>
        </row>
        <row r="2170">
          <cell r="B2170" t="b">
            <v>1</v>
          </cell>
          <cell r="E2170" t="str">
            <v>San Vicente de Paul</v>
          </cell>
          <cell r="H2170" t="str">
            <v>consulta_externa</v>
          </cell>
          <cell r="J2170" t="str">
            <v>bueno</v>
          </cell>
          <cell r="K2170" t="str">
            <v>defsi</v>
          </cell>
        </row>
        <row r="2171">
          <cell r="B2171" t="b">
            <v>1</v>
          </cell>
          <cell r="E2171" t="str">
            <v>San Vicente de Paul</v>
          </cell>
          <cell r="H2171" t="str">
            <v>salud_oral</v>
          </cell>
          <cell r="J2171" t="str">
            <v>bueno</v>
          </cell>
          <cell r="K2171" t="str">
            <v>defsi</v>
          </cell>
        </row>
        <row r="2172">
          <cell r="B2172" t="b">
            <v>1</v>
          </cell>
          <cell r="E2172" t="str">
            <v>San Vicente de Paul</v>
          </cell>
          <cell r="H2172" t="str">
            <v>laboratorio</v>
          </cell>
          <cell r="J2172" t="str">
            <v>bueno</v>
          </cell>
          <cell r="K2172" t="str">
            <v>defsi</v>
          </cell>
        </row>
        <row r="2173">
          <cell r="B2173" t="b">
            <v>1</v>
          </cell>
          <cell r="E2173" t="str">
            <v>Punta Canoa</v>
          </cell>
          <cell r="H2173" t="str">
            <v>consulta_externa</v>
          </cell>
          <cell r="J2173" t="str">
            <v>bueno</v>
          </cell>
          <cell r="K2173" t="str">
            <v>probsi</v>
          </cell>
        </row>
        <row r="2174">
          <cell r="B2174" t="b">
            <v>1</v>
          </cell>
          <cell r="E2174" t="str">
            <v>San Vicente de Paul</v>
          </cell>
          <cell r="H2174" t="str">
            <v>consulta_externa</v>
          </cell>
          <cell r="J2174" t="str">
            <v>bueno</v>
          </cell>
          <cell r="K2174" t="str">
            <v>defsi</v>
          </cell>
        </row>
        <row r="2175">
          <cell r="B2175" t="b">
            <v>1</v>
          </cell>
          <cell r="E2175" t="str">
            <v>San Vicente de Paul</v>
          </cell>
          <cell r="H2175" t="str">
            <v>salud_oral</v>
          </cell>
          <cell r="J2175" t="str">
            <v>bueno</v>
          </cell>
          <cell r="K2175" t="str">
            <v>defsi</v>
          </cell>
        </row>
        <row r="2176">
          <cell r="B2176" t="b">
            <v>1</v>
          </cell>
          <cell r="E2176" t="str">
            <v>San Vicente de Paul</v>
          </cell>
          <cell r="H2176" t="str">
            <v>laboratorio</v>
          </cell>
          <cell r="J2176" t="str">
            <v>bueno</v>
          </cell>
          <cell r="K2176" t="str">
            <v>defsi</v>
          </cell>
        </row>
        <row r="2177">
          <cell r="B2177" t="b">
            <v>1</v>
          </cell>
          <cell r="E2177" t="str">
            <v>San Vicente de Paul</v>
          </cell>
          <cell r="H2177" t="str">
            <v>consulta_externa</v>
          </cell>
          <cell r="J2177" t="str">
            <v>bueno</v>
          </cell>
          <cell r="K2177" t="str">
            <v>defsi</v>
          </cell>
        </row>
        <row r="2178">
          <cell r="B2178" t="b">
            <v>1</v>
          </cell>
          <cell r="E2178" t="str">
            <v>San Vicente de Paul</v>
          </cell>
          <cell r="H2178" t="str">
            <v>salud_oral</v>
          </cell>
          <cell r="J2178" t="str">
            <v>bueno</v>
          </cell>
          <cell r="K2178" t="str">
            <v>defsi</v>
          </cell>
        </row>
        <row r="2179">
          <cell r="B2179" t="b">
            <v>1</v>
          </cell>
          <cell r="E2179" t="str">
            <v>San Vicente de Paul</v>
          </cell>
          <cell r="H2179" t="str">
            <v>laboratorio</v>
          </cell>
          <cell r="J2179" t="str">
            <v>bueno</v>
          </cell>
          <cell r="K2179" t="str">
            <v>defsi</v>
          </cell>
        </row>
        <row r="2180">
          <cell r="B2180" t="b">
            <v>1</v>
          </cell>
          <cell r="E2180" t="str">
            <v>Punta Canoa</v>
          </cell>
          <cell r="H2180" t="str">
            <v>consulta_externa</v>
          </cell>
          <cell r="J2180" t="str">
            <v>bueno</v>
          </cell>
          <cell r="K2180" t="str">
            <v>probsi</v>
          </cell>
        </row>
        <row r="2181">
          <cell r="B2181" t="b">
            <v>1</v>
          </cell>
          <cell r="E2181" t="str">
            <v>Punta Canoa</v>
          </cell>
          <cell r="H2181" t="str">
            <v>laboratorio</v>
          </cell>
          <cell r="J2181" t="str">
            <v>bueno</v>
          </cell>
          <cell r="K2181" t="str">
            <v>probsi</v>
          </cell>
        </row>
        <row r="2182">
          <cell r="B2182" t="b">
            <v>1</v>
          </cell>
          <cell r="E2182" t="str">
            <v>Punta Canoa</v>
          </cell>
          <cell r="H2182" t="str">
            <v>laboratorio</v>
          </cell>
          <cell r="J2182" t="str">
            <v>bueno</v>
          </cell>
          <cell r="K2182" t="str">
            <v>probsi</v>
          </cell>
        </row>
        <row r="2183">
          <cell r="B2183" t="b">
            <v>1</v>
          </cell>
          <cell r="E2183" t="str">
            <v>Punta Canoa</v>
          </cell>
          <cell r="H2183" t="str">
            <v>laboratorio</v>
          </cell>
          <cell r="J2183" t="str">
            <v>bueno</v>
          </cell>
          <cell r="K2183" t="str">
            <v>probsi</v>
          </cell>
        </row>
        <row r="2184">
          <cell r="B2184" t="b">
            <v>1</v>
          </cell>
          <cell r="E2184" t="str">
            <v>Punta Canoa</v>
          </cell>
          <cell r="H2184" t="str">
            <v>laboratorio</v>
          </cell>
          <cell r="J2184" t="str">
            <v>bueno</v>
          </cell>
          <cell r="K2184" t="str">
            <v>probsi</v>
          </cell>
        </row>
        <row r="2185">
          <cell r="B2185" t="b">
            <v>1</v>
          </cell>
          <cell r="E2185" t="str">
            <v>Punta Canoa</v>
          </cell>
          <cell r="H2185" t="str">
            <v>laboratorio</v>
          </cell>
          <cell r="J2185" t="str">
            <v>bueno</v>
          </cell>
          <cell r="K2185" t="str">
            <v>probsi</v>
          </cell>
        </row>
        <row r="2186">
          <cell r="B2186" t="b">
            <v>1</v>
          </cell>
          <cell r="E2186" t="str">
            <v>San Vicente de Paul</v>
          </cell>
          <cell r="H2186" t="str">
            <v>consulta_externa</v>
          </cell>
          <cell r="J2186" t="str">
            <v>bueno</v>
          </cell>
          <cell r="K2186" t="str">
            <v>defsi</v>
          </cell>
        </row>
        <row r="2187">
          <cell r="B2187" t="b">
            <v>1</v>
          </cell>
          <cell r="E2187" t="str">
            <v>San Vicente de Paul</v>
          </cell>
          <cell r="H2187" t="str">
            <v>salud_oral</v>
          </cell>
          <cell r="J2187" t="str">
            <v>bueno</v>
          </cell>
          <cell r="K2187" t="str">
            <v>defsi</v>
          </cell>
        </row>
        <row r="2188">
          <cell r="B2188" t="b">
            <v>1</v>
          </cell>
          <cell r="E2188" t="str">
            <v>San Vicente de Paul</v>
          </cell>
          <cell r="H2188" t="str">
            <v>laboratorio</v>
          </cell>
          <cell r="J2188" t="str">
            <v>bueno</v>
          </cell>
          <cell r="K2188" t="str">
            <v>defsi</v>
          </cell>
        </row>
        <row r="2189">
          <cell r="B2189" t="b">
            <v>1</v>
          </cell>
          <cell r="E2189" t="str">
            <v>San Vicente de Paul</v>
          </cell>
          <cell r="H2189" t="str">
            <v>consulta_externa</v>
          </cell>
          <cell r="J2189" t="str">
            <v>bueno</v>
          </cell>
          <cell r="K2189" t="str">
            <v>defsi</v>
          </cell>
        </row>
        <row r="2190">
          <cell r="B2190" t="b">
            <v>1</v>
          </cell>
          <cell r="E2190" t="str">
            <v>Punta Canoa</v>
          </cell>
          <cell r="H2190" t="str">
            <v>consulta_externa</v>
          </cell>
          <cell r="J2190" t="str">
            <v>bueno</v>
          </cell>
          <cell r="K2190" t="str">
            <v>probsi</v>
          </cell>
        </row>
        <row r="2191">
          <cell r="B2191" t="b">
            <v>1</v>
          </cell>
          <cell r="E2191" t="str">
            <v>San Vicente de Paul</v>
          </cell>
          <cell r="H2191" t="str">
            <v>salud_oral</v>
          </cell>
          <cell r="J2191" t="str">
            <v>bueno</v>
          </cell>
          <cell r="K2191" t="str">
            <v>defsi</v>
          </cell>
        </row>
        <row r="2192">
          <cell r="B2192" t="b">
            <v>1</v>
          </cell>
          <cell r="E2192" t="str">
            <v>Punta Canoa</v>
          </cell>
          <cell r="H2192" t="str">
            <v>consulta_externa</v>
          </cell>
          <cell r="J2192" t="str">
            <v>bueno</v>
          </cell>
          <cell r="K2192" t="str">
            <v>probsi</v>
          </cell>
        </row>
        <row r="2193">
          <cell r="B2193" t="b">
            <v>1</v>
          </cell>
          <cell r="E2193" t="str">
            <v>San Vicente de Paul</v>
          </cell>
          <cell r="H2193" t="str">
            <v>laboratorio</v>
          </cell>
          <cell r="J2193" t="str">
            <v>bueno</v>
          </cell>
          <cell r="K2193" t="str">
            <v>defsi</v>
          </cell>
        </row>
        <row r="2194">
          <cell r="B2194" t="b">
            <v>1</v>
          </cell>
          <cell r="E2194" t="str">
            <v>Punta Canoa</v>
          </cell>
          <cell r="H2194" t="str">
            <v>consulta_externa</v>
          </cell>
          <cell r="J2194" t="str">
            <v>bueno</v>
          </cell>
          <cell r="K2194" t="str">
            <v>probsi</v>
          </cell>
        </row>
        <row r="2195">
          <cell r="B2195" t="b">
            <v>1</v>
          </cell>
          <cell r="E2195" t="str">
            <v>Punta Canoa</v>
          </cell>
          <cell r="H2195" t="str">
            <v>consulta_externa</v>
          </cell>
          <cell r="J2195" t="str">
            <v>bueno</v>
          </cell>
          <cell r="K2195" t="str">
            <v>probsi</v>
          </cell>
        </row>
        <row r="2196">
          <cell r="B2196" t="b">
            <v>1</v>
          </cell>
          <cell r="E2196" t="str">
            <v>San Vicente de Paul</v>
          </cell>
          <cell r="H2196" t="str">
            <v>consulta_externa</v>
          </cell>
          <cell r="J2196" t="str">
            <v>bueno</v>
          </cell>
          <cell r="K2196" t="str">
            <v>defsi</v>
          </cell>
        </row>
        <row r="2197">
          <cell r="B2197" t="b">
            <v>1</v>
          </cell>
          <cell r="E2197" t="str">
            <v>San Vicente de Paul</v>
          </cell>
          <cell r="H2197" t="str">
            <v>salud_oral</v>
          </cell>
          <cell r="J2197" t="str">
            <v>bueno</v>
          </cell>
          <cell r="K2197" t="str">
            <v>defsi</v>
          </cell>
        </row>
        <row r="2198">
          <cell r="B2198" t="b">
            <v>1</v>
          </cell>
          <cell r="E2198" t="str">
            <v>San Vicente de Paul</v>
          </cell>
          <cell r="H2198" t="str">
            <v>laboratorio</v>
          </cell>
          <cell r="J2198" t="str">
            <v>bueno</v>
          </cell>
          <cell r="K2198" t="str">
            <v>defsi</v>
          </cell>
        </row>
        <row r="2199">
          <cell r="B2199" t="b">
            <v>1</v>
          </cell>
          <cell r="E2199" t="str">
            <v>San Vicente de Paul</v>
          </cell>
          <cell r="H2199" t="str">
            <v>consulta_externa</v>
          </cell>
          <cell r="J2199" t="str">
            <v>bueno</v>
          </cell>
          <cell r="K2199" t="str">
            <v>defsi</v>
          </cell>
        </row>
        <row r="2200">
          <cell r="B2200" t="b">
            <v>1</v>
          </cell>
          <cell r="E2200" t="str">
            <v>San Vicente de Paul</v>
          </cell>
          <cell r="H2200" t="str">
            <v>salud_oral</v>
          </cell>
          <cell r="J2200" t="str">
            <v>bueno</v>
          </cell>
          <cell r="K2200" t="str">
            <v>defsi</v>
          </cell>
        </row>
        <row r="2201">
          <cell r="B2201" t="b">
            <v>1</v>
          </cell>
          <cell r="E2201" t="str">
            <v>San Vicente de Paul</v>
          </cell>
          <cell r="H2201" t="str">
            <v>laboratorio</v>
          </cell>
          <cell r="J2201" t="str">
            <v>bueno</v>
          </cell>
          <cell r="K2201" t="str">
            <v>defsi</v>
          </cell>
        </row>
        <row r="2202">
          <cell r="B2202" t="b">
            <v>1</v>
          </cell>
          <cell r="E2202" t="str">
            <v>San Vicente de Paul</v>
          </cell>
          <cell r="H2202" t="str">
            <v>consulta_externa</v>
          </cell>
          <cell r="J2202" t="str">
            <v>bueno</v>
          </cell>
          <cell r="K2202" t="str">
            <v>defsi</v>
          </cell>
        </row>
        <row r="2203">
          <cell r="B2203" t="b">
            <v>1</v>
          </cell>
          <cell r="E2203" t="str">
            <v>San Vicente de Paul</v>
          </cell>
          <cell r="H2203" t="str">
            <v>salud_oral</v>
          </cell>
          <cell r="J2203" t="str">
            <v>bueno</v>
          </cell>
          <cell r="K2203" t="str">
            <v>defsi</v>
          </cell>
        </row>
        <row r="2204">
          <cell r="B2204" t="b">
            <v>1</v>
          </cell>
          <cell r="E2204" t="str">
            <v>San Vicente de Paul</v>
          </cell>
          <cell r="H2204" t="str">
            <v>laboratorio</v>
          </cell>
          <cell r="J2204" t="str">
            <v>bueno</v>
          </cell>
          <cell r="K2204" t="str">
            <v>defsi</v>
          </cell>
        </row>
        <row r="2205">
          <cell r="B2205" t="b">
            <v>1</v>
          </cell>
          <cell r="E2205" t="str">
            <v>San Vicente de Paul</v>
          </cell>
          <cell r="H2205" t="str">
            <v>consulta_externa</v>
          </cell>
          <cell r="J2205" t="str">
            <v>bueno</v>
          </cell>
          <cell r="K2205" t="str">
            <v>defsi</v>
          </cell>
        </row>
        <row r="2206">
          <cell r="B2206" t="b">
            <v>1</v>
          </cell>
          <cell r="E2206" t="str">
            <v>San Vicente de Paul</v>
          </cell>
          <cell r="H2206" t="str">
            <v>salud_oral</v>
          </cell>
          <cell r="J2206" t="str">
            <v>bueno</v>
          </cell>
          <cell r="K2206" t="str">
            <v>defsi</v>
          </cell>
        </row>
        <row r="2207">
          <cell r="B2207" t="b">
            <v>1</v>
          </cell>
          <cell r="E2207" t="str">
            <v>San Vicente de Paul</v>
          </cell>
          <cell r="H2207" t="str">
            <v>laboratorio</v>
          </cell>
          <cell r="J2207" t="str">
            <v>bueno</v>
          </cell>
          <cell r="K2207" t="str">
            <v>defsi</v>
          </cell>
        </row>
        <row r="2208">
          <cell r="B2208" t="b">
            <v>1</v>
          </cell>
          <cell r="E2208" t="str">
            <v>Punta Canoa</v>
          </cell>
          <cell r="H2208" t="str">
            <v>salud_oral</v>
          </cell>
          <cell r="J2208" t="str">
            <v>bueno</v>
          </cell>
          <cell r="K2208" t="str">
            <v>probsi</v>
          </cell>
        </row>
        <row r="2209">
          <cell r="B2209" t="b">
            <v>1</v>
          </cell>
          <cell r="E2209" t="str">
            <v>Punta Canoa</v>
          </cell>
          <cell r="H2209" t="str">
            <v>salud_oral</v>
          </cell>
          <cell r="J2209" t="str">
            <v>bueno</v>
          </cell>
          <cell r="K2209" t="str">
            <v>probsi</v>
          </cell>
        </row>
        <row r="2210">
          <cell r="B2210" t="b">
            <v>1</v>
          </cell>
          <cell r="E2210" t="str">
            <v>Punta Canoa</v>
          </cell>
          <cell r="H2210" t="str">
            <v>salud_oral</v>
          </cell>
          <cell r="J2210" t="str">
            <v>bueno</v>
          </cell>
          <cell r="K2210" t="str">
            <v>probsi</v>
          </cell>
        </row>
        <row r="2211">
          <cell r="B2211" t="b">
            <v>1</v>
          </cell>
          <cell r="E2211" t="str">
            <v>Punta Canoa</v>
          </cell>
          <cell r="H2211" t="str">
            <v>salud_oral</v>
          </cell>
          <cell r="J2211" t="str">
            <v>bueno</v>
          </cell>
          <cell r="K2211" t="str">
            <v>probsi</v>
          </cell>
        </row>
        <row r="2212">
          <cell r="B2212" t="b">
            <v>1</v>
          </cell>
          <cell r="E2212" t="str">
            <v>Punta Canoa</v>
          </cell>
          <cell r="H2212" t="str">
            <v>salud_oral</v>
          </cell>
          <cell r="J2212" t="str">
            <v>bueno</v>
          </cell>
          <cell r="K2212" t="str">
            <v>probsi</v>
          </cell>
        </row>
        <row r="2213">
          <cell r="B2213" t="b">
            <v>1</v>
          </cell>
          <cell r="E2213" t="str">
            <v>San Vicente de Paul</v>
          </cell>
          <cell r="H2213" t="str">
            <v>consulta_externa</v>
          </cell>
          <cell r="J2213" t="str">
            <v>bueno</v>
          </cell>
          <cell r="K2213" t="str">
            <v>defsi</v>
          </cell>
        </row>
        <row r="2214">
          <cell r="B2214" t="b">
            <v>1</v>
          </cell>
          <cell r="E2214" t="str">
            <v>San Vicente de Paul</v>
          </cell>
          <cell r="H2214" t="str">
            <v>salud_oral</v>
          </cell>
          <cell r="J2214" t="str">
            <v>bueno</v>
          </cell>
          <cell r="K2214" t="str">
            <v>defsi</v>
          </cell>
        </row>
        <row r="2215">
          <cell r="B2215" t="b">
            <v>1</v>
          </cell>
          <cell r="E2215" t="str">
            <v>San Vicente de Paul</v>
          </cell>
          <cell r="H2215" t="str">
            <v>laboratorio</v>
          </cell>
          <cell r="J2215" t="str">
            <v>bueno</v>
          </cell>
          <cell r="K2215" t="str">
            <v>defsi</v>
          </cell>
        </row>
        <row r="2216">
          <cell r="B2216" t="b">
            <v>1</v>
          </cell>
          <cell r="E2216" t="str">
            <v>San Vicente de Paul</v>
          </cell>
          <cell r="H2216" t="str">
            <v>consulta_externa</v>
          </cell>
          <cell r="J2216" t="str">
            <v>bueno</v>
          </cell>
          <cell r="K2216" t="str">
            <v>defsi</v>
          </cell>
        </row>
        <row r="2217">
          <cell r="B2217" t="b">
            <v>1</v>
          </cell>
          <cell r="E2217" t="str">
            <v>San Vicente de Paul</v>
          </cell>
          <cell r="H2217" t="str">
            <v>salud_oral</v>
          </cell>
          <cell r="J2217" t="str">
            <v>bueno</v>
          </cell>
          <cell r="K2217" t="str">
            <v>defsi</v>
          </cell>
        </row>
        <row r="2218">
          <cell r="B2218" t="b">
            <v>1</v>
          </cell>
          <cell r="E2218" t="str">
            <v>San Vicente de Paul</v>
          </cell>
          <cell r="H2218" t="str">
            <v>laboratorio</v>
          </cell>
          <cell r="J2218" t="str">
            <v>bueno</v>
          </cell>
          <cell r="K2218" t="str">
            <v>defsi</v>
          </cell>
        </row>
        <row r="2219">
          <cell r="B2219" t="b">
            <v>1</v>
          </cell>
          <cell r="E2219" t="str">
            <v>San Vicente de Paul</v>
          </cell>
          <cell r="H2219" t="str">
            <v>consulta_externa</v>
          </cell>
          <cell r="J2219" t="str">
            <v>bueno</v>
          </cell>
          <cell r="K2219" t="str">
            <v>defsi</v>
          </cell>
        </row>
        <row r="2220">
          <cell r="B2220" t="b">
            <v>1</v>
          </cell>
          <cell r="E2220" t="str">
            <v>Punta Canoa</v>
          </cell>
          <cell r="H2220" t="str">
            <v>laboratorio</v>
          </cell>
          <cell r="J2220" t="str">
            <v>bueno</v>
          </cell>
          <cell r="K2220" t="str">
            <v>probsi</v>
          </cell>
        </row>
        <row r="2221">
          <cell r="B2221" t="b">
            <v>1</v>
          </cell>
          <cell r="E2221" t="str">
            <v>Punta Canoa</v>
          </cell>
          <cell r="H2221" t="str">
            <v>laboratorio</v>
          </cell>
          <cell r="J2221" t="str">
            <v>bueno</v>
          </cell>
          <cell r="K2221" t="str">
            <v>probsi</v>
          </cell>
        </row>
        <row r="2222">
          <cell r="B2222" t="b">
            <v>1</v>
          </cell>
          <cell r="E2222" t="str">
            <v>Punta Canoa</v>
          </cell>
          <cell r="H2222" t="str">
            <v>laboratorio</v>
          </cell>
          <cell r="J2222" t="str">
            <v>bueno</v>
          </cell>
          <cell r="K2222" t="str">
            <v>probsi</v>
          </cell>
        </row>
        <row r="2223">
          <cell r="B2223" t="b">
            <v>1</v>
          </cell>
          <cell r="E2223" t="str">
            <v>Punta Canoa</v>
          </cell>
          <cell r="H2223" t="str">
            <v>salud_oral</v>
          </cell>
          <cell r="J2223" t="str">
            <v>bueno</v>
          </cell>
          <cell r="K2223" t="str">
            <v>probsi</v>
          </cell>
        </row>
        <row r="2224">
          <cell r="B2224" t="b">
            <v>1</v>
          </cell>
          <cell r="E2224" t="str">
            <v>Punta Canoa</v>
          </cell>
          <cell r="H2224" t="str">
            <v>salud_oral</v>
          </cell>
          <cell r="J2224" t="str">
            <v>bueno</v>
          </cell>
          <cell r="K2224" t="str">
            <v>probsi</v>
          </cell>
        </row>
        <row r="2225">
          <cell r="B2225" t="b">
            <v>1</v>
          </cell>
          <cell r="E2225" t="str">
            <v>Punta Canoa</v>
          </cell>
          <cell r="H2225" t="str">
            <v>consulta_externa</v>
          </cell>
          <cell r="J2225" t="str">
            <v>bueno</v>
          </cell>
          <cell r="K2225" t="str">
            <v>probsi</v>
          </cell>
        </row>
        <row r="2226">
          <cell r="B2226" t="b">
            <v>1</v>
          </cell>
          <cell r="E2226" t="str">
            <v>Punta Canoa</v>
          </cell>
          <cell r="H2226" t="str">
            <v>consulta_externa</v>
          </cell>
          <cell r="J2226" t="str">
            <v>bueno</v>
          </cell>
          <cell r="K2226" t="str">
            <v>probsi</v>
          </cell>
        </row>
        <row r="2227">
          <cell r="B2227" t="b">
            <v>1</v>
          </cell>
          <cell r="E2227" t="str">
            <v>Punta Canoa</v>
          </cell>
          <cell r="H2227" t="str">
            <v>consulta_externa</v>
          </cell>
          <cell r="J2227" t="str">
            <v>bueno</v>
          </cell>
          <cell r="K2227" t="str">
            <v>probsi</v>
          </cell>
        </row>
        <row r="2228">
          <cell r="B2228" t="b">
            <v>1</v>
          </cell>
          <cell r="E2228" t="str">
            <v>Punta Canoa</v>
          </cell>
          <cell r="H2228" t="str">
            <v>consulta_externa</v>
          </cell>
          <cell r="J2228" t="str">
            <v>bueno</v>
          </cell>
          <cell r="K2228" t="str">
            <v>probsi</v>
          </cell>
        </row>
        <row r="2229">
          <cell r="B2229" t="b">
            <v>1</v>
          </cell>
          <cell r="E2229" t="str">
            <v>Punta Canoa</v>
          </cell>
          <cell r="H2229" t="str">
            <v>consulta_externa</v>
          </cell>
          <cell r="J2229" t="str">
            <v>bueno</v>
          </cell>
          <cell r="K2229" t="str">
            <v>probsi</v>
          </cell>
        </row>
        <row r="2230">
          <cell r="B2230" t="b">
            <v>1</v>
          </cell>
          <cell r="E2230" t="str">
            <v>Gaviotas</v>
          </cell>
          <cell r="H2230" t="str">
            <v>consulta_externa</v>
          </cell>
          <cell r="J2230" t="str">
            <v>bueno</v>
          </cell>
          <cell r="K2230" t="str">
            <v>defsi</v>
          </cell>
        </row>
        <row r="2231">
          <cell r="B2231" t="b">
            <v>0</v>
          </cell>
          <cell r="E2231" t="str">
            <v>Gaviotas</v>
          </cell>
          <cell r="H2231" t="str">
            <v>consulta_externa</v>
          </cell>
          <cell r="J2231" t="str">
            <v>regular</v>
          </cell>
          <cell r="K2231" t="str">
            <v>defsi</v>
          </cell>
        </row>
        <row r="2232">
          <cell r="B2232" t="b">
            <v>1</v>
          </cell>
          <cell r="E2232" t="str">
            <v>Gaviotas</v>
          </cell>
          <cell r="H2232" t="str">
            <v>laboratorio</v>
          </cell>
          <cell r="J2232" t="str">
            <v>bueno</v>
          </cell>
          <cell r="K2232" t="str">
            <v>defsi</v>
          </cell>
        </row>
        <row r="2233">
          <cell r="B2233" t="b">
            <v>1</v>
          </cell>
          <cell r="E2233" t="str">
            <v>Gaviotas</v>
          </cell>
          <cell r="H2233" t="str">
            <v>consulta_externa</v>
          </cell>
          <cell r="J2233" t="str">
            <v>muybueno</v>
          </cell>
          <cell r="K2233" t="str">
            <v>defsi</v>
          </cell>
        </row>
        <row r="2234">
          <cell r="B2234" t="b">
            <v>1</v>
          </cell>
          <cell r="E2234" t="str">
            <v>Gaviotas</v>
          </cell>
          <cell r="H2234" t="str">
            <v>laboratorio</v>
          </cell>
          <cell r="J2234" t="str">
            <v>muybueno</v>
          </cell>
          <cell r="K2234" t="str">
            <v>defsi</v>
          </cell>
        </row>
        <row r="2235">
          <cell r="B2235" t="b">
            <v>1</v>
          </cell>
          <cell r="E2235" t="str">
            <v>Gaviotas</v>
          </cell>
          <cell r="H2235" t="str">
            <v>consulta_externa</v>
          </cell>
          <cell r="J2235" t="str">
            <v>muybueno</v>
          </cell>
          <cell r="K2235" t="str">
            <v>defsi</v>
          </cell>
        </row>
        <row r="2236">
          <cell r="B2236" t="b">
            <v>1</v>
          </cell>
          <cell r="E2236" t="str">
            <v>Gaviotas</v>
          </cell>
          <cell r="H2236" t="str">
            <v>salud_oral</v>
          </cell>
          <cell r="J2236" t="str">
            <v>bueno</v>
          </cell>
          <cell r="K2236" t="str">
            <v>defsi</v>
          </cell>
        </row>
        <row r="2237">
          <cell r="B2237" t="b">
            <v>1</v>
          </cell>
          <cell r="E2237" t="str">
            <v>Gaviotas</v>
          </cell>
          <cell r="H2237" t="str">
            <v>salud_oral</v>
          </cell>
          <cell r="J2237" t="str">
            <v>bueno</v>
          </cell>
          <cell r="K2237" t="str">
            <v>defsi</v>
          </cell>
        </row>
        <row r="2238">
          <cell r="B2238" t="b">
            <v>1</v>
          </cell>
          <cell r="E2238" t="str">
            <v>Gaviotas</v>
          </cell>
          <cell r="H2238" t="str">
            <v>consulta_externa</v>
          </cell>
          <cell r="J2238" t="str">
            <v>bueno</v>
          </cell>
          <cell r="K2238" t="str">
            <v>defsi</v>
          </cell>
        </row>
        <row r="2239">
          <cell r="B2239" t="b">
            <v>1</v>
          </cell>
          <cell r="E2239" t="str">
            <v>Gaviotas</v>
          </cell>
          <cell r="H2239" t="str">
            <v>laboratorio</v>
          </cell>
          <cell r="J2239" t="str">
            <v>bueno</v>
          </cell>
          <cell r="K2239" t="str">
            <v>defsi</v>
          </cell>
        </row>
        <row r="2240">
          <cell r="B2240" t="b">
            <v>1</v>
          </cell>
          <cell r="E2240" t="str">
            <v>Gaviotas</v>
          </cell>
          <cell r="H2240" t="str">
            <v>salud_oral</v>
          </cell>
          <cell r="J2240" t="str">
            <v>bueno</v>
          </cell>
          <cell r="K2240" t="str">
            <v>defsi</v>
          </cell>
        </row>
        <row r="2241">
          <cell r="B2241" t="b">
            <v>1</v>
          </cell>
          <cell r="E2241" t="str">
            <v>Gaviotas</v>
          </cell>
          <cell r="H2241" t="str">
            <v>laboratorio</v>
          </cell>
          <cell r="J2241" t="str">
            <v>bueno</v>
          </cell>
          <cell r="K2241" t="str">
            <v>defsi</v>
          </cell>
        </row>
        <row r="2242">
          <cell r="B2242" t="b">
            <v>1</v>
          </cell>
          <cell r="E2242" t="str">
            <v>Gaviotas</v>
          </cell>
          <cell r="H2242" t="str">
            <v>consulta_externa</v>
          </cell>
          <cell r="J2242" t="str">
            <v>bueno</v>
          </cell>
          <cell r="K2242" t="str">
            <v>defsi</v>
          </cell>
        </row>
        <row r="2243">
          <cell r="B2243" t="b">
            <v>1</v>
          </cell>
          <cell r="E2243" t="str">
            <v>Gaviotas</v>
          </cell>
          <cell r="H2243" t="str">
            <v>laboratorio</v>
          </cell>
          <cell r="J2243" t="str">
            <v>bueno</v>
          </cell>
          <cell r="K2243" t="str">
            <v>defsi</v>
          </cell>
        </row>
        <row r="2244">
          <cell r="B2244" t="b">
            <v>1</v>
          </cell>
          <cell r="E2244" t="str">
            <v>Libano</v>
          </cell>
          <cell r="H2244" t="str">
            <v>consulta_externa</v>
          </cell>
          <cell r="J2244" t="str">
            <v>bueno</v>
          </cell>
          <cell r="K2244" t="str">
            <v>defsi</v>
          </cell>
        </row>
        <row r="2245">
          <cell r="B2245" t="b">
            <v>1</v>
          </cell>
          <cell r="E2245" t="str">
            <v>Esperanza</v>
          </cell>
          <cell r="H2245" t="str">
            <v>consulta_externa</v>
          </cell>
          <cell r="J2245" t="str">
            <v>bueno</v>
          </cell>
          <cell r="K2245" t="str">
            <v>probsi</v>
          </cell>
        </row>
        <row r="2246">
          <cell r="B2246" t="b">
            <v>1</v>
          </cell>
          <cell r="E2246" t="str">
            <v>Esperanza</v>
          </cell>
          <cell r="H2246" t="str">
            <v>consulta_externa</v>
          </cell>
          <cell r="J2246" t="str">
            <v>bueno</v>
          </cell>
          <cell r="K2246" t="str">
            <v>probsi</v>
          </cell>
        </row>
        <row r="2247">
          <cell r="B2247" t="b">
            <v>1</v>
          </cell>
          <cell r="E2247" t="str">
            <v>Esperanza</v>
          </cell>
          <cell r="H2247" t="str">
            <v>consulta_externa</v>
          </cell>
          <cell r="J2247" t="str">
            <v>bueno</v>
          </cell>
          <cell r="K2247" t="str">
            <v>probsi</v>
          </cell>
        </row>
        <row r="2248">
          <cell r="B2248" t="b">
            <v>1</v>
          </cell>
          <cell r="E2248" t="str">
            <v>Esperanza</v>
          </cell>
          <cell r="H2248" t="str">
            <v>consulta_externa</v>
          </cell>
          <cell r="J2248" t="str">
            <v>bueno</v>
          </cell>
          <cell r="K2248" t="str">
            <v>probsi</v>
          </cell>
        </row>
        <row r="2249">
          <cell r="B2249" t="b">
            <v>1</v>
          </cell>
          <cell r="E2249" t="str">
            <v>Esperanza</v>
          </cell>
          <cell r="H2249" t="str">
            <v>consulta_externa</v>
          </cell>
          <cell r="J2249" t="str">
            <v>bueno</v>
          </cell>
          <cell r="K2249" t="str">
            <v>probsi</v>
          </cell>
        </row>
        <row r="2250">
          <cell r="B2250" t="b">
            <v>1</v>
          </cell>
          <cell r="E2250" t="str">
            <v>Esperanza</v>
          </cell>
          <cell r="H2250" t="str">
            <v>consulta_externa</v>
          </cell>
          <cell r="J2250" t="str">
            <v>bueno</v>
          </cell>
          <cell r="K2250" t="str">
            <v>probsi</v>
          </cell>
        </row>
        <row r="2251">
          <cell r="B2251" t="b">
            <v>1</v>
          </cell>
          <cell r="E2251" t="str">
            <v>Esperanza</v>
          </cell>
          <cell r="H2251" t="str">
            <v>consulta_externa</v>
          </cell>
          <cell r="J2251" t="str">
            <v>bueno</v>
          </cell>
          <cell r="K2251" t="str">
            <v>probsi</v>
          </cell>
        </row>
        <row r="2252">
          <cell r="B2252" t="b">
            <v>1</v>
          </cell>
          <cell r="E2252" t="str">
            <v>Esperanza</v>
          </cell>
          <cell r="H2252" t="str">
            <v>consulta_externa</v>
          </cell>
          <cell r="J2252" t="str">
            <v>bueno</v>
          </cell>
          <cell r="K2252" t="str">
            <v>probsi</v>
          </cell>
        </row>
        <row r="2253">
          <cell r="B2253" t="b">
            <v>1</v>
          </cell>
          <cell r="E2253" t="str">
            <v>Libano</v>
          </cell>
          <cell r="H2253" t="str">
            <v>salud_oral</v>
          </cell>
          <cell r="J2253" t="str">
            <v>bueno</v>
          </cell>
          <cell r="K2253" t="str">
            <v>defsi</v>
          </cell>
        </row>
        <row r="2254">
          <cell r="B2254" t="b">
            <v>1</v>
          </cell>
          <cell r="E2254" t="str">
            <v>Esperanza</v>
          </cell>
          <cell r="H2254" t="str">
            <v>consulta_externa</v>
          </cell>
          <cell r="J2254" t="str">
            <v>bueno</v>
          </cell>
          <cell r="K2254" t="str">
            <v>probsi</v>
          </cell>
        </row>
        <row r="2255">
          <cell r="B2255" t="b">
            <v>1</v>
          </cell>
          <cell r="E2255" t="str">
            <v>Esperanza</v>
          </cell>
          <cell r="H2255" t="str">
            <v>consulta_externa</v>
          </cell>
          <cell r="J2255" t="str">
            <v>bueno</v>
          </cell>
          <cell r="K2255" t="str">
            <v>probsi</v>
          </cell>
        </row>
        <row r="2256">
          <cell r="B2256" t="b">
            <v>1</v>
          </cell>
          <cell r="E2256" t="str">
            <v>Esperanza</v>
          </cell>
          <cell r="H2256" t="str">
            <v>laboratorio</v>
          </cell>
          <cell r="J2256" t="str">
            <v>bueno</v>
          </cell>
          <cell r="K2256" t="str">
            <v>probsi</v>
          </cell>
        </row>
        <row r="2257">
          <cell r="B2257" t="b">
            <v>1</v>
          </cell>
          <cell r="E2257" t="str">
            <v>Esperanza</v>
          </cell>
          <cell r="H2257" t="str">
            <v>laboratorio</v>
          </cell>
          <cell r="J2257" t="str">
            <v>bueno</v>
          </cell>
          <cell r="K2257" t="str">
            <v>probsi</v>
          </cell>
        </row>
        <row r="2258">
          <cell r="B2258" t="b">
            <v>1</v>
          </cell>
          <cell r="E2258" t="str">
            <v>Esperanza</v>
          </cell>
          <cell r="H2258" t="str">
            <v>laboratorio</v>
          </cell>
          <cell r="J2258" t="str">
            <v>bueno</v>
          </cell>
          <cell r="K2258" t="str">
            <v>probsi</v>
          </cell>
        </row>
        <row r="2259">
          <cell r="B2259" t="b">
            <v>1</v>
          </cell>
          <cell r="E2259" t="str">
            <v>Esperanza</v>
          </cell>
          <cell r="H2259" t="str">
            <v>laboratorio</v>
          </cell>
          <cell r="J2259" t="str">
            <v>bueno</v>
          </cell>
          <cell r="K2259" t="str">
            <v>probsi</v>
          </cell>
        </row>
        <row r="2260">
          <cell r="B2260" t="b">
            <v>1</v>
          </cell>
          <cell r="E2260" t="str">
            <v>Esperanza</v>
          </cell>
          <cell r="H2260" t="str">
            <v>laboratorio</v>
          </cell>
          <cell r="J2260" t="str">
            <v>bueno</v>
          </cell>
          <cell r="K2260" t="str">
            <v>probsi</v>
          </cell>
        </row>
        <row r="2261">
          <cell r="B2261" t="b">
            <v>1</v>
          </cell>
          <cell r="E2261" t="str">
            <v>Esperanza</v>
          </cell>
          <cell r="H2261" t="str">
            <v>salud_oral</v>
          </cell>
          <cell r="J2261" t="str">
            <v>bueno</v>
          </cell>
          <cell r="K2261" t="str">
            <v>probsi</v>
          </cell>
        </row>
        <row r="2262">
          <cell r="B2262" t="b">
            <v>1</v>
          </cell>
          <cell r="E2262" t="str">
            <v>Esperanza</v>
          </cell>
          <cell r="H2262" t="str">
            <v>salud_oral</v>
          </cell>
          <cell r="J2262" t="str">
            <v>bueno</v>
          </cell>
          <cell r="K2262" t="str">
            <v>probsi</v>
          </cell>
        </row>
        <row r="2263">
          <cell r="B2263" t="b">
            <v>1</v>
          </cell>
          <cell r="E2263" t="str">
            <v>Esperanza</v>
          </cell>
          <cell r="H2263" t="str">
            <v>salud_oral</v>
          </cell>
          <cell r="J2263" t="str">
            <v>bueno</v>
          </cell>
          <cell r="K2263" t="str">
            <v>probsi</v>
          </cell>
        </row>
        <row r="2264">
          <cell r="B2264" t="b">
            <v>1</v>
          </cell>
          <cell r="E2264" t="str">
            <v>Gaviotas</v>
          </cell>
          <cell r="H2264" t="str">
            <v>consulta_externa</v>
          </cell>
          <cell r="J2264" t="str">
            <v>bueno</v>
          </cell>
          <cell r="K2264" t="str">
            <v>defsi</v>
          </cell>
        </row>
        <row r="2265">
          <cell r="B2265" t="b">
            <v>1</v>
          </cell>
          <cell r="E2265" t="str">
            <v>Gaviotas</v>
          </cell>
          <cell r="H2265" t="str">
            <v>salud_oral</v>
          </cell>
          <cell r="J2265" t="str">
            <v>bueno</v>
          </cell>
          <cell r="K2265" t="str">
            <v>defsi</v>
          </cell>
        </row>
        <row r="2266">
          <cell r="B2266" t="b">
            <v>1</v>
          </cell>
          <cell r="E2266" t="str">
            <v>Libano</v>
          </cell>
          <cell r="H2266" t="str">
            <v>laboratorio</v>
          </cell>
          <cell r="J2266" t="str">
            <v>bueno</v>
          </cell>
          <cell r="K2266" t="str">
            <v>defsi</v>
          </cell>
        </row>
        <row r="2267">
          <cell r="B2267" t="b">
            <v>1</v>
          </cell>
          <cell r="E2267" t="str">
            <v>Gaviotas</v>
          </cell>
          <cell r="H2267" t="str">
            <v>salud_oral</v>
          </cell>
          <cell r="J2267" t="str">
            <v>bueno</v>
          </cell>
          <cell r="K2267" t="str">
            <v>defsi</v>
          </cell>
        </row>
        <row r="2268">
          <cell r="B2268" t="b">
            <v>1</v>
          </cell>
          <cell r="E2268" t="str">
            <v>Libano</v>
          </cell>
          <cell r="H2268" t="str">
            <v>ecografias</v>
          </cell>
          <cell r="J2268" t="str">
            <v>bueno</v>
          </cell>
          <cell r="K2268" t="str">
            <v>defsi</v>
          </cell>
        </row>
        <row r="2269">
          <cell r="B2269" t="b">
            <v>1</v>
          </cell>
          <cell r="E2269" t="str">
            <v>Libano</v>
          </cell>
          <cell r="H2269" t="str">
            <v>ginecologia</v>
          </cell>
          <cell r="J2269" t="str">
            <v>bueno</v>
          </cell>
          <cell r="K2269" t="str">
            <v>defsi</v>
          </cell>
        </row>
        <row r="2270">
          <cell r="B2270" t="b">
            <v>1</v>
          </cell>
          <cell r="E2270" t="str">
            <v>Gaviotas</v>
          </cell>
          <cell r="H2270" t="str">
            <v>salud_oral</v>
          </cell>
          <cell r="J2270" t="str">
            <v>bueno</v>
          </cell>
          <cell r="K2270" t="str">
            <v>defsi</v>
          </cell>
        </row>
        <row r="2271">
          <cell r="B2271" t="b">
            <v>1</v>
          </cell>
          <cell r="E2271" t="str">
            <v>Gaviotas</v>
          </cell>
          <cell r="H2271" t="str">
            <v>salud_oral</v>
          </cell>
          <cell r="J2271" t="str">
            <v>muybueno</v>
          </cell>
          <cell r="K2271" t="str">
            <v>defsi</v>
          </cell>
        </row>
        <row r="2272">
          <cell r="B2272" t="b">
            <v>1</v>
          </cell>
          <cell r="E2272" t="str">
            <v>Libano</v>
          </cell>
          <cell r="H2272" t="str">
            <v>pediatria</v>
          </cell>
          <cell r="J2272" t="str">
            <v>bueno</v>
          </cell>
          <cell r="K2272" t="str">
            <v>defsi</v>
          </cell>
        </row>
        <row r="2273">
          <cell r="B2273" t="b">
            <v>1</v>
          </cell>
          <cell r="E2273" t="str">
            <v>Libano</v>
          </cell>
          <cell r="H2273" t="str">
            <v>consulta_externa</v>
          </cell>
          <cell r="J2273" t="str">
            <v>bueno</v>
          </cell>
          <cell r="K2273" t="str">
            <v>defsi</v>
          </cell>
        </row>
        <row r="2274">
          <cell r="B2274" t="b">
            <v>1</v>
          </cell>
          <cell r="E2274" t="str">
            <v>Libano</v>
          </cell>
          <cell r="H2274" t="str">
            <v>salud_oral</v>
          </cell>
          <cell r="J2274" t="str">
            <v>bueno</v>
          </cell>
          <cell r="K2274" t="str">
            <v>defsi</v>
          </cell>
        </row>
        <row r="2275">
          <cell r="B2275" t="b">
            <v>1</v>
          </cell>
          <cell r="E2275" t="str">
            <v>Libano</v>
          </cell>
          <cell r="H2275" t="str">
            <v>laboratorio</v>
          </cell>
          <cell r="J2275" t="str">
            <v>bueno</v>
          </cell>
          <cell r="K2275" t="str">
            <v>defsi</v>
          </cell>
        </row>
        <row r="2276">
          <cell r="B2276" t="b">
            <v>1</v>
          </cell>
          <cell r="E2276" t="str">
            <v>Libano</v>
          </cell>
          <cell r="H2276" t="str">
            <v>consulta_externa</v>
          </cell>
          <cell r="J2276" t="str">
            <v>bueno</v>
          </cell>
          <cell r="K2276" t="str">
            <v>defsi</v>
          </cell>
        </row>
        <row r="2277">
          <cell r="B2277" t="b">
            <v>1</v>
          </cell>
          <cell r="E2277" t="str">
            <v>Libano</v>
          </cell>
          <cell r="H2277" t="str">
            <v>salud_oral</v>
          </cell>
          <cell r="J2277" t="str">
            <v>bueno</v>
          </cell>
          <cell r="K2277" t="str">
            <v>defsi</v>
          </cell>
        </row>
        <row r="2278">
          <cell r="B2278" t="b">
            <v>1</v>
          </cell>
          <cell r="E2278" t="str">
            <v>Libano</v>
          </cell>
          <cell r="H2278" t="str">
            <v>laboratorio</v>
          </cell>
          <cell r="J2278" t="str">
            <v>bueno</v>
          </cell>
          <cell r="K2278" t="str">
            <v>defsi</v>
          </cell>
        </row>
        <row r="2279">
          <cell r="B2279" t="b">
            <v>1</v>
          </cell>
          <cell r="E2279" t="str">
            <v>Libano</v>
          </cell>
          <cell r="H2279" t="str">
            <v>ecografias</v>
          </cell>
          <cell r="J2279" t="str">
            <v>bueno</v>
          </cell>
          <cell r="K2279" t="str">
            <v>defsi</v>
          </cell>
        </row>
        <row r="2280">
          <cell r="B2280" t="b">
            <v>1</v>
          </cell>
          <cell r="E2280" t="str">
            <v>Libano</v>
          </cell>
          <cell r="H2280" t="str">
            <v>ginecologia</v>
          </cell>
          <cell r="J2280" t="str">
            <v>bueno</v>
          </cell>
          <cell r="K2280" t="str">
            <v>defsi</v>
          </cell>
        </row>
        <row r="2281">
          <cell r="B2281" t="b">
            <v>1</v>
          </cell>
          <cell r="E2281" t="str">
            <v>Libano</v>
          </cell>
          <cell r="H2281" t="str">
            <v>pediatria</v>
          </cell>
          <cell r="J2281" t="str">
            <v>bueno</v>
          </cell>
          <cell r="K2281" t="str">
            <v>defsi</v>
          </cell>
        </row>
        <row r="2282">
          <cell r="B2282" t="b">
            <v>1</v>
          </cell>
          <cell r="E2282" t="str">
            <v>Libano</v>
          </cell>
          <cell r="H2282" t="str">
            <v>consulta_externa</v>
          </cell>
          <cell r="J2282" t="str">
            <v>bueno</v>
          </cell>
          <cell r="K2282" t="str">
            <v>defsi</v>
          </cell>
        </row>
        <row r="2283">
          <cell r="B2283" t="b">
            <v>1</v>
          </cell>
          <cell r="E2283" t="str">
            <v>Libano</v>
          </cell>
          <cell r="H2283" t="str">
            <v>salud_oral</v>
          </cell>
          <cell r="J2283" t="str">
            <v>bueno</v>
          </cell>
          <cell r="K2283" t="str">
            <v>defsi</v>
          </cell>
        </row>
        <row r="2284">
          <cell r="B2284" t="b">
            <v>1</v>
          </cell>
          <cell r="E2284" t="str">
            <v>Libano</v>
          </cell>
          <cell r="H2284" t="str">
            <v>laboratorio</v>
          </cell>
          <cell r="J2284" t="str">
            <v>bueno</v>
          </cell>
          <cell r="K2284" t="str">
            <v>defsi</v>
          </cell>
        </row>
        <row r="2285">
          <cell r="B2285" t="b">
            <v>1</v>
          </cell>
          <cell r="E2285" t="str">
            <v>Libano</v>
          </cell>
          <cell r="H2285" t="str">
            <v>ecografias</v>
          </cell>
          <cell r="J2285" t="str">
            <v>bueno</v>
          </cell>
          <cell r="K2285" t="str">
            <v>defsi</v>
          </cell>
        </row>
        <row r="2286">
          <cell r="B2286" t="b">
            <v>1</v>
          </cell>
          <cell r="E2286" t="str">
            <v>Libano</v>
          </cell>
          <cell r="H2286" t="str">
            <v>ginecologia</v>
          </cell>
          <cell r="J2286" t="str">
            <v>bueno</v>
          </cell>
          <cell r="K2286" t="str">
            <v>probsi</v>
          </cell>
        </row>
        <row r="2287">
          <cell r="B2287" t="b">
            <v>1</v>
          </cell>
          <cell r="E2287" t="str">
            <v>Libano</v>
          </cell>
          <cell r="H2287" t="str">
            <v>pediatria</v>
          </cell>
          <cell r="J2287" t="str">
            <v>bueno</v>
          </cell>
          <cell r="K2287" t="str">
            <v>defsi</v>
          </cell>
        </row>
        <row r="2288">
          <cell r="B2288" t="b">
            <v>1</v>
          </cell>
          <cell r="E2288" t="str">
            <v>Libano</v>
          </cell>
          <cell r="H2288" t="str">
            <v>consulta_externa</v>
          </cell>
          <cell r="J2288" t="str">
            <v>bueno</v>
          </cell>
          <cell r="K2288" t="str">
            <v>defsi</v>
          </cell>
        </row>
        <row r="2289">
          <cell r="B2289" t="b">
            <v>1</v>
          </cell>
          <cell r="E2289" t="str">
            <v>Libano</v>
          </cell>
          <cell r="H2289" t="str">
            <v>salud_oral</v>
          </cell>
          <cell r="J2289" t="str">
            <v>bueno</v>
          </cell>
          <cell r="K2289" t="str">
            <v>defsi</v>
          </cell>
        </row>
        <row r="2290">
          <cell r="B2290" t="b">
            <v>1</v>
          </cell>
          <cell r="E2290" t="str">
            <v>Libano</v>
          </cell>
          <cell r="H2290" t="str">
            <v>laboratorio</v>
          </cell>
          <cell r="J2290" t="str">
            <v>bueno</v>
          </cell>
          <cell r="K2290" t="str">
            <v>defsi</v>
          </cell>
        </row>
        <row r="2291">
          <cell r="B2291" t="b">
            <v>1</v>
          </cell>
          <cell r="E2291" t="str">
            <v>Libano</v>
          </cell>
          <cell r="H2291" t="str">
            <v>ecografias</v>
          </cell>
          <cell r="J2291" t="str">
            <v>bueno</v>
          </cell>
          <cell r="K2291" t="str">
            <v>defsi</v>
          </cell>
        </row>
        <row r="2292">
          <cell r="B2292" t="b">
            <v>1</v>
          </cell>
          <cell r="E2292" t="str">
            <v>Libano</v>
          </cell>
          <cell r="H2292" t="str">
            <v>ginecologia</v>
          </cell>
          <cell r="J2292" t="str">
            <v>bueno</v>
          </cell>
          <cell r="K2292" t="str">
            <v>defsi</v>
          </cell>
        </row>
        <row r="2293">
          <cell r="B2293" t="b">
            <v>1</v>
          </cell>
          <cell r="E2293" t="str">
            <v>Libano</v>
          </cell>
          <cell r="H2293" t="str">
            <v>pediatria</v>
          </cell>
          <cell r="J2293" t="str">
            <v>bueno</v>
          </cell>
          <cell r="K2293" t="str">
            <v>defsi</v>
          </cell>
        </row>
        <row r="2294">
          <cell r="B2294" t="b">
            <v>1</v>
          </cell>
          <cell r="E2294" t="str">
            <v>Punta Canoa</v>
          </cell>
          <cell r="H2294" t="str">
            <v>salud_oral</v>
          </cell>
          <cell r="J2294" t="str">
            <v>bueno</v>
          </cell>
          <cell r="K2294" t="str">
            <v>probsi</v>
          </cell>
        </row>
        <row r="2295">
          <cell r="B2295" t="b">
            <v>1</v>
          </cell>
          <cell r="E2295" t="str">
            <v>Punta Canoa</v>
          </cell>
          <cell r="H2295" t="str">
            <v>salud_oral</v>
          </cell>
          <cell r="J2295" t="str">
            <v>bueno</v>
          </cell>
          <cell r="K2295" t="str">
            <v>probsi</v>
          </cell>
        </row>
        <row r="2296">
          <cell r="B2296" t="b">
            <v>1</v>
          </cell>
          <cell r="E2296" t="str">
            <v>Punta Canoa</v>
          </cell>
          <cell r="H2296" t="str">
            <v>salud_oral</v>
          </cell>
          <cell r="J2296" t="str">
            <v>bueno</v>
          </cell>
          <cell r="K2296" t="str">
            <v>probsi</v>
          </cell>
        </row>
        <row r="2297">
          <cell r="B2297" t="b">
            <v>1</v>
          </cell>
          <cell r="E2297" t="str">
            <v>Punta Canoa</v>
          </cell>
          <cell r="H2297" t="str">
            <v>salud_oral</v>
          </cell>
          <cell r="J2297" t="str">
            <v>bueno</v>
          </cell>
          <cell r="K2297" t="str">
            <v>probsi</v>
          </cell>
        </row>
        <row r="2298">
          <cell r="B2298" t="b">
            <v>1</v>
          </cell>
          <cell r="E2298" t="str">
            <v>Punta Canoa</v>
          </cell>
          <cell r="H2298" t="str">
            <v>laboratorio</v>
          </cell>
          <cell r="J2298" t="str">
            <v>bueno</v>
          </cell>
          <cell r="K2298" t="str">
            <v>probsi</v>
          </cell>
        </row>
        <row r="2299">
          <cell r="B2299" t="b">
            <v>1</v>
          </cell>
          <cell r="E2299" t="str">
            <v>Punta Canoa</v>
          </cell>
          <cell r="H2299" t="str">
            <v>laboratorio</v>
          </cell>
          <cell r="J2299" t="str">
            <v>bueno</v>
          </cell>
          <cell r="K2299" t="str">
            <v>probsi</v>
          </cell>
        </row>
        <row r="2300">
          <cell r="B2300" t="b">
            <v>1</v>
          </cell>
          <cell r="E2300" t="str">
            <v>Punta Canoa</v>
          </cell>
          <cell r="H2300" t="str">
            <v>laboratorio</v>
          </cell>
          <cell r="J2300" t="str">
            <v>bueno</v>
          </cell>
          <cell r="K2300" t="str">
            <v>probsi</v>
          </cell>
        </row>
        <row r="2301">
          <cell r="B2301" t="b">
            <v>1</v>
          </cell>
          <cell r="E2301" t="str">
            <v>Punta Canoa</v>
          </cell>
          <cell r="H2301" t="str">
            <v>laboratorio</v>
          </cell>
          <cell r="J2301" t="str">
            <v>bueno</v>
          </cell>
          <cell r="K2301" t="str">
            <v>probsi</v>
          </cell>
        </row>
        <row r="2302">
          <cell r="B2302" t="b">
            <v>1</v>
          </cell>
          <cell r="E2302" t="str">
            <v>Punta Canoa</v>
          </cell>
          <cell r="H2302" t="str">
            <v>laboratorio</v>
          </cell>
          <cell r="J2302" t="str">
            <v>bueno</v>
          </cell>
          <cell r="K2302" t="str">
            <v>probsi</v>
          </cell>
        </row>
        <row r="2303">
          <cell r="B2303" t="b">
            <v>1</v>
          </cell>
          <cell r="E2303" t="str">
            <v>Libano</v>
          </cell>
          <cell r="H2303" t="str">
            <v>consulta_externa</v>
          </cell>
          <cell r="J2303" t="str">
            <v>bueno</v>
          </cell>
          <cell r="K2303" t="str">
            <v>defsi</v>
          </cell>
        </row>
        <row r="2304">
          <cell r="B2304" t="b">
            <v>1</v>
          </cell>
          <cell r="E2304" t="str">
            <v>Libano</v>
          </cell>
          <cell r="H2304" t="str">
            <v>salud_oral</v>
          </cell>
          <cell r="J2304" t="str">
            <v>bueno</v>
          </cell>
          <cell r="K2304" t="str">
            <v>defsi</v>
          </cell>
        </row>
        <row r="2305">
          <cell r="B2305" t="b">
            <v>1</v>
          </cell>
          <cell r="E2305" t="str">
            <v>Libano</v>
          </cell>
          <cell r="H2305" t="str">
            <v>laboratorio</v>
          </cell>
          <cell r="J2305" t="str">
            <v>bueno</v>
          </cell>
          <cell r="K2305" t="str">
            <v>defsi</v>
          </cell>
        </row>
        <row r="2306">
          <cell r="B2306" t="b">
            <v>1</v>
          </cell>
          <cell r="E2306" t="str">
            <v>Punta Canoa</v>
          </cell>
          <cell r="H2306" t="str">
            <v>consulta_externa</v>
          </cell>
          <cell r="J2306" t="str">
            <v>bueno</v>
          </cell>
          <cell r="K2306" t="str">
            <v>probsi</v>
          </cell>
        </row>
        <row r="2307">
          <cell r="B2307" t="b">
            <v>1</v>
          </cell>
          <cell r="E2307" t="str">
            <v>Punta Canoa</v>
          </cell>
          <cell r="H2307" t="str">
            <v>consulta_externa</v>
          </cell>
          <cell r="J2307" t="str">
            <v>bueno</v>
          </cell>
          <cell r="K2307" t="str">
            <v>probsi</v>
          </cell>
        </row>
        <row r="2308">
          <cell r="B2308" t="b">
            <v>1</v>
          </cell>
          <cell r="E2308" t="str">
            <v>Punta Canoa</v>
          </cell>
          <cell r="H2308" t="str">
            <v>consulta_externa</v>
          </cell>
          <cell r="J2308" t="str">
            <v>bueno</v>
          </cell>
          <cell r="K2308" t="str">
            <v>probsi</v>
          </cell>
        </row>
        <row r="2309">
          <cell r="B2309" t="b">
            <v>1</v>
          </cell>
          <cell r="E2309" t="str">
            <v>Punta Canoa</v>
          </cell>
          <cell r="H2309" t="str">
            <v>salud_oral</v>
          </cell>
          <cell r="J2309" t="str">
            <v>bueno</v>
          </cell>
          <cell r="K2309" t="str">
            <v>probsi</v>
          </cell>
        </row>
        <row r="2310">
          <cell r="B2310" t="b">
            <v>1</v>
          </cell>
          <cell r="E2310" t="str">
            <v>Punta Canoa</v>
          </cell>
          <cell r="H2310" t="str">
            <v>salud_oral</v>
          </cell>
          <cell r="J2310" t="str">
            <v>bueno</v>
          </cell>
          <cell r="K2310" t="str">
            <v>probsi</v>
          </cell>
        </row>
        <row r="2311">
          <cell r="B2311" t="b">
            <v>1</v>
          </cell>
          <cell r="E2311" t="str">
            <v>Punta Canoa</v>
          </cell>
          <cell r="H2311" t="str">
            <v>salud_oral</v>
          </cell>
          <cell r="J2311" t="str">
            <v>bueno</v>
          </cell>
          <cell r="K2311" t="str">
            <v>probsi</v>
          </cell>
        </row>
        <row r="2312">
          <cell r="B2312" t="b">
            <v>1</v>
          </cell>
          <cell r="E2312" t="str">
            <v>Punta Canoa</v>
          </cell>
          <cell r="H2312" t="str">
            <v>laboratorio</v>
          </cell>
          <cell r="J2312" t="str">
            <v>bueno</v>
          </cell>
          <cell r="K2312" t="str">
            <v>probsi</v>
          </cell>
        </row>
        <row r="2313">
          <cell r="B2313" t="b">
            <v>1</v>
          </cell>
          <cell r="E2313" t="str">
            <v>Punta Canoa</v>
          </cell>
          <cell r="H2313" t="str">
            <v>laboratorio</v>
          </cell>
          <cell r="J2313" t="str">
            <v>bueno</v>
          </cell>
          <cell r="K2313" t="str">
            <v>probsi</v>
          </cell>
        </row>
        <row r="2314">
          <cell r="B2314" t="b">
            <v>1</v>
          </cell>
          <cell r="E2314" t="str">
            <v>Punta Canoa</v>
          </cell>
          <cell r="H2314" t="str">
            <v>laboratorio</v>
          </cell>
          <cell r="J2314" t="str">
            <v>bueno</v>
          </cell>
          <cell r="K2314" t="str">
            <v>probsi</v>
          </cell>
        </row>
        <row r="2315">
          <cell r="B2315" t="b">
            <v>1</v>
          </cell>
          <cell r="E2315" t="str">
            <v>Punta Canoa</v>
          </cell>
          <cell r="H2315" t="str">
            <v>salud_oral</v>
          </cell>
          <cell r="J2315" t="str">
            <v>bueno</v>
          </cell>
          <cell r="K2315" t="str">
            <v>probsi</v>
          </cell>
        </row>
        <row r="2316">
          <cell r="B2316" t="b">
            <v>1</v>
          </cell>
          <cell r="E2316" t="str">
            <v>Punta Canoa</v>
          </cell>
          <cell r="H2316" t="str">
            <v>salud_oral</v>
          </cell>
          <cell r="J2316" t="str">
            <v>bueno</v>
          </cell>
          <cell r="K2316" t="str">
            <v>probsi</v>
          </cell>
        </row>
        <row r="2317">
          <cell r="B2317" t="b">
            <v>1</v>
          </cell>
          <cell r="E2317" t="str">
            <v>Punta Canoa</v>
          </cell>
          <cell r="H2317" t="str">
            <v>consulta_externa</v>
          </cell>
          <cell r="J2317" t="str">
            <v>bueno</v>
          </cell>
          <cell r="K2317" t="str">
            <v>probsi</v>
          </cell>
        </row>
        <row r="2318">
          <cell r="B2318" t="b">
            <v>1</v>
          </cell>
          <cell r="E2318" t="str">
            <v>Punta Canoa</v>
          </cell>
          <cell r="H2318" t="str">
            <v>consulta_externa</v>
          </cell>
          <cell r="J2318" t="str">
            <v>bueno</v>
          </cell>
          <cell r="K2318" t="str">
            <v>probsi</v>
          </cell>
        </row>
        <row r="2319">
          <cell r="B2319" t="b">
            <v>1</v>
          </cell>
          <cell r="E2319" t="str">
            <v>Punta Canoa</v>
          </cell>
          <cell r="H2319" t="str">
            <v>laboratorio</v>
          </cell>
          <cell r="J2319" t="str">
            <v>bueno</v>
          </cell>
          <cell r="K2319" t="str">
            <v>probsi</v>
          </cell>
        </row>
        <row r="2320">
          <cell r="B2320" t="b">
            <v>1</v>
          </cell>
          <cell r="E2320" t="str">
            <v>Punta Canoa</v>
          </cell>
          <cell r="H2320" t="str">
            <v>laboratorio</v>
          </cell>
          <cell r="J2320" t="str">
            <v>bueno</v>
          </cell>
          <cell r="K2320" t="str">
            <v>probsi</v>
          </cell>
        </row>
        <row r="2321">
          <cell r="B2321" t="b">
            <v>1</v>
          </cell>
          <cell r="E2321" t="str">
            <v>Libano</v>
          </cell>
          <cell r="H2321" t="str">
            <v>consulta_externa</v>
          </cell>
          <cell r="J2321" t="str">
            <v>bueno</v>
          </cell>
          <cell r="K2321" t="str">
            <v>defsi</v>
          </cell>
        </row>
        <row r="2322">
          <cell r="B2322" t="b">
            <v>1</v>
          </cell>
          <cell r="E2322" t="str">
            <v>Libano</v>
          </cell>
          <cell r="H2322" t="str">
            <v>salud_oral</v>
          </cell>
          <cell r="J2322" t="str">
            <v>bueno</v>
          </cell>
          <cell r="K2322" t="str">
            <v>defsi</v>
          </cell>
        </row>
        <row r="2323">
          <cell r="B2323" t="b">
            <v>1</v>
          </cell>
          <cell r="E2323" t="str">
            <v>Libano</v>
          </cell>
          <cell r="H2323" t="str">
            <v>laboratorio</v>
          </cell>
          <cell r="J2323" t="str">
            <v>bueno</v>
          </cell>
          <cell r="K2323" t="str">
            <v>defsi</v>
          </cell>
        </row>
        <row r="2324">
          <cell r="B2324" t="b">
            <v>1</v>
          </cell>
          <cell r="E2324" t="str">
            <v>Libano</v>
          </cell>
          <cell r="H2324" t="str">
            <v>ginecologia</v>
          </cell>
          <cell r="J2324" t="str">
            <v>bueno</v>
          </cell>
          <cell r="K2324" t="str">
            <v>defsi</v>
          </cell>
        </row>
        <row r="2325">
          <cell r="B2325" t="b">
            <v>1</v>
          </cell>
          <cell r="E2325" t="str">
            <v>Libano</v>
          </cell>
          <cell r="H2325" t="str">
            <v>pediatria</v>
          </cell>
          <cell r="J2325" t="str">
            <v>bueno</v>
          </cell>
          <cell r="K2325" t="str">
            <v>defsi</v>
          </cell>
        </row>
        <row r="2326">
          <cell r="B2326" t="b">
            <v>1</v>
          </cell>
          <cell r="E2326" t="str">
            <v>Libano</v>
          </cell>
          <cell r="H2326" t="str">
            <v>consulta_externa</v>
          </cell>
          <cell r="J2326" t="str">
            <v>bueno</v>
          </cell>
          <cell r="K2326" t="str">
            <v>defsi</v>
          </cell>
        </row>
        <row r="2327">
          <cell r="B2327" t="b">
            <v>1</v>
          </cell>
          <cell r="E2327" t="str">
            <v>Libano</v>
          </cell>
          <cell r="H2327" t="str">
            <v>salud_oral</v>
          </cell>
          <cell r="J2327" t="str">
            <v>bueno</v>
          </cell>
          <cell r="K2327" t="str">
            <v>defsi</v>
          </cell>
        </row>
        <row r="2328">
          <cell r="B2328" t="b">
            <v>1</v>
          </cell>
          <cell r="E2328" t="str">
            <v>Libano</v>
          </cell>
          <cell r="H2328" t="str">
            <v>laboratorio</v>
          </cell>
          <cell r="J2328" t="str">
            <v>bueno</v>
          </cell>
          <cell r="K2328" t="str">
            <v>defsi</v>
          </cell>
        </row>
        <row r="2329">
          <cell r="B2329" t="b">
            <v>1</v>
          </cell>
          <cell r="E2329" t="str">
            <v>Libano</v>
          </cell>
          <cell r="H2329" t="str">
            <v>ginecologia</v>
          </cell>
          <cell r="J2329" t="str">
            <v>bueno</v>
          </cell>
          <cell r="K2329" t="str">
            <v>defsi</v>
          </cell>
        </row>
        <row r="2330">
          <cell r="B2330" t="b">
            <v>1</v>
          </cell>
          <cell r="E2330" t="str">
            <v>Libano</v>
          </cell>
          <cell r="H2330" t="str">
            <v>consulta_externa</v>
          </cell>
          <cell r="J2330" t="str">
            <v>bueno</v>
          </cell>
          <cell r="K2330" t="str">
            <v>defsi</v>
          </cell>
        </row>
        <row r="2331">
          <cell r="B2331" t="b">
            <v>1</v>
          </cell>
          <cell r="E2331" t="str">
            <v>Libano</v>
          </cell>
          <cell r="H2331" t="str">
            <v>salud_oral</v>
          </cell>
          <cell r="J2331" t="str">
            <v>bueno</v>
          </cell>
          <cell r="K2331" t="str">
            <v>defsi</v>
          </cell>
        </row>
        <row r="2332">
          <cell r="B2332" t="b">
            <v>1</v>
          </cell>
          <cell r="E2332" t="str">
            <v>Libano</v>
          </cell>
          <cell r="H2332" t="str">
            <v>laboratorio</v>
          </cell>
          <cell r="J2332" t="str">
            <v>bueno</v>
          </cell>
          <cell r="K2332" t="str">
            <v>defsi</v>
          </cell>
        </row>
        <row r="2333">
          <cell r="B2333" t="b">
            <v>1</v>
          </cell>
          <cell r="E2333" t="str">
            <v>Libano</v>
          </cell>
          <cell r="H2333" t="str">
            <v>ginecologia</v>
          </cell>
          <cell r="J2333" t="str">
            <v>bueno</v>
          </cell>
          <cell r="K2333" t="str">
            <v>defsi</v>
          </cell>
        </row>
        <row r="2334">
          <cell r="B2334" t="b">
            <v>1</v>
          </cell>
          <cell r="E2334" t="str">
            <v>Libano</v>
          </cell>
          <cell r="H2334" t="str">
            <v>consulta_externa</v>
          </cell>
          <cell r="J2334" t="str">
            <v>bueno</v>
          </cell>
          <cell r="K2334" t="str">
            <v>defsi</v>
          </cell>
        </row>
        <row r="2335">
          <cell r="B2335" t="b">
            <v>1</v>
          </cell>
          <cell r="E2335" t="str">
            <v>Libano</v>
          </cell>
          <cell r="H2335" t="str">
            <v>salud_oral</v>
          </cell>
          <cell r="J2335" t="str">
            <v>bueno</v>
          </cell>
          <cell r="K2335" t="str">
            <v>defsi</v>
          </cell>
        </row>
        <row r="2336">
          <cell r="B2336" t="b">
            <v>1</v>
          </cell>
          <cell r="E2336" t="str">
            <v>Libano</v>
          </cell>
          <cell r="H2336" t="str">
            <v>laboratorio</v>
          </cell>
          <cell r="J2336" t="str">
            <v>bueno</v>
          </cell>
          <cell r="K2336" t="str">
            <v>defsi</v>
          </cell>
        </row>
        <row r="2337">
          <cell r="B2337" t="b">
            <v>1</v>
          </cell>
          <cell r="E2337" t="str">
            <v>Libano</v>
          </cell>
          <cell r="H2337" t="str">
            <v>ginecologia</v>
          </cell>
          <cell r="J2337" t="str">
            <v>bueno</v>
          </cell>
          <cell r="K2337" t="str">
            <v>defsi</v>
          </cell>
        </row>
        <row r="2338">
          <cell r="B2338" t="b">
            <v>1</v>
          </cell>
          <cell r="E2338" t="str">
            <v>Libano</v>
          </cell>
          <cell r="H2338" t="str">
            <v>consulta_externa</v>
          </cell>
          <cell r="J2338" t="str">
            <v>bueno</v>
          </cell>
          <cell r="K2338" t="str">
            <v>defsi</v>
          </cell>
        </row>
        <row r="2339">
          <cell r="B2339" t="b">
            <v>1</v>
          </cell>
          <cell r="E2339" t="str">
            <v>Libano</v>
          </cell>
          <cell r="H2339" t="str">
            <v>salud_oral</v>
          </cell>
          <cell r="J2339" t="str">
            <v>bueno</v>
          </cell>
          <cell r="K2339" t="str">
            <v>defsi</v>
          </cell>
        </row>
        <row r="2340">
          <cell r="B2340" t="b">
            <v>1</v>
          </cell>
          <cell r="E2340" t="str">
            <v>Libano</v>
          </cell>
          <cell r="H2340" t="str">
            <v>laboratorio</v>
          </cell>
          <cell r="J2340" t="str">
            <v>bueno</v>
          </cell>
          <cell r="K2340" t="str">
            <v>defsi</v>
          </cell>
        </row>
        <row r="2341">
          <cell r="B2341" t="b">
            <v>1</v>
          </cell>
          <cell r="E2341" t="str">
            <v>Libano</v>
          </cell>
          <cell r="H2341" t="str">
            <v>ginecologia</v>
          </cell>
          <cell r="J2341" t="str">
            <v>bueno</v>
          </cell>
          <cell r="K2341" t="str">
            <v>defsi</v>
          </cell>
        </row>
        <row r="2342">
          <cell r="B2342" t="b">
            <v>1</v>
          </cell>
          <cell r="E2342" t="str">
            <v>Libano</v>
          </cell>
          <cell r="H2342" t="str">
            <v>consulta_externa</v>
          </cell>
          <cell r="J2342" t="str">
            <v>bueno</v>
          </cell>
          <cell r="K2342" t="str">
            <v>defsi</v>
          </cell>
        </row>
        <row r="2343">
          <cell r="B2343" t="b">
            <v>1</v>
          </cell>
          <cell r="E2343" t="str">
            <v>Libano</v>
          </cell>
          <cell r="H2343" t="str">
            <v>salud_oral</v>
          </cell>
          <cell r="J2343" t="str">
            <v>bueno</v>
          </cell>
          <cell r="K2343" t="str">
            <v>defsi</v>
          </cell>
        </row>
        <row r="2344">
          <cell r="B2344" t="b">
            <v>1</v>
          </cell>
          <cell r="E2344" t="str">
            <v>Libano</v>
          </cell>
          <cell r="H2344" t="str">
            <v>laboratorio</v>
          </cell>
          <cell r="J2344" t="str">
            <v>bueno</v>
          </cell>
          <cell r="K2344" t="str">
            <v>defsi</v>
          </cell>
        </row>
        <row r="2345">
          <cell r="B2345" t="b">
            <v>1</v>
          </cell>
          <cell r="E2345" t="str">
            <v>Santa Ana</v>
          </cell>
          <cell r="H2345" t="str">
            <v>consulta_externa</v>
          </cell>
          <cell r="J2345" t="str">
            <v>bueno</v>
          </cell>
          <cell r="K2345" t="str">
            <v>defsi</v>
          </cell>
        </row>
        <row r="2346">
          <cell r="B2346" t="b">
            <v>1</v>
          </cell>
          <cell r="E2346" t="str">
            <v>Santa Ana</v>
          </cell>
          <cell r="H2346" t="str">
            <v>salud_oral</v>
          </cell>
          <cell r="J2346" t="str">
            <v>bueno</v>
          </cell>
          <cell r="K2346" t="str">
            <v>defsi</v>
          </cell>
        </row>
        <row r="2347">
          <cell r="B2347" t="b">
            <v>1</v>
          </cell>
          <cell r="E2347" t="str">
            <v>Santa Ana</v>
          </cell>
          <cell r="H2347" t="str">
            <v>laboratorio</v>
          </cell>
          <cell r="J2347" t="str">
            <v>bueno</v>
          </cell>
          <cell r="K2347" t="str">
            <v>defsi</v>
          </cell>
        </row>
        <row r="2348">
          <cell r="B2348" t="b">
            <v>1</v>
          </cell>
          <cell r="E2348" t="str">
            <v>Santa Ana</v>
          </cell>
          <cell r="H2348" t="str">
            <v>urgencia</v>
          </cell>
          <cell r="J2348" t="str">
            <v>bueno</v>
          </cell>
          <cell r="K2348" t="str">
            <v>defsi</v>
          </cell>
        </row>
        <row r="2349">
          <cell r="B2349" t="b">
            <v>1</v>
          </cell>
          <cell r="E2349" t="str">
            <v>Santa Ana</v>
          </cell>
          <cell r="H2349" t="str">
            <v>consulta_externa</v>
          </cell>
          <cell r="J2349" t="str">
            <v>bueno</v>
          </cell>
          <cell r="K2349" t="str">
            <v>defsi</v>
          </cell>
        </row>
        <row r="2350">
          <cell r="B2350" t="b">
            <v>1</v>
          </cell>
          <cell r="E2350" t="str">
            <v>Santa Ana</v>
          </cell>
          <cell r="H2350" t="str">
            <v>salud_oral</v>
          </cell>
          <cell r="J2350" t="str">
            <v>bueno</v>
          </cell>
          <cell r="K2350" t="str">
            <v>defsi</v>
          </cell>
        </row>
        <row r="2351">
          <cell r="B2351" t="b">
            <v>1</v>
          </cell>
          <cell r="E2351" t="str">
            <v>Santa Ana</v>
          </cell>
          <cell r="H2351" t="str">
            <v>laboratorio</v>
          </cell>
          <cell r="J2351" t="str">
            <v>bueno</v>
          </cell>
          <cell r="K2351" t="str">
            <v>defsi</v>
          </cell>
        </row>
        <row r="2352">
          <cell r="B2352" t="b">
            <v>1</v>
          </cell>
          <cell r="E2352" t="str">
            <v>Santa Ana</v>
          </cell>
          <cell r="H2352" t="str">
            <v>urgencia</v>
          </cell>
          <cell r="J2352" t="str">
            <v>bueno</v>
          </cell>
          <cell r="K2352" t="str">
            <v>defsi</v>
          </cell>
        </row>
        <row r="2353">
          <cell r="B2353" t="b">
            <v>1</v>
          </cell>
          <cell r="E2353" t="str">
            <v>Santa Ana</v>
          </cell>
          <cell r="H2353" t="str">
            <v>consulta_externa</v>
          </cell>
          <cell r="J2353" t="str">
            <v>bueno</v>
          </cell>
          <cell r="K2353" t="str">
            <v>defsi</v>
          </cell>
        </row>
        <row r="2354">
          <cell r="B2354" t="b">
            <v>1</v>
          </cell>
          <cell r="E2354" t="str">
            <v>Santa Ana</v>
          </cell>
          <cell r="H2354" t="str">
            <v>salud_oral</v>
          </cell>
          <cell r="J2354" t="str">
            <v>bueno</v>
          </cell>
          <cell r="K2354" t="str">
            <v>defsi</v>
          </cell>
        </row>
        <row r="2355">
          <cell r="B2355" t="b">
            <v>0</v>
          </cell>
          <cell r="E2355" t="str">
            <v>Arroz Barato</v>
          </cell>
          <cell r="H2355" t="str">
            <v>consulta_externa</v>
          </cell>
          <cell r="J2355" t="str">
            <v>regular</v>
          </cell>
          <cell r="K2355" t="str">
            <v>probsi</v>
          </cell>
        </row>
        <row r="2356">
          <cell r="B2356" t="b">
            <v>1</v>
          </cell>
          <cell r="E2356" t="str">
            <v>Arroz Barato</v>
          </cell>
          <cell r="H2356" t="str">
            <v>laboratorio</v>
          </cell>
          <cell r="J2356" t="str">
            <v>bueno</v>
          </cell>
          <cell r="K2356" t="str">
            <v>probsi</v>
          </cell>
        </row>
        <row r="2357">
          <cell r="B2357" t="b">
            <v>0</v>
          </cell>
          <cell r="E2357" t="str">
            <v>Arroz Barato</v>
          </cell>
          <cell r="H2357" t="str">
            <v>urgencia</v>
          </cell>
          <cell r="J2357" t="str">
            <v>regular</v>
          </cell>
          <cell r="K2357" t="str">
            <v>probsi</v>
          </cell>
        </row>
        <row r="2358">
          <cell r="B2358" t="b">
            <v>0</v>
          </cell>
          <cell r="E2358" t="str">
            <v>Arroz Barato</v>
          </cell>
          <cell r="H2358" t="str">
            <v>consulta_externa</v>
          </cell>
          <cell r="J2358" t="str">
            <v>regular</v>
          </cell>
          <cell r="K2358" t="str">
            <v>probsi</v>
          </cell>
        </row>
        <row r="2359">
          <cell r="B2359" t="b">
            <v>0</v>
          </cell>
          <cell r="E2359" t="str">
            <v>Arroz Barato</v>
          </cell>
          <cell r="H2359" t="str">
            <v>salud_oral</v>
          </cell>
          <cell r="J2359" t="str">
            <v>regular</v>
          </cell>
          <cell r="K2359" t="str">
            <v>probsi</v>
          </cell>
        </row>
        <row r="2360">
          <cell r="B2360" t="b">
            <v>1</v>
          </cell>
          <cell r="E2360" t="str">
            <v>Arroz Barato</v>
          </cell>
          <cell r="H2360" t="str">
            <v>consulta_externa</v>
          </cell>
          <cell r="J2360" t="str">
            <v>bueno</v>
          </cell>
          <cell r="K2360" t="str">
            <v>probsi</v>
          </cell>
        </row>
        <row r="2361">
          <cell r="B2361" t="b">
            <v>1</v>
          </cell>
          <cell r="E2361" t="str">
            <v>Arroz Barato</v>
          </cell>
          <cell r="H2361" t="str">
            <v>salud_oral</v>
          </cell>
          <cell r="J2361" t="str">
            <v>bueno</v>
          </cell>
          <cell r="K2361" t="str">
            <v>probsi</v>
          </cell>
        </row>
        <row r="2362">
          <cell r="B2362" t="b">
            <v>1</v>
          </cell>
          <cell r="E2362" t="str">
            <v>Arroz Barato</v>
          </cell>
          <cell r="H2362" t="str">
            <v>consulta_externa</v>
          </cell>
          <cell r="J2362" t="str">
            <v>bueno</v>
          </cell>
          <cell r="K2362" t="str">
            <v>probsi</v>
          </cell>
        </row>
        <row r="2363">
          <cell r="B2363" t="b">
            <v>1</v>
          </cell>
          <cell r="E2363" t="str">
            <v>Arroz Barato</v>
          </cell>
          <cell r="H2363" t="str">
            <v>consulta_externa</v>
          </cell>
          <cell r="J2363" t="str">
            <v>bueno</v>
          </cell>
          <cell r="K2363" t="str">
            <v>probsi</v>
          </cell>
        </row>
        <row r="2364">
          <cell r="B2364" t="b">
            <v>1</v>
          </cell>
          <cell r="E2364" t="str">
            <v>Arroz Barato</v>
          </cell>
          <cell r="H2364" t="str">
            <v>laboratorio</v>
          </cell>
          <cell r="J2364" t="str">
            <v>bueno</v>
          </cell>
          <cell r="K2364" t="str">
            <v>probsi</v>
          </cell>
        </row>
        <row r="2365">
          <cell r="B2365" t="b">
            <v>1</v>
          </cell>
          <cell r="E2365" t="str">
            <v>Arroz Barato</v>
          </cell>
          <cell r="H2365" t="str">
            <v>laboratorio</v>
          </cell>
          <cell r="J2365" t="str">
            <v>bueno</v>
          </cell>
          <cell r="K2365" t="str">
            <v>probsi</v>
          </cell>
        </row>
        <row r="2366">
          <cell r="B2366" t="b">
            <v>1</v>
          </cell>
          <cell r="E2366" t="str">
            <v>Arroz Barato</v>
          </cell>
          <cell r="H2366" t="str">
            <v>salud_oral</v>
          </cell>
          <cell r="J2366" t="str">
            <v>bueno</v>
          </cell>
          <cell r="K2366" t="str">
            <v>probsi</v>
          </cell>
        </row>
        <row r="2367">
          <cell r="B2367" t="b">
            <v>1</v>
          </cell>
          <cell r="E2367" t="str">
            <v>Arroz Barato</v>
          </cell>
          <cell r="H2367" t="str">
            <v>consulta_externa</v>
          </cell>
          <cell r="J2367" t="str">
            <v>bueno</v>
          </cell>
          <cell r="K2367" t="str">
            <v>probsi</v>
          </cell>
        </row>
        <row r="2368">
          <cell r="B2368" t="b">
            <v>0</v>
          </cell>
          <cell r="E2368" t="str">
            <v>Arroz Barato</v>
          </cell>
          <cell r="H2368" t="str">
            <v>urgencia</v>
          </cell>
          <cell r="J2368" t="str">
            <v>regular</v>
          </cell>
          <cell r="K2368" t="str">
            <v>probsi</v>
          </cell>
        </row>
        <row r="2369">
          <cell r="B2369" t="b">
            <v>1</v>
          </cell>
          <cell r="E2369" t="str">
            <v>Arroz Barato</v>
          </cell>
          <cell r="H2369" t="str">
            <v>consulta_externa</v>
          </cell>
          <cell r="J2369" t="str">
            <v>bueno</v>
          </cell>
          <cell r="K2369" t="str">
            <v>probsi</v>
          </cell>
        </row>
        <row r="2370">
          <cell r="B2370" t="b">
            <v>1</v>
          </cell>
          <cell r="E2370" t="str">
            <v>Arroz Barato</v>
          </cell>
          <cell r="H2370" t="str">
            <v>consulta_externa</v>
          </cell>
          <cell r="J2370" t="str">
            <v>bueno</v>
          </cell>
          <cell r="K2370" t="str">
            <v>probsi</v>
          </cell>
        </row>
        <row r="2371">
          <cell r="B2371" t="b">
            <v>1</v>
          </cell>
          <cell r="E2371" t="str">
            <v>Arroz Barato</v>
          </cell>
          <cell r="H2371" t="str">
            <v>consulta_externa</v>
          </cell>
          <cell r="J2371" t="str">
            <v>bueno</v>
          </cell>
          <cell r="K2371" t="str">
            <v>probsi</v>
          </cell>
        </row>
        <row r="2372">
          <cell r="B2372" t="b">
            <v>1</v>
          </cell>
          <cell r="E2372" t="str">
            <v>Arroz Barato</v>
          </cell>
          <cell r="H2372" t="str">
            <v>salud_oral</v>
          </cell>
          <cell r="J2372" t="str">
            <v>bueno</v>
          </cell>
          <cell r="K2372" t="str">
            <v>probsi</v>
          </cell>
        </row>
        <row r="2373">
          <cell r="B2373" t="b">
            <v>1</v>
          </cell>
          <cell r="E2373" t="str">
            <v>Arroz Barato</v>
          </cell>
          <cell r="H2373" t="str">
            <v>laboratorio</v>
          </cell>
          <cell r="J2373" t="str">
            <v>bueno</v>
          </cell>
          <cell r="K2373" t="str">
            <v>probsi</v>
          </cell>
        </row>
        <row r="2374">
          <cell r="B2374" t="b">
            <v>0</v>
          </cell>
          <cell r="E2374" t="str">
            <v>Arroz Barato</v>
          </cell>
          <cell r="H2374" t="str">
            <v>urgencia</v>
          </cell>
          <cell r="J2374" t="str">
            <v>regular</v>
          </cell>
          <cell r="K2374" t="str">
            <v>probsi</v>
          </cell>
        </row>
        <row r="2375">
          <cell r="B2375" t="b">
            <v>1</v>
          </cell>
          <cell r="E2375" t="str">
            <v>Arroz Barato</v>
          </cell>
          <cell r="H2375" t="str">
            <v>consulta_externa</v>
          </cell>
          <cell r="J2375" t="str">
            <v>bueno</v>
          </cell>
          <cell r="K2375" t="str">
            <v>probsi</v>
          </cell>
        </row>
        <row r="2376">
          <cell r="B2376" t="b">
            <v>1</v>
          </cell>
          <cell r="E2376" t="str">
            <v>Arroz Barato</v>
          </cell>
          <cell r="H2376" t="str">
            <v>laboratorio</v>
          </cell>
          <cell r="J2376" t="str">
            <v>bueno</v>
          </cell>
          <cell r="K2376" t="str">
            <v>probsi</v>
          </cell>
        </row>
        <row r="2377">
          <cell r="B2377" t="b">
            <v>1</v>
          </cell>
          <cell r="E2377" t="str">
            <v>Arroz Barato</v>
          </cell>
          <cell r="H2377" t="str">
            <v>consulta_externa</v>
          </cell>
          <cell r="J2377" t="str">
            <v>bueno</v>
          </cell>
          <cell r="K2377" t="str">
            <v>probsi</v>
          </cell>
        </row>
        <row r="2378">
          <cell r="B2378" t="b">
            <v>1</v>
          </cell>
          <cell r="E2378" t="str">
            <v>Arroz Barato</v>
          </cell>
          <cell r="H2378" t="str">
            <v>salud_oral</v>
          </cell>
          <cell r="J2378" t="str">
            <v>bueno</v>
          </cell>
          <cell r="K2378" t="str">
            <v>probsi</v>
          </cell>
        </row>
        <row r="2379">
          <cell r="B2379" t="b">
            <v>1</v>
          </cell>
          <cell r="E2379" t="str">
            <v>Blasdelezo</v>
          </cell>
          <cell r="H2379" t="str">
            <v>consulta_externa</v>
          </cell>
          <cell r="J2379" t="str">
            <v>bueno</v>
          </cell>
          <cell r="K2379" t="str">
            <v>defsi</v>
          </cell>
        </row>
        <row r="2380">
          <cell r="B2380" t="b">
            <v>1</v>
          </cell>
          <cell r="E2380" t="str">
            <v>Blasdelezo</v>
          </cell>
          <cell r="H2380" t="str">
            <v>salud_oral</v>
          </cell>
          <cell r="J2380" t="str">
            <v>bueno</v>
          </cell>
          <cell r="K2380" t="str">
            <v>defsi</v>
          </cell>
        </row>
        <row r="2381">
          <cell r="B2381" t="b">
            <v>1</v>
          </cell>
          <cell r="E2381" t="str">
            <v>Blasdelezo</v>
          </cell>
          <cell r="H2381" t="str">
            <v>laboratorio</v>
          </cell>
          <cell r="J2381" t="str">
            <v>bueno</v>
          </cell>
          <cell r="K2381" t="str">
            <v>defsi</v>
          </cell>
        </row>
        <row r="2382">
          <cell r="B2382" t="b">
            <v>1</v>
          </cell>
          <cell r="E2382" t="str">
            <v>Blasdelezo</v>
          </cell>
          <cell r="H2382" t="str">
            <v>urgencia</v>
          </cell>
          <cell r="J2382" t="str">
            <v>bueno</v>
          </cell>
          <cell r="K2382" t="str">
            <v>defsi</v>
          </cell>
        </row>
        <row r="2383">
          <cell r="B2383" t="b">
            <v>1</v>
          </cell>
          <cell r="E2383" t="str">
            <v>Arroz Barato</v>
          </cell>
          <cell r="H2383" t="str">
            <v>salud_oral</v>
          </cell>
          <cell r="J2383" t="str">
            <v>bueno</v>
          </cell>
          <cell r="K2383" t="str">
            <v>probsi</v>
          </cell>
        </row>
        <row r="2384">
          <cell r="B2384" t="b">
            <v>1</v>
          </cell>
          <cell r="E2384" t="str">
            <v>Blasdelezo</v>
          </cell>
          <cell r="H2384" t="str">
            <v>pediatria</v>
          </cell>
          <cell r="J2384" t="str">
            <v>bueno</v>
          </cell>
          <cell r="K2384" t="str">
            <v>defsi</v>
          </cell>
        </row>
        <row r="2385">
          <cell r="B2385" t="b">
            <v>1</v>
          </cell>
          <cell r="E2385" t="str">
            <v>Arroz Barato</v>
          </cell>
          <cell r="H2385" t="str">
            <v>consulta_externa</v>
          </cell>
          <cell r="J2385" t="str">
            <v>bueno</v>
          </cell>
          <cell r="K2385" t="str">
            <v>probsi</v>
          </cell>
        </row>
        <row r="2386">
          <cell r="B2386" t="b">
            <v>1</v>
          </cell>
          <cell r="E2386" t="str">
            <v>Blasdelezo</v>
          </cell>
          <cell r="H2386" t="str">
            <v>medicina_interna</v>
          </cell>
          <cell r="J2386" t="str">
            <v>bueno</v>
          </cell>
          <cell r="K2386" t="str">
            <v>defsi</v>
          </cell>
        </row>
        <row r="2387">
          <cell r="B2387" t="b">
            <v>1</v>
          </cell>
          <cell r="E2387" t="str">
            <v>Blasdelezo</v>
          </cell>
          <cell r="H2387" t="str">
            <v>consulta_externa</v>
          </cell>
          <cell r="J2387" t="str">
            <v>bueno</v>
          </cell>
          <cell r="K2387" t="str">
            <v>defsi</v>
          </cell>
        </row>
        <row r="2388">
          <cell r="B2388" t="b">
            <v>1</v>
          </cell>
          <cell r="E2388" t="str">
            <v>Blasdelezo</v>
          </cell>
          <cell r="H2388" t="str">
            <v>salud_oral</v>
          </cell>
          <cell r="J2388" t="str">
            <v>bueno</v>
          </cell>
          <cell r="K2388" t="str">
            <v>defsi</v>
          </cell>
        </row>
        <row r="2389">
          <cell r="B2389" t="b">
            <v>1</v>
          </cell>
          <cell r="E2389" t="str">
            <v>Blasdelezo</v>
          </cell>
          <cell r="H2389" t="str">
            <v>laboratorio</v>
          </cell>
          <cell r="J2389" t="str">
            <v>bueno</v>
          </cell>
          <cell r="K2389" t="str">
            <v>defsi</v>
          </cell>
        </row>
        <row r="2390">
          <cell r="B2390" t="b">
            <v>1</v>
          </cell>
          <cell r="E2390" t="str">
            <v>Blasdelezo</v>
          </cell>
          <cell r="H2390" t="str">
            <v>urgencia</v>
          </cell>
          <cell r="J2390" t="str">
            <v>bueno</v>
          </cell>
          <cell r="K2390" t="str">
            <v>defsi</v>
          </cell>
        </row>
        <row r="2391">
          <cell r="B2391" t="b">
            <v>1</v>
          </cell>
          <cell r="E2391" t="str">
            <v>Blasdelezo</v>
          </cell>
          <cell r="H2391" t="str">
            <v>pediatria</v>
          </cell>
          <cell r="J2391" t="str">
            <v>bueno</v>
          </cell>
          <cell r="K2391" t="str">
            <v>defsi</v>
          </cell>
        </row>
        <row r="2392">
          <cell r="B2392" t="b">
            <v>1</v>
          </cell>
          <cell r="E2392" t="str">
            <v>Blasdelezo</v>
          </cell>
          <cell r="H2392" t="str">
            <v>medicina_interna</v>
          </cell>
          <cell r="J2392" t="str">
            <v>bueno</v>
          </cell>
          <cell r="K2392" t="str">
            <v>defsi</v>
          </cell>
        </row>
        <row r="2393">
          <cell r="B2393" t="b">
            <v>1</v>
          </cell>
          <cell r="E2393" t="str">
            <v>Blasdelezo</v>
          </cell>
          <cell r="H2393" t="str">
            <v>consulta_externa</v>
          </cell>
          <cell r="J2393" t="str">
            <v>bueno</v>
          </cell>
          <cell r="K2393" t="str">
            <v>defsi</v>
          </cell>
        </row>
        <row r="2394">
          <cell r="B2394" t="b">
            <v>1</v>
          </cell>
          <cell r="E2394" t="str">
            <v>Blasdelezo</v>
          </cell>
          <cell r="H2394" t="str">
            <v>salud_oral</v>
          </cell>
          <cell r="J2394" t="str">
            <v>bueno</v>
          </cell>
          <cell r="K2394" t="str">
            <v>defsi</v>
          </cell>
        </row>
        <row r="2395">
          <cell r="B2395" t="b">
            <v>1</v>
          </cell>
          <cell r="E2395" t="str">
            <v>Blasdelezo</v>
          </cell>
          <cell r="H2395" t="str">
            <v>laboratorio</v>
          </cell>
          <cell r="J2395" t="str">
            <v>bueno</v>
          </cell>
          <cell r="K2395" t="str">
            <v>defsi</v>
          </cell>
        </row>
        <row r="2396">
          <cell r="B2396" t="b">
            <v>1</v>
          </cell>
          <cell r="E2396" t="str">
            <v>Blasdelezo</v>
          </cell>
          <cell r="H2396" t="str">
            <v>urgencia</v>
          </cell>
          <cell r="J2396" t="str">
            <v>bueno</v>
          </cell>
          <cell r="K2396" t="str">
            <v>defsi</v>
          </cell>
        </row>
        <row r="2397">
          <cell r="B2397" t="b">
            <v>1</v>
          </cell>
          <cell r="E2397" t="str">
            <v>Blasdelezo</v>
          </cell>
          <cell r="H2397" t="str">
            <v>pediatria</v>
          </cell>
          <cell r="J2397" t="str">
            <v>bueno</v>
          </cell>
          <cell r="K2397" t="str">
            <v>defsi</v>
          </cell>
        </row>
        <row r="2398">
          <cell r="B2398" t="b">
            <v>1</v>
          </cell>
          <cell r="E2398" t="str">
            <v>Blasdelezo</v>
          </cell>
          <cell r="H2398" t="str">
            <v>medicina_interna</v>
          </cell>
          <cell r="J2398" t="str">
            <v>bueno</v>
          </cell>
          <cell r="K2398" t="str">
            <v>defsi</v>
          </cell>
        </row>
        <row r="2399">
          <cell r="B2399" t="b">
            <v>1</v>
          </cell>
          <cell r="E2399" t="str">
            <v>Nelson Mandela UPA</v>
          </cell>
          <cell r="H2399" t="str">
            <v>consulta_externa</v>
          </cell>
          <cell r="J2399" t="str">
            <v>bueno</v>
          </cell>
          <cell r="K2399" t="str">
            <v>defsi</v>
          </cell>
        </row>
        <row r="2400">
          <cell r="B2400" t="b">
            <v>0</v>
          </cell>
          <cell r="E2400" t="str">
            <v>Nelson Mandela UPA</v>
          </cell>
          <cell r="H2400" t="str">
            <v>laboratorio</v>
          </cell>
          <cell r="J2400" t="str">
            <v>regular</v>
          </cell>
          <cell r="K2400" t="str">
            <v>probsi</v>
          </cell>
        </row>
        <row r="2401">
          <cell r="B2401" t="b">
            <v>1</v>
          </cell>
          <cell r="E2401" t="str">
            <v>Nelson Mandela UPA</v>
          </cell>
          <cell r="H2401" t="str">
            <v>laboratorio</v>
          </cell>
          <cell r="J2401" t="str">
            <v>bueno</v>
          </cell>
          <cell r="K2401" t="str">
            <v>defsi</v>
          </cell>
        </row>
        <row r="2402">
          <cell r="B2402" t="b">
            <v>1</v>
          </cell>
          <cell r="E2402" t="str">
            <v>Nelson Mandela UPA</v>
          </cell>
          <cell r="H2402" t="str">
            <v>consulta_externa</v>
          </cell>
          <cell r="J2402" t="str">
            <v>muybueno</v>
          </cell>
          <cell r="K2402" t="str">
            <v>defsi</v>
          </cell>
        </row>
        <row r="2403">
          <cell r="B2403" t="b">
            <v>1</v>
          </cell>
          <cell r="E2403" t="str">
            <v>Nelson Mandela UPA</v>
          </cell>
          <cell r="H2403" t="str">
            <v>laboratorio</v>
          </cell>
          <cell r="J2403" t="str">
            <v>bueno</v>
          </cell>
          <cell r="K2403" t="str">
            <v>defsi</v>
          </cell>
        </row>
        <row r="2404">
          <cell r="B2404" t="b">
            <v>1</v>
          </cell>
          <cell r="E2404" t="str">
            <v>Nelson Mandela UPA</v>
          </cell>
          <cell r="H2404" t="str">
            <v>laboratorio</v>
          </cell>
          <cell r="J2404" t="str">
            <v>bueno</v>
          </cell>
          <cell r="K2404" t="str">
            <v>defsi</v>
          </cell>
        </row>
        <row r="2405">
          <cell r="B2405" t="b">
            <v>0</v>
          </cell>
          <cell r="E2405" t="str">
            <v>Nelson Mandela UPA</v>
          </cell>
          <cell r="H2405" t="str">
            <v>laboratorio</v>
          </cell>
          <cell r="J2405" t="str">
            <v>regular</v>
          </cell>
          <cell r="K2405" t="str">
            <v>defsi</v>
          </cell>
        </row>
        <row r="2406">
          <cell r="B2406" t="b">
            <v>1</v>
          </cell>
          <cell r="E2406" t="str">
            <v>Blasdelezo</v>
          </cell>
          <cell r="H2406" t="str">
            <v>consulta_externa</v>
          </cell>
          <cell r="J2406" t="str">
            <v>bueno</v>
          </cell>
          <cell r="K2406" t="str">
            <v>defsi</v>
          </cell>
        </row>
        <row r="2407">
          <cell r="B2407" t="b">
            <v>1</v>
          </cell>
          <cell r="E2407" t="str">
            <v>Blasdelezo</v>
          </cell>
          <cell r="H2407" t="str">
            <v>salud_oral</v>
          </cell>
          <cell r="J2407" t="str">
            <v>bueno</v>
          </cell>
          <cell r="K2407" t="str">
            <v>defsi</v>
          </cell>
        </row>
        <row r="2408">
          <cell r="B2408" t="b">
            <v>1</v>
          </cell>
          <cell r="E2408" t="str">
            <v>Blasdelezo</v>
          </cell>
          <cell r="H2408" t="str">
            <v>laboratorio</v>
          </cell>
          <cell r="J2408" t="str">
            <v>bueno</v>
          </cell>
          <cell r="K2408" t="str">
            <v>defsi</v>
          </cell>
        </row>
        <row r="2409">
          <cell r="B2409" t="b">
            <v>1</v>
          </cell>
          <cell r="E2409" t="str">
            <v>Blasdelezo</v>
          </cell>
          <cell r="H2409" t="str">
            <v>pediatria</v>
          </cell>
          <cell r="J2409" t="str">
            <v>bueno</v>
          </cell>
          <cell r="K2409" t="str">
            <v>defsi</v>
          </cell>
        </row>
        <row r="2410">
          <cell r="B2410" t="b">
            <v>1</v>
          </cell>
          <cell r="E2410" t="str">
            <v>Blasdelezo</v>
          </cell>
          <cell r="H2410" t="str">
            <v>medicina_interna</v>
          </cell>
          <cell r="J2410" t="str">
            <v>bueno</v>
          </cell>
          <cell r="K2410" t="str">
            <v>defsi</v>
          </cell>
        </row>
        <row r="2411">
          <cell r="B2411" t="b">
            <v>1</v>
          </cell>
          <cell r="E2411" t="str">
            <v>Nelson Mandela UPA</v>
          </cell>
          <cell r="H2411" t="str">
            <v>salud_oral</v>
          </cell>
          <cell r="J2411" t="str">
            <v>bueno</v>
          </cell>
          <cell r="K2411" t="str">
            <v>defsi</v>
          </cell>
        </row>
        <row r="2412">
          <cell r="B2412" t="b">
            <v>1</v>
          </cell>
          <cell r="E2412" t="str">
            <v>Nelson Mandela UPA</v>
          </cell>
          <cell r="H2412" t="str">
            <v>salud_oral</v>
          </cell>
          <cell r="J2412" t="str">
            <v>bueno</v>
          </cell>
          <cell r="K2412" t="str">
            <v>defsi</v>
          </cell>
        </row>
        <row r="2413">
          <cell r="B2413" t="b">
            <v>1</v>
          </cell>
          <cell r="E2413" t="str">
            <v>Nelson Mandela UPA</v>
          </cell>
          <cell r="H2413" t="str">
            <v>salud_oral</v>
          </cell>
          <cell r="J2413" t="str">
            <v>bueno</v>
          </cell>
          <cell r="K2413" t="str">
            <v>defsi</v>
          </cell>
        </row>
        <row r="2414">
          <cell r="B2414" t="b">
            <v>1</v>
          </cell>
          <cell r="E2414" t="str">
            <v>Pasacaballos</v>
          </cell>
          <cell r="H2414" t="str">
            <v>consulta_externa</v>
          </cell>
          <cell r="J2414" t="str">
            <v>bueno</v>
          </cell>
          <cell r="K2414" t="str">
            <v>probsi</v>
          </cell>
        </row>
        <row r="2415">
          <cell r="B2415" t="b">
            <v>1</v>
          </cell>
          <cell r="E2415" t="str">
            <v>Pasacaballos</v>
          </cell>
          <cell r="H2415" t="str">
            <v>consulta_externa</v>
          </cell>
          <cell r="J2415" t="str">
            <v>bueno</v>
          </cell>
          <cell r="K2415" t="str">
            <v>probsi</v>
          </cell>
        </row>
        <row r="2416">
          <cell r="B2416" t="b">
            <v>0</v>
          </cell>
          <cell r="E2416" t="str">
            <v>Pasacaballos</v>
          </cell>
          <cell r="H2416" t="str">
            <v>consulta_externa</v>
          </cell>
          <cell r="J2416" t="str">
            <v>regular</v>
          </cell>
          <cell r="K2416" t="str">
            <v>probsi</v>
          </cell>
        </row>
        <row r="2417">
          <cell r="B2417" t="b">
            <v>1</v>
          </cell>
          <cell r="E2417" t="str">
            <v>Nelson Mandela UPA</v>
          </cell>
          <cell r="H2417" t="str">
            <v>laboratorio</v>
          </cell>
          <cell r="J2417" t="str">
            <v>bueno</v>
          </cell>
          <cell r="K2417" t="str">
            <v>defsi</v>
          </cell>
        </row>
        <row r="2418">
          <cell r="B2418" t="b">
            <v>1</v>
          </cell>
          <cell r="E2418" t="str">
            <v>Pasacaballos</v>
          </cell>
          <cell r="H2418" t="str">
            <v>consulta_externa</v>
          </cell>
          <cell r="J2418" t="str">
            <v>bueno</v>
          </cell>
          <cell r="K2418" t="str">
            <v>probsi</v>
          </cell>
        </row>
        <row r="2419">
          <cell r="B2419" t="b">
            <v>1</v>
          </cell>
          <cell r="E2419" t="str">
            <v>Pasacaballos</v>
          </cell>
          <cell r="H2419" t="str">
            <v>salud_oral</v>
          </cell>
          <cell r="J2419" t="str">
            <v>bueno</v>
          </cell>
          <cell r="K2419" t="str">
            <v>probsi</v>
          </cell>
        </row>
        <row r="2420">
          <cell r="B2420" t="b">
            <v>1</v>
          </cell>
          <cell r="E2420" t="str">
            <v>Nelson Mandela UPA</v>
          </cell>
          <cell r="H2420" t="str">
            <v>laboratorio</v>
          </cell>
          <cell r="J2420" t="str">
            <v>bueno</v>
          </cell>
          <cell r="K2420" t="str">
            <v>defsi</v>
          </cell>
        </row>
        <row r="2421">
          <cell r="B2421" t="b">
            <v>1</v>
          </cell>
          <cell r="E2421" t="str">
            <v>Nelson Mandela UPA</v>
          </cell>
          <cell r="H2421" t="str">
            <v>laboratorio</v>
          </cell>
          <cell r="J2421" t="str">
            <v>bueno</v>
          </cell>
          <cell r="K2421" t="str">
            <v>defsi</v>
          </cell>
        </row>
        <row r="2422">
          <cell r="B2422" t="b">
            <v>1</v>
          </cell>
          <cell r="E2422" t="str">
            <v>Pasacaballos</v>
          </cell>
          <cell r="H2422" t="str">
            <v>consulta_externa</v>
          </cell>
          <cell r="J2422" t="str">
            <v>bueno</v>
          </cell>
          <cell r="K2422" t="str">
            <v>probsi</v>
          </cell>
        </row>
        <row r="2423">
          <cell r="B2423" t="b">
            <v>1</v>
          </cell>
          <cell r="E2423" t="str">
            <v>Pasacaballos</v>
          </cell>
          <cell r="H2423" t="str">
            <v>laboratorio</v>
          </cell>
          <cell r="J2423" t="str">
            <v>bueno</v>
          </cell>
          <cell r="K2423" t="str">
            <v>probsi</v>
          </cell>
        </row>
        <row r="2424">
          <cell r="B2424" t="b">
            <v>1</v>
          </cell>
          <cell r="E2424" t="str">
            <v>Nelson Mandela UPA</v>
          </cell>
          <cell r="H2424" t="str">
            <v>salud_oral</v>
          </cell>
          <cell r="J2424" t="str">
            <v>bueno</v>
          </cell>
          <cell r="K2424" t="str">
            <v>defsi</v>
          </cell>
        </row>
        <row r="2425">
          <cell r="B2425" t="b">
            <v>1</v>
          </cell>
          <cell r="E2425" t="str">
            <v>Nelson Mandela UPA</v>
          </cell>
          <cell r="H2425" t="str">
            <v>consulta_externa</v>
          </cell>
          <cell r="J2425" t="str">
            <v>bueno</v>
          </cell>
          <cell r="K2425" t="str">
            <v>defsi</v>
          </cell>
        </row>
        <row r="2426">
          <cell r="B2426" t="b">
            <v>1</v>
          </cell>
          <cell r="E2426" t="str">
            <v>Nelson Mandela UPA</v>
          </cell>
          <cell r="H2426" t="str">
            <v>salud_oral</v>
          </cell>
          <cell r="J2426" t="str">
            <v>bueno</v>
          </cell>
          <cell r="K2426" t="str">
            <v>defsi</v>
          </cell>
        </row>
        <row r="2427">
          <cell r="B2427" t="b">
            <v>1</v>
          </cell>
          <cell r="E2427" t="str">
            <v>Pasacaballos</v>
          </cell>
          <cell r="H2427" t="str">
            <v>consulta_externa</v>
          </cell>
          <cell r="J2427" t="str">
            <v>bueno</v>
          </cell>
          <cell r="K2427" t="str">
            <v>probsi</v>
          </cell>
        </row>
        <row r="2428">
          <cell r="B2428" t="b">
            <v>1</v>
          </cell>
          <cell r="E2428" t="str">
            <v>Nelson Mandela UPA</v>
          </cell>
          <cell r="H2428" t="str">
            <v>laboratorio</v>
          </cell>
          <cell r="J2428" t="str">
            <v>bueno</v>
          </cell>
          <cell r="K2428" t="str">
            <v>defsi</v>
          </cell>
        </row>
        <row r="2429">
          <cell r="B2429" t="b">
            <v>1</v>
          </cell>
          <cell r="E2429" t="str">
            <v>Blasdelezo</v>
          </cell>
          <cell r="H2429" t="str">
            <v>consulta_externa</v>
          </cell>
          <cell r="J2429" t="str">
            <v>bueno</v>
          </cell>
          <cell r="K2429" t="str">
            <v>defsi</v>
          </cell>
        </row>
        <row r="2430">
          <cell r="B2430" t="b">
            <v>1</v>
          </cell>
          <cell r="E2430" t="str">
            <v>Pasacaballos</v>
          </cell>
          <cell r="H2430" t="str">
            <v>consulta_externa</v>
          </cell>
          <cell r="J2430" t="str">
            <v>bueno</v>
          </cell>
          <cell r="K2430" t="str">
            <v>probsi</v>
          </cell>
        </row>
        <row r="2431">
          <cell r="B2431" t="b">
            <v>1</v>
          </cell>
          <cell r="E2431" t="str">
            <v>Blasdelezo</v>
          </cell>
          <cell r="H2431" t="str">
            <v>salud_oral</v>
          </cell>
          <cell r="J2431" t="str">
            <v>bueno</v>
          </cell>
          <cell r="K2431" t="str">
            <v>defsi</v>
          </cell>
        </row>
        <row r="2432">
          <cell r="B2432" t="b">
            <v>1</v>
          </cell>
          <cell r="E2432" t="str">
            <v>Pasacaballos</v>
          </cell>
          <cell r="H2432" t="str">
            <v>consulta_externa</v>
          </cell>
          <cell r="J2432" t="str">
            <v>bueno</v>
          </cell>
          <cell r="K2432" t="str">
            <v>probsi</v>
          </cell>
        </row>
        <row r="2433">
          <cell r="B2433" t="b">
            <v>1</v>
          </cell>
          <cell r="E2433" t="str">
            <v>Pasacaballos</v>
          </cell>
          <cell r="H2433" t="str">
            <v>salud_oral</v>
          </cell>
          <cell r="J2433" t="str">
            <v>bueno</v>
          </cell>
          <cell r="K2433" t="str">
            <v>probsi</v>
          </cell>
        </row>
        <row r="2434">
          <cell r="B2434" t="b">
            <v>1</v>
          </cell>
          <cell r="E2434" t="str">
            <v>Nelson Mandela UPA</v>
          </cell>
          <cell r="H2434" t="str">
            <v>consulta_externa</v>
          </cell>
          <cell r="J2434" t="str">
            <v>bueno</v>
          </cell>
          <cell r="K2434" t="str">
            <v>defsi</v>
          </cell>
        </row>
        <row r="2435">
          <cell r="B2435" t="b">
            <v>0</v>
          </cell>
          <cell r="E2435" t="str">
            <v>Pasacaballos</v>
          </cell>
          <cell r="H2435" t="str">
            <v>urgencia</v>
          </cell>
          <cell r="J2435" t="str">
            <v>regular</v>
          </cell>
          <cell r="K2435" t="str">
            <v>probsi</v>
          </cell>
        </row>
        <row r="2436">
          <cell r="B2436" t="b">
            <v>1</v>
          </cell>
          <cell r="E2436" t="str">
            <v>Blasdelezo</v>
          </cell>
          <cell r="H2436" t="str">
            <v>laboratorio</v>
          </cell>
          <cell r="J2436" t="str">
            <v>bueno</v>
          </cell>
          <cell r="K2436" t="str">
            <v>defsi</v>
          </cell>
        </row>
        <row r="2437">
          <cell r="B2437" t="b">
            <v>1</v>
          </cell>
          <cell r="E2437" t="str">
            <v>Nelson Mandela UPA</v>
          </cell>
          <cell r="H2437" t="str">
            <v>laboratorio</v>
          </cell>
          <cell r="J2437" t="str">
            <v>bueno</v>
          </cell>
          <cell r="K2437" t="str">
            <v>defsi</v>
          </cell>
        </row>
        <row r="2438">
          <cell r="B2438" t="b">
            <v>1</v>
          </cell>
          <cell r="E2438" t="str">
            <v>Blasdelezo</v>
          </cell>
          <cell r="H2438" t="str">
            <v>urgencia</v>
          </cell>
          <cell r="J2438" t="str">
            <v>bueno</v>
          </cell>
          <cell r="K2438" t="str">
            <v>defsi</v>
          </cell>
        </row>
        <row r="2439">
          <cell r="B2439" t="b">
            <v>1</v>
          </cell>
          <cell r="E2439" t="str">
            <v>Blasdelezo</v>
          </cell>
          <cell r="H2439" t="str">
            <v>pediatria</v>
          </cell>
          <cell r="J2439" t="str">
            <v>bueno</v>
          </cell>
          <cell r="K2439" t="str">
            <v>defsi</v>
          </cell>
        </row>
        <row r="2440">
          <cell r="B2440" t="b">
            <v>1</v>
          </cell>
          <cell r="E2440" t="str">
            <v>Pasacaballos</v>
          </cell>
          <cell r="H2440" t="str">
            <v>consulta_externa</v>
          </cell>
          <cell r="J2440" t="str">
            <v>bueno</v>
          </cell>
          <cell r="K2440" t="str">
            <v>probsi</v>
          </cell>
        </row>
        <row r="2441">
          <cell r="B2441" t="b">
            <v>1</v>
          </cell>
          <cell r="E2441" t="str">
            <v>Pasacaballos</v>
          </cell>
          <cell r="H2441" t="str">
            <v>salud_oral</v>
          </cell>
          <cell r="J2441" t="str">
            <v>bueno</v>
          </cell>
          <cell r="K2441" t="str">
            <v>probsi</v>
          </cell>
        </row>
        <row r="2442">
          <cell r="B2442" t="b">
            <v>1</v>
          </cell>
          <cell r="E2442" t="str">
            <v>Blasdelezo</v>
          </cell>
          <cell r="H2442" t="str">
            <v>medicina_interna</v>
          </cell>
          <cell r="J2442" t="str">
            <v>bueno</v>
          </cell>
          <cell r="K2442" t="str">
            <v>defsi</v>
          </cell>
        </row>
        <row r="2443">
          <cell r="B2443" t="b">
            <v>1</v>
          </cell>
          <cell r="E2443" t="str">
            <v>Nelson Mandela UPA</v>
          </cell>
          <cell r="H2443" t="str">
            <v>consulta_externa</v>
          </cell>
          <cell r="J2443" t="str">
            <v>bueno</v>
          </cell>
          <cell r="K2443" t="str">
            <v>defsi</v>
          </cell>
        </row>
        <row r="2444">
          <cell r="B2444" t="b">
            <v>0</v>
          </cell>
          <cell r="E2444" t="str">
            <v>Pasacaballos</v>
          </cell>
          <cell r="H2444" t="str">
            <v>consulta_externa</v>
          </cell>
          <cell r="J2444" t="str">
            <v>regular</v>
          </cell>
          <cell r="K2444" t="str">
            <v>probsi</v>
          </cell>
        </row>
        <row r="2445">
          <cell r="B2445" t="b">
            <v>1</v>
          </cell>
          <cell r="E2445" t="str">
            <v>Nelson Mandela UPA</v>
          </cell>
          <cell r="H2445" t="str">
            <v>salud_oral</v>
          </cell>
          <cell r="J2445" t="str">
            <v>bueno</v>
          </cell>
          <cell r="K2445" t="str">
            <v>defsi</v>
          </cell>
        </row>
        <row r="2446">
          <cell r="B2446" t="b">
            <v>0</v>
          </cell>
          <cell r="E2446" t="str">
            <v>Pasacaballos</v>
          </cell>
          <cell r="H2446" t="str">
            <v>salud_oral</v>
          </cell>
          <cell r="J2446" t="str">
            <v>regular</v>
          </cell>
          <cell r="K2446" t="str">
            <v>probsi</v>
          </cell>
        </row>
        <row r="2447">
          <cell r="B2447" t="b">
            <v>0</v>
          </cell>
          <cell r="E2447" t="str">
            <v>Pasacaballos</v>
          </cell>
          <cell r="H2447" t="str">
            <v>consulta_externa</v>
          </cell>
          <cell r="J2447" t="str">
            <v>regular</v>
          </cell>
          <cell r="K2447" t="str">
            <v>probsi</v>
          </cell>
        </row>
        <row r="2448">
          <cell r="B2448" t="b">
            <v>1</v>
          </cell>
          <cell r="E2448" t="str">
            <v>Pasacaballos</v>
          </cell>
          <cell r="H2448" t="str">
            <v>urgencia</v>
          </cell>
          <cell r="J2448" t="str">
            <v>bueno</v>
          </cell>
          <cell r="K2448" t="str">
            <v>probsi</v>
          </cell>
        </row>
        <row r="2449">
          <cell r="B2449" t="b">
            <v>1</v>
          </cell>
          <cell r="E2449" t="str">
            <v>Nelson Mandela UPA</v>
          </cell>
          <cell r="H2449" t="str">
            <v>consulta_externa</v>
          </cell>
          <cell r="J2449" t="str">
            <v>bueno</v>
          </cell>
          <cell r="K2449" t="str">
            <v>defsi</v>
          </cell>
        </row>
        <row r="2450">
          <cell r="B2450" t="b">
            <v>1</v>
          </cell>
          <cell r="E2450" t="str">
            <v>Nelson Mandela UPA</v>
          </cell>
          <cell r="H2450" t="str">
            <v>consulta_externa</v>
          </cell>
          <cell r="J2450" t="str">
            <v>bueno</v>
          </cell>
          <cell r="K2450" t="str">
            <v>defsi</v>
          </cell>
        </row>
        <row r="2451">
          <cell r="B2451" t="b">
            <v>1</v>
          </cell>
          <cell r="E2451" t="str">
            <v>Nelson Mandela UPA</v>
          </cell>
          <cell r="H2451" t="str">
            <v>salud_oral</v>
          </cell>
          <cell r="J2451" t="str">
            <v>bueno</v>
          </cell>
          <cell r="K2451" t="str">
            <v>defsi</v>
          </cell>
        </row>
        <row r="2452">
          <cell r="B2452" t="b">
            <v>1</v>
          </cell>
          <cell r="E2452" t="str">
            <v>Nelson Mandela UPA</v>
          </cell>
          <cell r="H2452" t="str">
            <v>salud_oral</v>
          </cell>
          <cell r="J2452" t="str">
            <v>bueno</v>
          </cell>
          <cell r="K2452" t="str">
            <v>defsi</v>
          </cell>
        </row>
        <row r="2453">
          <cell r="B2453" t="b">
            <v>0</v>
          </cell>
          <cell r="E2453" t="str">
            <v>Pasacaballos</v>
          </cell>
          <cell r="H2453" t="str">
            <v>consulta_externa</v>
          </cell>
          <cell r="J2453" t="str">
            <v>regular</v>
          </cell>
          <cell r="K2453" t="str">
            <v>probsi</v>
          </cell>
        </row>
        <row r="2454">
          <cell r="B2454" t="b">
            <v>0</v>
          </cell>
          <cell r="E2454" t="str">
            <v>Pasacaballos</v>
          </cell>
          <cell r="H2454" t="str">
            <v>salud_oral</v>
          </cell>
          <cell r="J2454" t="str">
            <v>regular</v>
          </cell>
          <cell r="K2454" t="str">
            <v>probsi</v>
          </cell>
        </row>
        <row r="2455">
          <cell r="B2455" t="b">
            <v>1</v>
          </cell>
          <cell r="E2455" t="str">
            <v>Pasacaballos</v>
          </cell>
          <cell r="H2455" t="str">
            <v>salud_oral</v>
          </cell>
          <cell r="J2455" t="str">
            <v>bueno</v>
          </cell>
          <cell r="K2455" t="str">
            <v>probsi</v>
          </cell>
        </row>
        <row r="2456">
          <cell r="B2456" t="b">
            <v>1</v>
          </cell>
          <cell r="E2456" t="str">
            <v>Pasacaballos</v>
          </cell>
          <cell r="H2456" t="str">
            <v>urgencia</v>
          </cell>
          <cell r="J2456" t="str">
            <v>bueno</v>
          </cell>
          <cell r="K2456" t="str">
            <v>probsi</v>
          </cell>
        </row>
        <row r="2457">
          <cell r="B2457" t="b">
            <v>1</v>
          </cell>
          <cell r="E2457" t="str">
            <v>Blasdelezo</v>
          </cell>
          <cell r="H2457" t="str">
            <v>consulta_externa</v>
          </cell>
          <cell r="J2457" t="str">
            <v>bueno</v>
          </cell>
          <cell r="K2457" t="str">
            <v>defsi</v>
          </cell>
        </row>
        <row r="2458">
          <cell r="B2458" t="b">
            <v>1</v>
          </cell>
          <cell r="E2458" t="str">
            <v>Blasdelezo</v>
          </cell>
          <cell r="H2458" t="str">
            <v>salud_oral</v>
          </cell>
          <cell r="J2458" t="str">
            <v>bueno</v>
          </cell>
          <cell r="K2458" t="str">
            <v>defsi</v>
          </cell>
        </row>
        <row r="2459">
          <cell r="B2459" t="b">
            <v>1</v>
          </cell>
          <cell r="E2459" t="str">
            <v>Blasdelezo</v>
          </cell>
          <cell r="H2459" t="str">
            <v>laboratorio</v>
          </cell>
          <cell r="J2459" t="str">
            <v>bueno</v>
          </cell>
          <cell r="K2459" t="str">
            <v>defsi</v>
          </cell>
        </row>
        <row r="2460">
          <cell r="B2460" t="b">
            <v>1</v>
          </cell>
          <cell r="E2460" t="str">
            <v>Blasdelezo</v>
          </cell>
          <cell r="H2460" t="str">
            <v>urgencia</v>
          </cell>
          <cell r="J2460" t="str">
            <v>bueno</v>
          </cell>
          <cell r="K2460" t="str">
            <v>defsi</v>
          </cell>
        </row>
        <row r="2461">
          <cell r="B2461" t="b">
            <v>1</v>
          </cell>
          <cell r="E2461" t="str">
            <v>Pasacaballos</v>
          </cell>
          <cell r="H2461" t="str">
            <v>consulta_externa</v>
          </cell>
          <cell r="J2461" t="str">
            <v>bueno</v>
          </cell>
          <cell r="K2461" t="str">
            <v>probsi</v>
          </cell>
        </row>
        <row r="2462">
          <cell r="B2462" t="b">
            <v>1</v>
          </cell>
          <cell r="E2462" t="str">
            <v>Blasdelezo</v>
          </cell>
          <cell r="H2462" t="str">
            <v>pediatria</v>
          </cell>
          <cell r="J2462" t="str">
            <v>bueno</v>
          </cell>
          <cell r="K2462" t="str">
            <v>defsi</v>
          </cell>
        </row>
        <row r="2463">
          <cell r="B2463" t="b">
            <v>1</v>
          </cell>
          <cell r="E2463" t="str">
            <v>Pasacaballos</v>
          </cell>
          <cell r="H2463" t="str">
            <v>salud_oral</v>
          </cell>
          <cell r="J2463" t="str">
            <v>bueno</v>
          </cell>
          <cell r="K2463" t="str">
            <v>probsi</v>
          </cell>
        </row>
        <row r="2464">
          <cell r="B2464" t="b">
            <v>1</v>
          </cell>
          <cell r="E2464" t="str">
            <v>Pasacaballos</v>
          </cell>
          <cell r="H2464" t="str">
            <v>laboratorio</v>
          </cell>
          <cell r="J2464" t="str">
            <v>bueno</v>
          </cell>
          <cell r="K2464" t="str">
            <v>probsi</v>
          </cell>
        </row>
        <row r="2465">
          <cell r="B2465" t="b">
            <v>1</v>
          </cell>
          <cell r="E2465" t="str">
            <v>Blasdelezo</v>
          </cell>
          <cell r="H2465" t="str">
            <v>medicina_interna</v>
          </cell>
          <cell r="J2465" t="str">
            <v>bueno</v>
          </cell>
          <cell r="K2465" t="str">
            <v>defsi</v>
          </cell>
        </row>
        <row r="2466">
          <cell r="B2466" t="b">
            <v>1</v>
          </cell>
          <cell r="E2466" t="str">
            <v>Nelson Mandela UPA</v>
          </cell>
          <cell r="H2466" t="str">
            <v>urgencia</v>
          </cell>
          <cell r="J2466" t="str">
            <v>bueno</v>
          </cell>
          <cell r="K2466" t="str">
            <v>defsi</v>
          </cell>
        </row>
        <row r="2467">
          <cell r="B2467" t="b">
            <v>1</v>
          </cell>
          <cell r="E2467" t="str">
            <v>Nelson Mandela UPA</v>
          </cell>
          <cell r="H2467" t="str">
            <v>urgencia</v>
          </cell>
          <cell r="J2467" t="str">
            <v>muybueno</v>
          </cell>
          <cell r="K2467" t="str">
            <v>defsi</v>
          </cell>
        </row>
        <row r="2468">
          <cell r="B2468" t="b">
            <v>1</v>
          </cell>
          <cell r="E2468" t="str">
            <v>Nelson Mandela UPA</v>
          </cell>
          <cell r="H2468" t="str">
            <v>urgencia</v>
          </cell>
          <cell r="J2468" t="str">
            <v>muybueno</v>
          </cell>
          <cell r="K2468" t="str">
            <v>defsi</v>
          </cell>
        </row>
        <row r="2469">
          <cell r="B2469" t="b">
            <v>1</v>
          </cell>
          <cell r="E2469" t="str">
            <v>Nelson Mandela UPA</v>
          </cell>
          <cell r="H2469" t="str">
            <v>urgencia</v>
          </cell>
          <cell r="J2469" t="str">
            <v>bueno</v>
          </cell>
          <cell r="K2469" t="str">
            <v>defsi</v>
          </cell>
        </row>
        <row r="2470">
          <cell r="B2470" t="b">
            <v>1</v>
          </cell>
          <cell r="E2470" t="str">
            <v>Blasdelezo</v>
          </cell>
          <cell r="H2470" t="str">
            <v>consulta_externa</v>
          </cell>
          <cell r="J2470" t="str">
            <v>bueno</v>
          </cell>
          <cell r="K2470" t="str">
            <v>defsi</v>
          </cell>
        </row>
        <row r="2471">
          <cell r="B2471" t="b">
            <v>1</v>
          </cell>
          <cell r="E2471" t="str">
            <v>Blasdelezo</v>
          </cell>
          <cell r="H2471" t="str">
            <v>salud_oral</v>
          </cell>
          <cell r="J2471" t="str">
            <v>bueno</v>
          </cell>
          <cell r="K2471" t="str">
            <v>defsi</v>
          </cell>
        </row>
        <row r="2472">
          <cell r="B2472" t="b">
            <v>1</v>
          </cell>
          <cell r="E2472" t="str">
            <v>Blasdelezo</v>
          </cell>
          <cell r="H2472" t="str">
            <v>laboratorio</v>
          </cell>
          <cell r="J2472" t="str">
            <v>bueno</v>
          </cell>
          <cell r="K2472" t="str">
            <v>defsi</v>
          </cell>
        </row>
        <row r="2473">
          <cell r="B2473" t="b">
            <v>1</v>
          </cell>
          <cell r="E2473" t="str">
            <v>Blasdelezo</v>
          </cell>
          <cell r="H2473" t="str">
            <v>urgencia</v>
          </cell>
          <cell r="J2473" t="str">
            <v>bueno</v>
          </cell>
          <cell r="K2473" t="str">
            <v>defsi</v>
          </cell>
        </row>
        <row r="2474">
          <cell r="B2474" t="b">
            <v>1</v>
          </cell>
          <cell r="E2474" t="str">
            <v>Blasdelezo</v>
          </cell>
          <cell r="H2474" t="str">
            <v>pediatria</v>
          </cell>
          <cell r="J2474" t="str">
            <v>bueno</v>
          </cell>
          <cell r="K2474" t="str">
            <v>defsi</v>
          </cell>
        </row>
        <row r="2475">
          <cell r="B2475" t="b">
            <v>1</v>
          </cell>
          <cell r="E2475" t="str">
            <v>Boquilla</v>
          </cell>
          <cell r="H2475" t="str">
            <v>consulta_externa</v>
          </cell>
          <cell r="J2475" t="str">
            <v>bueno</v>
          </cell>
          <cell r="K2475" t="str">
            <v>probsi</v>
          </cell>
        </row>
        <row r="2476">
          <cell r="B2476" t="b">
            <v>1</v>
          </cell>
          <cell r="E2476" t="str">
            <v>Boquilla</v>
          </cell>
          <cell r="H2476" t="str">
            <v>consulta_externa</v>
          </cell>
          <cell r="J2476" t="str">
            <v>bueno</v>
          </cell>
          <cell r="K2476" t="str">
            <v>probsi</v>
          </cell>
        </row>
        <row r="2477">
          <cell r="B2477" t="b">
            <v>1</v>
          </cell>
          <cell r="E2477" t="str">
            <v>Boquilla</v>
          </cell>
          <cell r="H2477" t="str">
            <v>consulta_externa</v>
          </cell>
          <cell r="J2477" t="str">
            <v>bueno</v>
          </cell>
          <cell r="K2477" t="str">
            <v>probsi</v>
          </cell>
        </row>
        <row r="2478">
          <cell r="B2478" t="b">
            <v>1</v>
          </cell>
          <cell r="E2478" t="str">
            <v>Boquilla</v>
          </cell>
          <cell r="H2478" t="str">
            <v>consulta_externa</v>
          </cell>
          <cell r="J2478" t="str">
            <v>bueno</v>
          </cell>
          <cell r="K2478" t="str">
            <v>probsi</v>
          </cell>
        </row>
        <row r="2479">
          <cell r="B2479" t="b">
            <v>1</v>
          </cell>
          <cell r="E2479" t="str">
            <v>Boquilla</v>
          </cell>
          <cell r="H2479" t="str">
            <v>consulta_externa</v>
          </cell>
          <cell r="J2479" t="str">
            <v>bueno</v>
          </cell>
          <cell r="K2479" t="str">
            <v>probsi</v>
          </cell>
        </row>
        <row r="2480">
          <cell r="B2480" t="b">
            <v>1</v>
          </cell>
          <cell r="E2480" t="str">
            <v>Boquilla</v>
          </cell>
          <cell r="H2480" t="str">
            <v>laboratorio</v>
          </cell>
          <cell r="J2480" t="str">
            <v>bueno</v>
          </cell>
          <cell r="K2480" t="str">
            <v>probsi</v>
          </cell>
        </row>
        <row r="2481">
          <cell r="B2481" t="b">
            <v>1</v>
          </cell>
          <cell r="E2481" t="str">
            <v>Boquilla</v>
          </cell>
          <cell r="H2481" t="str">
            <v>laboratorio</v>
          </cell>
          <cell r="J2481" t="str">
            <v>bueno</v>
          </cell>
          <cell r="K2481" t="str">
            <v>probsi</v>
          </cell>
        </row>
        <row r="2482">
          <cell r="B2482" t="b">
            <v>1</v>
          </cell>
          <cell r="E2482" t="str">
            <v>Boquilla</v>
          </cell>
          <cell r="H2482" t="str">
            <v>laboratorio</v>
          </cell>
          <cell r="J2482" t="str">
            <v>bueno</v>
          </cell>
          <cell r="K2482" t="str">
            <v>probsi</v>
          </cell>
        </row>
        <row r="2483">
          <cell r="B2483" t="b">
            <v>1</v>
          </cell>
          <cell r="E2483" t="str">
            <v>Boquilla</v>
          </cell>
          <cell r="H2483" t="str">
            <v>salud_oral</v>
          </cell>
          <cell r="J2483" t="str">
            <v>bueno</v>
          </cell>
          <cell r="K2483" t="str">
            <v>probsi</v>
          </cell>
        </row>
        <row r="2484">
          <cell r="B2484" t="b">
            <v>1</v>
          </cell>
          <cell r="E2484" t="str">
            <v>Boquilla</v>
          </cell>
          <cell r="H2484" t="str">
            <v>salud_oral</v>
          </cell>
          <cell r="J2484" t="str">
            <v>bueno</v>
          </cell>
          <cell r="K2484" t="str">
            <v>probsi</v>
          </cell>
        </row>
        <row r="2485">
          <cell r="B2485" t="b">
            <v>1</v>
          </cell>
          <cell r="E2485" t="str">
            <v>Boquilla</v>
          </cell>
          <cell r="H2485" t="str">
            <v>salud_oral</v>
          </cell>
          <cell r="J2485" t="str">
            <v>bueno</v>
          </cell>
          <cell r="K2485" t="str">
            <v>probsi</v>
          </cell>
        </row>
        <row r="2486">
          <cell r="B2486" t="b">
            <v>1</v>
          </cell>
          <cell r="E2486" t="str">
            <v>Blasdelezo</v>
          </cell>
          <cell r="H2486" t="str">
            <v>medicina_interna</v>
          </cell>
          <cell r="J2486" t="str">
            <v>bueno</v>
          </cell>
          <cell r="K2486" t="str">
            <v>defsi</v>
          </cell>
        </row>
        <row r="2487">
          <cell r="B2487" t="b">
            <v>1</v>
          </cell>
          <cell r="E2487" t="str">
            <v>Boquilla</v>
          </cell>
          <cell r="H2487" t="str">
            <v>salud_oral</v>
          </cell>
          <cell r="J2487" t="str">
            <v>bueno</v>
          </cell>
          <cell r="K2487" t="str">
            <v>probsi</v>
          </cell>
        </row>
        <row r="2488">
          <cell r="B2488" t="b">
            <v>1</v>
          </cell>
          <cell r="E2488" t="str">
            <v>Boquilla</v>
          </cell>
          <cell r="H2488" t="str">
            <v>salud_oral</v>
          </cell>
          <cell r="J2488" t="str">
            <v>bueno</v>
          </cell>
          <cell r="K2488" t="str">
            <v>probsi</v>
          </cell>
        </row>
        <row r="2489">
          <cell r="B2489" t="b">
            <v>1</v>
          </cell>
          <cell r="E2489" t="str">
            <v>Boquilla</v>
          </cell>
          <cell r="H2489" t="str">
            <v>consulta_externa</v>
          </cell>
          <cell r="J2489" t="str">
            <v>bueno</v>
          </cell>
          <cell r="K2489" t="str">
            <v>probsi</v>
          </cell>
        </row>
        <row r="2490">
          <cell r="B2490" t="b">
            <v>1</v>
          </cell>
          <cell r="E2490" t="str">
            <v>Boquilla</v>
          </cell>
          <cell r="H2490" t="str">
            <v>consulta_externa</v>
          </cell>
          <cell r="J2490" t="str">
            <v>bueno</v>
          </cell>
          <cell r="K2490" t="str">
            <v>probsi</v>
          </cell>
        </row>
        <row r="2491">
          <cell r="B2491" t="b">
            <v>1</v>
          </cell>
          <cell r="E2491" t="str">
            <v>Boquilla</v>
          </cell>
          <cell r="H2491" t="str">
            <v>consulta_externa</v>
          </cell>
          <cell r="J2491" t="str">
            <v>bueno</v>
          </cell>
          <cell r="K2491" t="str">
            <v>probsi</v>
          </cell>
        </row>
        <row r="2492">
          <cell r="B2492" t="b">
            <v>1</v>
          </cell>
          <cell r="E2492" t="str">
            <v>Boquilla</v>
          </cell>
          <cell r="H2492" t="str">
            <v>consulta_externa</v>
          </cell>
          <cell r="J2492" t="str">
            <v>bueno</v>
          </cell>
          <cell r="K2492" t="str">
            <v>probsi</v>
          </cell>
        </row>
        <row r="2493">
          <cell r="B2493" t="b">
            <v>1</v>
          </cell>
          <cell r="E2493" t="str">
            <v>Boquilla</v>
          </cell>
          <cell r="H2493" t="str">
            <v>consulta_externa</v>
          </cell>
          <cell r="J2493" t="str">
            <v>bueno</v>
          </cell>
          <cell r="K2493" t="str">
            <v>probsi</v>
          </cell>
        </row>
        <row r="2494">
          <cell r="B2494" t="b">
            <v>1</v>
          </cell>
          <cell r="E2494" t="str">
            <v>Boquilla</v>
          </cell>
          <cell r="H2494" t="str">
            <v>consulta_externa</v>
          </cell>
          <cell r="J2494" t="str">
            <v>bueno</v>
          </cell>
          <cell r="K2494" t="str">
            <v>probsi</v>
          </cell>
        </row>
        <row r="2495">
          <cell r="B2495" t="b">
            <v>1</v>
          </cell>
          <cell r="E2495" t="str">
            <v>Boquilla</v>
          </cell>
          <cell r="H2495" t="str">
            <v>consulta_externa</v>
          </cell>
          <cell r="J2495" t="str">
            <v>bueno</v>
          </cell>
          <cell r="K2495" t="str">
            <v>probsi</v>
          </cell>
        </row>
        <row r="2496">
          <cell r="B2496" t="b">
            <v>1</v>
          </cell>
          <cell r="E2496" t="str">
            <v>Boquilla</v>
          </cell>
          <cell r="H2496" t="str">
            <v>laboratorio</v>
          </cell>
          <cell r="J2496" t="str">
            <v>bueno</v>
          </cell>
          <cell r="K2496" t="str">
            <v>probsi</v>
          </cell>
        </row>
        <row r="2497">
          <cell r="B2497" t="b">
            <v>1</v>
          </cell>
          <cell r="E2497" t="str">
            <v>Boquilla</v>
          </cell>
          <cell r="H2497" t="str">
            <v>laboratorio</v>
          </cell>
          <cell r="J2497" t="str">
            <v>bueno</v>
          </cell>
          <cell r="K2497" t="str">
            <v>probsi</v>
          </cell>
        </row>
        <row r="2498">
          <cell r="B2498" t="b">
            <v>0</v>
          </cell>
          <cell r="E2498" t="str">
            <v>Pasacaballos</v>
          </cell>
          <cell r="H2498" t="str">
            <v>laboratorio</v>
          </cell>
          <cell r="J2498" t="str">
            <v>regular</v>
          </cell>
          <cell r="K2498" t="str">
            <v>probsi</v>
          </cell>
        </row>
        <row r="2499">
          <cell r="B2499" t="b">
            <v>0</v>
          </cell>
          <cell r="E2499" t="str">
            <v>Pasacaballos</v>
          </cell>
          <cell r="H2499" t="str">
            <v>laboratorio</v>
          </cell>
          <cell r="J2499" t="str">
            <v>regular</v>
          </cell>
          <cell r="K2499" t="str">
            <v>probsi</v>
          </cell>
        </row>
        <row r="2500">
          <cell r="B2500" t="b">
            <v>1</v>
          </cell>
          <cell r="E2500" t="str">
            <v>Pasacaballos</v>
          </cell>
          <cell r="H2500" t="str">
            <v>laboratorio</v>
          </cell>
          <cell r="J2500" t="str">
            <v>bueno</v>
          </cell>
          <cell r="K2500" t="str">
            <v>probsi</v>
          </cell>
        </row>
        <row r="2501">
          <cell r="B2501" t="b">
            <v>1</v>
          </cell>
          <cell r="E2501" t="str">
            <v>Pasacaballos</v>
          </cell>
          <cell r="H2501" t="str">
            <v>laboratorio</v>
          </cell>
          <cell r="J2501" t="str">
            <v>bueno</v>
          </cell>
          <cell r="K2501" t="str">
            <v>probsi</v>
          </cell>
        </row>
        <row r="2502">
          <cell r="B2502" t="b">
            <v>1</v>
          </cell>
          <cell r="E2502" t="str">
            <v>Pasacaballos</v>
          </cell>
          <cell r="H2502" t="str">
            <v>laboratorio</v>
          </cell>
          <cell r="J2502" t="str">
            <v>bueno</v>
          </cell>
          <cell r="K2502" t="str">
            <v>probsi</v>
          </cell>
        </row>
        <row r="2503">
          <cell r="B2503" t="b">
            <v>1</v>
          </cell>
          <cell r="E2503" t="str">
            <v>Pasacaballos</v>
          </cell>
          <cell r="H2503" t="str">
            <v>laboratorio</v>
          </cell>
          <cell r="J2503" t="str">
            <v>bueno</v>
          </cell>
          <cell r="K2503" t="str">
            <v>probsi</v>
          </cell>
        </row>
        <row r="2504">
          <cell r="B2504" t="b">
            <v>1</v>
          </cell>
          <cell r="E2504" t="str">
            <v>Pasacaballos</v>
          </cell>
          <cell r="H2504" t="str">
            <v>urgencia</v>
          </cell>
          <cell r="J2504" t="str">
            <v>bueno</v>
          </cell>
          <cell r="K2504" t="str">
            <v>probsi</v>
          </cell>
        </row>
        <row r="2505">
          <cell r="B2505" t="b">
            <v>0</v>
          </cell>
          <cell r="E2505" t="str">
            <v>Pasacaballos</v>
          </cell>
          <cell r="H2505" t="str">
            <v>urgencia</v>
          </cell>
          <cell r="J2505" t="str">
            <v>regular</v>
          </cell>
          <cell r="K2505" t="str">
            <v>probsi</v>
          </cell>
        </row>
        <row r="2506">
          <cell r="B2506" t="b">
            <v>0</v>
          </cell>
          <cell r="E2506" t="str">
            <v>Pasacaballos</v>
          </cell>
          <cell r="H2506" t="str">
            <v>urgencia</v>
          </cell>
          <cell r="J2506" t="str">
            <v>regular</v>
          </cell>
          <cell r="K2506" t="str">
            <v>probsi</v>
          </cell>
        </row>
        <row r="2507">
          <cell r="B2507" t="b">
            <v>1</v>
          </cell>
          <cell r="E2507" t="str">
            <v>Pasacaballos</v>
          </cell>
          <cell r="H2507" t="str">
            <v>urgencia</v>
          </cell>
          <cell r="J2507" t="str">
            <v>bueno</v>
          </cell>
          <cell r="K2507" t="str">
            <v>probsi</v>
          </cell>
        </row>
        <row r="2508">
          <cell r="B2508" t="b">
            <v>1</v>
          </cell>
          <cell r="E2508" t="str">
            <v>Pasacaballos</v>
          </cell>
          <cell r="H2508" t="str">
            <v>urgencia</v>
          </cell>
          <cell r="J2508" t="str">
            <v>bueno</v>
          </cell>
          <cell r="K2508" t="str">
            <v>probsi</v>
          </cell>
        </row>
        <row r="2509">
          <cell r="B2509" t="b">
            <v>1</v>
          </cell>
          <cell r="E2509" t="str">
            <v>Boquilla</v>
          </cell>
          <cell r="H2509" t="str">
            <v>urgencia</v>
          </cell>
          <cell r="J2509" t="str">
            <v>bueno</v>
          </cell>
          <cell r="K2509" t="str">
            <v>probsi</v>
          </cell>
        </row>
        <row r="2510">
          <cell r="B2510" t="b">
            <v>1</v>
          </cell>
          <cell r="E2510" t="str">
            <v>Boquilla</v>
          </cell>
          <cell r="H2510" t="str">
            <v>urgencia</v>
          </cell>
          <cell r="J2510" t="str">
            <v>bueno</v>
          </cell>
          <cell r="K2510" t="str">
            <v>probsi</v>
          </cell>
        </row>
        <row r="2511">
          <cell r="B2511" t="b">
            <v>1</v>
          </cell>
          <cell r="E2511" t="str">
            <v>Boquilla</v>
          </cell>
          <cell r="H2511" t="str">
            <v>urgencia</v>
          </cell>
          <cell r="J2511" t="str">
            <v>bueno</v>
          </cell>
          <cell r="K2511" t="str">
            <v>probsi</v>
          </cell>
        </row>
        <row r="2512">
          <cell r="B2512" t="b">
            <v>1</v>
          </cell>
          <cell r="E2512" t="str">
            <v>Boquilla</v>
          </cell>
          <cell r="H2512" t="str">
            <v>urgencia</v>
          </cell>
          <cell r="J2512" t="str">
            <v>bueno</v>
          </cell>
          <cell r="K2512" t="str">
            <v>probsi</v>
          </cell>
        </row>
        <row r="2513">
          <cell r="B2513" t="b">
            <v>1</v>
          </cell>
          <cell r="E2513" t="str">
            <v>Boquilla</v>
          </cell>
          <cell r="H2513" t="str">
            <v>urgencia</v>
          </cell>
          <cell r="J2513" t="str">
            <v>bueno</v>
          </cell>
          <cell r="K2513" t="str">
            <v>probsi</v>
          </cell>
        </row>
        <row r="2514">
          <cell r="B2514" t="b">
            <v>1</v>
          </cell>
          <cell r="E2514" t="str">
            <v>Boquilla</v>
          </cell>
          <cell r="H2514" t="str">
            <v>urgencia</v>
          </cell>
          <cell r="J2514" t="str">
            <v>bueno</v>
          </cell>
          <cell r="K2514" t="str">
            <v>probsi</v>
          </cell>
        </row>
        <row r="2515">
          <cell r="B2515" t="b">
            <v>1</v>
          </cell>
          <cell r="E2515" t="str">
            <v>Boquilla</v>
          </cell>
          <cell r="H2515" t="str">
            <v>urgencia</v>
          </cell>
          <cell r="J2515" t="str">
            <v>bueno</v>
          </cell>
          <cell r="K2515" t="str">
            <v>probsi</v>
          </cell>
        </row>
        <row r="2516">
          <cell r="B2516" t="b">
            <v>1</v>
          </cell>
          <cell r="E2516" t="str">
            <v>Boquilla</v>
          </cell>
          <cell r="H2516" t="str">
            <v>urgencia</v>
          </cell>
          <cell r="J2516" t="str">
            <v>bueno</v>
          </cell>
          <cell r="K2516" t="str">
            <v>probsi</v>
          </cell>
        </row>
        <row r="2517">
          <cell r="B2517" t="b">
            <v>1</v>
          </cell>
          <cell r="E2517" t="str">
            <v>Boquilla</v>
          </cell>
          <cell r="H2517" t="str">
            <v>urgencia</v>
          </cell>
          <cell r="J2517" t="str">
            <v>bueno</v>
          </cell>
          <cell r="K2517" t="str">
            <v>probsi</v>
          </cell>
        </row>
        <row r="2518">
          <cell r="B2518" t="b">
            <v>1</v>
          </cell>
          <cell r="E2518" t="str">
            <v>Boquilla</v>
          </cell>
          <cell r="H2518" t="str">
            <v>consulta_externa</v>
          </cell>
          <cell r="J2518" t="str">
            <v>bueno</v>
          </cell>
          <cell r="K2518" t="str">
            <v>probsi</v>
          </cell>
        </row>
        <row r="2519">
          <cell r="B2519" t="b">
            <v>1</v>
          </cell>
          <cell r="E2519" t="str">
            <v>Boquilla</v>
          </cell>
          <cell r="H2519" t="str">
            <v>consulta_externa</v>
          </cell>
          <cell r="J2519" t="str">
            <v>bueno</v>
          </cell>
          <cell r="K2519" t="str">
            <v>probsi</v>
          </cell>
        </row>
        <row r="2520">
          <cell r="B2520" t="b">
            <v>1</v>
          </cell>
          <cell r="E2520" t="str">
            <v>Boquilla</v>
          </cell>
          <cell r="H2520" t="str">
            <v>consulta_externa</v>
          </cell>
          <cell r="J2520" t="str">
            <v>bueno</v>
          </cell>
          <cell r="K2520" t="str">
            <v>probsi</v>
          </cell>
        </row>
        <row r="2521">
          <cell r="B2521" t="b">
            <v>1</v>
          </cell>
          <cell r="E2521" t="str">
            <v>Nelson Mandela UPA</v>
          </cell>
          <cell r="H2521" t="str">
            <v>salud_oral</v>
          </cell>
          <cell r="J2521" t="str">
            <v>bueno</v>
          </cell>
          <cell r="K2521" t="str">
            <v>defsi</v>
          </cell>
        </row>
        <row r="2522">
          <cell r="B2522" t="b">
            <v>1</v>
          </cell>
          <cell r="E2522" t="str">
            <v>Nelson Mandela UPA</v>
          </cell>
          <cell r="H2522" t="str">
            <v>salud_oral</v>
          </cell>
          <cell r="J2522" t="str">
            <v>bueno</v>
          </cell>
          <cell r="K2522" t="str">
            <v>defsi</v>
          </cell>
        </row>
        <row r="2523">
          <cell r="B2523" t="b">
            <v>1</v>
          </cell>
          <cell r="E2523" t="str">
            <v>Nelson Mandela UPA</v>
          </cell>
          <cell r="H2523" t="str">
            <v>salud_oral</v>
          </cell>
          <cell r="J2523" t="str">
            <v>bueno</v>
          </cell>
          <cell r="K2523" t="str">
            <v>defsi</v>
          </cell>
        </row>
        <row r="2524">
          <cell r="B2524" t="b">
            <v>1</v>
          </cell>
          <cell r="E2524" t="str">
            <v>Nelson Mandela UPA</v>
          </cell>
          <cell r="H2524" t="str">
            <v>laboratorio</v>
          </cell>
          <cell r="J2524" t="str">
            <v>bueno</v>
          </cell>
          <cell r="K2524" t="str">
            <v>defsi</v>
          </cell>
        </row>
        <row r="2525">
          <cell r="B2525" t="b">
            <v>1</v>
          </cell>
          <cell r="E2525" t="str">
            <v>Blasdelezo</v>
          </cell>
          <cell r="H2525" t="str">
            <v>consulta_externa</v>
          </cell>
          <cell r="J2525" t="str">
            <v>bueno</v>
          </cell>
          <cell r="K2525" t="str">
            <v>defsi</v>
          </cell>
        </row>
        <row r="2526">
          <cell r="B2526" t="b">
            <v>1</v>
          </cell>
          <cell r="E2526" t="str">
            <v>Blasdelezo</v>
          </cell>
          <cell r="H2526" t="str">
            <v>salud_oral</v>
          </cell>
          <cell r="J2526" t="str">
            <v>bueno</v>
          </cell>
          <cell r="K2526" t="str">
            <v>defsi</v>
          </cell>
        </row>
        <row r="2527">
          <cell r="B2527" t="b">
            <v>1</v>
          </cell>
          <cell r="E2527" t="str">
            <v>Blasdelezo</v>
          </cell>
          <cell r="H2527" t="str">
            <v>laboratorio</v>
          </cell>
          <cell r="J2527" t="str">
            <v>bueno</v>
          </cell>
          <cell r="K2527" t="str">
            <v>defsi</v>
          </cell>
        </row>
        <row r="2528">
          <cell r="B2528" t="b">
            <v>1</v>
          </cell>
          <cell r="E2528" t="str">
            <v>Blasdelezo</v>
          </cell>
          <cell r="H2528" t="str">
            <v>urgencia</v>
          </cell>
          <cell r="J2528" t="str">
            <v>bueno</v>
          </cell>
          <cell r="K2528" t="str">
            <v>defsi</v>
          </cell>
        </row>
        <row r="2529">
          <cell r="B2529" t="b">
            <v>1</v>
          </cell>
          <cell r="E2529" t="str">
            <v>Blasdelezo</v>
          </cell>
          <cell r="H2529" t="str">
            <v>pediatria</v>
          </cell>
          <cell r="J2529" t="str">
            <v>bueno</v>
          </cell>
          <cell r="K2529" t="str">
            <v>defsi</v>
          </cell>
        </row>
        <row r="2530">
          <cell r="B2530" t="b">
            <v>1</v>
          </cell>
          <cell r="E2530" t="str">
            <v>Blasdelezo</v>
          </cell>
          <cell r="H2530" t="str">
            <v>medicina_interna</v>
          </cell>
          <cell r="J2530" t="str">
            <v>bueno</v>
          </cell>
          <cell r="K2530" t="str">
            <v>defsi</v>
          </cell>
        </row>
        <row r="2531">
          <cell r="B2531" t="b">
            <v>1</v>
          </cell>
          <cell r="E2531" t="str">
            <v>Manzanillo</v>
          </cell>
          <cell r="H2531" t="str">
            <v>consulta_externa</v>
          </cell>
          <cell r="J2531" t="str">
            <v>bueno</v>
          </cell>
          <cell r="K2531" t="str">
            <v>probsi</v>
          </cell>
        </row>
        <row r="2532">
          <cell r="B2532" t="b">
            <v>1</v>
          </cell>
          <cell r="E2532" t="str">
            <v>Manzanillo</v>
          </cell>
          <cell r="H2532" t="str">
            <v>consulta_externa</v>
          </cell>
          <cell r="J2532" t="str">
            <v>bueno</v>
          </cell>
          <cell r="K2532" t="str">
            <v>probsi</v>
          </cell>
        </row>
        <row r="2533">
          <cell r="B2533" t="b">
            <v>1</v>
          </cell>
          <cell r="E2533" t="str">
            <v>Manzanillo</v>
          </cell>
          <cell r="H2533" t="str">
            <v>consulta_externa</v>
          </cell>
          <cell r="J2533" t="str">
            <v>bueno</v>
          </cell>
          <cell r="K2533" t="str">
            <v>probsi</v>
          </cell>
        </row>
        <row r="2534">
          <cell r="B2534" t="b">
            <v>1</v>
          </cell>
          <cell r="E2534" t="str">
            <v>Manzanillo</v>
          </cell>
          <cell r="H2534" t="str">
            <v>consulta_externa</v>
          </cell>
          <cell r="J2534" t="str">
            <v>bueno</v>
          </cell>
          <cell r="K2534" t="str">
            <v>probsi</v>
          </cell>
        </row>
        <row r="2535">
          <cell r="B2535" t="b">
            <v>1</v>
          </cell>
          <cell r="E2535" t="str">
            <v>Manzanillo</v>
          </cell>
          <cell r="H2535" t="str">
            <v>laboratorio</v>
          </cell>
          <cell r="J2535" t="str">
            <v>bueno</v>
          </cell>
          <cell r="K2535" t="str">
            <v>probsi</v>
          </cell>
        </row>
        <row r="2536">
          <cell r="B2536" t="b">
            <v>1</v>
          </cell>
          <cell r="E2536" t="str">
            <v>Manzanillo</v>
          </cell>
          <cell r="H2536" t="str">
            <v>laboratorio</v>
          </cell>
          <cell r="J2536" t="str">
            <v>bueno</v>
          </cell>
          <cell r="K2536" t="str">
            <v>probsi</v>
          </cell>
        </row>
        <row r="2537">
          <cell r="B2537" t="b">
            <v>1</v>
          </cell>
          <cell r="E2537" t="str">
            <v>Manzanillo</v>
          </cell>
          <cell r="H2537" t="str">
            <v>laboratorio</v>
          </cell>
          <cell r="J2537" t="str">
            <v>bueno</v>
          </cell>
          <cell r="K2537" t="str">
            <v>probsi</v>
          </cell>
        </row>
        <row r="2538">
          <cell r="B2538" t="b">
            <v>1</v>
          </cell>
          <cell r="E2538" t="str">
            <v>Manzanillo</v>
          </cell>
          <cell r="H2538" t="str">
            <v>laboratorio</v>
          </cell>
          <cell r="J2538" t="str">
            <v>bueno</v>
          </cell>
          <cell r="K2538" t="str">
            <v>probsi</v>
          </cell>
        </row>
        <row r="2539">
          <cell r="B2539" t="b">
            <v>1</v>
          </cell>
          <cell r="E2539" t="str">
            <v>Manzanillo</v>
          </cell>
          <cell r="H2539" t="str">
            <v>laboratorio</v>
          </cell>
          <cell r="J2539" t="str">
            <v>bueno</v>
          </cell>
          <cell r="K2539" t="str">
            <v>probsi</v>
          </cell>
        </row>
        <row r="2540">
          <cell r="B2540" t="b">
            <v>1</v>
          </cell>
          <cell r="E2540" t="str">
            <v>Manzanillo</v>
          </cell>
          <cell r="H2540" t="str">
            <v>salud_oral</v>
          </cell>
          <cell r="J2540" t="str">
            <v>bueno</v>
          </cell>
          <cell r="K2540" t="str">
            <v>probsi</v>
          </cell>
        </row>
        <row r="2541">
          <cell r="B2541" t="b">
            <v>1</v>
          </cell>
          <cell r="E2541" t="str">
            <v>Manzanillo</v>
          </cell>
          <cell r="H2541" t="str">
            <v>salud_oral</v>
          </cell>
          <cell r="J2541" t="str">
            <v>bueno</v>
          </cell>
          <cell r="K2541" t="str">
            <v>probsi</v>
          </cell>
        </row>
        <row r="2542">
          <cell r="B2542" t="b">
            <v>1</v>
          </cell>
          <cell r="E2542" t="str">
            <v>Manzanillo</v>
          </cell>
          <cell r="H2542" t="str">
            <v>salud_oral</v>
          </cell>
          <cell r="J2542" t="str">
            <v>bueno</v>
          </cell>
          <cell r="K2542" t="str">
            <v>probsi</v>
          </cell>
        </row>
        <row r="2543">
          <cell r="B2543" t="b">
            <v>1</v>
          </cell>
          <cell r="E2543" t="str">
            <v>Manzanillo</v>
          </cell>
          <cell r="H2543" t="str">
            <v>salud_oral</v>
          </cell>
          <cell r="J2543" t="str">
            <v>bueno</v>
          </cell>
          <cell r="K2543" t="str">
            <v>probsi</v>
          </cell>
        </row>
        <row r="2544">
          <cell r="B2544" t="b">
            <v>1</v>
          </cell>
          <cell r="E2544" t="str">
            <v>Manzanillo</v>
          </cell>
          <cell r="H2544" t="str">
            <v>salud_oral</v>
          </cell>
          <cell r="J2544" t="str">
            <v>bueno</v>
          </cell>
          <cell r="K2544" t="str">
            <v>probsi</v>
          </cell>
        </row>
        <row r="2545">
          <cell r="B2545" t="b">
            <v>1</v>
          </cell>
          <cell r="E2545" t="str">
            <v>Manzanillo</v>
          </cell>
          <cell r="H2545" t="str">
            <v>salud_oral</v>
          </cell>
          <cell r="J2545" t="str">
            <v>bueno</v>
          </cell>
          <cell r="K2545" t="str">
            <v>probsi</v>
          </cell>
        </row>
        <row r="2546">
          <cell r="B2546" t="b">
            <v>1</v>
          </cell>
          <cell r="E2546" t="str">
            <v>Manzanillo</v>
          </cell>
          <cell r="H2546" t="str">
            <v>salud_oral</v>
          </cell>
          <cell r="J2546" t="str">
            <v>bueno</v>
          </cell>
          <cell r="K2546" t="str">
            <v>probsi</v>
          </cell>
        </row>
        <row r="2547">
          <cell r="B2547" t="b">
            <v>1</v>
          </cell>
          <cell r="E2547" t="str">
            <v>Manzanillo</v>
          </cell>
          <cell r="H2547" t="str">
            <v>salud_oral</v>
          </cell>
          <cell r="J2547" t="str">
            <v>bueno</v>
          </cell>
          <cell r="K2547" t="str">
            <v>probsi</v>
          </cell>
        </row>
        <row r="2548">
          <cell r="B2548" t="b">
            <v>1</v>
          </cell>
          <cell r="E2548" t="str">
            <v>Manzanillo</v>
          </cell>
          <cell r="H2548" t="str">
            <v>laboratorio</v>
          </cell>
          <cell r="J2548" t="str">
            <v>bueno</v>
          </cell>
          <cell r="K2548" t="str">
            <v>probsi</v>
          </cell>
        </row>
        <row r="2549">
          <cell r="B2549" t="b">
            <v>1</v>
          </cell>
          <cell r="E2549" t="str">
            <v>Manzanillo</v>
          </cell>
          <cell r="H2549" t="str">
            <v>laboratorio</v>
          </cell>
          <cell r="J2549" t="str">
            <v>bueno</v>
          </cell>
          <cell r="K2549" t="str">
            <v>probsi</v>
          </cell>
        </row>
        <row r="2550">
          <cell r="B2550" t="b">
            <v>1</v>
          </cell>
          <cell r="E2550" t="str">
            <v>Manzanillo</v>
          </cell>
          <cell r="H2550" t="str">
            <v>consulta_externa</v>
          </cell>
          <cell r="J2550" t="str">
            <v>bueno</v>
          </cell>
          <cell r="K2550" t="str">
            <v>probsi</v>
          </cell>
        </row>
        <row r="2551">
          <cell r="B2551" t="b">
            <v>1</v>
          </cell>
          <cell r="E2551" t="str">
            <v>Manzanillo</v>
          </cell>
          <cell r="H2551" t="str">
            <v>consulta_externa</v>
          </cell>
          <cell r="J2551" t="str">
            <v>bueno</v>
          </cell>
          <cell r="K2551" t="str">
            <v>probsi</v>
          </cell>
        </row>
        <row r="2552">
          <cell r="B2552" t="b">
            <v>1</v>
          </cell>
          <cell r="E2552" t="str">
            <v>Manzanillo</v>
          </cell>
          <cell r="H2552" t="str">
            <v>consulta_externa</v>
          </cell>
          <cell r="J2552" t="str">
            <v>bueno</v>
          </cell>
          <cell r="K2552" t="str">
            <v>probsi</v>
          </cell>
        </row>
        <row r="2553">
          <cell r="B2553" t="b">
            <v>1</v>
          </cell>
          <cell r="E2553" t="str">
            <v>Manzanillo</v>
          </cell>
          <cell r="H2553" t="str">
            <v>consulta_externa</v>
          </cell>
          <cell r="J2553" t="str">
            <v>bueno</v>
          </cell>
          <cell r="K2553" t="str">
            <v>probsi</v>
          </cell>
        </row>
        <row r="2554">
          <cell r="B2554" t="b">
            <v>1</v>
          </cell>
          <cell r="E2554" t="str">
            <v>Manzanillo</v>
          </cell>
          <cell r="H2554" t="str">
            <v>consulta_externa</v>
          </cell>
          <cell r="J2554" t="str">
            <v>bueno</v>
          </cell>
          <cell r="K2554" t="str">
            <v>probsi</v>
          </cell>
        </row>
        <row r="2555">
          <cell r="B2555" t="b">
            <v>1</v>
          </cell>
          <cell r="E2555" t="str">
            <v>Manzanillo</v>
          </cell>
          <cell r="H2555" t="str">
            <v>consulta_externa</v>
          </cell>
          <cell r="J2555" t="str">
            <v>bueno</v>
          </cell>
          <cell r="K2555" t="str">
            <v>probsi</v>
          </cell>
        </row>
        <row r="2556">
          <cell r="B2556" t="b">
            <v>1</v>
          </cell>
          <cell r="E2556" t="str">
            <v>Manzanillo</v>
          </cell>
          <cell r="H2556" t="str">
            <v>consulta_externa</v>
          </cell>
          <cell r="J2556" t="str">
            <v>bueno</v>
          </cell>
          <cell r="K2556" t="str">
            <v>probsi</v>
          </cell>
        </row>
        <row r="2557">
          <cell r="B2557" t="b">
            <v>1</v>
          </cell>
          <cell r="E2557" t="str">
            <v>Manzanillo</v>
          </cell>
          <cell r="H2557" t="str">
            <v>consulta_externa</v>
          </cell>
          <cell r="J2557" t="str">
            <v>bueno</v>
          </cell>
          <cell r="K2557" t="str">
            <v>probsi</v>
          </cell>
        </row>
        <row r="2558">
          <cell r="B2558" t="b">
            <v>1</v>
          </cell>
          <cell r="E2558" t="str">
            <v>Manzanillo</v>
          </cell>
          <cell r="H2558" t="str">
            <v>consulta_externa</v>
          </cell>
          <cell r="J2558" t="str">
            <v>bueno</v>
          </cell>
          <cell r="K2558" t="str">
            <v>probsi</v>
          </cell>
        </row>
        <row r="2559">
          <cell r="B2559" t="b">
            <v>1</v>
          </cell>
          <cell r="E2559" t="str">
            <v>Manzanillo</v>
          </cell>
          <cell r="H2559" t="str">
            <v>consulta_externa</v>
          </cell>
          <cell r="J2559" t="str">
            <v>bueno</v>
          </cell>
          <cell r="K2559" t="str">
            <v>probsi</v>
          </cell>
        </row>
        <row r="2560">
          <cell r="B2560" t="b">
            <v>1</v>
          </cell>
          <cell r="E2560" t="str">
            <v>Manzanillo</v>
          </cell>
          <cell r="H2560" t="str">
            <v>consulta_externa</v>
          </cell>
          <cell r="J2560" t="str">
            <v>bueno</v>
          </cell>
          <cell r="K2560" t="str">
            <v>probsi</v>
          </cell>
        </row>
        <row r="2561">
          <cell r="B2561" t="b">
            <v>1</v>
          </cell>
          <cell r="E2561" t="str">
            <v>Manzanillo</v>
          </cell>
          <cell r="H2561" t="str">
            <v>consulta_externa</v>
          </cell>
          <cell r="J2561" t="str">
            <v>bueno</v>
          </cell>
          <cell r="K2561" t="str">
            <v>probsi</v>
          </cell>
        </row>
        <row r="2562">
          <cell r="B2562" t="b">
            <v>1</v>
          </cell>
          <cell r="E2562" t="str">
            <v>Manzanillo</v>
          </cell>
          <cell r="H2562" t="str">
            <v>laboratorio</v>
          </cell>
          <cell r="J2562" t="str">
            <v>bueno</v>
          </cell>
          <cell r="K2562" t="str">
            <v>probsi</v>
          </cell>
        </row>
        <row r="2563">
          <cell r="B2563" t="b">
            <v>1</v>
          </cell>
          <cell r="E2563" t="str">
            <v>Manzanillo</v>
          </cell>
          <cell r="H2563" t="str">
            <v>laboratorio</v>
          </cell>
          <cell r="J2563" t="str">
            <v>bueno</v>
          </cell>
          <cell r="K2563" t="str">
            <v>probsi</v>
          </cell>
        </row>
        <row r="2564">
          <cell r="B2564" t="b">
            <v>1</v>
          </cell>
          <cell r="E2564" t="str">
            <v>Manzanillo</v>
          </cell>
          <cell r="H2564" t="str">
            <v>laboratorio</v>
          </cell>
          <cell r="J2564" t="str">
            <v>bueno</v>
          </cell>
          <cell r="K2564" t="str">
            <v>probsi</v>
          </cell>
        </row>
        <row r="2565">
          <cell r="B2565" t="b">
            <v>1</v>
          </cell>
          <cell r="E2565" t="str">
            <v>Manzanillo</v>
          </cell>
          <cell r="H2565" t="str">
            <v>laboratorio</v>
          </cell>
          <cell r="J2565" t="str">
            <v>bueno</v>
          </cell>
          <cell r="K2565" t="str">
            <v>probsi</v>
          </cell>
        </row>
        <row r="2566">
          <cell r="B2566" t="b">
            <v>1</v>
          </cell>
          <cell r="E2566" t="str">
            <v>Manzanillo</v>
          </cell>
          <cell r="H2566" t="str">
            <v>laboratorio</v>
          </cell>
          <cell r="J2566" t="str">
            <v>bueno</v>
          </cell>
          <cell r="K2566" t="str">
            <v>probsi</v>
          </cell>
        </row>
        <row r="2567">
          <cell r="B2567" t="b">
            <v>1</v>
          </cell>
          <cell r="E2567" t="str">
            <v>Manzanillo</v>
          </cell>
          <cell r="H2567" t="str">
            <v>laboratorio</v>
          </cell>
          <cell r="J2567" t="str">
            <v>bueno</v>
          </cell>
          <cell r="K2567" t="str">
            <v>probsi</v>
          </cell>
        </row>
        <row r="2568">
          <cell r="B2568" t="b">
            <v>1</v>
          </cell>
          <cell r="E2568" t="str">
            <v>Manzanillo</v>
          </cell>
          <cell r="H2568" t="str">
            <v>laboratorio</v>
          </cell>
          <cell r="J2568" t="str">
            <v>bueno</v>
          </cell>
          <cell r="K2568" t="str">
            <v>probsi</v>
          </cell>
        </row>
        <row r="2569">
          <cell r="B2569" t="b">
            <v>1</v>
          </cell>
          <cell r="E2569" t="str">
            <v>Manzanillo</v>
          </cell>
          <cell r="H2569" t="str">
            <v>laboratorio</v>
          </cell>
          <cell r="J2569" t="str">
            <v>bueno</v>
          </cell>
          <cell r="K2569" t="str">
            <v>probsi</v>
          </cell>
        </row>
        <row r="2570">
          <cell r="B2570" t="b">
            <v>1</v>
          </cell>
          <cell r="E2570" t="str">
            <v>Manzanillo</v>
          </cell>
          <cell r="H2570" t="str">
            <v>laboratorio</v>
          </cell>
          <cell r="J2570" t="str">
            <v>bueno</v>
          </cell>
          <cell r="K2570" t="str">
            <v>probsi</v>
          </cell>
        </row>
        <row r="2571">
          <cell r="B2571" t="b">
            <v>1</v>
          </cell>
          <cell r="E2571" t="str">
            <v>Manzanillo</v>
          </cell>
          <cell r="H2571" t="str">
            <v>laboratorio</v>
          </cell>
          <cell r="J2571" t="str">
            <v>bueno</v>
          </cell>
          <cell r="K2571" t="str">
            <v>probsi</v>
          </cell>
        </row>
        <row r="2572">
          <cell r="B2572" t="b">
            <v>1</v>
          </cell>
          <cell r="E2572" t="str">
            <v>Manzanillo</v>
          </cell>
          <cell r="H2572" t="str">
            <v>laboratorio</v>
          </cell>
          <cell r="J2572" t="str">
            <v>bueno</v>
          </cell>
          <cell r="K2572" t="str">
            <v>probsi</v>
          </cell>
        </row>
        <row r="2573">
          <cell r="B2573" t="b">
            <v>0</v>
          </cell>
          <cell r="E2573" t="str">
            <v>Las Reinas</v>
          </cell>
          <cell r="H2573" t="str">
            <v>consulta_externa</v>
          </cell>
          <cell r="J2573" t="str">
            <v>regular</v>
          </cell>
          <cell r="K2573" t="str">
            <v>defsi</v>
          </cell>
        </row>
        <row r="2574">
          <cell r="B2574" t="b">
            <v>0</v>
          </cell>
          <cell r="E2574" t="str">
            <v>Las Reinas</v>
          </cell>
          <cell r="H2574" t="str">
            <v>laboratorio</v>
          </cell>
          <cell r="J2574" t="str">
            <v>regular</v>
          </cell>
          <cell r="K2574" t="str">
            <v>defsi</v>
          </cell>
        </row>
        <row r="2575">
          <cell r="B2575" t="b">
            <v>1</v>
          </cell>
          <cell r="E2575" t="str">
            <v>Las Reinas</v>
          </cell>
          <cell r="H2575" t="str">
            <v>consulta_externa</v>
          </cell>
          <cell r="J2575" t="str">
            <v>bueno</v>
          </cell>
          <cell r="K2575" t="str">
            <v>defsi</v>
          </cell>
        </row>
        <row r="2576">
          <cell r="B2576" t="b">
            <v>1</v>
          </cell>
          <cell r="E2576" t="str">
            <v>Las Reinas</v>
          </cell>
          <cell r="H2576" t="str">
            <v>laboratorio</v>
          </cell>
          <cell r="J2576" t="str">
            <v>bueno</v>
          </cell>
          <cell r="K2576" t="str">
            <v>defsi</v>
          </cell>
        </row>
        <row r="2577">
          <cell r="B2577" t="b">
            <v>0</v>
          </cell>
          <cell r="E2577" t="str">
            <v>Las Reinas</v>
          </cell>
          <cell r="H2577" t="str">
            <v>consulta_externa</v>
          </cell>
          <cell r="J2577" t="str">
            <v>regular</v>
          </cell>
          <cell r="K2577" t="str">
            <v>probsi</v>
          </cell>
        </row>
        <row r="2578">
          <cell r="B2578" t="b">
            <v>1</v>
          </cell>
          <cell r="E2578" t="str">
            <v>Las Reinas</v>
          </cell>
          <cell r="H2578" t="str">
            <v>laboratorio</v>
          </cell>
          <cell r="J2578" t="str">
            <v>bueno</v>
          </cell>
          <cell r="K2578" t="str">
            <v>probsi</v>
          </cell>
        </row>
        <row r="2579">
          <cell r="B2579" t="b">
            <v>1</v>
          </cell>
          <cell r="E2579" t="str">
            <v>Las Reinas</v>
          </cell>
          <cell r="H2579" t="str">
            <v>salud_oral</v>
          </cell>
          <cell r="J2579" t="str">
            <v>bueno</v>
          </cell>
          <cell r="K2579" t="str">
            <v>defsi</v>
          </cell>
        </row>
        <row r="2580">
          <cell r="B2580" t="b">
            <v>0</v>
          </cell>
          <cell r="E2580" t="str">
            <v>Pasacaballos</v>
          </cell>
          <cell r="H2580" t="str">
            <v>consulta_externa</v>
          </cell>
          <cell r="J2580" t="str">
            <v>regular</v>
          </cell>
          <cell r="K2580" t="str">
            <v>probsi</v>
          </cell>
        </row>
        <row r="2581">
          <cell r="B2581" t="b">
            <v>0</v>
          </cell>
          <cell r="E2581" t="str">
            <v>Pasacaballos</v>
          </cell>
          <cell r="H2581" t="str">
            <v>consulta_externa</v>
          </cell>
          <cell r="J2581" t="str">
            <v>regular</v>
          </cell>
          <cell r="K2581" t="str">
            <v>probsi</v>
          </cell>
        </row>
        <row r="2582">
          <cell r="B2582" t="b">
            <v>1</v>
          </cell>
          <cell r="E2582" t="str">
            <v>Pasacaballos</v>
          </cell>
          <cell r="H2582" t="str">
            <v>salud_oral</v>
          </cell>
          <cell r="J2582" t="str">
            <v>bueno</v>
          </cell>
          <cell r="K2582" t="str">
            <v>probsi</v>
          </cell>
        </row>
        <row r="2583">
          <cell r="B2583" t="b">
            <v>1</v>
          </cell>
          <cell r="E2583" t="str">
            <v>Pasacaballos</v>
          </cell>
          <cell r="H2583" t="str">
            <v>salud_oral</v>
          </cell>
          <cell r="J2583" t="str">
            <v>bueno</v>
          </cell>
          <cell r="K2583" t="str">
            <v>probsi</v>
          </cell>
        </row>
        <row r="2584">
          <cell r="B2584" t="b">
            <v>0</v>
          </cell>
          <cell r="E2584" t="str">
            <v>Pasacaballos</v>
          </cell>
          <cell r="H2584" t="str">
            <v>laboratorio</v>
          </cell>
          <cell r="J2584" t="str">
            <v>regular</v>
          </cell>
          <cell r="K2584" t="str">
            <v>probsi</v>
          </cell>
        </row>
        <row r="2585">
          <cell r="B2585" t="b">
            <v>1</v>
          </cell>
          <cell r="E2585" t="str">
            <v>Pasacaballos</v>
          </cell>
          <cell r="H2585" t="str">
            <v>laboratorio</v>
          </cell>
          <cell r="J2585" t="str">
            <v>bueno</v>
          </cell>
          <cell r="K2585" t="str">
            <v>probsi</v>
          </cell>
        </row>
        <row r="2586">
          <cell r="B2586" t="b">
            <v>1</v>
          </cell>
          <cell r="E2586" t="str">
            <v>Pasacaballos</v>
          </cell>
          <cell r="H2586" t="str">
            <v>laboratorio</v>
          </cell>
          <cell r="J2586" t="str">
            <v>bueno</v>
          </cell>
          <cell r="K2586" t="str">
            <v>probsi</v>
          </cell>
        </row>
        <row r="2587">
          <cell r="B2587" t="b">
            <v>1</v>
          </cell>
          <cell r="E2587" t="str">
            <v>Pasacaballos</v>
          </cell>
          <cell r="H2587" t="str">
            <v>urgencia</v>
          </cell>
          <cell r="J2587" t="str">
            <v>bueno</v>
          </cell>
          <cell r="K2587" t="str">
            <v>probsi</v>
          </cell>
        </row>
        <row r="2588">
          <cell r="B2588" t="b">
            <v>1</v>
          </cell>
          <cell r="E2588" t="str">
            <v>Pasacaballos</v>
          </cell>
          <cell r="H2588" t="str">
            <v>urgencia</v>
          </cell>
          <cell r="J2588" t="str">
            <v>bueno</v>
          </cell>
          <cell r="K2588" t="str">
            <v>probsi</v>
          </cell>
        </row>
        <row r="2589">
          <cell r="B2589" t="b">
            <v>0</v>
          </cell>
          <cell r="E2589" t="str">
            <v>Pasacaballos</v>
          </cell>
          <cell r="H2589" t="str">
            <v>urgencia</v>
          </cell>
          <cell r="J2589" t="str">
            <v>regular</v>
          </cell>
          <cell r="K2589" t="str">
            <v>probsi</v>
          </cell>
        </row>
        <row r="2590">
          <cell r="B2590" t="b">
            <v>0</v>
          </cell>
          <cell r="E2590" t="str">
            <v>Pasacaballos</v>
          </cell>
          <cell r="H2590" t="str">
            <v>urgencia</v>
          </cell>
          <cell r="J2590" t="str">
            <v>regular</v>
          </cell>
          <cell r="K2590" t="str">
            <v>probsi</v>
          </cell>
        </row>
        <row r="2591">
          <cell r="B2591" t="b">
            <v>1</v>
          </cell>
          <cell r="E2591" t="str">
            <v>Arroz Barato</v>
          </cell>
          <cell r="H2591" t="str">
            <v>laboratorio</v>
          </cell>
          <cell r="J2591" t="str">
            <v>bueno</v>
          </cell>
          <cell r="K2591" t="str">
            <v>probsi</v>
          </cell>
        </row>
        <row r="2592">
          <cell r="B2592" t="b">
            <v>1</v>
          </cell>
          <cell r="E2592" t="str">
            <v>Arroz Barato</v>
          </cell>
          <cell r="H2592" t="str">
            <v>laboratorio</v>
          </cell>
          <cell r="J2592" t="str">
            <v>bueno</v>
          </cell>
          <cell r="K2592" t="str">
            <v>probsi</v>
          </cell>
        </row>
        <row r="2593">
          <cell r="B2593" t="b">
            <v>1</v>
          </cell>
          <cell r="E2593" t="str">
            <v>Arroz Barato</v>
          </cell>
          <cell r="H2593" t="str">
            <v>laboratorio</v>
          </cell>
          <cell r="J2593" t="str">
            <v>bueno</v>
          </cell>
          <cell r="K2593" t="str">
            <v>probsi</v>
          </cell>
        </row>
        <row r="2594">
          <cell r="B2594" t="b">
            <v>1</v>
          </cell>
          <cell r="E2594" t="str">
            <v>Arroz Barato</v>
          </cell>
          <cell r="H2594" t="str">
            <v>laboratorio</v>
          </cell>
          <cell r="J2594" t="str">
            <v>bueno</v>
          </cell>
          <cell r="K2594" t="str">
            <v>probsi</v>
          </cell>
        </row>
        <row r="2595">
          <cell r="B2595" t="b">
            <v>1</v>
          </cell>
          <cell r="E2595" t="str">
            <v>Arroz Barato</v>
          </cell>
          <cell r="H2595" t="str">
            <v>laboratorio</v>
          </cell>
          <cell r="J2595" t="str">
            <v>bueno</v>
          </cell>
          <cell r="K2595" t="str">
            <v>probsi</v>
          </cell>
        </row>
        <row r="2596">
          <cell r="B2596" t="b">
            <v>1</v>
          </cell>
          <cell r="E2596" t="str">
            <v>Arroz Barato</v>
          </cell>
          <cell r="H2596" t="str">
            <v>laboratorio</v>
          </cell>
          <cell r="J2596" t="str">
            <v>bueno</v>
          </cell>
          <cell r="K2596" t="str">
            <v>probsi</v>
          </cell>
        </row>
        <row r="2597">
          <cell r="B2597" t="b">
            <v>1</v>
          </cell>
          <cell r="E2597" t="str">
            <v>Arroz Barato</v>
          </cell>
          <cell r="H2597" t="str">
            <v>laboratorio</v>
          </cell>
          <cell r="J2597" t="str">
            <v>bueno</v>
          </cell>
          <cell r="K2597" t="str">
            <v>probsi</v>
          </cell>
        </row>
        <row r="2598">
          <cell r="B2598" t="b">
            <v>1</v>
          </cell>
          <cell r="E2598" t="str">
            <v>Arroz Barato</v>
          </cell>
          <cell r="H2598" t="str">
            <v>urgencia</v>
          </cell>
          <cell r="J2598" t="str">
            <v>bueno</v>
          </cell>
          <cell r="K2598" t="str">
            <v>probsi</v>
          </cell>
        </row>
        <row r="2599">
          <cell r="B2599" t="b">
            <v>1</v>
          </cell>
          <cell r="E2599" t="str">
            <v>Arroz Barato</v>
          </cell>
          <cell r="H2599" t="str">
            <v>urgencia</v>
          </cell>
          <cell r="J2599" t="str">
            <v>bueno</v>
          </cell>
          <cell r="K2599" t="str">
            <v>probsi</v>
          </cell>
        </row>
        <row r="2600">
          <cell r="B2600" t="b">
            <v>1</v>
          </cell>
          <cell r="E2600" t="str">
            <v>Arroz Barato</v>
          </cell>
          <cell r="H2600" t="str">
            <v>urgencia</v>
          </cell>
          <cell r="J2600" t="str">
            <v>bueno</v>
          </cell>
          <cell r="K2600" t="str">
            <v>probsi</v>
          </cell>
        </row>
        <row r="2601">
          <cell r="B2601" t="b">
            <v>0</v>
          </cell>
          <cell r="E2601" t="str">
            <v>Arroz Barato</v>
          </cell>
          <cell r="H2601" t="str">
            <v>urgencia</v>
          </cell>
          <cell r="J2601" t="str">
            <v>regular</v>
          </cell>
          <cell r="K2601" t="str">
            <v>probsi</v>
          </cell>
        </row>
        <row r="2602">
          <cell r="B2602" t="b">
            <v>0</v>
          </cell>
          <cell r="E2602" t="str">
            <v>Arroz Barato</v>
          </cell>
          <cell r="H2602" t="str">
            <v>urgencia</v>
          </cell>
          <cell r="J2602" t="str">
            <v>regular</v>
          </cell>
          <cell r="K2602" t="str">
            <v>probsi</v>
          </cell>
        </row>
        <row r="2603">
          <cell r="B2603" t="b">
            <v>0</v>
          </cell>
          <cell r="E2603" t="str">
            <v>Arroz Barato</v>
          </cell>
          <cell r="H2603" t="str">
            <v>urgencia</v>
          </cell>
          <cell r="J2603" t="str">
            <v>regular</v>
          </cell>
          <cell r="K2603" t="str">
            <v>probsi</v>
          </cell>
        </row>
        <row r="2604">
          <cell r="B2604" t="b">
            <v>0</v>
          </cell>
          <cell r="E2604" t="str">
            <v>Arroz Barato</v>
          </cell>
          <cell r="H2604" t="str">
            <v>urgencia</v>
          </cell>
          <cell r="J2604" t="str">
            <v>regular</v>
          </cell>
          <cell r="K2604" t="str">
            <v>probsi</v>
          </cell>
        </row>
        <row r="2605">
          <cell r="B2605" t="b">
            <v>0</v>
          </cell>
          <cell r="E2605" t="str">
            <v>Arroz Barato</v>
          </cell>
          <cell r="H2605" t="str">
            <v>urgencia</v>
          </cell>
          <cell r="J2605" t="str">
            <v>regular</v>
          </cell>
          <cell r="K2605" t="str">
            <v>probsi</v>
          </cell>
        </row>
        <row r="2606">
          <cell r="B2606" t="b">
            <v>1</v>
          </cell>
          <cell r="E2606" t="str">
            <v>Blasdelezo</v>
          </cell>
          <cell r="H2606" t="str">
            <v>consulta_externa</v>
          </cell>
          <cell r="J2606" t="str">
            <v>bueno</v>
          </cell>
          <cell r="K2606" t="str">
            <v>defsi</v>
          </cell>
        </row>
        <row r="2607">
          <cell r="B2607" t="b">
            <v>1</v>
          </cell>
          <cell r="E2607" t="str">
            <v>Blasdelezo</v>
          </cell>
          <cell r="H2607" t="str">
            <v>salud_oral</v>
          </cell>
          <cell r="J2607" t="str">
            <v>bueno</v>
          </cell>
          <cell r="K2607" t="str">
            <v>defsi</v>
          </cell>
        </row>
        <row r="2608">
          <cell r="B2608" t="b">
            <v>1</v>
          </cell>
          <cell r="E2608" t="str">
            <v>Blasdelezo</v>
          </cell>
          <cell r="H2608" t="str">
            <v>laboratorio</v>
          </cell>
          <cell r="J2608" t="str">
            <v>bueno</v>
          </cell>
          <cell r="K2608" t="str">
            <v>defsi</v>
          </cell>
        </row>
        <row r="2609">
          <cell r="B2609" t="b">
            <v>1</v>
          </cell>
          <cell r="E2609" t="str">
            <v>Blasdelezo</v>
          </cell>
          <cell r="H2609" t="str">
            <v>urgencia</v>
          </cell>
          <cell r="J2609" t="str">
            <v>bueno</v>
          </cell>
          <cell r="K2609" t="str">
            <v>defsi</v>
          </cell>
        </row>
        <row r="2610">
          <cell r="B2610" t="b">
            <v>1</v>
          </cell>
          <cell r="E2610" t="str">
            <v>Blasdelezo</v>
          </cell>
          <cell r="H2610" t="str">
            <v>consulta_externa</v>
          </cell>
          <cell r="J2610" t="str">
            <v>bueno</v>
          </cell>
          <cell r="K2610" t="str">
            <v>defsi</v>
          </cell>
        </row>
        <row r="2611">
          <cell r="B2611" t="b">
            <v>1</v>
          </cell>
          <cell r="E2611" t="str">
            <v>Blasdelezo</v>
          </cell>
          <cell r="H2611" t="str">
            <v>salud_oral</v>
          </cell>
          <cell r="J2611" t="str">
            <v>bueno</v>
          </cell>
          <cell r="K2611" t="str">
            <v>defsi</v>
          </cell>
        </row>
        <row r="2612">
          <cell r="B2612" t="b">
            <v>1</v>
          </cell>
          <cell r="E2612" t="str">
            <v>Blasdelezo</v>
          </cell>
          <cell r="H2612" t="str">
            <v>salud_oral</v>
          </cell>
          <cell r="J2612" t="str">
            <v>bueno</v>
          </cell>
          <cell r="K2612" t="str">
            <v>defsi</v>
          </cell>
        </row>
        <row r="2613">
          <cell r="B2613" t="b">
            <v>1</v>
          </cell>
          <cell r="E2613" t="str">
            <v>Blasdelezo</v>
          </cell>
          <cell r="H2613" t="str">
            <v>urgencia</v>
          </cell>
          <cell r="J2613" t="str">
            <v>bueno</v>
          </cell>
          <cell r="K2613" t="str">
            <v>defsi</v>
          </cell>
        </row>
        <row r="2614">
          <cell r="B2614" t="b">
            <v>1</v>
          </cell>
          <cell r="E2614" t="str">
            <v>Blasdelezo</v>
          </cell>
          <cell r="H2614" t="str">
            <v>consulta_externa</v>
          </cell>
          <cell r="J2614" t="str">
            <v>bueno</v>
          </cell>
          <cell r="K2614" t="str">
            <v>defsi</v>
          </cell>
        </row>
        <row r="2615">
          <cell r="B2615" t="b">
            <v>1</v>
          </cell>
          <cell r="E2615" t="str">
            <v>Blasdelezo</v>
          </cell>
          <cell r="H2615" t="str">
            <v>salud_oral</v>
          </cell>
          <cell r="J2615" t="str">
            <v>bueno</v>
          </cell>
          <cell r="K2615" t="str">
            <v>defsi</v>
          </cell>
        </row>
        <row r="2616">
          <cell r="B2616" t="b">
            <v>1</v>
          </cell>
          <cell r="E2616" t="str">
            <v>Santa Ana</v>
          </cell>
          <cell r="H2616" t="str">
            <v>consulta_externa</v>
          </cell>
          <cell r="J2616" t="str">
            <v>bueno</v>
          </cell>
          <cell r="K2616" t="str">
            <v>defsi</v>
          </cell>
        </row>
        <row r="2617">
          <cell r="B2617" t="b">
            <v>1</v>
          </cell>
          <cell r="E2617" t="str">
            <v>Santa Ana</v>
          </cell>
          <cell r="H2617" t="str">
            <v>salud_oral</v>
          </cell>
          <cell r="J2617" t="str">
            <v>bueno</v>
          </cell>
          <cell r="K2617" t="str">
            <v>defsi</v>
          </cell>
        </row>
        <row r="2618">
          <cell r="B2618" t="b">
            <v>1</v>
          </cell>
          <cell r="E2618" t="str">
            <v>Santa Ana</v>
          </cell>
          <cell r="H2618" t="str">
            <v>laboratorio</v>
          </cell>
          <cell r="J2618" t="str">
            <v>bueno</v>
          </cell>
          <cell r="K2618" t="str">
            <v>defsi</v>
          </cell>
        </row>
        <row r="2619">
          <cell r="B2619" t="b">
            <v>1</v>
          </cell>
          <cell r="E2619" t="str">
            <v>Santa Ana</v>
          </cell>
          <cell r="H2619" t="str">
            <v>urgencia</v>
          </cell>
          <cell r="J2619" t="str">
            <v>bueno</v>
          </cell>
          <cell r="K2619" t="str">
            <v>defsi</v>
          </cell>
        </row>
        <row r="2620">
          <cell r="B2620" t="b">
            <v>1</v>
          </cell>
          <cell r="E2620" t="str">
            <v>Santa Ana</v>
          </cell>
          <cell r="H2620" t="str">
            <v>consulta_externa</v>
          </cell>
          <cell r="J2620" t="str">
            <v>bueno</v>
          </cell>
          <cell r="K2620" t="str">
            <v>defsi</v>
          </cell>
        </row>
        <row r="2621">
          <cell r="B2621" t="b">
            <v>1</v>
          </cell>
          <cell r="E2621" t="str">
            <v>Santa Ana</v>
          </cell>
          <cell r="H2621" t="str">
            <v>salud_oral</v>
          </cell>
          <cell r="J2621" t="str">
            <v>bueno</v>
          </cell>
          <cell r="K2621" t="str">
            <v>defsi</v>
          </cell>
        </row>
        <row r="2622">
          <cell r="B2622" t="b">
            <v>1</v>
          </cell>
          <cell r="E2622" t="str">
            <v>Santa Ana</v>
          </cell>
          <cell r="H2622" t="str">
            <v>laboratorio</v>
          </cell>
          <cell r="J2622" t="str">
            <v>bueno</v>
          </cell>
          <cell r="K2622" t="str">
            <v>defsi</v>
          </cell>
        </row>
        <row r="2623">
          <cell r="B2623" t="b">
            <v>1</v>
          </cell>
          <cell r="E2623" t="str">
            <v>Santa Ana</v>
          </cell>
          <cell r="H2623" t="str">
            <v>urgencia</v>
          </cell>
          <cell r="J2623" t="str">
            <v>bueno</v>
          </cell>
          <cell r="K2623" t="str">
            <v>defsi</v>
          </cell>
        </row>
        <row r="2624">
          <cell r="B2624" t="b">
            <v>1</v>
          </cell>
          <cell r="E2624" t="str">
            <v>Santa Ana</v>
          </cell>
          <cell r="H2624" t="str">
            <v>consulta_externa</v>
          </cell>
          <cell r="J2624" t="str">
            <v>bueno</v>
          </cell>
          <cell r="K2624" t="str">
            <v>defsi</v>
          </cell>
        </row>
        <row r="2625">
          <cell r="B2625" t="b">
            <v>1</v>
          </cell>
          <cell r="E2625" t="str">
            <v>Santa Ana</v>
          </cell>
          <cell r="H2625" t="str">
            <v>salud_oral</v>
          </cell>
          <cell r="J2625" t="str">
            <v>bueno</v>
          </cell>
          <cell r="K2625" t="str">
            <v>defsi</v>
          </cell>
        </row>
        <row r="2626">
          <cell r="B2626" t="b">
            <v>1</v>
          </cell>
          <cell r="E2626" t="str">
            <v>Baru</v>
          </cell>
          <cell r="H2626" t="str">
            <v>consulta_externa</v>
          </cell>
          <cell r="J2626" t="str">
            <v>bueno</v>
          </cell>
          <cell r="K2626" t="str">
            <v>defsi</v>
          </cell>
        </row>
        <row r="2627">
          <cell r="B2627" t="b">
            <v>0</v>
          </cell>
          <cell r="E2627" t="str">
            <v>Baru</v>
          </cell>
          <cell r="H2627" t="str">
            <v>consulta_externa</v>
          </cell>
          <cell r="J2627" t="str">
            <v>regular</v>
          </cell>
          <cell r="K2627" t="str">
            <v>defsi</v>
          </cell>
        </row>
        <row r="2628">
          <cell r="B2628" t="b">
            <v>1</v>
          </cell>
          <cell r="E2628" t="str">
            <v>Baru</v>
          </cell>
          <cell r="H2628" t="str">
            <v>consulta_externa</v>
          </cell>
          <cell r="J2628" t="str">
            <v>bueno</v>
          </cell>
          <cell r="K2628" t="str">
            <v>defsi</v>
          </cell>
        </row>
        <row r="2629">
          <cell r="B2629" t="b">
            <v>1</v>
          </cell>
          <cell r="E2629" t="str">
            <v>Baru</v>
          </cell>
          <cell r="H2629" t="str">
            <v>salud_oral</v>
          </cell>
          <cell r="J2629" t="str">
            <v>bueno</v>
          </cell>
          <cell r="K2629" t="str">
            <v>defsi</v>
          </cell>
        </row>
        <row r="2630">
          <cell r="B2630" t="b">
            <v>1</v>
          </cell>
          <cell r="E2630" t="str">
            <v>Arroyo Grande</v>
          </cell>
          <cell r="H2630" t="str">
            <v>consulta_externa</v>
          </cell>
          <cell r="J2630" t="str">
            <v>bueno</v>
          </cell>
          <cell r="K2630" t="str">
            <v>defsi</v>
          </cell>
        </row>
        <row r="2631">
          <cell r="B2631" t="b">
            <v>1</v>
          </cell>
          <cell r="E2631" t="str">
            <v>Arroyo Grande</v>
          </cell>
          <cell r="H2631" t="str">
            <v>salud_oral</v>
          </cell>
          <cell r="J2631" t="str">
            <v>bueno</v>
          </cell>
          <cell r="K2631" t="str">
            <v>defsi</v>
          </cell>
        </row>
        <row r="2632">
          <cell r="B2632" t="b">
            <v>1</v>
          </cell>
          <cell r="E2632" t="str">
            <v>Socorro</v>
          </cell>
          <cell r="H2632" t="str">
            <v>laboratorio</v>
          </cell>
          <cell r="J2632" t="str">
            <v>bueno</v>
          </cell>
          <cell r="K2632" t="str">
            <v>probsi</v>
          </cell>
        </row>
        <row r="2633">
          <cell r="B2633" t="b">
            <v>1</v>
          </cell>
          <cell r="E2633" t="str">
            <v>Arroyo Grande</v>
          </cell>
          <cell r="H2633" t="str">
            <v>consulta_externa</v>
          </cell>
          <cell r="J2633" t="str">
            <v>bueno</v>
          </cell>
          <cell r="K2633" t="str">
            <v>defsi</v>
          </cell>
        </row>
        <row r="2634">
          <cell r="B2634" t="b">
            <v>1</v>
          </cell>
          <cell r="E2634" t="str">
            <v>Socorro</v>
          </cell>
          <cell r="H2634" t="str">
            <v>consulta_externa</v>
          </cell>
          <cell r="J2634" t="str">
            <v>bueno</v>
          </cell>
          <cell r="K2634" t="str">
            <v>probsi</v>
          </cell>
        </row>
        <row r="2635">
          <cell r="B2635" t="b">
            <v>1</v>
          </cell>
          <cell r="E2635" t="str">
            <v>Socorro</v>
          </cell>
          <cell r="H2635" t="str">
            <v>consulta_externa</v>
          </cell>
          <cell r="J2635" t="str">
            <v>bueno</v>
          </cell>
          <cell r="K2635" t="str">
            <v>probsi</v>
          </cell>
        </row>
        <row r="2636">
          <cell r="B2636" t="b">
            <v>1</v>
          </cell>
          <cell r="E2636" t="str">
            <v>Socorro</v>
          </cell>
          <cell r="H2636" t="str">
            <v>salud_oral</v>
          </cell>
          <cell r="J2636" t="str">
            <v>bueno</v>
          </cell>
          <cell r="K2636" t="str">
            <v>probsi</v>
          </cell>
        </row>
        <row r="2637">
          <cell r="B2637" t="b">
            <v>1</v>
          </cell>
          <cell r="E2637" t="str">
            <v>Socorro</v>
          </cell>
          <cell r="H2637" t="str">
            <v>consulta_externa</v>
          </cell>
          <cell r="J2637" t="str">
            <v>bueno</v>
          </cell>
          <cell r="K2637" t="str">
            <v>probsi</v>
          </cell>
        </row>
        <row r="2638">
          <cell r="B2638" t="b">
            <v>1</v>
          </cell>
          <cell r="E2638" t="str">
            <v>Socorro</v>
          </cell>
          <cell r="H2638" t="str">
            <v>laboratorio</v>
          </cell>
          <cell r="J2638" t="str">
            <v>bueno</v>
          </cell>
          <cell r="K2638" t="str">
            <v>probsi</v>
          </cell>
        </row>
        <row r="2639">
          <cell r="B2639" t="b">
            <v>1</v>
          </cell>
          <cell r="E2639" t="str">
            <v>Socorro</v>
          </cell>
          <cell r="H2639" t="str">
            <v>consulta_externa</v>
          </cell>
          <cell r="J2639" t="str">
            <v>bueno</v>
          </cell>
          <cell r="K2639" t="str">
            <v>probsi</v>
          </cell>
        </row>
        <row r="2640">
          <cell r="B2640" t="b">
            <v>1</v>
          </cell>
          <cell r="E2640" t="str">
            <v>Socorro</v>
          </cell>
          <cell r="H2640" t="str">
            <v>salud_oral</v>
          </cell>
          <cell r="J2640" t="str">
            <v>bueno</v>
          </cell>
          <cell r="K2640" t="str">
            <v>probsi</v>
          </cell>
        </row>
        <row r="2641">
          <cell r="B2641" t="b">
            <v>1</v>
          </cell>
          <cell r="E2641" t="str">
            <v>Socorro</v>
          </cell>
          <cell r="H2641" t="str">
            <v>laboratorio</v>
          </cell>
          <cell r="J2641" t="str">
            <v>bueno</v>
          </cell>
          <cell r="K2641" t="str">
            <v>probsi</v>
          </cell>
        </row>
        <row r="2642">
          <cell r="B2642" t="b">
            <v>1</v>
          </cell>
          <cell r="E2642" t="str">
            <v>Arroyo Grande</v>
          </cell>
          <cell r="H2642" t="str">
            <v>consulta_externa</v>
          </cell>
          <cell r="J2642" t="str">
            <v>bueno</v>
          </cell>
          <cell r="K2642" t="str">
            <v>defsi</v>
          </cell>
        </row>
        <row r="2643">
          <cell r="B2643" t="b">
            <v>1</v>
          </cell>
          <cell r="E2643" t="str">
            <v>Arroyo Grande</v>
          </cell>
          <cell r="H2643" t="str">
            <v>laboratorio</v>
          </cell>
          <cell r="J2643" t="str">
            <v>bueno</v>
          </cell>
          <cell r="K2643" t="str">
            <v>defsi</v>
          </cell>
        </row>
        <row r="2644">
          <cell r="B2644" t="b">
            <v>1</v>
          </cell>
          <cell r="E2644" t="str">
            <v>Arroyo Grande</v>
          </cell>
          <cell r="H2644" t="str">
            <v>laboratorio</v>
          </cell>
          <cell r="J2644" t="str">
            <v>bueno</v>
          </cell>
          <cell r="K2644" t="str">
            <v>defsi</v>
          </cell>
        </row>
        <row r="2645">
          <cell r="B2645" t="b">
            <v>1</v>
          </cell>
          <cell r="E2645" t="str">
            <v>Socorro</v>
          </cell>
          <cell r="H2645" t="str">
            <v>consulta_externa</v>
          </cell>
          <cell r="J2645" t="str">
            <v>bueno</v>
          </cell>
          <cell r="K2645" t="str">
            <v>probsi</v>
          </cell>
        </row>
        <row r="2646">
          <cell r="B2646" t="b">
            <v>1</v>
          </cell>
          <cell r="E2646" t="str">
            <v>Arroyo Grande</v>
          </cell>
          <cell r="H2646" t="str">
            <v>salud_oral</v>
          </cell>
          <cell r="J2646" t="str">
            <v>bueno</v>
          </cell>
          <cell r="K2646" t="str">
            <v>defsi</v>
          </cell>
        </row>
        <row r="2647">
          <cell r="B2647" t="b">
            <v>1</v>
          </cell>
          <cell r="E2647" t="str">
            <v>Arroyo Grande</v>
          </cell>
          <cell r="H2647" t="str">
            <v>salud_oral</v>
          </cell>
          <cell r="J2647" t="str">
            <v>bueno</v>
          </cell>
          <cell r="K2647" t="str">
            <v>defsi</v>
          </cell>
        </row>
        <row r="2648">
          <cell r="B2648" t="b">
            <v>1</v>
          </cell>
          <cell r="E2648" t="str">
            <v>Arroyo Grande</v>
          </cell>
          <cell r="H2648" t="str">
            <v>laboratorio</v>
          </cell>
          <cell r="J2648" t="str">
            <v>muybueno</v>
          </cell>
          <cell r="K2648" t="str">
            <v>defsi</v>
          </cell>
        </row>
        <row r="2649">
          <cell r="B2649" t="b">
            <v>1</v>
          </cell>
          <cell r="E2649" t="str">
            <v>Arroyo Grande</v>
          </cell>
          <cell r="H2649" t="str">
            <v>consulta_externa</v>
          </cell>
          <cell r="J2649" t="str">
            <v>muybueno</v>
          </cell>
          <cell r="K2649" t="str">
            <v>defsi</v>
          </cell>
        </row>
        <row r="2650">
          <cell r="B2650" t="b">
            <v>1</v>
          </cell>
          <cell r="E2650" t="str">
            <v>Socorro</v>
          </cell>
          <cell r="H2650" t="str">
            <v>consulta_externa</v>
          </cell>
          <cell r="J2650" t="str">
            <v>bueno</v>
          </cell>
          <cell r="K2650" t="str">
            <v>probsi</v>
          </cell>
        </row>
        <row r="2651">
          <cell r="B2651" t="b">
            <v>1</v>
          </cell>
          <cell r="E2651" t="str">
            <v>Arroyo Grande</v>
          </cell>
          <cell r="H2651" t="str">
            <v>consulta_externa</v>
          </cell>
          <cell r="J2651" t="str">
            <v>bueno</v>
          </cell>
          <cell r="K2651" t="str">
            <v>defsi</v>
          </cell>
        </row>
        <row r="2652">
          <cell r="B2652" t="b">
            <v>0</v>
          </cell>
          <cell r="E2652" t="str">
            <v>Socorro</v>
          </cell>
          <cell r="H2652" t="str">
            <v>laboratorio</v>
          </cell>
          <cell r="J2652" t="str">
            <v>regular</v>
          </cell>
          <cell r="K2652" t="str">
            <v>probsi</v>
          </cell>
        </row>
        <row r="2653">
          <cell r="B2653" t="b">
            <v>1</v>
          </cell>
          <cell r="E2653" t="str">
            <v>Socorro</v>
          </cell>
          <cell r="H2653" t="str">
            <v>consulta_externa</v>
          </cell>
          <cell r="J2653" t="str">
            <v>bueno</v>
          </cell>
          <cell r="K2653" t="str">
            <v>probsi</v>
          </cell>
        </row>
        <row r="2654">
          <cell r="B2654" t="b">
            <v>1</v>
          </cell>
          <cell r="E2654" t="str">
            <v>Socorro</v>
          </cell>
          <cell r="H2654" t="str">
            <v>salud_oral</v>
          </cell>
          <cell r="J2654" t="str">
            <v>bueno</v>
          </cell>
          <cell r="K2654" t="str">
            <v>probsi</v>
          </cell>
        </row>
        <row r="2655">
          <cell r="B2655" t="b">
            <v>1</v>
          </cell>
          <cell r="E2655" t="str">
            <v>Socorro</v>
          </cell>
          <cell r="H2655" t="str">
            <v>laboratorio</v>
          </cell>
          <cell r="J2655" t="str">
            <v>bueno</v>
          </cell>
          <cell r="K2655" t="str">
            <v>probsi</v>
          </cell>
        </row>
        <row r="2656">
          <cell r="B2656" t="b">
            <v>1</v>
          </cell>
          <cell r="E2656" t="str">
            <v>Arroyo Grande</v>
          </cell>
          <cell r="H2656" t="str">
            <v>consulta_externa</v>
          </cell>
          <cell r="J2656" t="str">
            <v>bueno</v>
          </cell>
          <cell r="K2656" t="str">
            <v>defsi</v>
          </cell>
        </row>
        <row r="2657">
          <cell r="B2657" t="b">
            <v>1</v>
          </cell>
          <cell r="E2657" t="str">
            <v>Socorro</v>
          </cell>
          <cell r="H2657" t="str">
            <v>consulta_externa</v>
          </cell>
          <cell r="J2657" t="str">
            <v>bueno</v>
          </cell>
          <cell r="K2657" t="str">
            <v>probsi</v>
          </cell>
        </row>
        <row r="2658">
          <cell r="B2658" t="b">
            <v>1</v>
          </cell>
          <cell r="E2658" t="str">
            <v>Socorro</v>
          </cell>
          <cell r="H2658" t="str">
            <v>salud_oral</v>
          </cell>
          <cell r="J2658" t="str">
            <v>bueno</v>
          </cell>
          <cell r="K2658" t="str">
            <v>probsi</v>
          </cell>
        </row>
        <row r="2659">
          <cell r="B2659" t="b">
            <v>1</v>
          </cell>
          <cell r="E2659" t="str">
            <v>Socorro</v>
          </cell>
          <cell r="H2659" t="str">
            <v>consulta_externa</v>
          </cell>
          <cell r="J2659" t="str">
            <v>bueno</v>
          </cell>
          <cell r="K2659" t="str">
            <v>probsi</v>
          </cell>
        </row>
        <row r="2660">
          <cell r="B2660" t="b">
            <v>1</v>
          </cell>
          <cell r="E2660" t="str">
            <v>Socorro</v>
          </cell>
          <cell r="H2660" t="str">
            <v>ecografias</v>
          </cell>
          <cell r="J2660" t="str">
            <v>bueno</v>
          </cell>
          <cell r="K2660" t="str">
            <v>probsi</v>
          </cell>
        </row>
        <row r="2661">
          <cell r="B2661" t="b">
            <v>0</v>
          </cell>
          <cell r="E2661" t="str">
            <v>Socorro</v>
          </cell>
          <cell r="H2661" t="str">
            <v>consulta_externa</v>
          </cell>
          <cell r="J2661" t="str">
            <v>regular</v>
          </cell>
          <cell r="K2661" t="str">
            <v>probsi</v>
          </cell>
        </row>
        <row r="2662">
          <cell r="B2662" t="b">
            <v>0</v>
          </cell>
          <cell r="E2662" t="str">
            <v>Socorro</v>
          </cell>
          <cell r="H2662" t="str">
            <v>laboratorio</v>
          </cell>
          <cell r="J2662" t="str">
            <v>regular</v>
          </cell>
          <cell r="K2662" t="str">
            <v>probsi</v>
          </cell>
        </row>
        <row r="2663">
          <cell r="B2663" t="b">
            <v>1</v>
          </cell>
          <cell r="E2663" t="str">
            <v>Arroyo Grande</v>
          </cell>
          <cell r="H2663" t="str">
            <v>consulta_externa</v>
          </cell>
          <cell r="J2663" t="str">
            <v>bueno</v>
          </cell>
          <cell r="K2663" t="str">
            <v>defsi</v>
          </cell>
        </row>
        <row r="2664">
          <cell r="B2664" t="b">
            <v>1</v>
          </cell>
          <cell r="E2664" t="str">
            <v>Socorro</v>
          </cell>
          <cell r="H2664" t="str">
            <v>consulta_externa</v>
          </cell>
          <cell r="J2664" t="str">
            <v>bueno</v>
          </cell>
          <cell r="K2664" t="str">
            <v>probsi</v>
          </cell>
        </row>
        <row r="2665">
          <cell r="B2665" t="b">
            <v>1</v>
          </cell>
          <cell r="E2665" t="str">
            <v>Socorro</v>
          </cell>
          <cell r="H2665" t="str">
            <v>salud_oral</v>
          </cell>
          <cell r="J2665" t="str">
            <v>bueno</v>
          </cell>
          <cell r="K2665" t="str">
            <v>probsi</v>
          </cell>
        </row>
        <row r="2666">
          <cell r="B2666" t="b">
            <v>1</v>
          </cell>
          <cell r="E2666" t="str">
            <v>Socorro</v>
          </cell>
          <cell r="H2666" t="str">
            <v>laboratorio</v>
          </cell>
          <cell r="J2666" t="str">
            <v>bueno</v>
          </cell>
          <cell r="K2666" t="str">
            <v>probsi</v>
          </cell>
        </row>
        <row r="2667">
          <cell r="B2667" t="b">
            <v>1</v>
          </cell>
          <cell r="E2667" t="str">
            <v>Bicentenario</v>
          </cell>
          <cell r="H2667" t="str">
            <v>consulta_externa</v>
          </cell>
          <cell r="J2667" t="str">
            <v>bueno</v>
          </cell>
          <cell r="K2667" t="str">
            <v>probsi</v>
          </cell>
        </row>
        <row r="2668">
          <cell r="B2668" t="b">
            <v>1</v>
          </cell>
          <cell r="E2668" t="str">
            <v>Bicentenario</v>
          </cell>
          <cell r="H2668" t="str">
            <v>consulta_externa</v>
          </cell>
          <cell r="J2668" t="str">
            <v>bueno</v>
          </cell>
          <cell r="K2668" t="str">
            <v>probsi</v>
          </cell>
        </row>
        <row r="2669">
          <cell r="B2669" t="b">
            <v>1</v>
          </cell>
          <cell r="E2669" t="str">
            <v>Bicentenario</v>
          </cell>
          <cell r="H2669" t="str">
            <v>consulta_externa</v>
          </cell>
          <cell r="J2669" t="str">
            <v>bueno</v>
          </cell>
          <cell r="K2669" t="str">
            <v>probsi</v>
          </cell>
        </row>
        <row r="2670">
          <cell r="B2670" t="b">
            <v>1</v>
          </cell>
          <cell r="E2670" t="str">
            <v>Bicentenario</v>
          </cell>
          <cell r="H2670" t="str">
            <v>consulta_externa</v>
          </cell>
          <cell r="J2670" t="str">
            <v>bueno</v>
          </cell>
          <cell r="K2670" t="str">
            <v>probsi</v>
          </cell>
        </row>
        <row r="2671">
          <cell r="B2671" t="b">
            <v>1</v>
          </cell>
          <cell r="E2671" t="str">
            <v>Bicentenario</v>
          </cell>
          <cell r="H2671" t="str">
            <v>consulta_externa</v>
          </cell>
          <cell r="J2671" t="str">
            <v>bueno</v>
          </cell>
          <cell r="K2671" t="str">
            <v>probsi</v>
          </cell>
        </row>
        <row r="2672">
          <cell r="B2672" t="b">
            <v>1</v>
          </cell>
          <cell r="E2672" t="str">
            <v>Bicentenario</v>
          </cell>
          <cell r="H2672" t="str">
            <v>consulta_externa</v>
          </cell>
          <cell r="J2672" t="str">
            <v>bueno</v>
          </cell>
          <cell r="K2672" t="str">
            <v>probsi</v>
          </cell>
        </row>
        <row r="2673">
          <cell r="B2673" t="b">
            <v>1</v>
          </cell>
          <cell r="E2673" t="str">
            <v>Bicentenario</v>
          </cell>
          <cell r="H2673" t="str">
            <v>consulta_externa</v>
          </cell>
          <cell r="J2673" t="str">
            <v>bueno</v>
          </cell>
          <cell r="K2673" t="str">
            <v>probsi</v>
          </cell>
        </row>
        <row r="2674">
          <cell r="B2674" t="b">
            <v>1</v>
          </cell>
          <cell r="E2674" t="str">
            <v>Bicentenario</v>
          </cell>
          <cell r="H2674" t="str">
            <v>laboratorio</v>
          </cell>
          <cell r="J2674" t="str">
            <v>bueno</v>
          </cell>
          <cell r="K2674" t="str">
            <v>probsi</v>
          </cell>
        </row>
        <row r="2675">
          <cell r="B2675" t="b">
            <v>1</v>
          </cell>
          <cell r="E2675" t="str">
            <v>Bicentenario</v>
          </cell>
          <cell r="H2675" t="str">
            <v>laboratorio</v>
          </cell>
          <cell r="J2675" t="str">
            <v>bueno</v>
          </cell>
          <cell r="K2675" t="str">
            <v>probsi</v>
          </cell>
        </row>
        <row r="2676">
          <cell r="B2676" t="b">
            <v>1</v>
          </cell>
          <cell r="E2676" t="str">
            <v>Bicentenario</v>
          </cell>
          <cell r="H2676" t="str">
            <v>laboratorio</v>
          </cell>
          <cell r="J2676" t="str">
            <v>bueno</v>
          </cell>
          <cell r="K2676" t="str">
            <v>probsi</v>
          </cell>
        </row>
        <row r="2677">
          <cell r="B2677" t="b">
            <v>1</v>
          </cell>
          <cell r="E2677" t="str">
            <v>Bicentenario</v>
          </cell>
          <cell r="H2677" t="str">
            <v>laboratorio</v>
          </cell>
          <cell r="J2677" t="str">
            <v>bueno</v>
          </cell>
          <cell r="K2677" t="str">
            <v>probsi</v>
          </cell>
        </row>
        <row r="2678">
          <cell r="B2678" t="b">
            <v>1</v>
          </cell>
          <cell r="E2678" t="str">
            <v>Bicentenario</v>
          </cell>
          <cell r="H2678" t="str">
            <v>laboratorio</v>
          </cell>
          <cell r="J2678" t="str">
            <v>bueno</v>
          </cell>
          <cell r="K2678" t="str">
            <v>probsi</v>
          </cell>
        </row>
        <row r="2679">
          <cell r="B2679" t="b">
            <v>1</v>
          </cell>
          <cell r="E2679" t="str">
            <v>Bicentenario</v>
          </cell>
          <cell r="H2679" t="str">
            <v>consulta_externa</v>
          </cell>
          <cell r="J2679" t="str">
            <v>bueno</v>
          </cell>
          <cell r="K2679" t="str">
            <v>probsi</v>
          </cell>
        </row>
        <row r="2680">
          <cell r="B2680" t="b">
            <v>1</v>
          </cell>
          <cell r="E2680" t="str">
            <v>Bicentenario</v>
          </cell>
          <cell r="H2680" t="str">
            <v>consulta_externa</v>
          </cell>
          <cell r="J2680" t="str">
            <v>bueno</v>
          </cell>
          <cell r="K2680" t="str">
            <v>probsi</v>
          </cell>
        </row>
        <row r="2681">
          <cell r="B2681" t="b">
            <v>1</v>
          </cell>
          <cell r="E2681" t="str">
            <v>Arroyo Grande</v>
          </cell>
          <cell r="H2681" t="str">
            <v>consulta_externa</v>
          </cell>
          <cell r="J2681" t="str">
            <v>bueno</v>
          </cell>
          <cell r="K2681" t="str">
            <v>defsi</v>
          </cell>
        </row>
        <row r="2682">
          <cell r="B2682" t="b">
            <v>1</v>
          </cell>
          <cell r="E2682" t="str">
            <v>Arroyo Grande</v>
          </cell>
          <cell r="H2682" t="str">
            <v>laboratorio</v>
          </cell>
          <cell r="J2682" t="str">
            <v>bueno</v>
          </cell>
          <cell r="K2682" t="str">
            <v>defsi</v>
          </cell>
        </row>
        <row r="2683">
          <cell r="B2683" t="b">
            <v>1</v>
          </cell>
          <cell r="E2683" t="str">
            <v>Arroyo Grande</v>
          </cell>
          <cell r="H2683" t="str">
            <v>salud_oral</v>
          </cell>
          <cell r="J2683" t="str">
            <v>bueno</v>
          </cell>
          <cell r="K2683" t="str">
            <v>defsi</v>
          </cell>
        </row>
        <row r="2684">
          <cell r="B2684" t="b">
            <v>1</v>
          </cell>
          <cell r="E2684" t="str">
            <v>Socorro</v>
          </cell>
          <cell r="H2684" t="str">
            <v>consulta_externa</v>
          </cell>
          <cell r="J2684" t="str">
            <v>bueno</v>
          </cell>
          <cell r="K2684" t="str">
            <v>probsi</v>
          </cell>
        </row>
        <row r="2685">
          <cell r="B2685" t="b">
            <v>1</v>
          </cell>
          <cell r="E2685" t="str">
            <v>Arroyo Grande</v>
          </cell>
          <cell r="H2685" t="str">
            <v>salud_oral</v>
          </cell>
          <cell r="J2685" t="str">
            <v>bueno</v>
          </cell>
          <cell r="K2685" t="str">
            <v>defsi</v>
          </cell>
        </row>
        <row r="2686">
          <cell r="B2686" t="b">
            <v>1</v>
          </cell>
          <cell r="E2686" t="str">
            <v>Socorro</v>
          </cell>
          <cell r="H2686" t="str">
            <v>salud_oral</v>
          </cell>
          <cell r="J2686" t="str">
            <v>bueno</v>
          </cell>
          <cell r="K2686" t="str">
            <v>probsi</v>
          </cell>
        </row>
        <row r="2687">
          <cell r="B2687" t="b">
            <v>1</v>
          </cell>
          <cell r="E2687" t="str">
            <v>Arroyo Grande</v>
          </cell>
          <cell r="H2687" t="str">
            <v>consulta_externa</v>
          </cell>
          <cell r="J2687" t="str">
            <v>bueno</v>
          </cell>
          <cell r="K2687" t="str">
            <v>defsi</v>
          </cell>
        </row>
        <row r="2688">
          <cell r="B2688" t="b">
            <v>1</v>
          </cell>
          <cell r="E2688" t="str">
            <v>Arroyo Grande</v>
          </cell>
          <cell r="H2688" t="str">
            <v>salud_oral</v>
          </cell>
          <cell r="J2688" t="str">
            <v>bueno</v>
          </cell>
          <cell r="K2688" t="str">
            <v>defsi</v>
          </cell>
        </row>
        <row r="2689">
          <cell r="B2689" t="b">
            <v>1</v>
          </cell>
          <cell r="E2689" t="str">
            <v>Arroyo Grande</v>
          </cell>
          <cell r="H2689" t="str">
            <v>salud_oral</v>
          </cell>
          <cell r="J2689" t="str">
            <v>bueno</v>
          </cell>
          <cell r="K2689" t="str">
            <v>defsi</v>
          </cell>
        </row>
        <row r="2690">
          <cell r="B2690" t="b">
            <v>1</v>
          </cell>
          <cell r="E2690" t="str">
            <v>Socorro</v>
          </cell>
          <cell r="H2690" t="str">
            <v>salud_oral</v>
          </cell>
          <cell r="J2690" t="str">
            <v>bueno</v>
          </cell>
          <cell r="K2690" t="str">
            <v>probsi</v>
          </cell>
        </row>
        <row r="2691">
          <cell r="B2691" t="b">
            <v>1</v>
          </cell>
          <cell r="E2691" t="str">
            <v>Socorro</v>
          </cell>
          <cell r="H2691" t="str">
            <v>laboratorio</v>
          </cell>
          <cell r="J2691" t="str">
            <v>bueno</v>
          </cell>
          <cell r="K2691" t="str">
            <v>probsi</v>
          </cell>
        </row>
        <row r="2692">
          <cell r="B2692" t="b">
            <v>1</v>
          </cell>
          <cell r="E2692" t="str">
            <v>Socorro</v>
          </cell>
          <cell r="H2692" t="str">
            <v>salud_oral</v>
          </cell>
          <cell r="J2692" t="str">
            <v>bueno</v>
          </cell>
          <cell r="K2692" t="str">
            <v>probsi</v>
          </cell>
        </row>
        <row r="2693">
          <cell r="B2693" t="b">
            <v>1</v>
          </cell>
          <cell r="E2693" t="str">
            <v>Socorro</v>
          </cell>
          <cell r="H2693" t="str">
            <v>salud_oral</v>
          </cell>
          <cell r="J2693" t="str">
            <v>bueno</v>
          </cell>
          <cell r="K2693" t="str">
            <v>probsi</v>
          </cell>
        </row>
        <row r="2694">
          <cell r="B2694" t="b">
            <v>0</v>
          </cell>
          <cell r="E2694" t="str">
            <v>Arroyo Grande</v>
          </cell>
          <cell r="H2694" t="str">
            <v>consulta_externa</v>
          </cell>
          <cell r="J2694" t="str">
            <v>regular</v>
          </cell>
          <cell r="K2694" t="str">
            <v>defsi</v>
          </cell>
        </row>
        <row r="2695">
          <cell r="B2695" t="b">
            <v>0</v>
          </cell>
          <cell r="E2695" t="str">
            <v>Arroyo Grande</v>
          </cell>
          <cell r="H2695" t="str">
            <v>salud_oral</v>
          </cell>
          <cell r="J2695" t="str">
            <v>regular</v>
          </cell>
          <cell r="K2695" t="str">
            <v>defsi</v>
          </cell>
        </row>
        <row r="2696">
          <cell r="B2696" t="b">
            <v>1</v>
          </cell>
          <cell r="E2696" t="str">
            <v>Arroyo Grande</v>
          </cell>
          <cell r="H2696" t="str">
            <v>laboratorio</v>
          </cell>
          <cell r="J2696" t="str">
            <v>bueno</v>
          </cell>
          <cell r="K2696" t="str">
            <v>defsi</v>
          </cell>
        </row>
        <row r="2697">
          <cell r="B2697" t="b">
            <v>1</v>
          </cell>
          <cell r="E2697" t="str">
            <v>Arroyo Grande</v>
          </cell>
          <cell r="H2697" t="str">
            <v>laboratorio</v>
          </cell>
          <cell r="J2697" t="str">
            <v>bueno</v>
          </cell>
          <cell r="K2697" t="str">
            <v>defsi</v>
          </cell>
        </row>
        <row r="2698">
          <cell r="B2698" t="b">
            <v>1</v>
          </cell>
          <cell r="E2698" t="str">
            <v>Arroyo Grande</v>
          </cell>
          <cell r="H2698" t="str">
            <v>consulta_externa</v>
          </cell>
          <cell r="J2698" t="str">
            <v>bueno</v>
          </cell>
          <cell r="K2698" t="str">
            <v>defsi</v>
          </cell>
        </row>
        <row r="2699">
          <cell r="B2699" t="b">
            <v>1</v>
          </cell>
          <cell r="E2699" t="str">
            <v>Arroyo Grande</v>
          </cell>
          <cell r="H2699" t="str">
            <v>laboratorio</v>
          </cell>
          <cell r="J2699" t="str">
            <v>muybueno</v>
          </cell>
          <cell r="K2699" t="str">
            <v>defsi</v>
          </cell>
        </row>
        <row r="2700">
          <cell r="B2700" t="b">
            <v>1</v>
          </cell>
          <cell r="E2700" t="str">
            <v>Arroyo Grande</v>
          </cell>
          <cell r="H2700" t="str">
            <v>consulta_externa</v>
          </cell>
          <cell r="J2700" t="str">
            <v>bueno</v>
          </cell>
          <cell r="K2700" t="str">
            <v>defsi</v>
          </cell>
        </row>
        <row r="2701">
          <cell r="B2701" t="b">
            <v>1</v>
          </cell>
          <cell r="E2701" t="str">
            <v>Socorro</v>
          </cell>
          <cell r="H2701" t="str">
            <v>salud_oral</v>
          </cell>
          <cell r="J2701" t="str">
            <v>bueno</v>
          </cell>
          <cell r="K2701" t="str">
            <v>probsi</v>
          </cell>
        </row>
        <row r="2702">
          <cell r="B2702" t="b">
            <v>1</v>
          </cell>
          <cell r="E2702" t="str">
            <v>Socorro</v>
          </cell>
          <cell r="H2702" t="str">
            <v>laboratorio</v>
          </cell>
          <cell r="J2702" t="str">
            <v>bueno</v>
          </cell>
          <cell r="K2702" t="str">
            <v>probsi</v>
          </cell>
        </row>
        <row r="2703">
          <cell r="B2703" t="b">
            <v>1</v>
          </cell>
          <cell r="E2703" t="str">
            <v>Socorro</v>
          </cell>
          <cell r="H2703" t="str">
            <v>salud_oral</v>
          </cell>
          <cell r="J2703" t="str">
            <v>bueno</v>
          </cell>
          <cell r="K2703" t="str">
            <v>probsi</v>
          </cell>
        </row>
        <row r="2704">
          <cell r="B2704" t="b">
            <v>1</v>
          </cell>
          <cell r="E2704" t="str">
            <v>Tierra Baja</v>
          </cell>
          <cell r="H2704" t="str">
            <v>consulta_externa</v>
          </cell>
          <cell r="J2704" t="str">
            <v>bueno</v>
          </cell>
          <cell r="K2704" t="str">
            <v>defsi</v>
          </cell>
        </row>
        <row r="2705">
          <cell r="B2705" t="b">
            <v>1</v>
          </cell>
          <cell r="E2705" t="str">
            <v>Tierra Baja</v>
          </cell>
          <cell r="H2705" t="str">
            <v>salud_oral</v>
          </cell>
          <cell r="J2705" t="str">
            <v>bueno</v>
          </cell>
          <cell r="K2705" t="str">
            <v>defsi</v>
          </cell>
        </row>
        <row r="2706">
          <cell r="B2706" t="b">
            <v>1</v>
          </cell>
          <cell r="E2706" t="str">
            <v>Tierra Baja</v>
          </cell>
          <cell r="H2706" t="str">
            <v>laboratorio</v>
          </cell>
          <cell r="J2706" t="str">
            <v>bueno</v>
          </cell>
          <cell r="K2706" t="str">
            <v>defsi</v>
          </cell>
        </row>
        <row r="2707">
          <cell r="B2707" t="b">
            <v>1</v>
          </cell>
          <cell r="E2707" t="str">
            <v>Tierra Baja</v>
          </cell>
          <cell r="H2707" t="str">
            <v>consulta_externa</v>
          </cell>
          <cell r="J2707" t="str">
            <v>bueno</v>
          </cell>
          <cell r="K2707" t="str">
            <v>defsi</v>
          </cell>
        </row>
        <row r="2708">
          <cell r="B2708" t="b">
            <v>1</v>
          </cell>
          <cell r="E2708" t="str">
            <v>Tierra Baja</v>
          </cell>
          <cell r="H2708" t="str">
            <v>salud_oral</v>
          </cell>
          <cell r="J2708" t="str">
            <v>bueno</v>
          </cell>
          <cell r="K2708" t="str">
            <v>defsi</v>
          </cell>
        </row>
        <row r="2709">
          <cell r="B2709" t="b">
            <v>1</v>
          </cell>
          <cell r="E2709" t="str">
            <v>Tierra Baja</v>
          </cell>
          <cell r="H2709" t="str">
            <v>laboratorio</v>
          </cell>
          <cell r="J2709" t="str">
            <v>bueno</v>
          </cell>
          <cell r="K2709" t="str">
            <v>defsi</v>
          </cell>
        </row>
        <row r="2710">
          <cell r="B2710" t="b">
            <v>1</v>
          </cell>
          <cell r="E2710" t="str">
            <v>Tierra Baja</v>
          </cell>
          <cell r="H2710" t="str">
            <v>consulta_externa</v>
          </cell>
          <cell r="J2710" t="str">
            <v>bueno</v>
          </cell>
          <cell r="K2710" t="str">
            <v>defsi</v>
          </cell>
        </row>
        <row r="2711">
          <cell r="B2711" t="b">
            <v>1</v>
          </cell>
          <cell r="E2711" t="str">
            <v>Tierra Baja</v>
          </cell>
          <cell r="H2711" t="str">
            <v>salud_oral</v>
          </cell>
          <cell r="J2711" t="str">
            <v>bueno</v>
          </cell>
          <cell r="K2711" t="str">
            <v>defsi</v>
          </cell>
        </row>
        <row r="2712">
          <cell r="B2712" t="b">
            <v>1</v>
          </cell>
          <cell r="E2712" t="str">
            <v>Tierra Baja</v>
          </cell>
          <cell r="H2712" t="str">
            <v>laboratorio</v>
          </cell>
          <cell r="J2712" t="str">
            <v>bueno</v>
          </cell>
          <cell r="K2712" t="str">
            <v>defsi</v>
          </cell>
        </row>
        <row r="2713">
          <cell r="B2713" t="b">
            <v>1</v>
          </cell>
          <cell r="E2713" t="str">
            <v>Tierra Bomba</v>
          </cell>
          <cell r="H2713" t="str">
            <v>consulta_externa</v>
          </cell>
          <cell r="J2713" t="str">
            <v>bueno</v>
          </cell>
          <cell r="K2713" t="str">
            <v>defsi</v>
          </cell>
        </row>
        <row r="2714">
          <cell r="B2714" t="b">
            <v>1</v>
          </cell>
          <cell r="E2714" t="str">
            <v>Tierra Baja</v>
          </cell>
          <cell r="H2714" t="str">
            <v>salud_oral</v>
          </cell>
          <cell r="J2714" t="str">
            <v>bueno</v>
          </cell>
          <cell r="K2714" t="str">
            <v>defsi</v>
          </cell>
        </row>
        <row r="2715">
          <cell r="B2715" t="b">
            <v>1</v>
          </cell>
          <cell r="E2715" t="str">
            <v>Tierra Baja</v>
          </cell>
          <cell r="H2715" t="str">
            <v>laboratorio</v>
          </cell>
          <cell r="J2715" t="str">
            <v>bueno</v>
          </cell>
          <cell r="K2715" t="str">
            <v>defsi</v>
          </cell>
        </row>
        <row r="2716">
          <cell r="B2716" t="b">
            <v>1</v>
          </cell>
          <cell r="E2716" t="str">
            <v>Arroyo Grande</v>
          </cell>
          <cell r="H2716" t="str">
            <v>consulta_externa</v>
          </cell>
          <cell r="J2716" t="str">
            <v>bueno</v>
          </cell>
          <cell r="K2716" t="str">
            <v>defsi</v>
          </cell>
        </row>
        <row r="2717">
          <cell r="B2717" t="b">
            <v>1</v>
          </cell>
          <cell r="E2717" t="str">
            <v>Arroyo Grande</v>
          </cell>
          <cell r="H2717" t="str">
            <v>salud_oral</v>
          </cell>
          <cell r="J2717" t="str">
            <v>bueno</v>
          </cell>
          <cell r="K2717" t="str">
            <v>defsi</v>
          </cell>
        </row>
        <row r="2718">
          <cell r="B2718" t="b">
            <v>1</v>
          </cell>
          <cell r="E2718" t="str">
            <v>Arroyo Grande</v>
          </cell>
          <cell r="H2718" t="str">
            <v>consulta_externa</v>
          </cell>
          <cell r="J2718" t="str">
            <v>bueno</v>
          </cell>
          <cell r="K2718" t="str">
            <v>defsi</v>
          </cell>
        </row>
        <row r="2719">
          <cell r="B2719" t="b">
            <v>1</v>
          </cell>
          <cell r="E2719" t="str">
            <v>Arroyo Grande</v>
          </cell>
          <cell r="H2719" t="str">
            <v>consulta_externa</v>
          </cell>
          <cell r="J2719" t="str">
            <v>bueno</v>
          </cell>
          <cell r="K2719" t="str">
            <v>defsi</v>
          </cell>
        </row>
        <row r="2720">
          <cell r="B2720" t="b">
            <v>1</v>
          </cell>
          <cell r="E2720" t="str">
            <v>Arroyo Grande</v>
          </cell>
          <cell r="H2720" t="str">
            <v>laboratorio</v>
          </cell>
          <cell r="J2720" t="str">
            <v>bueno</v>
          </cell>
          <cell r="K2720" t="str">
            <v>defsi</v>
          </cell>
        </row>
        <row r="2721">
          <cell r="B2721" t="b">
            <v>1</v>
          </cell>
          <cell r="E2721" t="str">
            <v>Arroyo Grande</v>
          </cell>
          <cell r="H2721" t="str">
            <v>salud_oral</v>
          </cell>
          <cell r="J2721" t="str">
            <v>bueno</v>
          </cell>
          <cell r="K2721" t="str">
            <v>defsi</v>
          </cell>
        </row>
        <row r="2722">
          <cell r="B2722" t="b">
            <v>1</v>
          </cell>
          <cell r="E2722" t="str">
            <v>Arroyo Grande</v>
          </cell>
          <cell r="H2722" t="str">
            <v>salud_oral</v>
          </cell>
          <cell r="J2722" t="str">
            <v>muybueno</v>
          </cell>
          <cell r="K2722" t="str">
            <v>defsi</v>
          </cell>
        </row>
        <row r="2723">
          <cell r="B2723" t="b">
            <v>1</v>
          </cell>
          <cell r="E2723" t="str">
            <v>Arroyo Grande</v>
          </cell>
          <cell r="H2723" t="str">
            <v>consulta_externa</v>
          </cell>
          <cell r="J2723" t="str">
            <v>bueno</v>
          </cell>
          <cell r="K2723" t="str">
            <v>defsi</v>
          </cell>
        </row>
        <row r="2724">
          <cell r="B2724" t="b">
            <v>1</v>
          </cell>
          <cell r="E2724" t="str">
            <v>Tierra Baja</v>
          </cell>
          <cell r="H2724" t="str">
            <v>consulta_externa</v>
          </cell>
          <cell r="J2724" t="str">
            <v>bueno</v>
          </cell>
          <cell r="K2724" t="str">
            <v>defsi</v>
          </cell>
        </row>
        <row r="2725">
          <cell r="B2725" t="b">
            <v>1</v>
          </cell>
          <cell r="E2725" t="str">
            <v>Arroyo Grande</v>
          </cell>
          <cell r="H2725" t="str">
            <v>salud_oral</v>
          </cell>
          <cell r="J2725" t="str">
            <v>bueno</v>
          </cell>
          <cell r="K2725" t="str">
            <v>defsi</v>
          </cell>
        </row>
        <row r="2726">
          <cell r="B2726" t="b">
            <v>1</v>
          </cell>
          <cell r="E2726" t="str">
            <v>Arroyo Grande</v>
          </cell>
          <cell r="H2726" t="str">
            <v>salud_oral</v>
          </cell>
          <cell r="J2726" t="str">
            <v>muybueno</v>
          </cell>
          <cell r="K2726" t="str">
            <v>defsi</v>
          </cell>
        </row>
        <row r="2727">
          <cell r="B2727" t="b">
            <v>1</v>
          </cell>
          <cell r="E2727" t="str">
            <v>Tierra Baja</v>
          </cell>
          <cell r="H2727" t="str">
            <v>salud_oral</v>
          </cell>
          <cell r="J2727" t="str">
            <v>bueno</v>
          </cell>
          <cell r="K2727" t="str">
            <v>defsi</v>
          </cell>
        </row>
        <row r="2728">
          <cell r="B2728" t="b">
            <v>1</v>
          </cell>
          <cell r="E2728" t="str">
            <v>Tierra Baja</v>
          </cell>
          <cell r="H2728" t="str">
            <v>laboratorio</v>
          </cell>
          <cell r="J2728" t="str">
            <v>bueno</v>
          </cell>
          <cell r="K2728" t="str">
            <v>defsi</v>
          </cell>
        </row>
        <row r="2729">
          <cell r="B2729" t="b">
            <v>1</v>
          </cell>
          <cell r="E2729" t="str">
            <v>Socorro</v>
          </cell>
          <cell r="H2729" t="str">
            <v>salud_oral</v>
          </cell>
          <cell r="J2729" t="str">
            <v>bueno</v>
          </cell>
          <cell r="K2729" t="str">
            <v>probsi</v>
          </cell>
        </row>
        <row r="2730">
          <cell r="B2730" t="b">
            <v>1</v>
          </cell>
          <cell r="E2730" t="str">
            <v>Socorro</v>
          </cell>
          <cell r="H2730" t="str">
            <v>laboratorio</v>
          </cell>
          <cell r="J2730" t="str">
            <v>bueno</v>
          </cell>
          <cell r="K2730" t="str">
            <v>probsi</v>
          </cell>
        </row>
        <row r="2731">
          <cell r="B2731" t="b">
            <v>1</v>
          </cell>
          <cell r="E2731" t="str">
            <v>Socorro</v>
          </cell>
          <cell r="H2731" t="str">
            <v>laboratorio</v>
          </cell>
          <cell r="J2731" t="str">
            <v>bueno</v>
          </cell>
          <cell r="K2731" t="str">
            <v>probsi</v>
          </cell>
        </row>
        <row r="2732">
          <cell r="B2732" t="b">
            <v>1</v>
          </cell>
          <cell r="E2732" t="str">
            <v>Socorro</v>
          </cell>
          <cell r="H2732" t="str">
            <v>ecografias</v>
          </cell>
          <cell r="J2732" t="str">
            <v>bueno</v>
          </cell>
          <cell r="K2732" t="str">
            <v>probsi</v>
          </cell>
        </row>
        <row r="2733">
          <cell r="B2733" t="b">
            <v>1</v>
          </cell>
          <cell r="E2733" t="str">
            <v>Socorro</v>
          </cell>
          <cell r="H2733" t="str">
            <v>ecografias</v>
          </cell>
          <cell r="J2733" t="str">
            <v>bueno</v>
          </cell>
          <cell r="K2733" t="str">
            <v>probsi</v>
          </cell>
        </row>
        <row r="2734">
          <cell r="B2734" t="b">
            <v>1</v>
          </cell>
          <cell r="E2734" t="str">
            <v>Tierra Baja</v>
          </cell>
          <cell r="H2734" t="str">
            <v>consulta_externa</v>
          </cell>
          <cell r="J2734" t="str">
            <v>bueno</v>
          </cell>
          <cell r="K2734" t="str">
            <v>defsi</v>
          </cell>
        </row>
        <row r="2735">
          <cell r="B2735" t="b">
            <v>1</v>
          </cell>
          <cell r="E2735" t="str">
            <v>Tierra Baja</v>
          </cell>
          <cell r="H2735" t="str">
            <v>salud_oral</v>
          </cell>
          <cell r="J2735" t="str">
            <v>bueno</v>
          </cell>
          <cell r="K2735" t="str">
            <v>defsi</v>
          </cell>
        </row>
        <row r="2736">
          <cell r="B2736" t="b">
            <v>1</v>
          </cell>
          <cell r="E2736" t="str">
            <v>Tierra Baja</v>
          </cell>
          <cell r="H2736" t="str">
            <v>laboratorio</v>
          </cell>
          <cell r="J2736" t="str">
            <v>bueno</v>
          </cell>
          <cell r="K2736" t="str">
            <v>defsi</v>
          </cell>
        </row>
        <row r="2737">
          <cell r="B2737" t="b">
            <v>1</v>
          </cell>
          <cell r="E2737" t="str">
            <v>Arroyo Grande</v>
          </cell>
          <cell r="H2737" t="str">
            <v>salud_oral</v>
          </cell>
          <cell r="J2737" t="str">
            <v>bueno</v>
          </cell>
          <cell r="K2737" t="str">
            <v>defsi</v>
          </cell>
        </row>
        <row r="2738">
          <cell r="B2738" t="b">
            <v>0</v>
          </cell>
          <cell r="E2738" t="str">
            <v>Arroyo Grande</v>
          </cell>
          <cell r="H2738" t="str">
            <v>salud_oral</v>
          </cell>
          <cell r="J2738" t="str">
            <v>regular</v>
          </cell>
          <cell r="K2738" t="str">
            <v>defsi</v>
          </cell>
        </row>
        <row r="2739">
          <cell r="B2739" t="b">
            <v>0</v>
          </cell>
          <cell r="E2739" t="str">
            <v>Arroyo Grande</v>
          </cell>
          <cell r="H2739" t="str">
            <v>salud_oral</v>
          </cell>
          <cell r="J2739" t="str">
            <v>regular</v>
          </cell>
          <cell r="K2739" t="str">
            <v>defsi</v>
          </cell>
        </row>
        <row r="2740">
          <cell r="B2740" t="b">
            <v>1</v>
          </cell>
          <cell r="E2740" t="str">
            <v>Tierra Baja</v>
          </cell>
          <cell r="H2740" t="str">
            <v>consulta_externa</v>
          </cell>
          <cell r="J2740" t="str">
            <v>bueno</v>
          </cell>
          <cell r="K2740" t="str">
            <v>defsi</v>
          </cell>
        </row>
        <row r="2741">
          <cell r="B2741" t="b">
            <v>1</v>
          </cell>
          <cell r="E2741" t="str">
            <v>Tierra Baja</v>
          </cell>
          <cell r="H2741" t="str">
            <v>salud_oral</v>
          </cell>
          <cell r="J2741" t="str">
            <v>bueno</v>
          </cell>
          <cell r="K2741" t="str">
            <v>defsi</v>
          </cell>
        </row>
        <row r="2742">
          <cell r="B2742" t="b">
            <v>1</v>
          </cell>
          <cell r="E2742" t="str">
            <v>Tierra Baja</v>
          </cell>
          <cell r="H2742" t="str">
            <v>laboratorio</v>
          </cell>
          <cell r="J2742" t="str">
            <v>bueno</v>
          </cell>
          <cell r="K2742" t="str">
            <v>defsi</v>
          </cell>
        </row>
        <row r="2743">
          <cell r="B2743" t="b">
            <v>1</v>
          </cell>
          <cell r="E2743" t="str">
            <v>Tierra Baja</v>
          </cell>
          <cell r="H2743" t="str">
            <v>consulta_externa</v>
          </cell>
          <cell r="J2743" t="str">
            <v>bueno</v>
          </cell>
          <cell r="K2743" t="str">
            <v>defsi</v>
          </cell>
        </row>
        <row r="2744">
          <cell r="B2744" t="b">
            <v>1</v>
          </cell>
          <cell r="E2744" t="str">
            <v>Tierra Baja</v>
          </cell>
          <cell r="H2744" t="str">
            <v>salud_oral</v>
          </cell>
          <cell r="J2744" t="str">
            <v>bueno</v>
          </cell>
          <cell r="K2744" t="str">
            <v>defsi</v>
          </cell>
        </row>
        <row r="2745">
          <cell r="B2745" t="b">
            <v>1</v>
          </cell>
          <cell r="E2745" t="str">
            <v>Tierra Baja</v>
          </cell>
          <cell r="H2745" t="str">
            <v>laboratorio</v>
          </cell>
          <cell r="J2745" t="str">
            <v>bueno</v>
          </cell>
          <cell r="K2745" t="str">
            <v>defsi</v>
          </cell>
        </row>
        <row r="2746">
          <cell r="B2746" t="b">
            <v>1</v>
          </cell>
          <cell r="E2746" t="str">
            <v>Arroyo Grande</v>
          </cell>
          <cell r="H2746" t="str">
            <v>consulta_externa</v>
          </cell>
          <cell r="J2746" t="str">
            <v>bueno</v>
          </cell>
          <cell r="K2746" t="str">
            <v>defsi</v>
          </cell>
        </row>
        <row r="2747">
          <cell r="B2747" t="b">
            <v>0</v>
          </cell>
          <cell r="E2747" t="str">
            <v>Arroyo Grande</v>
          </cell>
          <cell r="H2747" t="str">
            <v>consulta_externa</v>
          </cell>
          <cell r="J2747" t="str">
            <v>regular</v>
          </cell>
          <cell r="K2747" t="str">
            <v>defsi</v>
          </cell>
        </row>
        <row r="2748">
          <cell r="B2748" t="b">
            <v>1</v>
          </cell>
          <cell r="E2748" t="str">
            <v>Arroyo Grande</v>
          </cell>
          <cell r="H2748" t="str">
            <v>salud_oral</v>
          </cell>
          <cell r="J2748" t="str">
            <v>bueno</v>
          </cell>
          <cell r="K2748" t="str">
            <v>defsi</v>
          </cell>
        </row>
        <row r="2749">
          <cell r="B2749" t="b">
            <v>1</v>
          </cell>
          <cell r="E2749" t="str">
            <v>Arroyo Grande</v>
          </cell>
          <cell r="H2749" t="str">
            <v>salud_oral</v>
          </cell>
          <cell r="J2749" t="str">
            <v>bueno</v>
          </cell>
          <cell r="K2749" t="str">
            <v>defsi</v>
          </cell>
        </row>
        <row r="2750">
          <cell r="B2750" t="b">
            <v>1</v>
          </cell>
          <cell r="E2750" t="str">
            <v>Arroyo Grande</v>
          </cell>
          <cell r="H2750" t="str">
            <v>laboratorio</v>
          </cell>
          <cell r="J2750" t="str">
            <v>bueno</v>
          </cell>
          <cell r="K2750" t="str">
            <v>defsi</v>
          </cell>
        </row>
        <row r="2751">
          <cell r="B2751" t="b">
            <v>1</v>
          </cell>
          <cell r="E2751" t="str">
            <v>Arroyo Grande</v>
          </cell>
          <cell r="H2751" t="str">
            <v>salud_oral</v>
          </cell>
          <cell r="J2751" t="str">
            <v>bueno</v>
          </cell>
          <cell r="K2751" t="str">
            <v>defsi</v>
          </cell>
        </row>
        <row r="2752">
          <cell r="B2752" t="b">
            <v>1</v>
          </cell>
          <cell r="E2752" t="str">
            <v>Arroyo Grande</v>
          </cell>
          <cell r="H2752" t="str">
            <v>laboratorio</v>
          </cell>
          <cell r="J2752" t="str">
            <v>bueno</v>
          </cell>
          <cell r="K2752" t="str">
            <v>defsi</v>
          </cell>
        </row>
        <row r="2753">
          <cell r="B2753" t="b">
            <v>1</v>
          </cell>
          <cell r="E2753" t="str">
            <v>Arroyo Grande</v>
          </cell>
          <cell r="H2753" t="str">
            <v>laboratorio</v>
          </cell>
          <cell r="J2753" t="str">
            <v>bueno</v>
          </cell>
          <cell r="K2753" t="str">
            <v>defsi</v>
          </cell>
        </row>
        <row r="2754">
          <cell r="B2754" t="b">
            <v>1</v>
          </cell>
          <cell r="E2754" t="str">
            <v>Arroyo Grande</v>
          </cell>
          <cell r="H2754" t="str">
            <v>laboratorio</v>
          </cell>
          <cell r="J2754" t="str">
            <v>bueno</v>
          </cell>
          <cell r="K2754" t="str">
            <v>defsi</v>
          </cell>
        </row>
        <row r="2755">
          <cell r="B2755" t="b">
            <v>1</v>
          </cell>
          <cell r="E2755" t="str">
            <v>Arroyo Grande</v>
          </cell>
          <cell r="H2755" t="str">
            <v>consulta_externa</v>
          </cell>
          <cell r="J2755" t="str">
            <v>bueno</v>
          </cell>
          <cell r="K2755" t="str">
            <v>defsi</v>
          </cell>
        </row>
        <row r="2756">
          <cell r="B2756" t="b">
            <v>1</v>
          </cell>
          <cell r="E2756" t="str">
            <v>Arroyo Grande</v>
          </cell>
          <cell r="H2756" t="str">
            <v>salud_oral</v>
          </cell>
          <cell r="J2756" t="str">
            <v>muybueno</v>
          </cell>
          <cell r="K2756" t="str">
            <v>defsi</v>
          </cell>
        </row>
        <row r="2757">
          <cell r="B2757" t="b">
            <v>1</v>
          </cell>
          <cell r="E2757" t="str">
            <v>Arroyo Grande</v>
          </cell>
          <cell r="H2757" t="str">
            <v>consulta_externa</v>
          </cell>
          <cell r="J2757" t="str">
            <v>bueno</v>
          </cell>
          <cell r="K2757" t="str">
            <v>defsi</v>
          </cell>
        </row>
        <row r="2758">
          <cell r="B2758" t="b">
            <v>1</v>
          </cell>
          <cell r="E2758" t="str">
            <v>Arroyo Grande</v>
          </cell>
          <cell r="H2758" t="str">
            <v>laboratorio</v>
          </cell>
          <cell r="J2758" t="str">
            <v>bueno</v>
          </cell>
          <cell r="K2758" t="str">
            <v>defsi</v>
          </cell>
        </row>
        <row r="2759">
          <cell r="B2759" t="b">
            <v>1</v>
          </cell>
          <cell r="E2759" t="str">
            <v>Tierra Baja</v>
          </cell>
          <cell r="H2759" t="str">
            <v>consulta_externa</v>
          </cell>
          <cell r="J2759" t="str">
            <v>bueno</v>
          </cell>
          <cell r="K2759" t="str">
            <v>defsi</v>
          </cell>
        </row>
        <row r="2760">
          <cell r="B2760" t="b">
            <v>1</v>
          </cell>
          <cell r="E2760" t="str">
            <v>Tierra Baja</v>
          </cell>
          <cell r="H2760" t="str">
            <v>salud_oral</v>
          </cell>
          <cell r="J2760" t="str">
            <v>bueno</v>
          </cell>
          <cell r="K2760" t="str">
            <v>defsi</v>
          </cell>
        </row>
        <row r="2761">
          <cell r="B2761" t="b">
            <v>1</v>
          </cell>
          <cell r="E2761" t="str">
            <v>Tierra Baja</v>
          </cell>
          <cell r="H2761" t="str">
            <v>laboratorio</v>
          </cell>
          <cell r="J2761" t="str">
            <v>bueno</v>
          </cell>
          <cell r="K2761" t="str">
            <v>defsi</v>
          </cell>
        </row>
        <row r="2762">
          <cell r="B2762" t="b">
            <v>1</v>
          </cell>
          <cell r="E2762" t="str">
            <v>Tierra Baja</v>
          </cell>
          <cell r="H2762" t="str">
            <v>consulta_externa</v>
          </cell>
          <cell r="J2762" t="str">
            <v>bueno</v>
          </cell>
          <cell r="K2762" t="str">
            <v>defsi</v>
          </cell>
        </row>
        <row r="2763">
          <cell r="B2763" t="b">
            <v>1</v>
          </cell>
          <cell r="E2763" t="str">
            <v>Tierra Baja</v>
          </cell>
          <cell r="H2763" t="str">
            <v>salud_oral</v>
          </cell>
          <cell r="J2763" t="str">
            <v>bueno</v>
          </cell>
          <cell r="K2763" t="str">
            <v>defsi</v>
          </cell>
        </row>
        <row r="2764">
          <cell r="B2764" t="b">
            <v>1</v>
          </cell>
          <cell r="E2764" t="str">
            <v>Tierra Baja</v>
          </cell>
          <cell r="H2764" t="str">
            <v>laboratorio</v>
          </cell>
          <cell r="J2764" t="str">
            <v>bueno</v>
          </cell>
          <cell r="K2764" t="str">
            <v>defsi</v>
          </cell>
        </row>
        <row r="2765">
          <cell r="B2765" t="b">
            <v>0</v>
          </cell>
          <cell r="E2765" t="str">
            <v>Ternera</v>
          </cell>
          <cell r="H2765" t="str">
            <v>consulta_externa</v>
          </cell>
          <cell r="J2765" t="str">
            <v>regular</v>
          </cell>
          <cell r="K2765" t="str">
            <v>probsi</v>
          </cell>
        </row>
        <row r="2766">
          <cell r="B2766" t="b">
            <v>0</v>
          </cell>
          <cell r="E2766" t="str">
            <v>Ternera</v>
          </cell>
          <cell r="H2766" t="str">
            <v>consulta_externa</v>
          </cell>
          <cell r="J2766" t="str">
            <v>regular</v>
          </cell>
          <cell r="K2766" t="str">
            <v>probsi</v>
          </cell>
        </row>
        <row r="2767">
          <cell r="B2767" t="b">
            <v>0</v>
          </cell>
          <cell r="E2767" t="str">
            <v>Ternera</v>
          </cell>
          <cell r="H2767" t="str">
            <v>consulta_externa</v>
          </cell>
          <cell r="J2767" t="str">
            <v>regular</v>
          </cell>
          <cell r="K2767" t="str">
            <v>probsi</v>
          </cell>
        </row>
        <row r="2768">
          <cell r="B2768" t="b">
            <v>1</v>
          </cell>
          <cell r="E2768" t="str">
            <v>Ternera</v>
          </cell>
          <cell r="H2768" t="str">
            <v>salud_oral</v>
          </cell>
          <cell r="J2768" t="str">
            <v>bueno</v>
          </cell>
          <cell r="K2768" t="str">
            <v>probsi</v>
          </cell>
        </row>
        <row r="2769">
          <cell r="B2769" t="b">
            <v>1</v>
          </cell>
          <cell r="E2769" t="str">
            <v>Ternera</v>
          </cell>
          <cell r="H2769" t="str">
            <v>salud_oral</v>
          </cell>
          <cell r="J2769" t="str">
            <v>bueno</v>
          </cell>
          <cell r="K2769" t="str">
            <v>probsi</v>
          </cell>
        </row>
        <row r="2770">
          <cell r="B2770" t="b">
            <v>1</v>
          </cell>
          <cell r="E2770" t="str">
            <v>Ternera</v>
          </cell>
          <cell r="H2770" t="str">
            <v>salud_oral</v>
          </cell>
          <cell r="J2770" t="str">
            <v>bueno</v>
          </cell>
          <cell r="K2770" t="str">
            <v>probsi</v>
          </cell>
        </row>
        <row r="2771">
          <cell r="B2771" t="b">
            <v>1</v>
          </cell>
          <cell r="E2771" t="str">
            <v>Ternera</v>
          </cell>
          <cell r="H2771" t="str">
            <v>salud_oral</v>
          </cell>
          <cell r="J2771" t="str">
            <v>bueno</v>
          </cell>
          <cell r="K2771" t="str">
            <v>probsi</v>
          </cell>
        </row>
        <row r="2772">
          <cell r="B2772" t="b">
            <v>1</v>
          </cell>
          <cell r="E2772" t="str">
            <v>Ternera</v>
          </cell>
          <cell r="H2772" t="str">
            <v>laboratorio</v>
          </cell>
          <cell r="J2772" t="str">
            <v>bueno</v>
          </cell>
          <cell r="K2772" t="str">
            <v>probsi</v>
          </cell>
        </row>
        <row r="2773">
          <cell r="B2773" t="b">
            <v>1</v>
          </cell>
          <cell r="E2773" t="str">
            <v>Ternera</v>
          </cell>
          <cell r="H2773" t="str">
            <v>laboratorio</v>
          </cell>
          <cell r="J2773" t="str">
            <v>bueno</v>
          </cell>
          <cell r="K2773" t="str">
            <v>probsi</v>
          </cell>
        </row>
        <row r="2774">
          <cell r="B2774" t="b">
            <v>1</v>
          </cell>
          <cell r="E2774" t="str">
            <v>Ternera</v>
          </cell>
          <cell r="H2774" t="str">
            <v>laboratorio</v>
          </cell>
          <cell r="J2774" t="str">
            <v>bueno</v>
          </cell>
          <cell r="K2774" t="str">
            <v>probsi</v>
          </cell>
        </row>
        <row r="2775">
          <cell r="B2775" t="b">
            <v>1</v>
          </cell>
          <cell r="E2775" t="str">
            <v>Ternera</v>
          </cell>
          <cell r="H2775" t="str">
            <v>laboratorio</v>
          </cell>
          <cell r="J2775" t="str">
            <v>bueno</v>
          </cell>
          <cell r="K2775" t="str">
            <v>probsi</v>
          </cell>
        </row>
        <row r="2776">
          <cell r="B2776" t="b">
            <v>1</v>
          </cell>
          <cell r="E2776" t="str">
            <v>Ternera</v>
          </cell>
          <cell r="H2776" t="str">
            <v>laboratorio</v>
          </cell>
          <cell r="J2776" t="str">
            <v>bueno</v>
          </cell>
          <cell r="K2776" t="str">
            <v>probsi</v>
          </cell>
        </row>
        <row r="2777">
          <cell r="B2777" t="b">
            <v>1</v>
          </cell>
          <cell r="E2777" t="str">
            <v>Pozon</v>
          </cell>
          <cell r="H2777" t="str">
            <v>consulta_externa</v>
          </cell>
          <cell r="J2777" t="str">
            <v>bueno</v>
          </cell>
          <cell r="K2777" t="str">
            <v>probsi</v>
          </cell>
        </row>
        <row r="2778">
          <cell r="B2778" t="b">
            <v>1</v>
          </cell>
          <cell r="E2778" t="str">
            <v>Pozon</v>
          </cell>
          <cell r="H2778" t="str">
            <v>consulta_externa</v>
          </cell>
          <cell r="J2778" t="str">
            <v>bueno</v>
          </cell>
          <cell r="K2778" t="str">
            <v>probsi</v>
          </cell>
        </row>
        <row r="2779">
          <cell r="B2779" t="b">
            <v>1</v>
          </cell>
          <cell r="E2779" t="str">
            <v>Pozon</v>
          </cell>
          <cell r="H2779" t="str">
            <v>laboratorio</v>
          </cell>
          <cell r="J2779" t="str">
            <v>bueno</v>
          </cell>
          <cell r="K2779" t="str">
            <v>probsi</v>
          </cell>
        </row>
        <row r="2780">
          <cell r="B2780" t="b">
            <v>1</v>
          </cell>
          <cell r="E2780" t="str">
            <v>Pozon</v>
          </cell>
          <cell r="H2780" t="str">
            <v>laboratorio</v>
          </cell>
          <cell r="J2780" t="str">
            <v>bueno</v>
          </cell>
          <cell r="K2780" t="str">
            <v>probsi</v>
          </cell>
        </row>
        <row r="2781">
          <cell r="B2781" t="b">
            <v>1</v>
          </cell>
          <cell r="E2781" t="str">
            <v>Pozon</v>
          </cell>
          <cell r="H2781" t="str">
            <v>salud_oral</v>
          </cell>
          <cell r="J2781" t="str">
            <v>bueno</v>
          </cell>
          <cell r="K2781" t="str">
            <v>probsi</v>
          </cell>
        </row>
        <row r="2782">
          <cell r="B2782" t="b">
            <v>1</v>
          </cell>
          <cell r="E2782" t="str">
            <v>Pozon</v>
          </cell>
          <cell r="H2782" t="str">
            <v>salud_oral</v>
          </cell>
          <cell r="J2782" t="str">
            <v>bueno</v>
          </cell>
          <cell r="K2782" t="str">
            <v>probsi</v>
          </cell>
        </row>
        <row r="2783">
          <cell r="B2783" t="b">
            <v>1</v>
          </cell>
          <cell r="E2783" t="str">
            <v>Pozon</v>
          </cell>
          <cell r="H2783" t="str">
            <v>salud_oral</v>
          </cell>
          <cell r="J2783" t="str">
            <v>bueno</v>
          </cell>
          <cell r="K2783" t="str">
            <v>probsi</v>
          </cell>
        </row>
        <row r="2784">
          <cell r="B2784" t="b">
            <v>1</v>
          </cell>
          <cell r="E2784" t="str">
            <v>Pozon</v>
          </cell>
          <cell r="H2784" t="str">
            <v>salud_oral</v>
          </cell>
          <cell r="J2784" t="str">
            <v>bueno</v>
          </cell>
          <cell r="K2784" t="str">
            <v>probsi</v>
          </cell>
        </row>
        <row r="2785">
          <cell r="B2785" t="b">
            <v>1</v>
          </cell>
          <cell r="E2785" t="str">
            <v>Pozon</v>
          </cell>
          <cell r="H2785" t="str">
            <v>salud_oral</v>
          </cell>
          <cell r="J2785" t="str">
            <v>bueno</v>
          </cell>
          <cell r="K2785" t="str">
            <v>probsi</v>
          </cell>
        </row>
        <row r="2786">
          <cell r="B2786" t="b">
            <v>0</v>
          </cell>
          <cell r="E2786" t="str">
            <v>Ternera</v>
          </cell>
          <cell r="H2786" t="str">
            <v>consulta_externa</v>
          </cell>
          <cell r="J2786" t="str">
            <v>regular</v>
          </cell>
          <cell r="K2786" t="str">
            <v>probsi</v>
          </cell>
        </row>
        <row r="2787">
          <cell r="B2787" t="b">
            <v>1</v>
          </cell>
          <cell r="E2787" t="str">
            <v>Pozon</v>
          </cell>
          <cell r="H2787" t="str">
            <v>salud_oral</v>
          </cell>
          <cell r="J2787" t="str">
            <v>bueno</v>
          </cell>
          <cell r="K2787" t="str">
            <v>probsi</v>
          </cell>
        </row>
        <row r="2788">
          <cell r="B2788" t="b">
            <v>1</v>
          </cell>
          <cell r="E2788" t="str">
            <v>Ternera</v>
          </cell>
          <cell r="H2788" t="str">
            <v>consulta_externa</v>
          </cell>
          <cell r="J2788" t="str">
            <v>bueno</v>
          </cell>
          <cell r="K2788" t="str">
            <v>probsi</v>
          </cell>
        </row>
        <row r="2789">
          <cell r="B2789" t="b">
            <v>1</v>
          </cell>
          <cell r="E2789" t="str">
            <v>Ternera</v>
          </cell>
          <cell r="H2789" t="str">
            <v>consulta_externa</v>
          </cell>
          <cell r="J2789" t="str">
            <v>bueno</v>
          </cell>
          <cell r="K2789" t="str">
            <v>probsi</v>
          </cell>
        </row>
        <row r="2790">
          <cell r="B2790" t="b">
            <v>1</v>
          </cell>
          <cell r="E2790" t="str">
            <v>Ternera</v>
          </cell>
          <cell r="H2790" t="str">
            <v>salud_oral</v>
          </cell>
          <cell r="J2790" t="str">
            <v>bueno</v>
          </cell>
          <cell r="K2790" t="str">
            <v>probsi</v>
          </cell>
        </row>
        <row r="2791">
          <cell r="B2791" t="b">
            <v>1</v>
          </cell>
          <cell r="E2791" t="str">
            <v>Ternera</v>
          </cell>
          <cell r="H2791" t="str">
            <v>salud_oral</v>
          </cell>
          <cell r="J2791" t="str">
            <v>bueno</v>
          </cell>
          <cell r="K2791" t="str">
            <v>probsi</v>
          </cell>
        </row>
        <row r="2792">
          <cell r="B2792" t="b">
            <v>1</v>
          </cell>
          <cell r="E2792" t="str">
            <v>Ternera</v>
          </cell>
          <cell r="H2792" t="str">
            <v>salud_oral</v>
          </cell>
          <cell r="J2792" t="str">
            <v>bueno</v>
          </cell>
          <cell r="K2792" t="str">
            <v>probsi</v>
          </cell>
        </row>
        <row r="2793">
          <cell r="B2793" t="b">
            <v>1</v>
          </cell>
          <cell r="E2793" t="str">
            <v>Ternera</v>
          </cell>
          <cell r="H2793" t="str">
            <v>laboratorio</v>
          </cell>
          <cell r="J2793" t="str">
            <v>bueno</v>
          </cell>
          <cell r="K2793" t="str">
            <v>probsi</v>
          </cell>
        </row>
        <row r="2794">
          <cell r="B2794" t="b">
            <v>1</v>
          </cell>
          <cell r="E2794" t="str">
            <v>Ternera</v>
          </cell>
          <cell r="H2794" t="str">
            <v>laboratorio</v>
          </cell>
          <cell r="J2794" t="str">
            <v>bueno</v>
          </cell>
          <cell r="K2794" t="str">
            <v>probsi</v>
          </cell>
        </row>
        <row r="2795">
          <cell r="B2795" t="b">
            <v>1</v>
          </cell>
          <cell r="E2795" t="str">
            <v>Ternera</v>
          </cell>
          <cell r="H2795" t="str">
            <v>laboratorio</v>
          </cell>
          <cell r="J2795" t="str">
            <v>bueno</v>
          </cell>
          <cell r="K2795" t="str">
            <v>probsi</v>
          </cell>
        </row>
        <row r="2796">
          <cell r="B2796" t="b">
            <v>1</v>
          </cell>
          <cell r="E2796" t="str">
            <v>Pozon</v>
          </cell>
          <cell r="H2796" t="str">
            <v>consulta_externa</v>
          </cell>
          <cell r="J2796" t="str">
            <v>bueno</v>
          </cell>
          <cell r="K2796" t="str">
            <v>probsi</v>
          </cell>
        </row>
        <row r="2797">
          <cell r="B2797" t="b">
            <v>1</v>
          </cell>
          <cell r="E2797" t="str">
            <v>Pozon</v>
          </cell>
          <cell r="H2797" t="str">
            <v>consulta_externa</v>
          </cell>
          <cell r="J2797" t="str">
            <v>bueno</v>
          </cell>
          <cell r="K2797" t="str">
            <v>probsi</v>
          </cell>
        </row>
        <row r="2798">
          <cell r="B2798" t="b">
            <v>1</v>
          </cell>
          <cell r="E2798" t="str">
            <v>Pozon</v>
          </cell>
          <cell r="H2798" t="str">
            <v>consulta_externa</v>
          </cell>
          <cell r="J2798" t="str">
            <v>bueno</v>
          </cell>
          <cell r="K2798" t="str">
            <v>probsi</v>
          </cell>
        </row>
        <row r="2799">
          <cell r="B2799" t="b">
            <v>1</v>
          </cell>
          <cell r="E2799" t="str">
            <v>Pozon</v>
          </cell>
          <cell r="H2799" t="str">
            <v>consulta_externa</v>
          </cell>
          <cell r="J2799" t="str">
            <v>bueno</v>
          </cell>
          <cell r="K2799" t="str">
            <v>probsi</v>
          </cell>
        </row>
        <row r="2800">
          <cell r="B2800" t="b">
            <v>1</v>
          </cell>
          <cell r="E2800" t="str">
            <v>Pozon</v>
          </cell>
          <cell r="H2800" t="str">
            <v>consulta_externa</v>
          </cell>
          <cell r="J2800" t="str">
            <v>bueno</v>
          </cell>
          <cell r="K2800" t="str">
            <v>probsi</v>
          </cell>
        </row>
        <row r="2801">
          <cell r="B2801" t="b">
            <v>1</v>
          </cell>
          <cell r="E2801" t="str">
            <v>Pozon</v>
          </cell>
          <cell r="H2801" t="str">
            <v>laboratorio</v>
          </cell>
          <cell r="J2801" t="str">
            <v>bueno</v>
          </cell>
          <cell r="K2801" t="str">
            <v>probsi</v>
          </cell>
        </row>
        <row r="2802">
          <cell r="B2802" t="b">
            <v>1</v>
          </cell>
          <cell r="E2802" t="str">
            <v>Pozon</v>
          </cell>
          <cell r="H2802" t="str">
            <v>laboratorio</v>
          </cell>
          <cell r="J2802" t="str">
            <v>bueno</v>
          </cell>
          <cell r="K2802" t="str">
            <v>probsi</v>
          </cell>
        </row>
        <row r="2803">
          <cell r="B2803" t="b">
            <v>1</v>
          </cell>
          <cell r="E2803" t="str">
            <v>Pozon</v>
          </cell>
          <cell r="H2803" t="str">
            <v>laboratorio</v>
          </cell>
          <cell r="J2803" t="str">
            <v>bueno</v>
          </cell>
          <cell r="K2803" t="str">
            <v>probsi</v>
          </cell>
        </row>
        <row r="2804">
          <cell r="B2804" t="b">
            <v>1</v>
          </cell>
          <cell r="E2804" t="str">
            <v>Pozon</v>
          </cell>
          <cell r="H2804" t="str">
            <v>laboratorio</v>
          </cell>
          <cell r="J2804" t="str">
            <v>bueno</v>
          </cell>
          <cell r="K2804" t="str">
            <v>probsi</v>
          </cell>
        </row>
        <row r="2805">
          <cell r="B2805" t="b">
            <v>1</v>
          </cell>
          <cell r="E2805" t="str">
            <v>Pozon</v>
          </cell>
          <cell r="H2805" t="str">
            <v>laboratorio</v>
          </cell>
          <cell r="J2805" t="str">
            <v>bueno</v>
          </cell>
          <cell r="K2805" t="str">
            <v>probsi</v>
          </cell>
        </row>
        <row r="2806">
          <cell r="B2806" t="b">
            <v>1</v>
          </cell>
          <cell r="E2806" t="str">
            <v>Pozon</v>
          </cell>
          <cell r="H2806" t="str">
            <v>salud_oral</v>
          </cell>
          <cell r="J2806" t="str">
            <v>bueno</v>
          </cell>
          <cell r="K2806" t="str">
            <v>probsi</v>
          </cell>
        </row>
        <row r="2807">
          <cell r="B2807" t="b">
            <v>1</v>
          </cell>
          <cell r="E2807" t="str">
            <v>Pozon</v>
          </cell>
          <cell r="H2807" t="str">
            <v>salud_oral</v>
          </cell>
          <cell r="J2807" t="str">
            <v>bueno</v>
          </cell>
          <cell r="K2807" t="str">
            <v>probsi</v>
          </cell>
        </row>
        <row r="2808">
          <cell r="B2808" t="b">
            <v>1</v>
          </cell>
          <cell r="E2808" t="str">
            <v>Arroyo Grande</v>
          </cell>
          <cell r="H2808" t="str">
            <v>consulta_externa</v>
          </cell>
          <cell r="J2808" t="str">
            <v>bueno</v>
          </cell>
          <cell r="K2808" t="str">
            <v>defsi</v>
          </cell>
        </row>
        <row r="2809">
          <cell r="B2809" t="b">
            <v>1</v>
          </cell>
          <cell r="E2809" t="str">
            <v>Arroyo Grande</v>
          </cell>
          <cell r="H2809" t="str">
            <v>laboratorio</v>
          </cell>
          <cell r="J2809" t="str">
            <v>bueno</v>
          </cell>
          <cell r="K2809" t="str">
            <v>defsi</v>
          </cell>
        </row>
        <row r="2810">
          <cell r="B2810" t="b">
            <v>1</v>
          </cell>
          <cell r="E2810" t="str">
            <v>Arroyo Grande</v>
          </cell>
          <cell r="H2810" t="str">
            <v>laboratorio</v>
          </cell>
          <cell r="J2810" t="str">
            <v>bueno</v>
          </cell>
          <cell r="K2810" t="str">
            <v>defsi</v>
          </cell>
        </row>
        <row r="2811">
          <cell r="B2811" t="b">
            <v>1</v>
          </cell>
          <cell r="E2811" t="str">
            <v>Arroyo Grande</v>
          </cell>
          <cell r="H2811" t="str">
            <v>laboratorio</v>
          </cell>
          <cell r="J2811" t="str">
            <v>bueno</v>
          </cell>
          <cell r="K2811" t="str">
            <v>defsi</v>
          </cell>
        </row>
        <row r="2812">
          <cell r="B2812" t="b">
            <v>1</v>
          </cell>
          <cell r="E2812" t="str">
            <v>Arroyo de Piedra</v>
          </cell>
          <cell r="H2812" t="str">
            <v>salud_oral</v>
          </cell>
          <cell r="J2812" t="str">
            <v>bueno</v>
          </cell>
          <cell r="K2812" t="str">
            <v>defsi</v>
          </cell>
        </row>
        <row r="2813">
          <cell r="B2813" t="b">
            <v>1</v>
          </cell>
          <cell r="E2813" t="str">
            <v>Arroyo Grande</v>
          </cell>
          <cell r="H2813" t="str">
            <v>salud_oral</v>
          </cell>
          <cell r="J2813" t="str">
            <v>bueno</v>
          </cell>
          <cell r="K2813" t="str">
            <v>defsi</v>
          </cell>
        </row>
        <row r="2814">
          <cell r="B2814" t="b">
            <v>1</v>
          </cell>
          <cell r="E2814" t="str">
            <v>Tierra Baja</v>
          </cell>
          <cell r="H2814" t="str">
            <v>consulta_externa</v>
          </cell>
          <cell r="J2814" t="str">
            <v>bueno</v>
          </cell>
          <cell r="K2814" t="str">
            <v>defsi</v>
          </cell>
        </row>
        <row r="2815">
          <cell r="B2815" t="b">
            <v>1</v>
          </cell>
          <cell r="E2815" t="str">
            <v>Tierra Baja</v>
          </cell>
          <cell r="H2815" t="str">
            <v>salud_oral</v>
          </cell>
          <cell r="J2815" t="str">
            <v>bueno</v>
          </cell>
          <cell r="K2815" t="str">
            <v>defsi</v>
          </cell>
        </row>
        <row r="2816">
          <cell r="B2816" t="b">
            <v>1</v>
          </cell>
          <cell r="E2816" t="str">
            <v>Tierra Baja</v>
          </cell>
          <cell r="H2816" t="str">
            <v>laboratorio</v>
          </cell>
          <cell r="J2816" t="str">
            <v>bueno</v>
          </cell>
          <cell r="K2816" t="str">
            <v>defsi</v>
          </cell>
        </row>
        <row r="2817">
          <cell r="B2817" t="b">
            <v>1</v>
          </cell>
          <cell r="E2817" t="str">
            <v>Tierra Baja</v>
          </cell>
          <cell r="H2817" t="str">
            <v>consulta_externa</v>
          </cell>
          <cell r="J2817" t="str">
            <v>bueno</v>
          </cell>
          <cell r="K2817" t="str">
            <v>defsi</v>
          </cell>
        </row>
        <row r="2818">
          <cell r="B2818" t="b">
            <v>1</v>
          </cell>
          <cell r="E2818" t="str">
            <v>Tierra Baja</v>
          </cell>
          <cell r="H2818" t="str">
            <v>salud_oral</v>
          </cell>
          <cell r="J2818" t="str">
            <v>bueno</v>
          </cell>
          <cell r="K2818" t="str">
            <v>defsi</v>
          </cell>
        </row>
        <row r="2819">
          <cell r="B2819" t="b">
            <v>1</v>
          </cell>
          <cell r="E2819" t="str">
            <v>Tierra Baja</v>
          </cell>
          <cell r="H2819" t="str">
            <v>laboratorio</v>
          </cell>
          <cell r="J2819" t="str">
            <v>bueno</v>
          </cell>
          <cell r="K2819" t="str">
            <v>defsi</v>
          </cell>
        </row>
        <row r="2820">
          <cell r="B2820" t="b">
            <v>1</v>
          </cell>
          <cell r="E2820" t="str">
            <v>Tierra Baja</v>
          </cell>
          <cell r="H2820" t="str">
            <v>consulta_externa</v>
          </cell>
          <cell r="J2820" t="str">
            <v>bueno</v>
          </cell>
          <cell r="K2820" t="str">
            <v>defsi</v>
          </cell>
        </row>
        <row r="2821">
          <cell r="B2821" t="b">
            <v>1</v>
          </cell>
          <cell r="E2821" t="str">
            <v>Tierra Baja</v>
          </cell>
          <cell r="H2821" t="str">
            <v>salud_oral</v>
          </cell>
          <cell r="J2821" t="str">
            <v>bueno</v>
          </cell>
          <cell r="K2821" t="str">
            <v>defsi</v>
          </cell>
        </row>
        <row r="2822">
          <cell r="B2822" t="b">
            <v>1</v>
          </cell>
          <cell r="E2822" t="str">
            <v>Tierra Baja</v>
          </cell>
          <cell r="H2822" t="str">
            <v>laboratorio</v>
          </cell>
          <cell r="J2822" t="str">
            <v>bueno</v>
          </cell>
          <cell r="K2822" t="str">
            <v>defsi</v>
          </cell>
        </row>
        <row r="2823">
          <cell r="B2823" t="b">
            <v>1</v>
          </cell>
          <cell r="E2823" t="str">
            <v>Tierra Baja</v>
          </cell>
          <cell r="H2823" t="str">
            <v>consulta_externa</v>
          </cell>
          <cell r="J2823" t="str">
            <v>bueno</v>
          </cell>
          <cell r="K2823" t="str">
            <v>defsi</v>
          </cell>
        </row>
        <row r="2824">
          <cell r="B2824" t="b">
            <v>1</v>
          </cell>
          <cell r="E2824" t="str">
            <v>Tierra Baja</v>
          </cell>
          <cell r="H2824" t="str">
            <v>salud_oral</v>
          </cell>
          <cell r="J2824" t="str">
            <v>bueno</v>
          </cell>
          <cell r="K2824" t="str">
            <v>defsi</v>
          </cell>
        </row>
        <row r="2825">
          <cell r="B2825" t="b">
            <v>1</v>
          </cell>
          <cell r="E2825" t="str">
            <v>Tierra Baja</v>
          </cell>
          <cell r="H2825" t="str">
            <v>laboratorio</v>
          </cell>
          <cell r="J2825" t="str">
            <v>bueno</v>
          </cell>
          <cell r="K2825" t="str">
            <v>defsi</v>
          </cell>
        </row>
        <row r="2826">
          <cell r="B2826" t="b">
            <v>1</v>
          </cell>
          <cell r="E2826" t="str">
            <v>Tierra Baja</v>
          </cell>
          <cell r="H2826" t="str">
            <v>consulta_externa</v>
          </cell>
          <cell r="J2826" t="str">
            <v>bueno</v>
          </cell>
          <cell r="K2826" t="str">
            <v>defsi</v>
          </cell>
        </row>
        <row r="2827">
          <cell r="B2827" t="b">
            <v>1</v>
          </cell>
          <cell r="E2827" t="str">
            <v>Tierra Baja</v>
          </cell>
          <cell r="H2827" t="str">
            <v>salud_oral</v>
          </cell>
          <cell r="J2827" t="str">
            <v>muybueno</v>
          </cell>
          <cell r="K2827" t="str">
            <v>defsi</v>
          </cell>
        </row>
        <row r="2828">
          <cell r="B2828" t="b">
            <v>1</v>
          </cell>
          <cell r="E2828" t="str">
            <v>Tierra Baja</v>
          </cell>
          <cell r="H2828" t="str">
            <v>laboratorio</v>
          </cell>
          <cell r="J2828" t="str">
            <v>bueno</v>
          </cell>
          <cell r="K2828" t="str">
            <v>defsi</v>
          </cell>
        </row>
        <row r="2829">
          <cell r="B2829" t="b">
            <v>1</v>
          </cell>
          <cell r="E2829" t="str">
            <v>Tierra Baja</v>
          </cell>
          <cell r="H2829" t="str">
            <v>consulta_externa</v>
          </cell>
          <cell r="J2829" t="str">
            <v>bueno</v>
          </cell>
          <cell r="K2829" t="str">
            <v>defsi</v>
          </cell>
        </row>
        <row r="2830">
          <cell r="B2830" t="b">
            <v>1</v>
          </cell>
          <cell r="E2830" t="str">
            <v>Tierra Baja</v>
          </cell>
          <cell r="H2830" t="str">
            <v>salud_oral</v>
          </cell>
          <cell r="J2830" t="str">
            <v>bueno</v>
          </cell>
          <cell r="K2830" t="str">
            <v>defsi</v>
          </cell>
        </row>
        <row r="2831">
          <cell r="B2831" t="b">
            <v>1</v>
          </cell>
          <cell r="E2831" t="str">
            <v>Tierra Baja</v>
          </cell>
          <cell r="H2831" t="str">
            <v>laboratorio</v>
          </cell>
          <cell r="J2831" t="str">
            <v>bueno</v>
          </cell>
          <cell r="K2831" t="str">
            <v>defsi</v>
          </cell>
        </row>
        <row r="2832">
          <cell r="B2832" t="b">
            <v>1</v>
          </cell>
          <cell r="E2832" t="str">
            <v>Tierra Baja</v>
          </cell>
          <cell r="H2832" t="str">
            <v>consulta_externa</v>
          </cell>
          <cell r="J2832" t="str">
            <v>bueno</v>
          </cell>
          <cell r="K2832" t="str">
            <v>defsi</v>
          </cell>
        </row>
        <row r="2833">
          <cell r="B2833" t="b">
            <v>1</v>
          </cell>
          <cell r="E2833" t="str">
            <v>Tierra Baja</v>
          </cell>
          <cell r="H2833" t="str">
            <v>salud_oral</v>
          </cell>
          <cell r="J2833" t="str">
            <v>bueno</v>
          </cell>
          <cell r="K2833" t="str">
            <v>defsi</v>
          </cell>
        </row>
        <row r="2834">
          <cell r="B2834" t="b">
            <v>1</v>
          </cell>
          <cell r="E2834" t="str">
            <v>Baru</v>
          </cell>
          <cell r="H2834" t="str">
            <v>consulta_externa</v>
          </cell>
          <cell r="J2834" t="str">
            <v>bueno</v>
          </cell>
          <cell r="K2834" t="str">
            <v>defsi</v>
          </cell>
        </row>
        <row r="2835">
          <cell r="B2835" t="b">
            <v>1</v>
          </cell>
          <cell r="E2835" t="str">
            <v>Baru</v>
          </cell>
          <cell r="H2835" t="str">
            <v>consulta_externa</v>
          </cell>
          <cell r="J2835" t="str">
            <v>bueno</v>
          </cell>
          <cell r="K2835" t="str">
            <v>defsi</v>
          </cell>
        </row>
        <row r="2836">
          <cell r="B2836" t="b">
            <v>1</v>
          </cell>
          <cell r="E2836" t="str">
            <v>Baru</v>
          </cell>
          <cell r="H2836" t="str">
            <v>laboratorio</v>
          </cell>
          <cell r="J2836" t="str">
            <v>bueno</v>
          </cell>
          <cell r="K2836" t="str">
            <v>defsi</v>
          </cell>
        </row>
        <row r="2837">
          <cell r="B2837" t="b">
            <v>0</v>
          </cell>
          <cell r="E2837" t="str">
            <v>Baru</v>
          </cell>
          <cell r="H2837" t="str">
            <v>laboratorio</v>
          </cell>
          <cell r="J2837" t="str">
            <v>regular</v>
          </cell>
          <cell r="K2837" t="str">
            <v>defsi</v>
          </cell>
        </row>
        <row r="2838">
          <cell r="B2838" t="b">
            <v>1</v>
          </cell>
          <cell r="E2838" t="str">
            <v>Baru</v>
          </cell>
          <cell r="H2838" t="str">
            <v>laboratorio</v>
          </cell>
          <cell r="J2838" t="str">
            <v>bueno</v>
          </cell>
          <cell r="K2838" t="str">
            <v>defsi</v>
          </cell>
        </row>
        <row r="2839">
          <cell r="B2839" t="b">
            <v>1</v>
          </cell>
          <cell r="E2839" t="str">
            <v>Baru</v>
          </cell>
          <cell r="H2839" t="str">
            <v>consulta_externa</v>
          </cell>
          <cell r="J2839" t="str">
            <v>bueno</v>
          </cell>
          <cell r="K2839" t="str">
            <v>defsi</v>
          </cell>
        </row>
        <row r="2840">
          <cell r="B2840" t="b">
            <v>1</v>
          </cell>
          <cell r="E2840" t="str">
            <v>Baru</v>
          </cell>
          <cell r="H2840" t="str">
            <v>consulta_externa</v>
          </cell>
          <cell r="J2840" t="str">
            <v>bueno</v>
          </cell>
          <cell r="K2840" t="str">
            <v>defsi</v>
          </cell>
        </row>
        <row r="2841">
          <cell r="B2841" t="b">
            <v>0</v>
          </cell>
          <cell r="E2841" t="str">
            <v>Baru</v>
          </cell>
          <cell r="H2841" t="str">
            <v>consulta_externa</v>
          </cell>
          <cell r="J2841" t="str">
            <v>regular</v>
          </cell>
          <cell r="K2841" t="str">
            <v>defsi</v>
          </cell>
        </row>
        <row r="2842">
          <cell r="B2842" t="b">
            <v>0</v>
          </cell>
          <cell r="E2842" t="str">
            <v>Baru</v>
          </cell>
          <cell r="H2842" t="str">
            <v>laboratorio</v>
          </cell>
          <cell r="J2842" t="str">
            <v>regular</v>
          </cell>
          <cell r="K2842" t="str">
            <v>defsi</v>
          </cell>
        </row>
        <row r="2843">
          <cell r="B2843" t="b">
            <v>0</v>
          </cell>
          <cell r="E2843" t="str">
            <v>Baru</v>
          </cell>
          <cell r="H2843" t="str">
            <v>laboratorio</v>
          </cell>
          <cell r="J2843" t="str">
            <v>regular</v>
          </cell>
          <cell r="K2843" t="str">
            <v>defsi</v>
          </cell>
        </row>
        <row r="2844">
          <cell r="B2844" t="b">
            <v>1</v>
          </cell>
          <cell r="E2844" t="str">
            <v>Baru</v>
          </cell>
          <cell r="H2844" t="str">
            <v>consulta_externa</v>
          </cell>
          <cell r="J2844" t="str">
            <v>bueno</v>
          </cell>
          <cell r="K2844" t="str">
            <v>defsi</v>
          </cell>
        </row>
        <row r="2845">
          <cell r="B2845" t="b">
            <v>1</v>
          </cell>
          <cell r="E2845" t="str">
            <v>Santa Ana</v>
          </cell>
          <cell r="H2845" t="str">
            <v>consulta_externa</v>
          </cell>
          <cell r="J2845" t="str">
            <v>bueno</v>
          </cell>
          <cell r="K2845" t="str">
            <v>defsi</v>
          </cell>
        </row>
        <row r="2846">
          <cell r="B2846" t="b">
            <v>1</v>
          </cell>
          <cell r="E2846" t="str">
            <v>Santa Ana</v>
          </cell>
          <cell r="H2846" t="str">
            <v>salud_oral</v>
          </cell>
          <cell r="J2846" t="str">
            <v>bueno</v>
          </cell>
          <cell r="K2846" t="str">
            <v>defsi</v>
          </cell>
        </row>
        <row r="2847">
          <cell r="B2847" t="b">
            <v>1</v>
          </cell>
          <cell r="E2847" t="str">
            <v>Santa Ana</v>
          </cell>
          <cell r="H2847" t="str">
            <v>laboratorio</v>
          </cell>
          <cell r="J2847" t="str">
            <v>bueno</v>
          </cell>
          <cell r="K2847" t="str">
            <v>defsi</v>
          </cell>
        </row>
        <row r="2848">
          <cell r="B2848" t="b">
            <v>1</v>
          </cell>
          <cell r="E2848" t="str">
            <v>Santa Ana</v>
          </cell>
          <cell r="H2848" t="str">
            <v>urgencia</v>
          </cell>
          <cell r="J2848" t="str">
            <v>bueno</v>
          </cell>
          <cell r="K2848" t="str">
            <v>defsi</v>
          </cell>
        </row>
        <row r="2849">
          <cell r="B2849" t="b">
            <v>1</v>
          </cell>
          <cell r="E2849" t="str">
            <v>Santa Ana</v>
          </cell>
          <cell r="H2849" t="str">
            <v>consulta_externa</v>
          </cell>
          <cell r="J2849" t="str">
            <v>bueno</v>
          </cell>
          <cell r="K2849" t="str">
            <v>defsi</v>
          </cell>
        </row>
        <row r="2850">
          <cell r="B2850" t="b">
            <v>1</v>
          </cell>
          <cell r="E2850" t="str">
            <v>Santa Ana</v>
          </cell>
          <cell r="H2850" t="str">
            <v>salud_oral</v>
          </cell>
          <cell r="J2850" t="str">
            <v>bueno</v>
          </cell>
          <cell r="K2850" t="str">
            <v>defsi</v>
          </cell>
        </row>
        <row r="2851">
          <cell r="B2851" t="b">
            <v>1</v>
          </cell>
          <cell r="E2851" t="str">
            <v>Baru</v>
          </cell>
          <cell r="H2851" t="str">
            <v>consulta_externa</v>
          </cell>
          <cell r="J2851" t="str">
            <v>bueno</v>
          </cell>
          <cell r="K2851" t="str">
            <v>defsi</v>
          </cell>
        </row>
        <row r="2852">
          <cell r="B2852" t="b">
            <v>1</v>
          </cell>
          <cell r="E2852" t="str">
            <v>Santa Ana</v>
          </cell>
          <cell r="H2852" t="str">
            <v>laboratorio</v>
          </cell>
          <cell r="J2852" t="str">
            <v>bueno</v>
          </cell>
          <cell r="K2852" t="str">
            <v>defsi</v>
          </cell>
        </row>
        <row r="2853">
          <cell r="B2853" t="b">
            <v>1</v>
          </cell>
          <cell r="E2853" t="str">
            <v>Baru</v>
          </cell>
          <cell r="H2853" t="str">
            <v>laboratorio</v>
          </cell>
          <cell r="J2853" t="str">
            <v>bueno</v>
          </cell>
          <cell r="K2853" t="str">
            <v>defsi</v>
          </cell>
        </row>
        <row r="2854">
          <cell r="B2854" t="b">
            <v>1</v>
          </cell>
          <cell r="E2854" t="str">
            <v>Baru</v>
          </cell>
          <cell r="H2854" t="str">
            <v>laboratorio</v>
          </cell>
          <cell r="J2854" t="str">
            <v>bueno</v>
          </cell>
          <cell r="K2854" t="str">
            <v>defsi</v>
          </cell>
        </row>
        <row r="2855">
          <cell r="B2855" t="b">
            <v>1</v>
          </cell>
          <cell r="E2855" t="str">
            <v>Santa Ana</v>
          </cell>
          <cell r="H2855" t="str">
            <v>urgencia</v>
          </cell>
          <cell r="J2855" t="str">
            <v>bueno</v>
          </cell>
          <cell r="K2855" t="str">
            <v>defsi</v>
          </cell>
        </row>
        <row r="2856">
          <cell r="B2856" t="b">
            <v>0</v>
          </cell>
          <cell r="E2856" t="str">
            <v>Ternera</v>
          </cell>
          <cell r="H2856" t="str">
            <v>consulta_externa</v>
          </cell>
          <cell r="J2856" t="str">
            <v>regular</v>
          </cell>
          <cell r="K2856" t="str">
            <v>probsi</v>
          </cell>
        </row>
        <row r="2857">
          <cell r="B2857" t="b">
            <v>0</v>
          </cell>
          <cell r="E2857" t="str">
            <v>Ternera</v>
          </cell>
          <cell r="H2857" t="str">
            <v>consulta_externa</v>
          </cell>
          <cell r="J2857" t="str">
            <v>regular</v>
          </cell>
          <cell r="K2857" t="str">
            <v>probsi</v>
          </cell>
        </row>
        <row r="2858">
          <cell r="B2858" t="b">
            <v>1</v>
          </cell>
          <cell r="E2858" t="str">
            <v>Ternera</v>
          </cell>
          <cell r="H2858" t="str">
            <v>consulta_externa</v>
          </cell>
          <cell r="J2858" t="str">
            <v>bueno</v>
          </cell>
          <cell r="K2858" t="str">
            <v>probsi</v>
          </cell>
        </row>
        <row r="2859">
          <cell r="B2859" t="b">
            <v>1</v>
          </cell>
          <cell r="E2859" t="str">
            <v>Ternera</v>
          </cell>
          <cell r="H2859" t="str">
            <v>consulta_externa</v>
          </cell>
          <cell r="J2859" t="str">
            <v>bueno</v>
          </cell>
          <cell r="K2859" t="str">
            <v>probsi</v>
          </cell>
        </row>
        <row r="2860">
          <cell r="B2860" t="b">
            <v>1</v>
          </cell>
          <cell r="E2860" t="str">
            <v>Ternera</v>
          </cell>
          <cell r="H2860" t="str">
            <v>laboratorio</v>
          </cell>
          <cell r="J2860" t="str">
            <v>bueno</v>
          </cell>
          <cell r="K2860" t="str">
            <v>probsi</v>
          </cell>
        </row>
        <row r="2861">
          <cell r="B2861" t="b">
            <v>1</v>
          </cell>
          <cell r="E2861" t="str">
            <v>Ternera</v>
          </cell>
          <cell r="H2861" t="str">
            <v>laboratorio</v>
          </cell>
          <cell r="J2861" t="str">
            <v>bueno</v>
          </cell>
          <cell r="K2861" t="str">
            <v>probsi</v>
          </cell>
        </row>
        <row r="2862">
          <cell r="B2862" t="b">
            <v>1</v>
          </cell>
          <cell r="E2862" t="str">
            <v>Ternera</v>
          </cell>
          <cell r="H2862" t="str">
            <v>laboratorio</v>
          </cell>
          <cell r="J2862" t="str">
            <v>bueno</v>
          </cell>
          <cell r="K2862" t="str">
            <v>probsi</v>
          </cell>
        </row>
        <row r="2863">
          <cell r="B2863" t="b">
            <v>1</v>
          </cell>
          <cell r="E2863" t="str">
            <v>Ternera</v>
          </cell>
          <cell r="H2863" t="str">
            <v>laboratorio</v>
          </cell>
          <cell r="J2863" t="str">
            <v>bueno</v>
          </cell>
          <cell r="K2863" t="str">
            <v>probsi</v>
          </cell>
        </row>
        <row r="2864">
          <cell r="B2864" t="b">
            <v>1</v>
          </cell>
          <cell r="E2864" t="str">
            <v>Ternera</v>
          </cell>
          <cell r="H2864" t="str">
            <v>salud_oral</v>
          </cell>
          <cell r="J2864" t="str">
            <v>bueno</v>
          </cell>
          <cell r="K2864" t="str">
            <v>probsi</v>
          </cell>
        </row>
        <row r="2865">
          <cell r="B2865" t="b">
            <v>1</v>
          </cell>
          <cell r="E2865" t="str">
            <v>Ternera</v>
          </cell>
          <cell r="H2865" t="str">
            <v>salud_oral</v>
          </cell>
          <cell r="J2865" t="str">
            <v>bueno</v>
          </cell>
          <cell r="K2865" t="str">
            <v>probsi</v>
          </cell>
        </row>
        <row r="2866">
          <cell r="B2866" t="b">
            <v>1</v>
          </cell>
          <cell r="E2866" t="str">
            <v>Ternera</v>
          </cell>
          <cell r="H2866" t="str">
            <v>salud_oral</v>
          </cell>
          <cell r="J2866" t="str">
            <v>bueno</v>
          </cell>
          <cell r="K2866" t="str">
            <v>probsi</v>
          </cell>
        </row>
        <row r="2867">
          <cell r="B2867" t="b">
            <v>1</v>
          </cell>
          <cell r="E2867" t="str">
            <v>Ternera</v>
          </cell>
          <cell r="H2867" t="str">
            <v>salud_oral</v>
          </cell>
          <cell r="J2867" t="str">
            <v>bueno</v>
          </cell>
          <cell r="K2867" t="str">
            <v>probsi</v>
          </cell>
        </row>
        <row r="2868">
          <cell r="B2868" t="b">
            <v>1</v>
          </cell>
          <cell r="E2868" t="str">
            <v>Ternera</v>
          </cell>
          <cell r="H2868" t="str">
            <v>laboratorio</v>
          </cell>
          <cell r="J2868" t="str">
            <v>bueno</v>
          </cell>
          <cell r="K2868" t="str">
            <v>probsi</v>
          </cell>
        </row>
        <row r="2869">
          <cell r="B2869" t="b">
            <v>1</v>
          </cell>
          <cell r="E2869" t="str">
            <v>Ternera</v>
          </cell>
          <cell r="H2869" t="str">
            <v>salud_oral</v>
          </cell>
          <cell r="J2869" t="str">
            <v>bueno</v>
          </cell>
          <cell r="K2869" t="str">
            <v>probsi</v>
          </cell>
        </row>
        <row r="2870">
          <cell r="B2870" t="b">
            <v>1</v>
          </cell>
          <cell r="E2870" t="str">
            <v>Ternera</v>
          </cell>
          <cell r="H2870" t="str">
            <v>consulta_externa</v>
          </cell>
          <cell r="J2870" t="str">
            <v>bueno</v>
          </cell>
          <cell r="K2870" t="str">
            <v>probsi</v>
          </cell>
        </row>
        <row r="2871">
          <cell r="B2871" t="b">
            <v>1</v>
          </cell>
          <cell r="E2871" t="str">
            <v>Ternera</v>
          </cell>
          <cell r="H2871" t="str">
            <v>consulta_externa</v>
          </cell>
          <cell r="J2871" t="str">
            <v>bueno</v>
          </cell>
          <cell r="K2871" t="str">
            <v>probsi</v>
          </cell>
        </row>
        <row r="2872">
          <cell r="B2872" t="b">
            <v>1</v>
          </cell>
          <cell r="E2872" t="str">
            <v>Santa Ana</v>
          </cell>
          <cell r="H2872" t="str">
            <v>consulta_externa</v>
          </cell>
          <cell r="J2872" t="str">
            <v>bueno</v>
          </cell>
          <cell r="K2872" t="str">
            <v>defsi</v>
          </cell>
        </row>
        <row r="2873">
          <cell r="B2873" t="b">
            <v>1</v>
          </cell>
          <cell r="E2873" t="str">
            <v>Santa Ana</v>
          </cell>
          <cell r="H2873" t="str">
            <v>salud_oral</v>
          </cell>
          <cell r="J2873" t="str">
            <v>bueno</v>
          </cell>
          <cell r="K2873" t="str">
            <v>defsi</v>
          </cell>
        </row>
        <row r="2874">
          <cell r="B2874" t="b">
            <v>1</v>
          </cell>
          <cell r="E2874" t="str">
            <v>Santa Ana</v>
          </cell>
          <cell r="H2874" t="str">
            <v>laboratorio</v>
          </cell>
          <cell r="J2874" t="str">
            <v>bueno</v>
          </cell>
          <cell r="K2874" t="str">
            <v>defsi</v>
          </cell>
        </row>
        <row r="2875">
          <cell r="B2875" t="b">
            <v>1</v>
          </cell>
          <cell r="E2875" t="str">
            <v>Foco Rojo</v>
          </cell>
          <cell r="H2875" t="str">
            <v>consulta_externa</v>
          </cell>
          <cell r="J2875" t="str">
            <v>bueno</v>
          </cell>
          <cell r="K2875" t="str">
            <v>probsi</v>
          </cell>
        </row>
        <row r="2876">
          <cell r="B2876" t="b">
            <v>1</v>
          </cell>
          <cell r="E2876" t="str">
            <v>Foco Rojo</v>
          </cell>
          <cell r="H2876" t="str">
            <v>laboratorio</v>
          </cell>
          <cell r="J2876" t="str">
            <v>bueno</v>
          </cell>
          <cell r="K2876" t="str">
            <v>probsi</v>
          </cell>
        </row>
        <row r="2877">
          <cell r="B2877" t="b">
            <v>1</v>
          </cell>
          <cell r="E2877" t="str">
            <v>Foco Rojo</v>
          </cell>
          <cell r="H2877" t="str">
            <v>consulta_externa</v>
          </cell>
          <cell r="J2877" t="str">
            <v>muybueno</v>
          </cell>
          <cell r="K2877" t="str">
            <v>probsi</v>
          </cell>
        </row>
        <row r="2878">
          <cell r="B2878" t="b">
            <v>1</v>
          </cell>
          <cell r="E2878" t="str">
            <v>Foco Rojo</v>
          </cell>
          <cell r="H2878" t="str">
            <v>salud_oral</v>
          </cell>
          <cell r="J2878" t="str">
            <v>bueno</v>
          </cell>
          <cell r="K2878" t="str">
            <v>probsi</v>
          </cell>
        </row>
        <row r="2879">
          <cell r="B2879" t="b">
            <v>1</v>
          </cell>
          <cell r="E2879" t="str">
            <v>Foco Rojo</v>
          </cell>
          <cell r="H2879" t="str">
            <v>salud_oral</v>
          </cell>
          <cell r="J2879" t="str">
            <v>bueno</v>
          </cell>
          <cell r="K2879" t="str">
            <v>probsi</v>
          </cell>
        </row>
        <row r="2880">
          <cell r="B2880" t="b">
            <v>1</v>
          </cell>
          <cell r="E2880" t="str">
            <v>Foco Rojo</v>
          </cell>
          <cell r="H2880" t="str">
            <v>laboratorio</v>
          </cell>
          <cell r="J2880" t="str">
            <v>bueno</v>
          </cell>
          <cell r="K2880" t="str">
            <v>probsi</v>
          </cell>
        </row>
        <row r="2881">
          <cell r="B2881" t="b">
            <v>1</v>
          </cell>
          <cell r="E2881" t="str">
            <v>Foco Rojo</v>
          </cell>
          <cell r="H2881" t="str">
            <v>consulta_externa</v>
          </cell>
          <cell r="J2881" t="str">
            <v>bueno</v>
          </cell>
          <cell r="K2881" t="str">
            <v>probsi</v>
          </cell>
        </row>
        <row r="2882">
          <cell r="B2882" t="b">
            <v>1</v>
          </cell>
          <cell r="E2882" t="str">
            <v>Foco Rojo</v>
          </cell>
          <cell r="H2882" t="str">
            <v>consulta_externa</v>
          </cell>
          <cell r="J2882" t="str">
            <v>bueno</v>
          </cell>
          <cell r="K2882" t="str">
            <v>probsi</v>
          </cell>
        </row>
        <row r="2883">
          <cell r="B2883" t="b">
            <v>1</v>
          </cell>
          <cell r="E2883" t="str">
            <v>Foco Rojo</v>
          </cell>
          <cell r="H2883" t="str">
            <v>consulta_externa</v>
          </cell>
          <cell r="J2883" t="str">
            <v>bueno</v>
          </cell>
          <cell r="K2883" t="str">
            <v>probsi</v>
          </cell>
        </row>
        <row r="2884">
          <cell r="B2884" t="b">
            <v>1</v>
          </cell>
          <cell r="E2884" t="str">
            <v>Foco Rojo</v>
          </cell>
          <cell r="H2884" t="str">
            <v>consulta_externa</v>
          </cell>
          <cell r="J2884" t="str">
            <v>bueno</v>
          </cell>
          <cell r="K2884" t="str">
            <v>probsi</v>
          </cell>
        </row>
        <row r="2885">
          <cell r="B2885" t="b">
            <v>1</v>
          </cell>
          <cell r="E2885" t="str">
            <v>Foco Rojo</v>
          </cell>
          <cell r="H2885" t="str">
            <v>consulta_externa</v>
          </cell>
          <cell r="J2885" t="str">
            <v>bueno</v>
          </cell>
          <cell r="K2885" t="str">
            <v>probsi</v>
          </cell>
        </row>
        <row r="2886">
          <cell r="B2886" t="b">
            <v>1</v>
          </cell>
          <cell r="E2886" t="str">
            <v>Foco Rojo</v>
          </cell>
          <cell r="H2886" t="str">
            <v>salud_oral</v>
          </cell>
          <cell r="J2886" t="str">
            <v>bueno</v>
          </cell>
          <cell r="K2886" t="str">
            <v>probsi</v>
          </cell>
        </row>
        <row r="2887">
          <cell r="B2887" t="b">
            <v>1</v>
          </cell>
          <cell r="E2887" t="str">
            <v>Foco Rojo</v>
          </cell>
          <cell r="H2887" t="str">
            <v>laboratorio</v>
          </cell>
          <cell r="J2887" t="str">
            <v>bueno</v>
          </cell>
          <cell r="K2887" t="str">
            <v>probsi</v>
          </cell>
        </row>
        <row r="2888">
          <cell r="B2888" t="b">
            <v>1</v>
          </cell>
          <cell r="E2888" t="str">
            <v>Foco Rojo</v>
          </cell>
          <cell r="H2888" t="str">
            <v>consulta_externa</v>
          </cell>
          <cell r="J2888" t="str">
            <v>bueno</v>
          </cell>
          <cell r="K2888" t="str">
            <v>probsi</v>
          </cell>
        </row>
        <row r="2889">
          <cell r="B2889" t="b">
            <v>1</v>
          </cell>
          <cell r="E2889" t="str">
            <v>Foco Rojo</v>
          </cell>
          <cell r="H2889" t="str">
            <v>consulta_externa</v>
          </cell>
          <cell r="J2889" t="str">
            <v>bueno</v>
          </cell>
          <cell r="K2889" t="str">
            <v>probsi</v>
          </cell>
        </row>
        <row r="2890">
          <cell r="B2890" t="b">
            <v>1</v>
          </cell>
          <cell r="E2890" t="str">
            <v>Bosque</v>
          </cell>
          <cell r="H2890" t="str">
            <v>consulta_externa</v>
          </cell>
          <cell r="J2890" t="str">
            <v>bueno</v>
          </cell>
          <cell r="K2890" t="str">
            <v>defsi</v>
          </cell>
        </row>
        <row r="2891">
          <cell r="B2891" t="b">
            <v>1</v>
          </cell>
          <cell r="E2891" t="str">
            <v>Bosque</v>
          </cell>
          <cell r="H2891" t="str">
            <v>salud_oral</v>
          </cell>
          <cell r="J2891" t="str">
            <v>bueno</v>
          </cell>
          <cell r="K2891" t="str">
            <v>defsi</v>
          </cell>
        </row>
        <row r="2892">
          <cell r="B2892" t="b">
            <v>1</v>
          </cell>
          <cell r="E2892" t="str">
            <v>Bosque</v>
          </cell>
          <cell r="H2892" t="str">
            <v>laboratorio</v>
          </cell>
          <cell r="J2892" t="str">
            <v>bueno</v>
          </cell>
          <cell r="K2892" t="str">
            <v>defsi</v>
          </cell>
        </row>
        <row r="2893">
          <cell r="B2893" t="b">
            <v>1</v>
          </cell>
          <cell r="E2893" t="str">
            <v>Bosque</v>
          </cell>
          <cell r="H2893" t="str">
            <v>consulta_externa</v>
          </cell>
          <cell r="J2893" t="str">
            <v>bueno</v>
          </cell>
          <cell r="K2893" t="str">
            <v>defsi</v>
          </cell>
        </row>
        <row r="2894">
          <cell r="B2894" t="b">
            <v>1</v>
          </cell>
          <cell r="E2894" t="str">
            <v>Bosque</v>
          </cell>
          <cell r="H2894" t="str">
            <v>salud_oral</v>
          </cell>
          <cell r="J2894" t="str">
            <v>bueno</v>
          </cell>
          <cell r="K2894" t="str">
            <v>defsi</v>
          </cell>
        </row>
        <row r="2895">
          <cell r="B2895" t="b">
            <v>1</v>
          </cell>
          <cell r="E2895" t="str">
            <v>Bosque</v>
          </cell>
          <cell r="H2895" t="str">
            <v>laboratorio</v>
          </cell>
          <cell r="J2895" t="str">
            <v>bueno</v>
          </cell>
          <cell r="K2895" t="str">
            <v>defsi</v>
          </cell>
        </row>
        <row r="2896">
          <cell r="B2896" t="b">
            <v>1</v>
          </cell>
          <cell r="E2896" t="str">
            <v>Bosque</v>
          </cell>
          <cell r="H2896" t="str">
            <v>consulta_externa</v>
          </cell>
          <cell r="J2896" t="str">
            <v>bueno</v>
          </cell>
          <cell r="K2896" t="str">
            <v>defsi</v>
          </cell>
        </row>
        <row r="2897">
          <cell r="B2897" t="b">
            <v>1</v>
          </cell>
          <cell r="E2897" t="str">
            <v>Bosque</v>
          </cell>
          <cell r="H2897" t="str">
            <v>salud_oral</v>
          </cell>
          <cell r="J2897" t="str">
            <v>bueno</v>
          </cell>
          <cell r="K2897" t="str">
            <v>defsi</v>
          </cell>
        </row>
        <row r="2898">
          <cell r="B2898" t="b">
            <v>1</v>
          </cell>
          <cell r="E2898" t="str">
            <v>Bosque</v>
          </cell>
          <cell r="H2898" t="str">
            <v>laboratorio</v>
          </cell>
          <cell r="J2898" t="str">
            <v>bueno</v>
          </cell>
          <cell r="K2898" t="str">
            <v>defsi</v>
          </cell>
        </row>
        <row r="2899">
          <cell r="B2899" t="b">
            <v>1</v>
          </cell>
          <cell r="E2899" t="str">
            <v>Bosque</v>
          </cell>
          <cell r="H2899" t="str">
            <v>consulta_externa</v>
          </cell>
          <cell r="J2899" t="str">
            <v>bueno</v>
          </cell>
          <cell r="K2899" t="str">
            <v>defsi</v>
          </cell>
        </row>
        <row r="2900">
          <cell r="B2900" t="b">
            <v>1</v>
          </cell>
          <cell r="E2900" t="str">
            <v>Bosque</v>
          </cell>
          <cell r="H2900" t="str">
            <v>salud_oral</v>
          </cell>
          <cell r="J2900" t="str">
            <v>bueno</v>
          </cell>
          <cell r="K2900" t="str">
            <v>defsi</v>
          </cell>
        </row>
        <row r="2901">
          <cell r="B2901" t="b">
            <v>1</v>
          </cell>
          <cell r="E2901" t="str">
            <v>Bosque</v>
          </cell>
          <cell r="H2901" t="str">
            <v>laboratorio</v>
          </cell>
          <cell r="J2901" t="str">
            <v>bueno</v>
          </cell>
          <cell r="K2901" t="str">
            <v>defsi</v>
          </cell>
        </row>
        <row r="2902">
          <cell r="B2902" t="b">
            <v>1</v>
          </cell>
          <cell r="E2902" t="str">
            <v>Bosque</v>
          </cell>
          <cell r="H2902" t="str">
            <v>consulta_externa</v>
          </cell>
          <cell r="J2902" t="str">
            <v>bueno</v>
          </cell>
          <cell r="K2902" t="str">
            <v>defsi</v>
          </cell>
        </row>
        <row r="2903">
          <cell r="B2903" t="b">
            <v>1</v>
          </cell>
          <cell r="E2903" t="str">
            <v>Bosque</v>
          </cell>
          <cell r="H2903" t="str">
            <v>salud_oral</v>
          </cell>
          <cell r="J2903" t="str">
            <v>bueno</v>
          </cell>
          <cell r="K2903" t="str">
            <v>defsi</v>
          </cell>
        </row>
        <row r="2904">
          <cell r="B2904" t="b">
            <v>1</v>
          </cell>
          <cell r="E2904" t="str">
            <v>Bosque</v>
          </cell>
          <cell r="H2904" t="str">
            <v>laboratorio</v>
          </cell>
          <cell r="J2904" t="str">
            <v>bueno</v>
          </cell>
          <cell r="K2904" t="str">
            <v>defsi</v>
          </cell>
        </row>
        <row r="2905">
          <cell r="B2905" t="b">
            <v>1</v>
          </cell>
          <cell r="E2905" t="str">
            <v>Foco Rojo</v>
          </cell>
          <cell r="H2905" t="str">
            <v>salud_oral</v>
          </cell>
          <cell r="J2905" t="str">
            <v>bueno</v>
          </cell>
          <cell r="K2905" t="str">
            <v>probsi</v>
          </cell>
        </row>
        <row r="2906">
          <cell r="B2906" t="b">
            <v>1</v>
          </cell>
          <cell r="E2906" t="str">
            <v>Foco Rojo</v>
          </cell>
          <cell r="H2906" t="str">
            <v>salud_oral</v>
          </cell>
          <cell r="J2906" t="str">
            <v>bueno</v>
          </cell>
          <cell r="K2906" t="str">
            <v>probsi</v>
          </cell>
        </row>
        <row r="2907">
          <cell r="B2907" t="b">
            <v>1</v>
          </cell>
          <cell r="E2907" t="str">
            <v>Foco Rojo</v>
          </cell>
          <cell r="H2907" t="str">
            <v>salud_oral</v>
          </cell>
          <cell r="J2907" t="str">
            <v>bueno</v>
          </cell>
          <cell r="K2907" t="str">
            <v>probsi</v>
          </cell>
        </row>
        <row r="2908">
          <cell r="B2908" t="b">
            <v>1</v>
          </cell>
          <cell r="E2908" t="str">
            <v>Foco Rojo</v>
          </cell>
          <cell r="H2908" t="str">
            <v>laboratorio</v>
          </cell>
          <cell r="J2908" t="str">
            <v>bueno</v>
          </cell>
          <cell r="K2908" t="str">
            <v>probsi</v>
          </cell>
        </row>
        <row r="2909">
          <cell r="B2909" t="b">
            <v>1</v>
          </cell>
          <cell r="E2909" t="str">
            <v>Bosque</v>
          </cell>
          <cell r="H2909" t="str">
            <v>consulta_externa</v>
          </cell>
          <cell r="J2909" t="str">
            <v>bueno</v>
          </cell>
          <cell r="K2909" t="str">
            <v>defsi</v>
          </cell>
        </row>
        <row r="2910">
          <cell r="B2910" t="b">
            <v>1</v>
          </cell>
          <cell r="E2910" t="str">
            <v>Bosque</v>
          </cell>
          <cell r="H2910" t="str">
            <v>salud_oral</v>
          </cell>
          <cell r="J2910" t="str">
            <v>bueno</v>
          </cell>
          <cell r="K2910" t="str">
            <v>defsi</v>
          </cell>
        </row>
        <row r="2911">
          <cell r="B2911" t="b">
            <v>1</v>
          </cell>
          <cell r="E2911" t="str">
            <v>Bosque</v>
          </cell>
          <cell r="H2911" t="str">
            <v>laboratorio</v>
          </cell>
          <cell r="J2911" t="str">
            <v>bueno</v>
          </cell>
          <cell r="K2911" t="str">
            <v>defsi</v>
          </cell>
        </row>
        <row r="2912">
          <cell r="B2912" t="b">
            <v>1</v>
          </cell>
          <cell r="E2912" t="str">
            <v>Foco Rojo</v>
          </cell>
          <cell r="H2912" t="str">
            <v>salud_oral</v>
          </cell>
          <cell r="J2912" t="str">
            <v>bueno</v>
          </cell>
          <cell r="K2912" t="str">
            <v>probsi</v>
          </cell>
        </row>
        <row r="2913">
          <cell r="B2913" t="b">
            <v>1</v>
          </cell>
          <cell r="E2913" t="str">
            <v>Foco Rojo</v>
          </cell>
          <cell r="H2913" t="str">
            <v>salud_oral</v>
          </cell>
          <cell r="J2913" t="str">
            <v>bueno</v>
          </cell>
          <cell r="K2913" t="str">
            <v>probsi</v>
          </cell>
        </row>
        <row r="2914">
          <cell r="B2914" t="b">
            <v>1</v>
          </cell>
          <cell r="E2914" t="str">
            <v>Foco Rojo</v>
          </cell>
          <cell r="H2914" t="str">
            <v>laboratorio</v>
          </cell>
          <cell r="J2914" t="str">
            <v>bueno</v>
          </cell>
          <cell r="K2914" t="str">
            <v>probsi</v>
          </cell>
        </row>
        <row r="2915">
          <cell r="B2915" t="b">
            <v>1</v>
          </cell>
          <cell r="E2915" t="str">
            <v>Foco Rojo</v>
          </cell>
          <cell r="H2915" t="str">
            <v>salud_oral</v>
          </cell>
          <cell r="J2915" t="str">
            <v>bueno</v>
          </cell>
          <cell r="K2915" t="str">
            <v>probsi</v>
          </cell>
        </row>
        <row r="2916">
          <cell r="B2916" t="b">
            <v>1</v>
          </cell>
          <cell r="E2916" t="str">
            <v>Foco Rojo</v>
          </cell>
          <cell r="H2916" t="str">
            <v>laboratorio</v>
          </cell>
          <cell r="J2916" t="str">
            <v>bueno</v>
          </cell>
          <cell r="K2916" t="str">
            <v>probsi</v>
          </cell>
        </row>
        <row r="2917">
          <cell r="B2917" t="b">
            <v>1</v>
          </cell>
          <cell r="E2917" t="str">
            <v>Foco Rojo</v>
          </cell>
          <cell r="H2917" t="str">
            <v>salud_oral</v>
          </cell>
          <cell r="J2917" t="str">
            <v>muybueno</v>
          </cell>
          <cell r="K2917" t="str">
            <v>probsi</v>
          </cell>
        </row>
        <row r="2918">
          <cell r="B2918" t="b">
            <v>1</v>
          </cell>
          <cell r="E2918" t="str">
            <v>Bocachica</v>
          </cell>
          <cell r="H2918" t="str">
            <v>consulta_externa</v>
          </cell>
          <cell r="J2918" t="str">
            <v>bueno</v>
          </cell>
          <cell r="K2918" t="str">
            <v>probsi</v>
          </cell>
        </row>
        <row r="2919">
          <cell r="B2919" t="b">
            <v>1</v>
          </cell>
          <cell r="E2919" t="str">
            <v>Foco Rojo</v>
          </cell>
          <cell r="H2919" t="str">
            <v>salud_oral</v>
          </cell>
          <cell r="J2919" t="str">
            <v>bueno</v>
          </cell>
          <cell r="K2919" t="str">
            <v>probsi</v>
          </cell>
        </row>
        <row r="2920">
          <cell r="B2920" t="b">
            <v>1</v>
          </cell>
          <cell r="E2920" t="str">
            <v>Bocachica</v>
          </cell>
          <cell r="H2920" t="str">
            <v>salud_oral</v>
          </cell>
          <cell r="J2920" t="str">
            <v>bueno</v>
          </cell>
          <cell r="K2920" t="str">
            <v>probsi</v>
          </cell>
        </row>
        <row r="2921">
          <cell r="B2921" t="b">
            <v>1</v>
          </cell>
          <cell r="E2921" t="str">
            <v>Bocachica</v>
          </cell>
          <cell r="H2921" t="str">
            <v>salud_oral</v>
          </cell>
          <cell r="J2921" t="str">
            <v>bueno</v>
          </cell>
          <cell r="K2921" t="str">
            <v>probsi</v>
          </cell>
        </row>
        <row r="2922">
          <cell r="B2922" t="b">
            <v>1</v>
          </cell>
          <cell r="E2922" t="str">
            <v>Bocachica</v>
          </cell>
          <cell r="H2922" t="str">
            <v>consulta_externa</v>
          </cell>
          <cell r="J2922" t="str">
            <v>bueno</v>
          </cell>
          <cell r="K2922" t="str">
            <v>probsi</v>
          </cell>
        </row>
        <row r="2923">
          <cell r="B2923" t="b">
            <v>1</v>
          </cell>
          <cell r="E2923" t="str">
            <v>Bocachica</v>
          </cell>
          <cell r="H2923" t="str">
            <v>consulta_externa</v>
          </cell>
          <cell r="J2923" t="str">
            <v>bueno</v>
          </cell>
          <cell r="K2923" t="str">
            <v>probsi</v>
          </cell>
        </row>
        <row r="2924">
          <cell r="B2924" t="b">
            <v>1</v>
          </cell>
          <cell r="E2924" t="str">
            <v>Bocachica</v>
          </cell>
          <cell r="H2924" t="str">
            <v>consulta_externa</v>
          </cell>
          <cell r="J2924" t="str">
            <v>bueno</v>
          </cell>
          <cell r="K2924" t="str">
            <v>probsi</v>
          </cell>
        </row>
        <row r="2925">
          <cell r="B2925" t="b">
            <v>1</v>
          </cell>
          <cell r="E2925" t="str">
            <v>Bocachica</v>
          </cell>
          <cell r="H2925" t="str">
            <v>consulta_externa</v>
          </cell>
          <cell r="J2925" t="str">
            <v>bueno</v>
          </cell>
          <cell r="K2925" t="str">
            <v>probsi</v>
          </cell>
        </row>
        <row r="2926">
          <cell r="B2926" t="b">
            <v>1</v>
          </cell>
          <cell r="E2926" t="str">
            <v>Bocachica</v>
          </cell>
          <cell r="H2926" t="str">
            <v>urgencia</v>
          </cell>
          <cell r="J2926" t="str">
            <v>bueno</v>
          </cell>
          <cell r="K2926" t="str">
            <v>probsi</v>
          </cell>
        </row>
        <row r="2927">
          <cell r="B2927" t="b">
            <v>1</v>
          </cell>
          <cell r="E2927" t="str">
            <v>Foco Rojo</v>
          </cell>
          <cell r="H2927" t="str">
            <v>salud_oral</v>
          </cell>
          <cell r="J2927" t="str">
            <v>bueno</v>
          </cell>
          <cell r="K2927" t="str">
            <v>probsi</v>
          </cell>
        </row>
        <row r="2928">
          <cell r="B2928" t="b">
            <v>1</v>
          </cell>
          <cell r="E2928" t="str">
            <v>Foco Rojo</v>
          </cell>
          <cell r="H2928" t="str">
            <v>laboratorio</v>
          </cell>
          <cell r="J2928" t="str">
            <v>bueno</v>
          </cell>
          <cell r="K2928" t="str">
            <v>probsi</v>
          </cell>
        </row>
        <row r="2929">
          <cell r="B2929" t="b">
            <v>1</v>
          </cell>
          <cell r="E2929" t="str">
            <v>Bocachica</v>
          </cell>
          <cell r="H2929" t="str">
            <v>laboratorio</v>
          </cell>
          <cell r="J2929" t="str">
            <v>bueno</v>
          </cell>
          <cell r="K2929" t="str">
            <v>probsi</v>
          </cell>
        </row>
        <row r="2930">
          <cell r="B2930" t="b">
            <v>1</v>
          </cell>
          <cell r="E2930" t="str">
            <v>Bocachica</v>
          </cell>
          <cell r="H2930" t="str">
            <v>laboratorio</v>
          </cell>
          <cell r="J2930" t="str">
            <v>bueno</v>
          </cell>
          <cell r="K2930" t="str">
            <v>probsi</v>
          </cell>
        </row>
        <row r="2931">
          <cell r="B2931" t="b">
            <v>1</v>
          </cell>
          <cell r="E2931" t="str">
            <v>Bocachica</v>
          </cell>
          <cell r="H2931" t="str">
            <v>laboratorio</v>
          </cell>
          <cell r="J2931" t="str">
            <v>bueno</v>
          </cell>
          <cell r="K2931" t="str">
            <v>probsi</v>
          </cell>
        </row>
        <row r="2932">
          <cell r="B2932" t="b">
            <v>1</v>
          </cell>
          <cell r="E2932" t="str">
            <v>Bocachica</v>
          </cell>
          <cell r="H2932" t="str">
            <v>consulta_externa</v>
          </cell>
          <cell r="J2932" t="str">
            <v>bueno</v>
          </cell>
          <cell r="K2932" t="str">
            <v>probsi</v>
          </cell>
        </row>
        <row r="2933">
          <cell r="B2933" t="b">
            <v>1</v>
          </cell>
          <cell r="E2933" t="str">
            <v>Bocachica</v>
          </cell>
          <cell r="H2933" t="str">
            <v>consulta_externa</v>
          </cell>
          <cell r="J2933" t="str">
            <v>bueno</v>
          </cell>
          <cell r="K2933" t="str">
            <v>probsi</v>
          </cell>
        </row>
        <row r="2934">
          <cell r="B2934" t="b">
            <v>1</v>
          </cell>
          <cell r="E2934" t="str">
            <v>Bocachica</v>
          </cell>
          <cell r="H2934" t="str">
            <v>salud_oral</v>
          </cell>
          <cell r="J2934" t="str">
            <v>bueno</v>
          </cell>
          <cell r="K2934" t="str">
            <v>probsi</v>
          </cell>
        </row>
        <row r="2935">
          <cell r="B2935" t="b">
            <v>1</v>
          </cell>
          <cell r="E2935" t="str">
            <v>Bocachica</v>
          </cell>
          <cell r="H2935" t="str">
            <v>consulta_externa</v>
          </cell>
          <cell r="J2935" t="str">
            <v>bueno</v>
          </cell>
          <cell r="K2935" t="str">
            <v>probsi</v>
          </cell>
        </row>
        <row r="2936">
          <cell r="B2936" t="b">
            <v>1</v>
          </cell>
          <cell r="E2936" t="str">
            <v>Bocachica</v>
          </cell>
          <cell r="H2936" t="str">
            <v>consulta_externa</v>
          </cell>
          <cell r="J2936" t="str">
            <v>bueno</v>
          </cell>
          <cell r="K2936" t="str">
            <v>probsi</v>
          </cell>
        </row>
        <row r="2937">
          <cell r="B2937" t="b">
            <v>1</v>
          </cell>
          <cell r="E2937" t="str">
            <v>Bocachica</v>
          </cell>
          <cell r="H2937" t="str">
            <v>laboratorio</v>
          </cell>
          <cell r="J2937" t="str">
            <v>bueno</v>
          </cell>
          <cell r="K2937" t="str">
            <v>probsi</v>
          </cell>
        </row>
        <row r="2938">
          <cell r="B2938" t="b">
            <v>1</v>
          </cell>
          <cell r="E2938" t="str">
            <v>Bocachica</v>
          </cell>
          <cell r="H2938" t="str">
            <v>laboratorio</v>
          </cell>
          <cell r="J2938" t="str">
            <v>bueno</v>
          </cell>
          <cell r="K2938" t="str">
            <v>probsi</v>
          </cell>
        </row>
        <row r="2939">
          <cell r="B2939" t="b">
            <v>1</v>
          </cell>
          <cell r="E2939" t="str">
            <v>Bocachica</v>
          </cell>
          <cell r="H2939" t="str">
            <v>laboratorio</v>
          </cell>
          <cell r="J2939" t="str">
            <v>bueno</v>
          </cell>
          <cell r="K2939" t="str">
            <v>probsi</v>
          </cell>
        </row>
        <row r="2940">
          <cell r="B2940" t="b">
            <v>1</v>
          </cell>
          <cell r="E2940" t="str">
            <v>Bocachica</v>
          </cell>
          <cell r="H2940" t="str">
            <v>laboratorio</v>
          </cell>
          <cell r="J2940" t="str">
            <v>bueno</v>
          </cell>
          <cell r="K2940" t="str">
            <v>probsi</v>
          </cell>
        </row>
        <row r="2941">
          <cell r="B2941" t="b">
            <v>1</v>
          </cell>
          <cell r="E2941" t="str">
            <v>Bocachica</v>
          </cell>
          <cell r="H2941" t="str">
            <v>laboratorio</v>
          </cell>
          <cell r="J2941" t="str">
            <v>bueno</v>
          </cell>
          <cell r="K2941" t="str">
            <v>probsi</v>
          </cell>
        </row>
        <row r="2942">
          <cell r="B2942" t="b">
            <v>1</v>
          </cell>
          <cell r="E2942" t="str">
            <v>Bocachica</v>
          </cell>
          <cell r="H2942" t="str">
            <v>consulta_externa</v>
          </cell>
          <cell r="J2942" t="str">
            <v>bueno</v>
          </cell>
          <cell r="K2942" t="str">
            <v>probsi</v>
          </cell>
        </row>
        <row r="2943">
          <cell r="B2943" t="b">
            <v>1</v>
          </cell>
          <cell r="E2943" t="str">
            <v>Bocachica</v>
          </cell>
          <cell r="H2943" t="str">
            <v>consulta_externa</v>
          </cell>
          <cell r="J2943" t="str">
            <v>bueno</v>
          </cell>
          <cell r="K2943" t="str">
            <v>probsi</v>
          </cell>
        </row>
        <row r="2944">
          <cell r="B2944" t="b">
            <v>1</v>
          </cell>
          <cell r="E2944" t="str">
            <v>Bocachica</v>
          </cell>
          <cell r="H2944" t="str">
            <v>consulta_externa</v>
          </cell>
          <cell r="J2944" t="str">
            <v>bueno</v>
          </cell>
          <cell r="K2944" t="str">
            <v>probsi</v>
          </cell>
        </row>
        <row r="2945">
          <cell r="B2945" t="b">
            <v>1</v>
          </cell>
          <cell r="E2945" t="str">
            <v>Bocachica</v>
          </cell>
          <cell r="H2945" t="str">
            <v>salud_oral</v>
          </cell>
          <cell r="J2945" t="str">
            <v>bueno</v>
          </cell>
          <cell r="K2945" t="str">
            <v>probsi</v>
          </cell>
        </row>
        <row r="2946">
          <cell r="B2946" t="b">
            <v>1</v>
          </cell>
          <cell r="E2946" t="str">
            <v>Bocachica</v>
          </cell>
          <cell r="H2946" t="str">
            <v>salud_oral</v>
          </cell>
          <cell r="J2946" t="str">
            <v>bueno</v>
          </cell>
          <cell r="K2946" t="str">
            <v>probsi</v>
          </cell>
        </row>
        <row r="2947">
          <cell r="B2947" t="b">
            <v>1</v>
          </cell>
          <cell r="E2947" t="str">
            <v>Bocachica</v>
          </cell>
          <cell r="H2947" t="str">
            <v>salud_oral</v>
          </cell>
          <cell r="J2947" t="str">
            <v>bueno</v>
          </cell>
          <cell r="K2947" t="str">
            <v>probsi</v>
          </cell>
        </row>
        <row r="2948">
          <cell r="B2948" t="b">
            <v>1</v>
          </cell>
          <cell r="E2948" t="str">
            <v>Bocachica</v>
          </cell>
          <cell r="H2948" t="str">
            <v>salud_oral</v>
          </cell>
          <cell r="J2948" t="str">
            <v>bueno</v>
          </cell>
          <cell r="K2948" t="str">
            <v>probsi</v>
          </cell>
        </row>
        <row r="2949">
          <cell r="B2949" t="b">
            <v>1</v>
          </cell>
          <cell r="E2949" t="str">
            <v>Bocachica</v>
          </cell>
          <cell r="H2949" t="str">
            <v>salud_oral</v>
          </cell>
          <cell r="J2949" t="str">
            <v>bueno</v>
          </cell>
          <cell r="K2949" t="str">
            <v>probsi</v>
          </cell>
        </row>
        <row r="2950">
          <cell r="B2950" t="b">
            <v>1</v>
          </cell>
          <cell r="E2950" t="str">
            <v>Bocachica</v>
          </cell>
          <cell r="H2950" t="str">
            <v>consulta_externa</v>
          </cell>
          <cell r="J2950" t="str">
            <v>bueno</v>
          </cell>
          <cell r="K2950" t="str">
            <v>probsi</v>
          </cell>
        </row>
        <row r="2951">
          <cell r="B2951" t="b">
            <v>1</v>
          </cell>
          <cell r="E2951" t="str">
            <v>Bocachica</v>
          </cell>
          <cell r="H2951" t="str">
            <v>consulta_externa</v>
          </cell>
          <cell r="J2951" t="str">
            <v>bueno</v>
          </cell>
          <cell r="K2951" t="str">
            <v>probsi</v>
          </cell>
        </row>
        <row r="2952">
          <cell r="B2952" t="b">
            <v>1</v>
          </cell>
          <cell r="E2952" t="str">
            <v>Bocachica</v>
          </cell>
          <cell r="H2952" t="str">
            <v>consulta_externa</v>
          </cell>
          <cell r="J2952" t="str">
            <v>bueno</v>
          </cell>
          <cell r="K2952" t="str">
            <v>probsi</v>
          </cell>
        </row>
        <row r="2953">
          <cell r="B2953" t="b">
            <v>1</v>
          </cell>
          <cell r="E2953" t="str">
            <v>Bocachica</v>
          </cell>
          <cell r="H2953" t="str">
            <v>laboratorio</v>
          </cell>
          <cell r="J2953" t="str">
            <v>bueno</v>
          </cell>
          <cell r="K2953" t="str">
            <v>probsi</v>
          </cell>
        </row>
        <row r="2954">
          <cell r="B2954" t="b">
            <v>1</v>
          </cell>
          <cell r="E2954" t="str">
            <v>Bocachica</v>
          </cell>
          <cell r="H2954" t="str">
            <v>laboratorio</v>
          </cell>
          <cell r="J2954" t="str">
            <v>bueno</v>
          </cell>
          <cell r="K2954" t="str">
            <v>probsi</v>
          </cell>
        </row>
        <row r="2955">
          <cell r="B2955" t="b">
            <v>1</v>
          </cell>
          <cell r="E2955" t="str">
            <v>Bocachica</v>
          </cell>
          <cell r="H2955" t="str">
            <v>salud_oral</v>
          </cell>
          <cell r="J2955" t="str">
            <v>bueno</v>
          </cell>
          <cell r="K2955" t="str">
            <v>probsi</v>
          </cell>
        </row>
        <row r="2956">
          <cell r="B2956" t="b">
            <v>1</v>
          </cell>
          <cell r="E2956" t="str">
            <v>Bocachica</v>
          </cell>
          <cell r="H2956" t="str">
            <v>urgencia</v>
          </cell>
          <cell r="J2956" t="str">
            <v>bueno</v>
          </cell>
          <cell r="K2956" t="str">
            <v>probsi</v>
          </cell>
        </row>
        <row r="2957">
          <cell r="B2957" t="b">
            <v>1</v>
          </cell>
          <cell r="E2957" t="str">
            <v>Bocachica</v>
          </cell>
          <cell r="H2957" t="str">
            <v>urgencia</v>
          </cell>
          <cell r="J2957" t="str">
            <v>bueno</v>
          </cell>
          <cell r="K2957" t="str">
            <v>probsi</v>
          </cell>
        </row>
        <row r="2958">
          <cell r="B2958" t="b">
            <v>1</v>
          </cell>
          <cell r="E2958" t="str">
            <v>Bocachica</v>
          </cell>
          <cell r="H2958" t="str">
            <v>urgencia</v>
          </cell>
          <cell r="J2958" t="str">
            <v>bueno</v>
          </cell>
          <cell r="K2958" t="str">
            <v>probsi</v>
          </cell>
        </row>
        <row r="2959">
          <cell r="B2959" t="b">
            <v>1</v>
          </cell>
          <cell r="E2959" t="str">
            <v>Bocachica</v>
          </cell>
          <cell r="H2959" t="str">
            <v>urgencia</v>
          </cell>
          <cell r="J2959" t="str">
            <v>bueno</v>
          </cell>
          <cell r="K2959" t="str">
            <v>probsi</v>
          </cell>
        </row>
        <row r="2960">
          <cell r="B2960" t="b">
            <v>1</v>
          </cell>
          <cell r="E2960" t="str">
            <v>Bocachica</v>
          </cell>
          <cell r="H2960" t="str">
            <v>urgencia</v>
          </cell>
          <cell r="J2960" t="str">
            <v>bueno</v>
          </cell>
          <cell r="K2960" t="str">
            <v>probsi</v>
          </cell>
        </row>
        <row r="2961">
          <cell r="B2961" t="b">
            <v>1</v>
          </cell>
          <cell r="E2961" t="str">
            <v>Bocachica</v>
          </cell>
          <cell r="H2961" t="str">
            <v>urgencia</v>
          </cell>
          <cell r="J2961" t="str">
            <v>bueno</v>
          </cell>
          <cell r="K2961" t="str">
            <v>probsi</v>
          </cell>
        </row>
        <row r="2962">
          <cell r="B2962" t="b">
            <v>1</v>
          </cell>
          <cell r="E2962" t="str">
            <v>Bocachica</v>
          </cell>
          <cell r="H2962" t="str">
            <v>salud_oral</v>
          </cell>
          <cell r="J2962" t="str">
            <v>bueno</v>
          </cell>
          <cell r="K2962" t="str">
            <v>probsi</v>
          </cell>
        </row>
        <row r="2963">
          <cell r="B2963" t="b">
            <v>1</v>
          </cell>
          <cell r="E2963" t="str">
            <v>Bocachica</v>
          </cell>
          <cell r="H2963" t="str">
            <v>consulta_externa</v>
          </cell>
          <cell r="J2963" t="str">
            <v>bueno</v>
          </cell>
          <cell r="K2963" t="str">
            <v>probsi</v>
          </cell>
        </row>
        <row r="2964">
          <cell r="B2964" t="b">
            <v>1</v>
          </cell>
          <cell r="E2964" t="str">
            <v>Candelaria</v>
          </cell>
          <cell r="H2964" t="str">
            <v>consulta_externa</v>
          </cell>
          <cell r="J2964" t="str">
            <v>bueno</v>
          </cell>
          <cell r="K2964" t="str">
            <v>probsi</v>
          </cell>
        </row>
        <row r="2965">
          <cell r="B2965" t="b">
            <v>1</v>
          </cell>
          <cell r="E2965" t="str">
            <v>Candelaria</v>
          </cell>
          <cell r="H2965" t="str">
            <v>laboratorio</v>
          </cell>
          <cell r="J2965" t="str">
            <v>bueno</v>
          </cell>
          <cell r="K2965" t="str">
            <v>probsi</v>
          </cell>
        </row>
        <row r="2966">
          <cell r="B2966" t="b">
            <v>1</v>
          </cell>
          <cell r="E2966" t="str">
            <v>Candelaria</v>
          </cell>
          <cell r="H2966" t="str">
            <v>laboratorio</v>
          </cell>
          <cell r="J2966" t="str">
            <v>bueno</v>
          </cell>
          <cell r="K2966" t="str">
            <v>probsi</v>
          </cell>
        </row>
        <row r="2967">
          <cell r="B2967" t="b">
            <v>1</v>
          </cell>
          <cell r="E2967" t="str">
            <v>Bocachica</v>
          </cell>
          <cell r="H2967" t="str">
            <v>ecografias</v>
          </cell>
          <cell r="J2967" t="str">
            <v>bueno</v>
          </cell>
          <cell r="K2967" t="str">
            <v>probsi</v>
          </cell>
        </row>
        <row r="2968">
          <cell r="B2968" t="b">
            <v>0</v>
          </cell>
          <cell r="E2968" t="str">
            <v>Candelaria</v>
          </cell>
          <cell r="H2968" t="str">
            <v>urgencia</v>
          </cell>
          <cell r="J2968" t="str">
            <v>malo</v>
          </cell>
          <cell r="K2968" t="str">
            <v>probsi</v>
          </cell>
        </row>
        <row r="2969">
          <cell r="B2969" t="b">
            <v>1</v>
          </cell>
          <cell r="E2969" t="str">
            <v>Bocachica</v>
          </cell>
          <cell r="H2969" t="str">
            <v>ecografias</v>
          </cell>
          <cell r="J2969" t="str">
            <v>bueno</v>
          </cell>
          <cell r="K2969" t="str">
            <v>probsi</v>
          </cell>
        </row>
        <row r="2970">
          <cell r="B2970" t="b">
            <v>1</v>
          </cell>
          <cell r="E2970" t="str">
            <v>Bocachica</v>
          </cell>
          <cell r="H2970" t="str">
            <v>ecografias</v>
          </cell>
          <cell r="J2970" t="str">
            <v>bueno</v>
          </cell>
          <cell r="K2970" t="str">
            <v>probsi</v>
          </cell>
        </row>
        <row r="2971">
          <cell r="B2971" t="b">
            <v>1</v>
          </cell>
          <cell r="E2971" t="str">
            <v>Bocachica</v>
          </cell>
          <cell r="H2971" t="str">
            <v>ecografias</v>
          </cell>
          <cell r="J2971" t="str">
            <v>bueno</v>
          </cell>
          <cell r="K2971" t="str">
            <v>probsi</v>
          </cell>
        </row>
        <row r="2972">
          <cell r="B2972" t="b">
            <v>1</v>
          </cell>
          <cell r="E2972" t="str">
            <v>Bocachica</v>
          </cell>
          <cell r="H2972" t="str">
            <v>ecografias</v>
          </cell>
          <cell r="J2972" t="str">
            <v>bueno</v>
          </cell>
          <cell r="K2972" t="str">
            <v>probsi</v>
          </cell>
        </row>
        <row r="2973">
          <cell r="B2973" t="b">
            <v>1</v>
          </cell>
          <cell r="E2973" t="str">
            <v>Bocachica</v>
          </cell>
          <cell r="H2973" t="str">
            <v>laboratorio</v>
          </cell>
          <cell r="J2973" t="str">
            <v>bueno</v>
          </cell>
          <cell r="K2973" t="str">
            <v>probsi</v>
          </cell>
        </row>
        <row r="2974">
          <cell r="B2974" t="b">
            <v>1</v>
          </cell>
          <cell r="E2974" t="str">
            <v>Bocachica</v>
          </cell>
          <cell r="H2974" t="str">
            <v>laboratorio</v>
          </cell>
          <cell r="J2974" t="str">
            <v>bueno</v>
          </cell>
          <cell r="K2974" t="str">
            <v>probsi</v>
          </cell>
        </row>
        <row r="2975">
          <cell r="B2975" t="b">
            <v>1</v>
          </cell>
          <cell r="E2975" t="str">
            <v>Bocachica</v>
          </cell>
          <cell r="H2975" t="str">
            <v>laboratorio</v>
          </cell>
          <cell r="J2975" t="str">
            <v>bueno</v>
          </cell>
          <cell r="K2975" t="str">
            <v>probsi</v>
          </cell>
        </row>
        <row r="2976">
          <cell r="B2976" t="b">
            <v>1</v>
          </cell>
          <cell r="E2976" t="str">
            <v>Bocachica</v>
          </cell>
          <cell r="H2976" t="str">
            <v>consulta_externa</v>
          </cell>
          <cell r="J2976" t="str">
            <v>bueno</v>
          </cell>
          <cell r="K2976" t="str">
            <v>probsi</v>
          </cell>
        </row>
        <row r="2977">
          <cell r="B2977" t="b">
            <v>1</v>
          </cell>
          <cell r="E2977" t="str">
            <v>Bocachica</v>
          </cell>
          <cell r="H2977" t="str">
            <v>consulta_externa</v>
          </cell>
          <cell r="J2977" t="str">
            <v>bueno</v>
          </cell>
          <cell r="K2977" t="str">
            <v>probsi</v>
          </cell>
        </row>
        <row r="2978">
          <cell r="B2978" t="b">
            <v>1</v>
          </cell>
          <cell r="E2978" t="str">
            <v>Bocachica</v>
          </cell>
          <cell r="H2978" t="str">
            <v>consulta_externa</v>
          </cell>
          <cell r="J2978" t="str">
            <v>bueno</v>
          </cell>
          <cell r="K2978" t="str">
            <v>probsi</v>
          </cell>
        </row>
        <row r="2979">
          <cell r="B2979" t="b">
            <v>0</v>
          </cell>
          <cell r="E2979" t="str">
            <v>Candelaria</v>
          </cell>
          <cell r="H2979" t="str">
            <v>consulta_externa</v>
          </cell>
          <cell r="J2979" t="str">
            <v>regular</v>
          </cell>
          <cell r="K2979" t="str">
            <v>probsi</v>
          </cell>
        </row>
        <row r="2980">
          <cell r="B2980" t="b">
            <v>1</v>
          </cell>
          <cell r="E2980" t="str">
            <v>Bocachica</v>
          </cell>
          <cell r="H2980" t="str">
            <v>consulta_externa</v>
          </cell>
          <cell r="J2980" t="str">
            <v>bueno</v>
          </cell>
          <cell r="K2980" t="str">
            <v>probsi</v>
          </cell>
        </row>
        <row r="2981">
          <cell r="B2981" t="b">
            <v>1</v>
          </cell>
          <cell r="E2981" t="str">
            <v>Bocachica</v>
          </cell>
          <cell r="H2981" t="str">
            <v>consulta_externa</v>
          </cell>
          <cell r="J2981" t="str">
            <v>bueno</v>
          </cell>
          <cell r="K2981" t="str">
            <v>probsi</v>
          </cell>
        </row>
        <row r="2982">
          <cell r="B2982" t="b">
            <v>0</v>
          </cell>
          <cell r="E2982" t="str">
            <v>Candelaria</v>
          </cell>
          <cell r="H2982" t="str">
            <v>laboratorio</v>
          </cell>
          <cell r="J2982" t="str">
            <v>regular</v>
          </cell>
          <cell r="K2982" t="str">
            <v>probsi</v>
          </cell>
        </row>
        <row r="2983">
          <cell r="B2983" t="b">
            <v>1</v>
          </cell>
          <cell r="E2983" t="str">
            <v>Bocachica</v>
          </cell>
          <cell r="H2983" t="str">
            <v>consulta_externa</v>
          </cell>
          <cell r="J2983" t="str">
            <v>bueno</v>
          </cell>
          <cell r="K2983" t="str">
            <v>probsi</v>
          </cell>
        </row>
        <row r="2984">
          <cell r="B2984" t="b">
            <v>1</v>
          </cell>
          <cell r="E2984" t="str">
            <v>Bocachica</v>
          </cell>
          <cell r="H2984" t="str">
            <v>consulta_externa</v>
          </cell>
          <cell r="J2984" t="str">
            <v>bueno</v>
          </cell>
          <cell r="K2984" t="str">
            <v>probsi</v>
          </cell>
        </row>
        <row r="2985">
          <cell r="B2985" t="b">
            <v>1</v>
          </cell>
          <cell r="E2985" t="str">
            <v>Bocachica</v>
          </cell>
          <cell r="H2985" t="str">
            <v>salud_oral</v>
          </cell>
          <cell r="J2985" t="str">
            <v>bueno</v>
          </cell>
          <cell r="K2985" t="str">
            <v>probsi</v>
          </cell>
        </row>
        <row r="2986">
          <cell r="B2986" t="b">
            <v>1</v>
          </cell>
          <cell r="E2986" t="str">
            <v>Bocachica</v>
          </cell>
          <cell r="H2986" t="str">
            <v>salud_oral</v>
          </cell>
          <cell r="J2986" t="str">
            <v>bueno</v>
          </cell>
          <cell r="K2986" t="str">
            <v>probsi</v>
          </cell>
        </row>
        <row r="2987">
          <cell r="B2987" t="b">
            <v>1</v>
          </cell>
          <cell r="E2987" t="str">
            <v>Bocachica</v>
          </cell>
          <cell r="H2987" t="str">
            <v>salud_oral</v>
          </cell>
          <cell r="J2987" t="str">
            <v>bueno</v>
          </cell>
          <cell r="K2987" t="str">
            <v>probsi</v>
          </cell>
        </row>
        <row r="2988">
          <cell r="B2988" t="b">
            <v>0</v>
          </cell>
          <cell r="E2988" t="str">
            <v>Candelaria</v>
          </cell>
          <cell r="H2988" t="str">
            <v>urgencia</v>
          </cell>
          <cell r="J2988" t="str">
            <v>regular</v>
          </cell>
          <cell r="K2988" t="str">
            <v>probsi</v>
          </cell>
        </row>
        <row r="2989">
          <cell r="B2989" t="b">
            <v>0</v>
          </cell>
          <cell r="E2989" t="str">
            <v>Candelaria</v>
          </cell>
          <cell r="H2989" t="str">
            <v>consulta_externa</v>
          </cell>
          <cell r="J2989" t="str">
            <v>regular</v>
          </cell>
          <cell r="K2989" t="str">
            <v>probsi</v>
          </cell>
        </row>
        <row r="2990">
          <cell r="B2990" t="b">
            <v>0</v>
          </cell>
          <cell r="E2990" t="str">
            <v>Candelaria</v>
          </cell>
          <cell r="H2990" t="str">
            <v>salud_oral</v>
          </cell>
          <cell r="J2990" t="str">
            <v>regular</v>
          </cell>
          <cell r="K2990" t="str">
            <v>probsi</v>
          </cell>
        </row>
        <row r="2991">
          <cell r="B2991" t="b">
            <v>1</v>
          </cell>
          <cell r="E2991" t="str">
            <v>Bosque</v>
          </cell>
          <cell r="H2991" t="str">
            <v>consulta_externa</v>
          </cell>
          <cell r="J2991" t="str">
            <v>bueno</v>
          </cell>
          <cell r="K2991" t="str">
            <v>defsi</v>
          </cell>
        </row>
        <row r="2992">
          <cell r="B2992" t="b">
            <v>0</v>
          </cell>
          <cell r="E2992" t="str">
            <v>Candelaria</v>
          </cell>
          <cell r="H2992" t="str">
            <v>pediatria</v>
          </cell>
          <cell r="J2992" t="str">
            <v>regular</v>
          </cell>
          <cell r="K2992" t="str">
            <v>probsi</v>
          </cell>
        </row>
        <row r="2993">
          <cell r="B2993" t="b">
            <v>0</v>
          </cell>
          <cell r="E2993" t="str">
            <v>Candelaria</v>
          </cell>
          <cell r="H2993" t="str">
            <v>pediatria</v>
          </cell>
          <cell r="J2993" t="str">
            <v>regular</v>
          </cell>
          <cell r="K2993" t="str">
            <v>probsi</v>
          </cell>
        </row>
        <row r="2994">
          <cell r="B2994" t="b">
            <v>0</v>
          </cell>
          <cell r="E2994" t="str">
            <v>Candelaria</v>
          </cell>
          <cell r="H2994" t="str">
            <v>pediatria</v>
          </cell>
          <cell r="J2994" t="str">
            <v>regular</v>
          </cell>
          <cell r="K2994" t="str">
            <v>probsi</v>
          </cell>
        </row>
        <row r="2995">
          <cell r="B2995" t="b">
            <v>0</v>
          </cell>
          <cell r="E2995" t="str">
            <v>Candelaria</v>
          </cell>
          <cell r="H2995" t="str">
            <v>pediatria</v>
          </cell>
          <cell r="J2995" t="str">
            <v>regular</v>
          </cell>
          <cell r="K2995" t="str">
            <v>probsi</v>
          </cell>
        </row>
        <row r="2996">
          <cell r="B2996" t="b">
            <v>1</v>
          </cell>
          <cell r="E2996" t="str">
            <v>Bosque</v>
          </cell>
          <cell r="H2996" t="str">
            <v>salud_oral</v>
          </cell>
          <cell r="J2996" t="str">
            <v>bueno</v>
          </cell>
          <cell r="K2996" t="str">
            <v>defsi</v>
          </cell>
        </row>
        <row r="2997">
          <cell r="B2997" t="b">
            <v>0</v>
          </cell>
          <cell r="E2997" t="str">
            <v>Candelaria</v>
          </cell>
          <cell r="H2997" t="str">
            <v>consulta_externa</v>
          </cell>
          <cell r="J2997" t="str">
            <v>regular</v>
          </cell>
          <cell r="K2997" t="str">
            <v>probsi</v>
          </cell>
        </row>
        <row r="2998">
          <cell r="B2998" t="b">
            <v>0</v>
          </cell>
          <cell r="E2998" t="str">
            <v>Candelaria</v>
          </cell>
          <cell r="H2998" t="str">
            <v>salud_oral</v>
          </cell>
          <cell r="J2998" t="str">
            <v>regular</v>
          </cell>
          <cell r="K2998" t="str">
            <v>probsi</v>
          </cell>
        </row>
        <row r="2999">
          <cell r="B2999" t="b">
            <v>1</v>
          </cell>
          <cell r="E2999" t="str">
            <v>Candelaria</v>
          </cell>
          <cell r="H2999" t="str">
            <v>laboratorio</v>
          </cell>
          <cell r="J2999" t="str">
            <v>bueno</v>
          </cell>
          <cell r="K2999" t="str">
            <v>probsi</v>
          </cell>
        </row>
        <row r="3000">
          <cell r="B3000" t="b">
            <v>1</v>
          </cell>
          <cell r="E3000" t="str">
            <v>Candelaria</v>
          </cell>
          <cell r="H3000" t="str">
            <v>electros</v>
          </cell>
          <cell r="J3000" t="str">
            <v>bueno</v>
          </cell>
          <cell r="K3000" t="str">
            <v>probsi</v>
          </cell>
        </row>
        <row r="3001">
          <cell r="B3001" t="b">
            <v>1</v>
          </cell>
          <cell r="E3001" t="str">
            <v>Candelaria</v>
          </cell>
          <cell r="H3001" t="str">
            <v>electros</v>
          </cell>
          <cell r="J3001" t="str">
            <v>bueno</v>
          </cell>
          <cell r="K3001" t="str">
            <v>probsi</v>
          </cell>
        </row>
        <row r="3002">
          <cell r="B3002" t="b">
            <v>1</v>
          </cell>
          <cell r="E3002" t="str">
            <v>Bosque</v>
          </cell>
          <cell r="H3002" t="str">
            <v>laboratorio</v>
          </cell>
          <cell r="J3002" t="str">
            <v>bueno</v>
          </cell>
          <cell r="K3002" t="str">
            <v>defsi</v>
          </cell>
        </row>
        <row r="3003">
          <cell r="B3003" t="b">
            <v>1</v>
          </cell>
          <cell r="E3003" t="str">
            <v>Candelaria</v>
          </cell>
          <cell r="H3003" t="str">
            <v>consulta_externa</v>
          </cell>
          <cell r="J3003" t="str">
            <v>bueno</v>
          </cell>
          <cell r="K3003" t="str">
            <v>probsi</v>
          </cell>
        </row>
        <row r="3004">
          <cell r="B3004" t="b">
            <v>1</v>
          </cell>
          <cell r="E3004" t="str">
            <v>Candelaria</v>
          </cell>
          <cell r="H3004" t="str">
            <v>laboratorio</v>
          </cell>
          <cell r="J3004" t="str">
            <v>bueno</v>
          </cell>
          <cell r="K3004" t="str">
            <v>probsi</v>
          </cell>
        </row>
        <row r="3005">
          <cell r="B3005" t="b">
            <v>1</v>
          </cell>
          <cell r="E3005" t="str">
            <v>Candelaria</v>
          </cell>
          <cell r="H3005" t="str">
            <v>pediatria</v>
          </cell>
          <cell r="J3005" t="str">
            <v>bueno</v>
          </cell>
          <cell r="K3005" t="str">
            <v>probsi</v>
          </cell>
        </row>
        <row r="3006">
          <cell r="B3006" t="b">
            <v>1</v>
          </cell>
          <cell r="E3006" t="str">
            <v>Candelaria</v>
          </cell>
          <cell r="H3006" t="str">
            <v>pediatria</v>
          </cell>
          <cell r="J3006" t="str">
            <v>bueno</v>
          </cell>
          <cell r="K3006" t="str">
            <v>probsi</v>
          </cell>
        </row>
        <row r="3007">
          <cell r="B3007" t="b">
            <v>1</v>
          </cell>
          <cell r="E3007" t="str">
            <v>Candelaria</v>
          </cell>
          <cell r="H3007" t="str">
            <v>pediatria</v>
          </cell>
          <cell r="J3007" t="str">
            <v>bueno</v>
          </cell>
          <cell r="K3007" t="str">
            <v>probsi</v>
          </cell>
        </row>
        <row r="3008">
          <cell r="B3008" t="b">
            <v>1</v>
          </cell>
          <cell r="E3008" t="str">
            <v>Islote de San Bernardo</v>
          </cell>
          <cell r="H3008" t="str">
            <v>salud_oral</v>
          </cell>
          <cell r="J3008" t="str">
            <v>bueno</v>
          </cell>
          <cell r="K3008" t="str">
            <v>probsi</v>
          </cell>
        </row>
        <row r="3009">
          <cell r="B3009" t="b">
            <v>1</v>
          </cell>
          <cell r="E3009" t="str">
            <v>Islote de San Bernardo</v>
          </cell>
          <cell r="H3009" t="str">
            <v>salud_oral</v>
          </cell>
          <cell r="J3009" t="str">
            <v>bueno</v>
          </cell>
          <cell r="K3009" t="str">
            <v>probsi</v>
          </cell>
        </row>
        <row r="3010">
          <cell r="B3010" t="b">
            <v>1</v>
          </cell>
          <cell r="E3010" t="str">
            <v>Islote de San Bernardo</v>
          </cell>
          <cell r="H3010" t="str">
            <v>consulta_externa</v>
          </cell>
          <cell r="J3010" t="str">
            <v>bueno</v>
          </cell>
          <cell r="K3010" t="str">
            <v>probsi</v>
          </cell>
        </row>
        <row r="3011">
          <cell r="B3011" t="b">
            <v>1</v>
          </cell>
          <cell r="E3011" t="str">
            <v>Islote de San Bernardo</v>
          </cell>
          <cell r="H3011" t="str">
            <v>consulta_externa</v>
          </cell>
          <cell r="J3011" t="str">
            <v>bueno</v>
          </cell>
          <cell r="K3011" t="str">
            <v>probsi</v>
          </cell>
        </row>
        <row r="3012">
          <cell r="B3012" t="b">
            <v>1</v>
          </cell>
          <cell r="E3012" t="str">
            <v>Islote de San Bernardo</v>
          </cell>
          <cell r="H3012" t="str">
            <v>consulta_externa</v>
          </cell>
          <cell r="J3012" t="str">
            <v>bueno</v>
          </cell>
          <cell r="K3012" t="str">
            <v>probsi</v>
          </cell>
        </row>
        <row r="3013">
          <cell r="B3013" t="b">
            <v>1</v>
          </cell>
          <cell r="E3013" t="str">
            <v>Bosque</v>
          </cell>
          <cell r="H3013" t="str">
            <v>consulta_externa</v>
          </cell>
          <cell r="J3013" t="str">
            <v>bueno</v>
          </cell>
          <cell r="K3013" t="str">
            <v>defsi</v>
          </cell>
        </row>
        <row r="3014">
          <cell r="B3014" t="b">
            <v>1</v>
          </cell>
          <cell r="E3014" t="str">
            <v>Islote de San Bernardo</v>
          </cell>
          <cell r="H3014" t="str">
            <v>consulta_externa</v>
          </cell>
          <cell r="J3014" t="str">
            <v>bueno</v>
          </cell>
          <cell r="K3014" t="str">
            <v>probsi</v>
          </cell>
        </row>
        <row r="3015">
          <cell r="B3015" t="b">
            <v>1</v>
          </cell>
          <cell r="E3015" t="str">
            <v>Bosque</v>
          </cell>
          <cell r="H3015" t="str">
            <v>salud_oral</v>
          </cell>
          <cell r="J3015" t="str">
            <v>bueno</v>
          </cell>
          <cell r="K3015" t="str">
            <v>defsi</v>
          </cell>
        </row>
        <row r="3016">
          <cell r="B3016" t="b">
            <v>1</v>
          </cell>
          <cell r="E3016" t="str">
            <v>Candelaria</v>
          </cell>
          <cell r="H3016" t="str">
            <v>electros</v>
          </cell>
          <cell r="J3016" t="str">
            <v>bueno</v>
          </cell>
          <cell r="K3016" t="str">
            <v>probsi</v>
          </cell>
        </row>
        <row r="3017">
          <cell r="B3017" t="b">
            <v>1</v>
          </cell>
          <cell r="E3017" t="str">
            <v>Candelaria</v>
          </cell>
          <cell r="H3017" t="str">
            <v>electros</v>
          </cell>
          <cell r="J3017" t="str">
            <v>bueno</v>
          </cell>
          <cell r="K3017" t="str">
            <v>probsi</v>
          </cell>
        </row>
        <row r="3018">
          <cell r="B3018" t="b">
            <v>1</v>
          </cell>
          <cell r="E3018" t="str">
            <v>Candelaria</v>
          </cell>
          <cell r="H3018" t="str">
            <v>electros</v>
          </cell>
          <cell r="J3018" t="str">
            <v>bueno</v>
          </cell>
          <cell r="K3018" t="str">
            <v>probsi</v>
          </cell>
        </row>
        <row r="3019">
          <cell r="B3019" t="b">
            <v>1</v>
          </cell>
          <cell r="E3019" t="str">
            <v>Hospital Pozon</v>
          </cell>
          <cell r="H3019" t="str">
            <v>consulta_externa</v>
          </cell>
          <cell r="J3019" t="str">
            <v>bueno</v>
          </cell>
          <cell r="K3019" t="str">
            <v>probsi</v>
          </cell>
        </row>
        <row r="3020">
          <cell r="B3020" t="b">
            <v>1</v>
          </cell>
          <cell r="E3020" t="str">
            <v>Candelaria</v>
          </cell>
          <cell r="H3020" t="str">
            <v>electros</v>
          </cell>
          <cell r="J3020" t="str">
            <v>bueno</v>
          </cell>
          <cell r="K3020" t="str">
            <v>probsi</v>
          </cell>
        </row>
        <row r="3021">
          <cell r="B3021" t="b">
            <v>1</v>
          </cell>
          <cell r="E3021" t="str">
            <v>Candelaria</v>
          </cell>
          <cell r="H3021" t="str">
            <v>electros</v>
          </cell>
          <cell r="J3021" t="str">
            <v>bueno</v>
          </cell>
          <cell r="K3021" t="str">
            <v>probsi</v>
          </cell>
        </row>
        <row r="3022">
          <cell r="B3022" t="b">
            <v>1</v>
          </cell>
          <cell r="E3022" t="str">
            <v>Bosque</v>
          </cell>
          <cell r="H3022" t="str">
            <v>laboratorio</v>
          </cell>
          <cell r="J3022" t="str">
            <v>bueno</v>
          </cell>
          <cell r="K3022" t="str">
            <v>defsi</v>
          </cell>
        </row>
        <row r="3023">
          <cell r="B3023" t="b">
            <v>1</v>
          </cell>
          <cell r="E3023" t="str">
            <v>Candelaria</v>
          </cell>
          <cell r="H3023" t="str">
            <v>medicina_interna</v>
          </cell>
          <cell r="J3023" t="str">
            <v>bueno</v>
          </cell>
          <cell r="K3023" t="str">
            <v>probsi</v>
          </cell>
        </row>
        <row r="3024">
          <cell r="B3024" t="b">
            <v>1</v>
          </cell>
          <cell r="E3024" t="str">
            <v>Candelaria</v>
          </cell>
          <cell r="H3024" t="str">
            <v>medicina_interna</v>
          </cell>
          <cell r="J3024" t="str">
            <v>bueno</v>
          </cell>
          <cell r="K3024" t="str">
            <v>probsi</v>
          </cell>
        </row>
        <row r="3025">
          <cell r="B3025" t="b">
            <v>1</v>
          </cell>
          <cell r="E3025" t="str">
            <v>Candelaria</v>
          </cell>
          <cell r="H3025" t="str">
            <v>medicina_interna</v>
          </cell>
          <cell r="J3025" t="str">
            <v>bueno</v>
          </cell>
          <cell r="K3025" t="str">
            <v>probsi</v>
          </cell>
        </row>
        <row r="3026">
          <cell r="B3026" t="b">
            <v>1</v>
          </cell>
          <cell r="E3026" t="str">
            <v>Candelaria</v>
          </cell>
          <cell r="H3026" t="str">
            <v>consulta_externa</v>
          </cell>
          <cell r="J3026" t="str">
            <v>bueno</v>
          </cell>
          <cell r="K3026" t="str">
            <v>probsi</v>
          </cell>
        </row>
        <row r="3027">
          <cell r="B3027" t="b">
            <v>1</v>
          </cell>
          <cell r="E3027" t="str">
            <v>Candelaria</v>
          </cell>
          <cell r="H3027" t="str">
            <v>consulta_externa</v>
          </cell>
          <cell r="J3027" t="str">
            <v>bueno</v>
          </cell>
          <cell r="K3027" t="str">
            <v>probsi</v>
          </cell>
        </row>
        <row r="3028">
          <cell r="B3028" t="b">
            <v>1</v>
          </cell>
          <cell r="E3028" t="str">
            <v>Candelaria</v>
          </cell>
          <cell r="H3028" t="str">
            <v>laboratorio</v>
          </cell>
          <cell r="J3028" t="str">
            <v>bueno</v>
          </cell>
          <cell r="K3028" t="str">
            <v>probsi</v>
          </cell>
        </row>
        <row r="3029">
          <cell r="B3029" t="b">
            <v>1</v>
          </cell>
          <cell r="E3029" t="str">
            <v>Candelaria</v>
          </cell>
          <cell r="H3029" t="str">
            <v>consulta_externa</v>
          </cell>
          <cell r="J3029" t="str">
            <v>bueno</v>
          </cell>
          <cell r="K3029" t="str">
            <v>probsi</v>
          </cell>
        </row>
        <row r="3030">
          <cell r="B3030" t="b">
            <v>1</v>
          </cell>
          <cell r="E3030" t="str">
            <v>Candelaria</v>
          </cell>
          <cell r="H3030" t="str">
            <v>consulta_externa</v>
          </cell>
          <cell r="J3030" t="str">
            <v>bueno</v>
          </cell>
          <cell r="K3030" t="str">
            <v>probsi</v>
          </cell>
        </row>
        <row r="3031">
          <cell r="B3031" t="b">
            <v>1</v>
          </cell>
          <cell r="E3031" t="str">
            <v>Candelaria</v>
          </cell>
          <cell r="H3031" t="str">
            <v>laboratorio</v>
          </cell>
          <cell r="J3031" t="str">
            <v>bueno</v>
          </cell>
          <cell r="K3031" t="str">
            <v>probsi</v>
          </cell>
        </row>
        <row r="3032">
          <cell r="B3032" t="b">
            <v>1</v>
          </cell>
          <cell r="E3032" t="str">
            <v>Bosque</v>
          </cell>
          <cell r="H3032" t="str">
            <v>consulta_externa</v>
          </cell>
          <cell r="J3032" t="str">
            <v>bueno</v>
          </cell>
          <cell r="K3032" t="str">
            <v>defsi</v>
          </cell>
        </row>
        <row r="3033">
          <cell r="B3033" t="b">
            <v>1</v>
          </cell>
          <cell r="E3033" t="str">
            <v>Bosque</v>
          </cell>
          <cell r="H3033" t="str">
            <v>salud_oral</v>
          </cell>
          <cell r="J3033" t="str">
            <v>bueno</v>
          </cell>
          <cell r="K3033" t="str">
            <v>defsi</v>
          </cell>
        </row>
        <row r="3034">
          <cell r="B3034" t="b">
            <v>1</v>
          </cell>
          <cell r="E3034" t="str">
            <v>Bosque</v>
          </cell>
          <cell r="H3034" t="str">
            <v>laboratorio</v>
          </cell>
          <cell r="J3034" t="str">
            <v>bueno</v>
          </cell>
          <cell r="K3034" t="str">
            <v>defsi</v>
          </cell>
        </row>
        <row r="3035">
          <cell r="B3035" t="b">
            <v>1</v>
          </cell>
          <cell r="E3035" t="str">
            <v>Bosque</v>
          </cell>
          <cell r="H3035" t="str">
            <v>consulta_externa</v>
          </cell>
          <cell r="J3035" t="str">
            <v>bueno</v>
          </cell>
          <cell r="K3035" t="str">
            <v>defsi</v>
          </cell>
        </row>
        <row r="3036">
          <cell r="B3036" t="b">
            <v>1</v>
          </cell>
          <cell r="E3036" t="str">
            <v>Bosque</v>
          </cell>
          <cell r="H3036" t="str">
            <v>salud_oral</v>
          </cell>
          <cell r="J3036" t="str">
            <v>bueno</v>
          </cell>
          <cell r="K3036" t="str">
            <v>defsi</v>
          </cell>
        </row>
        <row r="3037">
          <cell r="B3037" t="b">
            <v>1</v>
          </cell>
          <cell r="E3037" t="str">
            <v>Bosque</v>
          </cell>
          <cell r="H3037" t="str">
            <v>laboratorio</v>
          </cell>
          <cell r="J3037" t="str">
            <v>bueno</v>
          </cell>
          <cell r="K3037" t="str">
            <v>defsi</v>
          </cell>
        </row>
        <row r="3038">
          <cell r="B3038" t="b">
            <v>1</v>
          </cell>
          <cell r="E3038" t="str">
            <v>Bosque</v>
          </cell>
          <cell r="H3038" t="str">
            <v>consulta_externa</v>
          </cell>
          <cell r="J3038" t="str">
            <v>bueno</v>
          </cell>
          <cell r="K3038" t="str">
            <v>defsi</v>
          </cell>
        </row>
        <row r="3039">
          <cell r="B3039" t="b">
            <v>1</v>
          </cell>
          <cell r="E3039" t="str">
            <v>Bosque</v>
          </cell>
          <cell r="H3039" t="str">
            <v>salud_oral</v>
          </cell>
          <cell r="J3039" t="str">
            <v>bueno</v>
          </cell>
          <cell r="K3039" t="str">
            <v>defsi</v>
          </cell>
        </row>
        <row r="3040">
          <cell r="B3040" t="b">
            <v>1</v>
          </cell>
          <cell r="E3040" t="str">
            <v>Candelaria</v>
          </cell>
          <cell r="H3040" t="str">
            <v>consulta_externa</v>
          </cell>
          <cell r="J3040" t="str">
            <v>bueno</v>
          </cell>
          <cell r="K3040" t="str">
            <v>probsi</v>
          </cell>
        </row>
        <row r="3041">
          <cell r="B3041" t="b">
            <v>1</v>
          </cell>
          <cell r="E3041" t="str">
            <v>Candelaria</v>
          </cell>
          <cell r="H3041" t="str">
            <v>consulta_externa</v>
          </cell>
          <cell r="J3041" t="str">
            <v>bueno</v>
          </cell>
          <cell r="K3041" t="str">
            <v>probsi</v>
          </cell>
        </row>
        <row r="3042">
          <cell r="B3042" t="b">
            <v>1</v>
          </cell>
          <cell r="E3042" t="str">
            <v>Candelaria</v>
          </cell>
          <cell r="H3042" t="str">
            <v>consulta_externa</v>
          </cell>
          <cell r="J3042" t="str">
            <v>bueno</v>
          </cell>
          <cell r="K3042" t="str">
            <v>probsi</v>
          </cell>
        </row>
        <row r="3043">
          <cell r="B3043" t="b">
            <v>1</v>
          </cell>
          <cell r="E3043" t="str">
            <v>Candelaria</v>
          </cell>
          <cell r="H3043" t="str">
            <v>consulta_externa</v>
          </cell>
          <cell r="J3043" t="str">
            <v>bueno</v>
          </cell>
          <cell r="K3043" t="str">
            <v>probsi</v>
          </cell>
        </row>
        <row r="3044">
          <cell r="B3044" t="b">
            <v>1</v>
          </cell>
          <cell r="E3044" t="str">
            <v>Candelaria</v>
          </cell>
          <cell r="H3044" t="str">
            <v>salud_oral</v>
          </cell>
          <cell r="J3044" t="str">
            <v>bueno</v>
          </cell>
          <cell r="K3044" t="str">
            <v>probsi</v>
          </cell>
        </row>
        <row r="3045">
          <cell r="B3045" t="b">
            <v>1</v>
          </cell>
          <cell r="E3045" t="str">
            <v>Candelaria</v>
          </cell>
          <cell r="H3045" t="str">
            <v>salud_oral</v>
          </cell>
          <cell r="J3045" t="str">
            <v>bueno</v>
          </cell>
          <cell r="K3045" t="str">
            <v>probsi</v>
          </cell>
        </row>
        <row r="3046">
          <cell r="B3046" t="b">
            <v>1</v>
          </cell>
          <cell r="E3046" t="str">
            <v>Candelaria</v>
          </cell>
          <cell r="H3046" t="str">
            <v>salud_oral</v>
          </cell>
          <cell r="J3046" t="str">
            <v>bueno</v>
          </cell>
          <cell r="K3046" t="str">
            <v>probsi</v>
          </cell>
        </row>
        <row r="3047">
          <cell r="B3047" t="b">
            <v>1</v>
          </cell>
          <cell r="E3047" t="str">
            <v>Candelaria</v>
          </cell>
          <cell r="H3047" t="str">
            <v>salud_oral</v>
          </cell>
          <cell r="J3047" t="str">
            <v>bueno</v>
          </cell>
          <cell r="K3047" t="str">
            <v>probsi</v>
          </cell>
        </row>
        <row r="3048">
          <cell r="B3048" t="b">
            <v>1</v>
          </cell>
          <cell r="E3048" t="str">
            <v>Candelaria</v>
          </cell>
          <cell r="H3048" t="str">
            <v>salud_oral</v>
          </cell>
          <cell r="J3048" t="str">
            <v>bueno</v>
          </cell>
          <cell r="K3048" t="str">
            <v>probsi</v>
          </cell>
        </row>
        <row r="3049">
          <cell r="B3049" t="b">
            <v>0</v>
          </cell>
          <cell r="E3049" t="str">
            <v>Candelaria</v>
          </cell>
          <cell r="H3049" t="str">
            <v>salud_oral</v>
          </cell>
          <cell r="J3049" t="str">
            <v>regular</v>
          </cell>
          <cell r="K3049" t="str">
            <v>probsi</v>
          </cell>
        </row>
        <row r="3050">
          <cell r="B3050" t="b">
            <v>0</v>
          </cell>
          <cell r="E3050" t="str">
            <v>Candelaria</v>
          </cell>
          <cell r="H3050" t="str">
            <v>salud_oral</v>
          </cell>
          <cell r="J3050" t="str">
            <v>regular</v>
          </cell>
          <cell r="K3050" t="str">
            <v>probsi</v>
          </cell>
        </row>
        <row r="3051">
          <cell r="B3051" t="b">
            <v>0</v>
          </cell>
          <cell r="E3051" t="str">
            <v>Candelaria</v>
          </cell>
          <cell r="H3051" t="str">
            <v>laboratorio</v>
          </cell>
          <cell r="J3051" t="str">
            <v>regular</v>
          </cell>
          <cell r="K3051" t="str">
            <v>probsi</v>
          </cell>
        </row>
        <row r="3052">
          <cell r="B3052" t="b">
            <v>0</v>
          </cell>
          <cell r="E3052" t="str">
            <v>Candelaria</v>
          </cell>
          <cell r="H3052" t="str">
            <v>laboratorio</v>
          </cell>
          <cell r="J3052" t="str">
            <v>regular</v>
          </cell>
          <cell r="K3052" t="str">
            <v>probsi</v>
          </cell>
        </row>
        <row r="3053">
          <cell r="B3053" t="b">
            <v>1</v>
          </cell>
          <cell r="E3053" t="str">
            <v>Candelaria</v>
          </cell>
          <cell r="H3053" t="str">
            <v>laboratorio</v>
          </cell>
          <cell r="J3053" t="str">
            <v>bueno</v>
          </cell>
          <cell r="K3053" t="str">
            <v>probsi</v>
          </cell>
        </row>
        <row r="3054">
          <cell r="B3054" t="b">
            <v>1</v>
          </cell>
          <cell r="E3054" t="str">
            <v>Candelaria</v>
          </cell>
          <cell r="H3054" t="str">
            <v>laboratorio</v>
          </cell>
          <cell r="J3054" t="str">
            <v>bueno</v>
          </cell>
          <cell r="K3054" t="str">
            <v>probsi</v>
          </cell>
        </row>
        <row r="3055">
          <cell r="B3055" t="b">
            <v>1</v>
          </cell>
          <cell r="E3055" t="str">
            <v>Candelaria</v>
          </cell>
          <cell r="H3055" t="str">
            <v>laboratorio</v>
          </cell>
          <cell r="J3055" t="str">
            <v>bueno</v>
          </cell>
          <cell r="K3055" t="str">
            <v>probsi</v>
          </cell>
        </row>
        <row r="3056">
          <cell r="B3056" t="b">
            <v>1</v>
          </cell>
          <cell r="E3056" t="str">
            <v>Candelaria</v>
          </cell>
          <cell r="H3056" t="str">
            <v>electros</v>
          </cell>
          <cell r="J3056" t="str">
            <v>bueno</v>
          </cell>
          <cell r="K3056" t="str">
            <v>probsi</v>
          </cell>
        </row>
        <row r="3057">
          <cell r="B3057" t="b">
            <v>1</v>
          </cell>
          <cell r="E3057" t="str">
            <v>Candelaria</v>
          </cell>
          <cell r="H3057" t="str">
            <v>electros</v>
          </cell>
          <cell r="J3057" t="str">
            <v>bueno</v>
          </cell>
          <cell r="K3057" t="str">
            <v>probsi</v>
          </cell>
        </row>
        <row r="3058">
          <cell r="B3058" t="b">
            <v>1</v>
          </cell>
          <cell r="E3058" t="str">
            <v>Candelaria</v>
          </cell>
          <cell r="H3058" t="str">
            <v>electros</v>
          </cell>
          <cell r="J3058" t="str">
            <v>bueno</v>
          </cell>
          <cell r="K3058" t="str">
            <v>probsi</v>
          </cell>
        </row>
        <row r="3059">
          <cell r="B3059" t="b">
            <v>1</v>
          </cell>
          <cell r="E3059" t="str">
            <v>Candelaria</v>
          </cell>
          <cell r="H3059" t="str">
            <v>electros</v>
          </cell>
          <cell r="J3059" t="str">
            <v>bueno</v>
          </cell>
          <cell r="K3059" t="str">
            <v>probsi</v>
          </cell>
        </row>
        <row r="3060">
          <cell r="B3060" t="b">
            <v>1</v>
          </cell>
          <cell r="E3060" t="str">
            <v>Candelaria</v>
          </cell>
          <cell r="H3060" t="str">
            <v>electros</v>
          </cell>
          <cell r="J3060" t="str">
            <v>bueno</v>
          </cell>
          <cell r="K3060" t="str">
            <v>probsi</v>
          </cell>
        </row>
        <row r="3061">
          <cell r="B3061" t="b">
            <v>1</v>
          </cell>
          <cell r="E3061" t="str">
            <v>Candelaria</v>
          </cell>
          <cell r="H3061" t="str">
            <v>electros</v>
          </cell>
          <cell r="J3061" t="str">
            <v>bueno</v>
          </cell>
          <cell r="K3061" t="str">
            <v>probsi</v>
          </cell>
        </row>
        <row r="3062">
          <cell r="B3062" t="b">
            <v>1</v>
          </cell>
          <cell r="E3062" t="str">
            <v>Candelaria</v>
          </cell>
          <cell r="H3062" t="str">
            <v>electros</v>
          </cell>
          <cell r="J3062" t="str">
            <v>bueno</v>
          </cell>
          <cell r="K3062" t="str">
            <v>probsi</v>
          </cell>
        </row>
        <row r="3063">
          <cell r="B3063" t="b">
            <v>0</v>
          </cell>
          <cell r="E3063" t="str">
            <v>Candelaria</v>
          </cell>
          <cell r="H3063" t="str">
            <v>urgencia</v>
          </cell>
          <cell r="J3063" t="str">
            <v>regular</v>
          </cell>
          <cell r="K3063" t="str">
            <v>probsi</v>
          </cell>
        </row>
        <row r="3064">
          <cell r="B3064" t="b">
            <v>0</v>
          </cell>
          <cell r="E3064" t="str">
            <v>Candelaria</v>
          </cell>
          <cell r="H3064" t="str">
            <v>urgencia</v>
          </cell>
          <cell r="J3064" t="str">
            <v>regular</v>
          </cell>
          <cell r="K3064" t="str">
            <v>probsi</v>
          </cell>
        </row>
        <row r="3065">
          <cell r="B3065" t="b">
            <v>0</v>
          </cell>
          <cell r="E3065" t="str">
            <v>Candelaria</v>
          </cell>
          <cell r="H3065" t="str">
            <v>urgencia</v>
          </cell>
          <cell r="J3065" t="str">
            <v>regular</v>
          </cell>
          <cell r="K3065" t="str">
            <v>probsi</v>
          </cell>
        </row>
        <row r="3066">
          <cell r="B3066" t="b">
            <v>0</v>
          </cell>
          <cell r="E3066" t="str">
            <v>Candelaria</v>
          </cell>
          <cell r="H3066" t="str">
            <v>urgencia</v>
          </cell>
          <cell r="J3066" t="str">
            <v>regular</v>
          </cell>
          <cell r="K3066" t="str">
            <v>probsi</v>
          </cell>
        </row>
        <row r="3067">
          <cell r="B3067" t="b">
            <v>1</v>
          </cell>
          <cell r="E3067" t="str">
            <v>Candelaria</v>
          </cell>
          <cell r="H3067" t="str">
            <v>urgencia</v>
          </cell>
          <cell r="J3067" t="str">
            <v>bueno</v>
          </cell>
          <cell r="K3067" t="str">
            <v>probsi</v>
          </cell>
        </row>
        <row r="3068">
          <cell r="B3068" t="b">
            <v>1</v>
          </cell>
          <cell r="E3068" t="str">
            <v>Candelaria</v>
          </cell>
          <cell r="H3068" t="str">
            <v>urgencia</v>
          </cell>
          <cell r="J3068" t="str">
            <v>bueno</v>
          </cell>
          <cell r="K3068" t="str">
            <v>probsi</v>
          </cell>
        </row>
        <row r="3069">
          <cell r="B3069" t="b">
            <v>1</v>
          </cell>
          <cell r="E3069" t="str">
            <v>Candelaria</v>
          </cell>
          <cell r="H3069" t="str">
            <v>urgencia</v>
          </cell>
          <cell r="J3069" t="str">
            <v>bueno</v>
          </cell>
          <cell r="K3069" t="str">
            <v>probsi</v>
          </cell>
        </row>
        <row r="3070">
          <cell r="B3070" t="b">
            <v>1</v>
          </cell>
          <cell r="E3070" t="str">
            <v>Candelaria</v>
          </cell>
          <cell r="H3070" t="str">
            <v>urgencia</v>
          </cell>
          <cell r="J3070" t="str">
            <v>bueno</v>
          </cell>
          <cell r="K3070" t="str">
            <v>probsi</v>
          </cell>
        </row>
        <row r="3071">
          <cell r="B3071" t="b">
            <v>1</v>
          </cell>
          <cell r="E3071" t="str">
            <v>Candelaria</v>
          </cell>
          <cell r="H3071" t="str">
            <v>urgencia</v>
          </cell>
          <cell r="J3071" t="str">
            <v>bueno</v>
          </cell>
          <cell r="K3071" t="str">
            <v>probsi</v>
          </cell>
        </row>
        <row r="3072">
          <cell r="B3072" t="b">
            <v>1</v>
          </cell>
          <cell r="E3072" t="str">
            <v>Bosque</v>
          </cell>
          <cell r="H3072" t="str">
            <v>consulta_externa</v>
          </cell>
          <cell r="J3072" t="str">
            <v>bueno</v>
          </cell>
          <cell r="K3072" t="str">
            <v>defsi</v>
          </cell>
        </row>
        <row r="3073">
          <cell r="B3073" t="b">
            <v>1</v>
          </cell>
          <cell r="E3073" t="str">
            <v>Bosque</v>
          </cell>
          <cell r="H3073" t="str">
            <v>salud_oral</v>
          </cell>
          <cell r="J3073" t="str">
            <v>bueno</v>
          </cell>
          <cell r="K3073" t="str">
            <v>defsi</v>
          </cell>
        </row>
        <row r="3074">
          <cell r="B3074" t="b">
            <v>1</v>
          </cell>
          <cell r="E3074" t="str">
            <v>Bosque</v>
          </cell>
          <cell r="H3074" t="str">
            <v>laboratorio</v>
          </cell>
          <cell r="J3074" t="str">
            <v>bueno</v>
          </cell>
          <cell r="K3074" t="str">
            <v>defsi</v>
          </cell>
        </row>
        <row r="3075">
          <cell r="B3075" t="b">
            <v>1</v>
          </cell>
          <cell r="E3075" t="str">
            <v>Bayunca</v>
          </cell>
          <cell r="H3075" t="str">
            <v>consulta_externa</v>
          </cell>
          <cell r="J3075" t="str">
            <v>bueno</v>
          </cell>
          <cell r="K3075" t="str">
            <v>probsi</v>
          </cell>
        </row>
        <row r="3076">
          <cell r="B3076" t="b">
            <v>1</v>
          </cell>
          <cell r="E3076" t="str">
            <v>Bayunca</v>
          </cell>
          <cell r="H3076" t="str">
            <v>consulta_externa</v>
          </cell>
          <cell r="J3076" t="str">
            <v>bueno</v>
          </cell>
          <cell r="K3076" t="str">
            <v>probsi</v>
          </cell>
        </row>
        <row r="3077">
          <cell r="B3077" t="b">
            <v>1</v>
          </cell>
          <cell r="E3077" t="str">
            <v>Bayunca</v>
          </cell>
          <cell r="H3077" t="str">
            <v>consulta_externa</v>
          </cell>
          <cell r="J3077" t="str">
            <v>bueno</v>
          </cell>
          <cell r="K3077" t="str">
            <v>probsi</v>
          </cell>
        </row>
        <row r="3078">
          <cell r="B3078" t="b">
            <v>1</v>
          </cell>
          <cell r="E3078" t="str">
            <v>Bayunca</v>
          </cell>
          <cell r="H3078" t="str">
            <v>laboratorio</v>
          </cell>
          <cell r="J3078" t="str">
            <v>bueno</v>
          </cell>
          <cell r="K3078" t="str">
            <v>probsi</v>
          </cell>
        </row>
        <row r="3079">
          <cell r="B3079" t="b">
            <v>0</v>
          </cell>
          <cell r="E3079" t="str">
            <v>Bayunca</v>
          </cell>
          <cell r="H3079" t="str">
            <v>consulta_externa</v>
          </cell>
          <cell r="J3079" t="str">
            <v>regular</v>
          </cell>
          <cell r="K3079" t="str">
            <v>probsi</v>
          </cell>
        </row>
        <row r="3080">
          <cell r="B3080" t="b">
            <v>1</v>
          </cell>
          <cell r="E3080" t="str">
            <v>Bayunca</v>
          </cell>
          <cell r="H3080" t="str">
            <v>consulta_externa</v>
          </cell>
          <cell r="J3080" t="str">
            <v>bueno</v>
          </cell>
          <cell r="K3080" t="str">
            <v>probsi</v>
          </cell>
        </row>
        <row r="3081">
          <cell r="B3081" t="b">
            <v>1</v>
          </cell>
          <cell r="E3081" t="str">
            <v>Bayunca</v>
          </cell>
          <cell r="H3081" t="str">
            <v>salud_oral</v>
          </cell>
          <cell r="J3081" t="str">
            <v>bueno</v>
          </cell>
          <cell r="K3081" t="str">
            <v>probsi</v>
          </cell>
        </row>
        <row r="3082">
          <cell r="B3082" t="b">
            <v>1</v>
          </cell>
          <cell r="E3082" t="str">
            <v>Bayunca</v>
          </cell>
          <cell r="H3082" t="str">
            <v>laboratorio</v>
          </cell>
          <cell r="J3082" t="str">
            <v>bueno</v>
          </cell>
          <cell r="K3082" t="str">
            <v>probsi</v>
          </cell>
        </row>
        <row r="3083">
          <cell r="B3083" t="b">
            <v>1</v>
          </cell>
          <cell r="E3083" t="str">
            <v>Bayunca</v>
          </cell>
          <cell r="H3083" t="str">
            <v>consulta_externa</v>
          </cell>
          <cell r="J3083" t="str">
            <v>bueno</v>
          </cell>
          <cell r="K3083" t="str">
            <v>probsi</v>
          </cell>
        </row>
        <row r="3084">
          <cell r="B3084" t="b">
            <v>1</v>
          </cell>
          <cell r="E3084" t="str">
            <v>Bayunca</v>
          </cell>
          <cell r="H3084" t="str">
            <v>laboratorio</v>
          </cell>
          <cell r="J3084" t="str">
            <v>bueno</v>
          </cell>
          <cell r="K3084" t="str">
            <v>probsi</v>
          </cell>
        </row>
        <row r="3085">
          <cell r="B3085" t="b">
            <v>1</v>
          </cell>
          <cell r="E3085" t="str">
            <v>Bayunca</v>
          </cell>
          <cell r="H3085" t="str">
            <v>salud_oral</v>
          </cell>
          <cell r="J3085" t="str">
            <v>bueno</v>
          </cell>
          <cell r="K3085" t="str">
            <v>probsi</v>
          </cell>
        </row>
        <row r="3086">
          <cell r="B3086" t="b">
            <v>1</v>
          </cell>
          <cell r="E3086" t="str">
            <v>Bayunca</v>
          </cell>
          <cell r="H3086" t="str">
            <v>consulta_externa</v>
          </cell>
          <cell r="J3086" t="str">
            <v>bueno</v>
          </cell>
          <cell r="K3086" t="str">
            <v>probsi</v>
          </cell>
        </row>
        <row r="3087">
          <cell r="B3087" t="b">
            <v>1</v>
          </cell>
          <cell r="E3087" t="str">
            <v>Bayunca</v>
          </cell>
          <cell r="H3087" t="str">
            <v>salud_oral</v>
          </cell>
          <cell r="J3087" t="str">
            <v>bueno</v>
          </cell>
          <cell r="K3087" t="str">
            <v>probsi</v>
          </cell>
        </row>
        <row r="3088">
          <cell r="B3088" t="b">
            <v>1</v>
          </cell>
          <cell r="E3088" t="str">
            <v>Bayunca</v>
          </cell>
          <cell r="H3088" t="str">
            <v>laboratorio</v>
          </cell>
          <cell r="J3088" t="str">
            <v>bueno</v>
          </cell>
          <cell r="K3088" t="str">
            <v>probsi</v>
          </cell>
        </row>
        <row r="3089">
          <cell r="B3089" t="b">
            <v>1</v>
          </cell>
          <cell r="E3089" t="str">
            <v>Bayunca</v>
          </cell>
          <cell r="H3089" t="str">
            <v>consulta_externa</v>
          </cell>
          <cell r="J3089" t="str">
            <v>bueno</v>
          </cell>
          <cell r="K3089" t="str">
            <v>probsi</v>
          </cell>
        </row>
        <row r="3090">
          <cell r="B3090" t="b">
            <v>1</v>
          </cell>
          <cell r="E3090" t="str">
            <v>Bayunca</v>
          </cell>
          <cell r="H3090" t="str">
            <v>salud_oral</v>
          </cell>
          <cell r="J3090" t="str">
            <v>bueno</v>
          </cell>
          <cell r="K3090" t="str">
            <v>probsi</v>
          </cell>
        </row>
        <row r="3091">
          <cell r="B3091" t="b">
            <v>0</v>
          </cell>
          <cell r="E3091" t="str">
            <v>Bayunca</v>
          </cell>
          <cell r="H3091" t="str">
            <v>consulta_externa</v>
          </cell>
          <cell r="J3091" t="str">
            <v>regular</v>
          </cell>
          <cell r="K3091" t="str">
            <v>probsi</v>
          </cell>
        </row>
        <row r="3092">
          <cell r="B3092" t="b">
            <v>0</v>
          </cell>
          <cell r="E3092" t="str">
            <v>Bayunca</v>
          </cell>
          <cell r="H3092" t="str">
            <v>consulta_externa</v>
          </cell>
          <cell r="J3092" t="str">
            <v>regular</v>
          </cell>
          <cell r="K3092" t="str">
            <v>probsi</v>
          </cell>
        </row>
        <row r="3093">
          <cell r="B3093" t="b">
            <v>1</v>
          </cell>
          <cell r="E3093" t="str">
            <v>Bayunca</v>
          </cell>
          <cell r="H3093" t="str">
            <v>salud_oral</v>
          </cell>
          <cell r="J3093" t="str">
            <v>bueno</v>
          </cell>
          <cell r="K3093" t="str">
            <v>probsi</v>
          </cell>
        </row>
        <row r="3094">
          <cell r="B3094" t="b">
            <v>1</v>
          </cell>
          <cell r="E3094" t="str">
            <v>Bayunca</v>
          </cell>
          <cell r="H3094" t="str">
            <v>consulta_externa</v>
          </cell>
          <cell r="J3094" t="str">
            <v>bueno</v>
          </cell>
          <cell r="K3094" t="str">
            <v>probsi</v>
          </cell>
        </row>
        <row r="3095">
          <cell r="B3095" t="b">
            <v>1</v>
          </cell>
          <cell r="E3095" t="str">
            <v>Bayunca</v>
          </cell>
          <cell r="H3095" t="str">
            <v>salud_oral</v>
          </cell>
          <cell r="J3095" t="str">
            <v>bueno</v>
          </cell>
          <cell r="K3095" t="str">
            <v>probsi</v>
          </cell>
        </row>
        <row r="3096">
          <cell r="B3096" t="b">
            <v>1</v>
          </cell>
          <cell r="E3096" t="str">
            <v>Bayunca</v>
          </cell>
          <cell r="H3096" t="str">
            <v>laboratorio</v>
          </cell>
          <cell r="J3096" t="str">
            <v>bueno</v>
          </cell>
          <cell r="K3096" t="str">
            <v>probsi</v>
          </cell>
        </row>
        <row r="3097">
          <cell r="B3097" t="b">
            <v>1</v>
          </cell>
          <cell r="E3097" t="str">
            <v>Bayunca</v>
          </cell>
          <cell r="H3097" t="str">
            <v>consulta_externa</v>
          </cell>
          <cell r="J3097" t="str">
            <v>bueno</v>
          </cell>
          <cell r="K3097" t="str">
            <v>probsi</v>
          </cell>
        </row>
        <row r="3098">
          <cell r="B3098" t="b">
            <v>1</v>
          </cell>
          <cell r="E3098" t="str">
            <v>Nuevo Porvenir</v>
          </cell>
          <cell r="H3098" t="str">
            <v>consulta_externa</v>
          </cell>
          <cell r="J3098" t="str">
            <v>bueno</v>
          </cell>
          <cell r="K3098" t="str">
            <v>defsi</v>
          </cell>
        </row>
        <row r="3099">
          <cell r="B3099" t="b">
            <v>1</v>
          </cell>
          <cell r="E3099" t="str">
            <v>Nuevo Porvenir</v>
          </cell>
          <cell r="H3099" t="str">
            <v>salud_oral</v>
          </cell>
          <cell r="J3099" t="str">
            <v>bueno</v>
          </cell>
          <cell r="K3099" t="str">
            <v>defsi</v>
          </cell>
        </row>
        <row r="3100">
          <cell r="B3100" t="b">
            <v>0</v>
          </cell>
          <cell r="E3100" t="str">
            <v>Bayunca</v>
          </cell>
          <cell r="H3100" t="str">
            <v>consulta_externa</v>
          </cell>
          <cell r="J3100" t="str">
            <v>regular</v>
          </cell>
          <cell r="K3100" t="str">
            <v>probsi</v>
          </cell>
        </row>
        <row r="3101">
          <cell r="B3101" t="b">
            <v>1</v>
          </cell>
          <cell r="E3101" t="str">
            <v>Bayunca</v>
          </cell>
          <cell r="H3101" t="str">
            <v>consulta_externa</v>
          </cell>
          <cell r="J3101" t="str">
            <v>bueno</v>
          </cell>
          <cell r="K3101" t="str">
            <v>probsi</v>
          </cell>
        </row>
        <row r="3102">
          <cell r="B3102" t="b">
            <v>1</v>
          </cell>
          <cell r="E3102" t="str">
            <v>Bayunca</v>
          </cell>
          <cell r="H3102" t="str">
            <v>laboratorio</v>
          </cell>
          <cell r="J3102" t="str">
            <v>bueno</v>
          </cell>
          <cell r="K3102" t="str">
            <v>probsi</v>
          </cell>
        </row>
        <row r="3103">
          <cell r="B3103" t="b">
            <v>0</v>
          </cell>
          <cell r="E3103" t="str">
            <v>Bayunca</v>
          </cell>
          <cell r="H3103" t="str">
            <v>pediatria</v>
          </cell>
          <cell r="J3103" t="str">
            <v>regular</v>
          </cell>
          <cell r="K3103" t="str">
            <v>probsi</v>
          </cell>
        </row>
        <row r="3104">
          <cell r="B3104" t="b">
            <v>1</v>
          </cell>
          <cell r="E3104" t="str">
            <v>Bayunca</v>
          </cell>
          <cell r="H3104" t="str">
            <v>pediatria</v>
          </cell>
          <cell r="J3104" t="str">
            <v>bueno</v>
          </cell>
          <cell r="K3104" t="str">
            <v>probsi</v>
          </cell>
        </row>
        <row r="3105">
          <cell r="B3105" t="b">
            <v>0</v>
          </cell>
          <cell r="E3105" t="str">
            <v>Bayunca</v>
          </cell>
          <cell r="H3105" t="str">
            <v>salud_oral</v>
          </cell>
          <cell r="J3105" t="str">
            <v>regular</v>
          </cell>
          <cell r="K3105" t="str">
            <v>probsi</v>
          </cell>
        </row>
        <row r="3106">
          <cell r="B3106" t="b">
            <v>0</v>
          </cell>
          <cell r="E3106" t="str">
            <v>Bayunca</v>
          </cell>
          <cell r="H3106" t="str">
            <v>laboratorio</v>
          </cell>
          <cell r="J3106" t="str">
            <v>regular</v>
          </cell>
          <cell r="K3106" t="str">
            <v>probsi</v>
          </cell>
        </row>
        <row r="3107">
          <cell r="B3107" t="b">
            <v>1</v>
          </cell>
          <cell r="E3107" t="str">
            <v>San Pedro y Libertad</v>
          </cell>
          <cell r="H3107" t="str">
            <v>consulta_externa</v>
          </cell>
          <cell r="J3107" t="str">
            <v>bueno</v>
          </cell>
          <cell r="K3107" t="str">
            <v>probsi</v>
          </cell>
        </row>
        <row r="3108">
          <cell r="B3108" t="b">
            <v>1</v>
          </cell>
          <cell r="E3108" t="str">
            <v>San Pedro y Libertad</v>
          </cell>
          <cell r="H3108" t="str">
            <v>consulta_externa</v>
          </cell>
          <cell r="J3108" t="str">
            <v>bueno</v>
          </cell>
          <cell r="K3108" t="str">
            <v>probsi</v>
          </cell>
        </row>
        <row r="3109">
          <cell r="B3109" t="b">
            <v>1</v>
          </cell>
          <cell r="E3109" t="str">
            <v>San Pedro y Libertad</v>
          </cell>
          <cell r="H3109" t="str">
            <v>consulta_externa</v>
          </cell>
          <cell r="J3109" t="str">
            <v>bueno</v>
          </cell>
          <cell r="K3109" t="str">
            <v>probsi</v>
          </cell>
        </row>
        <row r="3110">
          <cell r="B3110" t="b">
            <v>1</v>
          </cell>
          <cell r="E3110" t="str">
            <v>San Pedro y Libertad</v>
          </cell>
          <cell r="H3110" t="str">
            <v>consulta_externa</v>
          </cell>
          <cell r="J3110" t="str">
            <v>bueno</v>
          </cell>
          <cell r="K3110" t="str">
            <v>probsi</v>
          </cell>
        </row>
        <row r="3111">
          <cell r="B3111" t="b">
            <v>1</v>
          </cell>
          <cell r="E3111" t="str">
            <v>San Pedro y Libertad</v>
          </cell>
          <cell r="H3111" t="str">
            <v>laboratorio</v>
          </cell>
          <cell r="J3111" t="str">
            <v>bueno</v>
          </cell>
          <cell r="K3111" t="str">
            <v>probsi</v>
          </cell>
        </row>
        <row r="3112">
          <cell r="B3112" t="b">
            <v>1</v>
          </cell>
          <cell r="E3112" t="str">
            <v>San Pedro y Libertad</v>
          </cell>
          <cell r="H3112" t="str">
            <v>laboratorio</v>
          </cell>
          <cell r="J3112" t="str">
            <v>bueno</v>
          </cell>
          <cell r="K3112" t="str">
            <v>probsi</v>
          </cell>
        </row>
        <row r="3113">
          <cell r="B3113" t="b">
            <v>1</v>
          </cell>
          <cell r="E3113" t="str">
            <v>San Pedro y Libertad</v>
          </cell>
          <cell r="H3113" t="str">
            <v>laboratorio</v>
          </cell>
          <cell r="J3113" t="str">
            <v>bueno</v>
          </cell>
          <cell r="K3113" t="str">
            <v>probsi</v>
          </cell>
        </row>
        <row r="3114">
          <cell r="B3114" t="b">
            <v>1</v>
          </cell>
          <cell r="E3114" t="str">
            <v>San Pedro y Libertad</v>
          </cell>
          <cell r="H3114" t="str">
            <v>salud_oral</v>
          </cell>
          <cell r="J3114" t="str">
            <v>bueno</v>
          </cell>
          <cell r="K3114" t="str">
            <v>probsi</v>
          </cell>
        </row>
        <row r="3115">
          <cell r="B3115" t="b">
            <v>1</v>
          </cell>
          <cell r="E3115" t="str">
            <v>San Pedro y Libertad</v>
          </cell>
          <cell r="H3115" t="str">
            <v>salud_oral</v>
          </cell>
          <cell r="J3115" t="str">
            <v>bueno</v>
          </cell>
          <cell r="K3115" t="str">
            <v>probsi</v>
          </cell>
        </row>
        <row r="3116">
          <cell r="B3116" t="b">
            <v>1</v>
          </cell>
          <cell r="E3116" t="str">
            <v>Bayunca</v>
          </cell>
          <cell r="H3116" t="str">
            <v>consulta_externa</v>
          </cell>
          <cell r="J3116" t="str">
            <v>bueno</v>
          </cell>
          <cell r="K3116" t="str">
            <v>probsi</v>
          </cell>
        </row>
        <row r="3117">
          <cell r="B3117" t="b">
            <v>1</v>
          </cell>
          <cell r="E3117" t="str">
            <v>Bayunca</v>
          </cell>
          <cell r="H3117" t="str">
            <v>salud_oral</v>
          </cell>
          <cell r="J3117" t="str">
            <v>bueno</v>
          </cell>
          <cell r="K3117" t="str">
            <v>probsi</v>
          </cell>
        </row>
        <row r="3118">
          <cell r="B3118" t="b">
            <v>1</v>
          </cell>
          <cell r="E3118" t="str">
            <v>Bayunca</v>
          </cell>
          <cell r="H3118" t="str">
            <v>salud_oral</v>
          </cell>
          <cell r="J3118" t="str">
            <v>bueno</v>
          </cell>
          <cell r="K3118" t="str">
            <v>probsi</v>
          </cell>
        </row>
        <row r="3119">
          <cell r="B3119" t="b">
            <v>0</v>
          </cell>
          <cell r="E3119" t="str">
            <v>Bayunca</v>
          </cell>
          <cell r="H3119" t="str">
            <v>urgencia</v>
          </cell>
          <cell r="J3119" t="str">
            <v>malo</v>
          </cell>
          <cell r="K3119" t="str">
            <v>probno</v>
          </cell>
        </row>
        <row r="3120">
          <cell r="B3120" t="b">
            <v>1</v>
          </cell>
          <cell r="E3120" t="str">
            <v>Nuevo Porvenir</v>
          </cell>
          <cell r="H3120" t="str">
            <v>consulta_externa</v>
          </cell>
          <cell r="J3120" t="str">
            <v>bueno</v>
          </cell>
          <cell r="K3120" t="str">
            <v>defsi</v>
          </cell>
        </row>
        <row r="3121">
          <cell r="B3121" t="b">
            <v>1</v>
          </cell>
          <cell r="E3121" t="str">
            <v>Nuevo Porvenir</v>
          </cell>
          <cell r="H3121" t="str">
            <v>consulta_externa</v>
          </cell>
          <cell r="J3121" t="str">
            <v>bueno</v>
          </cell>
          <cell r="K3121" t="str">
            <v>defsi</v>
          </cell>
        </row>
        <row r="3122">
          <cell r="B3122" t="b">
            <v>1</v>
          </cell>
          <cell r="E3122" t="str">
            <v>Nuevo Porvenir</v>
          </cell>
          <cell r="H3122" t="str">
            <v>consulta_externa</v>
          </cell>
          <cell r="J3122" t="str">
            <v>bueno</v>
          </cell>
          <cell r="K3122" t="str">
            <v>defsi</v>
          </cell>
        </row>
        <row r="3123">
          <cell r="B3123" t="b">
            <v>1</v>
          </cell>
          <cell r="E3123" t="str">
            <v>Nuevo Porvenir</v>
          </cell>
          <cell r="H3123" t="str">
            <v>salud_oral</v>
          </cell>
          <cell r="J3123" t="str">
            <v>bueno</v>
          </cell>
          <cell r="K3123" t="str">
            <v>defsi</v>
          </cell>
        </row>
        <row r="3124">
          <cell r="B3124" t="b">
            <v>1</v>
          </cell>
          <cell r="E3124" t="str">
            <v>Nuevo Porvenir</v>
          </cell>
          <cell r="H3124" t="str">
            <v>consulta_externa</v>
          </cell>
          <cell r="J3124" t="str">
            <v>bueno</v>
          </cell>
          <cell r="K3124" t="str">
            <v>defsi</v>
          </cell>
        </row>
        <row r="3125">
          <cell r="B3125" t="b">
            <v>1</v>
          </cell>
          <cell r="E3125" t="str">
            <v>San Pedro y Libertad</v>
          </cell>
          <cell r="H3125" t="str">
            <v>consulta_externa</v>
          </cell>
          <cell r="J3125" t="str">
            <v>bueno</v>
          </cell>
          <cell r="K3125" t="str">
            <v>probsi</v>
          </cell>
        </row>
        <row r="3126">
          <cell r="B3126" t="b">
            <v>1</v>
          </cell>
          <cell r="E3126" t="str">
            <v>San Pedro y Libertad</v>
          </cell>
          <cell r="H3126" t="str">
            <v>consulta_externa</v>
          </cell>
          <cell r="J3126" t="str">
            <v>bueno</v>
          </cell>
          <cell r="K3126" t="str">
            <v>probsi</v>
          </cell>
        </row>
        <row r="3127">
          <cell r="B3127" t="b">
            <v>1</v>
          </cell>
          <cell r="E3127" t="str">
            <v>San Pedro y Libertad</v>
          </cell>
          <cell r="H3127" t="str">
            <v>consulta_externa</v>
          </cell>
          <cell r="J3127" t="str">
            <v>bueno</v>
          </cell>
          <cell r="K3127" t="str">
            <v>probsi</v>
          </cell>
        </row>
        <row r="3128">
          <cell r="B3128" t="b">
            <v>1</v>
          </cell>
          <cell r="E3128" t="str">
            <v>San Pedro y Libertad</v>
          </cell>
          <cell r="H3128" t="str">
            <v>laboratorio</v>
          </cell>
          <cell r="J3128" t="str">
            <v>bueno</v>
          </cell>
          <cell r="K3128" t="str">
            <v>probsi</v>
          </cell>
        </row>
        <row r="3129">
          <cell r="B3129" t="b">
            <v>1</v>
          </cell>
          <cell r="E3129" t="str">
            <v>San Pedro y Libertad</v>
          </cell>
          <cell r="H3129" t="str">
            <v>laboratorio</v>
          </cell>
          <cell r="J3129" t="str">
            <v>bueno</v>
          </cell>
          <cell r="K3129" t="str">
            <v>probsi</v>
          </cell>
        </row>
        <row r="3130">
          <cell r="B3130" t="b">
            <v>1</v>
          </cell>
          <cell r="E3130" t="str">
            <v>San Pedro y Libertad</v>
          </cell>
          <cell r="H3130" t="str">
            <v>laboratorio</v>
          </cell>
          <cell r="J3130" t="str">
            <v>bueno</v>
          </cell>
          <cell r="K3130" t="str">
            <v>probsi</v>
          </cell>
        </row>
        <row r="3131">
          <cell r="B3131" t="b">
            <v>1</v>
          </cell>
          <cell r="E3131" t="str">
            <v>San Pedro y Libertad</v>
          </cell>
          <cell r="H3131" t="str">
            <v>laboratorio</v>
          </cell>
          <cell r="J3131" t="str">
            <v>bueno</v>
          </cell>
          <cell r="K3131" t="str">
            <v>probsi</v>
          </cell>
        </row>
        <row r="3132">
          <cell r="B3132" t="b">
            <v>0</v>
          </cell>
          <cell r="E3132" t="str">
            <v>Bayunca</v>
          </cell>
          <cell r="H3132" t="str">
            <v>urgencia</v>
          </cell>
          <cell r="J3132" t="str">
            <v>regular</v>
          </cell>
          <cell r="K3132" t="str">
            <v>probsi</v>
          </cell>
        </row>
        <row r="3133">
          <cell r="B3133" t="b">
            <v>1</v>
          </cell>
          <cell r="E3133" t="str">
            <v>San Pedro y Libertad</v>
          </cell>
          <cell r="H3133" t="str">
            <v>laboratorio</v>
          </cell>
          <cell r="J3133" t="str">
            <v>bueno</v>
          </cell>
          <cell r="K3133" t="str">
            <v>probsi</v>
          </cell>
        </row>
        <row r="3134">
          <cell r="B3134" t="b">
            <v>0</v>
          </cell>
          <cell r="E3134" t="str">
            <v>Bayunca</v>
          </cell>
          <cell r="H3134" t="str">
            <v>urgencia</v>
          </cell>
          <cell r="J3134" t="str">
            <v>regular</v>
          </cell>
          <cell r="K3134" t="str">
            <v>probsi</v>
          </cell>
        </row>
        <row r="3135">
          <cell r="B3135" t="b">
            <v>1</v>
          </cell>
          <cell r="E3135" t="str">
            <v>San Pedro y Libertad</v>
          </cell>
          <cell r="H3135" t="str">
            <v>consulta_externa</v>
          </cell>
          <cell r="J3135" t="str">
            <v>bueno</v>
          </cell>
          <cell r="K3135" t="str">
            <v>probsi</v>
          </cell>
        </row>
        <row r="3136">
          <cell r="B3136" t="b">
            <v>1</v>
          </cell>
          <cell r="E3136" t="str">
            <v>San Pedro y Libertad</v>
          </cell>
          <cell r="H3136" t="str">
            <v>consulta_externa</v>
          </cell>
          <cell r="J3136" t="str">
            <v>bueno</v>
          </cell>
          <cell r="K3136" t="str">
            <v>probsi</v>
          </cell>
        </row>
        <row r="3137">
          <cell r="B3137" t="b">
            <v>1</v>
          </cell>
          <cell r="E3137" t="str">
            <v>San Pedro y Libertad</v>
          </cell>
          <cell r="H3137" t="str">
            <v>consulta_externa</v>
          </cell>
          <cell r="J3137" t="str">
            <v>bueno</v>
          </cell>
          <cell r="K3137" t="str">
            <v>probsi</v>
          </cell>
        </row>
        <row r="3138">
          <cell r="B3138" t="b">
            <v>0</v>
          </cell>
          <cell r="E3138" t="str">
            <v>Bayunca</v>
          </cell>
          <cell r="H3138" t="str">
            <v>urgencia</v>
          </cell>
          <cell r="J3138" t="str">
            <v>regular</v>
          </cell>
          <cell r="K3138" t="str">
            <v>probsi</v>
          </cell>
        </row>
        <row r="3139">
          <cell r="B3139" t="b">
            <v>0</v>
          </cell>
          <cell r="E3139" t="str">
            <v>Bayunca</v>
          </cell>
          <cell r="H3139" t="str">
            <v>urgencia</v>
          </cell>
          <cell r="J3139" t="str">
            <v>regular</v>
          </cell>
          <cell r="K3139" t="str">
            <v>probsi</v>
          </cell>
        </row>
        <row r="3140">
          <cell r="B3140" t="b">
            <v>1</v>
          </cell>
          <cell r="E3140" t="str">
            <v>San Pedro y Libertad</v>
          </cell>
          <cell r="H3140" t="str">
            <v>consulta_externa</v>
          </cell>
          <cell r="J3140" t="str">
            <v>bueno</v>
          </cell>
          <cell r="K3140" t="str">
            <v>probsi</v>
          </cell>
        </row>
        <row r="3141">
          <cell r="B3141" t="b">
            <v>1</v>
          </cell>
          <cell r="E3141" t="str">
            <v>San Pedro y Libertad</v>
          </cell>
          <cell r="H3141" t="str">
            <v>consulta_externa</v>
          </cell>
          <cell r="J3141" t="str">
            <v>bueno</v>
          </cell>
          <cell r="K3141" t="str">
            <v>probsi</v>
          </cell>
        </row>
        <row r="3142">
          <cell r="B3142" t="b">
            <v>1</v>
          </cell>
          <cell r="E3142" t="str">
            <v>Bayunca</v>
          </cell>
          <cell r="H3142" t="str">
            <v>urgencia</v>
          </cell>
          <cell r="J3142" t="str">
            <v>bueno</v>
          </cell>
          <cell r="K3142" t="str">
            <v>probsi</v>
          </cell>
        </row>
        <row r="3143">
          <cell r="B3143" t="b">
            <v>1</v>
          </cell>
          <cell r="E3143" t="str">
            <v>Bayunca</v>
          </cell>
          <cell r="H3143" t="str">
            <v>urgencia</v>
          </cell>
          <cell r="J3143" t="str">
            <v>bueno</v>
          </cell>
          <cell r="K3143" t="str">
            <v>probsi</v>
          </cell>
        </row>
        <row r="3144">
          <cell r="B3144" t="b">
            <v>1</v>
          </cell>
          <cell r="E3144" t="str">
            <v>San Pedro y Libertad</v>
          </cell>
          <cell r="H3144" t="str">
            <v>consulta_externa</v>
          </cell>
          <cell r="J3144" t="str">
            <v>bueno</v>
          </cell>
          <cell r="K3144" t="str">
            <v>probsi</v>
          </cell>
        </row>
        <row r="3145">
          <cell r="B3145" t="b">
            <v>1</v>
          </cell>
          <cell r="E3145" t="str">
            <v>San Pedro y Libertad</v>
          </cell>
          <cell r="H3145" t="str">
            <v>consulta_externa</v>
          </cell>
          <cell r="J3145" t="str">
            <v>bueno</v>
          </cell>
          <cell r="K3145" t="str">
            <v>probsi</v>
          </cell>
        </row>
        <row r="3146">
          <cell r="B3146" t="b">
            <v>1</v>
          </cell>
          <cell r="E3146" t="str">
            <v>San Pedro y Libertad</v>
          </cell>
          <cell r="H3146" t="str">
            <v>consulta_externa</v>
          </cell>
          <cell r="J3146" t="str">
            <v>bueno</v>
          </cell>
          <cell r="K3146" t="str">
            <v>probsi</v>
          </cell>
        </row>
        <row r="3147">
          <cell r="B3147" t="b">
            <v>0</v>
          </cell>
          <cell r="E3147" t="str">
            <v>Bayunca</v>
          </cell>
          <cell r="H3147" t="str">
            <v>salud_oral</v>
          </cell>
          <cell r="J3147" t="str">
            <v>regular</v>
          </cell>
          <cell r="K3147" t="str">
            <v>probsi</v>
          </cell>
        </row>
        <row r="3148">
          <cell r="B3148" t="b">
            <v>1</v>
          </cell>
          <cell r="E3148" t="str">
            <v>Bayunca</v>
          </cell>
          <cell r="H3148" t="str">
            <v>urgencia</v>
          </cell>
          <cell r="J3148" t="str">
            <v>bueno</v>
          </cell>
          <cell r="K3148" t="str">
            <v>probsi</v>
          </cell>
        </row>
        <row r="3149">
          <cell r="B3149" t="b">
            <v>0</v>
          </cell>
          <cell r="E3149" t="str">
            <v>Bayunca</v>
          </cell>
          <cell r="H3149" t="str">
            <v>laboratorio</v>
          </cell>
          <cell r="J3149" t="str">
            <v>regular</v>
          </cell>
          <cell r="K3149" t="str">
            <v>probsi</v>
          </cell>
        </row>
        <row r="3150">
          <cell r="B3150" t="b">
            <v>1</v>
          </cell>
          <cell r="E3150" t="str">
            <v>Bayunca</v>
          </cell>
          <cell r="H3150" t="str">
            <v>salud_oral</v>
          </cell>
          <cell r="J3150" t="str">
            <v>bueno</v>
          </cell>
          <cell r="K3150" t="str">
            <v>probsi</v>
          </cell>
        </row>
        <row r="3151">
          <cell r="B3151" t="b">
            <v>1</v>
          </cell>
          <cell r="E3151" t="str">
            <v>Bayunca</v>
          </cell>
          <cell r="H3151" t="str">
            <v>laboratorio</v>
          </cell>
          <cell r="J3151" t="str">
            <v>bueno</v>
          </cell>
          <cell r="K3151" t="str">
            <v>probsi</v>
          </cell>
        </row>
        <row r="3152">
          <cell r="B3152" t="b">
            <v>1</v>
          </cell>
          <cell r="E3152" t="str">
            <v>San Pedro y Libertad</v>
          </cell>
          <cell r="H3152" t="str">
            <v>consulta_externa</v>
          </cell>
          <cell r="J3152" t="str">
            <v>bueno</v>
          </cell>
          <cell r="K3152" t="str">
            <v>probsi</v>
          </cell>
        </row>
        <row r="3153">
          <cell r="B3153" t="b">
            <v>1</v>
          </cell>
          <cell r="E3153" t="str">
            <v>San Pedro y Libertad</v>
          </cell>
          <cell r="H3153" t="str">
            <v>consulta_externa</v>
          </cell>
          <cell r="J3153" t="str">
            <v>bueno</v>
          </cell>
          <cell r="K3153" t="str">
            <v>probsi</v>
          </cell>
        </row>
        <row r="3154">
          <cell r="B3154" t="b">
            <v>1</v>
          </cell>
          <cell r="E3154" t="str">
            <v>San Pedro y Libertad</v>
          </cell>
          <cell r="H3154" t="str">
            <v>laboratorio</v>
          </cell>
          <cell r="J3154" t="str">
            <v>bueno</v>
          </cell>
          <cell r="K3154" t="str">
            <v>probsi</v>
          </cell>
        </row>
        <row r="3155">
          <cell r="B3155" t="b">
            <v>1</v>
          </cell>
          <cell r="E3155" t="str">
            <v>San Pedro y Libertad</v>
          </cell>
          <cell r="H3155" t="str">
            <v>laboratorio</v>
          </cell>
          <cell r="J3155" t="str">
            <v>bueno</v>
          </cell>
          <cell r="K3155" t="str">
            <v>probsi</v>
          </cell>
        </row>
        <row r="3156">
          <cell r="B3156" t="b">
            <v>1</v>
          </cell>
          <cell r="E3156" t="str">
            <v>San Pedro y Libertad</v>
          </cell>
          <cell r="H3156" t="str">
            <v>laboratorio</v>
          </cell>
          <cell r="J3156" t="str">
            <v>bueno</v>
          </cell>
          <cell r="K3156" t="str">
            <v>probsi</v>
          </cell>
        </row>
        <row r="3157">
          <cell r="B3157" t="b">
            <v>1</v>
          </cell>
          <cell r="E3157" t="str">
            <v>San Pedro y Libertad</v>
          </cell>
          <cell r="H3157" t="str">
            <v>salud_oral</v>
          </cell>
          <cell r="J3157" t="str">
            <v>bueno</v>
          </cell>
          <cell r="K3157" t="str">
            <v>probsi</v>
          </cell>
        </row>
        <row r="3158">
          <cell r="B3158" t="b">
            <v>1</v>
          </cell>
          <cell r="E3158" t="str">
            <v>San Pedro y Libertad</v>
          </cell>
          <cell r="H3158" t="str">
            <v>salud_oral</v>
          </cell>
          <cell r="J3158" t="str">
            <v>bueno</v>
          </cell>
          <cell r="K3158" t="str">
            <v>probsi</v>
          </cell>
        </row>
        <row r="3159">
          <cell r="B3159" t="b">
            <v>1</v>
          </cell>
          <cell r="E3159" t="str">
            <v>San Pedro y Libertad</v>
          </cell>
          <cell r="H3159" t="str">
            <v>salud_oral</v>
          </cell>
          <cell r="J3159" t="str">
            <v>bueno</v>
          </cell>
          <cell r="K3159" t="str">
            <v>probsi</v>
          </cell>
        </row>
        <row r="3160">
          <cell r="B3160" t="b">
            <v>1</v>
          </cell>
          <cell r="E3160" t="str">
            <v>San Pedro y Libertad</v>
          </cell>
          <cell r="H3160" t="str">
            <v>salud_oral</v>
          </cell>
          <cell r="J3160" t="str">
            <v>bueno</v>
          </cell>
          <cell r="K3160" t="str">
            <v>probsi</v>
          </cell>
        </row>
        <row r="3161">
          <cell r="B3161" t="b">
            <v>1</v>
          </cell>
          <cell r="E3161" t="str">
            <v>San Pedro y Libertad</v>
          </cell>
          <cell r="H3161" t="str">
            <v>salud_oral</v>
          </cell>
          <cell r="J3161" t="str">
            <v>bueno</v>
          </cell>
          <cell r="K3161" t="str">
            <v>probsi</v>
          </cell>
        </row>
        <row r="3162">
          <cell r="B3162" t="b">
            <v>1</v>
          </cell>
          <cell r="E3162" t="str">
            <v>San Pedro y Libertad</v>
          </cell>
          <cell r="H3162" t="str">
            <v>salud_oral</v>
          </cell>
          <cell r="J3162" t="str">
            <v>bueno</v>
          </cell>
          <cell r="K3162" t="str">
            <v>probsi</v>
          </cell>
        </row>
        <row r="3163">
          <cell r="B3163" t="b">
            <v>1</v>
          </cell>
          <cell r="E3163" t="str">
            <v>San Pedro y Libertad</v>
          </cell>
          <cell r="H3163" t="str">
            <v>salud_oral</v>
          </cell>
          <cell r="J3163" t="str">
            <v>bueno</v>
          </cell>
          <cell r="K3163" t="str">
            <v>probsi</v>
          </cell>
        </row>
        <row r="3164">
          <cell r="B3164" t="b">
            <v>1</v>
          </cell>
          <cell r="E3164" t="str">
            <v>San Pedro y Libertad</v>
          </cell>
          <cell r="H3164" t="str">
            <v>salud_oral</v>
          </cell>
          <cell r="J3164" t="str">
            <v>bueno</v>
          </cell>
          <cell r="K3164" t="str">
            <v>probsi</v>
          </cell>
        </row>
        <row r="3165">
          <cell r="B3165" t="b">
            <v>1</v>
          </cell>
          <cell r="E3165" t="str">
            <v>San Pedro y Libertad</v>
          </cell>
          <cell r="H3165" t="str">
            <v>salud_oral</v>
          </cell>
          <cell r="J3165" t="str">
            <v>bueno</v>
          </cell>
          <cell r="K3165" t="str">
            <v>probsi</v>
          </cell>
        </row>
        <row r="3166">
          <cell r="B3166" t="b">
            <v>1</v>
          </cell>
          <cell r="E3166" t="str">
            <v>San Pedro y Libertad</v>
          </cell>
          <cell r="H3166" t="str">
            <v>consulta_externa</v>
          </cell>
          <cell r="J3166" t="str">
            <v>bueno</v>
          </cell>
          <cell r="K3166" t="str">
            <v>probsi</v>
          </cell>
        </row>
        <row r="3167">
          <cell r="B3167" t="b">
            <v>1</v>
          </cell>
          <cell r="E3167" t="str">
            <v>San Pedro y Libertad</v>
          </cell>
          <cell r="H3167" t="str">
            <v>consulta_externa</v>
          </cell>
          <cell r="J3167" t="str">
            <v>bueno</v>
          </cell>
          <cell r="K3167" t="str">
            <v>probsi</v>
          </cell>
        </row>
        <row r="3168">
          <cell r="B3168" t="b">
            <v>1</v>
          </cell>
          <cell r="E3168" t="str">
            <v>San Pedro y Libertad</v>
          </cell>
          <cell r="H3168" t="str">
            <v>laboratorio</v>
          </cell>
          <cell r="J3168" t="str">
            <v>bueno</v>
          </cell>
          <cell r="K3168" t="str">
            <v>probsi</v>
          </cell>
        </row>
        <row r="3169">
          <cell r="B3169" t="b">
            <v>1</v>
          </cell>
          <cell r="E3169" t="str">
            <v>San Pedro y Libertad</v>
          </cell>
          <cell r="H3169" t="str">
            <v>laboratorio</v>
          </cell>
          <cell r="J3169" t="str">
            <v>bueno</v>
          </cell>
          <cell r="K3169" t="str">
            <v>probsi</v>
          </cell>
        </row>
        <row r="3170">
          <cell r="B3170" t="b">
            <v>1</v>
          </cell>
          <cell r="E3170" t="str">
            <v>San Pedro y Libertad</v>
          </cell>
          <cell r="H3170" t="str">
            <v>laboratorio</v>
          </cell>
          <cell r="J3170" t="str">
            <v>bueno</v>
          </cell>
          <cell r="K3170" t="str">
            <v>probsi</v>
          </cell>
        </row>
        <row r="3171">
          <cell r="B3171" t="b">
            <v>1</v>
          </cell>
          <cell r="E3171" t="str">
            <v>San Pedro y Libertad</v>
          </cell>
          <cell r="H3171" t="str">
            <v>laboratorio</v>
          </cell>
          <cell r="J3171" t="str">
            <v>bueno</v>
          </cell>
          <cell r="K3171" t="str">
            <v>probsi</v>
          </cell>
        </row>
        <row r="3172">
          <cell r="B3172" t="b">
            <v>1</v>
          </cell>
          <cell r="E3172" t="str">
            <v>San Pedro y Libertad</v>
          </cell>
          <cell r="H3172" t="str">
            <v>laboratorio</v>
          </cell>
          <cell r="J3172" t="str">
            <v>bueno</v>
          </cell>
          <cell r="K3172" t="str">
            <v>probsi</v>
          </cell>
        </row>
        <row r="3173">
          <cell r="B3173" t="b">
            <v>1</v>
          </cell>
          <cell r="E3173" t="str">
            <v>Bayunca</v>
          </cell>
          <cell r="H3173" t="str">
            <v>urgencia</v>
          </cell>
          <cell r="J3173" t="str">
            <v>bueno</v>
          </cell>
          <cell r="K3173" t="str">
            <v>probsi</v>
          </cell>
        </row>
        <row r="3174">
          <cell r="B3174" t="b">
            <v>1</v>
          </cell>
          <cell r="E3174" t="str">
            <v>San Pedro y Libertad</v>
          </cell>
          <cell r="H3174" t="str">
            <v>laboratorio</v>
          </cell>
          <cell r="J3174" t="str">
            <v>bueno</v>
          </cell>
          <cell r="K3174" t="str">
            <v>probsi</v>
          </cell>
        </row>
        <row r="3175">
          <cell r="B3175" t="b">
            <v>1</v>
          </cell>
          <cell r="E3175" t="str">
            <v>San Pedro y Libertad</v>
          </cell>
          <cell r="H3175" t="str">
            <v>laboratorio</v>
          </cell>
          <cell r="J3175" t="str">
            <v>bueno</v>
          </cell>
          <cell r="K3175" t="str">
            <v>probsi</v>
          </cell>
        </row>
        <row r="3176">
          <cell r="B3176" t="b">
            <v>1</v>
          </cell>
          <cell r="E3176" t="str">
            <v>San Pedro y Libertad</v>
          </cell>
          <cell r="H3176" t="str">
            <v>laboratorio</v>
          </cell>
          <cell r="J3176" t="str">
            <v>bueno</v>
          </cell>
          <cell r="K3176" t="str">
            <v>probsi</v>
          </cell>
        </row>
        <row r="3177">
          <cell r="B3177" t="b">
            <v>1</v>
          </cell>
          <cell r="E3177" t="str">
            <v>San Pedro y Libertad</v>
          </cell>
          <cell r="H3177" t="str">
            <v>consulta_externa</v>
          </cell>
          <cell r="J3177" t="str">
            <v>bueno</v>
          </cell>
          <cell r="K3177" t="str">
            <v>probsi</v>
          </cell>
        </row>
        <row r="3178">
          <cell r="B3178" t="b">
            <v>1</v>
          </cell>
          <cell r="E3178" t="str">
            <v>San Pedro y Libertad</v>
          </cell>
          <cell r="H3178" t="str">
            <v>consulta_externa</v>
          </cell>
          <cell r="J3178" t="str">
            <v>bueno</v>
          </cell>
          <cell r="K3178" t="str">
            <v>probsi</v>
          </cell>
        </row>
        <row r="3179">
          <cell r="B3179" t="b">
            <v>1</v>
          </cell>
          <cell r="E3179" t="str">
            <v>San Pedro y Libertad</v>
          </cell>
          <cell r="H3179" t="str">
            <v>consulta_externa</v>
          </cell>
          <cell r="J3179" t="str">
            <v>bueno</v>
          </cell>
          <cell r="K3179" t="str">
            <v>probsi</v>
          </cell>
        </row>
        <row r="3180">
          <cell r="B3180" t="b">
            <v>1</v>
          </cell>
          <cell r="E3180" t="str">
            <v>Los Cerros</v>
          </cell>
          <cell r="H3180" t="str">
            <v>salud_oral</v>
          </cell>
          <cell r="J3180" t="str">
            <v>bueno</v>
          </cell>
          <cell r="K3180" t="str">
            <v>defsi</v>
          </cell>
        </row>
        <row r="3181">
          <cell r="B3181" t="b">
            <v>1</v>
          </cell>
          <cell r="E3181" t="str">
            <v>Los Cerros</v>
          </cell>
          <cell r="H3181" t="str">
            <v>consulta_externa</v>
          </cell>
          <cell r="J3181" t="str">
            <v>bueno</v>
          </cell>
          <cell r="K3181" t="str">
            <v>defsi</v>
          </cell>
        </row>
        <row r="3182">
          <cell r="B3182" t="b">
            <v>1</v>
          </cell>
          <cell r="E3182" t="str">
            <v>Los Cerros</v>
          </cell>
          <cell r="H3182" t="str">
            <v>laboratorio</v>
          </cell>
          <cell r="J3182" t="str">
            <v>bueno</v>
          </cell>
          <cell r="K3182" t="str">
            <v>defsi</v>
          </cell>
        </row>
        <row r="3183">
          <cell r="B3183" t="b">
            <v>1</v>
          </cell>
          <cell r="E3183" t="str">
            <v>Los Cerros</v>
          </cell>
          <cell r="H3183" t="str">
            <v>ecografias</v>
          </cell>
          <cell r="J3183" t="str">
            <v>bueno</v>
          </cell>
          <cell r="K3183" t="str">
            <v>defsi</v>
          </cell>
        </row>
        <row r="3184">
          <cell r="B3184" t="b">
            <v>1</v>
          </cell>
          <cell r="E3184" t="str">
            <v>Pontezuela</v>
          </cell>
          <cell r="H3184" t="str">
            <v>consulta_externa</v>
          </cell>
          <cell r="J3184" t="str">
            <v>bueno</v>
          </cell>
          <cell r="K3184" t="str">
            <v>probsi</v>
          </cell>
        </row>
        <row r="3185">
          <cell r="B3185" t="b">
            <v>1</v>
          </cell>
          <cell r="E3185" t="str">
            <v>Los Cerros</v>
          </cell>
          <cell r="H3185" t="str">
            <v>ginecologia</v>
          </cell>
          <cell r="J3185" t="str">
            <v>bueno</v>
          </cell>
          <cell r="K3185" t="str">
            <v>defsi</v>
          </cell>
        </row>
        <row r="3186">
          <cell r="B3186" t="b">
            <v>1</v>
          </cell>
          <cell r="E3186" t="str">
            <v>Los Cerros</v>
          </cell>
          <cell r="H3186" t="str">
            <v>pediatria</v>
          </cell>
          <cell r="J3186" t="str">
            <v>bueno</v>
          </cell>
          <cell r="K3186" t="str">
            <v>defsi</v>
          </cell>
        </row>
        <row r="3187">
          <cell r="B3187" t="b">
            <v>1</v>
          </cell>
          <cell r="E3187" t="str">
            <v>Pontezuela</v>
          </cell>
          <cell r="H3187" t="str">
            <v>consulta_externa</v>
          </cell>
          <cell r="J3187" t="str">
            <v>bueno</v>
          </cell>
          <cell r="K3187" t="str">
            <v>probsi</v>
          </cell>
        </row>
        <row r="3188">
          <cell r="B3188" t="b">
            <v>1</v>
          </cell>
          <cell r="E3188" t="str">
            <v>Los Cerros</v>
          </cell>
          <cell r="H3188" t="str">
            <v>medicina_interna</v>
          </cell>
          <cell r="J3188" t="str">
            <v>bueno</v>
          </cell>
          <cell r="K3188" t="str">
            <v>defsi</v>
          </cell>
        </row>
        <row r="3189">
          <cell r="B3189" t="b">
            <v>1</v>
          </cell>
          <cell r="E3189" t="str">
            <v>Pontezuela</v>
          </cell>
          <cell r="H3189" t="str">
            <v>salud_oral</v>
          </cell>
          <cell r="J3189" t="str">
            <v>bueno</v>
          </cell>
          <cell r="K3189" t="str">
            <v>probsi</v>
          </cell>
        </row>
        <row r="3190">
          <cell r="B3190" t="b">
            <v>1</v>
          </cell>
          <cell r="E3190" t="str">
            <v>Pontezuela</v>
          </cell>
          <cell r="H3190" t="str">
            <v>salud_oral</v>
          </cell>
          <cell r="J3190" t="str">
            <v>bueno</v>
          </cell>
          <cell r="K3190" t="str">
            <v>probsi</v>
          </cell>
        </row>
        <row r="3191">
          <cell r="B3191" t="b">
            <v>1</v>
          </cell>
          <cell r="E3191" t="str">
            <v>Pontezuela</v>
          </cell>
          <cell r="H3191" t="str">
            <v>consulta_externa</v>
          </cell>
          <cell r="J3191" t="str">
            <v>bueno</v>
          </cell>
          <cell r="K3191" t="str">
            <v>probsi</v>
          </cell>
        </row>
        <row r="3192">
          <cell r="B3192" t="b">
            <v>1</v>
          </cell>
          <cell r="E3192" t="str">
            <v>Pontezuela</v>
          </cell>
          <cell r="H3192" t="str">
            <v>salud_oral</v>
          </cell>
          <cell r="J3192" t="str">
            <v>bueno</v>
          </cell>
          <cell r="K3192" t="str">
            <v>probsi</v>
          </cell>
        </row>
        <row r="3193">
          <cell r="B3193" t="b">
            <v>1</v>
          </cell>
          <cell r="E3193" t="str">
            <v>Los Cerros</v>
          </cell>
          <cell r="H3193" t="str">
            <v>consulta_externa</v>
          </cell>
          <cell r="J3193" t="str">
            <v>bueno</v>
          </cell>
          <cell r="K3193" t="str">
            <v>defsi</v>
          </cell>
        </row>
        <row r="3194">
          <cell r="B3194" t="b">
            <v>1</v>
          </cell>
          <cell r="E3194" t="str">
            <v>Los Cerros</v>
          </cell>
          <cell r="H3194" t="str">
            <v>salud_oral</v>
          </cell>
          <cell r="J3194" t="str">
            <v>bueno</v>
          </cell>
          <cell r="K3194" t="str">
            <v>defsi</v>
          </cell>
        </row>
        <row r="3195">
          <cell r="B3195" t="b">
            <v>1</v>
          </cell>
          <cell r="E3195" t="str">
            <v>Los Cerros</v>
          </cell>
          <cell r="H3195" t="str">
            <v>laboratorio</v>
          </cell>
          <cell r="J3195" t="str">
            <v>bueno</v>
          </cell>
          <cell r="K3195" t="str">
            <v>defsi</v>
          </cell>
        </row>
        <row r="3196">
          <cell r="B3196" t="b">
            <v>1</v>
          </cell>
          <cell r="E3196" t="str">
            <v>Los Cerros</v>
          </cell>
          <cell r="H3196" t="str">
            <v>ecografias</v>
          </cell>
          <cell r="J3196" t="str">
            <v>bueno</v>
          </cell>
          <cell r="K3196" t="str">
            <v>defsi</v>
          </cell>
        </row>
        <row r="3197">
          <cell r="B3197" t="b">
            <v>1</v>
          </cell>
          <cell r="E3197" t="str">
            <v>Los Cerros</v>
          </cell>
          <cell r="H3197" t="str">
            <v>ginecologia</v>
          </cell>
          <cell r="J3197" t="str">
            <v>bueno</v>
          </cell>
          <cell r="K3197" t="str">
            <v>defsi</v>
          </cell>
        </row>
        <row r="3198">
          <cell r="B3198" t="b">
            <v>1</v>
          </cell>
          <cell r="E3198" t="str">
            <v>Los Cerros</v>
          </cell>
          <cell r="H3198" t="str">
            <v>pediatria</v>
          </cell>
          <cell r="J3198" t="str">
            <v>bueno</v>
          </cell>
          <cell r="K3198" t="str">
            <v>defsi</v>
          </cell>
        </row>
        <row r="3199">
          <cell r="B3199" t="b">
            <v>1</v>
          </cell>
          <cell r="E3199" t="str">
            <v>Los Cerros</v>
          </cell>
          <cell r="H3199" t="str">
            <v>medicina_interna</v>
          </cell>
          <cell r="J3199" t="str">
            <v>bueno</v>
          </cell>
          <cell r="K3199" t="str">
            <v>defsi</v>
          </cell>
        </row>
        <row r="3200">
          <cell r="B3200" t="b">
            <v>1</v>
          </cell>
          <cell r="E3200" t="str">
            <v>Los Cerros</v>
          </cell>
          <cell r="H3200" t="str">
            <v>consulta_externa</v>
          </cell>
          <cell r="J3200" t="str">
            <v>bueno</v>
          </cell>
          <cell r="K3200" t="str">
            <v>defsi</v>
          </cell>
        </row>
        <row r="3201">
          <cell r="B3201" t="b">
            <v>1</v>
          </cell>
          <cell r="E3201" t="str">
            <v>Canapote</v>
          </cell>
          <cell r="H3201" t="str">
            <v>consulta_externa</v>
          </cell>
          <cell r="J3201" t="str">
            <v>bueno</v>
          </cell>
          <cell r="K3201" t="str">
            <v>probsi</v>
          </cell>
        </row>
        <row r="3202">
          <cell r="B3202" t="b">
            <v>1</v>
          </cell>
          <cell r="E3202" t="str">
            <v>Canapote</v>
          </cell>
          <cell r="H3202" t="str">
            <v>consulta_externa</v>
          </cell>
          <cell r="J3202" t="str">
            <v>bueno</v>
          </cell>
          <cell r="K3202" t="str">
            <v>probsi</v>
          </cell>
        </row>
        <row r="3203">
          <cell r="B3203" t="b">
            <v>1</v>
          </cell>
          <cell r="E3203" t="str">
            <v>Canapote</v>
          </cell>
          <cell r="H3203" t="str">
            <v>salud_oral</v>
          </cell>
          <cell r="J3203" t="str">
            <v>bueno</v>
          </cell>
          <cell r="K3203" t="str">
            <v>probsi</v>
          </cell>
        </row>
        <row r="3204">
          <cell r="B3204" t="b">
            <v>1</v>
          </cell>
          <cell r="E3204" t="str">
            <v>Canapote</v>
          </cell>
          <cell r="H3204" t="str">
            <v>salud_oral</v>
          </cell>
          <cell r="J3204" t="str">
            <v>bueno</v>
          </cell>
          <cell r="K3204" t="str">
            <v>probsi</v>
          </cell>
        </row>
        <row r="3205">
          <cell r="B3205" t="b">
            <v>1</v>
          </cell>
          <cell r="E3205" t="str">
            <v>Canapote</v>
          </cell>
          <cell r="H3205" t="str">
            <v>salud_oral</v>
          </cell>
          <cell r="J3205" t="str">
            <v>bueno</v>
          </cell>
          <cell r="K3205" t="str">
            <v>probsi</v>
          </cell>
        </row>
        <row r="3206">
          <cell r="B3206" t="b">
            <v>1</v>
          </cell>
          <cell r="E3206" t="str">
            <v>Canapote</v>
          </cell>
          <cell r="H3206" t="str">
            <v>salud_oral</v>
          </cell>
          <cell r="J3206" t="str">
            <v>bueno</v>
          </cell>
          <cell r="K3206" t="str">
            <v>probsi</v>
          </cell>
        </row>
        <row r="3207">
          <cell r="B3207" t="b">
            <v>1</v>
          </cell>
          <cell r="E3207" t="str">
            <v>Canapote</v>
          </cell>
          <cell r="H3207" t="str">
            <v>salud_oral</v>
          </cell>
          <cell r="J3207" t="str">
            <v>bueno</v>
          </cell>
          <cell r="K3207" t="str">
            <v>probsi</v>
          </cell>
        </row>
        <row r="3208">
          <cell r="B3208" t="b">
            <v>1</v>
          </cell>
          <cell r="E3208" t="str">
            <v>Canapote</v>
          </cell>
          <cell r="H3208" t="str">
            <v>salud_oral</v>
          </cell>
          <cell r="J3208" t="str">
            <v>bueno</v>
          </cell>
          <cell r="K3208" t="str">
            <v>probsi</v>
          </cell>
        </row>
        <row r="3209">
          <cell r="B3209" t="b">
            <v>1</v>
          </cell>
          <cell r="E3209" t="str">
            <v>Canapote</v>
          </cell>
          <cell r="H3209" t="str">
            <v>salud_oral</v>
          </cell>
          <cell r="J3209" t="str">
            <v>bueno</v>
          </cell>
          <cell r="K3209" t="str">
            <v>probsi</v>
          </cell>
        </row>
        <row r="3210">
          <cell r="B3210" t="b">
            <v>1</v>
          </cell>
          <cell r="E3210" t="str">
            <v>Canapote</v>
          </cell>
          <cell r="H3210" t="str">
            <v>salud_oral</v>
          </cell>
          <cell r="J3210" t="str">
            <v>bueno</v>
          </cell>
          <cell r="K3210" t="str">
            <v>probsi</v>
          </cell>
        </row>
        <row r="3211">
          <cell r="B3211" t="b">
            <v>1</v>
          </cell>
          <cell r="E3211" t="str">
            <v>Canapote</v>
          </cell>
          <cell r="H3211" t="str">
            <v>salud_oral</v>
          </cell>
          <cell r="J3211" t="str">
            <v>bueno</v>
          </cell>
          <cell r="K3211" t="str">
            <v>probsi</v>
          </cell>
        </row>
        <row r="3212">
          <cell r="B3212" t="b">
            <v>1</v>
          </cell>
          <cell r="E3212" t="str">
            <v>Canapote</v>
          </cell>
          <cell r="H3212" t="str">
            <v>salud_oral</v>
          </cell>
          <cell r="J3212" t="str">
            <v>bueno</v>
          </cell>
          <cell r="K3212" t="str">
            <v>probsi</v>
          </cell>
        </row>
        <row r="3213">
          <cell r="B3213" t="b">
            <v>1</v>
          </cell>
          <cell r="E3213" t="str">
            <v>Canapote</v>
          </cell>
          <cell r="H3213" t="str">
            <v>laboratorio</v>
          </cell>
          <cell r="J3213" t="str">
            <v>bueno</v>
          </cell>
          <cell r="K3213" t="str">
            <v>probsi</v>
          </cell>
        </row>
        <row r="3214">
          <cell r="B3214" t="b">
            <v>1</v>
          </cell>
          <cell r="E3214" t="str">
            <v>Canapote</v>
          </cell>
          <cell r="H3214" t="str">
            <v>laboratorio</v>
          </cell>
          <cell r="J3214" t="str">
            <v>bueno</v>
          </cell>
          <cell r="K3214" t="str">
            <v>probsi</v>
          </cell>
        </row>
        <row r="3215">
          <cell r="B3215" t="b">
            <v>1</v>
          </cell>
          <cell r="E3215" t="str">
            <v>Canapote</v>
          </cell>
          <cell r="H3215" t="str">
            <v>laboratorio</v>
          </cell>
          <cell r="J3215" t="str">
            <v>bueno</v>
          </cell>
          <cell r="K3215" t="str">
            <v>probsi</v>
          </cell>
        </row>
        <row r="3216">
          <cell r="B3216" t="b">
            <v>1</v>
          </cell>
          <cell r="E3216" t="str">
            <v>Canapote</v>
          </cell>
          <cell r="H3216" t="str">
            <v>laboratorio</v>
          </cell>
          <cell r="J3216" t="str">
            <v>bueno</v>
          </cell>
          <cell r="K3216" t="str">
            <v>probsi</v>
          </cell>
        </row>
        <row r="3217">
          <cell r="B3217" t="b">
            <v>1</v>
          </cell>
          <cell r="E3217" t="str">
            <v>San Pedro y Libertad</v>
          </cell>
          <cell r="H3217" t="str">
            <v>consulta_externa</v>
          </cell>
          <cell r="J3217" t="str">
            <v>bueno</v>
          </cell>
          <cell r="K3217" t="str">
            <v>probsi</v>
          </cell>
        </row>
        <row r="3218">
          <cell r="B3218" t="b">
            <v>1</v>
          </cell>
          <cell r="E3218" t="str">
            <v>Canapote</v>
          </cell>
          <cell r="H3218" t="str">
            <v>consulta_externa</v>
          </cell>
          <cell r="J3218" t="str">
            <v>bueno</v>
          </cell>
          <cell r="K3218" t="str">
            <v>probsi</v>
          </cell>
        </row>
        <row r="3219">
          <cell r="B3219" t="b">
            <v>1</v>
          </cell>
          <cell r="E3219" t="str">
            <v>Los Cerros</v>
          </cell>
          <cell r="H3219" t="str">
            <v>salud_oral</v>
          </cell>
          <cell r="J3219" t="str">
            <v>bueno</v>
          </cell>
          <cell r="K3219" t="str">
            <v>defsi</v>
          </cell>
        </row>
        <row r="3220">
          <cell r="B3220" t="b">
            <v>1</v>
          </cell>
          <cell r="E3220" t="str">
            <v>Los Cerros</v>
          </cell>
          <cell r="H3220" t="str">
            <v>laboratorio</v>
          </cell>
          <cell r="J3220" t="str">
            <v>bueno</v>
          </cell>
          <cell r="K3220" t="str">
            <v>defsi</v>
          </cell>
        </row>
        <row r="3221">
          <cell r="B3221" t="b">
            <v>1</v>
          </cell>
          <cell r="E3221" t="str">
            <v>Pontezuela</v>
          </cell>
          <cell r="H3221" t="str">
            <v>consulta_externa</v>
          </cell>
          <cell r="J3221" t="str">
            <v>bueno</v>
          </cell>
          <cell r="K3221" t="str">
            <v>probsi</v>
          </cell>
        </row>
        <row r="3222">
          <cell r="B3222" t="b">
            <v>1</v>
          </cell>
          <cell r="E3222" t="str">
            <v>Pontezuela</v>
          </cell>
          <cell r="H3222" t="str">
            <v>salud_oral</v>
          </cell>
          <cell r="J3222" t="str">
            <v>bueno</v>
          </cell>
          <cell r="K3222" t="str">
            <v>probsi</v>
          </cell>
        </row>
        <row r="3223">
          <cell r="B3223" t="b">
            <v>1</v>
          </cell>
          <cell r="E3223" t="str">
            <v>Pontezuela</v>
          </cell>
          <cell r="H3223" t="str">
            <v>consulta_externa</v>
          </cell>
          <cell r="J3223" t="str">
            <v>bueno</v>
          </cell>
          <cell r="K3223" t="str">
            <v>probsi</v>
          </cell>
        </row>
        <row r="3224">
          <cell r="B3224" t="b">
            <v>1</v>
          </cell>
          <cell r="E3224" t="str">
            <v>Pontezuela</v>
          </cell>
          <cell r="H3224" t="str">
            <v>consulta_externa</v>
          </cell>
          <cell r="J3224" t="str">
            <v>bueno</v>
          </cell>
          <cell r="K3224" t="str">
            <v>probsi</v>
          </cell>
        </row>
        <row r="3225">
          <cell r="B3225" t="b">
            <v>1</v>
          </cell>
          <cell r="E3225" t="str">
            <v>Canapote</v>
          </cell>
          <cell r="H3225" t="str">
            <v>consulta_externa</v>
          </cell>
          <cell r="J3225" t="str">
            <v>bueno</v>
          </cell>
          <cell r="K3225" t="str">
            <v>probsi</v>
          </cell>
        </row>
        <row r="3226">
          <cell r="B3226" t="b">
            <v>1</v>
          </cell>
          <cell r="E3226" t="str">
            <v>Canapote</v>
          </cell>
          <cell r="H3226" t="str">
            <v>consulta_externa</v>
          </cell>
          <cell r="J3226" t="str">
            <v>bueno</v>
          </cell>
          <cell r="K3226" t="str">
            <v>probsi</v>
          </cell>
        </row>
        <row r="3227">
          <cell r="B3227" t="b">
            <v>1</v>
          </cell>
          <cell r="E3227" t="str">
            <v>Los Cerros</v>
          </cell>
          <cell r="H3227" t="str">
            <v>ecografias</v>
          </cell>
          <cell r="J3227" t="str">
            <v>bueno</v>
          </cell>
          <cell r="K3227" t="str">
            <v>defsi</v>
          </cell>
        </row>
        <row r="3228">
          <cell r="B3228" t="b">
            <v>1</v>
          </cell>
          <cell r="E3228" t="str">
            <v>Canapote</v>
          </cell>
          <cell r="H3228" t="str">
            <v>consulta_externa</v>
          </cell>
          <cell r="J3228" t="str">
            <v>bueno</v>
          </cell>
          <cell r="K3228" t="str">
            <v>probsi</v>
          </cell>
        </row>
        <row r="3229">
          <cell r="B3229" t="b">
            <v>1</v>
          </cell>
          <cell r="E3229" t="str">
            <v>Canapote</v>
          </cell>
          <cell r="H3229" t="str">
            <v>consulta_externa</v>
          </cell>
          <cell r="J3229" t="str">
            <v>bueno</v>
          </cell>
          <cell r="K3229" t="str">
            <v>probsi</v>
          </cell>
        </row>
        <row r="3230">
          <cell r="B3230" t="b">
            <v>1</v>
          </cell>
          <cell r="E3230" t="str">
            <v>Canapote</v>
          </cell>
          <cell r="H3230" t="str">
            <v>consulta_externa</v>
          </cell>
          <cell r="J3230" t="str">
            <v>bueno</v>
          </cell>
          <cell r="K3230" t="str">
            <v>probsi</v>
          </cell>
        </row>
        <row r="3231">
          <cell r="B3231" t="b">
            <v>1</v>
          </cell>
          <cell r="E3231" t="str">
            <v>Canapote</v>
          </cell>
          <cell r="H3231" t="str">
            <v>consulta_externa</v>
          </cell>
          <cell r="J3231" t="str">
            <v>bueno</v>
          </cell>
          <cell r="K3231" t="str">
            <v>probsi</v>
          </cell>
        </row>
        <row r="3232">
          <cell r="B3232" t="b">
            <v>1</v>
          </cell>
          <cell r="E3232" t="str">
            <v>Canapote</v>
          </cell>
          <cell r="H3232" t="str">
            <v>consulta_externa</v>
          </cell>
          <cell r="J3232" t="str">
            <v>bueno</v>
          </cell>
          <cell r="K3232" t="str">
            <v>probsi</v>
          </cell>
        </row>
        <row r="3233">
          <cell r="B3233" t="b">
            <v>1</v>
          </cell>
          <cell r="E3233" t="str">
            <v>Canapote</v>
          </cell>
          <cell r="H3233" t="str">
            <v>consulta_externa</v>
          </cell>
          <cell r="J3233" t="str">
            <v>bueno</v>
          </cell>
          <cell r="K3233" t="str">
            <v>probsi</v>
          </cell>
        </row>
        <row r="3234">
          <cell r="B3234" t="b">
            <v>1</v>
          </cell>
          <cell r="E3234" t="str">
            <v>Canapote</v>
          </cell>
          <cell r="H3234" t="str">
            <v>laboratorio</v>
          </cell>
          <cell r="J3234" t="str">
            <v>bueno</v>
          </cell>
          <cell r="K3234" t="str">
            <v>probsi</v>
          </cell>
        </row>
        <row r="3235">
          <cell r="B3235" t="b">
            <v>1</v>
          </cell>
          <cell r="E3235" t="str">
            <v>Canapote</v>
          </cell>
          <cell r="H3235" t="str">
            <v>laboratorio</v>
          </cell>
          <cell r="J3235" t="str">
            <v>bueno</v>
          </cell>
          <cell r="K3235" t="str">
            <v>probsi</v>
          </cell>
        </row>
        <row r="3236">
          <cell r="B3236" t="b">
            <v>1</v>
          </cell>
          <cell r="E3236" t="str">
            <v>Canapote</v>
          </cell>
          <cell r="H3236" t="str">
            <v>laboratorio</v>
          </cell>
          <cell r="J3236" t="str">
            <v>bueno</v>
          </cell>
          <cell r="K3236" t="str">
            <v>probsi</v>
          </cell>
        </row>
        <row r="3237">
          <cell r="B3237" t="b">
            <v>1</v>
          </cell>
          <cell r="E3237" t="str">
            <v>Los Cerros</v>
          </cell>
          <cell r="H3237" t="str">
            <v>ginecologia</v>
          </cell>
          <cell r="J3237" t="str">
            <v>bueno</v>
          </cell>
          <cell r="K3237" t="str">
            <v>defsi</v>
          </cell>
        </row>
        <row r="3238">
          <cell r="B3238" t="b">
            <v>1</v>
          </cell>
          <cell r="E3238" t="str">
            <v>Canapote</v>
          </cell>
          <cell r="H3238" t="str">
            <v>salud_oral</v>
          </cell>
          <cell r="J3238" t="str">
            <v>bueno</v>
          </cell>
          <cell r="K3238" t="str">
            <v>probsi</v>
          </cell>
        </row>
        <row r="3239">
          <cell r="B3239" t="b">
            <v>1</v>
          </cell>
          <cell r="E3239" t="str">
            <v>Canapote</v>
          </cell>
          <cell r="H3239" t="str">
            <v>salud_oral</v>
          </cell>
          <cell r="J3239" t="str">
            <v>bueno</v>
          </cell>
          <cell r="K3239" t="str">
            <v>probsi</v>
          </cell>
        </row>
        <row r="3240">
          <cell r="B3240" t="b">
            <v>1</v>
          </cell>
          <cell r="E3240" t="str">
            <v>Canapote</v>
          </cell>
          <cell r="H3240" t="str">
            <v>salud_oral</v>
          </cell>
          <cell r="J3240" t="str">
            <v>bueno</v>
          </cell>
          <cell r="K3240" t="str">
            <v>probsi</v>
          </cell>
        </row>
        <row r="3241">
          <cell r="B3241" t="b">
            <v>1</v>
          </cell>
          <cell r="E3241" t="str">
            <v>Canapote</v>
          </cell>
          <cell r="H3241" t="str">
            <v>salud_oral</v>
          </cell>
          <cell r="J3241" t="str">
            <v>bueno</v>
          </cell>
          <cell r="K3241" t="str">
            <v>probsi</v>
          </cell>
        </row>
        <row r="3242">
          <cell r="B3242" t="b">
            <v>1</v>
          </cell>
          <cell r="E3242" t="str">
            <v>Canapote</v>
          </cell>
          <cell r="H3242" t="str">
            <v>salud_oral</v>
          </cell>
          <cell r="J3242" t="str">
            <v>bueno</v>
          </cell>
          <cell r="K3242" t="str">
            <v>probsi</v>
          </cell>
        </row>
        <row r="3243">
          <cell r="B3243" t="b">
            <v>1</v>
          </cell>
          <cell r="E3243" t="str">
            <v>Los Cerros</v>
          </cell>
          <cell r="H3243" t="str">
            <v>pediatria</v>
          </cell>
          <cell r="J3243" t="str">
            <v>bueno</v>
          </cell>
          <cell r="K3243" t="str">
            <v>defsi</v>
          </cell>
        </row>
        <row r="3244">
          <cell r="B3244" t="b">
            <v>1</v>
          </cell>
          <cell r="E3244" t="str">
            <v>Pontezuela</v>
          </cell>
          <cell r="H3244" t="str">
            <v>consulta_externa</v>
          </cell>
          <cell r="J3244" t="str">
            <v>bueno</v>
          </cell>
          <cell r="K3244" t="str">
            <v>probsi</v>
          </cell>
        </row>
        <row r="3245">
          <cell r="B3245" t="b">
            <v>1</v>
          </cell>
          <cell r="E3245" t="str">
            <v>Pontezuela</v>
          </cell>
          <cell r="H3245" t="str">
            <v>salud_oral</v>
          </cell>
          <cell r="J3245" t="str">
            <v>bueno</v>
          </cell>
          <cell r="K3245" t="str">
            <v>probsi</v>
          </cell>
        </row>
        <row r="3246">
          <cell r="B3246" t="b">
            <v>1</v>
          </cell>
          <cell r="E3246" t="str">
            <v>Canapote</v>
          </cell>
          <cell r="H3246" t="str">
            <v>salud_oral</v>
          </cell>
          <cell r="J3246" t="str">
            <v>bueno</v>
          </cell>
          <cell r="K3246" t="str">
            <v>probsi</v>
          </cell>
        </row>
        <row r="3247">
          <cell r="B3247" t="b">
            <v>1</v>
          </cell>
          <cell r="E3247" t="str">
            <v>Canapote</v>
          </cell>
          <cell r="H3247" t="str">
            <v>salud_oral</v>
          </cell>
          <cell r="J3247" t="str">
            <v>bueno</v>
          </cell>
          <cell r="K3247" t="str">
            <v>probsi</v>
          </cell>
        </row>
        <row r="3248">
          <cell r="B3248" t="b">
            <v>1</v>
          </cell>
          <cell r="E3248" t="str">
            <v>Los Cerros</v>
          </cell>
          <cell r="H3248" t="str">
            <v>consulta_externa</v>
          </cell>
          <cell r="J3248" t="str">
            <v>bueno</v>
          </cell>
          <cell r="K3248" t="str">
            <v>defsi</v>
          </cell>
        </row>
        <row r="3249">
          <cell r="B3249" t="b">
            <v>1</v>
          </cell>
          <cell r="E3249" t="str">
            <v>Los Cerros</v>
          </cell>
          <cell r="H3249" t="str">
            <v>salud_oral</v>
          </cell>
          <cell r="J3249" t="str">
            <v>bueno</v>
          </cell>
          <cell r="K3249" t="str">
            <v>defsi</v>
          </cell>
        </row>
        <row r="3250">
          <cell r="B3250" t="b">
            <v>1</v>
          </cell>
          <cell r="E3250" t="str">
            <v>Los Cerros</v>
          </cell>
          <cell r="H3250" t="str">
            <v>laboratorio</v>
          </cell>
          <cell r="J3250" t="str">
            <v>bueno</v>
          </cell>
          <cell r="K3250" t="str">
            <v>defsi</v>
          </cell>
        </row>
        <row r="3251">
          <cell r="B3251" t="b">
            <v>1</v>
          </cell>
          <cell r="E3251" t="str">
            <v>Los Cerros</v>
          </cell>
          <cell r="H3251" t="str">
            <v>ecografias</v>
          </cell>
          <cell r="J3251" t="str">
            <v>bueno</v>
          </cell>
          <cell r="K3251" t="str">
            <v>defsi</v>
          </cell>
        </row>
        <row r="3252">
          <cell r="B3252" t="b">
            <v>1</v>
          </cell>
          <cell r="E3252" t="str">
            <v>Los Cerros</v>
          </cell>
          <cell r="H3252" t="str">
            <v>ginecologia</v>
          </cell>
          <cell r="J3252" t="str">
            <v>bueno</v>
          </cell>
          <cell r="K3252" t="str">
            <v>defsi</v>
          </cell>
        </row>
        <row r="3253">
          <cell r="B3253" t="b">
            <v>1</v>
          </cell>
          <cell r="E3253" t="str">
            <v>Los Cerros</v>
          </cell>
          <cell r="H3253" t="str">
            <v>pediatria</v>
          </cell>
          <cell r="J3253" t="str">
            <v>bueno</v>
          </cell>
          <cell r="K3253" t="str">
            <v>defsi</v>
          </cell>
        </row>
        <row r="3254">
          <cell r="B3254" t="b">
            <v>1</v>
          </cell>
          <cell r="E3254" t="str">
            <v>Los Cerros</v>
          </cell>
          <cell r="H3254" t="str">
            <v>medicina_interna</v>
          </cell>
          <cell r="J3254" t="str">
            <v>bueno</v>
          </cell>
          <cell r="K3254" t="str">
            <v>defsi</v>
          </cell>
        </row>
        <row r="3255">
          <cell r="B3255" t="b">
            <v>1</v>
          </cell>
          <cell r="E3255" t="str">
            <v>Los Cerros</v>
          </cell>
          <cell r="H3255" t="str">
            <v>consulta_externa</v>
          </cell>
          <cell r="J3255" t="str">
            <v>bueno</v>
          </cell>
          <cell r="K3255" t="str">
            <v>defsi</v>
          </cell>
        </row>
        <row r="3256">
          <cell r="B3256" t="b">
            <v>1</v>
          </cell>
          <cell r="E3256" t="str">
            <v>Los Cerros</v>
          </cell>
          <cell r="H3256" t="str">
            <v>salud_oral</v>
          </cell>
          <cell r="J3256" t="str">
            <v>bueno</v>
          </cell>
          <cell r="K3256" t="str">
            <v>defsi</v>
          </cell>
        </row>
        <row r="3257">
          <cell r="B3257" t="b">
            <v>1</v>
          </cell>
          <cell r="E3257" t="str">
            <v>Los Cerros</v>
          </cell>
          <cell r="H3257" t="str">
            <v>laboratorio</v>
          </cell>
          <cell r="J3257" t="str">
            <v>bueno</v>
          </cell>
          <cell r="K3257" t="str">
            <v>defsi</v>
          </cell>
        </row>
        <row r="3258">
          <cell r="B3258" t="b">
            <v>1</v>
          </cell>
          <cell r="E3258" t="str">
            <v>Canapote</v>
          </cell>
          <cell r="H3258" t="str">
            <v>consulta_externa</v>
          </cell>
          <cell r="J3258" t="str">
            <v>bueno</v>
          </cell>
          <cell r="K3258" t="str">
            <v>probsi</v>
          </cell>
        </row>
        <row r="3259">
          <cell r="B3259" t="b">
            <v>1</v>
          </cell>
          <cell r="E3259" t="str">
            <v>Canapote</v>
          </cell>
          <cell r="H3259" t="str">
            <v>consulta_externa</v>
          </cell>
          <cell r="J3259" t="str">
            <v>bueno</v>
          </cell>
          <cell r="K3259" t="str">
            <v>probsi</v>
          </cell>
        </row>
        <row r="3260">
          <cell r="B3260" t="b">
            <v>1</v>
          </cell>
          <cell r="E3260" t="str">
            <v>Canapote</v>
          </cell>
          <cell r="H3260" t="str">
            <v>consulta_externa</v>
          </cell>
          <cell r="J3260" t="str">
            <v>bueno</v>
          </cell>
          <cell r="K3260" t="str">
            <v>probsi</v>
          </cell>
        </row>
        <row r="3261">
          <cell r="B3261" t="b">
            <v>1</v>
          </cell>
          <cell r="E3261" t="str">
            <v>Canapote</v>
          </cell>
          <cell r="H3261" t="str">
            <v>consulta_externa</v>
          </cell>
          <cell r="J3261" t="str">
            <v>bueno</v>
          </cell>
          <cell r="K3261" t="str">
            <v>probsi</v>
          </cell>
        </row>
        <row r="3262">
          <cell r="B3262" t="b">
            <v>1</v>
          </cell>
          <cell r="E3262" t="str">
            <v>Canapote</v>
          </cell>
          <cell r="H3262" t="str">
            <v>consulta_externa</v>
          </cell>
          <cell r="J3262" t="str">
            <v>bueno</v>
          </cell>
          <cell r="K3262" t="str">
            <v>probsi</v>
          </cell>
        </row>
        <row r="3263">
          <cell r="B3263" t="b">
            <v>1</v>
          </cell>
          <cell r="E3263" t="str">
            <v>Canapote</v>
          </cell>
          <cell r="H3263" t="str">
            <v>consulta_externa</v>
          </cell>
          <cell r="J3263" t="str">
            <v>bueno</v>
          </cell>
          <cell r="K3263" t="str">
            <v>probsi</v>
          </cell>
        </row>
        <row r="3264">
          <cell r="B3264" t="b">
            <v>1</v>
          </cell>
          <cell r="E3264" t="str">
            <v>Canapote</v>
          </cell>
          <cell r="H3264" t="str">
            <v>consulta_externa</v>
          </cell>
          <cell r="J3264" t="str">
            <v>bueno</v>
          </cell>
          <cell r="K3264" t="str">
            <v>probsi</v>
          </cell>
        </row>
        <row r="3265">
          <cell r="B3265" t="b">
            <v>1</v>
          </cell>
          <cell r="E3265" t="str">
            <v>Canapote</v>
          </cell>
          <cell r="H3265" t="str">
            <v>consulta_externa</v>
          </cell>
          <cell r="J3265" t="str">
            <v>bueno</v>
          </cell>
          <cell r="K3265" t="str">
            <v>probsi</v>
          </cell>
        </row>
        <row r="3266">
          <cell r="B3266" t="b">
            <v>1</v>
          </cell>
          <cell r="E3266" t="str">
            <v>Canapote</v>
          </cell>
          <cell r="H3266" t="str">
            <v>consulta_externa</v>
          </cell>
          <cell r="J3266" t="str">
            <v>bueno</v>
          </cell>
          <cell r="K3266" t="str">
            <v>probsi</v>
          </cell>
        </row>
        <row r="3267">
          <cell r="B3267" t="b">
            <v>1</v>
          </cell>
          <cell r="E3267" t="str">
            <v>Canapote</v>
          </cell>
          <cell r="H3267" t="str">
            <v>consulta_externa</v>
          </cell>
          <cell r="J3267" t="str">
            <v>bueno</v>
          </cell>
          <cell r="K3267" t="str">
            <v>probsi</v>
          </cell>
        </row>
        <row r="3268">
          <cell r="B3268" t="b">
            <v>1</v>
          </cell>
          <cell r="E3268" t="str">
            <v>Canapote</v>
          </cell>
          <cell r="H3268" t="str">
            <v>consulta_externa</v>
          </cell>
          <cell r="J3268" t="str">
            <v>bueno</v>
          </cell>
          <cell r="K3268" t="str">
            <v>probsi</v>
          </cell>
        </row>
        <row r="3269">
          <cell r="B3269" t="b">
            <v>1</v>
          </cell>
          <cell r="E3269" t="str">
            <v>Canapote</v>
          </cell>
          <cell r="H3269" t="str">
            <v>consulta_externa</v>
          </cell>
          <cell r="J3269" t="str">
            <v>bueno</v>
          </cell>
          <cell r="K3269" t="str">
            <v>probsi</v>
          </cell>
        </row>
        <row r="3270">
          <cell r="B3270" t="b">
            <v>1</v>
          </cell>
          <cell r="E3270" t="str">
            <v>Canapote</v>
          </cell>
          <cell r="H3270" t="str">
            <v>consulta_externa</v>
          </cell>
          <cell r="J3270" t="str">
            <v>bueno</v>
          </cell>
          <cell r="K3270" t="str">
            <v>probsi</v>
          </cell>
        </row>
        <row r="3271">
          <cell r="B3271" t="b">
            <v>1</v>
          </cell>
          <cell r="E3271" t="str">
            <v>Canapote</v>
          </cell>
          <cell r="H3271" t="str">
            <v>consulta_externa</v>
          </cell>
          <cell r="J3271" t="str">
            <v>bueno</v>
          </cell>
          <cell r="K3271" t="str">
            <v>probsi</v>
          </cell>
        </row>
        <row r="3272">
          <cell r="B3272" t="b">
            <v>1</v>
          </cell>
          <cell r="E3272" t="str">
            <v>Canapote</v>
          </cell>
          <cell r="H3272" t="str">
            <v>laboratorio</v>
          </cell>
          <cell r="J3272" t="str">
            <v>bueno</v>
          </cell>
          <cell r="K3272" t="str">
            <v>probsi</v>
          </cell>
        </row>
        <row r="3273">
          <cell r="B3273" t="b">
            <v>1</v>
          </cell>
          <cell r="E3273" t="str">
            <v>Canapote</v>
          </cell>
          <cell r="H3273" t="str">
            <v>laboratorio</v>
          </cell>
          <cell r="J3273" t="str">
            <v>muybueno</v>
          </cell>
          <cell r="K3273" t="str">
            <v>probsi</v>
          </cell>
        </row>
        <row r="3274">
          <cell r="B3274" t="b">
            <v>1</v>
          </cell>
          <cell r="E3274" t="str">
            <v>Canapote</v>
          </cell>
          <cell r="H3274" t="str">
            <v>laboratorio</v>
          </cell>
          <cell r="J3274" t="str">
            <v>muybueno</v>
          </cell>
          <cell r="K3274" t="str">
            <v>probsi</v>
          </cell>
        </row>
        <row r="3275">
          <cell r="B3275" t="b">
            <v>1</v>
          </cell>
          <cell r="E3275" t="str">
            <v>Canapote</v>
          </cell>
          <cell r="H3275" t="str">
            <v>laboratorio</v>
          </cell>
          <cell r="J3275" t="str">
            <v>muybueno</v>
          </cell>
          <cell r="K3275" t="str">
            <v>probsi</v>
          </cell>
        </row>
        <row r="3276">
          <cell r="B3276" t="b">
            <v>1</v>
          </cell>
          <cell r="E3276" t="str">
            <v>Canapote</v>
          </cell>
          <cell r="H3276" t="str">
            <v>laboratorio</v>
          </cell>
          <cell r="J3276" t="str">
            <v>muybueno</v>
          </cell>
          <cell r="K3276" t="str">
            <v>probsi</v>
          </cell>
        </row>
        <row r="3277">
          <cell r="B3277" t="b">
            <v>1</v>
          </cell>
          <cell r="E3277" t="str">
            <v>Canapote</v>
          </cell>
          <cell r="H3277" t="str">
            <v>laboratorio</v>
          </cell>
          <cell r="J3277" t="str">
            <v>muybueno</v>
          </cell>
          <cell r="K3277" t="str">
            <v>probsi</v>
          </cell>
        </row>
        <row r="3278">
          <cell r="B3278" t="b">
            <v>1</v>
          </cell>
          <cell r="E3278" t="str">
            <v>Canapote</v>
          </cell>
          <cell r="H3278" t="str">
            <v>laboratorio</v>
          </cell>
          <cell r="J3278" t="str">
            <v>muybueno</v>
          </cell>
          <cell r="K3278" t="str">
            <v>probsi</v>
          </cell>
        </row>
        <row r="3279">
          <cell r="B3279" t="b">
            <v>1</v>
          </cell>
          <cell r="E3279" t="str">
            <v>Canapote</v>
          </cell>
          <cell r="H3279" t="str">
            <v>laboratorio</v>
          </cell>
          <cell r="J3279" t="str">
            <v>muybueno</v>
          </cell>
          <cell r="K3279" t="str">
            <v>probsi</v>
          </cell>
        </row>
        <row r="3280">
          <cell r="B3280" t="b">
            <v>1</v>
          </cell>
          <cell r="E3280" t="str">
            <v>Canapote</v>
          </cell>
          <cell r="H3280" t="str">
            <v>laboratorio</v>
          </cell>
          <cell r="J3280" t="str">
            <v>muybueno</v>
          </cell>
          <cell r="K3280" t="str">
            <v>probsi</v>
          </cell>
        </row>
        <row r="3281">
          <cell r="B3281" t="b">
            <v>1</v>
          </cell>
          <cell r="E3281" t="str">
            <v>Canapote</v>
          </cell>
          <cell r="H3281" t="str">
            <v>laboratorio</v>
          </cell>
          <cell r="J3281" t="str">
            <v>muybueno</v>
          </cell>
          <cell r="K3281" t="str">
            <v>probsi</v>
          </cell>
        </row>
        <row r="3282">
          <cell r="B3282" t="b">
            <v>1</v>
          </cell>
          <cell r="E3282" t="str">
            <v>Canapote</v>
          </cell>
          <cell r="H3282" t="str">
            <v>laboratorio</v>
          </cell>
          <cell r="J3282" t="str">
            <v>muybueno</v>
          </cell>
          <cell r="K3282" t="str">
            <v>probsi</v>
          </cell>
        </row>
        <row r="3283">
          <cell r="B3283" t="b">
            <v>1</v>
          </cell>
          <cell r="E3283" t="str">
            <v>Canapote</v>
          </cell>
          <cell r="H3283" t="str">
            <v>laboratorio</v>
          </cell>
          <cell r="J3283" t="str">
            <v>muybueno</v>
          </cell>
          <cell r="K3283" t="str">
            <v>probsi</v>
          </cell>
        </row>
        <row r="3284">
          <cell r="B3284" t="b">
            <v>1</v>
          </cell>
          <cell r="E3284" t="str">
            <v>Canapote</v>
          </cell>
          <cell r="H3284" t="str">
            <v>laboratorio</v>
          </cell>
          <cell r="J3284" t="str">
            <v>muybueno</v>
          </cell>
          <cell r="K3284" t="str">
            <v>probsi</v>
          </cell>
        </row>
        <row r="3285">
          <cell r="B3285" t="b">
            <v>1</v>
          </cell>
          <cell r="E3285" t="str">
            <v>Canapote</v>
          </cell>
          <cell r="H3285" t="str">
            <v>laboratorio</v>
          </cell>
          <cell r="J3285" t="str">
            <v>muybueno</v>
          </cell>
          <cell r="K3285" t="str">
            <v>probsi</v>
          </cell>
        </row>
        <row r="3286">
          <cell r="B3286" t="b">
            <v>1</v>
          </cell>
          <cell r="E3286" t="str">
            <v>Canapote</v>
          </cell>
          <cell r="H3286" t="str">
            <v>laboratorio</v>
          </cell>
          <cell r="J3286" t="str">
            <v>muybueno</v>
          </cell>
          <cell r="K3286" t="str">
            <v>probsi</v>
          </cell>
        </row>
        <row r="3287">
          <cell r="B3287" t="b">
            <v>1</v>
          </cell>
          <cell r="E3287" t="str">
            <v>Canapote</v>
          </cell>
          <cell r="H3287" t="str">
            <v>laboratorio</v>
          </cell>
          <cell r="J3287" t="str">
            <v>muybueno</v>
          </cell>
          <cell r="K3287" t="str">
            <v>probsi</v>
          </cell>
        </row>
        <row r="3288">
          <cell r="B3288" t="b">
            <v>1</v>
          </cell>
          <cell r="E3288" t="str">
            <v>Canapote</v>
          </cell>
          <cell r="H3288" t="str">
            <v>laboratorio</v>
          </cell>
          <cell r="J3288" t="str">
            <v>muybueno</v>
          </cell>
          <cell r="K3288" t="str">
            <v>probsi</v>
          </cell>
        </row>
        <row r="3289">
          <cell r="B3289" t="b">
            <v>1</v>
          </cell>
          <cell r="E3289" t="str">
            <v>Canapote</v>
          </cell>
          <cell r="H3289" t="str">
            <v>laboratorio</v>
          </cell>
          <cell r="J3289" t="str">
            <v>muybueno</v>
          </cell>
          <cell r="K3289" t="str">
            <v>probsi</v>
          </cell>
        </row>
        <row r="3290">
          <cell r="B3290" t="b">
            <v>1</v>
          </cell>
          <cell r="E3290" t="str">
            <v>Canapote</v>
          </cell>
          <cell r="H3290" t="str">
            <v>laboratorio</v>
          </cell>
          <cell r="J3290" t="str">
            <v>muybueno</v>
          </cell>
          <cell r="K3290" t="str">
            <v>probsi</v>
          </cell>
        </row>
        <row r="3291">
          <cell r="B3291" t="b">
            <v>1</v>
          </cell>
          <cell r="E3291" t="str">
            <v>Canapote</v>
          </cell>
          <cell r="H3291" t="str">
            <v>laboratorio</v>
          </cell>
          <cell r="J3291" t="str">
            <v>muybueno</v>
          </cell>
          <cell r="K3291" t="str">
            <v>probsi</v>
          </cell>
        </row>
        <row r="3292">
          <cell r="B3292" t="b">
            <v>1</v>
          </cell>
          <cell r="E3292" t="str">
            <v>Canapote</v>
          </cell>
          <cell r="H3292" t="str">
            <v>laboratorio</v>
          </cell>
          <cell r="J3292" t="str">
            <v>muybueno</v>
          </cell>
          <cell r="K3292" t="str">
            <v>probsi</v>
          </cell>
        </row>
        <row r="3293">
          <cell r="B3293" t="b">
            <v>1</v>
          </cell>
          <cell r="E3293" t="str">
            <v>Canapote</v>
          </cell>
          <cell r="H3293" t="str">
            <v>laboratorio</v>
          </cell>
          <cell r="J3293" t="str">
            <v>muybueno</v>
          </cell>
          <cell r="K3293" t="str">
            <v>probsi</v>
          </cell>
        </row>
        <row r="3294">
          <cell r="B3294" t="b">
            <v>1</v>
          </cell>
          <cell r="E3294" t="str">
            <v>Canapote</v>
          </cell>
          <cell r="H3294" t="str">
            <v>laboratorio</v>
          </cell>
          <cell r="J3294" t="str">
            <v>muybueno</v>
          </cell>
          <cell r="K3294" t="str">
            <v>probsi</v>
          </cell>
        </row>
        <row r="3295">
          <cell r="B3295" t="b">
            <v>1</v>
          </cell>
          <cell r="E3295" t="str">
            <v>Canapote</v>
          </cell>
          <cell r="H3295" t="str">
            <v>laboratorio</v>
          </cell>
          <cell r="J3295" t="str">
            <v>muybueno</v>
          </cell>
          <cell r="K3295" t="str">
            <v>probsi</v>
          </cell>
        </row>
        <row r="3296">
          <cell r="B3296" t="b">
            <v>1</v>
          </cell>
          <cell r="E3296" t="str">
            <v>Canapote</v>
          </cell>
          <cell r="H3296" t="str">
            <v>laboratorio</v>
          </cell>
          <cell r="J3296" t="str">
            <v>muybueno</v>
          </cell>
          <cell r="K3296" t="str">
            <v>probsi</v>
          </cell>
        </row>
        <row r="3297">
          <cell r="B3297" t="b">
            <v>1</v>
          </cell>
          <cell r="E3297" t="str">
            <v>Canapote</v>
          </cell>
          <cell r="H3297" t="str">
            <v>laboratorio</v>
          </cell>
          <cell r="J3297" t="str">
            <v>muybueno</v>
          </cell>
          <cell r="K3297" t="str">
            <v>probsi</v>
          </cell>
        </row>
        <row r="3298">
          <cell r="B3298" t="b">
            <v>1</v>
          </cell>
          <cell r="E3298" t="str">
            <v>Los Cerros</v>
          </cell>
          <cell r="H3298" t="str">
            <v>consulta_externa</v>
          </cell>
          <cell r="J3298" t="str">
            <v>bueno</v>
          </cell>
          <cell r="K3298" t="str">
            <v>defsi</v>
          </cell>
        </row>
        <row r="3299">
          <cell r="B3299" t="b">
            <v>1</v>
          </cell>
          <cell r="E3299" t="str">
            <v>Los Cerros</v>
          </cell>
          <cell r="H3299" t="str">
            <v>salud_oral</v>
          </cell>
          <cell r="J3299" t="str">
            <v>bueno</v>
          </cell>
          <cell r="K3299" t="str">
            <v>defsi</v>
          </cell>
        </row>
        <row r="3300">
          <cell r="B3300" t="b">
            <v>1</v>
          </cell>
          <cell r="E3300" t="str">
            <v>Los Cerros</v>
          </cell>
          <cell r="H3300" t="str">
            <v>laboratorio</v>
          </cell>
          <cell r="J3300" t="str">
            <v>bueno</v>
          </cell>
          <cell r="K3300" t="str">
            <v>defsi</v>
          </cell>
        </row>
        <row r="3301">
          <cell r="B3301" t="b">
            <v>1</v>
          </cell>
          <cell r="E3301" t="str">
            <v>Los Cerros</v>
          </cell>
          <cell r="H3301" t="str">
            <v>ecografias</v>
          </cell>
          <cell r="J3301" t="str">
            <v>bueno</v>
          </cell>
          <cell r="K3301" t="str">
            <v>defsi</v>
          </cell>
        </row>
        <row r="3302">
          <cell r="B3302" t="b">
            <v>1</v>
          </cell>
          <cell r="E3302" t="str">
            <v>Los Cerros</v>
          </cell>
          <cell r="H3302" t="str">
            <v>ginecologia</v>
          </cell>
          <cell r="J3302" t="str">
            <v>bueno</v>
          </cell>
          <cell r="K3302" t="str">
            <v>defsi</v>
          </cell>
        </row>
        <row r="3303">
          <cell r="B3303" t="b">
            <v>1</v>
          </cell>
          <cell r="E3303" t="str">
            <v>Los Cerros</v>
          </cell>
          <cell r="H3303" t="str">
            <v>pediatria</v>
          </cell>
          <cell r="J3303" t="str">
            <v>bueno</v>
          </cell>
          <cell r="K3303" t="str">
            <v>defsi</v>
          </cell>
        </row>
        <row r="3304">
          <cell r="B3304" t="b">
            <v>1</v>
          </cell>
          <cell r="E3304" t="str">
            <v>Los Cerros</v>
          </cell>
          <cell r="H3304" t="str">
            <v>medicina_interna</v>
          </cell>
          <cell r="J3304" t="str">
            <v>bueno</v>
          </cell>
          <cell r="K3304" t="str">
            <v>defsi</v>
          </cell>
        </row>
        <row r="3305">
          <cell r="B3305" t="b">
            <v>1</v>
          </cell>
          <cell r="E3305" t="str">
            <v>Los Cerros</v>
          </cell>
          <cell r="H3305" t="str">
            <v>consulta_externa</v>
          </cell>
          <cell r="J3305" t="str">
            <v>bueno</v>
          </cell>
          <cell r="K3305" t="str">
            <v>defsi</v>
          </cell>
        </row>
        <row r="3306">
          <cell r="B3306" t="b">
            <v>1</v>
          </cell>
          <cell r="E3306" t="str">
            <v>Los Cerros</v>
          </cell>
          <cell r="H3306" t="str">
            <v>salud_oral</v>
          </cell>
          <cell r="J3306" t="str">
            <v>bueno</v>
          </cell>
          <cell r="K3306" t="str">
            <v>defsi</v>
          </cell>
        </row>
        <row r="3307">
          <cell r="B3307" t="b">
            <v>1</v>
          </cell>
          <cell r="E3307" t="str">
            <v>Los Cerros</v>
          </cell>
          <cell r="H3307" t="str">
            <v>laboratorio</v>
          </cell>
          <cell r="J3307" t="str">
            <v>bueno</v>
          </cell>
          <cell r="K3307" t="str">
            <v>defsi</v>
          </cell>
        </row>
        <row r="3308">
          <cell r="B3308" t="b">
            <v>1</v>
          </cell>
          <cell r="E3308" t="str">
            <v>Los Cerros</v>
          </cell>
          <cell r="H3308" t="str">
            <v>ecografias</v>
          </cell>
          <cell r="J3308" t="str">
            <v>bueno</v>
          </cell>
          <cell r="K3308" t="str">
            <v>defsi</v>
          </cell>
        </row>
        <row r="3309">
          <cell r="B3309" t="b">
            <v>1</v>
          </cell>
          <cell r="E3309" t="str">
            <v>Los Cerros</v>
          </cell>
          <cell r="H3309" t="str">
            <v>ginecologia</v>
          </cell>
          <cell r="J3309" t="str">
            <v>bueno</v>
          </cell>
          <cell r="K3309" t="str">
            <v>defsi</v>
          </cell>
        </row>
        <row r="3310">
          <cell r="B3310" t="b">
            <v>1</v>
          </cell>
          <cell r="E3310" t="str">
            <v>Los Cerros</v>
          </cell>
          <cell r="H3310" t="str">
            <v>ginecologia</v>
          </cell>
          <cell r="J3310" t="str">
            <v>bueno</v>
          </cell>
          <cell r="K3310" t="str">
            <v>defsi</v>
          </cell>
        </row>
        <row r="3311">
          <cell r="B3311" t="b">
            <v>1</v>
          </cell>
          <cell r="E3311" t="str">
            <v>Los Cerros</v>
          </cell>
          <cell r="H3311" t="str">
            <v>pediatria</v>
          </cell>
          <cell r="J3311" t="str">
            <v>bueno</v>
          </cell>
          <cell r="K3311" t="str">
            <v>defsi</v>
          </cell>
        </row>
        <row r="3312">
          <cell r="B3312" t="b">
            <v>1</v>
          </cell>
          <cell r="E3312" t="str">
            <v>Los Cerros</v>
          </cell>
          <cell r="H3312" t="str">
            <v>medicina_interna</v>
          </cell>
          <cell r="J3312" t="str">
            <v>bueno</v>
          </cell>
          <cell r="K3312" t="str">
            <v>defsi</v>
          </cell>
        </row>
        <row r="3313">
          <cell r="B3313" t="b">
            <v>1</v>
          </cell>
          <cell r="E3313" t="str">
            <v>Canapote</v>
          </cell>
          <cell r="H3313" t="str">
            <v>laboratorio</v>
          </cell>
          <cell r="J3313" t="str">
            <v>muybueno</v>
          </cell>
          <cell r="K3313" t="str">
            <v>probsi</v>
          </cell>
        </row>
        <row r="3314">
          <cell r="B3314" t="b">
            <v>1</v>
          </cell>
          <cell r="E3314" t="str">
            <v>Canapote</v>
          </cell>
          <cell r="H3314" t="str">
            <v>laboratorio</v>
          </cell>
          <cell r="J3314" t="str">
            <v>muybueno</v>
          </cell>
          <cell r="K3314" t="str">
            <v>probsi</v>
          </cell>
        </row>
        <row r="3315">
          <cell r="B3315" t="b">
            <v>1</v>
          </cell>
          <cell r="E3315" t="str">
            <v>Canapote</v>
          </cell>
          <cell r="H3315" t="str">
            <v>laboratorio</v>
          </cell>
          <cell r="J3315" t="str">
            <v>muybueno</v>
          </cell>
          <cell r="K3315" t="str">
            <v>probsi</v>
          </cell>
        </row>
        <row r="3316">
          <cell r="B3316" t="b">
            <v>1</v>
          </cell>
          <cell r="E3316" t="str">
            <v>Canapote</v>
          </cell>
          <cell r="H3316" t="str">
            <v>consulta_externa</v>
          </cell>
          <cell r="J3316" t="str">
            <v>muybueno</v>
          </cell>
          <cell r="K3316" t="str">
            <v>probsi</v>
          </cell>
        </row>
        <row r="3317">
          <cell r="B3317" t="b">
            <v>1</v>
          </cell>
          <cell r="E3317" t="str">
            <v>Canapote</v>
          </cell>
          <cell r="H3317" t="str">
            <v>consulta_externa</v>
          </cell>
          <cell r="J3317" t="str">
            <v>muybueno</v>
          </cell>
          <cell r="K3317" t="str">
            <v>probsi</v>
          </cell>
        </row>
        <row r="3318">
          <cell r="B3318" t="b">
            <v>1</v>
          </cell>
          <cell r="E3318" t="str">
            <v>Canapote</v>
          </cell>
          <cell r="H3318" t="str">
            <v>consulta_externa</v>
          </cell>
          <cell r="J3318" t="str">
            <v>muybueno</v>
          </cell>
          <cell r="K3318" t="str">
            <v>probsi</v>
          </cell>
        </row>
        <row r="3319">
          <cell r="B3319" t="b">
            <v>1</v>
          </cell>
          <cell r="E3319" t="str">
            <v>Canapote</v>
          </cell>
          <cell r="H3319" t="str">
            <v>consulta_externa</v>
          </cell>
          <cell r="J3319" t="str">
            <v>muybueno</v>
          </cell>
          <cell r="K3319" t="str">
            <v>probsi</v>
          </cell>
        </row>
        <row r="3320">
          <cell r="B3320" t="b">
            <v>1</v>
          </cell>
          <cell r="E3320" t="str">
            <v>Canapote</v>
          </cell>
          <cell r="H3320" t="str">
            <v>consulta_externa</v>
          </cell>
          <cell r="J3320" t="str">
            <v>muybueno</v>
          </cell>
          <cell r="K3320" t="str">
            <v>probsi</v>
          </cell>
        </row>
        <row r="3321">
          <cell r="B3321" t="b">
            <v>1</v>
          </cell>
          <cell r="E3321" t="str">
            <v>Canapote</v>
          </cell>
          <cell r="H3321" t="str">
            <v>consulta_externa</v>
          </cell>
          <cell r="J3321" t="str">
            <v>muybueno</v>
          </cell>
          <cell r="K3321" t="str">
            <v>probsi</v>
          </cell>
        </row>
        <row r="3322">
          <cell r="B3322" t="b">
            <v>1</v>
          </cell>
          <cell r="E3322" t="str">
            <v>Canapote</v>
          </cell>
          <cell r="H3322" t="str">
            <v>consulta_externa</v>
          </cell>
          <cell r="J3322" t="str">
            <v>muybueno</v>
          </cell>
          <cell r="K3322" t="str">
            <v>probsi</v>
          </cell>
        </row>
        <row r="3323">
          <cell r="B3323" t="b">
            <v>1</v>
          </cell>
          <cell r="E3323" t="str">
            <v>Daniel Lemaitre</v>
          </cell>
          <cell r="H3323" t="str">
            <v>consulta_externa</v>
          </cell>
          <cell r="J3323" t="str">
            <v>bueno</v>
          </cell>
          <cell r="K3323" t="str">
            <v>probsi</v>
          </cell>
        </row>
        <row r="3324">
          <cell r="B3324" t="b">
            <v>1</v>
          </cell>
          <cell r="E3324" t="str">
            <v>Daniel Lemaitre</v>
          </cell>
          <cell r="H3324" t="str">
            <v>consulta_externa</v>
          </cell>
          <cell r="J3324" t="str">
            <v>bueno</v>
          </cell>
          <cell r="K3324" t="str">
            <v>probsi</v>
          </cell>
        </row>
        <row r="3325">
          <cell r="B3325" t="b">
            <v>1</v>
          </cell>
          <cell r="E3325" t="str">
            <v>Daniel Lemaitre</v>
          </cell>
          <cell r="H3325" t="str">
            <v>consulta_externa</v>
          </cell>
          <cell r="J3325" t="str">
            <v>bueno</v>
          </cell>
          <cell r="K3325" t="str">
            <v>probsi</v>
          </cell>
        </row>
        <row r="3326">
          <cell r="B3326" t="b">
            <v>1</v>
          </cell>
          <cell r="E3326" t="str">
            <v>Daniel Lemaitre</v>
          </cell>
          <cell r="H3326" t="str">
            <v>consulta_externa</v>
          </cell>
          <cell r="J3326" t="str">
            <v>bueno</v>
          </cell>
          <cell r="K3326" t="str">
            <v>probsi</v>
          </cell>
        </row>
        <row r="3327">
          <cell r="B3327" t="b">
            <v>1</v>
          </cell>
          <cell r="E3327" t="str">
            <v>Daniel Lemaitre</v>
          </cell>
          <cell r="H3327" t="str">
            <v>consulta_externa</v>
          </cell>
          <cell r="J3327" t="str">
            <v>bueno</v>
          </cell>
          <cell r="K3327" t="str">
            <v>probsi</v>
          </cell>
        </row>
        <row r="3328">
          <cell r="B3328" t="b">
            <v>1</v>
          </cell>
          <cell r="E3328" t="str">
            <v>Daniel Lemaitre</v>
          </cell>
          <cell r="H3328" t="str">
            <v>consulta_externa</v>
          </cell>
          <cell r="J3328" t="str">
            <v>bueno</v>
          </cell>
          <cell r="K3328" t="str">
            <v>probsi</v>
          </cell>
        </row>
        <row r="3329">
          <cell r="B3329" t="b">
            <v>1</v>
          </cell>
          <cell r="E3329" t="str">
            <v>Daniel Lemaitre</v>
          </cell>
          <cell r="H3329" t="str">
            <v>consulta_externa</v>
          </cell>
          <cell r="J3329" t="str">
            <v>bueno</v>
          </cell>
          <cell r="K3329" t="str">
            <v>probsi</v>
          </cell>
        </row>
        <row r="3330">
          <cell r="B3330" t="b">
            <v>1</v>
          </cell>
          <cell r="E3330" t="str">
            <v>Daniel Lemaitre</v>
          </cell>
          <cell r="H3330" t="str">
            <v>consulta_externa</v>
          </cell>
          <cell r="J3330" t="str">
            <v>bueno</v>
          </cell>
          <cell r="K3330" t="str">
            <v>probsi</v>
          </cell>
        </row>
        <row r="3331">
          <cell r="B3331" t="b">
            <v>1</v>
          </cell>
          <cell r="E3331" t="str">
            <v>Daniel Lemaitre</v>
          </cell>
          <cell r="H3331" t="str">
            <v>consulta_externa</v>
          </cell>
          <cell r="J3331" t="str">
            <v>bueno</v>
          </cell>
          <cell r="K3331" t="str">
            <v>probsi</v>
          </cell>
        </row>
        <row r="3332">
          <cell r="B3332" t="b">
            <v>1</v>
          </cell>
          <cell r="E3332" t="str">
            <v>Daniel Lemaitre</v>
          </cell>
          <cell r="H3332" t="str">
            <v>laboratorio</v>
          </cell>
          <cell r="J3332" t="str">
            <v>bueno</v>
          </cell>
          <cell r="K3332" t="str">
            <v>probsi</v>
          </cell>
        </row>
        <row r="3333">
          <cell r="B3333" t="b">
            <v>1</v>
          </cell>
          <cell r="E3333" t="str">
            <v>Los Cerros</v>
          </cell>
          <cell r="H3333" t="str">
            <v>consulta_externa</v>
          </cell>
          <cell r="J3333" t="str">
            <v>bueno</v>
          </cell>
          <cell r="K3333" t="str">
            <v>defsi</v>
          </cell>
        </row>
        <row r="3334">
          <cell r="B3334" t="b">
            <v>1</v>
          </cell>
          <cell r="E3334" t="str">
            <v>Los Cerros</v>
          </cell>
          <cell r="H3334" t="str">
            <v>salud_oral</v>
          </cell>
          <cell r="J3334" t="str">
            <v>bueno</v>
          </cell>
          <cell r="K3334" t="str">
            <v>defsi</v>
          </cell>
        </row>
        <row r="3335">
          <cell r="B3335" t="b">
            <v>1</v>
          </cell>
          <cell r="E3335" t="str">
            <v>Los Cerros</v>
          </cell>
          <cell r="H3335" t="str">
            <v>laboratorio</v>
          </cell>
          <cell r="J3335" t="str">
            <v>bueno</v>
          </cell>
          <cell r="K3335" t="str">
            <v>defsi</v>
          </cell>
        </row>
        <row r="3336">
          <cell r="B3336" t="b">
            <v>1</v>
          </cell>
          <cell r="E3336" t="str">
            <v>Los Cerros</v>
          </cell>
          <cell r="H3336" t="str">
            <v>ecografias</v>
          </cell>
          <cell r="J3336" t="str">
            <v>bueno</v>
          </cell>
          <cell r="K3336" t="str">
            <v>defsi</v>
          </cell>
        </row>
        <row r="3337">
          <cell r="B3337" t="b">
            <v>1</v>
          </cell>
          <cell r="E3337" t="str">
            <v>Los Cerros</v>
          </cell>
          <cell r="H3337" t="str">
            <v>ginecologia</v>
          </cell>
          <cell r="J3337" t="str">
            <v>bueno</v>
          </cell>
          <cell r="K3337" t="str">
            <v>defsi</v>
          </cell>
        </row>
        <row r="3338">
          <cell r="B3338" t="b">
            <v>1</v>
          </cell>
          <cell r="E3338" t="str">
            <v>Los Cerros</v>
          </cell>
          <cell r="H3338" t="str">
            <v>pediatria</v>
          </cell>
          <cell r="J3338" t="str">
            <v>bueno</v>
          </cell>
          <cell r="K3338" t="str">
            <v>defsi</v>
          </cell>
        </row>
        <row r="3339">
          <cell r="B3339" t="b">
            <v>1</v>
          </cell>
          <cell r="E3339" t="str">
            <v>Los Cerros</v>
          </cell>
          <cell r="H3339" t="str">
            <v>medicina_interna</v>
          </cell>
          <cell r="J3339" t="str">
            <v>bueno</v>
          </cell>
          <cell r="K3339" t="str">
            <v>defsi</v>
          </cell>
        </row>
        <row r="3340">
          <cell r="B3340" t="b">
            <v>1</v>
          </cell>
          <cell r="E3340" t="str">
            <v>Los Cerros</v>
          </cell>
          <cell r="H3340" t="str">
            <v>consulta_externa</v>
          </cell>
          <cell r="J3340" t="str">
            <v>bueno</v>
          </cell>
          <cell r="K3340" t="str">
            <v>defsi</v>
          </cell>
        </row>
        <row r="3341">
          <cell r="B3341" t="b">
            <v>1</v>
          </cell>
          <cell r="E3341" t="str">
            <v>Los Cerros</v>
          </cell>
          <cell r="H3341" t="str">
            <v>salud_oral</v>
          </cell>
          <cell r="J3341" t="str">
            <v>bueno</v>
          </cell>
          <cell r="K3341" t="str">
            <v>defsi</v>
          </cell>
        </row>
        <row r="3342">
          <cell r="B3342" t="b">
            <v>1</v>
          </cell>
          <cell r="E3342" t="str">
            <v>Los Cerros</v>
          </cell>
          <cell r="H3342" t="str">
            <v>laboratorio</v>
          </cell>
          <cell r="J3342" t="str">
            <v>bueno</v>
          </cell>
          <cell r="K3342" t="str">
            <v>defsi</v>
          </cell>
        </row>
        <row r="3343">
          <cell r="B3343" t="b">
            <v>1</v>
          </cell>
          <cell r="E3343" t="str">
            <v>Los Cerros</v>
          </cell>
          <cell r="H3343" t="str">
            <v>ecografias</v>
          </cell>
          <cell r="J3343" t="str">
            <v>bueno</v>
          </cell>
          <cell r="K3343" t="str">
            <v>defsi</v>
          </cell>
        </row>
        <row r="3344">
          <cell r="B3344" t="b">
            <v>1</v>
          </cell>
          <cell r="E3344" t="str">
            <v>Los Cerros</v>
          </cell>
          <cell r="H3344" t="str">
            <v>medicina_interna</v>
          </cell>
          <cell r="J3344" t="str">
            <v>bueno</v>
          </cell>
          <cell r="K3344" t="str">
            <v>defsi</v>
          </cell>
        </row>
        <row r="3345">
          <cell r="B3345" t="b">
            <v>1</v>
          </cell>
          <cell r="E3345" t="str">
            <v>Los Cerros</v>
          </cell>
          <cell r="H3345" t="str">
            <v>consulta_externa</v>
          </cell>
          <cell r="J3345" t="str">
            <v>bueno</v>
          </cell>
          <cell r="K3345" t="str">
            <v>defsi</v>
          </cell>
        </row>
        <row r="3346">
          <cell r="B3346" t="b">
            <v>1</v>
          </cell>
          <cell r="E3346" t="str">
            <v>Los Cerros</v>
          </cell>
          <cell r="H3346" t="str">
            <v>salud_oral</v>
          </cell>
          <cell r="J3346" t="str">
            <v>bueno</v>
          </cell>
          <cell r="K3346" t="str">
            <v>defsi</v>
          </cell>
        </row>
        <row r="3347">
          <cell r="B3347" t="b">
            <v>1</v>
          </cell>
          <cell r="E3347" t="str">
            <v>Los Cerros</v>
          </cell>
          <cell r="H3347" t="str">
            <v>laboratorio</v>
          </cell>
          <cell r="J3347" t="str">
            <v>bueno</v>
          </cell>
          <cell r="K3347" t="str">
            <v>defsi</v>
          </cell>
        </row>
        <row r="3348">
          <cell r="B3348" t="b">
            <v>1</v>
          </cell>
          <cell r="E3348" t="str">
            <v>Los Cerros</v>
          </cell>
          <cell r="H3348" t="str">
            <v>ecografias</v>
          </cell>
          <cell r="J3348" t="str">
            <v>bueno</v>
          </cell>
          <cell r="K3348" t="str">
            <v>defsi</v>
          </cell>
        </row>
        <row r="3349">
          <cell r="B3349" t="b">
            <v>1</v>
          </cell>
          <cell r="E3349" t="str">
            <v>Los Cerros</v>
          </cell>
          <cell r="H3349" t="str">
            <v>medicina_interna</v>
          </cell>
          <cell r="J3349" t="str">
            <v>bueno</v>
          </cell>
          <cell r="K3349" t="str">
            <v>defsi</v>
          </cell>
        </row>
        <row r="3350">
          <cell r="B3350" t="b">
            <v>1</v>
          </cell>
          <cell r="E3350" t="str">
            <v>Los Cerros</v>
          </cell>
          <cell r="H3350" t="str">
            <v>consulta_externa</v>
          </cell>
          <cell r="J3350" t="str">
            <v>bueno</v>
          </cell>
          <cell r="K3350" t="str">
            <v>defsi</v>
          </cell>
        </row>
        <row r="3351">
          <cell r="B3351" t="b">
            <v>1</v>
          </cell>
          <cell r="E3351" t="str">
            <v>Los Cerros</v>
          </cell>
          <cell r="H3351" t="str">
            <v>salud_oral</v>
          </cell>
          <cell r="J3351" t="str">
            <v>bueno</v>
          </cell>
          <cell r="K3351" t="str">
            <v>defsi</v>
          </cell>
        </row>
        <row r="3352">
          <cell r="B3352" t="b">
            <v>1</v>
          </cell>
          <cell r="E3352" t="str">
            <v>Los Cerros</v>
          </cell>
          <cell r="H3352" t="str">
            <v>medicina_interna</v>
          </cell>
          <cell r="J3352" t="str">
            <v>bueno</v>
          </cell>
          <cell r="K3352" t="str">
            <v>defsi</v>
          </cell>
        </row>
        <row r="3353">
          <cell r="B3353" t="b">
            <v>1</v>
          </cell>
          <cell r="E3353" t="str">
            <v>Santa Ana</v>
          </cell>
          <cell r="H3353" t="str">
            <v>consulta_externa</v>
          </cell>
          <cell r="J3353" t="str">
            <v>bueno</v>
          </cell>
          <cell r="K3353" t="str">
            <v>defsi</v>
          </cell>
        </row>
        <row r="3354">
          <cell r="B3354" t="b">
            <v>1</v>
          </cell>
          <cell r="E3354" t="str">
            <v>Santa Ana</v>
          </cell>
          <cell r="H3354" t="str">
            <v>salud_oral</v>
          </cell>
          <cell r="J3354" t="str">
            <v>bueno</v>
          </cell>
          <cell r="K3354" t="str">
            <v>defsi</v>
          </cell>
        </row>
        <row r="3355">
          <cell r="B3355" t="b">
            <v>1</v>
          </cell>
          <cell r="E3355" t="str">
            <v>Santa Ana</v>
          </cell>
          <cell r="H3355" t="str">
            <v>laboratorio</v>
          </cell>
          <cell r="J3355" t="str">
            <v>bueno</v>
          </cell>
          <cell r="K3355" t="str">
            <v>defsi</v>
          </cell>
        </row>
        <row r="3356">
          <cell r="B3356" t="b">
            <v>1</v>
          </cell>
          <cell r="E3356" t="str">
            <v>Santa Ana</v>
          </cell>
          <cell r="H3356" t="str">
            <v>urgencia</v>
          </cell>
          <cell r="J3356" t="str">
            <v>bueno</v>
          </cell>
          <cell r="K3356" t="str">
            <v>defsi</v>
          </cell>
        </row>
        <row r="3357">
          <cell r="B3357" t="b">
            <v>1</v>
          </cell>
          <cell r="E3357" t="str">
            <v>Santa Ana</v>
          </cell>
          <cell r="H3357" t="str">
            <v>consulta_externa</v>
          </cell>
          <cell r="J3357" t="str">
            <v>bueno</v>
          </cell>
          <cell r="K3357" t="str">
            <v>defsi</v>
          </cell>
        </row>
        <row r="3358">
          <cell r="B3358" t="b">
            <v>1</v>
          </cell>
          <cell r="E3358" t="str">
            <v>Santa Ana</v>
          </cell>
          <cell r="H3358" t="str">
            <v>salud_oral</v>
          </cell>
          <cell r="J3358" t="str">
            <v>bueno</v>
          </cell>
          <cell r="K3358" t="str">
            <v>defsi</v>
          </cell>
        </row>
        <row r="3359">
          <cell r="B3359" t="b">
            <v>1</v>
          </cell>
          <cell r="E3359" t="str">
            <v>Santa Ana</v>
          </cell>
          <cell r="H3359" t="str">
            <v>laboratorio</v>
          </cell>
          <cell r="J3359" t="str">
            <v>bueno</v>
          </cell>
          <cell r="K3359" t="str">
            <v>defsi</v>
          </cell>
        </row>
        <row r="3360">
          <cell r="B3360" t="b">
            <v>1</v>
          </cell>
          <cell r="E3360" t="str">
            <v>Santa Ana</v>
          </cell>
          <cell r="H3360" t="str">
            <v>urgencia</v>
          </cell>
          <cell r="J3360" t="str">
            <v>bueno</v>
          </cell>
          <cell r="K3360" t="str">
            <v>defsi</v>
          </cell>
        </row>
        <row r="3361">
          <cell r="B3361" t="b">
            <v>1</v>
          </cell>
          <cell r="E3361" t="str">
            <v>Santa Ana</v>
          </cell>
          <cell r="H3361" t="str">
            <v>consulta_externa</v>
          </cell>
          <cell r="J3361" t="str">
            <v>bueno</v>
          </cell>
          <cell r="K3361" t="str">
            <v>defsi</v>
          </cell>
        </row>
        <row r="3362">
          <cell r="B3362" t="b">
            <v>1</v>
          </cell>
          <cell r="E3362" t="str">
            <v>Santa Ana</v>
          </cell>
          <cell r="H3362" t="str">
            <v>salud_oral</v>
          </cell>
          <cell r="J3362" t="str">
            <v>bueno</v>
          </cell>
          <cell r="K3362" t="str">
            <v>defsi</v>
          </cell>
        </row>
        <row r="3363">
          <cell r="B3363" t="b">
            <v>1</v>
          </cell>
          <cell r="E3363" t="str">
            <v>Santa Ana</v>
          </cell>
          <cell r="H3363" t="str">
            <v>laboratorio</v>
          </cell>
          <cell r="J3363" t="str">
            <v>bueno</v>
          </cell>
          <cell r="K3363" t="str">
            <v>defsi</v>
          </cell>
        </row>
        <row r="3364">
          <cell r="B3364" t="b">
            <v>1</v>
          </cell>
          <cell r="E3364" t="str">
            <v>Santa Ana</v>
          </cell>
          <cell r="H3364" t="str">
            <v>urgencia</v>
          </cell>
          <cell r="J3364" t="str">
            <v>bueno</v>
          </cell>
          <cell r="K3364" t="str">
            <v>defsi</v>
          </cell>
        </row>
        <row r="3365">
          <cell r="B3365" t="b">
            <v>1</v>
          </cell>
          <cell r="E3365" t="str">
            <v>Santa Ana</v>
          </cell>
          <cell r="H3365" t="str">
            <v>consulta_externa</v>
          </cell>
          <cell r="J3365" t="str">
            <v>bueno</v>
          </cell>
          <cell r="K3365" t="str">
            <v>defsi</v>
          </cell>
        </row>
        <row r="3366">
          <cell r="B3366" t="b">
            <v>1</v>
          </cell>
          <cell r="E3366" t="str">
            <v>Santa Ana</v>
          </cell>
          <cell r="H3366" t="str">
            <v>salud_oral</v>
          </cell>
          <cell r="J3366" t="str">
            <v>bueno</v>
          </cell>
          <cell r="K3366" t="str">
            <v>defsi</v>
          </cell>
        </row>
        <row r="3367">
          <cell r="B3367" t="b">
            <v>1</v>
          </cell>
          <cell r="E3367" t="str">
            <v>Santa Ana</v>
          </cell>
          <cell r="H3367" t="str">
            <v>urgencia</v>
          </cell>
          <cell r="J3367" t="str">
            <v>bueno</v>
          </cell>
          <cell r="K3367" t="str">
            <v>defsi</v>
          </cell>
        </row>
        <row r="3368">
          <cell r="B3368" t="b">
            <v>1</v>
          </cell>
          <cell r="E3368" t="str">
            <v>Santa Ana</v>
          </cell>
          <cell r="H3368" t="str">
            <v>laboratorio</v>
          </cell>
          <cell r="J3368" t="str">
            <v>bueno</v>
          </cell>
          <cell r="K3368" t="str">
            <v>defsi</v>
          </cell>
        </row>
        <row r="3369">
          <cell r="B3369" t="b">
            <v>1</v>
          </cell>
          <cell r="E3369" t="str">
            <v>Santa Ana</v>
          </cell>
          <cell r="H3369" t="str">
            <v>consulta_externa</v>
          </cell>
          <cell r="J3369" t="str">
            <v>bueno</v>
          </cell>
          <cell r="K3369" t="str">
            <v>defsi</v>
          </cell>
        </row>
        <row r="3370">
          <cell r="B3370" t="b">
            <v>1</v>
          </cell>
          <cell r="E3370" t="str">
            <v>Santa Ana</v>
          </cell>
          <cell r="H3370" t="str">
            <v>salud_oral</v>
          </cell>
          <cell r="J3370" t="str">
            <v>bueno</v>
          </cell>
          <cell r="K3370" t="str">
            <v>defsi</v>
          </cell>
        </row>
        <row r="3371">
          <cell r="B3371" t="b">
            <v>1</v>
          </cell>
          <cell r="E3371" t="str">
            <v>Santa Ana</v>
          </cell>
          <cell r="H3371" t="str">
            <v>laboratorio</v>
          </cell>
          <cell r="J3371" t="str">
            <v>bueno</v>
          </cell>
          <cell r="K3371" t="str">
            <v>defsi</v>
          </cell>
        </row>
        <row r="3372">
          <cell r="B3372" t="b">
            <v>1</v>
          </cell>
          <cell r="E3372" t="str">
            <v>Santa Ana</v>
          </cell>
          <cell r="H3372" t="str">
            <v>urgencia</v>
          </cell>
          <cell r="J3372" t="str">
            <v>bueno</v>
          </cell>
          <cell r="K3372" t="str">
            <v>defsi</v>
          </cell>
        </row>
        <row r="3373">
          <cell r="B3373" t="b">
            <v>1</v>
          </cell>
          <cell r="E3373" t="str">
            <v>Arroz Barato</v>
          </cell>
          <cell r="H3373" t="str">
            <v>consulta_externa</v>
          </cell>
          <cell r="J3373" t="str">
            <v>bueno</v>
          </cell>
          <cell r="K3373" t="str">
            <v>probsi</v>
          </cell>
        </row>
        <row r="3374">
          <cell r="B3374" t="b">
            <v>1</v>
          </cell>
          <cell r="E3374" t="str">
            <v>Arroz Barato</v>
          </cell>
          <cell r="H3374" t="str">
            <v>salud_oral</v>
          </cell>
          <cell r="J3374" t="str">
            <v>bueno</v>
          </cell>
          <cell r="K3374" t="str">
            <v>probsi</v>
          </cell>
        </row>
        <row r="3375">
          <cell r="B3375" t="b">
            <v>0</v>
          </cell>
          <cell r="E3375" t="str">
            <v>Arroz Barato</v>
          </cell>
          <cell r="H3375" t="str">
            <v>consulta_externa</v>
          </cell>
          <cell r="J3375" t="str">
            <v>regular</v>
          </cell>
          <cell r="K3375" t="str">
            <v>probsi</v>
          </cell>
        </row>
        <row r="3376">
          <cell r="B3376" t="b">
            <v>1</v>
          </cell>
          <cell r="E3376" t="str">
            <v>Gaviotas</v>
          </cell>
          <cell r="H3376" t="str">
            <v>consulta_externa</v>
          </cell>
          <cell r="J3376" t="str">
            <v>bueno</v>
          </cell>
          <cell r="K3376" t="str">
            <v>defsi</v>
          </cell>
        </row>
        <row r="3377">
          <cell r="B3377" t="b">
            <v>1</v>
          </cell>
          <cell r="E3377" t="str">
            <v>Gaviotas</v>
          </cell>
          <cell r="H3377" t="str">
            <v>laboratorio</v>
          </cell>
          <cell r="J3377" t="str">
            <v>bueno</v>
          </cell>
          <cell r="K3377" t="str">
            <v>defsi</v>
          </cell>
        </row>
        <row r="3378">
          <cell r="B3378" t="b">
            <v>0</v>
          </cell>
          <cell r="E3378" t="str">
            <v>Arroz Barato</v>
          </cell>
          <cell r="H3378" t="str">
            <v>consulta_externa</v>
          </cell>
          <cell r="J3378" t="str">
            <v>regular</v>
          </cell>
          <cell r="K3378" t="str">
            <v>probsi</v>
          </cell>
        </row>
        <row r="3379">
          <cell r="B3379" t="b">
            <v>0</v>
          </cell>
          <cell r="E3379" t="str">
            <v>Arroz Barato</v>
          </cell>
          <cell r="H3379" t="str">
            <v>salud_oral</v>
          </cell>
          <cell r="J3379" t="str">
            <v>regular</v>
          </cell>
          <cell r="K3379" t="str">
            <v>probsi</v>
          </cell>
        </row>
        <row r="3380">
          <cell r="B3380" t="b">
            <v>1</v>
          </cell>
          <cell r="E3380" t="str">
            <v>San Vicente de Paul</v>
          </cell>
          <cell r="H3380" t="str">
            <v>consulta_externa</v>
          </cell>
          <cell r="J3380" t="str">
            <v>bueno</v>
          </cell>
          <cell r="K3380" t="str">
            <v>defsi</v>
          </cell>
        </row>
        <row r="3381">
          <cell r="B3381" t="b">
            <v>1</v>
          </cell>
          <cell r="E3381" t="str">
            <v>Gaviotas</v>
          </cell>
          <cell r="H3381" t="str">
            <v>laboratorio</v>
          </cell>
          <cell r="J3381" t="str">
            <v>bueno</v>
          </cell>
          <cell r="K3381" t="str">
            <v>defsi</v>
          </cell>
        </row>
        <row r="3382">
          <cell r="B3382" t="b">
            <v>1</v>
          </cell>
          <cell r="E3382" t="str">
            <v>San Vicente de Paul</v>
          </cell>
          <cell r="H3382" t="str">
            <v>salud_oral</v>
          </cell>
          <cell r="J3382" t="str">
            <v>bueno</v>
          </cell>
          <cell r="K3382" t="str">
            <v>defsi</v>
          </cell>
        </row>
        <row r="3383">
          <cell r="B3383" t="b">
            <v>1</v>
          </cell>
          <cell r="E3383" t="str">
            <v>Gaviotas</v>
          </cell>
          <cell r="H3383" t="str">
            <v>consulta_externa</v>
          </cell>
          <cell r="J3383" t="str">
            <v>bueno</v>
          </cell>
          <cell r="K3383" t="str">
            <v>defsi</v>
          </cell>
        </row>
        <row r="3384">
          <cell r="B3384" t="b">
            <v>0</v>
          </cell>
          <cell r="E3384" t="str">
            <v>Arroz Barato</v>
          </cell>
          <cell r="H3384" t="str">
            <v>salud_oral</v>
          </cell>
          <cell r="J3384" t="str">
            <v>regular</v>
          </cell>
          <cell r="K3384" t="str">
            <v>probsi</v>
          </cell>
        </row>
        <row r="3385">
          <cell r="B3385" t="b">
            <v>0</v>
          </cell>
          <cell r="E3385" t="str">
            <v>Arroz Barato</v>
          </cell>
          <cell r="H3385" t="str">
            <v>salud_oral</v>
          </cell>
          <cell r="J3385" t="str">
            <v>regular</v>
          </cell>
          <cell r="K3385" t="str">
            <v>probsi</v>
          </cell>
        </row>
        <row r="3386">
          <cell r="B3386" t="b">
            <v>1</v>
          </cell>
          <cell r="E3386" t="str">
            <v>San Vicente de Paul</v>
          </cell>
          <cell r="H3386" t="str">
            <v>salud_oral</v>
          </cell>
          <cell r="J3386" t="str">
            <v>bueno</v>
          </cell>
          <cell r="K3386" t="str">
            <v>defsi</v>
          </cell>
        </row>
        <row r="3387">
          <cell r="B3387" t="b">
            <v>1</v>
          </cell>
          <cell r="E3387" t="str">
            <v>Arroz Barato</v>
          </cell>
          <cell r="H3387" t="str">
            <v>laboratorio</v>
          </cell>
          <cell r="J3387" t="str">
            <v>bueno</v>
          </cell>
          <cell r="K3387" t="str">
            <v>probsi</v>
          </cell>
        </row>
        <row r="3388">
          <cell r="B3388" t="b">
            <v>0</v>
          </cell>
          <cell r="E3388" t="str">
            <v>Arroz Barato</v>
          </cell>
          <cell r="H3388" t="str">
            <v>consulta_externa</v>
          </cell>
          <cell r="J3388" t="str">
            <v>regular</v>
          </cell>
          <cell r="K3388" t="str">
            <v>probsi</v>
          </cell>
        </row>
        <row r="3389">
          <cell r="B3389" t="b">
            <v>1</v>
          </cell>
          <cell r="E3389" t="str">
            <v>Gaviotas</v>
          </cell>
          <cell r="H3389" t="str">
            <v>consulta_externa</v>
          </cell>
          <cell r="J3389" t="str">
            <v>bueno</v>
          </cell>
          <cell r="K3389" t="str">
            <v>defsi</v>
          </cell>
        </row>
        <row r="3390">
          <cell r="B3390" t="b">
            <v>0</v>
          </cell>
          <cell r="E3390" t="str">
            <v>Arroz Barato</v>
          </cell>
          <cell r="H3390" t="str">
            <v>consulta_externa</v>
          </cell>
          <cell r="J3390" t="str">
            <v>regular</v>
          </cell>
          <cell r="K3390" t="str">
            <v>probsi</v>
          </cell>
        </row>
        <row r="3391">
          <cell r="B3391" t="b">
            <v>1</v>
          </cell>
          <cell r="E3391" t="str">
            <v>Gaviotas</v>
          </cell>
          <cell r="H3391" t="str">
            <v>salud_oral</v>
          </cell>
          <cell r="J3391" t="str">
            <v>muybueno</v>
          </cell>
          <cell r="K3391" t="str">
            <v>defsi</v>
          </cell>
        </row>
        <row r="3392">
          <cell r="B3392" t="b">
            <v>1</v>
          </cell>
          <cell r="E3392" t="str">
            <v>Gaviotas</v>
          </cell>
          <cell r="H3392" t="str">
            <v>salud_oral</v>
          </cell>
          <cell r="J3392" t="str">
            <v>bueno</v>
          </cell>
          <cell r="K3392" t="str">
            <v>defsi</v>
          </cell>
        </row>
        <row r="3393">
          <cell r="B3393" t="b">
            <v>1</v>
          </cell>
          <cell r="E3393" t="str">
            <v>Arroz Barato</v>
          </cell>
          <cell r="H3393" t="str">
            <v>consulta_externa</v>
          </cell>
          <cell r="J3393" t="str">
            <v>bueno</v>
          </cell>
          <cell r="K3393" t="str">
            <v>probsi</v>
          </cell>
        </row>
        <row r="3394">
          <cell r="B3394" t="b">
            <v>0</v>
          </cell>
          <cell r="E3394" t="str">
            <v>Arroz Barato</v>
          </cell>
          <cell r="H3394" t="str">
            <v>ecografias</v>
          </cell>
          <cell r="J3394" t="str">
            <v>regular</v>
          </cell>
          <cell r="K3394" t="str">
            <v>probsi</v>
          </cell>
        </row>
        <row r="3395">
          <cell r="B3395" t="b">
            <v>1</v>
          </cell>
          <cell r="E3395" t="str">
            <v>Arroz Barato</v>
          </cell>
          <cell r="H3395" t="str">
            <v>salud_oral</v>
          </cell>
          <cell r="J3395" t="str">
            <v>bueno</v>
          </cell>
          <cell r="K3395" t="str">
            <v>probsi</v>
          </cell>
        </row>
        <row r="3396">
          <cell r="B3396" t="b">
            <v>1</v>
          </cell>
          <cell r="E3396" t="str">
            <v>Arroz Barato</v>
          </cell>
          <cell r="H3396" t="str">
            <v>consulta_externa</v>
          </cell>
          <cell r="J3396" t="str">
            <v>bueno</v>
          </cell>
          <cell r="K3396" t="str">
            <v>probsi</v>
          </cell>
        </row>
        <row r="3397">
          <cell r="B3397" t="b">
            <v>1</v>
          </cell>
          <cell r="E3397" t="str">
            <v>San Vicente de Paul</v>
          </cell>
          <cell r="H3397" t="str">
            <v>consulta_externa</v>
          </cell>
          <cell r="J3397" t="str">
            <v>bueno</v>
          </cell>
          <cell r="K3397" t="str">
            <v>defsi</v>
          </cell>
        </row>
        <row r="3398">
          <cell r="B3398" t="b">
            <v>1</v>
          </cell>
          <cell r="E3398" t="str">
            <v>Arroz Barato</v>
          </cell>
          <cell r="H3398" t="str">
            <v>consulta_externa</v>
          </cell>
          <cell r="J3398" t="str">
            <v>bueno</v>
          </cell>
          <cell r="K3398" t="str">
            <v>probsi</v>
          </cell>
        </row>
        <row r="3399">
          <cell r="B3399" t="b">
            <v>1</v>
          </cell>
          <cell r="E3399" t="str">
            <v>Arroz Barato</v>
          </cell>
          <cell r="H3399" t="str">
            <v>consulta_externa</v>
          </cell>
          <cell r="J3399" t="str">
            <v>bueno</v>
          </cell>
          <cell r="K3399" t="str">
            <v>probsi</v>
          </cell>
        </row>
        <row r="3400">
          <cell r="B3400" t="b">
            <v>1</v>
          </cell>
          <cell r="E3400" t="str">
            <v>Gaviotas</v>
          </cell>
          <cell r="H3400" t="str">
            <v>salud_oral</v>
          </cell>
          <cell r="J3400" t="str">
            <v>bueno</v>
          </cell>
          <cell r="K3400" t="str">
            <v>defsi</v>
          </cell>
        </row>
        <row r="3401">
          <cell r="B3401" t="b">
            <v>1</v>
          </cell>
          <cell r="E3401" t="str">
            <v>San Vicente de Paul</v>
          </cell>
          <cell r="H3401" t="str">
            <v>salud_oral</v>
          </cell>
          <cell r="J3401" t="str">
            <v>bueno</v>
          </cell>
          <cell r="K3401" t="str">
            <v>defsi</v>
          </cell>
        </row>
        <row r="3402">
          <cell r="B3402" t="b">
            <v>0</v>
          </cell>
          <cell r="E3402" t="str">
            <v>Arroz Barato</v>
          </cell>
          <cell r="H3402" t="str">
            <v>urgencia</v>
          </cell>
          <cell r="J3402" t="str">
            <v>regular</v>
          </cell>
          <cell r="K3402" t="str">
            <v>probno</v>
          </cell>
        </row>
        <row r="3403">
          <cell r="B3403" t="b">
            <v>1</v>
          </cell>
          <cell r="E3403" t="str">
            <v>San Vicente de Paul</v>
          </cell>
          <cell r="H3403" t="str">
            <v>laboratorio</v>
          </cell>
          <cell r="J3403" t="str">
            <v>bueno</v>
          </cell>
          <cell r="K3403" t="str">
            <v>defsi</v>
          </cell>
        </row>
        <row r="3404">
          <cell r="B3404" t="b">
            <v>0</v>
          </cell>
          <cell r="E3404" t="str">
            <v>Arroz Barato</v>
          </cell>
          <cell r="H3404" t="str">
            <v>salud_oral</v>
          </cell>
          <cell r="J3404" t="str">
            <v>regular</v>
          </cell>
          <cell r="K3404" t="str">
            <v>probsi</v>
          </cell>
        </row>
        <row r="3405">
          <cell r="B3405" t="b">
            <v>0</v>
          </cell>
          <cell r="E3405" t="str">
            <v>Arroz Barato</v>
          </cell>
          <cell r="H3405" t="str">
            <v>consulta_externa</v>
          </cell>
          <cell r="J3405" t="str">
            <v>regular</v>
          </cell>
          <cell r="K3405" t="str">
            <v>probsi</v>
          </cell>
        </row>
        <row r="3406">
          <cell r="B3406" t="b">
            <v>1</v>
          </cell>
          <cell r="E3406" t="str">
            <v>San Vicente de Paul</v>
          </cell>
          <cell r="H3406" t="str">
            <v>consulta_externa</v>
          </cell>
          <cell r="J3406" t="str">
            <v>bueno</v>
          </cell>
          <cell r="K3406" t="str">
            <v>defsi</v>
          </cell>
        </row>
        <row r="3407">
          <cell r="B3407" t="b">
            <v>1</v>
          </cell>
          <cell r="E3407" t="str">
            <v>San Vicente de Paul</v>
          </cell>
          <cell r="H3407" t="str">
            <v>salud_oral</v>
          </cell>
          <cell r="J3407" t="str">
            <v>bueno</v>
          </cell>
          <cell r="K3407" t="str">
            <v>defsi</v>
          </cell>
        </row>
        <row r="3408">
          <cell r="B3408" t="b">
            <v>1</v>
          </cell>
          <cell r="E3408" t="str">
            <v>San Vicente de Paul</v>
          </cell>
          <cell r="H3408" t="str">
            <v>laboratorio</v>
          </cell>
          <cell r="J3408" t="str">
            <v>bueno</v>
          </cell>
          <cell r="K3408" t="str">
            <v>defsi</v>
          </cell>
        </row>
        <row r="3409">
          <cell r="B3409" t="b">
            <v>0</v>
          </cell>
          <cell r="E3409" t="str">
            <v>Arroz Barato</v>
          </cell>
          <cell r="H3409" t="str">
            <v>consulta_externa</v>
          </cell>
          <cell r="J3409" t="str">
            <v>regular</v>
          </cell>
          <cell r="K3409" t="str">
            <v>probsi</v>
          </cell>
        </row>
        <row r="3410">
          <cell r="B3410" t="b">
            <v>1</v>
          </cell>
          <cell r="E3410" t="str">
            <v>Gaviotas</v>
          </cell>
          <cell r="H3410" t="str">
            <v>consulta_externa</v>
          </cell>
          <cell r="J3410" t="str">
            <v>bueno</v>
          </cell>
          <cell r="K3410" t="str">
            <v>defsi</v>
          </cell>
        </row>
        <row r="3411">
          <cell r="B3411" t="b">
            <v>1</v>
          </cell>
          <cell r="E3411" t="str">
            <v>Arroz Barato</v>
          </cell>
          <cell r="H3411" t="str">
            <v>laboratorio</v>
          </cell>
          <cell r="J3411" t="str">
            <v>bueno</v>
          </cell>
          <cell r="K3411" t="str">
            <v>probsi</v>
          </cell>
        </row>
        <row r="3412">
          <cell r="B3412" t="b">
            <v>1</v>
          </cell>
          <cell r="E3412" t="str">
            <v>Gaviotas</v>
          </cell>
          <cell r="H3412" t="str">
            <v>laboratorio</v>
          </cell>
          <cell r="J3412" t="str">
            <v>bueno</v>
          </cell>
          <cell r="K3412" t="str">
            <v>defsi</v>
          </cell>
        </row>
        <row r="3413">
          <cell r="B3413" t="b">
            <v>1</v>
          </cell>
          <cell r="E3413" t="str">
            <v>San Vicente de Paul</v>
          </cell>
          <cell r="H3413" t="str">
            <v>consulta_externa</v>
          </cell>
          <cell r="J3413" t="str">
            <v>bueno</v>
          </cell>
          <cell r="K3413" t="str">
            <v>defsi</v>
          </cell>
        </row>
        <row r="3414">
          <cell r="B3414" t="b">
            <v>1</v>
          </cell>
          <cell r="E3414" t="str">
            <v>Gaviotas</v>
          </cell>
          <cell r="H3414" t="str">
            <v>salud_oral</v>
          </cell>
          <cell r="J3414" t="str">
            <v>bueno</v>
          </cell>
          <cell r="K3414" t="str">
            <v>defsi</v>
          </cell>
        </row>
        <row r="3415">
          <cell r="B3415" t="b">
            <v>1</v>
          </cell>
          <cell r="E3415" t="str">
            <v>San Vicente de Paul</v>
          </cell>
          <cell r="H3415" t="str">
            <v>salud_oral</v>
          </cell>
          <cell r="J3415" t="str">
            <v>bueno</v>
          </cell>
          <cell r="K3415" t="str">
            <v>defsi</v>
          </cell>
        </row>
        <row r="3416">
          <cell r="B3416" t="b">
            <v>1</v>
          </cell>
          <cell r="E3416" t="str">
            <v>Arroz Barato</v>
          </cell>
          <cell r="H3416" t="str">
            <v>consulta_externa</v>
          </cell>
          <cell r="J3416" t="str">
            <v>bueno</v>
          </cell>
          <cell r="K3416" t="str">
            <v>probsi</v>
          </cell>
        </row>
        <row r="3417">
          <cell r="B3417" t="b">
            <v>1</v>
          </cell>
          <cell r="E3417" t="str">
            <v>Arroz Barato</v>
          </cell>
          <cell r="H3417" t="str">
            <v>consulta_externa</v>
          </cell>
          <cell r="J3417" t="str">
            <v>bueno</v>
          </cell>
          <cell r="K3417" t="str">
            <v>probsi</v>
          </cell>
        </row>
        <row r="3418">
          <cell r="B3418" t="b">
            <v>1</v>
          </cell>
          <cell r="E3418" t="str">
            <v>Arroz Barato</v>
          </cell>
          <cell r="H3418" t="str">
            <v>consulta_externa</v>
          </cell>
          <cell r="J3418" t="str">
            <v>bueno</v>
          </cell>
          <cell r="K3418" t="str">
            <v>probsi</v>
          </cell>
        </row>
        <row r="3419">
          <cell r="B3419" t="b">
            <v>1</v>
          </cell>
          <cell r="E3419" t="str">
            <v>Arroz Barato</v>
          </cell>
          <cell r="H3419" t="str">
            <v>urgencia</v>
          </cell>
          <cell r="J3419" t="str">
            <v>bueno</v>
          </cell>
          <cell r="K3419" t="str">
            <v>probsi</v>
          </cell>
        </row>
        <row r="3420">
          <cell r="B3420" t="b">
            <v>1</v>
          </cell>
          <cell r="E3420" t="str">
            <v>San Vicente de Paul</v>
          </cell>
          <cell r="H3420" t="str">
            <v>laboratorio</v>
          </cell>
          <cell r="J3420" t="str">
            <v>bueno</v>
          </cell>
          <cell r="K3420" t="str">
            <v>defsi</v>
          </cell>
        </row>
        <row r="3421">
          <cell r="B3421" t="b">
            <v>0</v>
          </cell>
          <cell r="E3421" t="str">
            <v>Arroz Barato</v>
          </cell>
          <cell r="H3421" t="str">
            <v>salud_oral</v>
          </cell>
          <cell r="J3421" t="str">
            <v>regular</v>
          </cell>
          <cell r="K3421" t="str">
            <v>probsi</v>
          </cell>
        </row>
        <row r="3422">
          <cell r="B3422" t="b">
            <v>0</v>
          </cell>
          <cell r="E3422" t="str">
            <v>Arroz Barato</v>
          </cell>
          <cell r="H3422" t="str">
            <v>salud_oral</v>
          </cell>
          <cell r="J3422" t="str">
            <v>regular</v>
          </cell>
          <cell r="K3422" t="str">
            <v>probsi</v>
          </cell>
        </row>
        <row r="3423">
          <cell r="B3423" t="b">
            <v>1</v>
          </cell>
          <cell r="E3423" t="str">
            <v>Gaviotas</v>
          </cell>
          <cell r="H3423" t="str">
            <v>salud_oral</v>
          </cell>
          <cell r="J3423" t="str">
            <v>bueno</v>
          </cell>
          <cell r="K3423" t="str">
            <v>defsi</v>
          </cell>
        </row>
        <row r="3424">
          <cell r="B3424" t="b">
            <v>1</v>
          </cell>
          <cell r="E3424" t="str">
            <v>Arroz Barato</v>
          </cell>
          <cell r="H3424" t="str">
            <v>salud_oral</v>
          </cell>
          <cell r="J3424" t="str">
            <v>bueno</v>
          </cell>
          <cell r="K3424" t="str">
            <v>probsi</v>
          </cell>
        </row>
        <row r="3425">
          <cell r="B3425" t="b">
            <v>1</v>
          </cell>
          <cell r="E3425" t="str">
            <v>Arroz Barato</v>
          </cell>
          <cell r="H3425" t="str">
            <v>laboratorio</v>
          </cell>
          <cell r="J3425" t="str">
            <v>bueno</v>
          </cell>
          <cell r="K3425" t="str">
            <v>probsi</v>
          </cell>
        </row>
        <row r="3426">
          <cell r="B3426" t="b">
            <v>1</v>
          </cell>
          <cell r="E3426" t="str">
            <v>Arroz Barato</v>
          </cell>
          <cell r="H3426" t="str">
            <v>salud_oral</v>
          </cell>
          <cell r="J3426" t="str">
            <v>bueno</v>
          </cell>
          <cell r="K3426" t="str">
            <v>probsi</v>
          </cell>
        </row>
        <row r="3427">
          <cell r="B3427" t="b">
            <v>1</v>
          </cell>
          <cell r="E3427" t="str">
            <v>Arroz Barato</v>
          </cell>
          <cell r="H3427" t="str">
            <v>laboratorio</v>
          </cell>
          <cell r="J3427" t="str">
            <v>bueno</v>
          </cell>
          <cell r="K3427" t="str">
            <v>probsi</v>
          </cell>
        </row>
        <row r="3428">
          <cell r="B3428" t="b">
            <v>1</v>
          </cell>
          <cell r="E3428" t="str">
            <v>San Vicente de Paul</v>
          </cell>
          <cell r="H3428" t="str">
            <v>consulta_externa</v>
          </cell>
          <cell r="J3428" t="str">
            <v>bueno</v>
          </cell>
          <cell r="K3428" t="str">
            <v>defsi</v>
          </cell>
        </row>
        <row r="3429">
          <cell r="B3429" t="b">
            <v>1</v>
          </cell>
          <cell r="E3429" t="str">
            <v>San Vicente de Paul</v>
          </cell>
          <cell r="H3429" t="str">
            <v>salud_oral</v>
          </cell>
          <cell r="J3429" t="str">
            <v>bueno</v>
          </cell>
          <cell r="K3429" t="str">
            <v>defsi</v>
          </cell>
        </row>
        <row r="3430">
          <cell r="B3430" t="b">
            <v>1</v>
          </cell>
          <cell r="E3430" t="str">
            <v>San Vicente de Paul</v>
          </cell>
          <cell r="H3430" t="str">
            <v>laboratorio</v>
          </cell>
          <cell r="J3430" t="str">
            <v>bueno</v>
          </cell>
          <cell r="K3430" t="str">
            <v>defsi</v>
          </cell>
        </row>
        <row r="3431">
          <cell r="B3431" t="b">
            <v>1</v>
          </cell>
          <cell r="E3431" t="str">
            <v>Gaviotas</v>
          </cell>
          <cell r="H3431" t="str">
            <v>salud_oral</v>
          </cell>
          <cell r="J3431" t="str">
            <v>bueno</v>
          </cell>
          <cell r="K3431" t="str">
            <v>defsi</v>
          </cell>
        </row>
        <row r="3432">
          <cell r="B3432" t="b">
            <v>1</v>
          </cell>
          <cell r="E3432" t="str">
            <v>Gaviotas</v>
          </cell>
          <cell r="H3432" t="str">
            <v>salud_oral</v>
          </cell>
          <cell r="J3432" t="str">
            <v>bueno</v>
          </cell>
          <cell r="K3432" t="str">
            <v>defsi</v>
          </cell>
        </row>
        <row r="3433">
          <cell r="B3433" t="b">
            <v>1</v>
          </cell>
          <cell r="E3433" t="str">
            <v>Gaviotas</v>
          </cell>
          <cell r="H3433" t="str">
            <v>salud_oral</v>
          </cell>
          <cell r="J3433" t="str">
            <v>bueno</v>
          </cell>
          <cell r="K3433" t="str">
            <v>defsi</v>
          </cell>
        </row>
        <row r="3434">
          <cell r="B3434" t="b">
            <v>1</v>
          </cell>
          <cell r="E3434" t="str">
            <v>Gaviotas</v>
          </cell>
          <cell r="H3434" t="str">
            <v>laboratorio</v>
          </cell>
          <cell r="J3434" t="str">
            <v>bueno</v>
          </cell>
          <cell r="K3434" t="str">
            <v>defsi</v>
          </cell>
        </row>
        <row r="3435">
          <cell r="B3435" t="b">
            <v>1</v>
          </cell>
          <cell r="E3435" t="str">
            <v>Gaviotas</v>
          </cell>
          <cell r="H3435" t="str">
            <v>laboratorio</v>
          </cell>
          <cell r="J3435" t="str">
            <v>bueno</v>
          </cell>
          <cell r="K3435" t="str">
            <v>defsi</v>
          </cell>
        </row>
        <row r="3436">
          <cell r="B3436" t="b">
            <v>1</v>
          </cell>
          <cell r="E3436" t="str">
            <v>Gaviotas</v>
          </cell>
          <cell r="H3436" t="str">
            <v>consulta_externa</v>
          </cell>
          <cell r="J3436" t="str">
            <v>bueno</v>
          </cell>
          <cell r="K3436" t="str">
            <v>defsi</v>
          </cell>
        </row>
        <row r="3437">
          <cell r="B3437" t="b">
            <v>1</v>
          </cell>
          <cell r="E3437" t="str">
            <v>Gaviotas</v>
          </cell>
          <cell r="H3437" t="str">
            <v>consulta_externa</v>
          </cell>
          <cell r="J3437" t="str">
            <v>bueno</v>
          </cell>
          <cell r="K3437" t="str">
            <v>defsi</v>
          </cell>
        </row>
        <row r="3438">
          <cell r="B3438" t="b">
            <v>1</v>
          </cell>
          <cell r="E3438" t="str">
            <v>San Vicente de Paul</v>
          </cell>
          <cell r="H3438" t="str">
            <v>consulta_externa</v>
          </cell>
          <cell r="J3438" t="str">
            <v>bueno</v>
          </cell>
          <cell r="K3438" t="str">
            <v>defsi</v>
          </cell>
        </row>
        <row r="3439">
          <cell r="B3439" t="b">
            <v>1</v>
          </cell>
          <cell r="E3439" t="str">
            <v>San Vicente de Paul</v>
          </cell>
          <cell r="H3439" t="str">
            <v>salud_oral</v>
          </cell>
          <cell r="J3439" t="str">
            <v>bueno</v>
          </cell>
          <cell r="K3439" t="str">
            <v>defsi</v>
          </cell>
        </row>
        <row r="3440">
          <cell r="B3440" t="b">
            <v>1</v>
          </cell>
          <cell r="E3440" t="str">
            <v>San Vicente de Paul</v>
          </cell>
          <cell r="H3440" t="str">
            <v>laboratorio</v>
          </cell>
          <cell r="J3440" t="str">
            <v>bueno</v>
          </cell>
          <cell r="K3440" t="str">
            <v>defsi</v>
          </cell>
        </row>
        <row r="3441">
          <cell r="B3441" t="b">
            <v>1</v>
          </cell>
          <cell r="E3441" t="str">
            <v>San Vicente de Paul</v>
          </cell>
          <cell r="H3441" t="str">
            <v>salud_oral</v>
          </cell>
          <cell r="J3441" t="str">
            <v>bueno</v>
          </cell>
          <cell r="K3441" t="str">
            <v>defsi</v>
          </cell>
        </row>
        <row r="3442">
          <cell r="B3442" t="b">
            <v>1</v>
          </cell>
          <cell r="E3442" t="str">
            <v>San Vicente de Paul</v>
          </cell>
          <cell r="H3442" t="str">
            <v>salud_oral</v>
          </cell>
          <cell r="J3442" t="str">
            <v>bueno</v>
          </cell>
          <cell r="K3442" t="str">
            <v>defsi</v>
          </cell>
        </row>
        <row r="3443">
          <cell r="B3443" t="b">
            <v>0</v>
          </cell>
          <cell r="E3443" t="str">
            <v>Arroz Barato</v>
          </cell>
          <cell r="H3443" t="str">
            <v>salud_oral</v>
          </cell>
          <cell r="J3443" t="str">
            <v>regular</v>
          </cell>
          <cell r="K3443" t="str">
            <v>probsi</v>
          </cell>
        </row>
        <row r="3444">
          <cell r="B3444" t="b">
            <v>1</v>
          </cell>
          <cell r="E3444" t="str">
            <v>San Vicente de Paul</v>
          </cell>
          <cell r="H3444" t="str">
            <v>laboratorio</v>
          </cell>
          <cell r="J3444" t="str">
            <v>bueno</v>
          </cell>
          <cell r="K3444" t="str">
            <v>defsi</v>
          </cell>
        </row>
        <row r="3445">
          <cell r="B3445" t="b">
            <v>1</v>
          </cell>
          <cell r="E3445" t="str">
            <v>San Vicente de Paul</v>
          </cell>
          <cell r="H3445" t="str">
            <v>consulta_externa</v>
          </cell>
          <cell r="J3445" t="str">
            <v>bueno</v>
          </cell>
          <cell r="K3445" t="str">
            <v>defsi</v>
          </cell>
        </row>
        <row r="3446">
          <cell r="B3446" t="b">
            <v>1</v>
          </cell>
          <cell r="E3446" t="str">
            <v>San Vicente de Paul</v>
          </cell>
          <cell r="H3446" t="str">
            <v>salud_oral</v>
          </cell>
          <cell r="J3446" t="str">
            <v>bueno</v>
          </cell>
          <cell r="K3446" t="str">
            <v>defsi</v>
          </cell>
        </row>
        <row r="3447">
          <cell r="B3447" t="b">
            <v>1</v>
          </cell>
          <cell r="E3447" t="str">
            <v>San Vicente de Paul</v>
          </cell>
          <cell r="H3447" t="str">
            <v>laboratorio</v>
          </cell>
          <cell r="J3447" t="str">
            <v>bueno</v>
          </cell>
          <cell r="K3447" t="str">
            <v>defsi</v>
          </cell>
        </row>
        <row r="3448">
          <cell r="B3448" t="b">
            <v>1</v>
          </cell>
          <cell r="E3448" t="str">
            <v>Ternera</v>
          </cell>
          <cell r="H3448" t="str">
            <v>consulta_externa</v>
          </cell>
          <cell r="J3448" t="str">
            <v>muybueno</v>
          </cell>
          <cell r="K3448" t="str">
            <v>probsi</v>
          </cell>
        </row>
        <row r="3449">
          <cell r="B3449" t="b">
            <v>1</v>
          </cell>
          <cell r="E3449" t="str">
            <v>Ternera</v>
          </cell>
          <cell r="H3449" t="str">
            <v>salud_oral</v>
          </cell>
          <cell r="J3449" t="str">
            <v>muybueno</v>
          </cell>
          <cell r="K3449" t="str">
            <v>probsi</v>
          </cell>
        </row>
        <row r="3450">
          <cell r="B3450" t="b">
            <v>1</v>
          </cell>
          <cell r="E3450" t="str">
            <v>Ternera</v>
          </cell>
          <cell r="H3450" t="str">
            <v>consulta_externa</v>
          </cell>
          <cell r="J3450" t="str">
            <v>bueno</v>
          </cell>
          <cell r="K3450" t="str">
            <v>probsi</v>
          </cell>
        </row>
        <row r="3451">
          <cell r="B3451" t="b">
            <v>1</v>
          </cell>
          <cell r="E3451" t="str">
            <v>Ternera</v>
          </cell>
          <cell r="H3451" t="str">
            <v>salud_oral</v>
          </cell>
          <cell r="J3451" t="str">
            <v>bueno</v>
          </cell>
          <cell r="K3451" t="str">
            <v>probsi</v>
          </cell>
        </row>
        <row r="3452">
          <cell r="B3452" t="b">
            <v>0</v>
          </cell>
          <cell r="E3452" t="str">
            <v>Ternera</v>
          </cell>
          <cell r="H3452" t="str">
            <v>consulta_externa</v>
          </cell>
          <cell r="J3452" t="str">
            <v>regular</v>
          </cell>
          <cell r="K3452" t="str">
            <v>probsi</v>
          </cell>
        </row>
        <row r="3453">
          <cell r="B3453" t="b">
            <v>0</v>
          </cell>
          <cell r="E3453" t="str">
            <v>Ternera</v>
          </cell>
          <cell r="H3453" t="str">
            <v>salud_oral</v>
          </cell>
          <cell r="J3453" t="str">
            <v>regular</v>
          </cell>
          <cell r="K3453" t="str">
            <v>probsi</v>
          </cell>
        </row>
        <row r="3454">
          <cell r="B3454" t="b">
            <v>0</v>
          </cell>
          <cell r="E3454" t="str">
            <v>Ternera</v>
          </cell>
          <cell r="H3454" t="str">
            <v>laboratorio</v>
          </cell>
          <cell r="J3454" t="str">
            <v>regular</v>
          </cell>
          <cell r="K3454" t="str">
            <v>probsi</v>
          </cell>
        </row>
        <row r="3455">
          <cell r="B3455" t="b">
            <v>0</v>
          </cell>
          <cell r="E3455" t="str">
            <v>Ternera</v>
          </cell>
          <cell r="H3455" t="str">
            <v>consulta_externa</v>
          </cell>
          <cell r="J3455" t="str">
            <v>regular</v>
          </cell>
          <cell r="K3455" t="str">
            <v>probsi</v>
          </cell>
        </row>
        <row r="3456">
          <cell r="B3456" t="b">
            <v>0</v>
          </cell>
          <cell r="E3456" t="str">
            <v>Ternera</v>
          </cell>
          <cell r="H3456" t="str">
            <v>consulta_externa</v>
          </cell>
          <cell r="J3456" t="str">
            <v>regular</v>
          </cell>
          <cell r="K3456" t="str">
            <v>probsi</v>
          </cell>
        </row>
        <row r="3457">
          <cell r="B3457" t="b">
            <v>0</v>
          </cell>
          <cell r="E3457" t="str">
            <v>Ternera</v>
          </cell>
          <cell r="H3457" t="str">
            <v>salud_oral</v>
          </cell>
          <cell r="J3457" t="str">
            <v>regular</v>
          </cell>
          <cell r="K3457" t="str">
            <v>probsi</v>
          </cell>
        </row>
        <row r="3458">
          <cell r="B3458" t="b">
            <v>1</v>
          </cell>
          <cell r="E3458" t="str">
            <v>Gaviotas</v>
          </cell>
          <cell r="H3458" t="str">
            <v>salud_oral</v>
          </cell>
          <cell r="J3458" t="str">
            <v>bueno</v>
          </cell>
          <cell r="K3458" t="str">
            <v>defsi</v>
          </cell>
        </row>
        <row r="3459">
          <cell r="B3459" t="b">
            <v>0</v>
          </cell>
          <cell r="E3459" t="str">
            <v>Ternera</v>
          </cell>
          <cell r="H3459" t="str">
            <v>consulta_externa</v>
          </cell>
          <cell r="J3459" t="str">
            <v>regular</v>
          </cell>
          <cell r="K3459" t="str">
            <v>probsi</v>
          </cell>
        </row>
        <row r="3460">
          <cell r="B3460" t="b">
            <v>1</v>
          </cell>
          <cell r="E3460" t="str">
            <v>Boston</v>
          </cell>
          <cell r="H3460" t="str">
            <v>consulta_externa</v>
          </cell>
          <cell r="J3460" t="str">
            <v>muybueno</v>
          </cell>
          <cell r="K3460" t="str">
            <v>defsi</v>
          </cell>
        </row>
        <row r="3461">
          <cell r="B3461" t="b">
            <v>1</v>
          </cell>
          <cell r="E3461" t="str">
            <v>Boston</v>
          </cell>
          <cell r="H3461" t="str">
            <v>consulta_externa</v>
          </cell>
          <cell r="J3461" t="str">
            <v>bueno</v>
          </cell>
          <cell r="K3461" t="str">
            <v>defsi</v>
          </cell>
        </row>
        <row r="3462">
          <cell r="B3462" t="b">
            <v>1</v>
          </cell>
          <cell r="E3462" t="str">
            <v>Ternera</v>
          </cell>
          <cell r="H3462" t="str">
            <v>consulta_externa</v>
          </cell>
          <cell r="J3462" t="str">
            <v>bueno</v>
          </cell>
          <cell r="K3462" t="str">
            <v>probsi</v>
          </cell>
        </row>
        <row r="3463">
          <cell r="B3463" t="b">
            <v>1</v>
          </cell>
          <cell r="E3463" t="str">
            <v>Ternera</v>
          </cell>
          <cell r="H3463" t="str">
            <v>salud_oral</v>
          </cell>
          <cell r="J3463" t="str">
            <v>bueno</v>
          </cell>
          <cell r="K3463" t="str">
            <v>probsi</v>
          </cell>
        </row>
        <row r="3464">
          <cell r="B3464" t="b">
            <v>1</v>
          </cell>
          <cell r="E3464" t="str">
            <v>Ternera</v>
          </cell>
          <cell r="H3464" t="str">
            <v>laboratorio</v>
          </cell>
          <cell r="J3464" t="str">
            <v>bueno</v>
          </cell>
          <cell r="K3464" t="str">
            <v>probsi</v>
          </cell>
        </row>
        <row r="3465">
          <cell r="B3465" t="b">
            <v>1</v>
          </cell>
          <cell r="E3465" t="str">
            <v>Boston</v>
          </cell>
          <cell r="H3465" t="str">
            <v>consulta_externa</v>
          </cell>
          <cell r="J3465" t="str">
            <v>bueno</v>
          </cell>
          <cell r="K3465" t="str">
            <v>defsi</v>
          </cell>
        </row>
        <row r="3466">
          <cell r="B3466" t="b">
            <v>1</v>
          </cell>
          <cell r="E3466" t="str">
            <v>Boston</v>
          </cell>
          <cell r="H3466" t="str">
            <v>consulta_externa</v>
          </cell>
          <cell r="J3466" t="str">
            <v>bueno</v>
          </cell>
          <cell r="K3466" t="str">
            <v>defsi</v>
          </cell>
        </row>
        <row r="3467">
          <cell r="B3467" t="b">
            <v>1</v>
          </cell>
          <cell r="E3467" t="str">
            <v>Boston</v>
          </cell>
          <cell r="H3467" t="str">
            <v>consulta_externa</v>
          </cell>
          <cell r="J3467" t="str">
            <v>bueno</v>
          </cell>
          <cell r="K3467" t="str">
            <v>defsi</v>
          </cell>
        </row>
        <row r="3468">
          <cell r="B3468" t="b">
            <v>1</v>
          </cell>
          <cell r="E3468" t="str">
            <v>Arroz Barato</v>
          </cell>
          <cell r="H3468" t="str">
            <v>consulta_externa</v>
          </cell>
          <cell r="J3468" t="str">
            <v>bueno</v>
          </cell>
          <cell r="K3468" t="str">
            <v>probsi</v>
          </cell>
        </row>
        <row r="3469">
          <cell r="B3469" t="b">
            <v>0</v>
          </cell>
          <cell r="E3469" t="str">
            <v>Arroz Barato</v>
          </cell>
          <cell r="H3469" t="str">
            <v>salud_oral</v>
          </cell>
          <cell r="J3469" t="str">
            <v>regular</v>
          </cell>
          <cell r="K3469" t="str">
            <v>probsi</v>
          </cell>
        </row>
        <row r="3470">
          <cell r="B3470" t="b">
            <v>1</v>
          </cell>
          <cell r="E3470" t="str">
            <v>Ternera</v>
          </cell>
          <cell r="H3470" t="str">
            <v>consulta_externa</v>
          </cell>
          <cell r="J3470" t="str">
            <v>bueno</v>
          </cell>
          <cell r="K3470" t="str">
            <v>probsi</v>
          </cell>
        </row>
        <row r="3471">
          <cell r="B3471" t="b">
            <v>1</v>
          </cell>
          <cell r="E3471" t="str">
            <v>Ternera</v>
          </cell>
          <cell r="H3471" t="str">
            <v>salud_oral</v>
          </cell>
          <cell r="J3471" t="str">
            <v>bueno</v>
          </cell>
          <cell r="K3471" t="str">
            <v>probsi</v>
          </cell>
        </row>
        <row r="3472">
          <cell r="B3472" t="b">
            <v>1</v>
          </cell>
          <cell r="E3472" t="str">
            <v>Ternera</v>
          </cell>
          <cell r="H3472" t="str">
            <v>laboratorio</v>
          </cell>
          <cell r="J3472" t="str">
            <v>bueno</v>
          </cell>
          <cell r="K3472" t="str">
            <v>probsi</v>
          </cell>
        </row>
        <row r="3473">
          <cell r="B3473" t="b">
            <v>1</v>
          </cell>
          <cell r="E3473" t="str">
            <v>Ternera</v>
          </cell>
          <cell r="H3473" t="str">
            <v>laboratorio</v>
          </cell>
          <cell r="J3473" t="str">
            <v>bueno</v>
          </cell>
          <cell r="K3473" t="str">
            <v>probsi</v>
          </cell>
        </row>
        <row r="3474">
          <cell r="B3474" t="b">
            <v>1</v>
          </cell>
          <cell r="E3474" t="str">
            <v>Ternera</v>
          </cell>
          <cell r="H3474" t="str">
            <v>laboratorio</v>
          </cell>
          <cell r="J3474" t="str">
            <v>bueno</v>
          </cell>
          <cell r="K3474" t="str">
            <v>probsi</v>
          </cell>
        </row>
        <row r="3475">
          <cell r="B3475" t="b">
            <v>1</v>
          </cell>
          <cell r="E3475" t="str">
            <v>Esperanza</v>
          </cell>
          <cell r="H3475" t="str">
            <v>consulta_externa</v>
          </cell>
          <cell r="J3475" t="str">
            <v>bueno</v>
          </cell>
          <cell r="K3475" t="str">
            <v>probsi</v>
          </cell>
        </row>
        <row r="3476">
          <cell r="B3476" t="b">
            <v>1</v>
          </cell>
          <cell r="E3476" t="str">
            <v>Esperanza</v>
          </cell>
          <cell r="H3476" t="str">
            <v>consulta_externa</v>
          </cell>
          <cell r="J3476" t="str">
            <v>bueno</v>
          </cell>
          <cell r="K3476" t="str">
            <v>probsi</v>
          </cell>
        </row>
        <row r="3477">
          <cell r="B3477" t="b">
            <v>1</v>
          </cell>
          <cell r="E3477" t="str">
            <v>Esperanza</v>
          </cell>
          <cell r="H3477" t="str">
            <v>consulta_externa</v>
          </cell>
          <cell r="J3477" t="str">
            <v>bueno</v>
          </cell>
          <cell r="K3477" t="str">
            <v>probsi</v>
          </cell>
        </row>
        <row r="3478">
          <cell r="B3478" t="b">
            <v>1</v>
          </cell>
          <cell r="E3478" t="str">
            <v>Esperanza</v>
          </cell>
          <cell r="H3478" t="str">
            <v>consulta_externa</v>
          </cell>
          <cell r="J3478" t="str">
            <v>bueno</v>
          </cell>
          <cell r="K3478" t="str">
            <v>probsi</v>
          </cell>
        </row>
        <row r="3479">
          <cell r="B3479" t="b">
            <v>1</v>
          </cell>
          <cell r="E3479" t="str">
            <v>Esperanza</v>
          </cell>
          <cell r="H3479" t="str">
            <v>consulta_externa</v>
          </cell>
          <cell r="J3479" t="str">
            <v>bueno</v>
          </cell>
          <cell r="K3479" t="str">
            <v>probsi</v>
          </cell>
        </row>
        <row r="3480">
          <cell r="B3480" t="b">
            <v>1</v>
          </cell>
          <cell r="E3480" t="str">
            <v>Esperanza</v>
          </cell>
          <cell r="H3480" t="str">
            <v>consulta_externa</v>
          </cell>
          <cell r="J3480" t="str">
            <v>bueno</v>
          </cell>
          <cell r="K3480" t="str">
            <v>probsi</v>
          </cell>
        </row>
        <row r="3481">
          <cell r="B3481" t="b">
            <v>1</v>
          </cell>
          <cell r="E3481" t="str">
            <v>Esperanza</v>
          </cell>
          <cell r="H3481" t="str">
            <v>consulta_externa</v>
          </cell>
          <cell r="J3481" t="str">
            <v>bueno</v>
          </cell>
          <cell r="K3481" t="str">
            <v>probsi</v>
          </cell>
        </row>
        <row r="3482">
          <cell r="B3482" t="b">
            <v>1</v>
          </cell>
          <cell r="E3482" t="str">
            <v>Esperanza</v>
          </cell>
          <cell r="H3482" t="str">
            <v>consulta_externa</v>
          </cell>
          <cell r="J3482" t="str">
            <v>bueno</v>
          </cell>
          <cell r="K3482" t="str">
            <v>probsi</v>
          </cell>
        </row>
        <row r="3483">
          <cell r="B3483" t="b">
            <v>1</v>
          </cell>
          <cell r="E3483" t="str">
            <v>Esperanza</v>
          </cell>
          <cell r="H3483" t="str">
            <v>consulta_externa</v>
          </cell>
          <cell r="J3483" t="str">
            <v>bueno</v>
          </cell>
          <cell r="K3483" t="str">
            <v>probsi</v>
          </cell>
        </row>
        <row r="3484">
          <cell r="B3484" t="b">
            <v>1</v>
          </cell>
          <cell r="E3484" t="str">
            <v>Esperanza</v>
          </cell>
          <cell r="H3484" t="str">
            <v>consulta_externa</v>
          </cell>
          <cell r="J3484" t="str">
            <v>bueno</v>
          </cell>
          <cell r="K3484" t="str">
            <v>probsi</v>
          </cell>
        </row>
        <row r="3485">
          <cell r="B3485" t="b">
            <v>1</v>
          </cell>
          <cell r="E3485" t="str">
            <v>Esperanza</v>
          </cell>
          <cell r="H3485" t="str">
            <v>consulta_externa</v>
          </cell>
          <cell r="J3485" t="str">
            <v>bueno</v>
          </cell>
          <cell r="K3485" t="str">
            <v>probsi</v>
          </cell>
        </row>
        <row r="3486">
          <cell r="B3486" t="b">
            <v>1</v>
          </cell>
          <cell r="E3486" t="str">
            <v>Esperanza</v>
          </cell>
          <cell r="H3486" t="str">
            <v>consulta_externa</v>
          </cell>
          <cell r="J3486" t="str">
            <v>bueno</v>
          </cell>
          <cell r="K3486" t="str">
            <v>probsi</v>
          </cell>
        </row>
        <row r="3487">
          <cell r="B3487" t="b">
            <v>1</v>
          </cell>
          <cell r="E3487" t="str">
            <v>Esperanza</v>
          </cell>
          <cell r="H3487" t="str">
            <v>consulta_externa</v>
          </cell>
          <cell r="J3487" t="str">
            <v>bueno</v>
          </cell>
          <cell r="K3487" t="str">
            <v>probsi</v>
          </cell>
        </row>
        <row r="3488">
          <cell r="B3488" t="b">
            <v>1</v>
          </cell>
          <cell r="E3488" t="str">
            <v>Esperanza</v>
          </cell>
          <cell r="H3488" t="str">
            <v>consulta_externa</v>
          </cell>
          <cell r="J3488" t="str">
            <v>bueno</v>
          </cell>
          <cell r="K3488" t="str">
            <v>probsi</v>
          </cell>
        </row>
        <row r="3489">
          <cell r="B3489" t="b">
            <v>1</v>
          </cell>
          <cell r="E3489" t="str">
            <v>Esperanza</v>
          </cell>
          <cell r="H3489" t="str">
            <v>consulta_externa</v>
          </cell>
          <cell r="J3489" t="str">
            <v>bueno</v>
          </cell>
          <cell r="K3489" t="str">
            <v>probsi</v>
          </cell>
        </row>
        <row r="3490">
          <cell r="B3490" t="b">
            <v>1</v>
          </cell>
          <cell r="E3490" t="str">
            <v>Esperanza</v>
          </cell>
          <cell r="H3490" t="str">
            <v>consulta_externa</v>
          </cell>
          <cell r="J3490" t="str">
            <v>bueno</v>
          </cell>
          <cell r="K3490" t="str">
            <v>probsi</v>
          </cell>
        </row>
        <row r="3491">
          <cell r="B3491" t="b">
            <v>1</v>
          </cell>
          <cell r="E3491" t="str">
            <v>Esperanza</v>
          </cell>
          <cell r="H3491" t="str">
            <v>laboratorio</v>
          </cell>
          <cell r="J3491" t="str">
            <v>bueno</v>
          </cell>
          <cell r="K3491" t="str">
            <v>probsi</v>
          </cell>
        </row>
        <row r="3492">
          <cell r="B3492" t="b">
            <v>1</v>
          </cell>
          <cell r="E3492" t="str">
            <v>Esperanza</v>
          </cell>
          <cell r="H3492" t="str">
            <v>laboratorio</v>
          </cell>
          <cell r="J3492" t="str">
            <v>bueno</v>
          </cell>
          <cell r="K3492" t="str">
            <v>probsi</v>
          </cell>
        </row>
        <row r="3493">
          <cell r="B3493" t="b">
            <v>1</v>
          </cell>
          <cell r="E3493" t="str">
            <v>Esperanza</v>
          </cell>
          <cell r="H3493" t="str">
            <v>laboratorio</v>
          </cell>
          <cell r="J3493" t="str">
            <v>bueno</v>
          </cell>
          <cell r="K3493" t="str">
            <v>probsi</v>
          </cell>
        </row>
        <row r="3494">
          <cell r="B3494" t="b">
            <v>1</v>
          </cell>
          <cell r="E3494" t="str">
            <v>Esperanza</v>
          </cell>
          <cell r="H3494" t="str">
            <v>laboratorio</v>
          </cell>
          <cell r="J3494" t="str">
            <v>bueno</v>
          </cell>
          <cell r="K3494" t="str">
            <v>probsi</v>
          </cell>
        </row>
        <row r="3495">
          <cell r="B3495" t="b">
            <v>1</v>
          </cell>
          <cell r="E3495" t="str">
            <v>Esperanza</v>
          </cell>
          <cell r="H3495" t="str">
            <v>salud_oral</v>
          </cell>
          <cell r="J3495" t="str">
            <v>bueno</v>
          </cell>
          <cell r="K3495" t="str">
            <v>probsi</v>
          </cell>
        </row>
        <row r="3496">
          <cell r="B3496" t="b">
            <v>1</v>
          </cell>
          <cell r="E3496" t="str">
            <v>Esperanza</v>
          </cell>
          <cell r="H3496" t="str">
            <v>salud_oral</v>
          </cell>
          <cell r="J3496" t="str">
            <v>bueno</v>
          </cell>
          <cell r="K3496" t="str">
            <v>probsi</v>
          </cell>
        </row>
        <row r="3497">
          <cell r="B3497" t="b">
            <v>1</v>
          </cell>
          <cell r="E3497" t="str">
            <v>Esperanza</v>
          </cell>
          <cell r="H3497" t="str">
            <v>salud_oral</v>
          </cell>
          <cell r="J3497" t="str">
            <v>bueno</v>
          </cell>
          <cell r="K3497" t="str">
            <v>probsi</v>
          </cell>
        </row>
        <row r="3498">
          <cell r="B3498" t="b">
            <v>1</v>
          </cell>
          <cell r="E3498" t="str">
            <v>Esperanza</v>
          </cell>
          <cell r="H3498" t="str">
            <v>salud_oral</v>
          </cell>
          <cell r="J3498" t="str">
            <v>bueno</v>
          </cell>
          <cell r="K3498" t="str">
            <v>probsi</v>
          </cell>
        </row>
        <row r="3499">
          <cell r="B3499" t="b">
            <v>1</v>
          </cell>
          <cell r="E3499" t="str">
            <v>Esperanza</v>
          </cell>
          <cell r="H3499" t="str">
            <v>laboratorio</v>
          </cell>
          <cell r="J3499" t="str">
            <v>bueno</v>
          </cell>
          <cell r="K3499" t="str">
            <v>probsi</v>
          </cell>
        </row>
        <row r="3500">
          <cell r="B3500" t="b">
            <v>1</v>
          </cell>
          <cell r="E3500" t="str">
            <v>Esperanza</v>
          </cell>
          <cell r="H3500" t="str">
            <v>laboratorio</v>
          </cell>
          <cell r="J3500" t="str">
            <v>bueno</v>
          </cell>
          <cell r="K3500" t="str">
            <v>probsi</v>
          </cell>
        </row>
        <row r="3501">
          <cell r="B3501" t="b">
            <v>1</v>
          </cell>
          <cell r="E3501" t="str">
            <v>Esperanza</v>
          </cell>
          <cell r="H3501" t="str">
            <v>laboratorio</v>
          </cell>
          <cell r="J3501" t="str">
            <v>bueno</v>
          </cell>
          <cell r="K3501" t="str">
            <v>probsi</v>
          </cell>
        </row>
        <row r="3502">
          <cell r="B3502" t="b">
            <v>1</v>
          </cell>
          <cell r="E3502" t="str">
            <v>Esperanza</v>
          </cell>
          <cell r="H3502" t="str">
            <v>consulta_externa</v>
          </cell>
          <cell r="J3502" t="str">
            <v>bueno</v>
          </cell>
          <cell r="K3502" t="str">
            <v>probsi</v>
          </cell>
        </row>
        <row r="3503">
          <cell r="B3503" t="b">
            <v>1</v>
          </cell>
          <cell r="E3503" t="str">
            <v>Esperanza</v>
          </cell>
          <cell r="H3503" t="str">
            <v>consulta_externa</v>
          </cell>
          <cell r="J3503" t="str">
            <v>bueno</v>
          </cell>
          <cell r="K3503" t="str">
            <v>probsi</v>
          </cell>
        </row>
        <row r="3504">
          <cell r="B3504" t="b">
            <v>1</v>
          </cell>
          <cell r="E3504" t="str">
            <v>Esperanza</v>
          </cell>
          <cell r="H3504" t="str">
            <v>consulta_externa</v>
          </cell>
          <cell r="J3504" t="str">
            <v>bueno</v>
          </cell>
          <cell r="K3504" t="str">
            <v>probsi</v>
          </cell>
        </row>
        <row r="3505">
          <cell r="B3505" t="b">
            <v>1</v>
          </cell>
          <cell r="E3505" t="str">
            <v>Esperanza</v>
          </cell>
          <cell r="H3505" t="str">
            <v>consulta_externa</v>
          </cell>
          <cell r="J3505" t="str">
            <v>bueno</v>
          </cell>
          <cell r="K3505" t="str">
            <v>probsi</v>
          </cell>
        </row>
        <row r="3506">
          <cell r="B3506" t="b">
            <v>1</v>
          </cell>
          <cell r="E3506" t="str">
            <v>Esperanza</v>
          </cell>
          <cell r="H3506" t="str">
            <v>consulta_externa</v>
          </cell>
          <cell r="J3506" t="str">
            <v>bueno</v>
          </cell>
          <cell r="K3506" t="str">
            <v>probsi</v>
          </cell>
        </row>
        <row r="3507">
          <cell r="B3507" t="b">
            <v>1</v>
          </cell>
          <cell r="E3507" t="str">
            <v>Esperanza</v>
          </cell>
          <cell r="H3507" t="str">
            <v>consulta_externa</v>
          </cell>
          <cell r="J3507" t="str">
            <v>bueno</v>
          </cell>
          <cell r="K3507" t="str">
            <v>probsi</v>
          </cell>
        </row>
        <row r="3508">
          <cell r="B3508" t="b">
            <v>1</v>
          </cell>
          <cell r="E3508" t="str">
            <v>Esperanza</v>
          </cell>
          <cell r="H3508" t="str">
            <v>consulta_externa</v>
          </cell>
          <cell r="J3508" t="str">
            <v>bueno</v>
          </cell>
          <cell r="K3508" t="str">
            <v>probsi</v>
          </cell>
        </row>
        <row r="3509">
          <cell r="B3509" t="b">
            <v>1</v>
          </cell>
          <cell r="E3509" t="str">
            <v>Esperanza</v>
          </cell>
          <cell r="H3509" t="str">
            <v>consulta_externa</v>
          </cell>
          <cell r="J3509" t="str">
            <v>bueno</v>
          </cell>
          <cell r="K3509" t="str">
            <v>probsi</v>
          </cell>
        </row>
        <row r="3510">
          <cell r="B3510" t="b">
            <v>1</v>
          </cell>
          <cell r="E3510" t="str">
            <v>San Vicente de Paul</v>
          </cell>
          <cell r="H3510" t="str">
            <v>consulta_externa</v>
          </cell>
          <cell r="J3510" t="str">
            <v>bueno</v>
          </cell>
          <cell r="K3510" t="str">
            <v>defsi</v>
          </cell>
        </row>
        <row r="3511">
          <cell r="B3511" t="b">
            <v>1</v>
          </cell>
          <cell r="E3511" t="str">
            <v>San Vicente de Paul</v>
          </cell>
          <cell r="H3511" t="str">
            <v>salud_oral</v>
          </cell>
          <cell r="J3511" t="str">
            <v>bueno</v>
          </cell>
          <cell r="K3511" t="str">
            <v>defsi</v>
          </cell>
        </row>
        <row r="3512">
          <cell r="B3512" t="b">
            <v>1</v>
          </cell>
          <cell r="E3512" t="str">
            <v>San Vicente de Paul</v>
          </cell>
          <cell r="H3512" t="str">
            <v>laboratorio</v>
          </cell>
          <cell r="J3512" t="str">
            <v>bueno</v>
          </cell>
          <cell r="K3512" t="str">
            <v>defsi</v>
          </cell>
        </row>
        <row r="3513">
          <cell r="B3513" t="b">
            <v>1</v>
          </cell>
          <cell r="E3513" t="str">
            <v>Ternera</v>
          </cell>
          <cell r="H3513" t="str">
            <v>consulta_externa</v>
          </cell>
          <cell r="J3513" t="str">
            <v>bueno</v>
          </cell>
          <cell r="K3513" t="str">
            <v>probsi</v>
          </cell>
        </row>
        <row r="3514">
          <cell r="B3514" t="b">
            <v>1</v>
          </cell>
          <cell r="E3514" t="str">
            <v>Ternera</v>
          </cell>
          <cell r="H3514" t="str">
            <v>salud_oral</v>
          </cell>
          <cell r="J3514" t="str">
            <v>bueno</v>
          </cell>
          <cell r="K3514" t="str">
            <v>probsi</v>
          </cell>
        </row>
        <row r="3515">
          <cell r="B3515" t="b">
            <v>1</v>
          </cell>
          <cell r="E3515" t="str">
            <v>San Vicente de Paul</v>
          </cell>
          <cell r="H3515" t="str">
            <v>consulta_externa</v>
          </cell>
          <cell r="J3515" t="str">
            <v>bueno</v>
          </cell>
          <cell r="K3515" t="str">
            <v>defsi</v>
          </cell>
        </row>
        <row r="3516">
          <cell r="B3516" t="b">
            <v>1</v>
          </cell>
          <cell r="E3516" t="str">
            <v>San Vicente de Paul</v>
          </cell>
          <cell r="H3516" t="str">
            <v>salud_oral</v>
          </cell>
          <cell r="J3516" t="str">
            <v>bueno</v>
          </cell>
          <cell r="K3516" t="str">
            <v>defsi</v>
          </cell>
        </row>
        <row r="3517">
          <cell r="B3517" t="b">
            <v>1</v>
          </cell>
          <cell r="E3517" t="str">
            <v>San Vicente de Paul</v>
          </cell>
          <cell r="H3517" t="str">
            <v>laboratorio</v>
          </cell>
          <cell r="J3517" t="str">
            <v>bueno</v>
          </cell>
          <cell r="K3517" t="str">
            <v>defsi</v>
          </cell>
        </row>
        <row r="3518">
          <cell r="B3518" t="b">
            <v>1</v>
          </cell>
          <cell r="E3518" t="str">
            <v>San Vicente de Paul</v>
          </cell>
          <cell r="H3518" t="str">
            <v>consulta_externa</v>
          </cell>
          <cell r="J3518" t="str">
            <v>bueno</v>
          </cell>
          <cell r="K3518" t="str">
            <v>defsi</v>
          </cell>
        </row>
        <row r="3519">
          <cell r="B3519" t="b">
            <v>1</v>
          </cell>
          <cell r="E3519" t="str">
            <v>San Vicente de Paul</v>
          </cell>
          <cell r="H3519" t="str">
            <v>salud_oral</v>
          </cell>
          <cell r="J3519" t="str">
            <v>bueno</v>
          </cell>
          <cell r="K3519" t="str">
            <v>defsi</v>
          </cell>
        </row>
        <row r="3520">
          <cell r="B3520" t="b">
            <v>1</v>
          </cell>
          <cell r="E3520" t="str">
            <v>San Vicente de Paul</v>
          </cell>
          <cell r="H3520" t="str">
            <v>laboratorio</v>
          </cell>
          <cell r="J3520" t="str">
            <v>bueno</v>
          </cell>
          <cell r="K3520" t="str">
            <v>defsi</v>
          </cell>
        </row>
        <row r="3521">
          <cell r="B3521" t="b">
            <v>1</v>
          </cell>
          <cell r="E3521" t="str">
            <v>Boston</v>
          </cell>
          <cell r="H3521" t="str">
            <v>consulta_externa</v>
          </cell>
          <cell r="J3521" t="str">
            <v>bueno</v>
          </cell>
          <cell r="K3521" t="str">
            <v>defsi</v>
          </cell>
        </row>
        <row r="3522">
          <cell r="B3522" t="b">
            <v>1</v>
          </cell>
          <cell r="E3522" t="str">
            <v>Boston</v>
          </cell>
          <cell r="H3522" t="str">
            <v>consulta_externa</v>
          </cell>
          <cell r="J3522" t="str">
            <v>bueno</v>
          </cell>
          <cell r="K3522" t="str">
            <v>defsi</v>
          </cell>
        </row>
        <row r="3523">
          <cell r="B3523" t="b">
            <v>1</v>
          </cell>
          <cell r="E3523" t="str">
            <v>Boston</v>
          </cell>
          <cell r="H3523" t="str">
            <v>consulta_externa</v>
          </cell>
          <cell r="J3523" t="str">
            <v>bueno</v>
          </cell>
          <cell r="K3523" t="str">
            <v>defsi</v>
          </cell>
        </row>
        <row r="3524">
          <cell r="B3524" t="b">
            <v>1</v>
          </cell>
          <cell r="E3524" t="str">
            <v>Fredonia</v>
          </cell>
          <cell r="H3524" t="str">
            <v>consulta_externa</v>
          </cell>
          <cell r="J3524" t="str">
            <v>bueno</v>
          </cell>
          <cell r="K3524" t="str">
            <v>defsi</v>
          </cell>
        </row>
        <row r="3525">
          <cell r="B3525" t="b">
            <v>1</v>
          </cell>
          <cell r="E3525" t="str">
            <v>Fredonia</v>
          </cell>
          <cell r="H3525" t="str">
            <v>laboratorio</v>
          </cell>
          <cell r="J3525" t="str">
            <v>bueno</v>
          </cell>
          <cell r="K3525" t="str">
            <v>defsi</v>
          </cell>
        </row>
        <row r="3526">
          <cell r="B3526" t="b">
            <v>1</v>
          </cell>
          <cell r="E3526" t="str">
            <v>Arroz Barato</v>
          </cell>
          <cell r="H3526" t="str">
            <v>laboratorio</v>
          </cell>
          <cell r="J3526" t="str">
            <v>bueno</v>
          </cell>
          <cell r="K3526" t="str">
            <v>probsi</v>
          </cell>
        </row>
        <row r="3527">
          <cell r="B3527" t="b">
            <v>1</v>
          </cell>
          <cell r="E3527" t="str">
            <v>Arroz Barato</v>
          </cell>
          <cell r="H3527" t="str">
            <v>laboratorio</v>
          </cell>
          <cell r="J3527" t="str">
            <v>bueno</v>
          </cell>
          <cell r="K3527" t="str">
            <v>probsi</v>
          </cell>
        </row>
        <row r="3528">
          <cell r="B3528" t="b">
            <v>1</v>
          </cell>
          <cell r="E3528" t="str">
            <v>Arroz Barato</v>
          </cell>
          <cell r="H3528" t="str">
            <v>laboratorio</v>
          </cell>
          <cell r="J3528" t="str">
            <v>bueno</v>
          </cell>
          <cell r="K3528" t="str">
            <v>probsi</v>
          </cell>
        </row>
        <row r="3529">
          <cell r="B3529" t="b">
            <v>1</v>
          </cell>
          <cell r="E3529" t="str">
            <v>Arroz Barato</v>
          </cell>
          <cell r="H3529" t="str">
            <v>laboratorio</v>
          </cell>
          <cell r="J3529" t="str">
            <v>bueno</v>
          </cell>
          <cell r="K3529" t="str">
            <v>probsi</v>
          </cell>
        </row>
        <row r="3530">
          <cell r="B3530" t="b">
            <v>1</v>
          </cell>
          <cell r="E3530" t="str">
            <v>Arroz Barato</v>
          </cell>
          <cell r="H3530" t="str">
            <v>salud_oral</v>
          </cell>
          <cell r="J3530" t="str">
            <v>bueno</v>
          </cell>
          <cell r="K3530" t="str">
            <v>probsi</v>
          </cell>
        </row>
        <row r="3531">
          <cell r="B3531" t="b">
            <v>1</v>
          </cell>
          <cell r="E3531" t="str">
            <v>Arroz Barato</v>
          </cell>
          <cell r="H3531" t="str">
            <v>urgencia</v>
          </cell>
          <cell r="J3531" t="str">
            <v>bueno</v>
          </cell>
          <cell r="K3531" t="str">
            <v>probsi</v>
          </cell>
        </row>
        <row r="3532">
          <cell r="B3532" t="b">
            <v>0</v>
          </cell>
          <cell r="E3532" t="str">
            <v>Arroz Barato</v>
          </cell>
          <cell r="H3532" t="str">
            <v>urgencia</v>
          </cell>
          <cell r="J3532" t="str">
            <v>regular</v>
          </cell>
          <cell r="K3532" t="str">
            <v>probsi</v>
          </cell>
        </row>
        <row r="3533">
          <cell r="B3533" t="b">
            <v>0</v>
          </cell>
          <cell r="E3533" t="str">
            <v>Arroz Barato</v>
          </cell>
          <cell r="H3533" t="str">
            <v>salud_oral</v>
          </cell>
          <cell r="J3533" t="str">
            <v>regular</v>
          </cell>
          <cell r="K3533" t="str">
            <v>probsi</v>
          </cell>
        </row>
        <row r="3534">
          <cell r="B3534" t="b">
            <v>0</v>
          </cell>
          <cell r="E3534" t="str">
            <v>Arroz Barato</v>
          </cell>
          <cell r="H3534" t="str">
            <v>salud_oral</v>
          </cell>
          <cell r="J3534" t="str">
            <v>regular</v>
          </cell>
          <cell r="K3534" t="str">
            <v>probsi</v>
          </cell>
        </row>
        <row r="3535">
          <cell r="B3535" t="b">
            <v>1</v>
          </cell>
          <cell r="E3535" t="str">
            <v>Fredonia</v>
          </cell>
          <cell r="H3535" t="str">
            <v>consulta_externa</v>
          </cell>
          <cell r="J3535" t="str">
            <v>bueno</v>
          </cell>
          <cell r="K3535" t="str">
            <v>defsi</v>
          </cell>
        </row>
        <row r="3536">
          <cell r="B3536" t="b">
            <v>1</v>
          </cell>
          <cell r="E3536" t="str">
            <v>Arroz Barato</v>
          </cell>
          <cell r="H3536" t="str">
            <v>salud_oral</v>
          </cell>
          <cell r="J3536" t="str">
            <v>bueno</v>
          </cell>
          <cell r="K3536" t="str">
            <v>probsi</v>
          </cell>
        </row>
        <row r="3537">
          <cell r="B3537" t="b">
            <v>1</v>
          </cell>
          <cell r="E3537" t="str">
            <v>Fredonia</v>
          </cell>
          <cell r="H3537" t="str">
            <v>laboratorio</v>
          </cell>
          <cell r="J3537" t="str">
            <v>bueno</v>
          </cell>
          <cell r="K3537" t="str">
            <v>defsi</v>
          </cell>
        </row>
        <row r="3538">
          <cell r="B3538" t="b">
            <v>1</v>
          </cell>
          <cell r="E3538" t="str">
            <v>Fredonia</v>
          </cell>
          <cell r="H3538" t="str">
            <v>consulta_externa</v>
          </cell>
          <cell r="J3538" t="str">
            <v>bueno</v>
          </cell>
          <cell r="K3538" t="str">
            <v>defsi</v>
          </cell>
        </row>
        <row r="3539">
          <cell r="B3539" t="b">
            <v>1</v>
          </cell>
          <cell r="E3539" t="str">
            <v>Fredonia</v>
          </cell>
          <cell r="H3539" t="str">
            <v>salud_oral</v>
          </cell>
          <cell r="J3539" t="str">
            <v>bueno</v>
          </cell>
          <cell r="K3539" t="str">
            <v>defsi</v>
          </cell>
        </row>
        <row r="3540">
          <cell r="B3540" t="b">
            <v>1</v>
          </cell>
          <cell r="E3540" t="str">
            <v>Arroz Barato</v>
          </cell>
          <cell r="H3540" t="str">
            <v>salud_oral</v>
          </cell>
          <cell r="J3540" t="str">
            <v>bueno</v>
          </cell>
          <cell r="K3540" t="str">
            <v>probsi</v>
          </cell>
        </row>
        <row r="3541">
          <cell r="B3541" t="b">
            <v>1</v>
          </cell>
          <cell r="E3541" t="str">
            <v>Arroz Barato</v>
          </cell>
          <cell r="H3541" t="str">
            <v>laboratorio</v>
          </cell>
          <cell r="J3541" t="str">
            <v>bueno</v>
          </cell>
          <cell r="K3541" t="str">
            <v>probsi</v>
          </cell>
        </row>
        <row r="3542">
          <cell r="B3542" t="b">
            <v>1</v>
          </cell>
          <cell r="E3542" t="str">
            <v>Fredonia</v>
          </cell>
          <cell r="H3542" t="str">
            <v>salud_oral</v>
          </cell>
          <cell r="J3542" t="str">
            <v>bueno</v>
          </cell>
          <cell r="K3542" t="str">
            <v>defsi</v>
          </cell>
        </row>
        <row r="3543">
          <cell r="B3543" t="b">
            <v>1</v>
          </cell>
          <cell r="E3543" t="str">
            <v>Arroz Barato</v>
          </cell>
          <cell r="H3543" t="str">
            <v>laboratorio</v>
          </cell>
          <cell r="J3543" t="str">
            <v>bueno</v>
          </cell>
          <cell r="K3543" t="str">
            <v>probsi</v>
          </cell>
        </row>
        <row r="3544">
          <cell r="B3544" t="b">
            <v>1</v>
          </cell>
          <cell r="E3544" t="str">
            <v>Fredonia</v>
          </cell>
          <cell r="H3544" t="str">
            <v>consulta_externa</v>
          </cell>
          <cell r="J3544" t="str">
            <v>bueno</v>
          </cell>
          <cell r="K3544" t="str">
            <v>defsi</v>
          </cell>
        </row>
        <row r="3545">
          <cell r="B3545" t="b">
            <v>1</v>
          </cell>
          <cell r="E3545" t="str">
            <v>Fredonia</v>
          </cell>
          <cell r="H3545" t="str">
            <v>salud_oral</v>
          </cell>
          <cell r="J3545" t="str">
            <v>bueno</v>
          </cell>
          <cell r="K3545" t="str">
            <v>defsi</v>
          </cell>
        </row>
        <row r="3546">
          <cell r="B3546" t="b">
            <v>1</v>
          </cell>
          <cell r="E3546" t="str">
            <v>Fredonia</v>
          </cell>
          <cell r="H3546" t="str">
            <v>laboratorio</v>
          </cell>
          <cell r="J3546" t="str">
            <v>bueno</v>
          </cell>
          <cell r="K3546" t="str">
            <v>defsi</v>
          </cell>
        </row>
        <row r="3547">
          <cell r="B3547" t="b">
            <v>1</v>
          </cell>
          <cell r="E3547" t="str">
            <v>Fredonia</v>
          </cell>
          <cell r="H3547" t="str">
            <v>laboratorio</v>
          </cell>
          <cell r="J3547" t="str">
            <v>bueno</v>
          </cell>
          <cell r="K3547" t="str">
            <v>defsi</v>
          </cell>
        </row>
        <row r="3548">
          <cell r="B3548" t="b">
            <v>1</v>
          </cell>
          <cell r="E3548" t="str">
            <v>Fredonia</v>
          </cell>
          <cell r="H3548" t="str">
            <v>consulta_externa</v>
          </cell>
          <cell r="J3548" t="str">
            <v>bueno</v>
          </cell>
          <cell r="K3548" t="str">
            <v>defsi</v>
          </cell>
        </row>
        <row r="3549">
          <cell r="B3549" t="b">
            <v>1</v>
          </cell>
          <cell r="E3549" t="str">
            <v>Fredonia</v>
          </cell>
          <cell r="H3549" t="str">
            <v>consulta_externa</v>
          </cell>
          <cell r="J3549" t="str">
            <v>bueno</v>
          </cell>
          <cell r="K3549" t="str">
            <v>defsi</v>
          </cell>
        </row>
        <row r="3550">
          <cell r="B3550" t="b">
            <v>1</v>
          </cell>
          <cell r="E3550" t="str">
            <v>Fredonia</v>
          </cell>
          <cell r="H3550" t="str">
            <v>salud_oral</v>
          </cell>
          <cell r="J3550" t="str">
            <v>bueno</v>
          </cell>
          <cell r="K3550" t="str">
            <v>defsi</v>
          </cell>
        </row>
        <row r="3551">
          <cell r="B3551" t="b">
            <v>1</v>
          </cell>
          <cell r="E3551" t="str">
            <v>Fredonia</v>
          </cell>
          <cell r="H3551" t="str">
            <v>consulta_externa</v>
          </cell>
          <cell r="J3551" t="str">
            <v>bueno</v>
          </cell>
          <cell r="K3551" t="str">
            <v>defsi</v>
          </cell>
        </row>
        <row r="3552">
          <cell r="B3552" t="b">
            <v>1</v>
          </cell>
          <cell r="E3552" t="str">
            <v>Fredonia</v>
          </cell>
          <cell r="H3552" t="str">
            <v>consulta_externa</v>
          </cell>
          <cell r="J3552" t="str">
            <v>bueno</v>
          </cell>
          <cell r="K3552" t="str">
            <v>defsi</v>
          </cell>
        </row>
        <row r="3553">
          <cell r="B3553" t="b">
            <v>1</v>
          </cell>
          <cell r="E3553" t="str">
            <v>Fredonia</v>
          </cell>
          <cell r="H3553" t="str">
            <v>laboratorio</v>
          </cell>
          <cell r="J3553" t="str">
            <v>bueno</v>
          </cell>
          <cell r="K3553" t="str">
            <v>defsi</v>
          </cell>
        </row>
        <row r="3554">
          <cell r="B3554" t="b">
            <v>1</v>
          </cell>
          <cell r="E3554" t="str">
            <v>Fredonia</v>
          </cell>
          <cell r="H3554" t="str">
            <v>laboratorio</v>
          </cell>
          <cell r="J3554" t="str">
            <v>bueno</v>
          </cell>
          <cell r="K3554" t="str">
            <v>defsi</v>
          </cell>
        </row>
        <row r="3555">
          <cell r="B3555" t="b">
            <v>1</v>
          </cell>
          <cell r="E3555" t="str">
            <v>Fredonia</v>
          </cell>
          <cell r="H3555" t="str">
            <v>consulta_externa</v>
          </cell>
          <cell r="J3555" t="str">
            <v>bueno</v>
          </cell>
          <cell r="K3555" t="str">
            <v>defsi</v>
          </cell>
        </row>
        <row r="3556">
          <cell r="B3556" t="b">
            <v>1</v>
          </cell>
          <cell r="E3556" t="str">
            <v>Fredonia</v>
          </cell>
          <cell r="H3556" t="str">
            <v>consulta_externa</v>
          </cell>
          <cell r="J3556" t="str">
            <v>muybueno</v>
          </cell>
          <cell r="K3556" t="str">
            <v>defsi</v>
          </cell>
        </row>
        <row r="3557">
          <cell r="B3557" t="b">
            <v>1</v>
          </cell>
          <cell r="E3557" t="str">
            <v>Fredonia</v>
          </cell>
          <cell r="H3557" t="str">
            <v>laboratorio</v>
          </cell>
          <cell r="J3557" t="str">
            <v>muybueno</v>
          </cell>
          <cell r="K3557" t="str">
            <v>defsi</v>
          </cell>
        </row>
        <row r="3558">
          <cell r="B3558" t="b">
            <v>1</v>
          </cell>
          <cell r="E3558" t="str">
            <v>Fredonia</v>
          </cell>
          <cell r="H3558" t="str">
            <v>consulta_externa</v>
          </cell>
          <cell r="J3558" t="str">
            <v>muybueno</v>
          </cell>
          <cell r="K3558" t="str">
            <v>defsi</v>
          </cell>
        </row>
        <row r="3559">
          <cell r="B3559" t="b">
            <v>1</v>
          </cell>
          <cell r="E3559" t="str">
            <v>Fredonia</v>
          </cell>
          <cell r="H3559" t="str">
            <v>laboratorio</v>
          </cell>
          <cell r="J3559" t="str">
            <v>muybueno</v>
          </cell>
          <cell r="K3559" t="str">
            <v>defsi</v>
          </cell>
        </row>
        <row r="3560">
          <cell r="B3560" t="b">
            <v>1</v>
          </cell>
          <cell r="E3560" t="str">
            <v>Fredonia</v>
          </cell>
          <cell r="H3560" t="str">
            <v>salud_oral</v>
          </cell>
          <cell r="J3560" t="str">
            <v>bueno</v>
          </cell>
          <cell r="K3560" t="str">
            <v>defsi</v>
          </cell>
        </row>
        <row r="3561">
          <cell r="B3561" t="b">
            <v>1</v>
          </cell>
          <cell r="E3561" t="str">
            <v>Fredonia</v>
          </cell>
          <cell r="H3561" t="str">
            <v>salud_oral</v>
          </cell>
          <cell r="J3561" t="str">
            <v>bueno</v>
          </cell>
          <cell r="K3561" t="str">
            <v>defsi</v>
          </cell>
        </row>
        <row r="3562">
          <cell r="B3562" t="b">
            <v>1</v>
          </cell>
          <cell r="E3562" t="str">
            <v>San Vicente de Paul</v>
          </cell>
          <cell r="H3562" t="str">
            <v>consulta_externa</v>
          </cell>
          <cell r="J3562" t="str">
            <v>bueno</v>
          </cell>
          <cell r="K3562" t="str">
            <v>defsi</v>
          </cell>
        </row>
        <row r="3563">
          <cell r="B3563" t="b">
            <v>1</v>
          </cell>
          <cell r="E3563" t="str">
            <v>San Vicente de Paul</v>
          </cell>
          <cell r="H3563" t="str">
            <v>salud_oral</v>
          </cell>
          <cell r="J3563" t="str">
            <v>bueno</v>
          </cell>
          <cell r="K3563" t="str">
            <v>defsi</v>
          </cell>
        </row>
        <row r="3564">
          <cell r="B3564" t="b">
            <v>1</v>
          </cell>
          <cell r="E3564" t="str">
            <v>Fredonia</v>
          </cell>
          <cell r="H3564" t="str">
            <v>consulta_externa</v>
          </cell>
          <cell r="J3564" t="str">
            <v>bueno</v>
          </cell>
          <cell r="K3564" t="str">
            <v>defsi</v>
          </cell>
        </row>
        <row r="3565">
          <cell r="B3565" t="b">
            <v>1</v>
          </cell>
          <cell r="E3565" t="str">
            <v>San Vicente de Paul</v>
          </cell>
          <cell r="H3565" t="str">
            <v>laboratorio</v>
          </cell>
          <cell r="J3565" t="str">
            <v>bueno</v>
          </cell>
          <cell r="K3565" t="str">
            <v>defsi</v>
          </cell>
        </row>
        <row r="3566">
          <cell r="B3566" t="b">
            <v>0</v>
          </cell>
          <cell r="E3566" t="str">
            <v>Ternera</v>
          </cell>
          <cell r="H3566" t="str">
            <v>laboratorio</v>
          </cell>
          <cell r="J3566" t="str">
            <v>regular</v>
          </cell>
          <cell r="K3566" t="str">
            <v>probsi</v>
          </cell>
        </row>
        <row r="3567">
          <cell r="B3567" t="b">
            <v>1</v>
          </cell>
          <cell r="E3567" t="str">
            <v>Ternera</v>
          </cell>
          <cell r="H3567" t="str">
            <v>laboratorio</v>
          </cell>
          <cell r="J3567" t="str">
            <v>bueno</v>
          </cell>
          <cell r="K3567" t="str">
            <v>probsi</v>
          </cell>
        </row>
        <row r="3568">
          <cell r="B3568" t="b">
            <v>1</v>
          </cell>
          <cell r="E3568" t="str">
            <v>Ternera</v>
          </cell>
          <cell r="H3568" t="str">
            <v>salud_oral</v>
          </cell>
          <cell r="J3568" t="str">
            <v>bueno</v>
          </cell>
          <cell r="K3568" t="str">
            <v>probsi</v>
          </cell>
        </row>
        <row r="3569">
          <cell r="B3569" t="b">
            <v>1</v>
          </cell>
          <cell r="E3569" t="str">
            <v>Ternera</v>
          </cell>
          <cell r="H3569" t="str">
            <v>salud_oral</v>
          </cell>
          <cell r="J3569" t="str">
            <v>bueno</v>
          </cell>
          <cell r="K3569" t="str">
            <v>probsi</v>
          </cell>
        </row>
        <row r="3570">
          <cell r="B3570" t="b">
            <v>1</v>
          </cell>
          <cell r="E3570" t="str">
            <v>Ternera</v>
          </cell>
          <cell r="H3570" t="str">
            <v>salud_oral</v>
          </cell>
          <cell r="J3570" t="str">
            <v>bueno</v>
          </cell>
          <cell r="K3570" t="str">
            <v>probsi</v>
          </cell>
        </row>
        <row r="3571">
          <cell r="B3571" t="b">
            <v>1</v>
          </cell>
          <cell r="E3571" t="str">
            <v>Ternera</v>
          </cell>
          <cell r="H3571" t="str">
            <v>laboratorio</v>
          </cell>
          <cell r="J3571" t="str">
            <v>bueno</v>
          </cell>
          <cell r="K3571" t="str">
            <v>probsi</v>
          </cell>
        </row>
        <row r="3572">
          <cell r="B3572" t="b">
            <v>1</v>
          </cell>
          <cell r="E3572" t="str">
            <v>Ternera</v>
          </cell>
          <cell r="H3572" t="str">
            <v>laboratorio</v>
          </cell>
          <cell r="J3572" t="str">
            <v>bueno</v>
          </cell>
          <cell r="K3572" t="str">
            <v>probsi</v>
          </cell>
        </row>
        <row r="3573">
          <cell r="B3573" t="b">
            <v>1</v>
          </cell>
          <cell r="E3573" t="str">
            <v>Ternera</v>
          </cell>
          <cell r="H3573" t="str">
            <v>consulta_externa</v>
          </cell>
          <cell r="J3573" t="str">
            <v>bueno</v>
          </cell>
          <cell r="K3573" t="str">
            <v>probsi</v>
          </cell>
        </row>
        <row r="3574">
          <cell r="B3574" t="b">
            <v>1</v>
          </cell>
          <cell r="E3574" t="str">
            <v>Ternera</v>
          </cell>
          <cell r="H3574" t="str">
            <v>consulta_externa</v>
          </cell>
          <cell r="J3574" t="str">
            <v>bueno</v>
          </cell>
          <cell r="K3574" t="str">
            <v>probsi</v>
          </cell>
        </row>
        <row r="3575">
          <cell r="B3575" t="b">
            <v>1</v>
          </cell>
          <cell r="E3575" t="str">
            <v>Ternera</v>
          </cell>
          <cell r="H3575" t="str">
            <v>consulta_externa</v>
          </cell>
          <cell r="J3575" t="str">
            <v>bueno</v>
          </cell>
          <cell r="K3575" t="str">
            <v>probsi</v>
          </cell>
        </row>
        <row r="3576">
          <cell r="B3576" t="b">
            <v>0</v>
          </cell>
          <cell r="E3576" t="str">
            <v>Ternera</v>
          </cell>
          <cell r="H3576" t="str">
            <v>salud_oral</v>
          </cell>
          <cell r="J3576" t="str">
            <v>regular</v>
          </cell>
          <cell r="K3576" t="str">
            <v>probsi</v>
          </cell>
        </row>
        <row r="3577">
          <cell r="B3577" t="b">
            <v>1</v>
          </cell>
          <cell r="E3577" t="str">
            <v>Ternera</v>
          </cell>
          <cell r="H3577" t="str">
            <v>laboratorio</v>
          </cell>
          <cell r="J3577" t="str">
            <v>bueno</v>
          </cell>
          <cell r="K3577" t="str">
            <v>probsi</v>
          </cell>
        </row>
        <row r="3578">
          <cell r="B3578" t="b">
            <v>1</v>
          </cell>
          <cell r="E3578" t="str">
            <v>San Vicente de Paul</v>
          </cell>
          <cell r="H3578" t="str">
            <v>consulta_externa</v>
          </cell>
          <cell r="J3578" t="str">
            <v>bueno</v>
          </cell>
          <cell r="K3578" t="str">
            <v>defsi</v>
          </cell>
        </row>
        <row r="3579">
          <cell r="B3579" t="b">
            <v>1</v>
          </cell>
          <cell r="E3579" t="str">
            <v>San Vicente de Paul</v>
          </cell>
          <cell r="H3579" t="str">
            <v>salud_oral</v>
          </cell>
          <cell r="J3579" t="str">
            <v>bueno</v>
          </cell>
          <cell r="K3579" t="str">
            <v>defsi</v>
          </cell>
        </row>
        <row r="3580">
          <cell r="B3580" t="b">
            <v>1</v>
          </cell>
          <cell r="E3580" t="str">
            <v>San Vicente de Paul</v>
          </cell>
          <cell r="H3580" t="str">
            <v>laboratorio</v>
          </cell>
          <cell r="J3580" t="str">
            <v>bueno</v>
          </cell>
          <cell r="K3580" t="str">
            <v>defsi</v>
          </cell>
        </row>
        <row r="3581">
          <cell r="B3581" t="b">
            <v>1</v>
          </cell>
          <cell r="E3581" t="str">
            <v>San Vicente de Paul</v>
          </cell>
          <cell r="H3581" t="str">
            <v>consulta_externa</v>
          </cell>
          <cell r="J3581" t="str">
            <v>bueno</v>
          </cell>
          <cell r="K3581" t="str">
            <v>defsi</v>
          </cell>
        </row>
        <row r="3582">
          <cell r="B3582" t="b">
            <v>1</v>
          </cell>
          <cell r="E3582" t="str">
            <v>San Vicente de Paul</v>
          </cell>
          <cell r="H3582" t="str">
            <v>salud_oral</v>
          </cell>
          <cell r="J3582" t="str">
            <v>bueno</v>
          </cell>
          <cell r="K3582" t="str">
            <v>defsi</v>
          </cell>
        </row>
        <row r="3583">
          <cell r="B3583" t="b">
            <v>1</v>
          </cell>
          <cell r="E3583" t="str">
            <v>San Vicente de Paul</v>
          </cell>
          <cell r="H3583" t="str">
            <v>laboratorio</v>
          </cell>
          <cell r="J3583" t="str">
            <v>bueno</v>
          </cell>
          <cell r="K3583" t="str">
            <v>defsi</v>
          </cell>
        </row>
        <row r="3584">
          <cell r="B3584" t="b">
            <v>1</v>
          </cell>
          <cell r="E3584" t="str">
            <v>San Vicente de Paul</v>
          </cell>
          <cell r="H3584" t="str">
            <v>consulta_externa</v>
          </cell>
          <cell r="J3584" t="str">
            <v>bueno</v>
          </cell>
          <cell r="K3584" t="str">
            <v>defsi</v>
          </cell>
        </row>
        <row r="3585">
          <cell r="B3585" t="b">
            <v>1</v>
          </cell>
          <cell r="E3585" t="str">
            <v>San Vicente de Paul</v>
          </cell>
          <cell r="H3585" t="str">
            <v>salud_oral</v>
          </cell>
          <cell r="J3585" t="str">
            <v>bueno</v>
          </cell>
          <cell r="K3585" t="str">
            <v>defsi</v>
          </cell>
        </row>
        <row r="3586">
          <cell r="B3586" t="b">
            <v>1</v>
          </cell>
          <cell r="E3586" t="str">
            <v>San Vicente de Paul</v>
          </cell>
          <cell r="H3586" t="str">
            <v>consulta_externa</v>
          </cell>
          <cell r="J3586" t="str">
            <v>bueno</v>
          </cell>
          <cell r="K3586" t="str">
            <v>defsi</v>
          </cell>
        </row>
        <row r="3587">
          <cell r="B3587" t="b">
            <v>1</v>
          </cell>
          <cell r="E3587" t="str">
            <v>San Vicente de Paul</v>
          </cell>
          <cell r="H3587" t="str">
            <v>salud_oral</v>
          </cell>
          <cell r="J3587" t="str">
            <v>bueno</v>
          </cell>
          <cell r="K3587" t="str">
            <v>defsi</v>
          </cell>
        </row>
        <row r="3588">
          <cell r="B3588" t="b">
            <v>1</v>
          </cell>
          <cell r="E3588" t="str">
            <v>San Vicente de Paul</v>
          </cell>
          <cell r="H3588" t="str">
            <v>laboratorio</v>
          </cell>
          <cell r="J3588" t="str">
            <v>bueno</v>
          </cell>
          <cell r="K3588" t="str">
            <v>defsi</v>
          </cell>
        </row>
        <row r="3589">
          <cell r="B3589" t="b">
            <v>1</v>
          </cell>
          <cell r="E3589" t="str">
            <v>San Vicente de Paul</v>
          </cell>
          <cell r="H3589" t="str">
            <v>consulta_externa</v>
          </cell>
          <cell r="J3589" t="str">
            <v>bueno</v>
          </cell>
          <cell r="K3589" t="str">
            <v>defsi</v>
          </cell>
        </row>
        <row r="3590">
          <cell r="B3590" t="b">
            <v>1</v>
          </cell>
          <cell r="E3590" t="str">
            <v>San Vicente de Paul</v>
          </cell>
          <cell r="H3590" t="str">
            <v>salud_oral</v>
          </cell>
          <cell r="J3590" t="str">
            <v>bueno</v>
          </cell>
          <cell r="K3590" t="str">
            <v>defsi</v>
          </cell>
        </row>
        <row r="3591">
          <cell r="B3591" t="b">
            <v>1</v>
          </cell>
          <cell r="E3591" t="str">
            <v>San Vicente de Paul</v>
          </cell>
          <cell r="H3591" t="str">
            <v>laboratorio</v>
          </cell>
          <cell r="J3591" t="str">
            <v>bueno</v>
          </cell>
          <cell r="K3591" t="str">
            <v>defsi</v>
          </cell>
        </row>
        <row r="3592">
          <cell r="B3592" t="b">
            <v>1</v>
          </cell>
          <cell r="E3592" t="str">
            <v>San Vicente de Paul</v>
          </cell>
          <cell r="H3592" t="str">
            <v>consulta_externa</v>
          </cell>
          <cell r="J3592" t="str">
            <v>bueno</v>
          </cell>
          <cell r="K3592" t="str">
            <v>defsi</v>
          </cell>
        </row>
        <row r="3593">
          <cell r="B3593" t="b">
            <v>1</v>
          </cell>
          <cell r="E3593" t="str">
            <v>San Vicente de Paul</v>
          </cell>
          <cell r="H3593" t="str">
            <v>salud_oral</v>
          </cell>
          <cell r="J3593" t="str">
            <v>bueno</v>
          </cell>
          <cell r="K3593" t="str">
            <v>defsi</v>
          </cell>
        </row>
        <row r="3594">
          <cell r="B3594" t="b">
            <v>1</v>
          </cell>
          <cell r="E3594" t="str">
            <v>San Vicente de Paul</v>
          </cell>
          <cell r="H3594" t="str">
            <v>laboratorio</v>
          </cell>
          <cell r="J3594" t="str">
            <v>bueno</v>
          </cell>
          <cell r="K3594" t="str">
            <v>defsi</v>
          </cell>
        </row>
        <row r="3595">
          <cell r="B3595" t="b">
            <v>1</v>
          </cell>
          <cell r="E3595" t="str">
            <v>San Vicente de Paul</v>
          </cell>
          <cell r="H3595" t="str">
            <v>consulta_externa</v>
          </cell>
          <cell r="J3595" t="str">
            <v>bueno</v>
          </cell>
          <cell r="K3595" t="str">
            <v>defsi</v>
          </cell>
        </row>
        <row r="3596">
          <cell r="B3596" t="b">
            <v>1</v>
          </cell>
          <cell r="E3596" t="str">
            <v>San Vicente de Paul</v>
          </cell>
          <cell r="H3596" t="str">
            <v>salud_oral</v>
          </cell>
          <cell r="J3596" t="str">
            <v>bueno</v>
          </cell>
          <cell r="K3596" t="str">
            <v>defsi</v>
          </cell>
        </row>
        <row r="3597">
          <cell r="B3597" t="b">
            <v>1</v>
          </cell>
          <cell r="E3597" t="str">
            <v>San Vicente de Paul</v>
          </cell>
          <cell r="H3597" t="str">
            <v>laboratorio</v>
          </cell>
          <cell r="J3597" t="str">
            <v>bueno</v>
          </cell>
          <cell r="K3597" t="str">
            <v>defsi</v>
          </cell>
        </row>
        <row r="3598">
          <cell r="B3598" t="b">
            <v>1</v>
          </cell>
          <cell r="E3598" t="str">
            <v>San Vicente de Paul</v>
          </cell>
          <cell r="H3598" t="str">
            <v>consulta_externa</v>
          </cell>
          <cell r="J3598" t="str">
            <v>bueno</v>
          </cell>
          <cell r="K3598" t="str">
            <v>defsi</v>
          </cell>
        </row>
        <row r="3599">
          <cell r="B3599" t="b">
            <v>1</v>
          </cell>
          <cell r="E3599" t="str">
            <v>San Vicente de Paul</v>
          </cell>
          <cell r="H3599" t="str">
            <v>salud_oral</v>
          </cell>
          <cell r="J3599" t="str">
            <v>bueno</v>
          </cell>
          <cell r="K3599" t="str">
            <v>defsi</v>
          </cell>
        </row>
        <row r="3600">
          <cell r="B3600" t="b">
            <v>1</v>
          </cell>
          <cell r="E3600" t="str">
            <v>San Vicente de Paul</v>
          </cell>
          <cell r="H3600" t="str">
            <v>laboratorio</v>
          </cell>
          <cell r="J3600" t="str">
            <v>bueno</v>
          </cell>
          <cell r="K3600" t="str">
            <v>defsi</v>
          </cell>
        </row>
        <row r="3601">
          <cell r="B3601" t="b">
            <v>1</v>
          </cell>
          <cell r="E3601" t="str">
            <v>San Vicente de Paul</v>
          </cell>
          <cell r="H3601" t="str">
            <v>consulta_externa</v>
          </cell>
          <cell r="J3601" t="str">
            <v>bueno</v>
          </cell>
          <cell r="K3601" t="str">
            <v>defsi</v>
          </cell>
        </row>
        <row r="3602">
          <cell r="B3602" t="b">
            <v>1</v>
          </cell>
          <cell r="E3602" t="str">
            <v>San Vicente de Paul</v>
          </cell>
          <cell r="H3602" t="str">
            <v>salud_oral</v>
          </cell>
          <cell r="J3602" t="str">
            <v>bueno</v>
          </cell>
          <cell r="K3602" t="str">
            <v>defsi</v>
          </cell>
        </row>
        <row r="3603">
          <cell r="B3603" t="b">
            <v>1</v>
          </cell>
          <cell r="E3603" t="str">
            <v>San Vicente de Paul</v>
          </cell>
          <cell r="H3603" t="str">
            <v>laboratorio</v>
          </cell>
          <cell r="J3603" t="str">
            <v>bueno</v>
          </cell>
          <cell r="K3603" t="str">
            <v>defsi</v>
          </cell>
        </row>
        <row r="3604">
          <cell r="B3604" t="b">
            <v>1</v>
          </cell>
          <cell r="E3604" t="str">
            <v>Fredonia</v>
          </cell>
          <cell r="H3604" t="str">
            <v>salud_oral</v>
          </cell>
          <cell r="J3604" t="str">
            <v>bueno</v>
          </cell>
          <cell r="K3604" t="str">
            <v>defsi</v>
          </cell>
        </row>
        <row r="3605">
          <cell r="B3605" t="b">
            <v>1</v>
          </cell>
          <cell r="E3605" t="str">
            <v>Fredonia</v>
          </cell>
          <cell r="H3605" t="str">
            <v>salud_oral</v>
          </cell>
          <cell r="J3605" t="str">
            <v>bueno</v>
          </cell>
          <cell r="K3605" t="str">
            <v>defsi</v>
          </cell>
        </row>
        <row r="3606">
          <cell r="B3606" t="b">
            <v>1</v>
          </cell>
          <cell r="E3606" t="str">
            <v>San Vicente de Paul</v>
          </cell>
          <cell r="H3606" t="str">
            <v>consulta_externa</v>
          </cell>
          <cell r="J3606" t="str">
            <v>bueno</v>
          </cell>
          <cell r="K3606" t="str">
            <v>defsi</v>
          </cell>
        </row>
        <row r="3607">
          <cell r="B3607" t="b">
            <v>1</v>
          </cell>
          <cell r="E3607" t="str">
            <v>Fredonia</v>
          </cell>
          <cell r="H3607" t="str">
            <v>consulta_externa</v>
          </cell>
          <cell r="J3607" t="str">
            <v>bueno</v>
          </cell>
          <cell r="K3607" t="str">
            <v>defsi</v>
          </cell>
        </row>
        <row r="3608">
          <cell r="B3608" t="b">
            <v>1</v>
          </cell>
          <cell r="E3608" t="str">
            <v>Fredonia</v>
          </cell>
          <cell r="H3608" t="str">
            <v>salud_oral</v>
          </cell>
          <cell r="J3608" t="str">
            <v>bueno</v>
          </cell>
          <cell r="K3608" t="str">
            <v>defsi</v>
          </cell>
        </row>
        <row r="3609">
          <cell r="B3609" t="b">
            <v>1</v>
          </cell>
          <cell r="E3609" t="str">
            <v>San Vicente de Paul</v>
          </cell>
          <cell r="H3609" t="str">
            <v>salud_oral</v>
          </cell>
          <cell r="J3609" t="str">
            <v>bueno</v>
          </cell>
          <cell r="K3609" t="str">
            <v>defsi</v>
          </cell>
        </row>
        <row r="3610">
          <cell r="B3610" t="b">
            <v>1</v>
          </cell>
          <cell r="E3610" t="str">
            <v>San Vicente de Paul</v>
          </cell>
          <cell r="H3610" t="str">
            <v>laboratorio</v>
          </cell>
          <cell r="J3610" t="str">
            <v>bueno</v>
          </cell>
          <cell r="K3610" t="str">
            <v>defsi</v>
          </cell>
        </row>
        <row r="3611">
          <cell r="B3611" t="b">
            <v>1</v>
          </cell>
          <cell r="E3611" t="str">
            <v>Fredonia</v>
          </cell>
          <cell r="H3611" t="str">
            <v>salud_oral</v>
          </cell>
          <cell r="J3611" t="str">
            <v>bueno</v>
          </cell>
          <cell r="K3611" t="str">
            <v>defsi</v>
          </cell>
        </row>
        <row r="3612">
          <cell r="B3612" t="b">
            <v>1</v>
          </cell>
          <cell r="E3612" t="str">
            <v>San Vicente de Paul</v>
          </cell>
          <cell r="H3612" t="str">
            <v>consulta_externa</v>
          </cell>
          <cell r="J3612" t="str">
            <v>bueno</v>
          </cell>
          <cell r="K3612" t="str">
            <v>defsi</v>
          </cell>
        </row>
        <row r="3613">
          <cell r="B3613" t="b">
            <v>1</v>
          </cell>
          <cell r="E3613" t="str">
            <v>Fredonia</v>
          </cell>
          <cell r="H3613" t="str">
            <v>salud_oral</v>
          </cell>
          <cell r="J3613" t="str">
            <v>bueno</v>
          </cell>
          <cell r="K3613" t="str">
            <v>defsi</v>
          </cell>
        </row>
        <row r="3614">
          <cell r="B3614" t="b">
            <v>1</v>
          </cell>
          <cell r="E3614" t="str">
            <v>Fredonia</v>
          </cell>
          <cell r="H3614" t="str">
            <v>salud_oral</v>
          </cell>
          <cell r="J3614" t="str">
            <v>bueno</v>
          </cell>
          <cell r="K3614" t="str">
            <v>defsi</v>
          </cell>
        </row>
        <row r="3615">
          <cell r="B3615" t="b">
            <v>1</v>
          </cell>
          <cell r="E3615" t="str">
            <v>San Vicente de Paul</v>
          </cell>
          <cell r="H3615" t="str">
            <v>salud_oral</v>
          </cell>
          <cell r="J3615" t="str">
            <v>bueno</v>
          </cell>
          <cell r="K3615" t="str">
            <v>defsi</v>
          </cell>
        </row>
        <row r="3616">
          <cell r="B3616" t="b">
            <v>1</v>
          </cell>
          <cell r="E3616" t="str">
            <v>San Vicente de Paul</v>
          </cell>
          <cell r="H3616" t="str">
            <v>laboratorio</v>
          </cell>
          <cell r="J3616" t="str">
            <v>bueno</v>
          </cell>
          <cell r="K3616" t="str">
            <v>defsi</v>
          </cell>
        </row>
        <row r="3617">
          <cell r="B3617" t="b">
            <v>1</v>
          </cell>
          <cell r="E3617" t="str">
            <v>Baru</v>
          </cell>
          <cell r="H3617" t="str">
            <v>consulta_externa</v>
          </cell>
          <cell r="J3617" t="str">
            <v>bueno</v>
          </cell>
          <cell r="K3617" t="str">
            <v>defsi</v>
          </cell>
        </row>
        <row r="3618">
          <cell r="B3618" t="b">
            <v>1</v>
          </cell>
          <cell r="E3618" t="str">
            <v>Baru</v>
          </cell>
          <cell r="H3618" t="str">
            <v>laboratorio</v>
          </cell>
          <cell r="J3618" t="str">
            <v>bueno</v>
          </cell>
          <cell r="K3618" t="str">
            <v>defsi</v>
          </cell>
        </row>
        <row r="3619">
          <cell r="B3619" t="b">
            <v>1</v>
          </cell>
          <cell r="E3619" t="str">
            <v>Baru</v>
          </cell>
          <cell r="H3619" t="str">
            <v>consulta_externa</v>
          </cell>
          <cell r="J3619" t="str">
            <v>bueno</v>
          </cell>
          <cell r="K3619" t="str">
            <v>defsi</v>
          </cell>
        </row>
        <row r="3620">
          <cell r="B3620" t="b">
            <v>1</v>
          </cell>
          <cell r="E3620" t="str">
            <v>Baru</v>
          </cell>
          <cell r="H3620" t="str">
            <v>laboratorio</v>
          </cell>
          <cell r="J3620" t="str">
            <v>bueno</v>
          </cell>
          <cell r="K3620" t="str">
            <v>defsi</v>
          </cell>
        </row>
        <row r="3621">
          <cell r="B3621" t="b">
            <v>1</v>
          </cell>
          <cell r="E3621" t="str">
            <v>Baru</v>
          </cell>
          <cell r="H3621" t="str">
            <v>salud_oral</v>
          </cell>
          <cell r="J3621" t="str">
            <v>bueno</v>
          </cell>
          <cell r="K3621" t="str">
            <v>defsi</v>
          </cell>
        </row>
        <row r="3622">
          <cell r="B3622" t="b">
            <v>1</v>
          </cell>
          <cell r="E3622" t="str">
            <v>Bosque</v>
          </cell>
          <cell r="H3622" t="str">
            <v>consulta_externa</v>
          </cell>
          <cell r="J3622" t="str">
            <v>bueno</v>
          </cell>
          <cell r="K3622" t="str">
            <v>defsi</v>
          </cell>
        </row>
        <row r="3623">
          <cell r="B3623" t="b">
            <v>1</v>
          </cell>
          <cell r="E3623" t="str">
            <v>Bosque</v>
          </cell>
          <cell r="H3623" t="str">
            <v>salud_oral</v>
          </cell>
          <cell r="J3623" t="str">
            <v>bueno</v>
          </cell>
          <cell r="K3623" t="str">
            <v>defsi</v>
          </cell>
        </row>
        <row r="3624">
          <cell r="B3624" t="b">
            <v>1</v>
          </cell>
          <cell r="E3624" t="str">
            <v>Bosque</v>
          </cell>
          <cell r="H3624" t="str">
            <v>laboratorio</v>
          </cell>
          <cell r="J3624" t="str">
            <v>bueno</v>
          </cell>
          <cell r="K3624" t="str">
            <v>defsi</v>
          </cell>
        </row>
        <row r="3625">
          <cell r="B3625" t="b">
            <v>1</v>
          </cell>
          <cell r="E3625" t="str">
            <v>Bosque</v>
          </cell>
          <cell r="H3625" t="str">
            <v>consulta_externa</v>
          </cell>
          <cell r="J3625" t="str">
            <v>bueno</v>
          </cell>
          <cell r="K3625" t="str">
            <v>defsi</v>
          </cell>
        </row>
        <row r="3626">
          <cell r="B3626" t="b">
            <v>1</v>
          </cell>
          <cell r="E3626" t="str">
            <v>Bosque</v>
          </cell>
          <cell r="H3626" t="str">
            <v>salud_oral</v>
          </cell>
          <cell r="J3626" t="str">
            <v>bueno</v>
          </cell>
          <cell r="K3626" t="str">
            <v>defsi</v>
          </cell>
        </row>
        <row r="3627">
          <cell r="B3627" t="b">
            <v>1</v>
          </cell>
          <cell r="E3627" t="str">
            <v>Bosque</v>
          </cell>
          <cell r="H3627" t="str">
            <v>laboratorio</v>
          </cell>
          <cell r="J3627" t="str">
            <v>bueno</v>
          </cell>
          <cell r="K3627" t="str">
            <v>defsi</v>
          </cell>
        </row>
        <row r="3628">
          <cell r="B3628" t="b">
            <v>1</v>
          </cell>
          <cell r="E3628" t="str">
            <v>Bosque</v>
          </cell>
          <cell r="H3628" t="str">
            <v>consulta_externa</v>
          </cell>
          <cell r="J3628" t="str">
            <v>bueno</v>
          </cell>
          <cell r="K3628" t="str">
            <v>defsi</v>
          </cell>
        </row>
        <row r="3629">
          <cell r="B3629" t="b">
            <v>1</v>
          </cell>
          <cell r="E3629" t="str">
            <v>Bosque</v>
          </cell>
          <cell r="H3629" t="str">
            <v>salud_oral</v>
          </cell>
          <cell r="J3629" t="str">
            <v>bueno</v>
          </cell>
          <cell r="K3629" t="str">
            <v>defsi</v>
          </cell>
        </row>
        <row r="3630">
          <cell r="B3630" t="b">
            <v>1</v>
          </cell>
          <cell r="E3630" t="str">
            <v>Nelson Mandela UPA</v>
          </cell>
          <cell r="H3630" t="str">
            <v>consulta_externa</v>
          </cell>
          <cell r="J3630" t="str">
            <v>bueno</v>
          </cell>
          <cell r="K3630" t="str">
            <v>defsi</v>
          </cell>
        </row>
        <row r="3631">
          <cell r="B3631" t="b">
            <v>1</v>
          </cell>
          <cell r="E3631" t="str">
            <v>Nelson Mandela UPA</v>
          </cell>
          <cell r="H3631" t="str">
            <v>consulta_externa</v>
          </cell>
          <cell r="J3631" t="str">
            <v>bueno</v>
          </cell>
          <cell r="K3631" t="str">
            <v>defsi</v>
          </cell>
        </row>
        <row r="3632">
          <cell r="B3632" t="b">
            <v>1</v>
          </cell>
          <cell r="E3632" t="str">
            <v>Nelson Mandela UPA</v>
          </cell>
          <cell r="H3632" t="str">
            <v>consulta_externa</v>
          </cell>
          <cell r="J3632" t="str">
            <v>bueno</v>
          </cell>
          <cell r="K3632" t="str">
            <v>defsi</v>
          </cell>
        </row>
        <row r="3633">
          <cell r="B3633" t="b">
            <v>1</v>
          </cell>
          <cell r="E3633" t="str">
            <v>Bosque</v>
          </cell>
          <cell r="H3633" t="str">
            <v>laboratorio</v>
          </cell>
          <cell r="J3633" t="str">
            <v>bueno</v>
          </cell>
          <cell r="K3633" t="str">
            <v>defsi</v>
          </cell>
        </row>
        <row r="3634">
          <cell r="B3634" t="b">
            <v>1</v>
          </cell>
          <cell r="E3634" t="str">
            <v>Nelson Mandela UPA</v>
          </cell>
          <cell r="H3634" t="str">
            <v>consulta_externa</v>
          </cell>
          <cell r="J3634" t="str">
            <v>bueno</v>
          </cell>
          <cell r="K3634" t="str">
            <v>defsi</v>
          </cell>
        </row>
        <row r="3635">
          <cell r="B3635" t="b">
            <v>1</v>
          </cell>
          <cell r="E3635" t="str">
            <v>Nelson Mandela UPA</v>
          </cell>
          <cell r="H3635" t="str">
            <v>laboratorio</v>
          </cell>
          <cell r="J3635" t="str">
            <v>bueno</v>
          </cell>
          <cell r="K3635" t="str">
            <v>defsi</v>
          </cell>
        </row>
        <row r="3636">
          <cell r="B3636" t="b">
            <v>1</v>
          </cell>
          <cell r="E3636" t="str">
            <v>Nelson Mandela UPA</v>
          </cell>
          <cell r="H3636" t="str">
            <v>consulta_externa</v>
          </cell>
          <cell r="J3636" t="str">
            <v>bueno</v>
          </cell>
          <cell r="K3636" t="str">
            <v>defsi</v>
          </cell>
        </row>
        <row r="3637">
          <cell r="B3637" t="b">
            <v>1</v>
          </cell>
          <cell r="E3637" t="str">
            <v>Nelson Mandela UPA</v>
          </cell>
          <cell r="H3637" t="str">
            <v>salud_oral</v>
          </cell>
          <cell r="J3637" t="str">
            <v>bueno</v>
          </cell>
          <cell r="K3637" t="str">
            <v>defsi</v>
          </cell>
        </row>
        <row r="3638">
          <cell r="B3638" t="b">
            <v>1</v>
          </cell>
          <cell r="E3638" t="str">
            <v>Nelson Mandela UPA</v>
          </cell>
          <cell r="H3638" t="str">
            <v>salud_oral</v>
          </cell>
          <cell r="J3638" t="str">
            <v>bueno</v>
          </cell>
          <cell r="K3638" t="str">
            <v>defsi</v>
          </cell>
        </row>
        <row r="3639">
          <cell r="B3639" t="b">
            <v>1</v>
          </cell>
          <cell r="E3639" t="str">
            <v>Bosque</v>
          </cell>
          <cell r="H3639" t="str">
            <v>consulta_externa</v>
          </cell>
          <cell r="J3639" t="str">
            <v>bueno</v>
          </cell>
          <cell r="K3639" t="str">
            <v>defsi</v>
          </cell>
        </row>
        <row r="3640">
          <cell r="B3640" t="b">
            <v>1</v>
          </cell>
          <cell r="E3640" t="str">
            <v>Nelson Mandela UPA</v>
          </cell>
          <cell r="H3640" t="str">
            <v>salud_oral</v>
          </cell>
          <cell r="J3640" t="str">
            <v>bueno</v>
          </cell>
          <cell r="K3640" t="str">
            <v>defsi</v>
          </cell>
        </row>
        <row r="3641">
          <cell r="B3641" t="b">
            <v>1</v>
          </cell>
          <cell r="E3641" t="str">
            <v>Nelson Mandela UPA</v>
          </cell>
          <cell r="H3641" t="str">
            <v>salud_oral</v>
          </cell>
          <cell r="J3641" t="str">
            <v>bueno</v>
          </cell>
          <cell r="K3641" t="str">
            <v>defsi</v>
          </cell>
        </row>
        <row r="3642">
          <cell r="B3642" t="b">
            <v>1</v>
          </cell>
          <cell r="E3642" t="str">
            <v>Nelson Mandela UPA</v>
          </cell>
          <cell r="H3642" t="str">
            <v>salud_oral</v>
          </cell>
          <cell r="J3642" t="str">
            <v>bueno</v>
          </cell>
          <cell r="K3642" t="str">
            <v>probsi</v>
          </cell>
        </row>
        <row r="3643">
          <cell r="B3643" t="b">
            <v>1</v>
          </cell>
          <cell r="E3643" t="str">
            <v>Bosque</v>
          </cell>
          <cell r="H3643" t="str">
            <v>salud_oral</v>
          </cell>
          <cell r="J3643" t="str">
            <v>bueno</v>
          </cell>
          <cell r="K3643" t="str">
            <v>defsi</v>
          </cell>
        </row>
        <row r="3644">
          <cell r="B3644" t="b">
            <v>1</v>
          </cell>
          <cell r="E3644" t="str">
            <v>Nelson Mandela UPA</v>
          </cell>
          <cell r="H3644" t="str">
            <v>salud_oral</v>
          </cell>
          <cell r="J3644" t="str">
            <v>bueno</v>
          </cell>
          <cell r="K3644" t="str">
            <v>defsi</v>
          </cell>
        </row>
        <row r="3645">
          <cell r="B3645" t="b">
            <v>1</v>
          </cell>
          <cell r="E3645" t="str">
            <v>Nelson Mandela UPA</v>
          </cell>
          <cell r="H3645" t="str">
            <v>consulta_externa</v>
          </cell>
          <cell r="J3645" t="str">
            <v>bueno</v>
          </cell>
          <cell r="K3645" t="str">
            <v>defsi</v>
          </cell>
        </row>
        <row r="3646">
          <cell r="B3646" t="b">
            <v>1</v>
          </cell>
          <cell r="E3646" t="str">
            <v>Nelson Mandela UPA</v>
          </cell>
          <cell r="H3646" t="str">
            <v>consulta_externa</v>
          </cell>
          <cell r="J3646" t="str">
            <v>bueno</v>
          </cell>
          <cell r="K3646" t="str">
            <v>defsi</v>
          </cell>
        </row>
        <row r="3647">
          <cell r="B3647" t="b">
            <v>1</v>
          </cell>
          <cell r="E3647" t="str">
            <v>Bosque</v>
          </cell>
          <cell r="H3647" t="str">
            <v>laboratorio</v>
          </cell>
          <cell r="J3647" t="str">
            <v>bueno</v>
          </cell>
          <cell r="K3647" t="str">
            <v>defsi</v>
          </cell>
        </row>
        <row r="3648">
          <cell r="B3648" t="b">
            <v>1</v>
          </cell>
          <cell r="E3648" t="str">
            <v>Nelson Mandela UPA</v>
          </cell>
          <cell r="H3648" t="str">
            <v>laboratorio</v>
          </cell>
          <cell r="J3648" t="str">
            <v>bueno</v>
          </cell>
          <cell r="K3648" t="str">
            <v>defsi</v>
          </cell>
        </row>
        <row r="3649">
          <cell r="B3649" t="b">
            <v>1</v>
          </cell>
          <cell r="E3649" t="str">
            <v>Nelson Mandela UPA</v>
          </cell>
          <cell r="H3649" t="str">
            <v>laboratorio</v>
          </cell>
          <cell r="J3649" t="str">
            <v>bueno</v>
          </cell>
          <cell r="K3649" t="str">
            <v>defsi</v>
          </cell>
        </row>
        <row r="3650">
          <cell r="B3650" t="b">
            <v>1</v>
          </cell>
          <cell r="E3650" t="str">
            <v>Nelson Mandela UPA</v>
          </cell>
          <cell r="H3650" t="str">
            <v>laboratorio</v>
          </cell>
          <cell r="J3650" t="str">
            <v>bueno</v>
          </cell>
          <cell r="K3650" t="str">
            <v>defsi</v>
          </cell>
        </row>
        <row r="3651">
          <cell r="B3651" t="b">
            <v>1</v>
          </cell>
          <cell r="E3651" t="str">
            <v>Bosque</v>
          </cell>
          <cell r="H3651" t="str">
            <v>consulta_externa</v>
          </cell>
          <cell r="J3651" t="str">
            <v>bueno</v>
          </cell>
          <cell r="K3651" t="str">
            <v>defsi</v>
          </cell>
        </row>
        <row r="3652">
          <cell r="B3652" t="b">
            <v>1</v>
          </cell>
          <cell r="E3652" t="str">
            <v>Bosque</v>
          </cell>
          <cell r="H3652" t="str">
            <v>salud_oral</v>
          </cell>
          <cell r="J3652" t="str">
            <v>bueno</v>
          </cell>
          <cell r="K3652" t="str">
            <v>defsi</v>
          </cell>
        </row>
        <row r="3653">
          <cell r="B3653" t="b">
            <v>1</v>
          </cell>
          <cell r="E3653" t="str">
            <v>Bosque</v>
          </cell>
          <cell r="H3653" t="str">
            <v>laboratorio</v>
          </cell>
          <cell r="J3653" t="str">
            <v>bueno</v>
          </cell>
          <cell r="K3653" t="str">
            <v>defsi</v>
          </cell>
        </row>
        <row r="3654">
          <cell r="B3654" t="b">
            <v>1</v>
          </cell>
          <cell r="E3654" t="str">
            <v>Bosque</v>
          </cell>
          <cell r="H3654" t="str">
            <v>consulta_externa</v>
          </cell>
          <cell r="J3654" t="str">
            <v>bueno</v>
          </cell>
          <cell r="K3654" t="str">
            <v>defsi</v>
          </cell>
        </row>
        <row r="3655">
          <cell r="B3655" t="b">
            <v>1</v>
          </cell>
          <cell r="E3655" t="str">
            <v>Bosque</v>
          </cell>
          <cell r="H3655" t="str">
            <v>salud_oral</v>
          </cell>
          <cell r="J3655" t="str">
            <v>bueno</v>
          </cell>
          <cell r="K3655" t="str">
            <v>defsi</v>
          </cell>
        </row>
        <row r="3656">
          <cell r="B3656" t="b">
            <v>1</v>
          </cell>
          <cell r="E3656" t="str">
            <v>Bosque</v>
          </cell>
          <cell r="H3656" t="str">
            <v>laboratorio</v>
          </cell>
          <cell r="J3656" t="str">
            <v>bueno</v>
          </cell>
          <cell r="K3656" t="str">
            <v>defsi</v>
          </cell>
        </row>
        <row r="3657">
          <cell r="B3657" t="b">
            <v>1</v>
          </cell>
          <cell r="E3657" t="str">
            <v>Nelson Mandela UPA</v>
          </cell>
          <cell r="H3657" t="str">
            <v>laboratorio</v>
          </cell>
          <cell r="J3657" t="str">
            <v>bueno</v>
          </cell>
          <cell r="K3657" t="str">
            <v>defsi</v>
          </cell>
        </row>
        <row r="3658">
          <cell r="B3658" t="b">
            <v>1</v>
          </cell>
          <cell r="E3658" t="str">
            <v>Nelson Mandela UPA</v>
          </cell>
          <cell r="H3658" t="str">
            <v>laboratorio</v>
          </cell>
          <cell r="J3658" t="str">
            <v>bueno</v>
          </cell>
          <cell r="K3658" t="str">
            <v>defsi</v>
          </cell>
        </row>
        <row r="3659">
          <cell r="B3659" t="b">
            <v>1</v>
          </cell>
          <cell r="E3659" t="str">
            <v>Nelson Mandela UPA</v>
          </cell>
          <cell r="H3659" t="str">
            <v>consulta_externa</v>
          </cell>
          <cell r="J3659" t="str">
            <v>bueno</v>
          </cell>
          <cell r="K3659" t="str">
            <v>defsi</v>
          </cell>
        </row>
        <row r="3660">
          <cell r="B3660" t="b">
            <v>1</v>
          </cell>
          <cell r="E3660" t="str">
            <v>Pasacaballos</v>
          </cell>
          <cell r="H3660" t="str">
            <v>consulta_externa</v>
          </cell>
          <cell r="J3660" t="str">
            <v>bueno</v>
          </cell>
          <cell r="K3660" t="str">
            <v>probsi</v>
          </cell>
        </row>
        <row r="3661">
          <cell r="B3661" t="b">
            <v>1</v>
          </cell>
          <cell r="E3661" t="str">
            <v>Pasacaballos</v>
          </cell>
          <cell r="H3661" t="str">
            <v>salud_oral</v>
          </cell>
          <cell r="J3661" t="str">
            <v>bueno</v>
          </cell>
          <cell r="K3661" t="str">
            <v>probsi</v>
          </cell>
        </row>
        <row r="3662">
          <cell r="B3662" t="b">
            <v>1</v>
          </cell>
          <cell r="E3662" t="str">
            <v>Pasacaballos</v>
          </cell>
          <cell r="H3662" t="str">
            <v>consulta_externa</v>
          </cell>
          <cell r="J3662" t="str">
            <v>bueno</v>
          </cell>
          <cell r="K3662" t="str">
            <v>probsi</v>
          </cell>
        </row>
        <row r="3663">
          <cell r="B3663" t="b">
            <v>1</v>
          </cell>
          <cell r="E3663" t="str">
            <v>Nelson Mandela UPA</v>
          </cell>
          <cell r="H3663" t="str">
            <v>salud_oral</v>
          </cell>
          <cell r="J3663" t="str">
            <v>bueno</v>
          </cell>
          <cell r="K3663" t="str">
            <v>defsi</v>
          </cell>
        </row>
        <row r="3664">
          <cell r="B3664" t="b">
            <v>1</v>
          </cell>
          <cell r="E3664" t="str">
            <v>Pasacaballos</v>
          </cell>
          <cell r="H3664" t="str">
            <v>salud_oral</v>
          </cell>
          <cell r="J3664" t="str">
            <v>bueno</v>
          </cell>
          <cell r="K3664" t="str">
            <v>probsi</v>
          </cell>
        </row>
        <row r="3665">
          <cell r="B3665" t="b">
            <v>1</v>
          </cell>
          <cell r="E3665" t="str">
            <v>Nelson Mandela UPA</v>
          </cell>
          <cell r="H3665" t="str">
            <v>salud_oral</v>
          </cell>
          <cell r="J3665" t="str">
            <v>bueno</v>
          </cell>
          <cell r="K3665" t="str">
            <v>defsi</v>
          </cell>
        </row>
        <row r="3666">
          <cell r="B3666" t="b">
            <v>0</v>
          </cell>
          <cell r="E3666" t="str">
            <v>Pasacaballos</v>
          </cell>
          <cell r="H3666" t="str">
            <v>consulta_externa</v>
          </cell>
          <cell r="J3666" t="str">
            <v>malo</v>
          </cell>
          <cell r="K3666" t="str">
            <v>probno</v>
          </cell>
        </row>
        <row r="3667">
          <cell r="B3667" t="b">
            <v>1</v>
          </cell>
          <cell r="E3667" t="str">
            <v>Nelson Mandela UPA</v>
          </cell>
          <cell r="H3667" t="str">
            <v>laboratorio</v>
          </cell>
          <cell r="J3667" t="str">
            <v>bueno</v>
          </cell>
          <cell r="K3667" t="str">
            <v>defsi</v>
          </cell>
        </row>
        <row r="3668">
          <cell r="B3668" t="b">
            <v>0</v>
          </cell>
          <cell r="E3668" t="str">
            <v>Pasacaballos</v>
          </cell>
          <cell r="H3668" t="str">
            <v>salud_oral</v>
          </cell>
          <cell r="J3668" t="str">
            <v>regular</v>
          </cell>
          <cell r="K3668" t="str">
            <v>probno</v>
          </cell>
        </row>
        <row r="3669">
          <cell r="B3669" t="b">
            <v>0</v>
          </cell>
          <cell r="E3669" t="str">
            <v>Pasacaballos</v>
          </cell>
          <cell r="H3669" t="str">
            <v>laboratorio</v>
          </cell>
          <cell r="J3669" t="str">
            <v>regular</v>
          </cell>
          <cell r="K3669" t="str">
            <v>probsi</v>
          </cell>
        </row>
        <row r="3670">
          <cell r="B3670" t="b">
            <v>0</v>
          </cell>
          <cell r="E3670" t="str">
            <v>Pasacaballos</v>
          </cell>
          <cell r="H3670" t="str">
            <v>laboratorio</v>
          </cell>
          <cell r="J3670" t="str">
            <v>regular</v>
          </cell>
          <cell r="K3670" t="str">
            <v>probsi</v>
          </cell>
        </row>
        <row r="3671">
          <cell r="B3671" t="b">
            <v>1</v>
          </cell>
          <cell r="E3671" t="str">
            <v>Nelson Mandela UPA</v>
          </cell>
          <cell r="H3671" t="str">
            <v>laboratorio</v>
          </cell>
          <cell r="J3671" t="str">
            <v>bueno</v>
          </cell>
          <cell r="K3671" t="str">
            <v>defsi</v>
          </cell>
        </row>
        <row r="3672">
          <cell r="B3672" t="b">
            <v>1</v>
          </cell>
          <cell r="E3672" t="str">
            <v>Bosque</v>
          </cell>
          <cell r="H3672" t="str">
            <v>consulta_externa</v>
          </cell>
          <cell r="J3672" t="str">
            <v>bueno</v>
          </cell>
          <cell r="K3672" t="str">
            <v>defsi</v>
          </cell>
        </row>
        <row r="3673">
          <cell r="B3673" t="b">
            <v>1</v>
          </cell>
          <cell r="E3673" t="str">
            <v>Pasacaballos</v>
          </cell>
          <cell r="H3673" t="str">
            <v>consulta_externa</v>
          </cell>
          <cell r="J3673" t="str">
            <v>bueno</v>
          </cell>
          <cell r="K3673" t="str">
            <v>probsi</v>
          </cell>
        </row>
        <row r="3674">
          <cell r="B3674" t="b">
            <v>1</v>
          </cell>
          <cell r="E3674" t="str">
            <v>Bosque</v>
          </cell>
          <cell r="H3674" t="str">
            <v>salud_oral</v>
          </cell>
          <cell r="J3674" t="str">
            <v>bueno</v>
          </cell>
          <cell r="K3674" t="str">
            <v>defsi</v>
          </cell>
        </row>
        <row r="3675">
          <cell r="B3675" t="b">
            <v>1</v>
          </cell>
          <cell r="E3675" t="str">
            <v>Pasacaballos</v>
          </cell>
          <cell r="H3675" t="str">
            <v>laboratorio</v>
          </cell>
          <cell r="J3675" t="str">
            <v>bueno</v>
          </cell>
          <cell r="K3675" t="str">
            <v>probsi</v>
          </cell>
        </row>
        <row r="3676">
          <cell r="B3676" t="b">
            <v>1</v>
          </cell>
          <cell r="E3676" t="str">
            <v>Pasacaballos</v>
          </cell>
          <cell r="H3676" t="str">
            <v>laboratorio</v>
          </cell>
          <cell r="J3676" t="str">
            <v>bueno</v>
          </cell>
          <cell r="K3676" t="str">
            <v>probsi</v>
          </cell>
        </row>
        <row r="3677">
          <cell r="B3677" t="b">
            <v>1</v>
          </cell>
          <cell r="E3677" t="str">
            <v>Pasacaballos</v>
          </cell>
          <cell r="H3677" t="str">
            <v>salud_oral</v>
          </cell>
          <cell r="J3677" t="str">
            <v>bueno</v>
          </cell>
          <cell r="K3677" t="str">
            <v>probsi</v>
          </cell>
        </row>
        <row r="3678">
          <cell r="B3678" t="b">
            <v>1</v>
          </cell>
          <cell r="E3678" t="str">
            <v>Bosque</v>
          </cell>
          <cell r="H3678" t="str">
            <v>laboratorio</v>
          </cell>
          <cell r="J3678" t="str">
            <v>bueno</v>
          </cell>
          <cell r="K3678" t="str">
            <v>defsi</v>
          </cell>
        </row>
        <row r="3679">
          <cell r="B3679" t="b">
            <v>1</v>
          </cell>
          <cell r="E3679" t="str">
            <v>Pasacaballos</v>
          </cell>
          <cell r="H3679" t="str">
            <v>salud_oral</v>
          </cell>
          <cell r="J3679" t="str">
            <v>bueno</v>
          </cell>
          <cell r="K3679" t="str">
            <v>probsi</v>
          </cell>
        </row>
        <row r="3680">
          <cell r="B3680" t="b">
            <v>1</v>
          </cell>
          <cell r="E3680" t="str">
            <v>Pasacaballos</v>
          </cell>
          <cell r="H3680" t="str">
            <v>consulta_externa</v>
          </cell>
          <cell r="J3680" t="str">
            <v>bueno</v>
          </cell>
          <cell r="K3680" t="str">
            <v>probsi</v>
          </cell>
        </row>
        <row r="3681">
          <cell r="B3681" t="b">
            <v>1</v>
          </cell>
          <cell r="E3681" t="str">
            <v>Pasacaballos</v>
          </cell>
          <cell r="H3681" t="str">
            <v>consulta_externa</v>
          </cell>
          <cell r="J3681" t="str">
            <v>bueno</v>
          </cell>
          <cell r="K3681" t="str">
            <v>probsi</v>
          </cell>
        </row>
        <row r="3682">
          <cell r="B3682" t="b">
            <v>1</v>
          </cell>
          <cell r="E3682" t="str">
            <v>Pasacaballos</v>
          </cell>
          <cell r="H3682" t="str">
            <v>laboratorio</v>
          </cell>
          <cell r="J3682" t="str">
            <v>bueno</v>
          </cell>
          <cell r="K3682" t="str">
            <v>probsi</v>
          </cell>
        </row>
        <row r="3683">
          <cell r="B3683" t="b">
            <v>1</v>
          </cell>
          <cell r="E3683" t="str">
            <v>Pasacaballos</v>
          </cell>
          <cell r="H3683" t="str">
            <v>laboratorio</v>
          </cell>
          <cell r="J3683" t="str">
            <v>bueno</v>
          </cell>
          <cell r="K3683" t="str">
            <v>probsi</v>
          </cell>
        </row>
        <row r="3684">
          <cell r="B3684" t="b">
            <v>0</v>
          </cell>
          <cell r="E3684" t="str">
            <v>Pasacaballos</v>
          </cell>
          <cell r="H3684" t="str">
            <v>consulta_externa</v>
          </cell>
          <cell r="J3684" t="str">
            <v>regular</v>
          </cell>
          <cell r="K3684" t="str">
            <v>probsi</v>
          </cell>
        </row>
        <row r="3685">
          <cell r="B3685" t="b">
            <v>1</v>
          </cell>
          <cell r="E3685" t="str">
            <v>Pasacaballos</v>
          </cell>
          <cell r="H3685" t="str">
            <v>salud_oral</v>
          </cell>
          <cell r="J3685" t="str">
            <v>bueno</v>
          </cell>
          <cell r="K3685" t="str">
            <v>probsi</v>
          </cell>
        </row>
        <row r="3686">
          <cell r="B3686" t="b">
            <v>1</v>
          </cell>
          <cell r="E3686" t="str">
            <v>Pasacaballos</v>
          </cell>
          <cell r="H3686" t="str">
            <v>laboratorio</v>
          </cell>
          <cell r="J3686" t="str">
            <v>bueno</v>
          </cell>
          <cell r="K3686" t="str">
            <v>probsi</v>
          </cell>
        </row>
        <row r="3687">
          <cell r="B3687" t="b">
            <v>1</v>
          </cell>
          <cell r="E3687" t="str">
            <v>Pasacaballos</v>
          </cell>
          <cell r="H3687" t="str">
            <v>consulta_externa</v>
          </cell>
          <cell r="J3687" t="str">
            <v>bueno</v>
          </cell>
          <cell r="K3687" t="str">
            <v>probsi</v>
          </cell>
        </row>
        <row r="3688">
          <cell r="B3688" t="b">
            <v>1</v>
          </cell>
          <cell r="E3688" t="str">
            <v>Pasacaballos</v>
          </cell>
          <cell r="H3688" t="str">
            <v>salud_oral</v>
          </cell>
          <cell r="J3688" t="str">
            <v>bueno</v>
          </cell>
          <cell r="K3688" t="str">
            <v>probsi</v>
          </cell>
        </row>
        <row r="3689">
          <cell r="B3689" t="b">
            <v>0</v>
          </cell>
          <cell r="E3689" t="str">
            <v>Pasacaballos</v>
          </cell>
          <cell r="H3689" t="str">
            <v>urgencia</v>
          </cell>
          <cell r="J3689" t="str">
            <v>regular</v>
          </cell>
          <cell r="K3689" t="str">
            <v>probno</v>
          </cell>
        </row>
        <row r="3690">
          <cell r="B3690" t="b">
            <v>1</v>
          </cell>
          <cell r="E3690" t="str">
            <v>Pasacaballos</v>
          </cell>
          <cell r="H3690" t="str">
            <v>consulta_externa</v>
          </cell>
          <cell r="J3690" t="str">
            <v>bueno</v>
          </cell>
          <cell r="K3690" t="str">
            <v>probsi</v>
          </cell>
        </row>
        <row r="3691">
          <cell r="B3691" t="b">
            <v>1</v>
          </cell>
          <cell r="E3691" t="str">
            <v>Pasacaballos</v>
          </cell>
          <cell r="H3691" t="str">
            <v>laboratorio</v>
          </cell>
          <cell r="J3691" t="str">
            <v>bueno</v>
          </cell>
          <cell r="K3691" t="str">
            <v>probsi</v>
          </cell>
        </row>
        <row r="3692">
          <cell r="B3692" t="b">
            <v>0</v>
          </cell>
          <cell r="E3692" t="str">
            <v>Pasacaballos</v>
          </cell>
          <cell r="H3692" t="str">
            <v>consulta_externa</v>
          </cell>
          <cell r="J3692" t="str">
            <v>regular</v>
          </cell>
          <cell r="K3692" t="str">
            <v>probsi</v>
          </cell>
        </row>
        <row r="3693">
          <cell r="B3693" t="b">
            <v>0</v>
          </cell>
          <cell r="E3693" t="str">
            <v>Pasacaballos</v>
          </cell>
          <cell r="H3693" t="str">
            <v>salud_oral</v>
          </cell>
          <cell r="J3693" t="str">
            <v>regular</v>
          </cell>
          <cell r="K3693" t="str">
            <v>probsi</v>
          </cell>
        </row>
        <row r="3694">
          <cell r="B3694" t="b">
            <v>1</v>
          </cell>
          <cell r="E3694" t="str">
            <v>Pasacaballos</v>
          </cell>
          <cell r="H3694" t="str">
            <v>urgencia</v>
          </cell>
          <cell r="J3694" t="str">
            <v>bueno</v>
          </cell>
          <cell r="K3694" t="str">
            <v>probsi</v>
          </cell>
        </row>
        <row r="3695">
          <cell r="B3695" t="b">
            <v>0</v>
          </cell>
          <cell r="E3695" t="str">
            <v>Pasacaballos</v>
          </cell>
          <cell r="H3695" t="str">
            <v>consulta_externa</v>
          </cell>
          <cell r="J3695" t="str">
            <v>regular</v>
          </cell>
          <cell r="K3695" t="str">
            <v>probsi</v>
          </cell>
        </row>
        <row r="3696">
          <cell r="B3696" t="b">
            <v>0</v>
          </cell>
          <cell r="E3696" t="str">
            <v>Pasacaballos</v>
          </cell>
          <cell r="H3696" t="str">
            <v>salud_oral</v>
          </cell>
          <cell r="J3696" t="str">
            <v>regular</v>
          </cell>
          <cell r="K3696" t="str">
            <v>probsi</v>
          </cell>
        </row>
        <row r="3697">
          <cell r="B3697" t="b">
            <v>0</v>
          </cell>
          <cell r="E3697" t="str">
            <v>Pasacaballos</v>
          </cell>
          <cell r="H3697" t="str">
            <v>laboratorio</v>
          </cell>
          <cell r="J3697" t="str">
            <v>regular</v>
          </cell>
          <cell r="K3697" t="str">
            <v>probsi</v>
          </cell>
        </row>
        <row r="3698">
          <cell r="B3698" t="b">
            <v>1</v>
          </cell>
          <cell r="E3698" t="str">
            <v>Pasacaballos</v>
          </cell>
          <cell r="H3698" t="str">
            <v>consulta_externa</v>
          </cell>
          <cell r="J3698" t="str">
            <v>bueno</v>
          </cell>
          <cell r="K3698" t="str">
            <v>probsi</v>
          </cell>
        </row>
        <row r="3699">
          <cell r="B3699" t="b">
            <v>1</v>
          </cell>
          <cell r="E3699" t="str">
            <v>Pasacaballos</v>
          </cell>
          <cell r="H3699" t="str">
            <v>salud_oral</v>
          </cell>
          <cell r="J3699" t="str">
            <v>bueno</v>
          </cell>
          <cell r="K3699" t="str">
            <v>probsi</v>
          </cell>
        </row>
        <row r="3700">
          <cell r="B3700" t="b">
            <v>1</v>
          </cell>
          <cell r="E3700" t="str">
            <v>Pasacaballos</v>
          </cell>
          <cell r="H3700" t="str">
            <v>salud_oral</v>
          </cell>
          <cell r="J3700" t="str">
            <v>bueno</v>
          </cell>
          <cell r="K3700" t="str">
            <v>probsi</v>
          </cell>
        </row>
        <row r="3701">
          <cell r="B3701" t="b">
            <v>0</v>
          </cell>
          <cell r="E3701" t="str">
            <v>Pasacaballos</v>
          </cell>
          <cell r="H3701" t="str">
            <v>consulta_externa</v>
          </cell>
          <cell r="J3701" t="str">
            <v>regular</v>
          </cell>
          <cell r="K3701" t="str">
            <v>probsi</v>
          </cell>
        </row>
        <row r="3702">
          <cell r="B3702" t="b">
            <v>0</v>
          </cell>
          <cell r="E3702" t="str">
            <v>Pasacaballos</v>
          </cell>
          <cell r="H3702" t="str">
            <v>consulta_externa</v>
          </cell>
          <cell r="J3702" t="str">
            <v>regular</v>
          </cell>
          <cell r="K3702" t="str">
            <v>probsi</v>
          </cell>
        </row>
        <row r="3703">
          <cell r="B3703" t="b">
            <v>0</v>
          </cell>
          <cell r="E3703" t="str">
            <v>Pasacaballos</v>
          </cell>
          <cell r="H3703" t="str">
            <v>salud_oral</v>
          </cell>
          <cell r="J3703" t="str">
            <v>regular</v>
          </cell>
          <cell r="K3703" t="str">
            <v>probsi</v>
          </cell>
        </row>
        <row r="3704">
          <cell r="B3704" t="b">
            <v>1</v>
          </cell>
          <cell r="E3704" t="str">
            <v>Pasacaballos</v>
          </cell>
          <cell r="H3704" t="str">
            <v>consulta_externa</v>
          </cell>
          <cell r="J3704" t="str">
            <v>bueno</v>
          </cell>
          <cell r="K3704" t="str">
            <v>probsi</v>
          </cell>
        </row>
        <row r="3705">
          <cell r="B3705" t="b">
            <v>1</v>
          </cell>
          <cell r="E3705" t="str">
            <v>Pasacaballos</v>
          </cell>
          <cell r="H3705" t="str">
            <v>urgencia</v>
          </cell>
          <cell r="J3705" t="str">
            <v>bueno</v>
          </cell>
          <cell r="K3705" t="str">
            <v>probsi</v>
          </cell>
        </row>
        <row r="3706">
          <cell r="B3706" t="b">
            <v>1</v>
          </cell>
          <cell r="E3706" t="str">
            <v>Bosque</v>
          </cell>
          <cell r="H3706" t="str">
            <v>consulta_externa</v>
          </cell>
          <cell r="J3706" t="str">
            <v>bueno</v>
          </cell>
          <cell r="K3706" t="str">
            <v>defsi</v>
          </cell>
        </row>
        <row r="3707">
          <cell r="B3707" t="b">
            <v>1</v>
          </cell>
          <cell r="E3707" t="str">
            <v>Bosque</v>
          </cell>
          <cell r="H3707" t="str">
            <v>salud_oral</v>
          </cell>
          <cell r="J3707" t="str">
            <v>bueno</v>
          </cell>
          <cell r="K3707" t="str">
            <v>defsi</v>
          </cell>
        </row>
        <row r="3708">
          <cell r="B3708" t="b">
            <v>1</v>
          </cell>
          <cell r="E3708" t="str">
            <v>Bosque</v>
          </cell>
          <cell r="H3708" t="str">
            <v>laboratorio</v>
          </cell>
          <cell r="J3708" t="str">
            <v>bueno</v>
          </cell>
          <cell r="K3708" t="str">
            <v>defsi</v>
          </cell>
        </row>
        <row r="3709">
          <cell r="B3709" t="b">
            <v>1</v>
          </cell>
          <cell r="E3709" t="str">
            <v>Pasacaballos</v>
          </cell>
          <cell r="H3709" t="str">
            <v>consulta_externa</v>
          </cell>
          <cell r="J3709" t="str">
            <v>bueno</v>
          </cell>
          <cell r="K3709" t="str">
            <v>probsi</v>
          </cell>
        </row>
        <row r="3710">
          <cell r="B3710" t="b">
            <v>1</v>
          </cell>
          <cell r="E3710" t="str">
            <v>Pasacaballos</v>
          </cell>
          <cell r="H3710" t="str">
            <v>urgencia</v>
          </cell>
          <cell r="J3710" t="str">
            <v>bueno</v>
          </cell>
          <cell r="K3710" t="str">
            <v>probsi</v>
          </cell>
        </row>
        <row r="3711">
          <cell r="B3711" t="b">
            <v>1</v>
          </cell>
          <cell r="E3711" t="str">
            <v>Bosque</v>
          </cell>
          <cell r="H3711" t="str">
            <v>consulta_externa</v>
          </cell>
          <cell r="J3711" t="str">
            <v>bueno</v>
          </cell>
          <cell r="K3711" t="str">
            <v>defsi</v>
          </cell>
        </row>
        <row r="3712">
          <cell r="B3712" t="b">
            <v>1</v>
          </cell>
          <cell r="E3712" t="str">
            <v>Bosque</v>
          </cell>
          <cell r="H3712" t="str">
            <v>salud_oral</v>
          </cell>
          <cell r="J3712" t="str">
            <v>bueno</v>
          </cell>
          <cell r="K3712" t="str">
            <v>defsi</v>
          </cell>
        </row>
        <row r="3713">
          <cell r="B3713" t="b">
            <v>1</v>
          </cell>
          <cell r="E3713" t="str">
            <v>Pasacaballos</v>
          </cell>
          <cell r="H3713" t="str">
            <v>urgencia</v>
          </cell>
          <cell r="J3713" t="str">
            <v>bueno</v>
          </cell>
          <cell r="K3713" t="str">
            <v>probsi</v>
          </cell>
        </row>
        <row r="3714">
          <cell r="B3714" t="b">
            <v>1</v>
          </cell>
          <cell r="E3714" t="str">
            <v>Bosque</v>
          </cell>
          <cell r="H3714" t="str">
            <v>laboratorio</v>
          </cell>
          <cell r="J3714" t="str">
            <v>bueno</v>
          </cell>
          <cell r="K3714" t="str">
            <v>defsi</v>
          </cell>
        </row>
        <row r="3715">
          <cell r="B3715" t="b">
            <v>1</v>
          </cell>
          <cell r="E3715" t="str">
            <v>Bosque</v>
          </cell>
          <cell r="H3715" t="str">
            <v>consulta_externa</v>
          </cell>
          <cell r="J3715" t="str">
            <v>bueno</v>
          </cell>
          <cell r="K3715" t="str">
            <v>defsi</v>
          </cell>
        </row>
        <row r="3716">
          <cell r="B3716" t="b">
            <v>1</v>
          </cell>
          <cell r="E3716" t="str">
            <v>Bosque</v>
          </cell>
          <cell r="H3716" t="str">
            <v>salud_oral</v>
          </cell>
          <cell r="J3716" t="str">
            <v>bueno</v>
          </cell>
          <cell r="K3716" t="str">
            <v>defsi</v>
          </cell>
        </row>
        <row r="3717">
          <cell r="B3717" t="b">
            <v>1</v>
          </cell>
          <cell r="E3717" t="str">
            <v>Pasacaballos</v>
          </cell>
          <cell r="H3717" t="str">
            <v>urgencia</v>
          </cell>
          <cell r="J3717" t="str">
            <v>bueno</v>
          </cell>
          <cell r="K3717" t="str">
            <v>probsi</v>
          </cell>
        </row>
        <row r="3718">
          <cell r="B3718" t="b">
            <v>1</v>
          </cell>
          <cell r="E3718" t="str">
            <v>Bosque</v>
          </cell>
          <cell r="H3718" t="str">
            <v>laboratorio</v>
          </cell>
          <cell r="J3718" t="str">
            <v>bueno</v>
          </cell>
          <cell r="K3718" t="str">
            <v>defsi</v>
          </cell>
        </row>
        <row r="3719">
          <cell r="B3719" t="b">
            <v>1</v>
          </cell>
          <cell r="E3719" t="str">
            <v>Bosque</v>
          </cell>
          <cell r="H3719" t="str">
            <v>consulta_externa</v>
          </cell>
          <cell r="J3719" t="str">
            <v>bueno</v>
          </cell>
          <cell r="K3719" t="str">
            <v>defsi</v>
          </cell>
        </row>
        <row r="3720">
          <cell r="B3720" t="b">
            <v>1</v>
          </cell>
          <cell r="E3720" t="str">
            <v>Bosque</v>
          </cell>
          <cell r="H3720" t="str">
            <v>salud_oral</v>
          </cell>
          <cell r="J3720" t="str">
            <v>bueno</v>
          </cell>
          <cell r="K3720" t="str">
            <v>defsi</v>
          </cell>
        </row>
        <row r="3721">
          <cell r="B3721" t="b">
            <v>1</v>
          </cell>
          <cell r="E3721" t="str">
            <v>Bosque</v>
          </cell>
          <cell r="H3721" t="str">
            <v>laboratorio</v>
          </cell>
          <cell r="J3721" t="str">
            <v>bueno</v>
          </cell>
          <cell r="K3721" t="str">
            <v>defsi</v>
          </cell>
        </row>
        <row r="3722">
          <cell r="B3722" t="b">
            <v>1</v>
          </cell>
          <cell r="E3722" t="str">
            <v>Pasacaballos</v>
          </cell>
          <cell r="H3722" t="str">
            <v>urgencia</v>
          </cell>
          <cell r="J3722" t="str">
            <v>bueno</v>
          </cell>
          <cell r="K3722" t="str">
            <v>probsi</v>
          </cell>
        </row>
        <row r="3723">
          <cell r="B3723" t="b">
            <v>1</v>
          </cell>
          <cell r="E3723" t="str">
            <v>Nelson Mandela UPA</v>
          </cell>
          <cell r="H3723" t="str">
            <v>urgencia</v>
          </cell>
          <cell r="J3723" t="str">
            <v>bueno</v>
          </cell>
          <cell r="K3723" t="str">
            <v>defsi</v>
          </cell>
        </row>
        <row r="3724">
          <cell r="B3724" t="b">
            <v>1</v>
          </cell>
          <cell r="E3724" t="str">
            <v>Las Reinas</v>
          </cell>
          <cell r="H3724" t="str">
            <v>laboratorio</v>
          </cell>
          <cell r="J3724" t="str">
            <v>bueno</v>
          </cell>
          <cell r="K3724" t="str">
            <v>defsi</v>
          </cell>
        </row>
        <row r="3725">
          <cell r="B3725" t="b">
            <v>1</v>
          </cell>
          <cell r="E3725" t="str">
            <v>Las Reinas</v>
          </cell>
          <cell r="H3725" t="str">
            <v>laboratorio</v>
          </cell>
          <cell r="J3725" t="str">
            <v>bueno</v>
          </cell>
          <cell r="K3725" t="str">
            <v>defsi</v>
          </cell>
        </row>
        <row r="3726">
          <cell r="B3726" t="b">
            <v>1</v>
          </cell>
          <cell r="E3726" t="str">
            <v>Las Reinas</v>
          </cell>
          <cell r="H3726" t="str">
            <v>laboratorio</v>
          </cell>
          <cell r="J3726" t="str">
            <v>bueno</v>
          </cell>
          <cell r="K3726" t="str">
            <v>defsi</v>
          </cell>
        </row>
        <row r="3727">
          <cell r="B3727" t="b">
            <v>1</v>
          </cell>
          <cell r="E3727" t="str">
            <v>Las Reinas</v>
          </cell>
          <cell r="H3727" t="str">
            <v>consulta_externa</v>
          </cell>
          <cell r="J3727" t="str">
            <v>bueno</v>
          </cell>
          <cell r="K3727" t="str">
            <v>defsi</v>
          </cell>
        </row>
        <row r="3728">
          <cell r="B3728" t="b">
            <v>1</v>
          </cell>
          <cell r="E3728" t="str">
            <v>Las Reinas</v>
          </cell>
          <cell r="H3728" t="str">
            <v>laboratorio</v>
          </cell>
          <cell r="J3728" t="str">
            <v>bueno</v>
          </cell>
          <cell r="K3728" t="str">
            <v>defsi</v>
          </cell>
        </row>
        <row r="3729">
          <cell r="B3729" t="b">
            <v>0</v>
          </cell>
          <cell r="E3729" t="str">
            <v>Las Reinas</v>
          </cell>
          <cell r="H3729" t="str">
            <v>consulta_externa</v>
          </cell>
          <cell r="J3729" t="str">
            <v>regular</v>
          </cell>
          <cell r="K3729" t="str">
            <v>probsi</v>
          </cell>
        </row>
        <row r="3730">
          <cell r="B3730" t="b">
            <v>1</v>
          </cell>
          <cell r="E3730" t="str">
            <v>Las Reinas</v>
          </cell>
          <cell r="H3730" t="str">
            <v>laboratorio</v>
          </cell>
          <cell r="J3730" t="str">
            <v>bueno</v>
          </cell>
          <cell r="K3730" t="str">
            <v>defsi</v>
          </cell>
        </row>
        <row r="3731">
          <cell r="B3731" t="b">
            <v>1</v>
          </cell>
          <cell r="E3731" t="str">
            <v>Blasdelezo</v>
          </cell>
          <cell r="H3731" t="str">
            <v>consulta_externa</v>
          </cell>
          <cell r="J3731" t="str">
            <v>bueno</v>
          </cell>
          <cell r="K3731" t="str">
            <v>defsi</v>
          </cell>
        </row>
        <row r="3732">
          <cell r="B3732" t="b">
            <v>1</v>
          </cell>
          <cell r="E3732" t="str">
            <v>Blasdelezo</v>
          </cell>
          <cell r="H3732" t="str">
            <v>salud_oral</v>
          </cell>
          <cell r="J3732" t="str">
            <v>bueno</v>
          </cell>
          <cell r="K3732" t="str">
            <v>defsi</v>
          </cell>
        </row>
        <row r="3733">
          <cell r="B3733" t="b">
            <v>1</v>
          </cell>
          <cell r="E3733" t="str">
            <v>Las Reinas</v>
          </cell>
          <cell r="H3733" t="str">
            <v>consulta_externa</v>
          </cell>
          <cell r="J3733" t="str">
            <v>bueno</v>
          </cell>
          <cell r="K3733" t="str">
            <v>defsi</v>
          </cell>
        </row>
        <row r="3734">
          <cell r="B3734" t="b">
            <v>1</v>
          </cell>
          <cell r="E3734" t="str">
            <v>Blasdelezo</v>
          </cell>
          <cell r="H3734" t="str">
            <v>laboratorio</v>
          </cell>
          <cell r="J3734" t="str">
            <v>bueno</v>
          </cell>
          <cell r="K3734" t="str">
            <v>defsi</v>
          </cell>
        </row>
        <row r="3735">
          <cell r="B3735" t="b">
            <v>1</v>
          </cell>
          <cell r="E3735" t="str">
            <v>Blasdelezo</v>
          </cell>
          <cell r="H3735" t="str">
            <v>urgencia</v>
          </cell>
          <cell r="J3735" t="str">
            <v>bueno</v>
          </cell>
          <cell r="K3735" t="str">
            <v>defsi</v>
          </cell>
        </row>
        <row r="3736">
          <cell r="B3736" t="b">
            <v>1</v>
          </cell>
          <cell r="E3736" t="str">
            <v>Blasdelezo</v>
          </cell>
          <cell r="H3736" t="str">
            <v>pediatria</v>
          </cell>
          <cell r="J3736" t="str">
            <v>bueno</v>
          </cell>
          <cell r="K3736" t="str">
            <v>defsi</v>
          </cell>
        </row>
        <row r="3737">
          <cell r="B3737" t="b">
            <v>1</v>
          </cell>
          <cell r="E3737" t="str">
            <v>Blasdelezo</v>
          </cell>
          <cell r="H3737" t="str">
            <v>medicina_interna</v>
          </cell>
          <cell r="J3737" t="str">
            <v>bueno</v>
          </cell>
          <cell r="K3737" t="str">
            <v>defsi</v>
          </cell>
        </row>
        <row r="3738">
          <cell r="B3738" t="b">
            <v>1</v>
          </cell>
          <cell r="E3738" t="str">
            <v>Pasacaballos</v>
          </cell>
          <cell r="H3738" t="str">
            <v>urgencia</v>
          </cell>
          <cell r="J3738" t="str">
            <v>bueno</v>
          </cell>
          <cell r="K3738" t="str">
            <v>probsi</v>
          </cell>
        </row>
        <row r="3739">
          <cell r="B3739" t="b">
            <v>1</v>
          </cell>
          <cell r="E3739" t="str">
            <v>Blasdelezo</v>
          </cell>
          <cell r="H3739" t="str">
            <v>consulta_externa</v>
          </cell>
          <cell r="J3739" t="str">
            <v>bueno</v>
          </cell>
          <cell r="K3739" t="str">
            <v>defsi</v>
          </cell>
        </row>
        <row r="3740">
          <cell r="B3740" t="b">
            <v>1</v>
          </cell>
          <cell r="E3740" t="str">
            <v>Pasacaballos</v>
          </cell>
          <cell r="H3740" t="str">
            <v>urgencia</v>
          </cell>
          <cell r="J3740" t="str">
            <v>bueno</v>
          </cell>
          <cell r="K3740" t="str">
            <v>probsi</v>
          </cell>
        </row>
        <row r="3741">
          <cell r="B3741" t="b">
            <v>1</v>
          </cell>
          <cell r="E3741" t="str">
            <v>Pasacaballos</v>
          </cell>
          <cell r="H3741" t="str">
            <v>urgencia</v>
          </cell>
          <cell r="J3741" t="str">
            <v>bueno</v>
          </cell>
          <cell r="K3741" t="str">
            <v>probsi</v>
          </cell>
        </row>
        <row r="3742">
          <cell r="B3742" t="b">
            <v>1</v>
          </cell>
          <cell r="E3742" t="str">
            <v>Pasacaballos</v>
          </cell>
          <cell r="H3742" t="str">
            <v>urgencia</v>
          </cell>
          <cell r="J3742" t="str">
            <v>bueno</v>
          </cell>
          <cell r="K3742" t="str">
            <v>probsi</v>
          </cell>
        </row>
        <row r="3743">
          <cell r="B3743" t="b">
            <v>1</v>
          </cell>
          <cell r="E3743" t="str">
            <v>Blasdelezo</v>
          </cell>
          <cell r="H3743" t="str">
            <v>salud_oral</v>
          </cell>
          <cell r="J3743" t="str">
            <v>bueno</v>
          </cell>
          <cell r="K3743" t="str">
            <v>defsi</v>
          </cell>
        </row>
        <row r="3744">
          <cell r="B3744" t="b">
            <v>1</v>
          </cell>
          <cell r="E3744" t="str">
            <v>Blasdelezo</v>
          </cell>
          <cell r="H3744" t="str">
            <v>laboratorio</v>
          </cell>
          <cell r="J3744" t="str">
            <v>bueno</v>
          </cell>
          <cell r="K3744" t="str">
            <v>defsi</v>
          </cell>
        </row>
        <row r="3745">
          <cell r="B3745" t="b">
            <v>1</v>
          </cell>
          <cell r="E3745" t="str">
            <v>Blasdelezo</v>
          </cell>
          <cell r="H3745" t="str">
            <v>urgencia</v>
          </cell>
          <cell r="J3745" t="str">
            <v>bueno</v>
          </cell>
          <cell r="K3745" t="str">
            <v>defsi</v>
          </cell>
        </row>
        <row r="3746">
          <cell r="B3746" t="b">
            <v>1</v>
          </cell>
          <cell r="E3746" t="str">
            <v>Blasdelezo</v>
          </cell>
          <cell r="H3746" t="str">
            <v>medicina_interna</v>
          </cell>
          <cell r="J3746" t="str">
            <v>bueno</v>
          </cell>
          <cell r="K3746" t="str">
            <v>defsi</v>
          </cell>
        </row>
        <row r="3747">
          <cell r="B3747" t="b">
            <v>0</v>
          </cell>
          <cell r="E3747" t="str">
            <v>Pasacaballos</v>
          </cell>
          <cell r="H3747" t="str">
            <v>urgencia</v>
          </cell>
          <cell r="J3747" t="str">
            <v>regular</v>
          </cell>
          <cell r="K3747" t="str">
            <v>probsi</v>
          </cell>
        </row>
        <row r="3748">
          <cell r="B3748" t="b">
            <v>0</v>
          </cell>
          <cell r="E3748" t="str">
            <v>Pasacaballos</v>
          </cell>
          <cell r="H3748" t="str">
            <v>urgencia</v>
          </cell>
          <cell r="J3748" t="str">
            <v>regular</v>
          </cell>
          <cell r="K3748" t="str">
            <v>probsi</v>
          </cell>
        </row>
        <row r="3749">
          <cell r="B3749" t="b">
            <v>1</v>
          </cell>
          <cell r="E3749" t="str">
            <v>Pasacaballos</v>
          </cell>
          <cell r="H3749" t="str">
            <v>urgencia</v>
          </cell>
          <cell r="J3749" t="str">
            <v>bueno</v>
          </cell>
          <cell r="K3749" t="str">
            <v>probsi</v>
          </cell>
        </row>
        <row r="3750">
          <cell r="B3750" t="b">
            <v>1</v>
          </cell>
          <cell r="E3750" t="str">
            <v>Pasacaballos</v>
          </cell>
          <cell r="H3750" t="str">
            <v>urgencia</v>
          </cell>
          <cell r="J3750" t="str">
            <v>bueno</v>
          </cell>
          <cell r="K3750" t="str">
            <v>probsi</v>
          </cell>
        </row>
        <row r="3751">
          <cell r="B3751" t="b">
            <v>1</v>
          </cell>
          <cell r="E3751" t="str">
            <v>Pasacaballos</v>
          </cell>
          <cell r="H3751" t="str">
            <v>urgencia</v>
          </cell>
          <cell r="J3751" t="str">
            <v>bueno</v>
          </cell>
          <cell r="K3751" t="str">
            <v>probsi</v>
          </cell>
        </row>
        <row r="3752">
          <cell r="B3752" t="b">
            <v>1</v>
          </cell>
          <cell r="E3752" t="str">
            <v>Pasacaballos</v>
          </cell>
          <cell r="H3752" t="str">
            <v>urgencia</v>
          </cell>
          <cell r="J3752" t="str">
            <v>bueno</v>
          </cell>
          <cell r="K3752" t="str">
            <v>probsi</v>
          </cell>
        </row>
        <row r="3753">
          <cell r="B3753" t="b">
            <v>1</v>
          </cell>
          <cell r="E3753" t="str">
            <v>Pasacaballos</v>
          </cell>
          <cell r="H3753" t="str">
            <v>urgencia</v>
          </cell>
          <cell r="J3753" t="str">
            <v>bueno</v>
          </cell>
          <cell r="K3753" t="str">
            <v>probsi</v>
          </cell>
        </row>
        <row r="3754">
          <cell r="B3754" t="b">
            <v>1</v>
          </cell>
          <cell r="E3754" t="str">
            <v>Las Reinas</v>
          </cell>
          <cell r="H3754" t="str">
            <v>salud_oral</v>
          </cell>
          <cell r="J3754" t="str">
            <v>bueno</v>
          </cell>
          <cell r="K3754" t="str">
            <v>defsi</v>
          </cell>
        </row>
        <row r="3755">
          <cell r="B3755" t="b">
            <v>1</v>
          </cell>
          <cell r="E3755" t="str">
            <v>Las Reinas</v>
          </cell>
          <cell r="H3755" t="str">
            <v>salud_oral</v>
          </cell>
          <cell r="J3755" t="str">
            <v>bueno</v>
          </cell>
          <cell r="K3755" t="str">
            <v>defsi</v>
          </cell>
        </row>
        <row r="3756">
          <cell r="B3756" t="b">
            <v>1</v>
          </cell>
          <cell r="E3756" t="str">
            <v>Las Reinas</v>
          </cell>
          <cell r="H3756" t="str">
            <v>salud_oral</v>
          </cell>
          <cell r="J3756" t="str">
            <v>bueno</v>
          </cell>
          <cell r="K3756" t="str">
            <v>defsi</v>
          </cell>
        </row>
        <row r="3757">
          <cell r="B3757" t="b">
            <v>1</v>
          </cell>
          <cell r="E3757" t="str">
            <v>Las Reinas</v>
          </cell>
          <cell r="H3757" t="str">
            <v>salud_oral</v>
          </cell>
          <cell r="J3757" t="str">
            <v>bueno</v>
          </cell>
          <cell r="K3757" t="str">
            <v>defsi</v>
          </cell>
        </row>
        <row r="3758">
          <cell r="B3758" t="b">
            <v>1</v>
          </cell>
          <cell r="E3758" t="str">
            <v>Las Reinas</v>
          </cell>
          <cell r="H3758" t="str">
            <v>salud_oral</v>
          </cell>
          <cell r="J3758" t="str">
            <v>bueno</v>
          </cell>
          <cell r="K3758" t="str">
            <v>defsi</v>
          </cell>
        </row>
        <row r="3759">
          <cell r="B3759" t="b">
            <v>1</v>
          </cell>
          <cell r="E3759" t="str">
            <v>Boquilla</v>
          </cell>
          <cell r="H3759" t="str">
            <v>consulta_externa</v>
          </cell>
          <cell r="J3759" t="str">
            <v>bueno</v>
          </cell>
          <cell r="K3759" t="str">
            <v>probsi</v>
          </cell>
        </row>
        <row r="3760">
          <cell r="B3760" t="b">
            <v>1</v>
          </cell>
          <cell r="E3760" t="str">
            <v>Boquilla</v>
          </cell>
          <cell r="H3760" t="str">
            <v>consulta_externa</v>
          </cell>
          <cell r="J3760" t="str">
            <v>bueno</v>
          </cell>
          <cell r="K3760" t="str">
            <v>probsi</v>
          </cell>
        </row>
        <row r="3761">
          <cell r="B3761" t="b">
            <v>1</v>
          </cell>
          <cell r="E3761" t="str">
            <v>Boquilla</v>
          </cell>
          <cell r="H3761" t="str">
            <v>consulta_externa</v>
          </cell>
          <cell r="J3761" t="str">
            <v>bueno</v>
          </cell>
          <cell r="K3761" t="str">
            <v>probsi</v>
          </cell>
        </row>
        <row r="3762">
          <cell r="B3762" t="b">
            <v>1</v>
          </cell>
          <cell r="E3762" t="str">
            <v>Boquilla</v>
          </cell>
          <cell r="H3762" t="str">
            <v>consulta_externa</v>
          </cell>
          <cell r="J3762" t="str">
            <v>bueno</v>
          </cell>
          <cell r="K3762" t="str">
            <v>probsi</v>
          </cell>
        </row>
        <row r="3763">
          <cell r="B3763" t="b">
            <v>1</v>
          </cell>
          <cell r="E3763" t="str">
            <v>Boquilla</v>
          </cell>
          <cell r="H3763" t="str">
            <v>consulta_externa</v>
          </cell>
          <cell r="J3763" t="str">
            <v>bueno</v>
          </cell>
          <cell r="K3763" t="str">
            <v>probsi</v>
          </cell>
        </row>
        <row r="3764">
          <cell r="B3764" t="b">
            <v>1</v>
          </cell>
          <cell r="E3764" t="str">
            <v>Boquilla</v>
          </cell>
          <cell r="H3764" t="str">
            <v>consulta_externa</v>
          </cell>
          <cell r="J3764" t="str">
            <v>bueno</v>
          </cell>
          <cell r="K3764" t="str">
            <v>probsi</v>
          </cell>
        </row>
        <row r="3765">
          <cell r="B3765" t="b">
            <v>1</v>
          </cell>
          <cell r="E3765" t="str">
            <v>Boquilla</v>
          </cell>
          <cell r="H3765" t="str">
            <v>consulta_externa</v>
          </cell>
          <cell r="J3765" t="str">
            <v>bueno</v>
          </cell>
          <cell r="K3765" t="str">
            <v>probsi</v>
          </cell>
        </row>
        <row r="3766">
          <cell r="B3766" t="b">
            <v>1</v>
          </cell>
          <cell r="E3766" t="str">
            <v>Boquilla</v>
          </cell>
          <cell r="H3766" t="str">
            <v>consulta_externa</v>
          </cell>
          <cell r="J3766" t="str">
            <v>bueno</v>
          </cell>
          <cell r="K3766" t="str">
            <v>probsi</v>
          </cell>
        </row>
        <row r="3767">
          <cell r="B3767" t="b">
            <v>1</v>
          </cell>
          <cell r="E3767" t="str">
            <v>Boquilla</v>
          </cell>
          <cell r="H3767" t="str">
            <v>consulta_externa</v>
          </cell>
          <cell r="J3767" t="str">
            <v>bueno</v>
          </cell>
          <cell r="K3767" t="str">
            <v>probsi</v>
          </cell>
        </row>
        <row r="3768">
          <cell r="B3768" t="b">
            <v>1</v>
          </cell>
          <cell r="E3768" t="str">
            <v>Boquilla</v>
          </cell>
          <cell r="H3768" t="str">
            <v>consulta_externa</v>
          </cell>
          <cell r="J3768" t="str">
            <v>bueno</v>
          </cell>
          <cell r="K3768" t="str">
            <v>probsi</v>
          </cell>
        </row>
        <row r="3769">
          <cell r="B3769" t="b">
            <v>1</v>
          </cell>
          <cell r="E3769" t="str">
            <v>Boquilla</v>
          </cell>
          <cell r="H3769" t="str">
            <v>consulta_externa</v>
          </cell>
          <cell r="J3769" t="str">
            <v>bueno</v>
          </cell>
          <cell r="K3769" t="str">
            <v>probsi</v>
          </cell>
        </row>
        <row r="3770">
          <cell r="B3770" t="b">
            <v>1</v>
          </cell>
          <cell r="E3770" t="str">
            <v>Boquilla</v>
          </cell>
          <cell r="H3770" t="str">
            <v>consulta_externa</v>
          </cell>
          <cell r="J3770" t="str">
            <v>bueno</v>
          </cell>
          <cell r="K3770" t="str">
            <v>probsi</v>
          </cell>
        </row>
        <row r="3771">
          <cell r="B3771" t="b">
            <v>1</v>
          </cell>
          <cell r="E3771" t="str">
            <v>Blasdelezo</v>
          </cell>
          <cell r="H3771" t="str">
            <v>consulta_externa</v>
          </cell>
          <cell r="J3771" t="str">
            <v>bueno</v>
          </cell>
          <cell r="K3771" t="str">
            <v>defsi</v>
          </cell>
        </row>
        <row r="3772">
          <cell r="B3772" t="b">
            <v>1</v>
          </cell>
          <cell r="E3772" t="str">
            <v>Boquilla</v>
          </cell>
          <cell r="H3772" t="str">
            <v>consulta_externa</v>
          </cell>
          <cell r="J3772" t="str">
            <v>bueno</v>
          </cell>
          <cell r="K3772" t="str">
            <v>probsi</v>
          </cell>
        </row>
        <row r="3773">
          <cell r="B3773" t="b">
            <v>1</v>
          </cell>
          <cell r="E3773" t="str">
            <v>Boquilla</v>
          </cell>
          <cell r="H3773" t="str">
            <v>consulta_externa</v>
          </cell>
          <cell r="J3773" t="str">
            <v>bueno</v>
          </cell>
          <cell r="K3773" t="str">
            <v>probsi</v>
          </cell>
        </row>
        <row r="3774">
          <cell r="B3774" t="b">
            <v>1</v>
          </cell>
          <cell r="E3774" t="str">
            <v>Boquilla</v>
          </cell>
          <cell r="H3774" t="str">
            <v>consulta_externa</v>
          </cell>
          <cell r="J3774" t="str">
            <v>bueno</v>
          </cell>
          <cell r="K3774" t="str">
            <v>probsi</v>
          </cell>
        </row>
        <row r="3775">
          <cell r="B3775" t="b">
            <v>1</v>
          </cell>
          <cell r="E3775" t="str">
            <v>Boquilla</v>
          </cell>
          <cell r="H3775" t="str">
            <v>consulta_externa</v>
          </cell>
          <cell r="J3775" t="str">
            <v>bueno</v>
          </cell>
          <cell r="K3775" t="str">
            <v>probsi</v>
          </cell>
        </row>
        <row r="3776">
          <cell r="B3776" t="b">
            <v>1</v>
          </cell>
          <cell r="E3776" t="str">
            <v>Boquilla</v>
          </cell>
          <cell r="H3776" t="str">
            <v>consulta_externa</v>
          </cell>
          <cell r="J3776" t="str">
            <v>bueno</v>
          </cell>
          <cell r="K3776" t="str">
            <v>probsi</v>
          </cell>
        </row>
        <row r="3777">
          <cell r="B3777" t="b">
            <v>1</v>
          </cell>
          <cell r="E3777" t="str">
            <v>Blasdelezo</v>
          </cell>
          <cell r="H3777" t="str">
            <v>salud_oral</v>
          </cell>
          <cell r="J3777" t="str">
            <v>bueno</v>
          </cell>
          <cell r="K3777" t="str">
            <v>defsi</v>
          </cell>
        </row>
        <row r="3778">
          <cell r="B3778" t="b">
            <v>1</v>
          </cell>
          <cell r="E3778" t="str">
            <v>Blasdelezo</v>
          </cell>
          <cell r="H3778" t="str">
            <v>laboratorio</v>
          </cell>
          <cell r="J3778" t="str">
            <v>bueno</v>
          </cell>
          <cell r="K3778" t="str">
            <v>defsi</v>
          </cell>
        </row>
        <row r="3779">
          <cell r="B3779" t="b">
            <v>1</v>
          </cell>
          <cell r="E3779" t="str">
            <v>Blasdelezo</v>
          </cell>
          <cell r="H3779" t="str">
            <v>urgencia</v>
          </cell>
          <cell r="J3779" t="str">
            <v>bueno</v>
          </cell>
          <cell r="K3779" t="str">
            <v>defsi</v>
          </cell>
        </row>
        <row r="3780">
          <cell r="B3780" t="b">
            <v>1</v>
          </cell>
          <cell r="E3780" t="str">
            <v>Blasdelezo</v>
          </cell>
          <cell r="H3780" t="str">
            <v>medicina_interna</v>
          </cell>
          <cell r="J3780" t="str">
            <v>bueno</v>
          </cell>
          <cell r="K3780" t="str">
            <v>defsi</v>
          </cell>
        </row>
        <row r="3781">
          <cell r="B3781" t="b">
            <v>1</v>
          </cell>
          <cell r="E3781" t="str">
            <v>Las Reinas</v>
          </cell>
          <cell r="H3781" t="str">
            <v>laboratorio</v>
          </cell>
          <cell r="J3781" t="str">
            <v>bueno</v>
          </cell>
          <cell r="K3781" t="str">
            <v>defsi</v>
          </cell>
        </row>
        <row r="3782">
          <cell r="B3782" t="b">
            <v>1</v>
          </cell>
          <cell r="E3782" t="str">
            <v>Las Reinas</v>
          </cell>
          <cell r="H3782" t="str">
            <v>laboratorio</v>
          </cell>
          <cell r="J3782" t="str">
            <v>bueno</v>
          </cell>
          <cell r="K3782" t="str">
            <v>defsi</v>
          </cell>
        </row>
        <row r="3783">
          <cell r="B3783" t="b">
            <v>1</v>
          </cell>
          <cell r="E3783" t="str">
            <v>Las Reinas</v>
          </cell>
          <cell r="H3783" t="str">
            <v>laboratorio</v>
          </cell>
          <cell r="J3783" t="str">
            <v>bueno</v>
          </cell>
          <cell r="K3783" t="str">
            <v>defsi</v>
          </cell>
        </row>
        <row r="3784">
          <cell r="B3784" t="b">
            <v>1</v>
          </cell>
          <cell r="E3784" t="str">
            <v>Blasdelezo</v>
          </cell>
          <cell r="H3784" t="str">
            <v>consulta_externa</v>
          </cell>
          <cell r="J3784" t="str">
            <v>bueno</v>
          </cell>
          <cell r="K3784" t="str">
            <v>defsi</v>
          </cell>
        </row>
        <row r="3785">
          <cell r="B3785" t="b">
            <v>1</v>
          </cell>
          <cell r="E3785" t="str">
            <v>Blasdelezo</v>
          </cell>
          <cell r="H3785" t="str">
            <v>salud_oral</v>
          </cell>
          <cell r="J3785" t="str">
            <v>bueno</v>
          </cell>
          <cell r="K3785" t="str">
            <v>defsi</v>
          </cell>
        </row>
        <row r="3786">
          <cell r="B3786" t="b">
            <v>1</v>
          </cell>
          <cell r="E3786" t="str">
            <v>Blasdelezo</v>
          </cell>
          <cell r="H3786" t="str">
            <v>laboratorio</v>
          </cell>
          <cell r="J3786" t="str">
            <v>bueno</v>
          </cell>
          <cell r="K3786" t="str">
            <v>defsi</v>
          </cell>
        </row>
        <row r="3787">
          <cell r="B3787" t="b">
            <v>1</v>
          </cell>
          <cell r="E3787" t="str">
            <v>Blasdelezo</v>
          </cell>
          <cell r="H3787" t="str">
            <v>urgencia</v>
          </cell>
          <cell r="J3787" t="str">
            <v>bueno</v>
          </cell>
          <cell r="K3787" t="str">
            <v>defsi</v>
          </cell>
        </row>
        <row r="3788">
          <cell r="B3788" t="b">
            <v>1</v>
          </cell>
          <cell r="E3788" t="str">
            <v>Blasdelezo</v>
          </cell>
          <cell r="H3788" t="str">
            <v>medicina_interna</v>
          </cell>
          <cell r="J3788" t="str">
            <v>bueno</v>
          </cell>
          <cell r="K3788" t="str">
            <v>defsi</v>
          </cell>
        </row>
        <row r="3789">
          <cell r="B3789" t="b">
            <v>1</v>
          </cell>
          <cell r="E3789" t="str">
            <v>Blasdelezo</v>
          </cell>
          <cell r="H3789" t="str">
            <v>consulta_externa</v>
          </cell>
          <cell r="J3789" t="str">
            <v>bueno</v>
          </cell>
          <cell r="K3789" t="str">
            <v>defsi</v>
          </cell>
        </row>
        <row r="3790">
          <cell r="B3790" t="b">
            <v>1</v>
          </cell>
          <cell r="E3790" t="str">
            <v>Blasdelezo</v>
          </cell>
          <cell r="H3790" t="str">
            <v>salud_oral</v>
          </cell>
          <cell r="J3790" t="str">
            <v>bueno</v>
          </cell>
          <cell r="K3790" t="str">
            <v>defsi</v>
          </cell>
        </row>
        <row r="3791">
          <cell r="B3791" t="b">
            <v>1</v>
          </cell>
          <cell r="E3791" t="str">
            <v>Blasdelezo</v>
          </cell>
          <cell r="H3791" t="str">
            <v>laboratorio</v>
          </cell>
          <cell r="J3791" t="str">
            <v>bueno</v>
          </cell>
          <cell r="K3791" t="str">
            <v>defsi</v>
          </cell>
        </row>
        <row r="3792">
          <cell r="B3792" t="b">
            <v>1</v>
          </cell>
          <cell r="E3792" t="str">
            <v>Blasdelezo</v>
          </cell>
          <cell r="H3792" t="str">
            <v>medicina_interna</v>
          </cell>
          <cell r="J3792" t="str">
            <v>bueno</v>
          </cell>
          <cell r="K3792" t="str">
            <v>defsi</v>
          </cell>
        </row>
        <row r="3793">
          <cell r="B3793" t="b">
            <v>1</v>
          </cell>
          <cell r="E3793" t="str">
            <v>Blasdelezo</v>
          </cell>
          <cell r="H3793" t="str">
            <v>urgencia</v>
          </cell>
          <cell r="J3793" t="str">
            <v>bueno</v>
          </cell>
          <cell r="K3793" t="str">
            <v>defsi</v>
          </cell>
        </row>
        <row r="3794">
          <cell r="B3794" t="b">
            <v>1</v>
          </cell>
          <cell r="E3794" t="str">
            <v>Las Reinas</v>
          </cell>
          <cell r="H3794" t="str">
            <v>salud_oral</v>
          </cell>
          <cell r="J3794" t="str">
            <v>bueno</v>
          </cell>
          <cell r="K3794" t="str">
            <v>defsi</v>
          </cell>
        </row>
        <row r="3795">
          <cell r="B3795" t="b">
            <v>1</v>
          </cell>
          <cell r="E3795" t="str">
            <v>Las Reinas</v>
          </cell>
          <cell r="H3795" t="str">
            <v>salud_oral</v>
          </cell>
          <cell r="J3795" t="str">
            <v>bueno</v>
          </cell>
          <cell r="K3795" t="str">
            <v>defsi</v>
          </cell>
        </row>
        <row r="3796">
          <cell r="B3796" t="b">
            <v>1</v>
          </cell>
          <cell r="E3796" t="str">
            <v>Blasdelezo</v>
          </cell>
          <cell r="H3796" t="str">
            <v>consulta_externa</v>
          </cell>
          <cell r="J3796" t="str">
            <v>bueno</v>
          </cell>
          <cell r="K3796" t="str">
            <v>defsi</v>
          </cell>
        </row>
        <row r="3797">
          <cell r="B3797" t="b">
            <v>1</v>
          </cell>
          <cell r="E3797" t="str">
            <v>Blasdelezo</v>
          </cell>
          <cell r="H3797" t="str">
            <v>salud_oral</v>
          </cell>
          <cell r="J3797" t="str">
            <v>bueno</v>
          </cell>
          <cell r="K3797" t="str">
            <v>defsi</v>
          </cell>
        </row>
        <row r="3798">
          <cell r="B3798" t="b">
            <v>1</v>
          </cell>
          <cell r="E3798" t="str">
            <v>Blasdelezo</v>
          </cell>
          <cell r="H3798" t="str">
            <v>laboratorio</v>
          </cell>
          <cell r="J3798" t="str">
            <v>bueno</v>
          </cell>
          <cell r="K3798" t="str">
            <v>defsi</v>
          </cell>
        </row>
        <row r="3799">
          <cell r="B3799" t="b">
            <v>1</v>
          </cell>
          <cell r="E3799" t="str">
            <v>Las Reinas</v>
          </cell>
          <cell r="H3799" t="str">
            <v>salud_oral</v>
          </cell>
          <cell r="J3799" t="str">
            <v>bueno</v>
          </cell>
          <cell r="K3799" t="str">
            <v>defsi</v>
          </cell>
        </row>
        <row r="3800">
          <cell r="B3800" t="b">
            <v>1</v>
          </cell>
          <cell r="E3800" t="str">
            <v>Las Reinas</v>
          </cell>
          <cell r="H3800" t="str">
            <v>salud_oral</v>
          </cell>
          <cell r="J3800" t="str">
            <v>bueno</v>
          </cell>
          <cell r="K3800" t="str">
            <v>defsi</v>
          </cell>
        </row>
        <row r="3801">
          <cell r="B3801" t="b">
            <v>1</v>
          </cell>
          <cell r="E3801" t="str">
            <v>Blasdelezo</v>
          </cell>
          <cell r="H3801" t="str">
            <v>urgencia</v>
          </cell>
          <cell r="J3801" t="str">
            <v>bueno</v>
          </cell>
          <cell r="K3801" t="str">
            <v>defsi</v>
          </cell>
        </row>
        <row r="3802">
          <cell r="B3802" t="b">
            <v>1</v>
          </cell>
          <cell r="E3802" t="str">
            <v>Blasdelezo</v>
          </cell>
          <cell r="H3802" t="str">
            <v>medicina_interna</v>
          </cell>
          <cell r="J3802" t="str">
            <v>bueno</v>
          </cell>
          <cell r="K3802" t="str">
            <v>defsi</v>
          </cell>
        </row>
        <row r="3803">
          <cell r="B3803" t="b">
            <v>1</v>
          </cell>
          <cell r="E3803" t="str">
            <v>Las Reinas</v>
          </cell>
          <cell r="H3803" t="str">
            <v>consulta_externa</v>
          </cell>
          <cell r="J3803" t="str">
            <v>bueno</v>
          </cell>
          <cell r="K3803" t="str">
            <v>defsi</v>
          </cell>
        </row>
        <row r="3804">
          <cell r="B3804" t="b">
            <v>1</v>
          </cell>
          <cell r="E3804" t="str">
            <v>Las Reinas</v>
          </cell>
          <cell r="H3804" t="str">
            <v>laboratorio</v>
          </cell>
          <cell r="J3804" t="str">
            <v>bueno</v>
          </cell>
          <cell r="K3804" t="str">
            <v>defsi</v>
          </cell>
        </row>
        <row r="3805">
          <cell r="B3805" t="b">
            <v>1</v>
          </cell>
          <cell r="E3805" t="str">
            <v>Las Reinas</v>
          </cell>
          <cell r="H3805" t="str">
            <v>consulta_externa</v>
          </cell>
          <cell r="J3805" t="str">
            <v>bueno</v>
          </cell>
          <cell r="K3805" t="str">
            <v>defsi</v>
          </cell>
        </row>
        <row r="3806">
          <cell r="B3806" t="b">
            <v>1</v>
          </cell>
          <cell r="E3806" t="str">
            <v>Las Reinas</v>
          </cell>
          <cell r="H3806" t="str">
            <v>consulta_externa</v>
          </cell>
          <cell r="J3806" t="str">
            <v>bueno</v>
          </cell>
          <cell r="K3806" t="str">
            <v>defsi</v>
          </cell>
        </row>
        <row r="3807">
          <cell r="B3807" t="b">
            <v>1</v>
          </cell>
          <cell r="E3807" t="str">
            <v>Las Reinas</v>
          </cell>
          <cell r="H3807" t="str">
            <v>laboratorio</v>
          </cell>
          <cell r="J3807" t="str">
            <v>bueno</v>
          </cell>
          <cell r="K3807" t="str">
            <v>defsi</v>
          </cell>
        </row>
        <row r="3808">
          <cell r="B3808" t="b">
            <v>1</v>
          </cell>
          <cell r="E3808" t="str">
            <v>Las Reinas</v>
          </cell>
          <cell r="H3808" t="str">
            <v>salud_oral</v>
          </cell>
          <cell r="J3808" t="str">
            <v>bueno</v>
          </cell>
          <cell r="K3808" t="str">
            <v>defsi</v>
          </cell>
        </row>
        <row r="3809">
          <cell r="B3809" t="b">
            <v>1</v>
          </cell>
          <cell r="E3809" t="str">
            <v>Las Reinas</v>
          </cell>
          <cell r="H3809" t="str">
            <v>consulta_externa</v>
          </cell>
          <cell r="J3809" t="str">
            <v>bueno</v>
          </cell>
          <cell r="K3809" t="str">
            <v>defsi</v>
          </cell>
        </row>
        <row r="3810">
          <cell r="B3810" t="b">
            <v>1</v>
          </cell>
          <cell r="E3810" t="str">
            <v>Las Reinas</v>
          </cell>
          <cell r="H3810" t="str">
            <v>consulta_externa</v>
          </cell>
          <cell r="J3810" t="str">
            <v>bueno</v>
          </cell>
          <cell r="K3810" t="str">
            <v>defsi</v>
          </cell>
        </row>
        <row r="3811">
          <cell r="B3811" t="b">
            <v>1</v>
          </cell>
          <cell r="E3811" t="str">
            <v>Las Reinas</v>
          </cell>
          <cell r="H3811" t="str">
            <v>consulta_externa</v>
          </cell>
          <cell r="J3811" t="str">
            <v>bueno</v>
          </cell>
          <cell r="K3811" t="str">
            <v>defsi</v>
          </cell>
        </row>
        <row r="3812">
          <cell r="B3812" t="b">
            <v>1</v>
          </cell>
          <cell r="E3812" t="str">
            <v>Las Reinas</v>
          </cell>
          <cell r="H3812" t="str">
            <v>consulta_externa</v>
          </cell>
          <cell r="J3812" t="str">
            <v>muybueno</v>
          </cell>
          <cell r="K3812" t="str">
            <v>defsi</v>
          </cell>
        </row>
        <row r="3813">
          <cell r="B3813" t="b">
            <v>1</v>
          </cell>
          <cell r="E3813" t="str">
            <v>Las Reinas</v>
          </cell>
          <cell r="H3813" t="str">
            <v>consulta_externa</v>
          </cell>
          <cell r="J3813" t="str">
            <v>bueno</v>
          </cell>
          <cell r="K3813" t="str">
            <v>defsi</v>
          </cell>
        </row>
        <row r="3814">
          <cell r="B3814" t="b">
            <v>1</v>
          </cell>
          <cell r="E3814" t="str">
            <v>Boquilla</v>
          </cell>
          <cell r="H3814" t="str">
            <v>consulta_externa</v>
          </cell>
          <cell r="J3814" t="str">
            <v>bueno</v>
          </cell>
          <cell r="K3814" t="str">
            <v>probsi</v>
          </cell>
        </row>
        <row r="3815">
          <cell r="B3815" t="b">
            <v>1</v>
          </cell>
          <cell r="E3815" t="str">
            <v>Boquilla</v>
          </cell>
          <cell r="H3815" t="str">
            <v>consulta_externa</v>
          </cell>
          <cell r="J3815" t="str">
            <v>bueno</v>
          </cell>
          <cell r="K3815" t="str">
            <v>probsi</v>
          </cell>
        </row>
        <row r="3816">
          <cell r="B3816" t="b">
            <v>1</v>
          </cell>
          <cell r="E3816" t="str">
            <v>Boquilla</v>
          </cell>
          <cell r="H3816" t="str">
            <v>consulta_externa</v>
          </cell>
          <cell r="J3816" t="str">
            <v>bueno</v>
          </cell>
          <cell r="K3816" t="str">
            <v>probsi</v>
          </cell>
        </row>
        <row r="3817">
          <cell r="B3817" t="b">
            <v>1</v>
          </cell>
          <cell r="E3817" t="str">
            <v>Boquilla</v>
          </cell>
          <cell r="H3817" t="str">
            <v>consulta_externa</v>
          </cell>
          <cell r="J3817" t="str">
            <v>bueno</v>
          </cell>
          <cell r="K3817" t="str">
            <v>probsi</v>
          </cell>
        </row>
        <row r="3818">
          <cell r="B3818" t="b">
            <v>1</v>
          </cell>
          <cell r="E3818" t="str">
            <v>Boquilla</v>
          </cell>
          <cell r="H3818" t="str">
            <v>consulta_externa</v>
          </cell>
          <cell r="J3818" t="str">
            <v>bueno</v>
          </cell>
          <cell r="K3818" t="str">
            <v>probsi</v>
          </cell>
        </row>
        <row r="3819">
          <cell r="B3819" t="b">
            <v>1</v>
          </cell>
          <cell r="E3819" t="str">
            <v>Las Reinas</v>
          </cell>
          <cell r="H3819" t="str">
            <v>salud_oral</v>
          </cell>
          <cell r="J3819" t="str">
            <v>bueno</v>
          </cell>
          <cell r="K3819" t="str">
            <v>defsi</v>
          </cell>
        </row>
        <row r="3820">
          <cell r="B3820" t="b">
            <v>1</v>
          </cell>
          <cell r="E3820" t="str">
            <v>Las Reinas</v>
          </cell>
          <cell r="H3820" t="str">
            <v>salud_oral</v>
          </cell>
          <cell r="J3820" t="str">
            <v>muybueno</v>
          </cell>
          <cell r="K3820" t="str">
            <v>defsi</v>
          </cell>
        </row>
        <row r="3821">
          <cell r="B3821" t="b">
            <v>1</v>
          </cell>
          <cell r="E3821" t="str">
            <v>Boquilla</v>
          </cell>
          <cell r="H3821" t="str">
            <v>consulta_externa</v>
          </cell>
          <cell r="J3821" t="str">
            <v>bueno</v>
          </cell>
          <cell r="K3821" t="str">
            <v>probsi</v>
          </cell>
        </row>
        <row r="3822">
          <cell r="B3822" t="b">
            <v>1</v>
          </cell>
          <cell r="E3822" t="str">
            <v>Boquilla</v>
          </cell>
          <cell r="H3822" t="str">
            <v>salud_oral</v>
          </cell>
          <cell r="J3822" t="str">
            <v>bueno</v>
          </cell>
          <cell r="K3822" t="str">
            <v>probsi</v>
          </cell>
        </row>
        <row r="3823">
          <cell r="B3823" t="b">
            <v>1</v>
          </cell>
          <cell r="E3823" t="str">
            <v>Boquilla</v>
          </cell>
          <cell r="H3823" t="str">
            <v>salud_oral</v>
          </cell>
          <cell r="J3823" t="str">
            <v>bueno</v>
          </cell>
          <cell r="K3823" t="str">
            <v>probsi</v>
          </cell>
        </row>
        <row r="3824">
          <cell r="B3824" t="b">
            <v>1</v>
          </cell>
          <cell r="E3824" t="str">
            <v>Boquilla</v>
          </cell>
          <cell r="H3824" t="str">
            <v>salud_oral</v>
          </cell>
          <cell r="J3824" t="str">
            <v>bueno</v>
          </cell>
          <cell r="K3824" t="str">
            <v>probsi</v>
          </cell>
        </row>
        <row r="3825">
          <cell r="B3825" t="b">
            <v>1</v>
          </cell>
          <cell r="E3825" t="str">
            <v>Boquilla</v>
          </cell>
          <cell r="H3825" t="str">
            <v>salud_oral</v>
          </cell>
          <cell r="J3825" t="str">
            <v>bueno</v>
          </cell>
          <cell r="K3825" t="str">
            <v>probsi</v>
          </cell>
        </row>
        <row r="3826">
          <cell r="B3826" t="b">
            <v>1</v>
          </cell>
          <cell r="E3826" t="str">
            <v>Boquilla</v>
          </cell>
          <cell r="H3826" t="str">
            <v>consulta_externa</v>
          </cell>
          <cell r="J3826" t="str">
            <v>bueno</v>
          </cell>
          <cell r="K3826" t="str">
            <v>probsi</v>
          </cell>
        </row>
        <row r="3827">
          <cell r="B3827" t="b">
            <v>1</v>
          </cell>
          <cell r="E3827" t="str">
            <v>Boquilla</v>
          </cell>
          <cell r="H3827" t="str">
            <v>consulta_externa</v>
          </cell>
          <cell r="J3827" t="str">
            <v>bueno</v>
          </cell>
          <cell r="K3827" t="str">
            <v>probsi</v>
          </cell>
        </row>
        <row r="3828">
          <cell r="B3828" t="b">
            <v>1</v>
          </cell>
          <cell r="E3828" t="str">
            <v>Boquilla</v>
          </cell>
          <cell r="H3828" t="str">
            <v>consulta_externa</v>
          </cell>
          <cell r="J3828" t="str">
            <v>bueno</v>
          </cell>
          <cell r="K3828" t="str">
            <v>probsi</v>
          </cell>
        </row>
        <row r="3829">
          <cell r="B3829" t="b">
            <v>1</v>
          </cell>
          <cell r="E3829" t="str">
            <v>Boquilla</v>
          </cell>
          <cell r="H3829" t="str">
            <v>consulta_externa</v>
          </cell>
          <cell r="J3829" t="str">
            <v>bueno</v>
          </cell>
          <cell r="K3829" t="str">
            <v>probsi</v>
          </cell>
        </row>
        <row r="3830">
          <cell r="B3830" t="b">
            <v>1</v>
          </cell>
          <cell r="E3830" t="str">
            <v>Boquilla</v>
          </cell>
          <cell r="H3830" t="str">
            <v>urgencia</v>
          </cell>
          <cell r="J3830" t="str">
            <v>bueno</v>
          </cell>
          <cell r="K3830" t="str">
            <v>probsi</v>
          </cell>
        </row>
        <row r="3831">
          <cell r="B3831" t="b">
            <v>1</v>
          </cell>
          <cell r="E3831" t="str">
            <v>Boquilla</v>
          </cell>
          <cell r="H3831" t="str">
            <v>urgencia</v>
          </cell>
          <cell r="J3831" t="str">
            <v>bueno</v>
          </cell>
          <cell r="K3831" t="str">
            <v>probsi</v>
          </cell>
        </row>
        <row r="3832">
          <cell r="B3832" t="b">
            <v>1</v>
          </cell>
          <cell r="E3832" t="str">
            <v>Pasacaballos</v>
          </cell>
          <cell r="H3832" t="str">
            <v>salud_oral</v>
          </cell>
          <cell r="J3832" t="str">
            <v>bueno</v>
          </cell>
          <cell r="K3832" t="str">
            <v>probsi</v>
          </cell>
        </row>
        <row r="3833">
          <cell r="B3833" t="b">
            <v>1</v>
          </cell>
          <cell r="E3833" t="str">
            <v>Boquilla</v>
          </cell>
          <cell r="H3833" t="str">
            <v>urgencia</v>
          </cell>
          <cell r="J3833" t="str">
            <v>bueno</v>
          </cell>
          <cell r="K3833" t="str">
            <v>probsi</v>
          </cell>
        </row>
        <row r="3834">
          <cell r="B3834" t="b">
            <v>1</v>
          </cell>
          <cell r="E3834" t="str">
            <v>Boquilla</v>
          </cell>
          <cell r="H3834" t="str">
            <v>urgencia</v>
          </cell>
          <cell r="J3834" t="str">
            <v>bueno</v>
          </cell>
          <cell r="K3834" t="str">
            <v>probsi</v>
          </cell>
        </row>
        <row r="3835">
          <cell r="B3835" t="b">
            <v>1</v>
          </cell>
          <cell r="E3835" t="str">
            <v>Pasacaballos</v>
          </cell>
          <cell r="H3835" t="str">
            <v>salud_oral</v>
          </cell>
          <cell r="J3835" t="str">
            <v>bueno</v>
          </cell>
          <cell r="K3835" t="str">
            <v>probsi</v>
          </cell>
        </row>
        <row r="3836">
          <cell r="B3836" t="b">
            <v>1</v>
          </cell>
          <cell r="E3836" t="str">
            <v>Pasacaballos</v>
          </cell>
          <cell r="H3836" t="str">
            <v>salud_oral</v>
          </cell>
          <cell r="J3836" t="str">
            <v>bueno</v>
          </cell>
          <cell r="K3836" t="str">
            <v>probsi</v>
          </cell>
        </row>
        <row r="3837">
          <cell r="B3837" t="b">
            <v>1</v>
          </cell>
          <cell r="E3837" t="str">
            <v>Pasacaballos</v>
          </cell>
          <cell r="H3837" t="str">
            <v>laboratorio</v>
          </cell>
          <cell r="J3837" t="str">
            <v>bueno</v>
          </cell>
          <cell r="K3837" t="str">
            <v>probsi</v>
          </cell>
        </row>
        <row r="3838">
          <cell r="B3838" t="b">
            <v>1</v>
          </cell>
          <cell r="E3838" t="str">
            <v>Pasacaballos</v>
          </cell>
          <cell r="H3838" t="str">
            <v>laboratorio</v>
          </cell>
          <cell r="J3838" t="str">
            <v>bueno</v>
          </cell>
          <cell r="K3838" t="str">
            <v>probsi</v>
          </cell>
        </row>
        <row r="3839">
          <cell r="B3839" t="b">
            <v>1</v>
          </cell>
          <cell r="E3839" t="str">
            <v>Pasacaballos</v>
          </cell>
          <cell r="H3839" t="str">
            <v>laboratorio</v>
          </cell>
          <cell r="J3839" t="str">
            <v>bueno</v>
          </cell>
          <cell r="K3839" t="str">
            <v>probsi</v>
          </cell>
        </row>
        <row r="3840">
          <cell r="B3840" t="b">
            <v>1</v>
          </cell>
          <cell r="E3840" t="str">
            <v>Boquilla</v>
          </cell>
          <cell r="H3840" t="str">
            <v>urgencia</v>
          </cell>
          <cell r="J3840" t="str">
            <v>bueno</v>
          </cell>
          <cell r="K3840" t="str">
            <v>probsi</v>
          </cell>
        </row>
        <row r="3841">
          <cell r="B3841" t="b">
            <v>1</v>
          </cell>
          <cell r="E3841" t="str">
            <v>Boquilla</v>
          </cell>
          <cell r="H3841" t="str">
            <v>urgencia</v>
          </cell>
          <cell r="J3841" t="str">
            <v>bueno</v>
          </cell>
          <cell r="K3841" t="str">
            <v>probsi</v>
          </cell>
        </row>
        <row r="3842">
          <cell r="B3842" t="b">
            <v>1</v>
          </cell>
          <cell r="E3842" t="str">
            <v>Boquilla</v>
          </cell>
          <cell r="H3842" t="str">
            <v>urgencia</v>
          </cell>
          <cell r="J3842" t="str">
            <v>bueno</v>
          </cell>
          <cell r="K3842" t="str">
            <v>probsi</v>
          </cell>
        </row>
        <row r="3843">
          <cell r="B3843" t="b">
            <v>1</v>
          </cell>
          <cell r="E3843" t="str">
            <v>Boquilla</v>
          </cell>
          <cell r="H3843" t="str">
            <v>urgencia</v>
          </cell>
          <cell r="J3843" t="str">
            <v>bueno</v>
          </cell>
          <cell r="K3843" t="str">
            <v>probsi</v>
          </cell>
        </row>
        <row r="3844">
          <cell r="B3844" t="b">
            <v>1</v>
          </cell>
          <cell r="E3844" t="str">
            <v>Boquilla</v>
          </cell>
          <cell r="H3844" t="str">
            <v>urgencia</v>
          </cell>
          <cell r="J3844" t="str">
            <v>bueno</v>
          </cell>
          <cell r="K3844" t="str">
            <v>probsi</v>
          </cell>
        </row>
        <row r="3845">
          <cell r="B3845" t="b">
            <v>1</v>
          </cell>
          <cell r="E3845" t="str">
            <v>Boquilla</v>
          </cell>
          <cell r="H3845" t="str">
            <v>urgencia</v>
          </cell>
          <cell r="J3845" t="str">
            <v>bueno</v>
          </cell>
          <cell r="K3845" t="str">
            <v>probsi</v>
          </cell>
        </row>
        <row r="3846">
          <cell r="B3846" t="b">
            <v>1</v>
          </cell>
          <cell r="E3846" t="str">
            <v>Boquilla</v>
          </cell>
          <cell r="H3846" t="str">
            <v>urgencia</v>
          </cell>
          <cell r="J3846" t="str">
            <v>bueno</v>
          </cell>
          <cell r="K3846" t="str">
            <v>probsi</v>
          </cell>
        </row>
        <row r="3847">
          <cell r="B3847" t="b">
            <v>1</v>
          </cell>
          <cell r="E3847" t="str">
            <v>Boquilla</v>
          </cell>
          <cell r="H3847" t="str">
            <v>urgencia</v>
          </cell>
          <cell r="J3847" t="str">
            <v>bueno</v>
          </cell>
          <cell r="K3847" t="str">
            <v>probsi</v>
          </cell>
        </row>
        <row r="3848">
          <cell r="B3848" t="b">
            <v>1</v>
          </cell>
          <cell r="E3848" t="str">
            <v>Boquilla</v>
          </cell>
          <cell r="H3848" t="str">
            <v>urgencia</v>
          </cell>
          <cell r="J3848" t="str">
            <v>bueno</v>
          </cell>
          <cell r="K3848" t="str">
            <v>probsi</v>
          </cell>
        </row>
        <row r="3849">
          <cell r="B3849" t="b">
            <v>1</v>
          </cell>
          <cell r="E3849" t="str">
            <v>Boquilla</v>
          </cell>
          <cell r="H3849" t="str">
            <v>urgencia</v>
          </cell>
          <cell r="J3849" t="str">
            <v>bueno</v>
          </cell>
          <cell r="K3849" t="str">
            <v>probsi</v>
          </cell>
        </row>
        <row r="3850">
          <cell r="B3850" t="b">
            <v>1</v>
          </cell>
          <cell r="E3850" t="str">
            <v>Boquilla</v>
          </cell>
          <cell r="H3850" t="str">
            <v>urgencia</v>
          </cell>
          <cell r="J3850" t="str">
            <v>bueno</v>
          </cell>
          <cell r="K3850" t="str">
            <v>probsi</v>
          </cell>
        </row>
        <row r="3851">
          <cell r="B3851" t="b">
            <v>1</v>
          </cell>
          <cell r="E3851" t="str">
            <v>Boquilla</v>
          </cell>
          <cell r="H3851" t="str">
            <v>urgencia</v>
          </cell>
          <cell r="J3851" t="str">
            <v>bueno</v>
          </cell>
          <cell r="K3851" t="str">
            <v>probsi</v>
          </cell>
        </row>
        <row r="3852">
          <cell r="B3852" t="b">
            <v>1</v>
          </cell>
          <cell r="E3852" t="str">
            <v>Boquilla</v>
          </cell>
          <cell r="H3852" t="str">
            <v>urgencia</v>
          </cell>
          <cell r="J3852" t="str">
            <v>bueno</v>
          </cell>
          <cell r="K3852" t="str">
            <v>probsi</v>
          </cell>
        </row>
        <row r="3853">
          <cell r="B3853" t="b">
            <v>1</v>
          </cell>
          <cell r="E3853" t="str">
            <v>Boquilla</v>
          </cell>
          <cell r="H3853" t="str">
            <v>urgencia</v>
          </cell>
          <cell r="J3853" t="str">
            <v>bueno</v>
          </cell>
          <cell r="K3853" t="str">
            <v>probsi</v>
          </cell>
        </row>
        <row r="3854">
          <cell r="B3854" t="b">
            <v>1</v>
          </cell>
          <cell r="E3854" t="str">
            <v>Boquilla</v>
          </cell>
          <cell r="H3854" t="str">
            <v>urgencia</v>
          </cell>
          <cell r="J3854" t="str">
            <v>bueno</v>
          </cell>
          <cell r="K3854" t="str">
            <v>probsi</v>
          </cell>
        </row>
        <row r="3855">
          <cell r="B3855" t="b">
            <v>1</v>
          </cell>
          <cell r="E3855" t="str">
            <v>Boquilla</v>
          </cell>
          <cell r="H3855" t="str">
            <v>urgencia</v>
          </cell>
          <cell r="J3855" t="str">
            <v>bueno</v>
          </cell>
          <cell r="K3855" t="str">
            <v>probsi</v>
          </cell>
        </row>
        <row r="3856">
          <cell r="B3856" t="b">
            <v>1</v>
          </cell>
          <cell r="E3856" t="str">
            <v>Boquilla</v>
          </cell>
          <cell r="H3856" t="str">
            <v>urgencia</v>
          </cell>
          <cell r="J3856" t="str">
            <v>bueno</v>
          </cell>
          <cell r="K3856" t="str">
            <v>probsi</v>
          </cell>
        </row>
        <row r="3857">
          <cell r="B3857" t="b">
            <v>1</v>
          </cell>
          <cell r="E3857" t="str">
            <v>Boquilla</v>
          </cell>
          <cell r="H3857" t="str">
            <v>urgencia</v>
          </cell>
          <cell r="J3857" t="str">
            <v>bueno</v>
          </cell>
          <cell r="K3857" t="str">
            <v>probsi</v>
          </cell>
        </row>
        <row r="3858">
          <cell r="B3858" t="b">
            <v>1</v>
          </cell>
          <cell r="E3858" t="str">
            <v>Boquilla</v>
          </cell>
          <cell r="H3858" t="str">
            <v>urgencia</v>
          </cell>
          <cell r="J3858" t="str">
            <v>bueno</v>
          </cell>
          <cell r="K3858" t="str">
            <v>probsi</v>
          </cell>
        </row>
        <row r="3859">
          <cell r="B3859" t="b">
            <v>1</v>
          </cell>
          <cell r="E3859" t="str">
            <v>Boquilla</v>
          </cell>
          <cell r="H3859" t="str">
            <v>urgencia</v>
          </cell>
          <cell r="J3859" t="str">
            <v>bueno</v>
          </cell>
          <cell r="K3859" t="str">
            <v>probsi</v>
          </cell>
        </row>
        <row r="3860">
          <cell r="B3860" t="b">
            <v>1</v>
          </cell>
          <cell r="E3860" t="str">
            <v>Boquilla</v>
          </cell>
          <cell r="H3860" t="str">
            <v>consulta_externa</v>
          </cell>
          <cell r="J3860" t="str">
            <v>bueno</v>
          </cell>
          <cell r="K3860" t="str">
            <v>probsi</v>
          </cell>
        </row>
        <row r="3861">
          <cell r="B3861" t="b">
            <v>1</v>
          </cell>
          <cell r="E3861" t="str">
            <v>Boquilla</v>
          </cell>
          <cell r="H3861" t="str">
            <v>consulta_externa</v>
          </cell>
          <cell r="J3861" t="str">
            <v>bueno</v>
          </cell>
          <cell r="K3861" t="str">
            <v>probsi</v>
          </cell>
        </row>
        <row r="3862">
          <cell r="B3862" t="b">
            <v>1</v>
          </cell>
          <cell r="E3862" t="str">
            <v>Boquilla</v>
          </cell>
          <cell r="H3862" t="str">
            <v>consulta_externa</v>
          </cell>
          <cell r="J3862" t="str">
            <v>bueno</v>
          </cell>
          <cell r="K3862" t="str">
            <v>probsi</v>
          </cell>
        </row>
        <row r="3863">
          <cell r="B3863" t="b">
            <v>1</v>
          </cell>
          <cell r="E3863" t="str">
            <v>Boquilla</v>
          </cell>
          <cell r="H3863" t="str">
            <v>consulta_externa</v>
          </cell>
          <cell r="J3863" t="str">
            <v>bueno</v>
          </cell>
          <cell r="K3863" t="str">
            <v>probsi</v>
          </cell>
        </row>
        <row r="3864">
          <cell r="B3864" t="b">
            <v>1</v>
          </cell>
          <cell r="E3864" t="str">
            <v>Boquilla</v>
          </cell>
          <cell r="H3864" t="str">
            <v>consulta_externa</v>
          </cell>
          <cell r="J3864" t="str">
            <v>bueno</v>
          </cell>
          <cell r="K3864" t="str">
            <v>probsi</v>
          </cell>
        </row>
        <row r="3865">
          <cell r="B3865" t="b">
            <v>1</v>
          </cell>
          <cell r="E3865" t="str">
            <v>Boquilla</v>
          </cell>
          <cell r="H3865" t="str">
            <v>consulta_externa</v>
          </cell>
          <cell r="J3865" t="str">
            <v>bueno</v>
          </cell>
          <cell r="K3865" t="str">
            <v>probsi</v>
          </cell>
        </row>
        <row r="3866">
          <cell r="B3866" t="b">
            <v>1</v>
          </cell>
          <cell r="E3866" t="str">
            <v>Islote de San Bernardo</v>
          </cell>
          <cell r="H3866" t="str">
            <v>consulta_externa</v>
          </cell>
          <cell r="J3866" t="str">
            <v>bueno</v>
          </cell>
          <cell r="K3866" t="str">
            <v>probsi</v>
          </cell>
        </row>
        <row r="3867">
          <cell r="B3867" t="b">
            <v>1</v>
          </cell>
          <cell r="E3867" t="str">
            <v>Islote de San Bernardo</v>
          </cell>
          <cell r="H3867" t="str">
            <v>consulta_externa</v>
          </cell>
          <cell r="J3867" t="str">
            <v>bueno</v>
          </cell>
          <cell r="K3867" t="str">
            <v>probsi</v>
          </cell>
        </row>
        <row r="3868">
          <cell r="B3868" t="b">
            <v>1</v>
          </cell>
          <cell r="E3868" t="str">
            <v>Islote de San Bernardo</v>
          </cell>
          <cell r="H3868" t="str">
            <v>consulta_externa</v>
          </cell>
          <cell r="J3868" t="str">
            <v>bueno</v>
          </cell>
          <cell r="K3868" t="str">
            <v>probsi</v>
          </cell>
        </row>
        <row r="3869">
          <cell r="B3869" t="b">
            <v>1</v>
          </cell>
          <cell r="E3869" t="str">
            <v>Islote de San Bernardo</v>
          </cell>
          <cell r="H3869" t="str">
            <v>consulta_externa</v>
          </cell>
          <cell r="J3869" t="str">
            <v>bueno</v>
          </cell>
          <cell r="K3869" t="str">
            <v>probsi</v>
          </cell>
        </row>
        <row r="3870">
          <cell r="B3870" t="b">
            <v>1</v>
          </cell>
          <cell r="E3870" t="str">
            <v>Islote de San Bernardo</v>
          </cell>
          <cell r="H3870" t="str">
            <v>laboratorio</v>
          </cell>
          <cell r="J3870" t="str">
            <v>bueno</v>
          </cell>
          <cell r="K3870" t="str">
            <v>probsi</v>
          </cell>
        </row>
        <row r="3871">
          <cell r="B3871" t="b">
            <v>1</v>
          </cell>
          <cell r="E3871" t="str">
            <v>Islote de San Bernardo</v>
          </cell>
          <cell r="H3871" t="str">
            <v>laboratorio</v>
          </cell>
          <cell r="J3871" t="str">
            <v>bueno</v>
          </cell>
          <cell r="K3871" t="str">
            <v>probsi</v>
          </cell>
        </row>
        <row r="3872">
          <cell r="B3872" t="b">
            <v>1</v>
          </cell>
          <cell r="E3872" t="str">
            <v>Islote de San Bernardo</v>
          </cell>
          <cell r="H3872" t="str">
            <v>laboratorio</v>
          </cell>
          <cell r="J3872" t="str">
            <v>bueno</v>
          </cell>
          <cell r="K3872" t="str">
            <v>probsi</v>
          </cell>
        </row>
        <row r="3873">
          <cell r="B3873" t="b">
            <v>1</v>
          </cell>
          <cell r="E3873" t="str">
            <v>Islote de San Bernardo</v>
          </cell>
          <cell r="H3873" t="str">
            <v>laboratorio</v>
          </cell>
          <cell r="J3873" t="str">
            <v>bueno</v>
          </cell>
          <cell r="K3873" t="str">
            <v>probsi</v>
          </cell>
        </row>
        <row r="3874">
          <cell r="B3874" t="b">
            <v>1</v>
          </cell>
          <cell r="E3874" t="str">
            <v>Islote de San Bernardo</v>
          </cell>
          <cell r="H3874" t="str">
            <v>salud_oral</v>
          </cell>
          <cell r="J3874" t="str">
            <v>bueno</v>
          </cell>
          <cell r="K3874" t="str">
            <v>probsi</v>
          </cell>
        </row>
        <row r="3875">
          <cell r="B3875" t="b">
            <v>1</v>
          </cell>
          <cell r="E3875" t="str">
            <v>Islote de San Bernardo</v>
          </cell>
          <cell r="H3875" t="str">
            <v>salud_oral</v>
          </cell>
          <cell r="J3875" t="str">
            <v>bueno</v>
          </cell>
          <cell r="K3875" t="str">
            <v>probsi</v>
          </cell>
        </row>
        <row r="3876">
          <cell r="B3876" t="b">
            <v>1</v>
          </cell>
          <cell r="E3876" t="str">
            <v>Islote de San Bernardo</v>
          </cell>
          <cell r="H3876" t="str">
            <v>salud_oral</v>
          </cell>
          <cell r="J3876" t="str">
            <v>bueno</v>
          </cell>
          <cell r="K3876" t="str">
            <v>probsi</v>
          </cell>
        </row>
        <row r="3877">
          <cell r="B3877" t="b">
            <v>1</v>
          </cell>
          <cell r="E3877" t="str">
            <v>Islote de San Bernardo</v>
          </cell>
          <cell r="H3877" t="str">
            <v>salud_oral</v>
          </cell>
          <cell r="J3877" t="str">
            <v>bueno</v>
          </cell>
          <cell r="K3877" t="str">
            <v>probsi</v>
          </cell>
        </row>
        <row r="3878">
          <cell r="B3878" t="b">
            <v>1</v>
          </cell>
          <cell r="E3878" t="str">
            <v>Islote de San Bernardo</v>
          </cell>
          <cell r="H3878" t="str">
            <v>salud_oral</v>
          </cell>
          <cell r="J3878" t="str">
            <v>bueno</v>
          </cell>
          <cell r="K3878" t="str">
            <v>probsi</v>
          </cell>
        </row>
        <row r="3879">
          <cell r="B3879" t="b">
            <v>1</v>
          </cell>
          <cell r="E3879" t="str">
            <v>Islote de San Bernardo</v>
          </cell>
          <cell r="H3879" t="str">
            <v>salud_oral</v>
          </cell>
          <cell r="J3879" t="str">
            <v>bueno</v>
          </cell>
          <cell r="K3879" t="str">
            <v>probsi</v>
          </cell>
        </row>
        <row r="3880">
          <cell r="B3880" t="b">
            <v>1</v>
          </cell>
          <cell r="E3880" t="str">
            <v>Islote de San Bernardo</v>
          </cell>
          <cell r="H3880" t="str">
            <v>salud_oral</v>
          </cell>
          <cell r="J3880" t="str">
            <v>bueno</v>
          </cell>
          <cell r="K3880" t="str">
            <v>probsi</v>
          </cell>
        </row>
        <row r="3881">
          <cell r="B3881" t="b">
            <v>1</v>
          </cell>
          <cell r="E3881" t="str">
            <v>Manzanillo</v>
          </cell>
          <cell r="H3881" t="str">
            <v>salud_oral</v>
          </cell>
          <cell r="J3881" t="str">
            <v>bueno</v>
          </cell>
          <cell r="K3881" t="str">
            <v>probsi</v>
          </cell>
        </row>
        <row r="3882">
          <cell r="B3882" t="b">
            <v>1</v>
          </cell>
          <cell r="E3882" t="str">
            <v>Manzanillo</v>
          </cell>
          <cell r="H3882" t="str">
            <v>salud_oral</v>
          </cell>
          <cell r="J3882" t="str">
            <v>bueno</v>
          </cell>
          <cell r="K3882" t="str">
            <v>probsi</v>
          </cell>
        </row>
        <row r="3883">
          <cell r="B3883" t="b">
            <v>1</v>
          </cell>
          <cell r="E3883" t="str">
            <v>Manzanillo</v>
          </cell>
          <cell r="H3883" t="str">
            <v>salud_oral</v>
          </cell>
          <cell r="J3883" t="str">
            <v>bueno</v>
          </cell>
          <cell r="K3883" t="str">
            <v>probsi</v>
          </cell>
        </row>
        <row r="3884">
          <cell r="B3884" t="b">
            <v>1</v>
          </cell>
          <cell r="E3884" t="str">
            <v>Manzanillo</v>
          </cell>
          <cell r="H3884" t="str">
            <v>salud_oral</v>
          </cell>
          <cell r="J3884" t="str">
            <v>bueno</v>
          </cell>
          <cell r="K3884" t="str">
            <v>probsi</v>
          </cell>
        </row>
        <row r="3885">
          <cell r="B3885" t="b">
            <v>1</v>
          </cell>
          <cell r="E3885" t="str">
            <v>Manzanillo</v>
          </cell>
          <cell r="H3885" t="str">
            <v>salud_oral</v>
          </cell>
          <cell r="J3885" t="str">
            <v>bueno</v>
          </cell>
          <cell r="K3885" t="str">
            <v>probsi</v>
          </cell>
        </row>
        <row r="3886">
          <cell r="B3886" t="b">
            <v>1</v>
          </cell>
          <cell r="E3886" t="str">
            <v>Manzanillo</v>
          </cell>
          <cell r="H3886" t="str">
            <v>salud_oral</v>
          </cell>
          <cell r="J3886" t="str">
            <v>bueno</v>
          </cell>
          <cell r="K3886" t="str">
            <v>probsi</v>
          </cell>
        </row>
        <row r="3887">
          <cell r="B3887" t="b">
            <v>1</v>
          </cell>
          <cell r="E3887" t="str">
            <v>Manzanillo</v>
          </cell>
          <cell r="H3887" t="str">
            <v>salud_oral</v>
          </cell>
          <cell r="J3887" t="str">
            <v>bueno</v>
          </cell>
          <cell r="K3887" t="str">
            <v>probsi</v>
          </cell>
        </row>
        <row r="3888">
          <cell r="B3888" t="b">
            <v>1</v>
          </cell>
          <cell r="E3888" t="str">
            <v>Manzanillo</v>
          </cell>
          <cell r="H3888" t="str">
            <v>salud_oral</v>
          </cell>
          <cell r="J3888" t="str">
            <v>bueno</v>
          </cell>
          <cell r="K3888" t="str">
            <v>probsi</v>
          </cell>
        </row>
        <row r="3889">
          <cell r="B3889" t="b">
            <v>1</v>
          </cell>
          <cell r="E3889" t="str">
            <v>Manzanillo</v>
          </cell>
          <cell r="H3889" t="str">
            <v>salud_oral</v>
          </cell>
          <cell r="J3889" t="str">
            <v>bueno</v>
          </cell>
          <cell r="K3889" t="str">
            <v>probsi</v>
          </cell>
        </row>
        <row r="3890">
          <cell r="B3890" t="b">
            <v>1</v>
          </cell>
          <cell r="E3890" t="str">
            <v>Manzanillo</v>
          </cell>
          <cell r="H3890" t="str">
            <v>salud_oral</v>
          </cell>
          <cell r="J3890" t="str">
            <v>bueno</v>
          </cell>
          <cell r="K3890" t="str">
            <v>probsi</v>
          </cell>
        </row>
        <row r="3891">
          <cell r="B3891" t="b">
            <v>1</v>
          </cell>
          <cell r="E3891" t="str">
            <v>Manzanillo</v>
          </cell>
          <cell r="H3891" t="str">
            <v>salud_oral</v>
          </cell>
          <cell r="J3891" t="str">
            <v>bueno</v>
          </cell>
          <cell r="K3891" t="str">
            <v>probsi</v>
          </cell>
        </row>
        <row r="3892">
          <cell r="B3892" t="b">
            <v>1</v>
          </cell>
          <cell r="E3892" t="str">
            <v>Manzanillo</v>
          </cell>
          <cell r="H3892" t="str">
            <v>salud_oral</v>
          </cell>
          <cell r="J3892" t="str">
            <v>bueno</v>
          </cell>
          <cell r="K3892" t="str">
            <v>probsi</v>
          </cell>
        </row>
        <row r="3893">
          <cell r="B3893" t="b">
            <v>1</v>
          </cell>
          <cell r="E3893" t="str">
            <v>Manzanillo</v>
          </cell>
          <cell r="H3893" t="str">
            <v>salud_oral</v>
          </cell>
          <cell r="J3893" t="str">
            <v>bueno</v>
          </cell>
          <cell r="K3893" t="str">
            <v>probsi</v>
          </cell>
        </row>
        <row r="3894">
          <cell r="B3894" t="b">
            <v>1</v>
          </cell>
          <cell r="E3894" t="str">
            <v>Manzanillo</v>
          </cell>
          <cell r="H3894" t="str">
            <v>salud_oral</v>
          </cell>
          <cell r="J3894" t="str">
            <v>bueno</v>
          </cell>
          <cell r="K3894" t="str">
            <v>probsi</v>
          </cell>
        </row>
        <row r="3895">
          <cell r="B3895" t="b">
            <v>1</v>
          </cell>
          <cell r="E3895" t="str">
            <v>Manzanillo</v>
          </cell>
          <cell r="H3895" t="str">
            <v>laboratorio</v>
          </cell>
          <cell r="J3895" t="str">
            <v>bueno</v>
          </cell>
          <cell r="K3895" t="str">
            <v>probsi</v>
          </cell>
        </row>
        <row r="3896">
          <cell r="B3896" t="b">
            <v>1</v>
          </cell>
          <cell r="E3896" t="str">
            <v>Manzanillo</v>
          </cell>
          <cell r="H3896" t="str">
            <v>laboratorio</v>
          </cell>
          <cell r="J3896" t="str">
            <v>bueno</v>
          </cell>
          <cell r="K3896" t="str">
            <v>probsi</v>
          </cell>
        </row>
        <row r="3897">
          <cell r="B3897" t="b">
            <v>1</v>
          </cell>
          <cell r="E3897" t="str">
            <v>Manzanillo</v>
          </cell>
          <cell r="H3897" t="str">
            <v>laboratorio</v>
          </cell>
          <cell r="J3897" t="str">
            <v>bueno</v>
          </cell>
          <cell r="K3897" t="str">
            <v>probsi</v>
          </cell>
        </row>
        <row r="3898">
          <cell r="B3898" t="b">
            <v>1</v>
          </cell>
          <cell r="E3898" t="str">
            <v>Manzanillo</v>
          </cell>
          <cell r="H3898" t="str">
            <v>laboratorio</v>
          </cell>
          <cell r="J3898" t="str">
            <v>bueno</v>
          </cell>
          <cell r="K3898" t="str">
            <v>probsi</v>
          </cell>
        </row>
        <row r="3899">
          <cell r="B3899" t="b">
            <v>1</v>
          </cell>
          <cell r="E3899" t="str">
            <v>Manzanillo</v>
          </cell>
          <cell r="H3899" t="str">
            <v>laboratorio</v>
          </cell>
          <cell r="J3899" t="str">
            <v>bueno</v>
          </cell>
          <cell r="K3899" t="str">
            <v>probsi</v>
          </cell>
        </row>
        <row r="3900">
          <cell r="B3900" t="b">
            <v>1</v>
          </cell>
          <cell r="E3900" t="str">
            <v>Manzanillo</v>
          </cell>
          <cell r="H3900" t="str">
            <v>laboratorio</v>
          </cell>
          <cell r="J3900" t="str">
            <v>bueno</v>
          </cell>
          <cell r="K3900" t="str">
            <v>probsi</v>
          </cell>
        </row>
        <row r="3901">
          <cell r="B3901" t="b">
            <v>1</v>
          </cell>
          <cell r="E3901" t="str">
            <v>Blasdelezo</v>
          </cell>
          <cell r="H3901" t="str">
            <v>consulta_externa</v>
          </cell>
          <cell r="J3901" t="str">
            <v>bueno</v>
          </cell>
          <cell r="K3901" t="str">
            <v>defsi</v>
          </cell>
        </row>
        <row r="3902">
          <cell r="B3902" t="b">
            <v>1</v>
          </cell>
          <cell r="E3902" t="str">
            <v>Blasdelezo</v>
          </cell>
          <cell r="H3902" t="str">
            <v>salud_oral</v>
          </cell>
          <cell r="J3902" t="str">
            <v>bueno</v>
          </cell>
          <cell r="K3902" t="str">
            <v>defsi</v>
          </cell>
        </row>
        <row r="3903">
          <cell r="B3903" t="b">
            <v>1</v>
          </cell>
          <cell r="E3903" t="str">
            <v>Blasdelezo</v>
          </cell>
          <cell r="H3903" t="str">
            <v>laboratorio</v>
          </cell>
          <cell r="J3903" t="str">
            <v>bueno</v>
          </cell>
          <cell r="K3903" t="str">
            <v>defsi</v>
          </cell>
        </row>
        <row r="3904">
          <cell r="B3904" t="b">
            <v>1</v>
          </cell>
          <cell r="E3904" t="str">
            <v>Las Reinas</v>
          </cell>
          <cell r="H3904" t="str">
            <v>consulta_externa</v>
          </cell>
          <cell r="J3904" t="str">
            <v>bueno</v>
          </cell>
          <cell r="K3904" t="str">
            <v>defsi</v>
          </cell>
        </row>
        <row r="3905">
          <cell r="B3905" t="b">
            <v>1</v>
          </cell>
          <cell r="E3905" t="str">
            <v>Blasdelezo</v>
          </cell>
          <cell r="H3905" t="str">
            <v>urgencia</v>
          </cell>
          <cell r="J3905" t="str">
            <v>bueno</v>
          </cell>
          <cell r="K3905" t="str">
            <v>defsi</v>
          </cell>
        </row>
        <row r="3906">
          <cell r="B3906" t="b">
            <v>1</v>
          </cell>
          <cell r="E3906" t="str">
            <v>Las Reinas</v>
          </cell>
          <cell r="H3906" t="str">
            <v>laboratorio</v>
          </cell>
          <cell r="J3906" t="str">
            <v>bueno</v>
          </cell>
          <cell r="K3906" t="str">
            <v>defsi</v>
          </cell>
        </row>
        <row r="3907">
          <cell r="B3907" t="b">
            <v>0</v>
          </cell>
          <cell r="E3907" t="str">
            <v>Las Reinas</v>
          </cell>
          <cell r="H3907" t="str">
            <v>consulta_externa</v>
          </cell>
          <cell r="J3907" t="str">
            <v>regular</v>
          </cell>
          <cell r="K3907" t="str">
            <v>defsi</v>
          </cell>
        </row>
        <row r="3908">
          <cell r="B3908" t="b">
            <v>1</v>
          </cell>
          <cell r="E3908" t="str">
            <v>Las Reinas</v>
          </cell>
          <cell r="H3908" t="str">
            <v>laboratorio</v>
          </cell>
          <cell r="J3908" t="str">
            <v>bueno</v>
          </cell>
          <cell r="K3908" t="str">
            <v>defsi</v>
          </cell>
        </row>
        <row r="3909">
          <cell r="B3909" t="b">
            <v>1</v>
          </cell>
          <cell r="E3909" t="str">
            <v>Las Reinas</v>
          </cell>
          <cell r="H3909" t="str">
            <v>laboratorio</v>
          </cell>
          <cell r="J3909" t="str">
            <v>bueno</v>
          </cell>
          <cell r="K3909" t="str">
            <v>defsi</v>
          </cell>
        </row>
        <row r="3910">
          <cell r="B3910" t="b">
            <v>1</v>
          </cell>
          <cell r="E3910" t="str">
            <v>Las Reinas</v>
          </cell>
          <cell r="H3910" t="str">
            <v>laboratorio</v>
          </cell>
          <cell r="J3910" t="str">
            <v>bueno</v>
          </cell>
          <cell r="K3910" t="str">
            <v>defsi</v>
          </cell>
        </row>
        <row r="3911">
          <cell r="B3911" t="b">
            <v>1</v>
          </cell>
          <cell r="E3911" t="str">
            <v>Las Reinas</v>
          </cell>
          <cell r="H3911" t="str">
            <v>salud_oral</v>
          </cell>
          <cell r="J3911" t="str">
            <v>bueno</v>
          </cell>
          <cell r="K3911" t="str">
            <v>defsi</v>
          </cell>
        </row>
        <row r="3912">
          <cell r="B3912" t="b">
            <v>0</v>
          </cell>
          <cell r="E3912" t="str">
            <v>Las Reinas</v>
          </cell>
          <cell r="H3912" t="str">
            <v>salud_oral</v>
          </cell>
          <cell r="J3912" t="str">
            <v>regular</v>
          </cell>
          <cell r="K3912" t="str">
            <v>defsi</v>
          </cell>
        </row>
        <row r="3913">
          <cell r="B3913" t="b">
            <v>1</v>
          </cell>
          <cell r="E3913" t="str">
            <v>Las Reinas</v>
          </cell>
          <cell r="H3913" t="str">
            <v>consulta_externa</v>
          </cell>
          <cell r="J3913" t="str">
            <v>bueno</v>
          </cell>
          <cell r="K3913" t="str">
            <v>defsi</v>
          </cell>
        </row>
        <row r="3914">
          <cell r="B3914" t="b">
            <v>1</v>
          </cell>
          <cell r="E3914" t="str">
            <v>Las Reinas</v>
          </cell>
          <cell r="H3914" t="str">
            <v>salud_oral</v>
          </cell>
          <cell r="J3914" t="str">
            <v>bueno</v>
          </cell>
          <cell r="K3914" t="str">
            <v>defsi</v>
          </cell>
        </row>
        <row r="3915">
          <cell r="B3915" t="b">
            <v>1</v>
          </cell>
          <cell r="E3915" t="str">
            <v>Las Reinas</v>
          </cell>
          <cell r="H3915" t="str">
            <v>salud_oral</v>
          </cell>
          <cell r="J3915" t="str">
            <v>bueno</v>
          </cell>
          <cell r="K3915" t="str">
            <v>defsi</v>
          </cell>
        </row>
        <row r="3916">
          <cell r="B3916" t="b">
            <v>1</v>
          </cell>
          <cell r="E3916" t="str">
            <v>Blasdelezo</v>
          </cell>
          <cell r="H3916" t="str">
            <v>consulta_externa</v>
          </cell>
          <cell r="J3916" t="str">
            <v>bueno</v>
          </cell>
          <cell r="K3916" t="str">
            <v>defsi</v>
          </cell>
        </row>
        <row r="3917">
          <cell r="B3917" t="b">
            <v>1</v>
          </cell>
          <cell r="E3917" t="str">
            <v>Blasdelezo</v>
          </cell>
          <cell r="H3917" t="str">
            <v>salud_oral</v>
          </cell>
          <cell r="J3917" t="str">
            <v>bueno</v>
          </cell>
          <cell r="K3917" t="str">
            <v>defsi</v>
          </cell>
        </row>
        <row r="3918">
          <cell r="B3918" t="b">
            <v>1</v>
          </cell>
          <cell r="E3918" t="str">
            <v>Blasdelezo</v>
          </cell>
          <cell r="H3918" t="str">
            <v>laboratorio</v>
          </cell>
          <cell r="J3918" t="str">
            <v>bueno</v>
          </cell>
          <cell r="K3918" t="str">
            <v>defsi</v>
          </cell>
        </row>
        <row r="3919">
          <cell r="B3919" t="b">
            <v>1</v>
          </cell>
          <cell r="E3919" t="str">
            <v>Blasdelezo</v>
          </cell>
          <cell r="H3919" t="str">
            <v>urgencia</v>
          </cell>
          <cell r="J3919" t="str">
            <v>bueno</v>
          </cell>
          <cell r="K3919" t="str">
            <v>defsi</v>
          </cell>
        </row>
        <row r="3920">
          <cell r="B3920" t="b">
            <v>1</v>
          </cell>
          <cell r="E3920" t="str">
            <v>Blasdelezo</v>
          </cell>
          <cell r="H3920" t="str">
            <v>consulta_externa</v>
          </cell>
          <cell r="J3920" t="str">
            <v>bueno</v>
          </cell>
          <cell r="K3920" t="str">
            <v>defsi</v>
          </cell>
        </row>
        <row r="3921">
          <cell r="B3921" t="b">
            <v>1</v>
          </cell>
          <cell r="E3921" t="str">
            <v>Blasdelezo</v>
          </cell>
          <cell r="H3921" t="str">
            <v>salud_oral</v>
          </cell>
          <cell r="J3921" t="str">
            <v>bueno</v>
          </cell>
          <cell r="K3921" t="str">
            <v>defsi</v>
          </cell>
        </row>
        <row r="3922">
          <cell r="B3922" t="b">
            <v>1</v>
          </cell>
          <cell r="E3922" t="str">
            <v>Blasdelezo</v>
          </cell>
          <cell r="H3922" t="str">
            <v>laboratorio</v>
          </cell>
          <cell r="J3922" t="str">
            <v>bueno</v>
          </cell>
          <cell r="K3922" t="str">
            <v>defsi</v>
          </cell>
        </row>
        <row r="3923">
          <cell r="B3923" t="b">
            <v>1</v>
          </cell>
          <cell r="E3923" t="str">
            <v>Blasdelezo</v>
          </cell>
          <cell r="H3923" t="str">
            <v>urgencia</v>
          </cell>
          <cell r="J3923" t="str">
            <v>bueno</v>
          </cell>
          <cell r="K3923" t="str">
            <v>defsi</v>
          </cell>
        </row>
        <row r="3924">
          <cell r="B3924" t="b">
            <v>1</v>
          </cell>
          <cell r="E3924" t="str">
            <v>Las Reinas</v>
          </cell>
          <cell r="H3924" t="str">
            <v>salud_oral</v>
          </cell>
          <cell r="J3924" t="str">
            <v>bueno</v>
          </cell>
          <cell r="K3924" t="str">
            <v>defsi</v>
          </cell>
        </row>
        <row r="3925">
          <cell r="B3925" t="b">
            <v>0</v>
          </cell>
          <cell r="E3925" t="str">
            <v>Las Reinas</v>
          </cell>
          <cell r="H3925" t="str">
            <v>salud_oral</v>
          </cell>
          <cell r="J3925" t="str">
            <v>regular</v>
          </cell>
          <cell r="K3925" t="str">
            <v>defsi</v>
          </cell>
        </row>
        <row r="3926">
          <cell r="B3926" t="b">
            <v>1</v>
          </cell>
          <cell r="E3926" t="str">
            <v>Las Reinas</v>
          </cell>
          <cell r="H3926" t="str">
            <v>consulta_externa</v>
          </cell>
          <cell r="J3926" t="str">
            <v>bueno</v>
          </cell>
          <cell r="K3926" t="str">
            <v>probno</v>
          </cell>
        </row>
        <row r="3927">
          <cell r="B3927" t="b">
            <v>0</v>
          </cell>
          <cell r="E3927" t="str">
            <v>Isla Fuerte</v>
          </cell>
          <cell r="H3927" t="str">
            <v>consulta_externa</v>
          </cell>
          <cell r="J3927" t="str">
            <v>regular</v>
          </cell>
          <cell r="K3927" t="str">
            <v>probsi</v>
          </cell>
        </row>
        <row r="3928">
          <cell r="B3928" t="b">
            <v>0</v>
          </cell>
          <cell r="E3928" t="str">
            <v>Isla Fuerte</v>
          </cell>
          <cell r="H3928" t="str">
            <v>consulta_externa</v>
          </cell>
          <cell r="J3928" t="str">
            <v>regular</v>
          </cell>
          <cell r="K3928" t="str">
            <v>probsi</v>
          </cell>
        </row>
        <row r="3929">
          <cell r="B3929" t="b">
            <v>1</v>
          </cell>
          <cell r="E3929" t="str">
            <v>Isla Fuerte</v>
          </cell>
          <cell r="H3929" t="str">
            <v>consulta_externa</v>
          </cell>
          <cell r="J3929" t="str">
            <v>bueno</v>
          </cell>
          <cell r="K3929" t="str">
            <v>probsi</v>
          </cell>
        </row>
        <row r="3930">
          <cell r="B3930" t="b">
            <v>1</v>
          </cell>
          <cell r="E3930" t="str">
            <v>Isla Fuerte</v>
          </cell>
          <cell r="H3930" t="str">
            <v>consulta_externa</v>
          </cell>
          <cell r="J3930" t="str">
            <v>bueno</v>
          </cell>
          <cell r="K3930" t="str">
            <v>probsi</v>
          </cell>
        </row>
        <row r="3931">
          <cell r="B3931" t="b">
            <v>1</v>
          </cell>
          <cell r="E3931" t="str">
            <v>Isla Fuerte</v>
          </cell>
          <cell r="H3931" t="str">
            <v>consulta_externa</v>
          </cell>
          <cell r="J3931" t="str">
            <v>bueno</v>
          </cell>
          <cell r="K3931" t="str">
            <v>probsi</v>
          </cell>
        </row>
        <row r="3932">
          <cell r="B3932" t="b">
            <v>1</v>
          </cell>
          <cell r="E3932" t="str">
            <v>Isla Fuerte</v>
          </cell>
          <cell r="H3932" t="str">
            <v>consulta_externa</v>
          </cell>
          <cell r="J3932" t="str">
            <v>bueno</v>
          </cell>
          <cell r="K3932" t="str">
            <v>probsi</v>
          </cell>
        </row>
        <row r="3933">
          <cell r="B3933" t="b">
            <v>1</v>
          </cell>
          <cell r="E3933" t="str">
            <v>Isla Fuerte</v>
          </cell>
          <cell r="H3933" t="str">
            <v>salud_oral</v>
          </cell>
          <cell r="J3933" t="str">
            <v>bueno</v>
          </cell>
          <cell r="K3933" t="str">
            <v>probsi</v>
          </cell>
        </row>
        <row r="3934">
          <cell r="B3934" t="b">
            <v>1</v>
          </cell>
          <cell r="E3934" t="str">
            <v>Isla Fuerte</v>
          </cell>
          <cell r="H3934" t="str">
            <v>salud_oral</v>
          </cell>
          <cell r="J3934" t="str">
            <v>bueno</v>
          </cell>
          <cell r="K3934" t="str">
            <v>probsi</v>
          </cell>
        </row>
        <row r="3935">
          <cell r="B3935" t="b">
            <v>1</v>
          </cell>
          <cell r="E3935" t="str">
            <v>Isla Fuerte</v>
          </cell>
          <cell r="H3935" t="str">
            <v>salud_oral</v>
          </cell>
          <cell r="J3935" t="str">
            <v>bueno</v>
          </cell>
          <cell r="K3935" t="str">
            <v>probsi</v>
          </cell>
        </row>
        <row r="3936">
          <cell r="B3936" t="b">
            <v>1</v>
          </cell>
          <cell r="E3936" t="str">
            <v>Isla Fuerte</v>
          </cell>
          <cell r="H3936" t="str">
            <v>salud_oral</v>
          </cell>
          <cell r="J3936" t="str">
            <v>bueno</v>
          </cell>
          <cell r="K3936" t="str">
            <v>probsi</v>
          </cell>
        </row>
        <row r="3937">
          <cell r="B3937" t="b">
            <v>1</v>
          </cell>
          <cell r="E3937" t="str">
            <v>Isla Fuerte</v>
          </cell>
          <cell r="H3937" t="str">
            <v>salud_oral</v>
          </cell>
          <cell r="J3937" t="str">
            <v>bueno</v>
          </cell>
          <cell r="K3937" t="str">
            <v>probsi</v>
          </cell>
        </row>
        <row r="3938">
          <cell r="B3938" t="b">
            <v>1</v>
          </cell>
          <cell r="E3938" t="str">
            <v>Isla Fuerte</v>
          </cell>
          <cell r="H3938" t="str">
            <v>salud_oral</v>
          </cell>
          <cell r="J3938" t="str">
            <v>bueno</v>
          </cell>
          <cell r="K3938" t="str">
            <v>probsi</v>
          </cell>
        </row>
        <row r="3939">
          <cell r="B3939" t="b">
            <v>1</v>
          </cell>
          <cell r="E3939" t="str">
            <v>Isla Fuerte</v>
          </cell>
          <cell r="H3939" t="str">
            <v>laboratorio</v>
          </cell>
          <cell r="J3939" t="str">
            <v>bueno</v>
          </cell>
          <cell r="K3939" t="str">
            <v>probsi</v>
          </cell>
        </row>
        <row r="3940">
          <cell r="B3940" t="b">
            <v>1</v>
          </cell>
          <cell r="E3940" t="str">
            <v>Isla Fuerte</v>
          </cell>
          <cell r="H3940" t="str">
            <v>laboratorio</v>
          </cell>
          <cell r="J3940" t="str">
            <v>bueno</v>
          </cell>
          <cell r="K3940" t="str">
            <v>probsi</v>
          </cell>
        </row>
        <row r="3941">
          <cell r="B3941" t="b">
            <v>1</v>
          </cell>
          <cell r="E3941" t="str">
            <v>Isla Fuerte</v>
          </cell>
          <cell r="H3941" t="str">
            <v>laboratorio</v>
          </cell>
          <cell r="J3941" t="str">
            <v>bueno</v>
          </cell>
          <cell r="K3941" t="str">
            <v>probsi</v>
          </cell>
        </row>
        <row r="3942">
          <cell r="B3942" t="b">
            <v>0</v>
          </cell>
          <cell r="E3942" t="str">
            <v>Isla Fuerte</v>
          </cell>
          <cell r="H3942" t="str">
            <v>laboratorio</v>
          </cell>
          <cell r="J3942" t="str">
            <v>regular</v>
          </cell>
          <cell r="K3942" t="str">
            <v>probsi</v>
          </cell>
        </row>
        <row r="3943">
          <cell r="B3943" t="b">
            <v>0</v>
          </cell>
          <cell r="E3943" t="str">
            <v>Isla Fuerte</v>
          </cell>
          <cell r="H3943" t="str">
            <v>laboratorio</v>
          </cell>
          <cell r="J3943" t="str">
            <v>regular</v>
          </cell>
          <cell r="K3943" t="str">
            <v>probsi</v>
          </cell>
        </row>
        <row r="3944">
          <cell r="B3944" t="b">
            <v>0</v>
          </cell>
          <cell r="E3944" t="str">
            <v>Isla Fuerte</v>
          </cell>
          <cell r="H3944" t="str">
            <v>laboratorio</v>
          </cell>
          <cell r="J3944" t="str">
            <v>regular</v>
          </cell>
          <cell r="K3944" t="str">
            <v>probsi</v>
          </cell>
        </row>
        <row r="3945">
          <cell r="B3945" t="b">
            <v>0</v>
          </cell>
          <cell r="E3945" t="str">
            <v>Isla Fuerte</v>
          </cell>
          <cell r="H3945" t="str">
            <v>laboratorio</v>
          </cell>
          <cell r="J3945" t="str">
            <v>regular</v>
          </cell>
          <cell r="K3945" t="str">
            <v>probsi</v>
          </cell>
        </row>
        <row r="3946">
          <cell r="B3946" t="b">
            <v>1</v>
          </cell>
          <cell r="E3946" t="str">
            <v>Isla Fuerte</v>
          </cell>
          <cell r="H3946" t="str">
            <v>consulta_externa</v>
          </cell>
          <cell r="J3946" t="str">
            <v>bueno</v>
          </cell>
          <cell r="K3946" t="str">
            <v>probsi</v>
          </cell>
        </row>
        <row r="3947">
          <cell r="B3947" t="b">
            <v>1</v>
          </cell>
          <cell r="E3947" t="str">
            <v>Isla Fuerte</v>
          </cell>
          <cell r="H3947" t="str">
            <v>consulta_externa</v>
          </cell>
          <cell r="J3947" t="str">
            <v>bueno</v>
          </cell>
          <cell r="K3947" t="str">
            <v>probsi</v>
          </cell>
        </row>
        <row r="3948">
          <cell r="B3948" t="b">
            <v>1</v>
          </cell>
          <cell r="E3948" t="str">
            <v>Isla Fuerte</v>
          </cell>
          <cell r="H3948" t="str">
            <v>consulta_externa</v>
          </cell>
          <cell r="J3948" t="str">
            <v>bueno</v>
          </cell>
          <cell r="K3948" t="str">
            <v>probsi</v>
          </cell>
        </row>
        <row r="3949">
          <cell r="B3949" t="b">
            <v>1</v>
          </cell>
          <cell r="E3949" t="str">
            <v>Isla Fuerte</v>
          </cell>
          <cell r="H3949" t="str">
            <v>consulta_externa</v>
          </cell>
          <cell r="J3949" t="str">
            <v>bueno</v>
          </cell>
          <cell r="K3949" t="str">
            <v>probsi</v>
          </cell>
        </row>
        <row r="3950">
          <cell r="B3950" t="b">
            <v>1</v>
          </cell>
          <cell r="E3950" t="str">
            <v>Isla Fuerte</v>
          </cell>
          <cell r="H3950" t="str">
            <v>consulta_externa</v>
          </cell>
          <cell r="J3950" t="str">
            <v>bueno</v>
          </cell>
          <cell r="K3950" t="str">
            <v>probsi</v>
          </cell>
        </row>
        <row r="3951">
          <cell r="B3951" t="b">
            <v>1</v>
          </cell>
          <cell r="E3951" t="str">
            <v>Isla Fuerte</v>
          </cell>
          <cell r="H3951" t="str">
            <v>consulta_externa</v>
          </cell>
          <cell r="J3951" t="str">
            <v>bueno</v>
          </cell>
          <cell r="K3951" t="str">
            <v>probsi</v>
          </cell>
        </row>
        <row r="3952">
          <cell r="B3952" t="b">
            <v>1</v>
          </cell>
          <cell r="E3952" t="str">
            <v>Isla Fuerte</v>
          </cell>
          <cell r="H3952" t="str">
            <v>consulta_externa</v>
          </cell>
          <cell r="J3952" t="str">
            <v>bueno</v>
          </cell>
          <cell r="K3952" t="str">
            <v>probsi</v>
          </cell>
        </row>
        <row r="3953">
          <cell r="B3953" t="b">
            <v>1</v>
          </cell>
          <cell r="E3953" t="str">
            <v>Isla Fuerte</v>
          </cell>
          <cell r="H3953" t="str">
            <v>laboratorio</v>
          </cell>
          <cell r="J3953" t="str">
            <v>bueno</v>
          </cell>
          <cell r="K3953" t="str">
            <v>probsi</v>
          </cell>
        </row>
        <row r="3954">
          <cell r="B3954" t="b">
            <v>1</v>
          </cell>
          <cell r="E3954" t="str">
            <v>Isla Fuerte</v>
          </cell>
          <cell r="H3954" t="str">
            <v>laboratorio</v>
          </cell>
          <cell r="J3954" t="str">
            <v>bueno</v>
          </cell>
          <cell r="K3954" t="str">
            <v>probsi</v>
          </cell>
        </row>
        <row r="3955">
          <cell r="B3955" t="b">
            <v>1</v>
          </cell>
          <cell r="E3955" t="str">
            <v>Isla Fuerte</v>
          </cell>
          <cell r="H3955" t="str">
            <v>laboratorio</v>
          </cell>
          <cell r="J3955" t="str">
            <v>bueno</v>
          </cell>
          <cell r="K3955" t="str">
            <v>probsi</v>
          </cell>
        </row>
        <row r="3956">
          <cell r="B3956" t="b">
            <v>1</v>
          </cell>
          <cell r="E3956" t="str">
            <v>Isla Fuerte</v>
          </cell>
          <cell r="H3956" t="str">
            <v>laboratorio</v>
          </cell>
          <cell r="J3956" t="str">
            <v>bueno</v>
          </cell>
          <cell r="K3956" t="str">
            <v>probsi</v>
          </cell>
        </row>
        <row r="3957">
          <cell r="B3957" t="b">
            <v>1</v>
          </cell>
          <cell r="E3957" t="str">
            <v>Isla Fuerte</v>
          </cell>
          <cell r="H3957" t="str">
            <v>laboratorio</v>
          </cell>
          <cell r="J3957" t="str">
            <v>bueno</v>
          </cell>
          <cell r="K3957" t="str">
            <v>probsi</v>
          </cell>
        </row>
        <row r="3958">
          <cell r="B3958" t="b">
            <v>1</v>
          </cell>
          <cell r="E3958" t="str">
            <v>Isla Fuerte</v>
          </cell>
          <cell r="H3958" t="str">
            <v>laboratorio</v>
          </cell>
          <cell r="J3958" t="str">
            <v>bueno</v>
          </cell>
          <cell r="K3958" t="str">
            <v>probsi</v>
          </cell>
        </row>
        <row r="3959">
          <cell r="B3959" t="b">
            <v>0</v>
          </cell>
          <cell r="E3959" t="str">
            <v>Bayunca</v>
          </cell>
          <cell r="H3959" t="str">
            <v>laboratorio</v>
          </cell>
          <cell r="J3959" t="str">
            <v>regular</v>
          </cell>
          <cell r="K3959" t="str">
            <v>probsi</v>
          </cell>
        </row>
        <row r="3960">
          <cell r="B3960" t="b">
            <v>1</v>
          </cell>
          <cell r="E3960" t="str">
            <v>Bayunca</v>
          </cell>
          <cell r="H3960" t="str">
            <v>laboratorio</v>
          </cell>
          <cell r="J3960" t="str">
            <v>bueno</v>
          </cell>
          <cell r="K3960" t="str">
            <v>probsi</v>
          </cell>
        </row>
        <row r="3961">
          <cell r="B3961" t="b">
            <v>1</v>
          </cell>
          <cell r="E3961" t="str">
            <v>Bayunca</v>
          </cell>
          <cell r="H3961" t="str">
            <v>laboratorio</v>
          </cell>
          <cell r="J3961" t="str">
            <v>bueno</v>
          </cell>
          <cell r="K3961" t="str">
            <v>probsi</v>
          </cell>
        </row>
        <row r="3962">
          <cell r="B3962" t="b">
            <v>1</v>
          </cell>
          <cell r="E3962" t="str">
            <v>Bayunca</v>
          </cell>
          <cell r="H3962" t="str">
            <v>laboratorio</v>
          </cell>
          <cell r="J3962" t="str">
            <v>bueno</v>
          </cell>
          <cell r="K3962" t="str">
            <v>probsi</v>
          </cell>
        </row>
        <row r="3963">
          <cell r="B3963" t="b">
            <v>1</v>
          </cell>
          <cell r="E3963" t="str">
            <v>Bayunca</v>
          </cell>
          <cell r="H3963" t="str">
            <v>laboratorio</v>
          </cell>
          <cell r="J3963" t="str">
            <v>bueno</v>
          </cell>
          <cell r="K3963" t="str">
            <v>probsi</v>
          </cell>
        </row>
        <row r="3964">
          <cell r="B3964" t="b">
            <v>1</v>
          </cell>
          <cell r="E3964" t="str">
            <v>Bayunca</v>
          </cell>
          <cell r="H3964" t="str">
            <v>laboratorio</v>
          </cell>
          <cell r="J3964" t="str">
            <v>bueno</v>
          </cell>
          <cell r="K3964" t="str">
            <v>probsi</v>
          </cell>
        </row>
        <row r="3965">
          <cell r="B3965" t="b">
            <v>0</v>
          </cell>
          <cell r="E3965" t="str">
            <v>Bayunca</v>
          </cell>
          <cell r="H3965" t="str">
            <v>urgencia</v>
          </cell>
          <cell r="J3965" t="str">
            <v>regular</v>
          </cell>
          <cell r="K3965" t="str">
            <v>probsi</v>
          </cell>
        </row>
        <row r="3966">
          <cell r="B3966" t="b">
            <v>0</v>
          </cell>
          <cell r="E3966" t="str">
            <v>Bayunca</v>
          </cell>
          <cell r="H3966" t="str">
            <v>urgencia</v>
          </cell>
          <cell r="J3966" t="str">
            <v>regular</v>
          </cell>
          <cell r="K3966" t="str">
            <v>probsi</v>
          </cell>
        </row>
        <row r="3967">
          <cell r="B3967" t="b">
            <v>0</v>
          </cell>
          <cell r="E3967" t="str">
            <v>Bayunca</v>
          </cell>
          <cell r="H3967" t="str">
            <v>urgencia</v>
          </cell>
          <cell r="J3967" t="str">
            <v>regular</v>
          </cell>
          <cell r="K3967" t="str">
            <v>probsi</v>
          </cell>
        </row>
        <row r="3968">
          <cell r="B3968" t="b">
            <v>0</v>
          </cell>
          <cell r="E3968" t="str">
            <v>Bayunca</v>
          </cell>
          <cell r="H3968" t="str">
            <v>urgencia</v>
          </cell>
          <cell r="J3968" t="str">
            <v>regular</v>
          </cell>
          <cell r="K3968" t="str">
            <v>probsi</v>
          </cell>
        </row>
        <row r="3969">
          <cell r="B3969" t="b">
            <v>1</v>
          </cell>
          <cell r="E3969" t="str">
            <v>Bayunca</v>
          </cell>
          <cell r="H3969" t="str">
            <v>urgencia</v>
          </cell>
          <cell r="J3969" t="str">
            <v>bueno</v>
          </cell>
          <cell r="K3969" t="str">
            <v>probsi</v>
          </cell>
        </row>
        <row r="3970">
          <cell r="B3970" t="b">
            <v>1</v>
          </cell>
          <cell r="E3970" t="str">
            <v>Bayunca</v>
          </cell>
          <cell r="H3970" t="str">
            <v>urgencia</v>
          </cell>
          <cell r="J3970" t="str">
            <v>bueno</v>
          </cell>
          <cell r="K3970" t="str">
            <v>probsi</v>
          </cell>
        </row>
        <row r="3971">
          <cell r="B3971" t="b">
            <v>1</v>
          </cell>
          <cell r="E3971" t="str">
            <v>Bayunca</v>
          </cell>
          <cell r="H3971" t="str">
            <v>urgencia</v>
          </cell>
          <cell r="J3971" t="str">
            <v>bueno</v>
          </cell>
          <cell r="K3971" t="str">
            <v>probsi</v>
          </cell>
        </row>
        <row r="3972">
          <cell r="B3972" t="b">
            <v>1</v>
          </cell>
          <cell r="E3972" t="str">
            <v>Bayunca</v>
          </cell>
          <cell r="H3972" t="str">
            <v>urgencia</v>
          </cell>
          <cell r="J3972" t="str">
            <v>bueno</v>
          </cell>
          <cell r="K3972" t="str">
            <v>probsi</v>
          </cell>
        </row>
        <row r="3973">
          <cell r="B3973" t="b">
            <v>1</v>
          </cell>
          <cell r="E3973" t="str">
            <v>Nuevo Porvenir</v>
          </cell>
          <cell r="H3973" t="str">
            <v>consulta_externa</v>
          </cell>
          <cell r="J3973" t="str">
            <v>bueno</v>
          </cell>
          <cell r="K3973" t="str">
            <v>defsi</v>
          </cell>
        </row>
        <row r="3974">
          <cell r="B3974" t="b">
            <v>1</v>
          </cell>
          <cell r="E3974" t="str">
            <v>Nuevo Porvenir</v>
          </cell>
          <cell r="H3974" t="str">
            <v>laboratorio</v>
          </cell>
          <cell r="J3974" t="str">
            <v>bueno</v>
          </cell>
          <cell r="K3974" t="str">
            <v>defsi</v>
          </cell>
        </row>
        <row r="3975">
          <cell r="B3975" t="b">
            <v>1</v>
          </cell>
          <cell r="E3975" t="str">
            <v>Nuevo Porvenir</v>
          </cell>
          <cell r="H3975" t="str">
            <v>laboratorio</v>
          </cell>
          <cell r="J3975" t="str">
            <v>bueno</v>
          </cell>
          <cell r="K3975" t="str">
            <v>defsi</v>
          </cell>
        </row>
        <row r="3976">
          <cell r="B3976" t="b">
            <v>0</v>
          </cell>
          <cell r="E3976" t="str">
            <v>Nuevo Porvenir</v>
          </cell>
          <cell r="H3976" t="str">
            <v>consulta_externa</v>
          </cell>
          <cell r="J3976" t="str">
            <v>regular</v>
          </cell>
          <cell r="K3976" t="str">
            <v>defsi</v>
          </cell>
        </row>
        <row r="3977">
          <cell r="B3977" t="b">
            <v>0</v>
          </cell>
          <cell r="E3977" t="str">
            <v>Nuevo Porvenir</v>
          </cell>
          <cell r="H3977" t="str">
            <v>consulta_externa</v>
          </cell>
          <cell r="J3977" t="str">
            <v>regular</v>
          </cell>
          <cell r="K3977" t="str">
            <v>defsi</v>
          </cell>
        </row>
        <row r="3978">
          <cell r="B3978" t="b">
            <v>1</v>
          </cell>
          <cell r="E3978" t="str">
            <v>Nuevo Porvenir</v>
          </cell>
          <cell r="H3978" t="str">
            <v>consulta_externa</v>
          </cell>
          <cell r="J3978" t="str">
            <v>bueno</v>
          </cell>
          <cell r="K3978" t="str">
            <v>defsi</v>
          </cell>
        </row>
        <row r="3979">
          <cell r="B3979" t="b">
            <v>1</v>
          </cell>
          <cell r="E3979" t="str">
            <v>Blasdelezo</v>
          </cell>
          <cell r="H3979" t="str">
            <v>consulta_externa</v>
          </cell>
          <cell r="J3979" t="str">
            <v>bueno</v>
          </cell>
          <cell r="K3979" t="str">
            <v>defsi</v>
          </cell>
        </row>
        <row r="3980">
          <cell r="B3980" t="b">
            <v>1</v>
          </cell>
          <cell r="E3980" t="str">
            <v>Blasdelezo</v>
          </cell>
          <cell r="H3980" t="str">
            <v>salud_oral</v>
          </cell>
          <cell r="J3980" t="str">
            <v>bueno</v>
          </cell>
          <cell r="K3980" t="str">
            <v>defsi</v>
          </cell>
        </row>
        <row r="3981">
          <cell r="B3981" t="b">
            <v>1</v>
          </cell>
          <cell r="E3981" t="str">
            <v>Blasdelezo</v>
          </cell>
          <cell r="H3981" t="str">
            <v>laboratorio</v>
          </cell>
          <cell r="J3981" t="str">
            <v>bueno</v>
          </cell>
          <cell r="K3981" t="str">
            <v>defsi</v>
          </cell>
        </row>
        <row r="3982">
          <cell r="B3982" t="b">
            <v>1</v>
          </cell>
          <cell r="E3982" t="str">
            <v>Nuevo Porvenir</v>
          </cell>
          <cell r="H3982" t="str">
            <v>salud_oral</v>
          </cell>
          <cell r="J3982" t="str">
            <v>bueno</v>
          </cell>
          <cell r="K3982" t="str">
            <v>defsi</v>
          </cell>
        </row>
        <row r="3983">
          <cell r="B3983" t="b">
            <v>1</v>
          </cell>
          <cell r="E3983" t="str">
            <v>Nuevo Porvenir</v>
          </cell>
          <cell r="H3983" t="str">
            <v>salud_oral</v>
          </cell>
          <cell r="J3983" t="str">
            <v>bueno</v>
          </cell>
          <cell r="K3983" t="str">
            <v>defsi</v>
          </cell>
        </row>
        <row r="3984">
          <cell r="B3984" t="b">
            <v>1</v>
          </cell>
          <cell r="E3984" t="str">
            <v>Blasdelezo</v>
          </cell>
          <cell r="H3984" t="str">
            <v>urgencia</v>
          </cell>
          <cell r="J3984" t="str">
            <v>bueno</v>
          </cell>
          <cell r="K3984" t="str">
            <v>defsi</v>
          </cell>
        </row>
        <row r="3985">
          <cell r="B3985" t="b">
            <v>1</v>
          </cell>
          <cell r="E3985" t="str">
            <v>Nuevo Porvenir</v>
          </cell>
          <cell r="H3985" t="str">
            <v>salud_oral</v>
          </cell>
          <cell r="J3985" t="str">
            <v>bueno</v>
          </cell>
          <cell r="K3985" t="str">
            <v>defsi</v>
          </cell>
        </row>
        <row r="3986">
          <cell r="B3986" t="b">
            <v>1</v>
          </cell>
          <cell r="E3986" t="str">
            <v>Nuevo Porvenir</v>
          </cell>
          <cell r="H3986" t="str">
            <v>salud_oral</v>
          </cell>
          <cell r="J3986" t="str">
            <v>bueno</v>
          </cell>
          <cell r="K3986" t="str">
            <v>defsi</v>
          </cell>
        </row>
        <row r="3987">
          <cell r="B3987" t="b">
            <v>1</v>
          </cell>
          <cell r="E3987" t="str">
            <v>Nuevo Porvenir</v>
          </cell>
          <cell r="H3987" t="str">
            <v>salud_oral</v>
          </cell>
          <cell r="J3987" t="str">
            <v>bueno</v>
          </cell>
          <cell r="K3987" t="str">
            <v>defsi</v>
          </cell>
        </row>
        <row r="3988">
          <cell r="B3988" t="b">
            <v>1</v>
          </cell>
          <cell r="E3988" t="str">
            <v>Nuevo Porvenir</v>
          </cell>
          <cell r="H3988" t="str">
            <v>consulta_externa</v>
          </cell>
          <cell r="J3988" t="str">
            <v>bueno</v>
          </cell>
          <cell r="K3988" t="str">
            <v>defsi</v>
          </cell>
        </row>
        <row r="3989">
          <cell r="B3989" t="b">
            <v>1</v>
          </cell>
          <cell r="E3989" t="str">
            <v>Nuevo Porvenir</v>
          </cell>
          <cell r="H3989" t="str">
            <v>consulta_externa</v>
          </cell>
          <cell r="J3989" t="str">
            <v>bueno</v>
          </cell>
          <cell r="K3989" t="str">
            <v>defsi</v>
          </cell>
        </row>
        <row r="3990">
          <cell r="B3990" t="b">
            <v>1</v>
          </cell>
          <cell r="E3990" t="str">
            <v>Nuevo Porvenir</v>
          </cell>
          <cell r="H3990" t="str">
            <v>consulta_externa</v>
          </cell>
          <cell r="J3990" t="str">
            <v>bueno</v>
          </cell>
          <cell r="K3990" t="str">
            <v>defsi</v>
          </cell>
        </row>
        <row r="3991">
          <cell r="B3991" t="b">
            <v>1</v>
          </cell>
          <cell r="E3991" t="str">
            <v>Nuevo Porvenir</v>
          </cell>
          <cell r="H3991" t="str">
            <v>laboratorio</v>
          </cell>
          <cell r="J3991" t="str">
            <v>bueno</v>
          </cell>
          <cell r="K3991" t="str">
            <v>defsi</v>
          </cell>
        </row>
        <row r="3992">
          <cell r="B3992" t="b">
            <v>1</v>
          </cell>
          <cell r="E3992" t="str">
            <v>Nuevo Porvenir</v>
          </cell>
          <cell r="H3992" t="str">
            <v>laboratorio</v>
          </cell>
          <cell r="J3992" t="str">
            <v>bueno</v>
          </cell>
          <cell r="K3992" t="str">
            <v>defsi</v>
          </cell>
        </row>
        <row r="3993">
          <cell r="B3993" t="b">
            <v>1</v>
          </cell>
          <cell r="E3993" t="str">
            <v>Nuevo Porvenir</v>
          </cell>
          <cell r="H3993" t="str">
            <v>salud_oral</v>
          </cell>
          <cell r="J3993" t="str">
            <v>muybueno</v>
          </cell>
          <cell r="K3993" t="str">
            <v>defsi</v>
          </cell>
        </row>
        <row r="3994">
          <cell r="B3994" t="b">
            <v>1</v>
          </cell>
          <cell r="E3994" t="str">
            <v>Nuevo Porvenir</v>
          </cell>
          <cell r="H3994" t="str">
            <v>consulta_externa</v>
          </cell>
          <cell r="J3994" t="str">
            <v>muybueno</v>
          </cell>
          <cell r="K3994" t="str">
            <v>defsi</v>
          </cell>
        </row>
        <row r="3995">
          <cell r="B3995" t="b">
            <v>1</v>
          </cell>
          <cell r="E3995" t="str">
            <v>Nuevo Porvenir</v>
          </cell>
          <cell r="H3995" t="str">
            <v>salud_oral</v>
          </cell>
          <cell r="J3995" t="str">
            <v>bueno</v>
          </cell>
          <cell r="K3995" t="str">
            <v>defsi</v>
          </cell>
        </row>
        <row r="3996">
          <cell r="B3996" t="b">
            <v>1</v>
          </cell>
          <cell r="E3996" t="str">
            <v>Nuevo Porvenir</v>
          </cell>
          <cell r="H3996" t="str">
            <v>salud_oral</v>
          </cell>
          <cell r="J3996" t="str">
            <v>bueno</v>
          </cell>
          <cell r="K3996" t="str">
            <v>defsi</v>
          </cell>
        </row>
        <row r="3997">
          <cell r="B3997" t="b">
            <v>1</v>
          </cell>
          <cell r="E3997" t="str">
            <v>Nuevo Porvenir</v>
          </cell>
          <cell r="H3997" t="str">
            <v>salud_oral</v>
          </cell>
          <cell r="J3997" t="str">
            <v>bueno</v>
          </cell>
          <cell r="K3997" t="str">
            <v>defsi</v>
          </cell>
        </row>
        <row r="3998">
          <cell r="B3998" t="b">
            <v>1</v>
          </cell>
          <cell r="E3998" t="str">
            <v>Santa Ana</v>
          </cell>
          <cell r="H3998" t="str">
            <v>consulta_externa</v>
          </cell>
          <cell r="J3998" t="str">
            <v>bueno</v>
          </cell>
          <cell r="K3998" t="str">
            <v>defsi</v>
          </cell>
        </row>
        <row r="3999">
          <cell r="B3999" t="b">
            <v>1</v>
          </cell>
          <cell r="E3999" t="str">
            <v>Santa Ana</v>
          </cell>
          <cell r="H3999" t="str">
            <v>salud_oral</v>
          </cell>
          <cell r="J3999" t="str">
            <v>bueno</v>
          </cell>
          <cell r="K3999" t="str">
            <v>defsi</v>
          </cell>
        </row>
        <row r="4000">
          <cell r="B4000" t="b">
            <v>1</v>
          </cell>
          <cell r="E4000" t="str">
            <v>Santa Ana</v>
          </cell>
          <cell r="H4000" t="str">
            <v>salud_oral</v>
          </cell>
          <cell r="J4000" t="str">
            <v>bueno</v>
          </cell>
          <cell r="K4000" t="str">
            <v>defsi</v>
          </cell>
        </row>
        <row r="4001">
          <cell r="B4001" t="b">
            <v>1</v>
          </cell>
          <cell r="E4001" t="str">
            <v>Santa Ana</v>
          </cell>
          <cell r="H4001" t="str">
            <v>laboratorio</v>
          </cell>
          <cell r="J4001" t="str">
            <v>bueno</v>
          </cell>
          <cell r="K4001" t="str">
            <v>defsi</v>
          </cell>
        </row>
        <row r="4002">
          <cell r="B4002" t="b">
            <v>1</v>
          </cell>
          <cell r="E4002" t="str">
            <v>Santa Ana</v>
          </cell>
          <cell r="H4002" t="str">
            <v>urgencia</v>
          </cell>
          <cell r="J4002" t="str">
            <v>bueno</v>
          </cell>
          <cell r="K4002" t="str">
            <v>defsi</v>
          </cell>
        </row>
        <row r="4003">
          <cell r="B4003" t="b">
            <v>1</v>
          </cell>
          <cell r="E4003" t="str">
            <v>Santa Ana</v>
          </cell>
          <cell r="H4003" t="str">
            <v>consulta_externa</v>
          </cell>
          <cell r="J4003" t="str">
            <v>bueno</v>
          </cell>
          <cell r="K4003" t="str">
            <v>defsi</v>
          </cell>
        </row>
        <row r="4004">
          <cell r="B4004" t="b">
            <v>1</v>
          </cell>
          <cell r="E4004" t="str">
            <v>Santa Ana</v>
          </cell>
          <cell r="H4004" t="str">
            <v>salud_oral</v>
          </cell>
          <cell r="J4004" t="str">
            <v>bueno</v>
          </cell>
          <cell r="K4004" t="str">
            <v>defsi</v>
          </cell>
        </row>
        <row r="4005">
          <cell r="B4005" t="b">
            <v>1</v>
          </cell>
          <cell r="E4005" t="str">
            <v>Santa Ana</v>
          </cell>
          <cell r="H4005" t="str">
            <v>laboratorio</v>
          </cell>
          <cell r="J4005" t="str">
            <v>bueno</v>
          </cell>
          <cell r="K4005" t="str">
            <v>defsi</v>
          </cell>
        </row>
        <row r="4006">
          <cell r="B4006" t="b">
            <v>1</v>
          </cell>
          <cell r="E4006" t="str">
            <v>Santa Ana</v>
          </cell>
          <cell r="H4006" t="str">
            <v>urgencia</v>
          </cell>
          <cell r="J4006" t="str">
            <v>bueno</v>
          </cell>
          <cell r="K4006" t="str">
            <v>defsi</v>
          </cell>
        </row>
        <row r="4007">
          <cell r="B4007" t="b">
            <v>1</v>
          </cell>
          <cell r="E4007" t="str">
            <v>Nuevo Porvenir</v>
          </cell>
          <cell r="H4007" t="str">
            <v>salud_oral</v>
          </cell>
          <cell r="J4007" t="str">
            <v>bueno</v>
          </cell>
          <cell r="K4007" t="str">
            <v>defsi</v>
          </cell>
        </row>
        <row r="4008">
          <cell r="B4008" t="b">
            <v>1</v>
          </cell>
          <cell r="E4008" t="str">
            <v>Nuevo Porvenir</v>
          </cell>
          <cell r="H4008" t="str">
            <v>salud_oral</v>
          </cell>
          <cell r="J4008" t="str">
            <v>bueno</v>
          </cell>
          <cell r="K4008" t="str">
            <v>defsi</v>
          </cell>
        </row>
        <row r="4009">
          <cell r="B4009" t="b">
            <v>1</v>
          </cell>
          <cell r="E4009" t="str">
            <v>Nuevo Porvenir</v>
          </cell>
          <cell r="H4009" t="str">
            <v>salud_oral</v>
          </cell>
          <cell r="J4009" t="str">
            <v>bueno</v>
          </cell>
          <cell r="K4009" t="str">
            <v>defsi</v>
          </cell>
        </row>
        <row r="4010">
          <cell r="B4010" t="b">
            <v>1</v>
          </cell>
          <cell r="E4010" t="str">
            <v>Nuevo Porvenir</v>
          </cell>
          <cell r="H4010" t="str">
            <v>consulta_externa</v>
          </cell>
          <cell r="J4010" t="str">
            <v>bueno</v>
          </cell>
          <cell r="K4010" t="str">
            <v>defsi</v>
          </cell>
        </row>
        <row r="4011">
          <cell r="B4011" t="b">
            <v>1</v>
          </cell>
          <cell r="E4011" t="str">
            <v>Isla del Rosario</v>
          </cell>
          <cell r="H4011" t="str">
            <v>consulta_externa</v>
          </cell>
          <cell r="J4011" t="str">
            <v>bueno</v>
          </cell>
          <cell r="K4011" t="str">
            <v>defsi</v>
          </cell>
        </row>
        <row r="4012">
          <cell r="B4012" t="b">
            <v>1</v>
          </cell>
          <cell r="E4012" t="str">
            <v>Isla del Rosario</v>
          </cell>
          <cell r="H4012" t="str">
            <v>consulta_externa</v>
          </cell>
          <cell r="J4012" t="str">
            <v>bueno</v>
          </cell>
          <cell r="K4012" t="str">
            <v>defsi</v>
          </cell>
        </row>
        <row r="4013">
          <cell r="B4013" t="b">
            <v>1</v>
          </cell>
          <cell r="E4013" t="str">
            <v>Isla del Rosario</v>
          </cell>
          <cell r="H4013" t="str">
            <v>consulta_externa</v>
          </cell>
          <cell r="J4013" t="str">
            <v>bueno</v>
          </cell>
          <cell r="K4013" t="str">
            <v>defsi</v>
          </cell>
        </row>
        <row r="4014">
          <cell r="B4014" t="b">
            <v>1</v>
          </cell>
          <cell r="E4014" t="str">
            <v>Isla del Rosario</v>
          </cell>
          <cell r="H4014" t="str">
            <v>consulta_externa</v>
          </cell>
          <cell r="J4014" t="str">
            <v>bueno</v>
          </cell>
          <cell r="K4014" t="str">
            <v>defsi</v>
          </cell>
        </row>
        <row r="4015">
          <cell r="B4015" t="b">
            <v>1</v>
          </cell>
          <cell r="E4015" t="str">
            <v>Isla del Rosario</v>
          </cell>
          <cell r="H4015" t="str">
            <v>consulta_externa</v>
          </cell>
          <cell r="J4015" t="str">
            <v>bueno</v>
          </cell>
          <cell r="K4015" t="str">
            <v>defsi</v>
          </cell>
        </row>
        <row r="4016">
          <cell r="B4016" t="b">
            <v>1</v>
          </cell>
          <cell r="E4016" t="str">
            <v>Isla del Rosario</v>
          </cell>
          <cell r="H4016" t="str">
            <v>laboratorio</v>
          </cell>
          <cell r="J4016" t="str">
            <v>bueno</v>
          </cell>
          <cell r="K4016" t="str">
            <v>defsi</v>
          </cell>
        </row>
        <row r="4017">
          <cell r="B4017" t="b">
            <v>1</v>
          </cell>
          <cell r="E4017" t="str">
            <v>Isla del Rosario</v>
          </cell>
          <cell r="H4017" t="str">
            <v>laboratorio</v>
          </cell>
          <cell r="J4017" t="str">
            <v>bueno</v>
          </cell>
          <cell r="K4017" t="str">
            <v>defsi</v>
          </cell>
        </row>
        <row r="4018">
          <cell r="B4018" t="b">
            <v>1</v>
          </cell>
          <cell r="E4018" t="str">
            <v>Isla del Rosario</v>
          </cell>
          <cell r="H4018" t="str">
            <v>laboratorio</v>
          </cell>
          <cell r="J4018" t="str">
            <v>bueno</v>
          </cell>
          <cell r="K4018" t="str">
            <v>defsi</v>
          </cell>
        </row>
        <row r="4019">
          <cell r="B4019" t="b">
            <v>1</v>
          </cell>
          <cell r="E4019" t="str">
            <v>Isla del Rosario</v>
          </cell>
          <cell r="H4019" t="str">
            <v>salud_oral</v>
          </cell>
          <cell r="J4019" t="str">
            <v>bueno</v>
          </cell>
          <cell r="K4019" t="str">
            <v>defsi</v>
          </cell>
        </row>
        <row r="4020">
          <cell r="B4020" t="b">
            <v>1</v>
          </cell>
          <cell r="E4020" t="str">
            <v>Isla del Rosario</v>
          </cell>
          <cell r="H4020" t="str">
            <v>salud_oral</v>
          </cell>
          <cell r="J4020" t="str">
            <v>bueno</v>
          </cell>
          <cell r="K4020" t="str">
            <v>defsi</v>
          </cell>
        </row>
        <row r="4021">
          <cell r="B4021" t="b">
            <v>1</v>
          </cell>
          <cell r="E4021" t="str">
            <v>Isla del Rosario</v>
          </cell>
          <cell r="H4021" t="str">
            <v>salud_oral</v>
          </cell>
          <cell r="J4021" t="str">
            <v>bueno</v>
          </cell>
          <cell r="K4021" t="str">
            <v>defsi</v>
          </cell>
        </row>
        <row r="4022">
          <cell r="B4022" t="b">
            <v>1</v>
          </cell>
          <cell r="E4022" t="str">
            <v>Islote de San Bernardo</v>
          </cell>
          <cell r="H4022" t="str">
            <v>consulta_externa</v>
          </cell>
          <cell r="J4022" t="str">
            <v>muybueno</v>
          </cell>
          <cell r="K4022" t="str">
            <v>probsi</v>
          </cell>
        </row>
        <row r="4023">
          <cell r="B4023" t="b">
            <v>1</v>
          </cell>
          <cell r="E4023" t="str">
            <v>Islote de San Bernardo</v>
          </cell>
          <cell r="H4023" t="str">
            <v>consulta_externa</v>
          </cell>
          <cell r="J4023" t="str">
            <v>muybueno</v>
          </cell>
          <cell r="K4023" t="str">
            <v>probsi</v>
          </cell>
        </row>
        <row r="4024">
          <cell r="B4024" t="b">
            <v>1</v>
          </cell>
          <cell r="E4024" t="str">
            <v>Islote de San Bernardo</v>
          </cell>
          <cell r="H4024" t="str">
            <v>consulta_externa</v>
          </cell>
          <cell r="J4024" t="str">
            <v>muybueno</v>
          </cell>
          <cell r="K4024" t="str">
            <v>probsi</v>
          </cell>
        </row>
        <row r="4025">
          <cell r="B4025" t="b">
            <v>1</v>
          </cell>
          <cell r="E4025" t="str">
            <v>Islote de San Bernardo</v>
          </cell>
          <cell r="H4025" t="str">
            <v>consulta_externa</v>
          </cell>
          <cell r="J4025" t="str">
            <v>muybueno</v>
          </cell>
          <cell r="K4025" t="str">
            <v>probsi</v>
          </cell>
        </row>
        <row r="4026">
          <cell r="B4026" t="b">
            <v>1</v>
          </cell>
          <cell r="E4026" t="str">
            <v>Islote de San Bernardo</v>
          </cell>
          <cell r="H4026" t="str">
            <v>consulta_externa</v>
          </cell>
          <cell r="J4026" t="str">
            <v>muybueno</v>
          </cell>
          <cell r="K4026" t="str">
            <v>probsi</v>
          </cell>
        </row>
        <row r="4027">
          <cell r="B4027" t="b">
            <v>1</v>
          </cell>
          <cell r="E4027" t="str">
            <v>Islote de San Bernardo</v>
          </cell>
          <cell r="H4027" t="str">
            <v>consulta_externa</v>
          </cell>
          <cell r="J4027" t="str">
            <v>muybueno</v>
          </cell>
          <cell r="K4027" t="str">
            <v>probsi</v>
          </cell>
        </row>
        <row r="4028">
          <cell r="B4028" t="b">
            <v>1</v>
          </cell>
          <cell r="E4028" t="str">
            <v>Islote de San Bernardo</v>
          </cell>
          <cell r="H4028" t="str">
            <v>consulta_externa</v>
          </cell>
          <cell r="J4028" t="str">
            <v>muybueno</v>
          </cell>
          <cell r="K4028" t="str">
            <v>probsi</v>
          </cell>
        </row>
        <row r="4029">
          <cell r="B4029" t="b">
            <v>1</v>
          </cell>
          <cell r="E4029" t="str">
            <v>Islote de San Bernardo</v>
          </cell>
          <cell r="H4029" t="str">
            <v>consulta_externa</v>
          </cell>
          <cell r="J4029" t="str">
            <v>muybueno</v>
          </cell>
          <cell r="K4029" t="str">
            <v>probsi</v>
          </cell>
        </row>
        <row r="4030">
          <cell r="B4030" t="b">
            <v>1</v>
          </cell>
          <cell r="E4030" t="str">
            <v>Islote de San Bernardo</v>
          </cell>
          <cell r="H4030" t="str">
            <v>consulta_externa</v>
          </cell>
          <cell r="J4030" t="str">
            <v>muybueno</v>
          </cell>
          <cell r="K4030" t="str">
            <v>probsi</v>
          </cell>
        </row>
        <row r="4031">
          <cell r="B4031" t="b">
            <v>1</v>
          </cell>
          <cell r="E4031" t="str">
            <v>Islote de San Bernardo</v>
          </cell>
          <cell r="H4031" t="str">
            <v>laboratorio</v>
          </cell>
          <cell r="J4031" t="str">
            <v>muybueno</v>
          </cell>
          <cell r="K4031" t="str">
            <v>probsi</v>
          </cell>
        </row>
        <row r="4032">
          <cell r="B4032" t="b">
            <v>1</v>
          </cell>
          <cell r="E4032" t="str">
            <v>Islote de San Bernardo</v>
          </cell>
          <cell r="H4032" t="str">
            <v>laboratorio</v>
          </cell>
          <cell r="J4032" t="str">
            <v>muybueno</v>
          </cell>
          <cell r="K4032" t="str">
            <v>probsi</v>
          </cell>
        </row>
        <row r="4033">
          <cell r="B4033" t="b">
            <v>1</v>
          </cell>
          <cell r="E4033" t="str">
            <v>Islote de San Bernardo</v>
          </cell>
          <cell r="H4033" t="str">
            <v>laboratorio</v>
          </cell>
          <cell r="J4033" t="str">
            <v>muybueno</v>
          </cell>
          <cell r="K4033" t="str">
            <v>probsi</v>
          </cell>
        </row>
        <row r="4034">
          <cell r="B4034" t="b">
            <v>1</v>
          </cell>
          <cell r="E4034" t="str">
            <v>Islote de San Bernardo</v>
          </cell>
          <cell r="H4034" t="str">
            <v>laboratorio</v>
          </cell>
          <cell r="J4034" t="str">
            <v>muybueno</v>
          </cell>
          <cell r="K4034" t="str">
            <v>probsi</v>
          </cell>
        </row>
        <row r="4035">
          <cell r="B4035" t="b">
            <v>1</v>
          </cell>
          <cell r="E4035" t="str">
            <v>Islote de San Bernardo</v>
          </cell>
          <cell r="H4035" t="str">
            <v>laboratorio</v>
          </cell>
          <cell r="J4035" t="str">
            <v>muybueno</v>
          </cell>
          <cell r="K4035" t="str">
            <v>probsi</v>
          </cell>
        </row>
        <row r="4036">
          <cell r="B4036" t="b">
            <v>1</v>
          </cell>
          <cell r="E4036" t="str">
            <v>Islote de San Bernardo</v>
          </cell>
          <cell r="H4036" t="str">
            <v>laboratorio</v>
          </cell>
          <cell r="J4036" t="str">
            <v>muybueno</v>
          </cell>
          <cell r="K4036" t="str">
            <v>probsi</v>
          </cell>
        </row>
        <row r="4037">
          <cell r="B4037" t="b">
            <v>1</v>
          </cell>
          <cell r="E4037" t="str">
            <v>Islote de San Bernardo</v>
          </cell>
          <cell r="H4037" t="str">
            <v>laboratorio</v>
          </cell>
          <cell r="J4037" t="str">
            <v>muybueno</v>
          </cell>
          <cell r="K4037" t="str">
            <v>probsi</v>
          </cell>
        </row>
        <row r="4038">
          <cell r="B4038" t="b">
            <v>1</v>
          </cell>
          <cell r="E4038" t="str">
            <v>Islote de San Bernardo</v>
          </cell>
          <cell r="H4038" t="str">
            <v>salud_oral</v>
          </cell>
          <cell r="J4038" t="str">
            <v>muybueno</v>
          </cell>
          <cell r="K4038" t="str">
            <v>probsi</v>
          </cell>
        </row>
        <row r="4039">
          <cell r="B4039" t="b">
            <v>1</v>
          </cell>
          <cell r="E4039" t="str">
            <v>Islote de San Bernardo</v>
          </cell>
          <cell r="H4039" t="str">
            <v>salud_oral</v>
          </cell>
          <cell r="J4039" t="str">
            <v>muybueno</v>
          </cell>
          <cell r="K4039" t="str">
            <v>probsi</v>
          </cell>
        </row>
        <row r="4040">
          <cell r="B4040" t="b">
            <v>1</v>
          </cell>
          <cell r="E4040" t="str">
            <v>Islote de San Bernardo</v>
          </cell>
          <cell r="H4040" t="str">
            <v>salud_oral</v>
          </cell>
          <cell r="J4040" t="str">
            <v>muybueno</v>
          </cell>
          <cell r="K4040" t="str">
            <v>probsi</v>
          </cell>
        </row>
        <row r="4041">
          <cell r="B4041" t="b">
            <v>1</v>
          </cell>
          <cell r="E4041" t="str">
            <v>Islote de San Bernardo</v>
          </cell>
          <cell r="H4041" t="str">
            <v>salud_oral</v>
          </cell>
          <cell r="J4041" t="str">
            <v>muybueno</v>
          </cell>
          <cell r="K4041" t="str">
            <v>probsi</v>
          </cell>
        </row>
        <row r="4042">
          <cell r="B4042" t="b">
            <v>1</v>
          </cell>
          <cell r="E4042" t="str">
            <v>Islote de San Bernardo</v>
          </cell>
          <cell r="H4042" t="str">
            <v>salud_oral</v>
          </cell>
          <cell r="J4042" t="str">
            <v>muybueno</v>
          </cell>
          <cell r="K4042" t="str">
            <v>probsi</v>
          </cell>
        </row>
        <row r="4043">
          <cell r="B4043" t="b">
            <v>1</v>
          </cell>
          <cell r="E4043" t="str">
            <v>Islote de San Bernardo</v>
          </cell>
          <cell r="H4043" t="str">
            <v>salud_oral</v>
          </cell>
          <cell r="J4043" t="str">
            <v>muybueno</v>
          </cell>
          <cell r="K4043" t="str">
            <v>probsi</v>
          </cell>
        </row>
        <row r="4044">
          <cell r="B4044" t="b">
            <v>1</v>
          </cell>
          <cell r="E4044" t="str">
            <v>Arroyo de las Canoas</v>
          </cell>
          <cell r="H4044" t="str">
            <v>consulta_externa</v>
          </cell>
          <cell r="J4044" t="str">
            <v>muybueno</v>
          </cell>
          <cell r="K4044" t="str">
            <v>defsi</v>
          </cell>
        </row>
        <row r="4045">
          <cell r="B4045" t="b">
            <v>1</v>
          </cell>
          <cell r="E4045" t="str">
            <v>Arroyo de las Canoas</v>
          </cell>
          <cell r="H4045" t="str">
            <v>consulta_externa</v>
          </cell>
          <cell r="J4045" t="str">
            <v>muybueno</v>
          </cell>
          <cell r="K4045" t="str">
            <v>defsi</v>
          </cell>
        </row>
        <row r="4046">
          <cell r="B4046" t="b">
            <v>1</v>
          </cell>
          <cell r="E4046" t="str">
            <v>Arroyo de las Canoas</v>
          </cell>
          <cell r="H4046" t="str">
            <v>laboratorio</v>
          </cell>
          <cell r="J4046" t="str">
            <v>muybueno</v>
          </cell>
          <cell r="K4046" t="str">
            <v>defsi</v>
          </cell>
        </row>
        <row r="4047">
          <cell r="B4047" t="b">
            <v>1</v>
          </cell>
          <cell r="E4047" t="str">
            <v>Arroyo de las Canoas</v>
          </cell>
          <cell r="H4047" t="str">
            <v>salud_oral</v>
          </cell>
          <cell r="J4047" t="str">
            <v>bueno</v>
          </cell>
          <cell r="K4047" t="str">
            <v>defsi</v>
          </cell>
        </row>
        <row r="4048">
          <cell r="B4048" t="b">
            <v>1</v>
          </cell>
          <cell r="E4048" t="str">
            <v>Arroyo de las Canoas</v>
          </cell>
          <cell r="H4048" t="str">
            <v>salud_oral</v>
          </cell>
          <cell r="J4048" t="str">
            <v>bueno</v>
          </cell>
          <cell r="K4048" t="str">
            <v>defsi</v>
          </cell>
        </row>
        <row r="4049">
          <cell r="B4049" t="b">
            <v>1</v>
          </cell>
          <cell r="E4049" t="str">
            <v>Arroyo de las Canoas</v>
          </cell>
          <cell r="H4049" t="str">
            <v>consulta_externa</v>
          </cell>
          <cell r="J4049" t="str">
            <v>bueno</v>
          </cell>
          <cell r="K4049" t="str">
            <v>defsi</v>
          </cell>
        </row>
        <row r="4050">
          <cell r="B4050" t="b">
            <v>1</v>
          </cell>
          <cell r="E4050" t="str">
            <v>Arroyo de las Canoas</v>
          </cell>
          <cell r="H4050" t="str">
            <v>laboratorio</v>
          </cell>
          <cell r="J4050" t="str">
            <v>bueno</v>
          </cell>
          <cell r="K4050" t="str">
            <v>defsi</v>
          </cell>
        </row>
        <row r="4051">
          <cell r="B4051" t="b">
            <v>1</v>
          </cell>
          <cell r="E4051" t="str">
            <v>Arroyo de las Canoas</v>
          </cell>
          <cell r="H4051" t="str">
            <v>salud_oral</v>
          </cell>
          <cell r="J4051" t="str">
            <v>bueno</v>
          </cell>
          <cell r="K4051" t="str">
            <v>defsi</v>
          </cell>
        </row>
        <row r="4052">
          <cell r="B4052" t="b">
            <v>1</v>
          </cell>
          <cell r="E4052" t="str">
            <v>Arroyo de las Canoas</v>
          </cell>
          <cell r="H4052" t="str">
            <v>consulta_externa</v>
          </cell>
          <cell r="J4052" t="str">
            <v>bueno</v>
          </cell>
          <cell r="K4052" t="str">
            <v>defsi</v>
          </cell>
        </row>
        <row r="4053">
          <cell r="B4053" t="b">
            <v>1</v>
          </cell>
          <cell r="E4053" t="str">
            <v>Arroyo de las Canoas</v>
          </cell>
          <cell r="H4053" t="str">
            <v>laboratorio</v>
          </cell>
          <cell r="J4053" t="str">
            <v>bueno</v>
          </cell>
          <cell r="K4053" t="str">
            <v>defsi</v>
          </cell>
        </row>
        <row r="4054">
          <cell r="B4054" t="b">
            <v>1</v>
          </cell>
          <cell r="E4054" t="str">
            <v>Arroyo de las Canoas</v>
          </cell>
          <cell r="H4054" t="str">
            <v>consulta_externa</v>
          </cell>
          <cell r="J4054" t="str">
            <v>muybueno</v>
          </cell>
          <cell r="K4054" t="str">
            <v>defsi</v>
          </cell>
        </row>
        <row r="4055">
          <cell r="B4055" t="b">
            <v>1</v>
          </cell>
          <cell r="E4055" t="str">
            <v>Arroyo de las Canoas</v>
          </cell>
          <cell r="H4055" t="str">
            <v>laboratorio</v>
          </cell>
          <cell r="J4055" t="str">
            <v>muybueno</v>
          </cell>
          <cell r="K4055" t="str">
            <v>defsi</v>
          </cell>
        </row>
        <row r="4056">
          <cell r="B4056" t="b">
            <v>1</v>
          </cell>
          <cell r="E4056" t="str">
            <v>Arroyo de las Canoas</v>
          </cell>
          <cell r="H4056" t="str">
            <v>salud_oral</v>
          </cell>
          <cell r="J4056" t="str">
            <v>bueno</v>
          </cell>
          <cell r="K4056" t="str">
            <v>defsi</v>
          </cell>
        </row>
        <row r="4057">
          <cell r="B4057" t="b">
            <v>1</v>
          </cell>
          <cell r="E4057" t="str">
            <v>Arroyo de las Canoas</v>
          </cell>
          <cell r="H4057" t="str">
            <v>consulta_externa</v>
          </cell>
          <cell r="J4057" t="str">
            <v>bueno</v>
          </cell>
          <cell r="K4057" t="str">
            <v>defsi</v>
          </cell>
        </row>
        <row r="4058">
          <cell r="B4058" t="b">
            <v>1</v>
          </cell>
          <cell r="E4058" t="str">
            <v>Arroyo de las Canoas</v>
          </cell>
          <cell r="H4058" t="str">
            <v>laboratorio</v>
          </cell>
          <cell r="J4058" t="str">
            <v>bueno</v>
          </cell>
          <cell r="K4058" t="str">
            <v>defsi</v>
          </cell>
        </row>
        <row r="4059">
          <cell r="B4059" t="b">
            <v>1</v>
          </cell>
          <cell r="E4059" t="str">
            <v>Arroyo de las Canoas</v>
          </cell>
          <cell r="H4059" t="str">
            <v>salud_oral</v>
          </cell>
          <cell r="J4059" t="str">
            <v>muybueno</v>
          </cell>
          <cell r="K4059" t="str">
            <v>defsi</v>
          </cell>
        </row>
        <row r="4060">
          <cell r="B4060" t="b">
            <v>1</v>
          </cell>
          <cell r="E4060" t="str">
            <v>Arroyo de las Canoas</v>
          </cell>
          <cell r="H4060" t="str">
            <v>consulta_externa</v>
          </cell>
          <cell r="J4060" t="str">
            <v>muybueno</v>
          </cell>
          <cell r="K4060" t="str">
            <v>defsi</v>
          </cell>
        </row>
        <row r="4061">
          <cell r="B4061" t="b">
            <v>1</v>
          </cell>
          <cell r="E4061" t="str">
            <v>Arroyo de las Canoas</v>
          </cell>
          <cell r="H4061" t="str">
            <v>laboratorio</v>
          </cell>
          <cell r="J4061" t="str">
            <v>muybueno</v>
          </cell>
          <cell r="K4061" t="str">
            <v>defsi</v>
          </cell>
        </row>
        <row r="4062">
          <cell r="B4062" t="b">
            <v>1</v>
          </cell>
          <cell r="E4062" t="str">
            <v>Foco Rojo</v>
          </cell>
          <cell r="H4062" t="str">
            <v>consulta_externa</v>
          </cell>
          <cell r="J4062" t="str">
            <v>bueno</v>
          </cell>
          <cell r="K4062" t="str">
            <v>probsi</v>
          </cell>
        </row>
        <row r="4063">
          <cell r="B4063" t="b">
            <v>1</v>
          </cell>
          <cell r="E4063" t="str">
            <v>Foco Rojo</v>
          </cell>
          <cell r="H4063" t="str">
            <v>consulta_externa</v>
          </cell>
          <cell r="J4063" t="str">
            <v>bueno</v>
          </cell>
          <cell r="K4063" t="str">
            <v>probsi</v>
          </cell>
        </row>
        <row r="4064">
          <cell r="B4064" t="b">
            <v>1</v>
          </cell>
          <cell r="E4064" t="str">
            <v>Foco Rojo</v>
          </cell>
          <cell r="H4064" t="str">
            <v>laboratorio</v>
          </cell>
          <cell r="J4064" t="str">
            <v>bueno</v>
          </cell>
          <cell r="K4064" t="str">
            <v>probsi</v>
          </cell>
        </row>
        <row r="4065">
          <cell r="B4065" t="b">
            <v>1</v>
          </cell>
          <cell r="E4065" t="str">
            <v>Foco Rojo</v>
          </cell>
          <cell r="H4065" t="str">
            <v>laboratorio</v>
          </cell>
          <cell r="J4065" t="str">
            <v>bueno</v>
          </cell>
          <cell r="K4065" t="str">
            <v>probsi</v>
          </cell>
        </row>
        <row r="4066">
          <cell r="B4066" t="b">
            <v>1</v>
          </cell>
          <cell r="E4066" t="str">
            <v>Foco Rojo</v>
          </cell>
          <cell r="H4066" t="str">
            <v>laboratorio</v>
          </cell>
          <cell r="J4066" t="str">
            <v>bueno</v>
          </cell>
          <cell r="K4066" t="str">
            <v>probsi</v>
          </cell>
        </row>
        <row r="4067">
          <cell r="B4067" t="b">
            <v>1</v>
          </cell>
          <cell r="E4067" t="str">
            <v>Foco Rojo</v>
          </cell>
          <cell r="H4067" t="str">
            <v>laboratorio</v>
          </cell>
          <cell r="J4067" t="str">
            <v>bueno</v>
          </cell>
          <cell r="K4067" t="str">
            <v>probsi</v>
          </cell>
        </row>
        <row r="4068">
          <cell r="B4068" t="b">
            <v>1</v>
          </cell>
          <cell r="E4068" t="str">
            <v>Foco Rojo</v>
          </cell>
          <cell r="H4068" t="str">
            <v>laboratorio</v>
          </cell>
          <cell r="J4068" t="str">
            <v>bueno</v>
          </cell>
          <cell r="K4068" t="str">
            <v>probsi</v>
          </cell>
        </row>
        <row r="4069">
          <cell r="B4069" t="b">
            <v>1</v>
          </cell>
          <cell r="E4069" t="str">
            <v>Foco Rojo</v>
          </cell>
          <cell r="H4069" t="str">
            <v>laboratorio</v>
          </cell>
          <cell r="J4069" t="str">
            <v>bueno</v>
          </cell>
          <cell r="K4069" t="str">
            <v>probsi</v>
          </cell>
        </row>
        <row r="4070">
          <cell r="B4070" t="b">
            <v>1</v>
          </cell>
          <cell r="E4070" t="str">
            <v>Foco Rojo</v>
          </cell>
          <cell r="H4070" t="str">
            <v>salud_oral</v>
          </cell>
          <cell r="J4070" t="str">
            <v>bueno</v>
          </cell>
          <cell r="K4070" t="str">
            <v>probsi</v>
          </cell>
        </row>
        <row r="4071">
          <cell r="B4071" t="b">
            <v>1</v>
          </cell>
          <cell r="E4071" t="str">
            <v>Foco Rojo</v>
          </cell>
          <cell r="H4071" t="str">
            <v>salud_oral</v>
          </cell>
          <cell r="J4071" t="str">
            <v>bueno</v>
          </cell>
          <cell r="K4071" t="str">
            <v>probsi</v>
          </cell>
        </row>
        <row r="4072">
          <cell r="B4072" t="b">
            <v>1</v>
          </cell>
          <cell r="E4072" t="str">
            <v>Foco Rojo</v>
          </cell>
          <cell r="H4072" t="str">
            <v>salud_oral</v>
          </cell>
          <cell r="J4072" t="str">
            <v>bueno</v>
          </cell>
          <cell r="K4072" t="str">
            <v>probsi</v>
          </cell>
        </row>
        <row r="4073">
          <cell r="B4073" t="b">
            <v>1</v>
          </cell>
          <cell r="E4073" t="str">
            <v>Foco Rojo</v>
          </cell>
          <cell r="H4073" t="str">
            <v>salud_oral</v>
          </cell>
          <cell r="J4073" t="str">
            <v>bueno</v>
          </cell>
          <cell r="K4073" t="str">
            <v>probsi</v>
          </cell>
        </row>
        <row r="4074">
          <cell r="B4074" t="b">
            <v>1</v>
          </cell>
          <cell r="E4074" t="str">
            <v>Arroyo de las Canoas</v>
          </cell>
          <cell r="H4074" t="str">
            <v>salud_oral</v>
          </cell>
          <cell r="J4074" t="str">
            <v>bueno</v>
          </cell>
          <cell r="K4074" t="str">
            <v>defsi</v>
          </cell>
        </row>
        <row r="4075">
          <cell r="B4075" t="b">
            <v>1</v>
          </cell>
          <cell r="E4075" t="str">
            <v>Arroyo de las Canoas</v>
          </cell>
          <cell r="H4075" t="str">
            <v>consulta_externa</v>
          </cell>
          <cell r="J4075" t="str">
            <v>bueno</v>
          </cell>
          <cell r="K4075" t="str">
            <v>defsi</v>
          </cell>
        </row>
        <row r="4076">
          <cell r="B4076" t="b">
            <v>1</v>
          </cell>
          <cell r="E4076" t="str">
            <v>Arroyo de las Canoas</v>
          </cell>
          <cell r="H4076" t="str">
            <v>laboratorio</v>
          </cell>
          <cell r="J4076" t="str">
            <v>bueno</v>
          </cell>
          <cell r="K4076" t="str">
            <v>defsi</v>
          </cell>
        </row>
        <row r="4077">
          <cell r="B4077" t="b">
            <v>1</v>
          </cell>
          <cell r="E4077" t="str">
            <v>Arroyo de las Canoas</v>
          </cell>
          <cell r="H4077" t="str">
            <v>laboratorio</v>
          </cell>
          <cell r="J4077" t="str">
            <v>bueno</v>
          </cell>
          <cell r="K4077" t="str">
            <v>defsi</v>
          </cell>
        </row>
        <row r="4078">
          <cell r="B4078" t="b">
            <v>1</v>
          </cell>
          <cell r="E4078" t="str">
            <v>Arroyo de las Canoas</v>
          </cell>
          <cell r="H4078" t="str">
            <v>salud_oral</v>
          </cell>
          <cell r="J4078" t="str">
            <v>bueno</v>
          </cell>
          <cell r="K4078" t="str">
            <v>defsi</v>
          </cell>
        </row>
        <row r="4079">
          <cell r="B4079" t="b">
            <v>1</v>
          </cell>
          <cell r="E4079" t="str">
            <v>Arroyo de las Canoas</v>
          </cell>
          <cell r="H4079" t="str">
            <v>salud_oral</v>
          </cell>
          <cell r="J4079" t="str">
            <v>bueno</v>
          </cell>
          <cell r="K4079" t="str">
            <v>defsi</v>
          </cell>
        </row>
        <row r="4080">
          <cell r="B4080" t="b">
            <v>1</v>
          </cell>
          <cell r="E4080" t="str">
            <v>Arroyo de las Canoas</v>
          </cell>
          <cell r="H4080" t="str">
            <v>consulta_externa</v>
          </cell>
          <cell r="J4080" t="str">
            <v>bueno</v>
          </cell>
          <cell r="K4080" t="str">
            <v>defsi</v>
          </cell>
        </row>
        <row r="4081">
          <cell r="B4081" t="b">
            <v>1</v>
          </cell>
          <cell r="E4081" t="str">
            <v>Arroyo de las Canoas</v>
          </cell>
          <cell r="H4081" t="str">
            <v>consulta_externa</v>
          </cell>
          <cell r="J4081" t="str">
            <v>bueno</v>
          </cell>
          <cell r="K4081" t="str">
            <v>defsi</v>
          </cell>
        </row>
        <row r="4082">
          <cell r="B4082" t="b">
            <v>1</v>
          </cell>
          <cell r="E4082" t="str">
            <v>Arroyo de las Canoas</v>
          </cell>
          <cell r="H4082" t="str">
            <v>laboratorio</v>
          </cell>
          <cell r="J4082" t="str">
            <v>bueno</v>
          </cell>
          <cell r="K4082" t="str">
            <v>defsi</v>
          </cell>
        </row>
        <row r="4083">
          <cell r="B4083" t="b">
            <v>1</v>
          </cell>
          <cell r="E4083" t="str">
            <v>Arroyo de las Canoas</v>
          </cell>
          <cell r="H4083" t="str">
            <v>consulta_externa</v>
          </cell>
          <cell r="J4083" t="str">
            <v>bueno</v>
          </cell>
          <cell r="K4083" t="str">
            <v>defsi</v>
          </cell>
        </row>
        <row r="4084">
          <cell r="B4084" t="b">
            <v>1</v>
          </cell>
          <cell r="E4084" t="str">
            <v>Arroyo de las Canoas</v>
          </cell>
          <cell r="H4084" t="str">
            <v>salud_oral</v>
          </cell>
          <cell r="J4084" t="str">
            <v>muybueno</v>
          </cell>
          <cell r="K4084" t="str">
            <v>defsi</v>
          </cell>
        </row>
        <row r="4085">
          <cell r="B4085" t="b">
            <v>1</v>
          </cell>
          <cell r="E4085" t="str">
            <v>Foco Rojo</v>
          </cell>
          <cell r="H4085" t="str">
            <v>consulta_externa</v>
          </cell>
          <cell r="J4085" t="str">
            <v>bueno</v>
          </cell>
          <cell r="K4085" t="str">
            <v>probsi</v>
          </cell>
        </row>
        <row r="4086">
          <cell r="B4086" t="b">
            <v>1</v>
          </cell>
          <cell r="E4086" t="str">
            <v>Foco Rojo</v>
          </cell>
          <cell r="H4086" t="str">
            <v>salud_oral</v>
          </cell>
          <cell r="J4086" t="str">
            <v>bueno</v>
          </cell>
          <cell r="K4086" t="str">
            <v>probsi</v>
          </cell>
        </row>
        <row r="4087">
          <cell r="B4087" t="b">
            <v>1</v>
          </cell>
          <cell r="E4087" t="str">
            <v>Foco Rojo</v>
          </cell>
          <cell r="H4087" t="str">
            <v>laboratorio</v>
          </cell>
          <cell r="J4087" t="str">
            <v>bueno</v>
          </cell>
          <cell r="K4087" t="str">
            <v>probsi</v>
          </cell>
        </row>
        <row r="4088">
          <cell r="B4088" t="b">
            <v>1</v>
          </cell>
          <cell r="E4088" t="str">
            <v>Foco Rojo</v>
          </cell>
          <cell r="H4088" t="str">
            <v>consulta_externa</v>
          </cell>
          <cell r="J4088" t="str">
            <v>bueno</v>
          </cell>
          <cell r="K4088" t="str">
            <v>probsi</v>
          </cell>
        </row>
        <row r="4089">
          <cell r="B4089" t="b">
            <v>1</v>
          </cell>
          <cell r="E4089" t="str">
            <v>Foco Rojo</v>
          </cell>
          <cell r="H4089" t="str">
            <v>salud_oral</v>
          </cell>
          <cell r="J4089" t="str">
            <v>bueno</v>
          </cell>
          <cell r="K4089" t="str">
            <v>probsi</v>
          </cell>
        </row>
        <row r="4090">
          <cell r="B4090" t="b">
            <v>1</v>
          </cell>
          <cell r="E4090" t="str">
            <v>Arroyo de las Canoas</v>
          </cell>
          <cell r="H4090" t="str">
            <v>salud_oral</v>
          </cell>
          <cell r="J4090" t="str">
            <v>bueno</v>
          </cell>
          <cell r="K4090" t="str">
            <v>defsi</v>
          </cell>
        </row>
        <row r="4091">
          <cell r="B4091" t="b">
            <v>1</v>
          </cell>
          <cell r="E4091" t="str">
            <v>Arroyo de las Canoas</v>
          </cell>
          <cell r="H4091" t="str">
            <v>laboratorio</v>
          </cell>
          <cell r="J4091" t="str">
            <v>bueno</v>
          </cell>
          <cell r="K4091" t="str">
            <v>defsi</v>
          </cell>
        </row>
        <row r="4092">
          <cell r="B4092" t="b">
            <v>1</v>
          </cell>
          <cell r="E4092" t="str">
            <v>Arroyo de las Canoas</v>
          </cell>
          <cell r="H4092" t="str">
            <v>consulta_externa</v>
          </cell>
          <cell r="J4092" t="str">
            <v>bueno</v>
          </cell>
          <cell r="K4092" t="str">
            <v>defsi</v>
          </cell>
        </row>
        <row r="4093">
          <cell r="B4093" t="b">
            <v>1</v>
          </cell>
          <cell r="E4093" t="str">
            <v>Arroyo de las Canoas</v>
          </cell>
          <cell r="H4093" t="str">
            <v>consulta_externa</v>
          </cell>
          <cell r="J4093" t="str">
            <v>muybueno</v>
          </cell>
          <cell r="K4093" t="str">
            <v>defsi</v>
          </cell>
        </row>
        <row r="4094">
          <cell r="B4094" t="b">
            <v>1</v>
          </cell>
          <cell r="E4094" t="str">
            <v>Arroyo de las Canoas</v>
          </cell>
          <cell r="H4094" t="str">
            <v>laboratorio</v>
          </cell>
          <cell r="J4094" t="str">
            <v>muybueno</v>
          </cell>
          <cell r="K4094" t="str">
            <v>defsi</v>
          </cell>
        </row>
        <row r="4095">
          <cell r="B4095" t="b">
            <v>1</v>
          </cell>
          <cell r="E4095" t="str">
            <v>Arroyo de las Canoas</v>
          </cell>
          <cell r="H4095" t="str">
            <v>consulta_externa</v>
          </cell>
          <cell r="J4095" t="str">
            <v>bueno</v>
          </cell>
          <cell r="K4095" t="str">
            <v>defsi</v>
          </cell>
        </row>
        <row r="4096">
          <cell r="B4096" t="b">
            <v>1</v>
          </cell>
          <cell r="E4096" t="str">
            <v>Arroyo de las Canoas</v>
          </cell>
          <cell r="H4096" t="str">
            <v>laboratorio</v>
          </cell>
          <cell r="J4096" t="str">
            <v>bueno</v>
          </cell>
          <cell r="K4096" t="str">
            <v>defsi</v>
          </cell>
        </row>
        <row r="4097">
          <cell r="B4097" t="b">
            <v>1</v>
          </cell>
          <cell r="E4097" t="str">
            <v>Arroyo de las Canoas</v>
          </cell>
          <cell r="H4097" t="str">
            <v>laboratorio</v>
          </cell>
          <cell r="J4097" t="str">
            <v>bueno</v>
          </cell>
          <cell r="K4097" t="str">
            <v>defsi</v>
          </cell>
        </row>
        <row r="4098">
          <cell r="B4098" t="b">
            <v>1</v>
          </cell>
          <cell r="E4098" t="str">
            <v>Arroyo de las Canoas</v>
          </cell>
          <cell r="H4098" t="str">
            <v>laboratorio</v>
          </cell>
          <cell r="J4098" t="str">
            <v>bueno</v>
          </cell>
          <cell r="K4098" t="str">
            <v>defsi</v>
          </cell>
        </row>
        <row r="4099">
          <cell r="B4099" t="b">
            <v>1</v>
          </cell>
          <cell r="E4099" t="str">
            <v>Foco Rojo</v>
          </cell>
          <cell r="H4099" t="str">
            <v>consulta_externa</v>
          </cell>
          <cell r="J4099" t="str">
            <v>bueno</v>
          </cell>
          <cell r="K4099" t="str">
            <v>probsi</v>
          </cell>
        </row>
        <row r="4100">
          <cell r="B4100" t="b">
            <v>1</v>
          </cell>
          <cell r="E4100" t="str">
            <v>Arroyo de las Canoas</v>
          </cell>
          <cell r="H4100" t="str">
            <v>consulta_externa</v>
          </cell>
          <cell r="J4100" t="str">
            <v>bueno</v>
          </cell>
          <cell r="K4100" t="str">
            <v>defsi</v>
          </cell>
        </row>
        <row r="4101">
          <cell r="B4101" t="b">
            <v>1</v>
          </cell>
          <cell r="E4101" t="str">
            <v>Foco Rojo</v>
          </cell>
          <cell r="H4101" t="str">
            <v>salud_oral</v>
          </cell>
          <cell r="J4101" t="str">
            <v>bueno</v>
          </cell>
          <cell r="K4101" t="str">
            <v>probsi</v>
          </cell>
        </row>
        <row r="4102">
          <cell r="B4102" t="b">
            <v>1</v>
          </cell>
          <cell r="E4102" t="str">
            <v>Arroyo de las Canoas</v>
          </cell>
          <cell r="H4102" t="str">
            <v>consulta_externa</v>
          </cell>
          <cell r="J4102" t="str">
            <v>bueno</v>
          </cell>
          <cell r="K4102" t="str">
            <v>defsi</v>
          </cell>
        </row>
        <row r="4103">
          <cell r="B4103" t="b">
            <v>1</v>
          </cell>
          <cell r="E4103" t="str">
            <v>Foco Rojo</v>
          </cell>
          <cell r="H4103" t="str">
            <v>laboratorio</v>
          </cell>
          <cell r="J4103" t="str">
            <v>bueno</v>
          </cell>
          <cell r="K4103" t="str">
            <v>probsi</v>
          </cell>
        </row>
        <row r="4104">
          <cell r="B4104" t="b">
            <v>1</v>
          </cell>
          <cell r="E4104" t="str">
            <v>Foco Rojo</v>
          </cell>
          <cell r="H4104" t="str">
            <v>laboratorio</v>
          </cell>
          <cell r="J4104" t="str">
            <v>bueno</v>
          </cell>
          <cell r="K4104" t="str">
            <v>probsi</v>
          </cell>
        </row>
        <row r="4105">
          <cell r="B4105" t="b">
            <v>1</v>
          </cell>
          <cell r="E4105" t="str">
            <v>Foco Rojo</v>
          </cell>
          <cell r="H4105" t="str">
            <v>laboratorio</v>
          </cell>
          <cell r="J4105" t="str">
            <v>bueno</v>
          </cell>
          <cell r="K4105" t="str">
            <v>probsi</v>
          </cell>
        </row>
        <row r="4106">
          <cell r="B4106" t="b">
            <v>1</v>
          </cell>
          <cell r="E4106" t="str">
            <v>Foco Rojo</v>
          </cell>
          <cell r="H4106" t="str">
            <v>laboratorio</v>
          </cell>
          <cell r="J4106" t="str">
            <v>bueno</v>
          </cell>
          <cell r="K4106" t="str">
            <v>probsi</v>
          </cell>
        </row>
        <row r="4107">
          <cell r="B4107" t="b">
            <v>1</v>
          </cell>
          <cell r="E4107" t="str">
            <v>Foco Rojo</v>
          </cell>
          <cell r="H4107" t="str">
            <v>laboratorio</v>
          </cell>
          <cell r="J4107" t="str">
            <v>bueno</v>
          </cell>
          <cell r="K4107" t="str">
            <v>probsi</v>
          </cell>
        </row>
        <row r="4108">
          <cell r="B4108" t="b">
            <v>1</v>
          </cell>
          <cell r="E4108" t="str">
            <v>Foco Rojo</v>
          </cell>
          <cell r="H4108" t="str">
            <v>laboratorio</v>
          </cell>
          <cell r="J4108" t="str">
            <v>bueno</v>
          </cell>
          <cell r="K4108" t="str">
            <v>probsi</v>
          </cell>
        </row>
        <row r="4109">
          <cell r="B4109" t="b">
            <v>1</v>
          </cell>
          <cell r="E4109" t="str">
            <v>Foco Rojo</v>
          </cell>
          <cell r="H4109" t="str">
            <v>salud_oral</v>
          </cell>
          <cell r="J4109" t="str">
            <v>muybueno</v>
          </cell>
          <cell r="K4109" t="str">
            <v>probsi</v>
          </cell>
        </row>
        <row r="4110">
          <cell r="B4110" t="b">
            <v>1</v>
          </cell>
          <cell r="E4110" t="str">
            <v>Arroyo de las Canoas</v>
          </cell>
          <cell r="H4110" t="str">
            <v>consulta_externa</v>
          </cell>
          <cell r="J4110" t="str">
            <v>bueno</v>
          </cell>
          <cell r="K4110" t="str">
            <v>defsi</v>
          </cell>
        </row>
        <row r="4111">
          <cell r="B4111" t="b">
            <v>1</v>
          </cell>
          <cell r="E4111" t="str">
            <v>Foco Rojo</v>
          </cell>
          <cell r="H4111" t="str">
            <v>salud_oral</v>
          </cell>
          <cell r="J4111" t="str">
            <v>muybueno</v>
          </cell>
          <cell r="K4111" t="str">
            <v>probsi</v>
          </cell>
        </row>
        <row r="4112">
          <cell r="B4112" t="b">
            <v>1</v>
          </cell>
          <cell r="E4112" t="str">
            <v>Foco Rojo</v>
          </cell>
          <cell r="H4112" t="str">
            <v>salud_oral</v>
          </cell>
          <cell r="J4112" t="str">
            <v>bueno</v>
          </cell>
          <cell r="K4112" t="str">
            <v>probsi</v>
          </cell>
        </row>
        <row r="4113">
          <cell r="B4113" t="b">
            <v>1</v>
          </cell>
          <cell r="E4113" t="str">
            <v>Foco Rojo</v>
          </cell>
          <cell r="H4113" t="str">
            <v>salud_oral</v>
          </cell>
          <cell r="J4113" t="str">
            <v>bueno</v>
          </cell>
          <cell r="K4113" t="str">
            <v>probsi</v>
          </cell>
        </row>
        <row r="4114">
          <cell r="B4114" t="b">
            <v>1</v>
          </cell>
          <cell r="E4114" t="str">
            <v>Arroyo de las Canoas</v>
          </cell>
          <cell r="H4114" t="str">
            <v>consulta_externa</v>
          </cell>
          <cell r="J4114" t="str">
            <v>bueno</v>
          </cell>
          <cell r="K4114" t="str">
            <v>defsi</v>
          </cell>
        </row>
        <row r="4115">
          <cell r="B4115" t="b">
            <v>1</v>
          </cell>
          <cell r="E4115" t="str">
            <v>Foco Rojo</v>
          </cell>
          <cell r="H4115" t="str">
            <v>consulta_externa</v>
          </cell>
          <cell r="J4115" t="str">
            <v>bueno</v>
          </cell>
          <cell r="K4115" t="str">
            <v>probsi</v>
          </cell>
        </row>
        <row r="4116">
          <cell r="B4116" t="b">
            <v>1</v>
          </cell>
          <cell r="E4116" t="str">
            <v>Foco Rojo</v>
          </cell>
          <cell r="H4116" t="str">
            <v>laboratorio</v>
          </cell>
          <cell r="J4116" t="str">
            <v>bueno</v>
          </cell>
          <cell r="K4116" t="str">
            <v>probsi</v>
          </cell>
        </row>
        <row r="4117">
          <cell r="B4117" t="b">
            <v>1</v>
          </cell>
          <cell r="E4117" t="str">
            <v>Foco Rojo</v>
          </cell>
          <cell r="H4117" t="str">
            <v>consulta_externa</v>
          </cell>
          <cell r="J4117" t="str">
            <v>bueno</v>
          </cell>
          <cell r="K4117" t="str">
            <v>probsi</v>
          </cell>
        </row>
        <row r="4118">
          <cell r="B4118" t="b">
            <v>1</v>
          </cell>
          <cell r="E4118" t="str">
            <v>Bicentenario</v>
          </cell>
          <cell r="H4118" t="str">
            <v>consulta_externa</v>
          </cell>
          <cell r="J4118" t="str">
            <v>bueno</v>
          </cell>
          <cell r="K4118" t="str">
            <v>probsi</v>
          </cell>
        </row>
        <row r="4119">
          <cell r="B4119" t="b">
            <v>1</v>
          </cell>
          <cell r="E4119" t="str">
            <v>Puerto Rey</v>
          </cell>
          <cell r="H4119" t="str">
            <v>consulta_externa</v>
          </cell>
          <cell r="J4119" t="str">
            <v>bueno</v>
          </cell>
          <cell r="K4119" t="str">
            <v>defsi</v>
          </cell>
        </row>
        <row r="4120">
          <cell r="B4120" t="b">
            <v>1</v>
          </cell>
          <cell r="E4120" t="str">
            <v>Foco Rojo</v>
          </cell>
          <cell r="H4120" t="str">
            <v>consulta_externa</v>
          </cell>
          <cell r="J4120" t="str">
            <v>bueno</v>
          </cell>
          <cell r="K4120" t="str">
            <v>probsi</v>
          </cell>
        </row>
        <row r="4121">
          <cell r="B4121" t="b">
            <v>1</v>
          </cell>
          <cell r="E4121" t="str">
            <v>Puerto Rey</v>
          </cell>
          <cell r="H4121" t="str">
            <v>salud_oral</v>
          </cell>
          <cell r="J4121" t="str">
            <v>bueno</v>
          </cell>
          <cell r="K4121" t="str">
            <v>defsi</v>
          </cell>
        </row>
        <row r="4122">
          <cell r="B4122" t="b">
            <v>1</v>
          </cell>
          <cell r="E4122" t="str">
            <v>Tierra Baja</v>
          </cell>
          <cell r="H4122" t="str">
            <v>laboratorio</v>
          </cell>
          <cell r="J4122" t="str">
            <v>bueno</v>
          </cell>
          <cell r="K4122" t="str">
            <v>defsi</v>
          </cell>
        </row>
        <row r="4123">
          <cell r="B4123" t="b">
            <v>1</v>
          </cell>
          <cell r="E4123" t="str">
            <v>Bicentenario</v>
          </cell>
          <cell r="H4123" t="str">
            <v>consulta_externa</v>
          </cell>
          <cell r="J4123" t="str">
            <v>bueno</v>
          </cell>
          <cell r="K4123" t="str">
            <v>probsi</v>
          </cell>
        </row>
        <row r="4124">
          <cell r="B4124" t="b">
            <v>1</v>
          </cell>
          <cell r="E4124" t="str">
            <v>Bicentenario</v>
          </cell>
          <cell r="H4124" t="str">
            <v>consulta_externa</v>
          </cell>
          <cell r="J4124" t="str">
            <v>bueno</v>
          </cell>
          <cell r="K4124" t="str">
            <v>probsi</v>
          </cell>
        </row>
        <row r="4125">
          <cell r="B4125" t="b">
            <v>1</v>
          </cell>
          <cell r="E4125" t="str">
            <v>Foco Rojo</v>
          </cell>
          <cell r="H4125" t="str">
            <v>salud_oral</v>
          </cell>
          <cell r="J4125" t="str">
            <v>bueno</v>
          </cell>
          <cell r="K4125" t="str">
            <v>probsi</v>
          </cell>
        </row>
        <row r="4126">
          <cell r="B4126" t="b">
            <v>1</v>
          </cell>
          <cell r="E4126" t="str">
            <v>Foco Rojo</v>
          </cell>
          <cell r="H4126" t="str">
            <v>laboratorio</v>
          </cell>
          <cell r="J4126" t="str">
            <v>bueno</v>
          </cell>
          <cell r="K4126" t="str">
            <v>probsi</v>
          </cell>
        </row>
        <row r="4127">
          <cell r="B4127" t="b">
            <v>1</v>
          </cell>
          <cell r="E4127" t="str">
            <v>Foco Rojo</v>
          </cell>
          <cell r="H4127" t="str">
            <v>laboratorio</v>
          </cell>
          <cell r="J4127" t="str">
            <v>bueno</v>
          </cell>
          <cell r="K4127" t="str">
            <v>probsi</v>
          </cell>
        </row>
        <row r="4128">
          <cell r="B4128" t="b">
            <v>1</v>
          </cell>
          <cell r="E4128" t="str">
            <v>Foco Rojo</v>
          </cell>
          <cell r="H4128" t="str">
            <v>laboratorio</v>
          </cell>
          <cell r="J4128" t="str">
            <v>bueno</v>
          </cell>
          <cell r="K4128" t="str">
            <v>probsi</v>
          </cell>
        </row>
        <row r="4129">
          <cell r="B4129" t="b">
            <v>1</v>
          </cell>
          <cell r="E4129" t="str">
            <v>Puerto Rey</v>
          </cell>
          <cell r="H4129" t="str">
            <v>consulta_externa</v>
          </cell>
          <cell r="J4129" t="str">
            <v>bueno</v>
          </cell>
          <cell r="K4129" t="str">
            <v>defsi</v>
          </cell>
        </row>
        <row r="4130">
          <cell r="B4130" t="b">
            <v>1</v>
          </cell>
          <cell r="E4130" t="str">
            <v>Puerto Rey</v>
          </cell>
          <cell r="H4130" t="str">
            <v>salud_oral</v>
          </cell>
          <cell r="J4130" t="str">
            <v>bueno</v>
          </cell>
          <cell r="K4130" t="str">
            <v>defsi</v>
          </cell>
        </row>
        <row r="4131">
          <cell r="B4131" t="b">
            <v>1</v>
          </cell>
          <cell r="E4131" t="str">
            <v>Puerto Rey</v>
          </cell>
          <cell r="H4131" t="str">
            <v>laboratorio</v>
          </cell>
          <cell r="J4131" t="str">
            <v>bueno</v>
          </cell>
          <cell r="K4131" t="str">
            <v>defsi</v>
          </cell>
        </row>
        <row r="4132">
          <cell r="B4132" t="b">
            <v>1</v>
          </cell>
          <cell r="E4132" t="str">
            <v>Foco Rojo</v>
          </cell>
          <cell r="H4132" t="str">
            <v>laboratorio</v>
          </cell>
          <cell r="J4132" t="str">
            <v>bueno</v>
          </cell>
          <cell r="K4132" t="str">
            <v>probsi</v>
          </cell>
        </row>
        <row r="4133">
          <cell r="B4133" t="b">
            <v>1</v>
          </cell>
          <cell r="E4133" t="str">
            <v>Foco Rojo</v>
          </cell>
          <cell r="H4133" t="str">
            <v>laboratorio</v>
          </cell>
          <cell r="J4133" t="str">
            <v>bueno</v>
          </cell>
          <cell r="K4133" t="str">
            <v>probsi</v>
          </cell>
        </row>
        <row r="4134">
          <cell r="B4134" t="b">
            <v>1</v>
          </cell>
          <cell r="E4134" t="str">
            <v>Bicentenario</v>
          </cell>
          <cell r="H4134" t="str">
            <v>consulta_externa</v>
          </cell>
          <cell r="J4134" t="str">
            <v>bueno</v>
          </cell>
          <cell r="K4134" t="str">
            <v>probsi</v>
          </cell>
        </row>
        <row r="4135">
          <cell r="B4135" t="b">
            <v>1</v>
          </cell>
          <cell r="E4135" t="str">
            <v>Socorro</v>
          </cell>
          <cell r="H4135" t="str">
            <v>consulta_externa</v>
          </cell>
          <cell r="J4135" t="str">
            <v>bueno</v>
          </cell>
          <cell r="K4135" t="str">
            <v>probsi</v>
          </cell>
        </row>
        <row r="4136">
          <cell r="B4136" t="b">
            <v>1</v>
          </cell>
          <cell r="E4136" t="str">
            <v>Socorro</v>
          </cell>
          <cell r="H4136" t="str">
            <v>salud_oral</v>
          </cell>
          <cell r="J4136" t="str">
            <v>bueno</v>
          </cell>
          <cell r="K4136" t="str">
            <v>probsi</v>
          </cell>
        </row>
        <row r="4137">
          <cell r="B4137" t="b">
            <v>0</v>
          </cell>
          <cell r="E4137" t="str">
            <v>Socorro</v>
          </cell>
          <cell r="H4137" t="str">
            <v>consulta_externa</v>
          </cell>
          <cell r="J4137" t="str">
            <v>regular</v>
          </cell>
          <cell r="K4137" t="str">
            <v>probsi</v>
          </cell>
        </row>
        <row r="4138">
          <cell r="B4138" t="b">
            <v>0</v>
          </cell>
          <cell r="E4138" t="str">
            <v>Socorro</v>
          </cell>
          <cell r="H4138" t="str">
            <v>salud_oral</v>
          </cell>
          <cell r="J4138" t="str">
            <v>regular</v>
          </cell>
          <cell r="K4138" t="str">
            <v>probsi</v>
          </cell>
        </row>
        <row r="4139">
          <cell r="B4139" t="b">
            <v>1</v>
          </cell>
          <cell r="E4139" t="str">
            <v>Bicentenario</v>
          </cell>
          <cell r="H4139" t="str">
            <v>consulta_externa</v>
          </cell>
          <cell r="J4139" t="str">
            <v>bueno</v>
          </cell>
          <cell r="K4139" t="str">
            <v>probsi</v>
          </cell>
        </row>
        <row r="4140">
          <cell r="B4140" t="b">
            <v>1</v>
          </cell>
          <cell r="E4140" t="str">
            <v>Bicentenario</v>
          </cell>
          <cell r="H4140" t="str">
            <v>consulta_externa</v>
          </cell>
          <cell r="J4140" t="str">
            <v>bueno</v>
          </cell>
          <cell r="K4140" t="str">
            <v>probsi</v>
          </cell>
        </row>
        <row r="4141">
          <cell r="B4141" t="b">
            <v>1</v>
          </cell>
          <cell r="E4141" t="str">
            <v>Bicentenario</v>
          </cell>
          <cell r="H4141" t="str">
            <v>consulta_externa</v>
          </cell>
          <cell r="J4141" t="str">
            <v>bueno</v>
          </cell>
          <cell r="K4141" t="str">
            <v>probsi</v>
          </cell>
        </row>
        <row r="4142">
          <cell r="B4142" t="b">
            <v>1</v>
          </cell>
          <cell r="E4142" t="str">
            <v>Bicentenario</v>
          </cell>
          <cell r="H4142" t="str">
            <v>consulta_externa</v>
          </cell>
          <cell r="J4142" t="str">
            <v>bueno</v>
          </cell>
          <cell r="K4142" t="str">
            <v>probsi</v>
          </cell>
        </row>
        <row r="4143">
          <cell r="B4143" t="b">
            <v>1</v>
          </cell>
          <cell r="E4143" t="str">
            <v>Bicentenario</v>
          </cell>
          <cell r="H4143" t="str">
            <v>consulta_externa</v>
          </cell>
          <cell r="J4143" t="str">
            <v>bueno</v>
          </cell>
          <cell r="K4143" t="str">
            <v>probsi</v>
          </cell>
        </row>
        <row r="4144">
          <cell r="B4144" t="b">
            <v>1</v>
          </cell>
          <cell r="E4144" t="str">
            <v>Socorro</v>
          </cell>
          <cell r="H4144" t="str">
            <v>consulta_externa</v>
          </cell>
          <cell r="J4144" t="str">
            <v>bueno</v>
          </cell>
          <cell r="K4144" t="str">
            <v>probsi</v>
          </cell>
        </row>
        <row r="4145">
          <cell r="B4145" t="b">
            <v>1</v>
          </cell>
          <cell r="E4145" t="str">
            <v>Socorro</v>
          </cell>
          <cell r="H4145" t="str">
            <v>laboratorio</v>
          </cell>
          <cell r="J4145" t="str">
            <v>bueno</v>
          </cell>
          <cell r="K4145" t="str">
            <v>probsi</v>
          </cell>
        </row>
        <row r="4146">
          <cell r="B4146" t="b">
            <v>1</v>
          </cell>
          <cell r="E4146" t="str">
            <v>Bicentenario</v>
          </cell>
          <cell r="H4146" t="str">
            <v>consulta_externa</v>
          </cell>
          <cell r="J4146" t="str">
            <v>bueno</v>
          </cell>
          <cell r="K4146" t="str">
            <v>probsi</v>
          </cell>
        </row>
        <row r="4147">
          <cell r="B4147" t="b">
            <v>1</v>
          </cell>
          <cell r="E4147" t="str">
            <v>Bicentenario</v>
          </cell>
          <cell r="H4147" t="str">
            <v>consulta_externa</v>
          </cell>
          <cell r="J4147" t="str">
            <v>bueno</v>
          </cell>
          <cell r="K4147" t="str">
            <v>probsi</v>
          </cell>
        </row>
        <row r="4148">
          <cell r="B4148" t="b">
            <v>1</v>
          </cell>
          <cell r="E4148" t="str">
            <v>Socorro</v>
          </cell>
          <cell r="H4148" t="str">
            <v>laboratorio</v>
          </cell>
          <cell r="J4148" t="str">
            <v>bueno</v>
          </cell>
          <cell r="K4148" t="str">
            <v>probsi</v>
          </cell>
        </row>
        <row r="4149">
          <cell r="B4149" t="b">
            <v>1</v>
          </cell>
          <cell r="E4149" t="str">
            <v>Socorro</v>
          </cell>
          <cell r="H4149" t="str">
            <v>consulta_externa</v>
          </cell>
          <cell r="J4149" t="str">
            <v>bueno</v>
          </cell>
          <cell r="K4149" t="str">
            <v>probsi</v>
          </cell>
        </row>
        <row r="4150">
          <cell r="B4150" t="b">
            <v>1</v>
          </cell>
          <cell r="E4150" t="str">
            <v>Socorro</v>
          </cell>
          <cell r="H4150" t="str">
            <v>laboratorio</v>
          </cell>
          <cell r="J4150" t="str">
            <v>bueno</v>
          </cell>
          <cell r="K4150" t="str">
            <v>probsi</v>
          </cell>
        </row>
        <row r="4151">
          <cell r="B4151" t="b">
            <v>1</v>
          </cell>
          <cell r="E4151" t="str">
            <v>Socorro</v>
          </cell>
          <cell r="H4151" t="str">
            <v>consulta_externa</v>
          </cell>
          <cell r="J4151" t="str">
            <v>bueno</v>
          </cell>
          <cell r="K4151" t="str">
            <v>probsi</v>
          </cell>
        </row>
        <row r="4152">
          <cell r="B4152" t="b">
            <v>1</v>
          </cell>
          <cell r="E4152" t="str">
            <v>Bicentenario</v>
          </cell>
          <cell r="H4152" t="str">
            <v>consulta_externa</v>
          </cell>
          <cell r="J4152" t="str">
            <v>bueno</v>
          </cell>
          <cell r="K4152" t="str">
            <v>probsi</v>
          </cell>
        </row>
        <row r="4153">
          <cell r="B4153" t="b">
            <v>1</v>
          </cell>
          <cell r="E4153" t="str">
            <v>Bicentenario</v>
          </cell>
          <cell r="H4153" t="str">
            <v>consulta_externa</v>
          </cell>
          <cell r="J4153" t="str">
            <v>bueno</v>
          </cell>
          <cell r="K4153" t="str">
            <v>probsi</v>
          </cell>
        </row>
        <row r="4154">
          <cell r="B4154" t="b">
            <v>0</v>
          </cell>
          <cell r="E4154" t="str">
            <v>Socorro</v>
          </cell>
          <cell r="H4154" t="str">
            <v>consulta_externa</v>
          </cell>
          <cell r="J4154" t="str">
            <v>regular</v>
          </cell>
          <cell r="K4154" t="str">
            <v>probsi</v>
          </cell>
        </row>
        <row r="4155">
          <cell r="B4155" t="b">
            <v>1</v>
          </cell>
          <cell r="E4155" t="str">
            <v>Bicentenario</v>
          </cell>
          <cell r="H4155" t="str">
            <v>consulta_externa</v>
          </cell>
          <cell r="J4155" t="str">
            <v>bueno</v>
          </cell>
          <cell r="K4155" t="str">
            <v>probsi</v>
          </cell>
        </row>
        <row r="4156">
          <cell r="B4156" t="b">
            <v>1</v>
          </cell>
          <cell r="E4156" t="str">
            <v>Bicentenario</v>
          </cell>
          <cell r="H4156" t="str">
            <v>consulta_externa</v>
          </cell>
          <cell r="J4156" t="str">
            <v>bueno</v>
          </cell>
          <cell r="K4156" t="str">
            <v>probsi</v>
          </cell>
        </row>
        <row r="4157">
          <cell r="B4157" t="b">
            <v>1</v>
          </cell>
          <cell r="E4157" t="str">
            <v>Socorro</v>
          </cell>
          <cell r="H4157" t="str">
            <v>laboratorio</v>
          </cell>
          <cell r="J4157" t="str">
            <v>bueno</v>
          </cell>
          <cell r="K4157" t="str">
            <v>probsi</v>
          </cell>
        </row>
        <row r="4158">
          <cell r="B4158" t="b">
            <v>1</v>
          </cell>
          <cell r="E4158" t="str">
            <v>Bicentenario</v>
          </cell>
          <cell r="H4158" t="str">
            <v>consulta_externa</v>
          </cell>
          <cell r="J4158" t="str">
            <v>bueno</v>
          </cell>
          <cell r="K4158" t="str">
            <v>probsi</v>
          </cell>
        </row>
        <row r="4159">
          <cell r="B4159" t="b">
            <v>1</v>
          </cell>
          <cell r="E4159" t="str">
            <v>Bicentenario</v>
          </cell>
          <cell r="H4159" t="str">
            <v>consulta_externa</v>
          </cell>
          <cell r="J4159" t="str">
            <v>bueno</v>
          </cell>
          <cell r="K4159" t="str">
            <v>probsi</v>
          </cell>
        </row>
        <row r="4160">
          <cell r="B4160" t="b">
            <v>1</v>
          </cell>
          <cell r="E4160" t="str">
            <v>Bicentenario</v>
          </cell>
          <cell r="H4160" t="str">
            <v>consulta_externa</v>
          </cell>
          <cell r="J4160" t="str">
            <v>bueno</v>
          </cell>
          <cell r="K4160" t="str">
            <v>probsi</v>
          </cell>
        </row>
        <row r="4161">
          <cell r="B4161" t="b">
            <v>1</v>
          </cell>
          <cell r="E4161" t="str">
            <v>Bicentenario</v>
          </cell>
          <cell r="H4161" t="str">
            <v>consulta_externa</v>
          </cell>
          <cell r="J4161" t="str">
            <v>bueno</v>
          </cell>
          <cell r="K4161" t="str">
            <v>probsi</v>
          </cell>
        </row>
        <row r="4162">
          <cell r="B4162" t="b">
            <v>1</v>
          </cell>
          <cell r="E4162" t="str">
            <v>Bicentenario</v>
          </cell>
          <cell r="H4162" t="str">
            <v>consulta_externa</v>
          </cell>
          <cell r="J4162" t="str">
            <v>bueno</v>
          </cell>
          <cell r="K4162" t="str">
            <v>probsi</v>
          </cell>
        </row>
        <row r="4163">
          <cell r="B4163" t="b">
            <v>1</v>
          </cell>
          <cell r="E4163" t="str">
            <v>Bicentenario</v>
          </cell>
          <cell r="H4163" t="str">
            <v>consulta_externa</v>
          </cell>
          <cell r="J4163" t="str">
            <v>bueno</v>
          </cell>
          <cell r="K4163" t="str">
            <v>probsi</v>
          </cell>
        </row>
        <row r="4164">
          <cell r="B4164" t="b">
            <v>1</v>
          </cell>
          <cell r="E4164" t="str">
            <v>Bicentenario</v>
          </cell>
          <cell r="H4164" t="str">
            <v>laboratorio</v>
          </cell>
          <cell r="J4164" t="str">
            <v>bueno</v>
          </cell>
          <cell r="K4164" t="str">
            <v>probsi</v>
          </cell>
        </row>
        <row r="4165">
          <cell r="B4165" t="b">
            <v>1</v>
          </cell>
          <cell r="E4165" t="str">
            <v>Bicentenario</v>
          </cell>
          <cell r="H4165" t="str">
            <v>laboratorio</v>
          </cell>
          <cell r="J4165" t="str">
            <v>bueno</v>
          </cell>
          <cell r="K4165" t="str">
            <v>probsi</v>
          </cell>
        </row>
        <row r="4166">
          <cell r="B4166" t="b">
            <v>1</v>
          </cell>
          <cell r="E4166" t="str">
            <v>Bicentenario</v>
          </cell>
          <cell r="H4166" t="str">
            <v>laboratorio</v>
          </cell>
          <cell r="J4166" t="str">
            <v>bueno</v>
          </cell>
          <cell r="K4166" t="str">
            <v>probsi</v>
          </cell>
        </row>
        <row r="4167">
          <cell r="B4167" t="b">
            <v>1</v>
          </cell>
          <cell r="E4167" t="str">
            <v>Puerto Rey</v>
          </cell>
          <cell r="H4167" t="str">
            <v>consulta_externa</v>
          </cell>
          <cell r="J4167" t="str">
            <v>bueno</v>
          </cell>
          <cell r="K4167" t="str">
            <v>defsi</v>
          </cell>
        </row>
        <row r="4168">
          <cell r="B4168" t="b">
            <v>1</v>
          </cell>
          <cell r="E4168" t="str">
            <v>Bicentenario</v>
          </cell>
          <cell r="H4168" t="str">
            <v>salud_oral</v>
          </cell>
          <cell r="J4168" t="str">
            <v>bueno</v>
          </cell>
          <cell r="K4168" t="str">
            <v>probsi</v>
          </cell>
        </row>
        <row r="4169">
          <cell r="B4169" t="b">
            <v>1</v>
          </cell>
          <cell r="E4169" t="str">
            <v>Bicentenario</v>
          </cell>
          <cell r="H4169" t="str">
            <v>salud_oral</v>
          </cell>
          <cell r="J4169" t="str">
            <v>bueno</v>
          </cell>
          <cell r="K4169" t="str">
            <v>probsi</v>
          </cell>
        </row>
        <row r="4170">
          <cell r="B4170" t="b">
            <v>1</v>
          </cell>
          <cell r="E4170" t="str">
            <v>Bicentenario</v>
          </cell>
          <cell r="H4170" t="str">
            <v>salud_oral</v>
          </cell>
          <cell r="J4170" t="str">
            <v>bueno</v>
          </cell>
          <cell r="K4170" t="str">
            <v>probsi</v>
          </cell>
        </row>
        <row r="4171">
          <cell r="B4171" t="b">
            <v>1</v>
          </cell>
          <cell r="E4171" t="str">
            <v>Bicentenario</v>
          </cell>
          <cell r="H4171" t="str">
            <v>salud_oral</v>
          </cell>
          <cell r="J4171" t="str">
            <v>bueno</v>
          </cell>
          <cell r="K4171" t="str">
            <v>probsi</v>
          </cell>
        </row>
        <row r="4172">
          <cell r="B4172" t="b">
            <v>1</v>
          </cell>
          <cell r="E4172" t="str">
            <v>Puerto Rey</v>
          </cell>
          <cell r="H4172" t="str">
            <v>salud_oral</v>
          </cell>
          <cell r="J4172" t="str">
            <v>bueno</v>
          </cell>
          <cell r="K4172" t="str">
            <v>defsi</v>
          </cell>
        </row>
        <row r="4173">
          <cell r="B4173" t="b">
            <v>1</v>
          </cell>
          <cell r="E4173" t="str">
            <v>Puerto Rey</v>
          </cell>
          <cell r="H4173" t="str">
            <v>laboratorio</v>
          </cell>
          <cell r="J4173" t="str">
            <v>bueno</v>
          </cell>
          <cell r="K4173" t="str">
            <v>defsi</v>
          </cell>
        </row>
        <row r="4174">
          <cell r="B4174" t="b">
            <v>1</v>
          </cell>
          <cell r="E4174" t="str">
            <v>Puerto Rey</v>
          </cell>
          <cell r="H4174" t="str">
            <v>consulta_externa</v>
          </cell>
          <cell r="J4174" t="str">
            <v>bueno</v>
          </cell>
          <cell r="K4174" t="str">
            <v>defsi</v>
          </cell>
        </row>
        <row r="4175">
          <cell r="B4175" t="b">
            <v>1</v>
          </cell>
          <cell r="E4175" t="str">
            <v>Arroyo de las Canoas</v>
          </cell>
          <cell r="H4175" t="str">
            <v>consulta_externa</v>
          </cell>
          <cell r="J4175" t="str">
            <v>bueno</v>
          </cell>
          <cell r="K4175" t="str">
            <v>defsi</v>
          </cell>
        </row>
        <row r="4176">
          <cell r="B4176" t="b">
            <v>1</v>
          </cell>
          <cell r="E4176" t="str">
            <v>Arroyo de las Canoas</v>
          </cell>
          <cell r="H4176" t="str">
            <v>consulta_externa</v>
          </cell>
          <cell r="J4176" t="str">
            <v>bueno</v>
          </cell>
          <cell r="K4176" t="str">
            <v>defsi</v>
          </cell>
        </row>
        <row r="4177">
          <cell r="B4177" t="b">
            <v>1</v>
          </cell>
          <cell r="E4177" t="str">
            <v>Puerto Rey</v>
          </cell>
          <cell r="H4177" t="str">
            <v>salud_oral</v>
          </cell>
          <cell r="J4177" t="str">
            <v>bueno</v>
          </cell>
          <cell r="K4177" t="str">
            <v>defsi</v>
          </cell>
        </row>
        <row r="4178">
          <cell r="B4178" t="b">
            <v>1</v>
          </cell>
          <cell r="E4178" t="str">
            <v>Arroyo de las Canoas</v>
          </cell>
          <cell r="H4178" t="str">
            <v>consulta_externa</v>
          </cell>
          <cell r="J4178" t="str">
            <v>bueno</v>
          </cell>
          <cell r="K4178" t="str">
            <v>defsi</v>
          </cell>
        </row>
        <row r="4179">
          <cell r="B4179" t="b">
            <v>1</v>
          </cell>
          <cell r="E4179" t="str">
            <v>Arroyo de las Canoas</v>
          </cell>
          <cell r="H4179" t="str">
            <v>laboratorio</v>
          </cell>
          <cell r="J4179" t="str">
            <v>bueno</v>
          </cell>
          <cell r="K4179" t="str">
            <v>defsi</v>
          </cell>
        </row>
        <row r="4180">
          <cell r="B4180" t="b">
            <v>1</v>
          </cell>
          <cell r="E4180" t="str">
            <v>Puerto Rey</v>
          </cell>
          <cell r="H4180" t="str">
            <v>laboratorio</v>
          </cell>
          <cell r="J4180" t="str">
            <v>bueno</v>
          </cell>
          <cell r="K4180" t="str">
            <v>defsi</v>
          </cell>
        </row>
        <row r="4181">
          <cell r="B4181" t="b">
            <v>1</v>
          </cell>
          <cell r="E4181" t="str">
            <v>Arroyo de las Canoas</v>
          </cell>
          <cell r="H4181" t="str">
            <v>salud_oral</v>
          </cell>
          <cell r="J4181" t="str">
            <v>bueno</v>
          </cell>
          <cell r="K4181" t="str">
            <v>defsi</v>
          </cell>
        </row>
        <row r="4182">
          <cell r="B4182" t="b">
            <v>1</v>
          </cell>
          <cell r="E4182" t="str">
            <v>Arroyo de las Canoas</v>
          </cell>
          <cell r="H4182" t="str">
            <v>salud_oral</v>
          </cell>
          <cell r="J4182" t="str">
            <v>bueno</v>
          </cell>
          <cell r="K4182" t="str">
            <v>defsi</v>
          </cell>
        </row>
        <row r="4183">
          <cell r="B4183" t="b">
            <v>1</v>
          </cell>
          <cell r="E4183" t="str">
            <v>Puerto Rey</v>
          </cell>
          <cell r="H4183" t="str">
            <v>consulta_externa</v>
          </cell>
          <cell r="J4183" t="str">
            <v>bueno</v>
          </cell>
          <cell r="K4183" t="str">
            <v>defsi</v>
          </cell>
        </row>
        <row r="4184">
          <cell r="B4184" t="b">
            <v>1</v>
          </cell>
          <cell r="E4184" t="str">
            <v>Arroyo de las Canoas</v>
          </cell>
          <cell r="H4184" t="str">
            <v>laboratorio</v>
          </cell>
          <cell r="J4184" t="str">
            <v>bueno</v>
          </cell>
          <cell r="K4184" t="str">
            <v>defsi</v>
          </cell>
        </row>
        <row r="4185">
          <cell r="B4185" t="b">
            <v>1</v>
          </cell>
          <cell r="E4185" t="str">
            <v>Puerto Rey</v>
          </cell>
          <cell r="H4185" t="str">
            <v>salud_oral</v>
          </cell>
          <cell r="J4185" t="str">
            <v>bueno</v>
          </cell>
          <cell r="K4185" t="str">
            <v>defsi</v>
          </cell>
        </row>
        <row r="4186">
          <cell r="B4186" t="b">
            <v>1</v>
          </cell>
          <cell r="E4186" t="str">
            <v>Arroyo de las Canoas</v>
          </cell>
          <cell r="H4186" t="str">
            <v>consulta_externa</v>
          </cell>
          <cell r="J4186" t="str">
            <v>bueno</v>
          </cell>
          <cell r="K4186" t="str">
            <v>defsi</v>
          </cell>
        </row>
        <row r="4187">
          <cell r="B4187" t="b">
            <v>1</v>
          </cell>
          <cell r="E4187" t="str">
            <v>Arroyo de las Canoas</v>
          </cell>
          <cell r="H4187" t="str">
            <v>salud_oral</v>
          </cell>
          <cell r="J4187" t="str">
            <v>bueno</v>
          </cell>
          <cell r="K4187" t="str">
            <v>defsi</v>
          </cell>
        </row>
        <row r="4188">
          <cell r="B4188" t="b">
            <v>1</v>
          </cell>
          <cell r="E4188" t="str">
            <v>Arroyo de las Canoas</v>
          </cell>
          <cell r="H4188" t="str">
            <v>salud_oral</v>
          </cell>
          <cell r="J4188" t="str">
            <v>bueno</v>
          </cell>
          <cell r="K4188" t="str">
            <v>defsi</v>
          </cell>
        </row>
        <row r="4189">
          <cell r="B4189" t="b">
            <v>1</v>
          </cell>
          <cell r="E4189" t="str">
            <v>Arroyo de las Canoas</v>
          </cell>
          <cell r="H4189" t="str">
            <v>salud_oral</v>
          </cell>
          <cell r="J4189" t="str">
            <v>bueno</v>
          </cell>
          <cell r="K4189" t="str">
            <v>defsi</v>
          </cell>
        </row>
        <row r="4190">
          <cell r="B4190" t="b">
            <v>1</v>
          </cell>
          <cell r="E4190" t="str">
            <v>Bicentenario</v>
          </cell>
          <cell r="H4190" t="str">
            <v>salud_oral</v>
          </cell>
          <cell r="J4190" t="str">
            <v>bueno</v>
          </cell>
          <cell r="K4190" t="str">
            <v>probsi</v>
          </cell>
        </row>
        <row r="4191">
          <cell r="B4191" t="b">
            <v>1</v>
          </cell>
          <cell r="E4191" t="str">
            <v>Bicentenario</v>
          </cell>
          <cell r="H4191" t="str">
            <v>salud_oral</v>
          </cell>
          <cell r="J4191" t="str">
            <v>bueno</v>
          </cell>
          <cell r="K4191" t="str">
            <v>probsi</v>
          </cell>
        </row>
        <row r="4192">
          <cell r="B4192" t="b">
            <v>1</v>
          </cell>
          <cell r="E4192" t="str">
            <v>Bicentenario</v>
          </cell>
          <cell r="H4192" t="str">
            <v>salud_oral</v>
          </cell>
          <cell r="J4192" t="str">
            <v>bueno</v>
          </cell>
          <cell r="K4192" t="str">
            <v>probsi</v>
          </cell>
        </row>
        <row r="4193">
          <cell r="B4193" t="b">
            <v>1</v>
          </cell>
          <cell r="E4193" t="str">
            <v>Bicentenario</v>
          </cell>
          <cell r="H4193" t="str">
            <v>salud_oral</v>
          </cell>
          <cell r="J4193" t="str">
            <v>bueno</v>
          </cell>
          <cell r="K4193" t="str">
            <v>probsi</v>
          </cell>
        </row>
        <row r="4194">
          <cell r="B4194" t="b">
            <v>1</v>
          </cell>
          <cell r="E4194" t="str">
            <v>Bicentenario</v>
          </cell>
          <cell r="H4194" t="str">
            <v>salud_oral</v>
          </cell>
          <cell r="J4194" t="str">
            <v>bueno</v>
          </cell>
          <cell r="K4194" t="str">
            <v>probsi</v>
          </cell>
        </row>
        <row r="4195">
          <cell r="B4195" t="b">
            <v>1</v>
          </cell>
          <cell r="E4195" t="str">
            <v>Bicentenario</v>
          </cell>
          <cell r="H4195" t="str">
            <v>salud_oral</v>
          </cell>
          <cell r="J4195" t="str">
            <v>bueno</v>
          </cell>
          <cell r="K4195" t="str">
            <v>probsi</v>
          </cell>
        </row>
        <row r="4196">
          <cell r="B4196" t="b">
            <v>1</v>
          </cell>
          <cell r="E4196" t="str">
            <v>Bicentenario</v>
          </cell>
          <cell r="H4196" t="str">
            <v>salud_oral</v>
          </cell>
          <cell r="J4196" t="str">
            <v>bueno</v>
          </cell>
          <cell r="K4196" t="str">
            <v>probsi</v>
          </cell>
        </row>
        <row r="4197">
          <cell r="B4197" t="b">
            <v>1</v>
          </cell>
          <cell r="E4197" t="str">
            <v>Bicentenario</v>
          </cell>
          <cell r="H4197" t="str">
            <v>salud_oral</v>
          </cell>
          <cell r="J4197" t="str">
            <v>bueno</v>
          </cell>
          <cell r="K4197" t="str">
            <v>probsi</v>
          </cell>
        </row>
        <row r="4198">
          <cell r="B4198" t="b">
            <v>1</v>
          </cell>
          <cell r="E4198" t="str">
            <v>Bicentenario</v>
          </cell>
          <cell r="H4198" t="str">
            <v>urgencia</v>
          </cell>
          <cell r="J4198" t="str">
            <v>bueno</v>
          </cell>
          <cell r="K4198" t="str">
            <v>probsi</v>
          </cell>
        </row>
        <row r="4199">
          <cell r="B4199" t="b">
            <v>1</v>
          </cell>
          <cell r="E4199" t="str">
            <v>Bicentenario</v>
          </cell>
          <cell r="H4199" t="str">
            <v>urgencia</v>
          </cell>
          <cell r="J4199" t="str">
            <v>bueno</v>
          </cell>
          <cell r="K4199" t="str">
            <v>probsi</v>
          </cell>
        </row>
        <row r="4200">
          <cell r="B4200" t="b">
            <v>1</v>
          </cell>
          <cell r="E4200" t="str">
            <v>Bicentenario</v>
          </cell>
          <cell r="H4200" t="str">
            <v>urgencia</v>
          </cell>
          <cell r="J4200" t="str">
            <v>bueno</v>
          </cell>
          <cell r="K4200" t="str">
            <v>probsi</v>
          </cell>
        </row>
        <row r="4201">
          <cell r="B4201" t="b">
            <v>1</v>
          </cell>
          <cell r="E4201" t="str">
            <v>Bicentenario</v>
          </cell>
          <cell r="H4201" t="str">
            <v>urgencia</v>
          </cell>
          <cell r="J4201" t="str">
            <v>bueno</v>
          </cell>
          <cell r="K4201" t="str">
            <v>probsi</v>
          </cell>
        </row>
        <row r="4202">
          <cell r="B4202" t="b">
            <v>1</v>
          </cell>
          <cell r="E4202" t="str">
            <v>Bicentenario</v>
          </cell>
          <cell r="H4202" t="str">
            <v>urgencia</v>
          </cell>
          <cell r="J4202" t="str">
            <v>bueno</v>
          </cell>
          <cell r="K4202" t="str">
            <v>probsi</v>
          </cell>
        </row>
        <row r="4203">
          <cell r="B4203" t="b">
            <v>1</v>
          </cell>
          <cell r="E4203" t="str">
            <v>Bicentenario</v>
          </cell>
          <cell r="H4203" t="str">
            <v>urgencia</v>
          </cell>
          <cell r="J4203" t="str">
            <v>bueno</v>
          </cell>
          <cell r="K4203" t="str">
            <v>probsi</v>
          </cell>
        </row>
        <row r="4204">
          <cell r="B4204" t="b">
            <v>1</v>
          </cell>
          <cell r="E4204" t="str">
            <v>Bicentenario</v>
          </cell>
          <cell r="H4204" t="str">
            <v>urgencia</v>
          </cell>
          <cell r="J4204" t="str">
            <v>bueno</v>
          </cell>
          <cell r="K4204" t="str">
            <v>probsi</v>
          </cell>
        </row>
        <row r="4205">
          <cell r="B4205" t="b">
            <v>1</v>
          </cell>
          <cell r="E4205" t="str">
            <v>Bicentenario</v>
          </cell>
          <cell r="H4205" t="str">
            <v>urgencia</v>
          </cell>
          <cell r="J4205" t="str">
            <v>bueno</v>
          </cell>
          <cell r="K4205" t="str">
            <v>probsi</v>
          </cell>
        </row>
        <row r="4206">
          <cell r="B4206" t="b">
            <v>1</v>
          </cell>
          <cell r="E4206" t="str">
            <v>Bicentenario</v>
          </cell>
          <cell r="H4206" t="str">
            <v>urgencia</v>
          </cell>
          <cell r="J4206" t="str">
            <v>bueno</v>
          </cell>
          <cell r="K4206" t="str">
            <v>probsi</v>
          </cell>
        </row>
        <row r="4207">
          <cell r="B4207" t="b">
            <v>1</v>
          </cell>
          <cell r="E4207" t="str">
            <v>Bicentenario</v>
          </cell>
          <cell r="H4207" t="str">
            <v>urgencia</v>
          </cell>
          <cell r="J4207" t="str">
            <v>bueno</v>
          </cell>
          <cell r="K4207" t="str">
            <v>probsi</v>
          </cell>
        </row>
        <row r="4208">
          <cell r="B4208" t="b">
            <v>1</v>
          </cell>
          <cell r="E4208" t="str">
            <v>Bicentenario</v>
          </cell>
          <cell r="H4208" t="str">
            <v>urgencia</v>
          </cell>
          <cell r="J4208" t="str">
            <v>bueno</v>
          </cell>
          <cell r="K4208" t="str">
            <v>probsi</v>
          </cell>
        </row>
        <row r="4209">
          <cell r="B4209" t="b">
            <v>1</v>
          </cell>
          <cell r="E4209" t="str">
            <v>Bicentenario</v>
          </cell>
          <cell r="H4209" t="str">
            <v>consulta_externa</v>
          </cell>
          <cell r="J4209" t="str">
            <v>bueno</v>
          </cell>
          <cell r="K4209" t="str">
            <v>probsi</v>
          </cell>
        </row>
        <row r="4210">
          <cell r="B4210" t="b">
            <v>1</v>
          </cell>
          <cell r="E4210" t="str">
            <v>Bicentenario</v>
          </cell>
          <cell r="H4210" t="str">
            <v>consulta_externa</v>
          </cell>
          <cell r="J4210" t="str">
            <v>bueno</v>
          </cell>
          <cell r="K4210" t="str">
            <v>probsi</v>
          </cell>
        </row>
        <row r="4211">
          <cell r="B4211" t="b">
            <v>1</v>
          </cell>
          <cell r="E4211" t="str">
            <v>Bicentenario</v>
          </cell>
          <cell r="H4211" t="str">
            <v>consulta_externa</v>
          </cell>
          <cell r="J4211" t="str">
            <v>bueno</v>
          </cell>
          <cell r="K4211" t="str">
            <v>probsi</v>
          </cell>
        </row>
        <row r="4212">
          <cell r="B4212" t="b">
            <v>1</v>
          </cell>
          <cell r="E4212" t="str">
            <v>Bicentenario</v>
          </cell>
          <cell r="H4212" t="str">
            <v>consulta_externa</v>
          </cell>
          <cell r="J4212" t="str">
            <v>bueno</v>
          </cell>
          <cell r="K4212" t="str">
            <v>probsi</v>
          </cell>
        </row>
        <row r="4213">
          <cell r="B4213" t="b">
            <v>1</v>
          </cell>
          <cell r="E4213" t="str">
            <v>Bicentenario</v>
          </cell>
          <cell r="H4213" t="str">
            <v>consulta_externa</v>
          </cell>
          <cell r="J4213" t="str">
            <v>bueno</v>
          </cell>
          <cell r="K4213" t="str">
            <v>probsi</v>
          </cell>
        </row>
        <row r="4214">
          <cell r="B4214" t="b">
            <v>1</v>
          </cell>
          <cell r="E4214" t="str">
            <v>Bicentenario</v>
          </cell>
          <cell r="H4214" t="str">
            <v>laboratorio</v>
          </cell>
          <cell r="J4214" t="str">
            <v>bueno</v>
          </cell>
          <cell r="K4214" t="str">
            <v>probsi</v>
          </cell>
        </row>
        <row r="4215">
          <cell r="B4215" t="b">
            <v>1</v>
          </cell>
          <cell r="E4215" t="str">
            <v>Bicentenario</v>
          </cell>
          <cell r="H4215" t="str">
            <v>laboratorio</v>
          </cell>
          <cell r="J4215" t="str">
            <v>bueno</v>
          </cell>
          <cell r="K4215" t="str">
            <v>probsi</v>
          </cell>
        </row>
        <row r="4216">
          <cell r="B4216" t="b">
            <v>1</v>
          </cell>
          <cell r="E4216" t="str">
            <v>Bicentenario</v>
          </cell>
          <cell r="H4216" t="str">
            <v>laboratorio</v>
          </cell>
          <cell r="J4216" t="str">
            <v>bueno</v>
          </cell>
          <cell r="K4216" t="str">
            <v>probsi</v>
          </cell>
        </row>
        <row r="4217">
          <cell r="B4217" t="b">
            <v>1</v>
          </cell>
          <cell r="E4217" t="str">
            <v>Bicentenario</v>
          </cell>
          <cell r="H4217" t="str">
            <v>laboratorio</v>
          </cell>
          <cell r="J4217" t="str">
            <v>bueno</v>
          </cell>
          <cell r="K4217" t="str">
            <v>probsi</v>
          </cell>
        </row>
        <row r="4218">
          <cell r="B4218" t="b">
            <v>0</v>
          </cell>
          <cell r="E4218" t="str">
            <v>Bicentenario</v>
          </cell>
          <cell r="H4218" t="str">
            <v>laboratorio</v>
          </cell>
          <cell r="J4218" t="str">
            <v>regular</v>
          </cell>
          <cell r="K4218" t="str">
            <v>probno</v>
          </cell>
        </row>
        <row r="4219">
          <cell r="B4219" t="b">
            <v>0</v>
          </cell>
          <cell r="E4219" t="str">
            <v>Bicentenario</v>
          </cell>
          <cell r="H4219" t="str">
            <v>laboratorio</v>
          </cell>
          <cell r="J4219" t="str">
            <v>regular</v>
          </cell>
          <cell r="K4219" t="str">
            <v>probno</v>
          </cell>
        </row>
        <row r="4220">
          <cell r="B4220" t="b">
            <v>0</v>
          </cell>
          <cell r="E4220" t="str">
            <v>Bicentenario</v>
          </cell>
          <cell r="H4220" t="str">
            <v>laboratorio</v>
          </cell>
          <cell r="J4220" t="str">
            <v>regular</v>
          </cell>
          <cell r="K4220" t="str">
            <v>probno</v>
          </cell>
        </row>
        <row r="4221">
          <cell r="B4221" t="b">
            <v>0</v>
          </cell>
          <cell r="E4221" t="str">
            <v>Bicentenario</v>
          </cell>
          <cell r="H4221" t="str">
            <v>consulta_externa</v>
          </cell>
          <cell r="J4221" t="str">
            <v>regular</v>
          </cell>
          <cell r="K4221" t="str">
            <v>probno</v>
          </cell>
        </row>
        <row r="4222">
          <cell r="B4222" t="b">
            <v>0</v>
          </cell>
          <cell r="E4222" t="str">
            <v>Bicentenario</v>
          </cell>
          <cell r="H4222" t="str">
            <v>consulta_externa</v>
          </cell>
          <cell r="J4222" t="str">
            <v>regular</v>
          </cell>
          <cell r="K4222" t="str">
            <v>probno</v>
          </cell>
        </row>
        <row r="4223">
          <cell r="B4223" t="b">
            <v>0</v>
          </cell>
          <cell r="E4223" t="str">
            <v>Bicentenario</v>
          </cell>
          <cell r="H4223" t="str">
            <v>consulta_externa</v>
          </cell>
          <cell r="J4223" t="str">
            <v>regular</v>
          </cell>
          <cell r="K4223" t="str">
            <v>probno</v>
          </cell>
        </row>
        <row r="4224">
          <cell r="B4224" t="b">
            <v>0</v>
          </cell>
          <cell r="E4224" t="str">
            <v>Bicentenario</v>
          </cell>
          <cell r="H4224" t="str">
            <v>consulta_externa</v>
          </cell>
          <cell r="J4224" t="str">
            <v>regular</v>
          </cell>
          <cell r="K4224" t="str">
            <v>probno</v>
          </cell>
        </row>
        <row r="4225">
          <cell r="B4225" t="b">
            <v>0</v>
          </cell>
          <cell r="E4225" t="str">
            <v>Bicentenario</v>
          </cell>
          <cell r="H4225" t="str">
            <v>consulta_externa</v>
          </cell>
          <cell r="J4225" t="str">
            <v>regular</v>
          </cell>
          <cell r="K4225" t="str">
            <v>probno</v>
          </cell>
        </row>
        <row r="4226">
          <cell r="B4226" t="b">
            <v>0</v>
          </cell>
          <cell r="E4226" t="str">
            <v>Bicentenario</v>
          </cell>
          <cell r="H4226" t="str">
            <v>urgencia</v>
          </cell>
          <cell r="J4226" t="str">
            <v>regular</v>
          </cell>
          <cell r="K4226" t="str">
            <v>probno</v>
          </cell>
        </row>
        <row r="4227">
          <cell r="B4227" t="b">
            <v>0</v>
          </cell>
          <cell r="E4227" t="str">
            <v>Bicentenario</v>
          </cell>
          <cell r="H4227" t="str">
            <v>urgencia</v>
          </cell>
          <cell r="J4227" t="str">
            <v>regular</v>
          </cell>
          <cell r="K4227" t="str">
            <v>probno</v>
          </cell>
        </row>
        <row r="4228">
          <cell r="B4228" t="b">
            <v>0</v>
          </cell>
          <cell r="E4228" t="str">
            <v>Bicentenario</v>
          </cell>
          <cell r="H4228" t="str">
            <v>urgencia</v>
          </cell>
          <cell r="J4228" t="str">
            <v>regular</v>
          </cell>
          <cell r="K4228" t="str">
            <v>probno</v>
          </cell>
        </row>
        <row r="4229">
          <cell r="B4229" t="b">
            <v>0</v>
          </cell>
          <cell r="E4229" t="str">
            <v>Bicentenario</v>
          </cell>
          <cell r="H4229" t="str">
            <v>urgencia</v>
          </cell>
          <cell r="J4229" t="str">
            <v>regular</v>
          </cell>
          <cell r="K4229" t="str">
            <v>probno</v>
          </cell>
        </row>
        <row r="4230">
          <cell r="B4230" t="b">
            <v>0</v>
          </cell>
          <cell r="E4230" t="str">
            <v>Bicentenario</v>
          </cell>
          <cell r="H4230" t="str">
            <v>urgencia</v>
          </cell>
          <cell r="J4230" t="str">
            <v>regular</v>
          </cell>
          <cell r="K4230" t="str">
            <v>probno</v>
          </cell>
        </row>
        <row r="4231">
          <cell r="B4231" t="b">
            <v>1</v>
          </cell>
          <cell r="E4231" t="str">
            <v>Arroyo de Piedra</v>
          </cell>
          <cell r="H4231" t="str">
            <v>consulta_externa</v>
          </cell>
          <cell r="J4231" t="str">
            <v>bueno</v>
          </cell>
          <cell r="K4231" t="str">
            <v>defsi</v>
          </cell>
        </row>
        <row r="4232">
          <cell r="B4232" t="b">
            <v>0</v>
          </cell>
          <cell r="E4232" t="str">
            <v>Bicentenario</v>
          </cell>
          <cell r="H4232" t="str">
            <v>urgencia</v>
          </cell>
          <cell r="J4232" t="str">
            <v>regular</v>
          </cell>
          <cell r="K4232" t="str">
            <v>probno</v>
          </cell>
        </row>
        <row r="4233">
          <cell r="B4233" t="b">
            <v>0</v>
          </cell>
          <cell r="E4233" t="str">
            <v>Bicentenario</v>
          </cell>
          <cell r="H4233" t="str">
            <v>urgencia</v>
          </cell>
          <cell r="J4233" t="str">
            <v>regular</v>
          </cell>
          <cell r="K4233" t="str">
            <v>probno</v>
          </cell>
        </row>
        <row r="4234">
          <cell r="B4234" t="b">
            <v>1</v>
          </cell>
          <cell r="E4234" t="str">
            <v>Puerto Rey</v>
          </cell>
          <cell r="H4234" t="str">
            <v>consulta_externa</v>
          </cell>
          <cell r="J4234" t="str">
            <v>bueno</v>
          </cell>
          <cell r="K4234" t="str">
            <v>defsi</v>
          </cell>
        </row>
        <row r="4235">
          <cell r="B4235" t="b">
            <v>1</v>
          </cell>
          <cell r="E4235" t="str">
            <v>Arroyo de Piedra</v>
          </cell>
          <cell r="H4235" t="str">
            <v>consulta_externa</v>
          </cell>
          <cell r="J4235" t="str">
            <v>bueno</v>
          </cell>
          <cell r="K4235" t="str">
            <v>defsi</v>
          </cell>
        </row>
        <row r="4236">
          <cell r="B4236" t="b">
            <v>1</v>
          </cell>
          <cell r="E4236" t="str">
            <v>Puerto Rey</v>
          </cell>
          <cell r="H4236" t="str">
            <v>salud_oral</v>
          </cell>
          <cell r="J4236" t="str">
            <v>bueno</v>
          </cell>
          <cell r="K4236" t="str">
            <v>defsi</v>
          </cell>
        </row>
        <row r="4237">
          <cell r="B4237" t="b">
            <v>1</v>
          </cell>
          <cell r="E4237" t="str">
            <v>Puerto Rey</v>
          </cell>
          <cell r="H4237" t="str">
            <v>laboratorio</v>
          </cell>
          <cell r="J4237" t="str">
            <v>bueno</v>
          </cell>
          <cell r="K4237" t="str">
            <v>defsi</v>
          </cell>
        </row>
        <row r="4238">
          <cell r="B4238" t="b">
            <v>1</v>
          </cell>
          <cell r="E4238" t="str">
            <v>Puerto Rey</v>
          </cell>
          <cell r="H4238" t="str">
            <v>laboratorio</v>
          </cell>
          <cell r="J4238" t="str">
            <v>bueno</v>
          </cell>
          <cell r="K4238" t="str">
            <v>defsi</v>
          </cell>
        </row>
        <row r="4239">
          <cell r="B4239" t="b">
            <v>1</v>
          </cell>
          <cell r="E4239" t="str">
            <v>Puerto Rey</v>
          </cell>
          <cell r="H4239" t="str">
            <v>consulta_externa</v>
          </cell>
          <cell r="J4239" t="str">
            <v>bueno</v>
          </cell>
          <cell r="K4239" t="str">
            <v>defsi</v>
          </cell>
        </row>
        <row r="4240">
          <cell r="B4240" t="b">
            <v>1</v>
          </cell>
          <cell r="E4240" t="str">
            <v>Puerto Rey</v>
          </cell>
          <cell r="H4240" t="str">
            <v>salud_oral</v>
          </cell>
          <cell r="J4240" t="str">
            <v>bueno</v>
          </cell>
          <cell r="K4240" t="str">
            <v>defsi</v>
          </cell>
        </row>
        <row r="4241">
          <cell r="B4241" t="b">
            <v>1</v>
          </cell>
          <cell r="E4241" t="str">
            <v>Puerto Rey</v>
          </cell>
          <cell r="H4241" t="str">
            <v>laboratorio</v>
          </cell>
          <cell r="J4241" t="str">
            <v>bueno</v>
          </cell>
          <cell r="K4241" t="str">
            <v>defsi</v>
          </cell>
        </row>
        <row r="4242">
          <cell r="B4242" t="b">
            <v>1</v>
          </cell>
          <cell r="E4242" t="str">
            <v>Arroyo de Piedra</v>
          </cell>
          <cell r="H4242" t="str">
            <v>consulta_externa</v>
          </cell>
          <cell r="J4242" t="str">
            <v>bueno</v>
          </cell>
          <cell r="K4242" t="str">
            <v>defsi</v>
          </cell>
        </row>
        <row r="4243">
          <cell r="B4243" t="b">
            <v>1</v>
          </cell>
          <cell r="E4243" t="str">
            <v>Arroyo de Piedra</v>
          </cell>
          <cell r="H4243" t="str">
            <v>laboratorio</v>
          </cell>
          <cell r="J4243" t="str">
            <v>bueno</v>
          </cell>
          <cell r="K4243" t="str">
            <v>defsi</v>
          </cell>
        </row>
        <row r="4244">
          <cell r="B4244" t="b">
            <v>1</v>
          </cell>
          <cell r="E4244" t="str">
            <v>Arroyo de Piedra</v>
          </cell>
          <cell r="H4244" t="str">
            <v>salud_oral</v>
          </cell>
          <cell r="J4244" t="str">
            <v>bueno</v>
          </cell>
          <cell r="K4244" t="str">
            <v>defsi</v>
          </cell>
        </row>
        <row r="4245">
          <cell r="B4245" t="b">
            <v>1</v>
          </cell>
          <cell r="E4245" t="str">
            <v>Puerto Rey</v>
          </cell>
          <cell r="H4245" t="str">
            <v>consulta_externa</v>
          </cell>
          <cell r="J4245" t="str">
            <v>bueno</v>
          </cell>
          <cell r="K4245" t="str">
            <v>defsi</v>
          </cell>
        </row>
        <row r="4246">
          <cell r="B4246" t="b">
            <v>1</v>
          </cell>
          <cell r="E4246" t="str">
            <v>Arroyo de Piedra</v>
          </cell>
          <cell r="H4246" t="str">
            <v>consulta_externa</v>
          </cell>
          <cell r="J4246" t="str">
            <v>bueno</v>
          </cell>
          <cell r="K4246" t="str">
            <v>defsi</v>
          </cell>
        </row>
        <row r="4247">
          <cell r="B4247" t="b">
            <v>1</v>
          </cell>
          <cell r="E4247" t="str">
            <v>Puerto Rey</v>
          </cell>
          <cell r="H4247" t="str">
            <v>salud_oral</v>
          </cell>
          <cell r="J4247" t="str">
            <v>bueno</v>
          </cell>
          <cell r="K4247" t="str">
            <v>defsi</v>
          </cell>
        </row>
        <row r="4248">
          <cell r="B4248" t="b">
            <v>1</v>
          </cell>
          <cell r="E4248" t="str">
            <v>Arroyo de Piedra</v>
          </cell>
          <cell r="H4248" t="str">
            <v>salud_oral</v>
          </cell>
          <cell r="J4248" t="str">
            <v>bueno</v>
          </cell>
          <cell r="K4248" t="str">
            <v>defsi</v>
          </cell>
        </row>
        <row r="4249">
          <cell r="B4249" t="b">
            <v>1</v>
          </cell>
          <cell r="E4249" t="str">
            <v>Arroyo de Piedra</v>
          </cell>
          <cell r="H4249" t="str">
            <v>salud_oral</v>
          </cell>
          <cell r="J4249" t="str">
            <v>bueno</v>
          </cell>
          <cell r="K4249" t="str">
            <v>defsi</v>
          </cell>
        </row>
        <row r="4250">
          <cell r="B4250" t="b">
            <v>1</v>
          </cell>
          <cell r="E4250" t="str">
            <v>Arroyo de Piedra</v>
          </cell>
          <cell r="H4250" t="str">
            <v>consulta_externa</v>
          </cell>
          <cell r="J4250" t="str">
            <v>bueno</v>
          </cell>
          <cell r="K4250" t="str">
            <v>defsi</v>
          </cell>
        </row>
        <row r="4251">
          <cell r="B4251" t="b">
            <v>1</v>
          </cell>
          <cell r="E4251" t="str">
            <v>Arroyo de Piedra</v>
          </cell>
          <cell r="H4251" t="str">
            <v>laboratorio</v>
          </cell>
          <cell r="J4251" t="str">
            <v>bueno</v>
          </cell>
          <cell r="K4251" t="str">
            <v>defsi</v>
          </cell>
        </row>
        <row r="4252">
          <cell r="B4252" t="b">
            <v>1</v>
          </cell>
          <cell r="E4252" t="str">
            <v>Puerto Rey</v>
          </cell>
          <cell r="H4252" t="str">
            <v>laboratorio</v>
          </cell>
          <cell r="J4252" t="str">
            <v>bueno</v>
          </cell>
          <cell r="K4252" t="str">
            <v>defsi</v>
          </cell>
        </row>
        <row r="4253">
          <cell r="B4253" t="b">
            <v>1</v>
          </cell>
          <cell r="E4253" t="str">
            <v>Arroyo de Piedra</v>
          </cell>
          <cell r="H4253" t="str">
            <v>consulta_externa</v>
          </cell>
          <cell r="J4253" t="str">
            <v>bueno</v>
          </cell>
          <cell r="K4253" t="str">
            <v>defsi</v>
          </cell>
        </row>
        <row r="4254">
          <cell r="B4254" t="b">
            <v>1</v>
          </cell>
          <cell r="E4254" t="str">
            <v>Arroyo de Piedra</v>
          </cell>
          <cell r="H4254" t="str">
            <v>laboratorio</v>
          </cell>
          <cell r="J4254" t="str">
            <v>bueno</v>
          </cell>
          <cell r="K4254" t="str">
            <v>defsi</v>
          </cell>
        </row>
        <row r="4255">
          <cell r="B4255" t="b">
            <v>1</v>
          </cell>
          <cell r="E4255" t="str">
            <v>Puerto Rey</v>
          </cell>
          <cell r="H4255" t="str">
            <v>consulta_externa</v>
          </cell>
          <cell r="J4255" t="str">
            <v>bueno</v>
          </cell>
          <cell r="K4255" t="str">
            <v>defsi</v>
          </cell>
        </row>
        <row r="4256">
          <cell r="B4256" t="b">
            <v>1</v>
          </cell>
          <cell r="E4256" t="str">
            <v>Puerto Rey</v>
          </cell>
          <cell r="H4256" t="str">
            <v>salud_oral</v>
          </cell>
          <cell r="J4256" t="str">
            <v>bueno</v>
          </cell>
          <cell r="K4256" t="str">
            <v>probno</v>
          </cell>
        </row>
        <row r="4257">
          <cell r="B4257" t="b">
            <v>1</v>
          </cell>
          <cell r="E4257" t="str">
            <v>Puerto Rey</v>
          </cell>
          <cell r="H4257" t="str">
            <v>laboratorio</v>
          </cell>
          <cell r="J4257" t="str">
            <v>bueno</v>
          </cell>
          <cell r="K4257" t="str">
            <v>defsi</v>
          </cell>
        </row>
        <row r="4258">
          <cell r="B4258" t="b">
            <v>1</v>
          </cell>
          <cell r="E4258" t="str">
            <v>Arroyo de Piedra</v>
          </cell>
          <cell r="H4258" t="str">
            <v>salud_oral</v>
          </cell>
          <cell r="J4258" t="str">
            <v>bueno</v>
          </cell>
          <cell r="K4258" t="str">
            <v>defsi</v>
          </cell>
        </row>
        <row r="4259">
          <cell r="B4259" t="b">
            <v>1</v>
          </cell>
          <cell r="E4259" t="str">
            <v>Arroyo de Piedra</v>
          </cell>
          <cell r="H4259" t="str">
            <v>consulta_externa</v>
          </cell>
          <cell r="J4259" t="str">
            <v>bueno</v>
          </cell>
          <cell r="K4259" t="str">
            <v>defsi</v>
          </cell>
        </row>
        <row r="4260">
          <cell r="B4260" t="b">
            <v>1</v>
          </cell>
          <cell r="E4260" t="str">
            <v>Arroyo de Piedra</v>
          </cell>
          <cell r="H4260" t="str">
            <v>salud_oral</v>
          </cell>
          <cell r="J4260" t="str">
            <v>bueno</v>
          </cell>
          <cell r="K4260" t="str">
            <v>defsi</v>
          </cell>
        </row>
        <row r="4261">
          <cell r="B4261" t="b">
            <v>1</v>
          </cell>
          <cell r="E4261" t="str">
            <v>Arroyo de Piedra</v>
          </cell>
          <cell r="H4261" t="str">
            <v>laboratorio</v>
          </cell>
          <cell r="J4261" t="str">
            <v>bueno</v>
          </cell>
          <cell r="K4261" t="str">
            <v>defsi</v>
          </cell>
        </row>
        <row r="4262">
          <cell r="B4262" t="b">
            <v>1</v>
          </cell>
          <cell r="E4262" t="str">
            <v>Puerto Rey</v>
          </cell>
          <cell r="H4262" t="str">
            <v>consulta_externa</v>
          </cell>
          <cell r="J4262" t="str">
            <v>bueno</v>
          </cell>
          <cell r="K4262" t="str">
            <v>defsi</v>
          </cell>
        </row>
        <row r="4263">
          <cell r="B4263" t="b">
            <v>1</v>
          </cell>
          <cell r="E4263" t="str">
            <v>Puerto Rey</v>
          </cell>
          <cell r="H4263" t="str">
            <v>salud_oral</v>
          </cell>
          <cell r="J4263" t="str">
            <v>bueno</v>
          </cell>
          <cell r="K4263" t="str">
            <v>defsi</v>
          </cell>
        </row>
        <row r="4264">
          <cell r="B4264" t="b">
            <v>1</v>
          </cell>
          <cell r="E4264" t="str">
            <v>Arroyo de Piedra</v>
          </cell>
          <cell r="H4264" t="str">
            <v>consulta_externa</v>
          </cell>
          <cell r="J4264" t="str">
            <v>bueno</v>
          </cell>
          <cell r="K4264" t="str">
            <v>defsi</v>
          </cell>
        </row>
        <row r="4265">
          <cell r="B4265" t="b">
            <v>1</v>
          </cell>
          <cell r="E4265" t="str">
            <v>Arroyo de Piedra</v>
          </cell>
          <cell r="H4265" t="str">
            <v>laboratorio</v>
          </cell>
          <cell r="J4265" t="str">
            <v>bueno</v>
          </cell>
          <cell r="K4265" t="str">
            <v>defsi</v>
          </cell>
        </row>
        <row r="4266">
          <cell r="B4266" t="b">
            <v>1</v>
          </cell>
          <cell r="E4266" t="str">
            <v>Puerto Rey</v>
          </cell>
          <cell r="H4266" t="str">
            <v>laboratorio</v>
          </cell>
          <cell r="J4266" t="str">
            <v>bueno</v>
          </cell>
          <cell r="K4266" t="str">
            <v>defsi</v>
          </cell>
        </row>
        <row r="4267">
          <cell r="B4267" t="b">
            <v>1</v>
          </cell>
          <cell r="E4267" t="str">
            <v>Arroyo de Piedra</v>
          </cell>
          <cell r="H4267" t="str">
            <v>consulta_externa</v>
          </cell>
          <cell r="J4267" t="str">
            <v>bueno</v>
          </cell>
          <cell r="K4267" t="str">
            <v>defsi</v>
          </cell>
        </row>
        <row r="4268">
          <cell r="B4268" t="b">
            <v>1</v>
          </cell>
          <cell r="E4268" t="str">
            <v>Arroyo de Piedra</v>
          </cell>
          <cell r="H4268" t="str">
            <v>laboratorio</v>
          </cell>
          <cell r="J4268" t="str">
            <v>bueno</v>
          </cell>
          <cell r="K4268" t="str">
            <v>defsi</v>
          </cell>
        </row>
        <row r="4269">
          <cell r="B4269" t="b">
            <v>1</v>
          </cell>
          <cell r="E4269" t="str">
            <v>Arroyo de Piedra</v>
          </cell>
          <cell r="H4269" t="str">
            <v>laboratorio</v>
          </cell>
          <cell r="J4269" t="str">
            <v>bueno</v>
          </cell>
          <cell r="K4269" t="str">
            <v>defsi</v>
          </cell>
        </row>
        <row r="4270">
          <cell r="B4270" t="b">
            <v>1</v>
          </cell>
          <cell r="E4270" t="str">
            <v>Arroyo de Piedra</v>
          </cell>
          <cell r="H4270" t="str">
            <v>laboratorio</v>
          </cell>
          <cell r="J4270" t="str">
            <v>bueno</v>
          </cell>
          <cell r="K4270" t="str">
            <v>defsi</v>
          </cell>
        </row>
        <row r="4271">
          <cell r="B4271" t="b">
            <v>1</v>
          </cell>
          <cell r="E4271" t="str">
            <v>Arroyo de Piedra</v>
          </cell>
          <cell r="H4271" t="str">
            <v>laboratorio</v>
          </cell>
          <cell r="J4271" t="str">
            <v>bueno</v>
          </cell>
          <cell r="K4271" t="str">
            <v>defsi</v>
          </cell>
        </row>
        <row r="4272">
          <cell r="B4272" t="b">
            <v>1</v>
          </cell>
          <cell r="E4272" t="str">
            <v>Arroyo de Piedra</v>
          </cell>
          <cell r="H4272" t="str">
            <v>salud_oral</v>
          </cell>
          <cell r="J4272" t="str">
            <v>bueno</v>
          </cell>
          <cell r="K4272" t="str">
            <v>defsi</v>
          </cell>
        </row>
        <row r="4273">
          <cell r="B4273" t="b">
            <v>1</v>
          </cell>
          <cell r="E4273" t="str">
            <v>Hospital Pozon</v>
          </cell>
          <cell r="H4273" t="str">
            <v>consulta_externa</v>
          </cell>
          <cell r="J4273" t="str">
            <v>bueno</v>
          </cell>
          <cell r="K4273" t="str">
            <v>probsi</v>
          </cell>
        </row>
        <row r="4274">
          <cell r="B4274" t="b">
            <v>1</v>
          </cell>
          <cell r="E4274" t="str">
            <v>Hospital Pozon</v>
          </cell>
          <cell r="H4274" t="str">
            <v>urgencia</v>
          </cell>
          <cell r="J4274" t="str">
            <v>bueno</v>
          </cell>
          <cell r="K4274" t="str">
            <v>probsi</v>
          </cell>
        </row>
        <row r="4275">
          <cell r="B4275" t="b">
            <v>1</v>
          </cell>
          <cell r="E4275" t="str">
            <v>Hospital Pozon</v>
          </cell>
          <cell r="H4275" t="str">
            <v>urgencia</v>
          </cell>
          <cell r="J4275" t="str">
            <v>bueno</v>
          </cell>
          <cell r="K4275" t="str">
            <v>probsi</v>
          </cell>
        </row>
        <row r="4276">
          <cell r="B4276" t="b">
            <v>1</v>
          </cell>
          <cell r="E4276" t="str">
            <v>Hospital Pozon</v>
          </cell>
          <cell r="H4276" t="str">
            <v>urgencia</v>
          </cell>
          <cell r="J4276" t="str">
            <v>bueno</v>
          </cell>
          <cell r="K4276" t="str">
            <v>probsi</v>
          </cell>
        </row>
        <row r="4277">
          <cell r="B4277" t="b">
            <v>1</v>
          </cell>
          <cell r="E4277" t="str">
            <v>Hospital Pozon</v>
          </cell>
          <cell r="H4277" t="str">
            <v>urgencia</v>
          </cell>
          <cell r="J4277" t="str">
            <v>bueno</v>
          </cell>
          <cell r="K4277" t="str">
            <v>probsi</v>
          </cell>
        </row>
        <row r="4278">
          <cell r="B4278" t="b">
            <v>1</v>
          </cell>
          <cell r="E4278" t="str">
            <v>Hospital Pozon</v>
          </cell>
          <cell r="H4278" t="str">
            <v>urgencia</v>
          </cell>
          <cell r="J4278" t="str">
            <v>bueno</v>
          </cell>
          <cell r="K4278" t="str">
            <v>probsi</v>
          </cell>
        </row>
        <row r="4279">
          <cell r="B4279" t="b">
            <v>1</v>
          </cell>
          <cell r="E4279" t="str">
            <v>Hospital Pozon</v>
          </cell>
          <cell r="H4279" t="str">
            <v>urgencia</v>
          </cell>
          <cell r="J4279" t="str">
            <v>bueno</v>
          </cell>
          <cell r="K4279" t="str">
            <v>probsi</v>
          </cell>
        </row>
        <row r="4280">
          <cell r="B4280" t="b">
            <v>1</v>
          </cell>
          <cell r="E4280" t="str">
            <v>Hospital Pozon</v>
          </cell>
          <cell r="H4280" t="str">
            <v>urgencia</v>
          </cell>
          <cell r="J4280" t="str">
            <v>bueno</v>
          </cell>
          <cell r="K4280" t="str">
            <v>probsi</v>
          </cell>
        </row>
        <row r="4281">
          <cell r="B4281" t="b">
            <v>1</v>
          </cell>
          <cell r="E4281" t="str">
            <v>Hospital Pozon</v>
          </cell>
          <cell r="H4281" t="str">
            <v>urgencia</v>
          </cell>
          <cell r="J4281" t="str">
            <v>bueno</v>
          </cell>
          <cell r="K4281" t="str">
            <v>probsi</v>
          </cell>
        </row>
        <row r="4282">
          <cell r="B4282" t="b">
            <v>1</v>
          </cell>
          <cell r="E4282" t="str">
            <v>Hospital Pozon</v>
          </cell>
          <cell r="H4282" t="str">
            <v>urgencia</v>
          </cell>
          <cell r="J4282" t="str">
            <v>bueno</v>
          </cell>
          <cell r="K4282" t="str">
            <v>probsi</v>
          </cell>
        </row>
        <row r="4283">
          <cell r="B4283" t="b">
            <v>1</v>
          </cell>
          <cell r="E4283" t="str">
            <v>Hospital Pozon</v>
          </cell>
          <cell r="H4283" t="str">
            <v>urgencia</v>
          </cell>
          <cell r="J4283" t="str">
            <v>bueno</v>
          </cell>
          <cell r="K4283" t="str">
            <v>probsi</v>
          </cell>
        </row>
        <row r="4284">
          <cell r="B4284" t="b">
            <v>1</v>
          </cell>
          <cell r="E4284" t="str">
            <v>Hospital Pozon</v>
          </cell>
          <cell r="H4284" t="str">
            <v>urgencia</v>
          </cell>
          <cell r="J4284" t="str">
            <v>bueno</v>
          </cell>
          <cell r="K4284" t="str">
            <v>probsi</v>
          </cell>
        </row>
        <row r="4285">
          <cell r="B4285" t="b">
            <v>1</v>
          </cell>
          <cell r="E4285" t="str">
            <v>Hospital Pozon</v>
          </cell>
          <cell r="H4285" t="str">
            <v>urgencia</v>
          </cell>
          <cell r="J4285" t="str">
            <v>bueno</v>
          </cell>
          <cell r="K4285" t="str">
            <v>probsi</v>
          </cell>
        </row>
        <row r="4286">
          <cell r="B4286" t="b">
            <v>1</v>
          </cell>
          <cell r="E4286" t="str">
            <v>Hospital Pozon</v>
          </cell>
          <cell r="H4286" t="str">
            <v>urgencia</v>
          </cell>
          <cell r="J4286" t="str">
            <v>bueno</v>
          </cell>
          <cell r="K4286" t="str">
            <v>probsi</v>
          </cell>
        </row>
        <row r="4287">
          <cell r="B4287" t="b">
            <v>1</v>
          </cell>
          <cell r="E4287" t="str">
            <v>Hospital Pozon</v>
          </cell>
          <cell r="H4287" t="str">
            <v>urgencia</v>
          </cell>
          <cell r="J4287" t="str">
            <v>bueno</v>
          </cell>
          <cell r="K4287" t="str">
            <v>probsi</v>
          </cell>
        </row>
        <row r="4288">
          <cell r="B4288" t="b">
            <v>1</v>
          </cell>
          <cell r="E4288" t="str">
            <v>Hospital Pozon</v>
          </cell>
          <cell r="H4288" t="str">
            <v>urgencia</v>
          </cell>
          <cell r="J4288" t="str">
            <v>bueno</v>
          </cell>
          <cell r="K4288" t="str">
            <v>probsi</v>
          </cell>
        </row>
        <row r="4289">
          <cell r="B4289" t="b">
            <v>1</v>
          </cell>
          <cell r="E4289" t="str">
            <v>Hospital Pozon</v>
          </cell>
          <cell r="H4289" t="str">
            <v>consulta_externa</v>
          </cell>
          <cell r="J4289" t="str">
            <v>bueno</v>
          </cell>
          <cell r="K4289" t="str">
            <v>probsi</v>
          </cell>
        </row>
        <row r="4290">
          <cell r="B4290" t="b">
            <v>1</v>
          </cell>
          <cell r="E4290" t="str">
            <v>Hospital Pozon</v>
          </cell>
          <cell r="H4290" t="str">
            <v>consulta_externa</v>
          </cell>
          <cell r="J4290" t="str">
            <v>bueno</v>
          </cell>
          <cell r="K4290" t="str">
            <v>probsi</v>
          </cell>
        </row>
        <row r="4291">
          <cell r="B4291" t="b">
            <v>1</v>
          </cell>
          <cell r="E4291" t="str">
            <v>Hospital Pozon</v>
          </cell>
          <cell r="H4291" t="str">
            <v>laboratorio</v>
          </cell>
          <cell r="J4291" t="str">
            <v>bueno</v>
          </cell>
          <cell r="K4291" t="str">
            <v>probsi</v>
          </cell>
        </row>
        <row r="4292">
          <cell r="B4292" t="b">
            <v>1</v>
          </cell>
          <cell r="E4292" t="str">
            <v>Hospital Pozon</v>
          </cell>
          <cell r="H4292" t="str">
            <v>laboratorio</v>
          </cell>
          <cell r="J4292" t="str">
            <v>bueno</v>
          </cell>
          <cell r="K4292" t="str">
            <v>probsi</v>
          </cell>
        </row>
        <row r="4293">
          <cell r="B4293" t="b">
            <v>1</v>
          </cell>
          <cell r="E4293" t="str">
            <v>Hospital Pozon</v>
          </cell>
          <cell r="H4293" t="str">
            <v>laboratorio</v>
          </cell>
          <cell r="J4293" t="str">
            <v>bueno</v>
          </cell>
          <cell r="K4293" t="str">
            <v>probsi</v>
          </cell>
        </row>
        <row r="4294">
          <cell r="B4294" t="b">
            <v>1</v>
          </cell>
          <cell r="E4294" t="str">
            <v>Hospital Pozon</v>
          </cell>
          <cell r="H4294" t="str">
            <v>laboratorio</v>
          </cell>
          <cell r="J4294" t="str">
            <v>bueno</v>
          </cell>
          <cell r="K4294" t="str">
            <v>probsi</v>
          </cell>
        </row>
        <row r="4295">
          <cell r="B4295" t="b">
            <v>1</v>
          </cell>
          <cell r="E4295" t="str">
            <v>Hospital Pozon</v>
          </cell>
          <cell r="H4295" t="str">
            <v>laboratorio</v>
          </cell>
          <cell r="J4295" t="str">
            <v>bueno</v>
          </cell>
          <cell r="K4295" t="str">
            <v>probsi</v>
          </cell>
        </row>
        <row r="4296">
          <cell r="B4296" t="b">
            <v>1</v>
          </cell>
          <cell r="E4296" t="str">
            <v>Hospital Pozon</v>
          </cell>
          <cell r="H4296" t="str">
            <v>laboratorio</v>
          </cell>
          <cell r="J4296" t="str">
            <v>bueno</v>
          </cell>
          <cell r="K4296" t="str">
            <v>probsi</v>
          </cell>
        </row>
        <row r="4297">
          <cell r="B4297" t="b">
            <v>1</v>
          </cell>
          <cell r="E4297" t="str">
            <v>Hospital Pozon</v>
          </cell>
          <cell r="H4297" t="str">
            <v>salud_oral</v>
          </cell>
          <cell r="J4297" t="str">
            <v>bueno</v>
          </cell>
          <cell r="K4297" t="str">
            <v>probsi</v>
          </cell>
        </row>
        <row r="4298">
          <cell r="B4298" t="b">
            <v>1</v>
          </cell>
          <cell r="E4298" t="str">
            <v>Hospital Pozon</v>
          </cell>
          <cell r="H4298" t="str">
            <v>salud_oral</v>
          </cell>
          <cell r="J4298" t="str">
            <v>bueno</v>
          </cell>
          <cell r="K4298" t="str">
            <v>probsi</v>
          </cell>
        </row>
        <row r="4299">
          <cell r="B4299" t="b">
            <v>1</v>
          </cell>
          <cell r="E4299" t="str">
            <v>Hospital Pozon</v>
          </cell>
          <cell r="H4299" t="str">
            <v>urgencia</v>
          </cell>
          <cell r="J4299" t="str">
            <v>bueno</v>
          </cell>
          <cell r="K4299" t="str">
            <v>probsi</v>
          </cell>
        </row>
        <row r="4300">
          <cell r="B4300" t="b">
            <v>1</v>
          </cell>
          <cell r="E4300" t="str">
            <v>Hospital Pozon</v>
          </cell>
          <cell r="H4300" t="str">
            <v>urgencia</v>
          </cell>
          <cell r="J4300" t="str">
            <v>bueno</v>
          </cell>
          <cell r="K4300" t="str">
            <v>probsi</v>
          </cell>
        </row>
        <row r="4301">
          <cell r="B4301" t="b">
            <v>1</v>
          </cell>
          <cell r="E4301" t="str">
            <v>Hospital Pozon</v>
          </cell>
          <cell r="H4301" t="str">
            <v>consulta_externa</v>
          </cell>
          <cell r="J4301" t="str">
            <v>bueno</v>
          </cell>
          <cell r="K4301" t="str">
            <v>probsi</v>
          </cell>
        </row>
        <row r="4302">
          <cell r="B4302" t="b">
            <v>1</v>
          </cell>
          <cell r="E4302" t="str">
            <v>Hospital Pozon</v>
          </cell>
          <cell r="H4302" t="str">
            <v>consulta_externa</v>
          </cell>
          <cell r="J4302" t="str">
            <v>bueno</v>
          </cell>
          <cell r="K4302" t="str">
            <v>probsi</v>
          </cell>
        </row>
        <row r="4303">
          <cell r="B4303" t="b">
            <v>1</v>
          </cell>
          <cell r="E4303" t="str">
            <v>Hospital Pozon</v>
          </cell>
          <cell r="H4303" t="str">
            <v>salud_oral</v>
          </cell>
          <cell r="J4303" t="str">
            <v>bueno</v>
          </cell>
          <cell r="K4303" t="str">
            <v>probsi</v>
          </cell>
        </row>
        <row r="4304">
          <cell r="B4304" t="b">
            <v>1</v>
          </cell>
          <cell r="E4304" t="str">
            <v>Hospital Pozon</v>
          </cell>
          <cell r="H4304" t="str">
            <v>urgencia</v>
          </cell>
          <cell r="J4304" t="str">
            <v>bueno</v>
          </cell>
          <cell r="K4304" t="str">
            <v>probsi</v>
          </cell>
        </row>
        <row r="4305">
          <cell r="B4305" t="b">
            <v>1</v>
          </cell>
          <cell r="E4305" t="str">
            <v>Hospital Pozon</v>
          </cell>
          <cell r="H4305" t="str">
            <v>urgencia</v>
          </cell>
          <cell r="J4305" t="str">
            <v>bueno</v>
          </cell>
          <cell r="K4305" t="str">
            <v>probsi</v>
          </cell>
        </row>
        <row r="4306">
          <cell r="B4306" t="b">
            <v>1</v>
          </cell>
          <cell r="E4306" t="str">
            <v>Hospital Pozon</v>
          </cell>
          <cell r="H4306" t="str">
            <v>urgencia</v>
          </cell>
          <cell r="J4306" t="str">
            <v>bueno</v>
          </cell>
          <cell r="K4306" t="str">
            <v>probsi</v>
          </cell>
        </row>
        <row r="4307">
          <cell r="B4307" t="b">
            <v>1</v>
          </cell>
          <cell r="E4307" t="str">
            <v>Hospital Pozon</v>
          </cell>
          <cell r="H4307" t="str">
            <v>urgencia</v>
          </cell>
          <cell r="J4307" t="str">
            <v>bueno</v>
          </cell>
          <cell r="K4307" t="str">
            <v>probsi</v>
          </cell>
        </row>
        <row r="4308">
          <cell r="B4308" t="b">
            <v>1</v>
          </cell>
          <cell r="E4308" t="str">
            <v>Hospital Pozon</v>
          </cell>
          <cell r="H4308" t="str">
            <v>urgencia</v>
          </cell>
          <cell r="J4308" t="str">
            <v>bueno</v>
          </cell>
          <cell r="K4308" t="str">
            <v>probsi</v>
          </cell>
        </row>
        <row r="4309">
          <cell r="B4309" t="b">
            <v>1</v>
          </cell>
          <cell r="E4309" t="str">
            <v>Hospital Pozon</v>
          </cell>
          <cell r="H4309" t="str">
            <v>urgencia</v>
          </cell>
          <cell r="J4309" t="str">
            <v>bueno</v>
          </cell>
          <cell r="K4309" t="str">
            <v>probsi</v>
          </cell>
        </row>
        <row r="4310">
          <cell r="B4310" t="b">
            <v>1</v>
          </cell>
          <cell r="E4310" t="str">
            <v>Hospital Pozon</v>
          </cell>
          <cell r="H4310" t="str">
            <v>urgencia</v>
          </cell>
          <cell r="J4310" t="str">
            <v>bueno</v>
          </cell>
          <cell r="K4310" t="str">
            <v>probsi</v>
          </cell>
        </row>
        <row r="4311">
          <cell r="B4311" t="b">
            <v>1</v>
          </cell>
          <cell r="E4311" t="str">
            <v>Hospital Pozon</v>
          </cell>
          <cell r="H4311" t="str">
            <v>urgencia</v>
          </cell>
          <cell r="J4311" t="str">
            <v>bueno</v>
          </cell>
          <cell r="K4311" t="str">
            <v>probsi</v>
          </cell>
        </row>
        <row r="4312">
          <cell r="B4312" t="b">
            <v>1</v>
          </cell>
          <cell r="E4312" t="str">
            <v>Hospital Pozon</v>
          </cell>
          <cell r="H4312" t="str">
            <v>urgencia</v>
          </cell>
          <cell r="J4312" t="str">
            <v>bueno</v>
          </cell>
          <cell r="K4312" t="str">
            <v>probsi</v>
          </cell>
        </row>
        <row r="4313">
          <cell r="B4313" t="b">
            <v>1</v>
          </cell>
          <cell r="E4313" t="str">
            <v>Hospital Pozon</v>
          </cell>
          <cell r="H4313" t="str">
            <v>urgencia</v>
          </cell>
          <cell r="J4313" t="str">
            <v>bueno</v>
          </cell>
          <cell r="K4313" t="str">
            <v>probsi</v>
          </cell>
        </row>
        <row r="4314">
          <cell r="B4314" t="b">
            <v>1</v>
          </cell>
          <cell r="E4314" t="str">
            <v>Hospital Pozon</v>
          </cell>
          <cell r="H4314" t="str">
            <v>urgencia</v>
          </cell>
          <cell r="J4314" t="str">
            <v>bueno</v>
          </cell>
          <cell r="K4314" t="str">
            <v>probsi</v>
          </cell>
        </row>
        <row r="4315">
          <cell r="B4315" t="b">
            <v>1</v>
          </cell>
          <cell r="E4315" t="str">
            <v>Hospital Pozon</v>
          </cell>
          <cell r="H4315" t="str">
            <v>urgencia</v>
          </cell>
          <cell r="J4315" t="str">
            <v>bueno</v>
          </cell>
          <cell r="K4315" t="str">
            <v>probsi</v>
          </cell>
        </row>
        <row r="4316">
          <cell r="B4316" t="b">
            <v>1</v>
          </cell>
          <cell r="E4316" t="str">
            <v>Hospital Pozon</v>
          </cell>
          <cell r="H4316" t="str">
            <v>urgencia</v>
          </cell>
          <cell r="J4316" t="str">
            <v>bueno</v>
          </cell>
          <cell r="K4316" t="str">
            <v>probsi</v>
          </cell>
        </row>
        <row r="4317">
          <cell r="B4317" t="b">
            <v>1</v>
          </cell>
          <cell r="E4317" t="str">
            <v>Hospital Pozon</v>
          </cell>
          <cell r="H4317" t="str">
            <v>urgencia</v>
          </cell>
          <cell r="J4317" t="str">
            <v>bueno</v>
          </cell>
          <cell r="K4317" t="str">
            <v>probsi</v>
          </cell>
        </row>
        <row r="4318">
          <cell r="B4318" t="b">
            <v>1</v>
          </cell>
          <cell r="E4318" t="str">
            <v>Hospital Pozon</v>
          </cell>
          <cell r="H4318" t="str">
            <v>urgencia</v>
          </cell>
          <cell r="J4318" t="str">
            <v>bueno</v>
          </cell>
          <cell r="K4318" t="str">
            <v>probsi</v>
          </cell>
        </row>
        <row r="4319">
          <cell r="B4319" t="b">
            <v>1</v>
          </cell>
          <cell r="E4319" t="str">
            <v>Hospital Pozon</v>
          </cell>
          <cell r="H4319" t="str">
            <v>urgencia</v>
          </cell>
          <cell r="J4319" t="str">
            <v>bueno</v>
          </cell>
          <cell r="K4319" t="str">
            <v>probsi</v>
          </cell>
        </row>
        <row r="4320">
          <cell r="B4320" t="b">
            <v>1</v>
          </cell>
          <cell r="E4320" t="str">
            <v>Hospital Pozon</v>
          </cell>
          <cell r="H4320" t="str">
            <v>urgencia</v>
          </cell>
          <cell r="J4320" t="str">
            <v>bueno</v>
          </cell>
          <cell r="K4320" t="str">
            <v>probsi</v>
          </cell>
        </row>
        <row r="4321">
          <cell r="B4321" t="b">
            <v>1</v>
          </cell>
          <cell r="E4321" t="str">
            <v>Hospital Pozon</v>
          </cell>
          <cell r="H4321" t="str">
            <v>salud_oral</v>
          </cell>
          <cell r="J4321" t="str">
            <v>bueno</v>
          </cell>
          <cell r="K4321" t="str">
            <v>probsi</v>
          </cell>
        </row>
        <row r="4322">
          <cell r="B4322" t="b">
            <v>1</v>
          </cell>
          <cell r="E4322" t="str">
            <v>Hospital Pozon</v>
          </cell>
          <cell r="H4322" t="str">
            <v>salud_oral</v>
          </cell>
          <cell r="J4322" t="str">
            <v>bueno</v>
          </cell>
          <cell r="K4322" t="str">
            <v>probsi</v>
          </cell>
        </row>
        <row r="4323">
          <cell r="B4323" t="b">
            <v>1</v>
          </cell>
          <cell r="E4323" t="str">
            <v>Hospital Pozon</v>
          </cell>
          <cell r="H4323" t="str">
            <v>consulta_externa</v>
          </cell>
          <cell r="J4323" t="str">
            <v>bueno</v>
          </cell>
          <cell r="K4323" t="str">
            <v>probsi</v>
          </cell>
        </row>
        <row r="4324">
          <cell r="B4324" t="b">
            <v>1</v>
          </cell>
          <cell r="E4324" t="str">
            <v>Hospital Pozon</v>
          </cell>
          <cell r="H4324" t="str">
            <v>consulta_externa</v>
          </cell>
          <cell r="J4324" t="str">
            <v>bueno</v>
          </cell>
          <cell r="K4324" t="str">
            <v>probsi</v>
          </cell>
        </row>
        <row r="4325">
          <cell r="B4325" t="b">
            <v>1</v>
          </cell>
          <cell r="E4325" t="str">
            <v>Hospital Pozon</v>
          </cell>
          <cell r="H4325" t="str">
            <v>consulta_externa</v>
          </cell>
          <cell r="J4325" t="str">
            <v>bueno</v>
          </cell>
          <cell r="K4325" t="str">
            <v>probsi</v>
          </cell>
        </row>
        <row r="4326">
          <cell r="B4326" t="b">
            <v>1</v>
          </cell>
          <cell r="E4326" t="str">
            <v>Hospital Pozon</v>
          </cell>
          <cell r="H4326" t="str">
            <v>consulta_externa</v>
          </cell>
          <cell r="J4326" t="str">
            <v>bueno</v>
          </cell>
          <cell r="K4326" t="str">
            <v>probsi</v>
          </cell>
        </row>
        <row r="4327">
          <cell r="B4327" t="b">
            <v>1</v>
          </cell>
          <cell r="E4327" t="str">
            <v>Hospital Pozon</v>
          </cell>
          <cell r="H4327" t="str">
            <v>consulta_externa</v>
          </cell>
          <cell r="J4327" t="str">
            <v>bueno</v>
          </cell>
          <cell r="K4327" t="str">
            <v>probsi</v>
          </cell>
        </row>
        <row r="4328">
          <cell r="B4328" t="b">
            <v>1</v>
          </cell>
          <cell r="E4328" t="str">
            <v>Hospital Pozon</v>
          </cell>
          <cell r="H4328" t="str">
            <v>consulta_externa</v>
          </cell>
          <cell r="J4328" t="str">
            <v>bueno</v>
          </cell>
          <cell r="K4328" t="str">
            <v>probsi</v>
          </cell>
        </row>
        <row r="4329">
          <cell r="B4329" t="b">
            <v>1</v>
          </cell>
          <cell r="E4329" t="str">
            <v>Hospital Pozon</v>
          </cell>
          <cell r="H4329" t="str">
            <v>consulta_externa</v>
          </cell>
          <cell r="J4329" t="str">
            <v>bueno</v>
          </cell>
          <cell r="K4329" t="str">
            <v>probsi</v>
          </cell>
        </row>
        <row r="4330">
          <cell r="B4330" t="b">
            <v>1</v>
          </cell>
          <cell r="E4330" t="str">
            <v>Hospital Pozon</v>
          </cell>
          <cell r="H4330" t="str">
            <v>consulta_externa</v>
          </cell>
          <cell r="J4330" t="str">
            <v>bueno</v>
          </cell>
          <cell r="K4330" t="str">
            <v>probsi</v>
          </cell>
        </row>
        <row r="4331">
          <cell r="B4331" t="b">
            <v>1</v>
          </cell>
          <cell r="E4331" t="str">
            <v>Hospital Pozon</v>
          </cell>
          <cell r="H4331" t="str">
            <v>consulta_externa</v>
          </cell>
          <cell r="J4331" t="str">
            <v>muybueno</v>
          </cell>
          <cell r="K4331" t="str">
            <v>probsi</v>
          </cell>
        </row>
        <row r="4332">
          <cell r="B4332" t="b">
            <v>1</v>
          </cell>
          <cell r="E4332" t="str">
            <v>Hospital Pozon</v>
          </cell>
          <cell r="H4332" t="str">
            <v>consulta_externa</v>
          </cell>
          <cell r="J4332" t="str">
            <v>muybueno</v>
          </cell>
          <cell r="K4332" t="str">
            <v>probsi</v>
          </cell>
        </row>
        <row r="4333">
          <cell r="B4333" t="b">
            <v>1</v>
          </cell>
          <cell r="E4333" t="str">
            <v>Tierra Baja</v>
          </cell>
          <cell r="H4333" t="str">
            <v>consulta_externa</v>
          </cell>
          <cell r="J4333" t="str">
            <v>bueno</v>
          </cell>
          <cell r="K4333" t="str">
            <v>defsi</v>
          </cell>
        </row>
        <row r="4334">
          <cell r="B4334" t="b">
            <v>1</v>
          </cell>
          <cell r="E4334" t="str">
            <v>Tierra Baja</v>
          </cell>
          <cell r="H4334" t="str">
            <v>salud_oral</v>
          </cell>
          <cell r="J4334" t="str">
            <v>bueno</v>
          </cell>
          <cell r="K4334" t="str">
            <v>defsi</v>
          </cell>
        </row>
        <row r="4335">
          <cell r="B4335" t="b">
            <v>1</v>
          </cell>
          <cell r="E4335" t="str">
            <v>Tierra Baja</v>
          </cell>
          <cell r="H4335" t="str">
            <v>laboratorio</v>
          </cell>
          <cell r="J4335" t="str">
            <v>bueno</v>
          </cell>
          <cell r="K4335" t="str">
            <v>defsi</v>
          </cell>
        </row>
        <row r="4336">
          <cell r="B4336" t="b">
            <v>1</v>
          </cell>
          <cell r="E4336" t="str">
            <v>Hospital Pozon</v>
          </cell>
          <cell r="H4336" t="str">
            <v>consulta_externa</v>
          </cell>
          <cell r="J4336" t="str">
            <v>muybueno</v>
          </cell>
          <cell r="K4336" t="str">
            <v>probsi</v>
          </cell>
        </row>
        <row r="4337">
          <cell r="B4337" t="b">
            <v>1</v>
          </cell>
          <cell r="E4337" t="str">
            <v>Hospital Pozon</v>
          </cell>
          <cell r="H4337" t="str">
            <v>consulta_externa</v>
          </cell>
          <cell r="J4337" t="str">
            <v>muybueno</v>
          </cell>
          <cell r="K4337" t="str">
            <v>probsi</v>
          </cell>
        </row>
        <row r="4338">
          <cell r="B4338" t="b">
            <v>1</v>
          </cell>
          <cell r="E4338" t="str">
            <v>Hospital Pozon</v>
          </cell>
          <cell r="H4338" t="str">
            <v>consulta_externa</v>
          </cell>
          <cell r="J4338" t="str">
            <v>muybueno</v>
          </cell>
          <cell r="K4338" t="str">
            <v>probsi</v>
          </cell>
        </row>
        <row r="4339">
          <cell r="B4339" t="b">
            <v>1</v>
          </cell>
          <cell r="E4339" t="str">
            <v>Tierra Baja</v>
          </cell>
          <cell r="H4339" t="str">
            <v>consulta_externa</v>
          </cell>
          <cell r="J4339" t="str">
            <v>bueno</v>
          </cell>
          <cell r="K4339" t="str">
            <v>defsi</v>
          </cell>
        </row>
        <row r="4340">
          <cell r="B4340" t="b">
            <v>1</v>
          </cell>
          <cell r="E4340" t="str">
            <v>Tierra Baja</v>
          </cell>
          <cell r="H4340" t="str">
            <v>salud_oral</v>
          </cell>
          <cell r="J4340" t="str">
            <v>bueno</v>
          </cell>
          <cell r="K4340" t="str">
            <v>defsi</v>
          </cell>
        </row>
        <row r="4341">
          <cell r="B4341" t="b">
            <v>1</v>
          </cell>
          <cell r="E4341" t="str">
            <v>Hospital Pozon</v>
          </cell>
          <cell r="H4341" t="str">
            <v>laboratorio</v>
          </cell>
          <cell r="J4341" t="str">
            <v>muybueno</v>
          </cell>
          <cell r="K4341" t="str">
            <v>probsi</v>
          </cell>
        </row>
        <row r="4342">
          <cell r="B4342" t="b">
            <v>1</v>
          </cell>
          <cell r="E4342" t="str">
            <v>Hospital Pozon</v>
          </cell>
          <cell r="H4342" t="str">
            <v>laboratorio</v>
          </cell>
          <cell r="J4342" t="str">
            <v>muybueno</v>
          </cell>
          <cell r="K4342" t="str">
            <v>probsi</v>
          </cell>
        </row>
        <row r="4343">
          <cell r="B4343" t="b">
            <v>1</v>
          </cell>
          <cell r="E4343" t="str">
            <v>Hospital Pozon</v>
          </cell>
          <cell r="H4343" t="str">
            <v>laboratorio</v>
          </cell>
          <cell r="J4343" t="str">
            <v>muybueno</v>
          </cell>
          <cell r="K4343" t="str">
            <v>probsi</v>
          </cell>
        </row>
        <row r="4344">
          <cell r="B4344" t="b">
            <v>1</v>
          </cell>
          <cell r="E4344" t="str">
            <v>Tierra Baja</v>
          </cell>
          <cell r="H4344" t="str">
            <v>laboratorio</v>
          </cell>
          <cell r="J4344" t="str">
            <v>bueno</v>
          </cell>
          <cell r="K4344" t="str">
            <v>defsi</v>
          </cell>
        </row>
        <row r="4345">
          <cell r="B4345" t="b">
            <v>1</v>
          </cell>
          <cell r="E4345" t="str">
            <v>Hospital Pozon</v>
          </cell>
          <cell r="H4345" t="str">
            <v>laboratorio</v>
          </cell>
          <cell r="J4345" t="str">
            <v>muybueno</v>
          </cell>
          <cell r="K4345" t="str">
            <v>probsi</v>
          </cell>
        </row>
        <row r="4346">
          <cell r="B4346" t="b">
            <v>1</v>
          </cell>
          <cell r="E4346" t="str">
            <v>Tierra Baja</v>
          </cell>
          <cell r="H4346" t="str">
            <v>consulta_externa</v>
          </cell>
          <cell r="J4346" t="str">
            <v>bueno</v>
          </cell>
          <cell r="K4346" t="str">
            <v>defsi</v>
          </cell>
        </row>
        <row r="4347">
          <cell r="B4347" t="b">
            <v>1</v>
          </cell>
          <cell r="E4347" t="str">
            <v>Hospital Pozon</v>
          </cell>
          <cell r="H4347" t="str">
            <v>laboratorio</v>
          </cell>
          <cell r="J4347" t="str">
            <v>muybueno</v>
          </cell>
          <cell r="K4347" t="str">
            <v>probsi</v>
          </cell>
        </row>
        <row r="4348">
          <cell r="B4348" t="b">
            <v>1</v>
          </cell>
          <cell r="E4348" t="str">
            <v>Hospital Pozon</v>
          </cell>
          <cell r="H4348" t="str">
            <v>laboratorio</v>
          </cell>
          <cell r="J4348" t="str">
            <v>muybueno</v>
          </cell>
          <cell r="K4348" t="str">
            <v>probsi</v>
          </cell>
        </row>
        <row r="4349">
          <cell r="B4349" t="b">
            <v>1</v>
          </cell>
          <cell r="E4349" t="str">
            <v>Hospital Pozon</v>
          </cell>
          <cell r="H4349" t="str">
            <v>consulta_externa</v>
          </cell>
          <cell r="J4349" t="str">
            <v>muybueno</v>
          </cell>
          <cell r="K4349" t="str">
            <v>probsi</v>
          </cell>
        </row>
        <row r="4350">
          <cell r="B4350" t="b">
            <v>1</v>
          </cell>
          <cell r="E4350" t="str">
            <v>Hospital Pozon</v>
          </cell>
          <cell r="H4350" t="str">
            <v>laboratorio</v>
          </cell>
          <cell r="J4350" t="str">
            <v>muybueno</v>
          </cell>
          <cell r="K4350" t="str">
            <v>probsi</v>
          </cell>
        </row>
        <row r="4351">
          <cell r="B4351" t="b">
            <v>1</v>
          </cell>
          <cell r="E4351" t="str">
            <v>Hospital Pozon</v>
          </cell>
          <cell r="H4351" t="str">
            <v>laboratorio</v>
          </cell>
          <cell r="J4351" t="str">
            <v>muybueno</v>
          </cell>
          <cell r="K4351" t="str">
            <v>probsi</v>
          </cell>
        </row>
        <row r="4352">
          <cell r="B4352" t="b">
            <v>1</v>
          </cell>
          <cell r="E4352" t="str">
            <v>Hospital Pozon</v>
          </cell>
          <cell r="H4352" t="str">
            <v>consulta_externa</v>
          </cell>
          <cell r="J4352" t="str">
            <v>muybueno</v>
          </cell>
          <cell r="K4352" t="str">
            <v>probsi</v>
          </cell>
        </row>
        <row r="4353">
          <cell r="B4353" t="b">
            <v>1</v>
          </cell>
          <cell r="E4353" t="str">
            <v>Hospital Pozon</v>
          </cell>
          <cell r="H4353" t="str">
            <v>consulta_externa</v>
          </cell>
          <cell r="J4353" t="str">
            <v>muybueno</v>
          </cell>
          <cell r="K4353" t="str">
            <v>probsi</v>
          </cell>
        </row>
        <row r="4354">
          <cell r="B4354" t="b">
            <v>1</v>
          </cell>
          <cell r="E4354" t="str">
            <v>Hospital Pozon</v>
          </cell>
          <cell r="H4354" t="str">
            <v>salud_oral</v>
          </cell>
          <cell r="J4354" t="str">
            <v>muybueno</v>
          </cell>
          <cell r="K4354" t="str">
            <v>probsi</v>
          </cell>
        </row>
        <row r="4355">
          <cell r="B4355" t="b">
            <v>1</v>
          </cell>
          <cell r="E4355" t="str">
            <v>Hospital Pozon</v>
          </cell>
          <cell r="H4355" t="str">
            <v>salud_oral</v>
          </cell>
          <cell r="J4355" t="str">
            <v>muybueno</v>
          </cell>
          <cell r="K4355" t="str">
            <v>probsi</v>
          </cell>
        </row>
        <row r="4356">
          <cell r="B4356" t="b">
            <v>1</v>
          </cell>
          <cell r="E4356" t="str">
            <v>Tierra Baja</v>
          </cell>
          <cell r="H4356" t="str">
            <v>salud_oral</v>
          </cell>
          <cell r="J4356" t="str">
            <v>bueno</v>
          </cell>
          <cell r="K4356" t="str">
            <v>defsi</v>
          </cell>
        </row>
        <row r="4357">
          <cell r="B4357" t="b">
            <v>1</v>
          </cell>
          <cell r="E4357" t="str">
            <v>Hospital Pozon</v>
          </cell>
          <cell r="H4357" t="str">
            <v>rx</v>
          </cell>
          <cell r="J4357" t="str">
            <v>muybueno</v>
          </cell>
          <cell r="K4357" t="str">
            <v>probsi</v>
          </cell>
        </row>
        <row r="4358">
          <cell r="B4358" t="b">
            <v>1</v>
          </cell>
          <cell r="E4358" t="str">
            <v>Hospital Pozon</v>
          </cell>
          <cell r="H4358" t="str">
            <v>consulta_externa</v>
          </cell>
          <cell r="J4358" t="str">
            <v>muybueno</v>
          </cell>
          <cell r="K4358" t="str">
            <v>probsi</v>
          </cell>
        </row>
        <row r="4359">
          <cell r="B4359" t="b">
            <v>1</v>
          </cell>
          <cell r="E4359" t="str">
            <v>Tierra Baja</v>
          </cell>
          <cell r="H4359" t="str">
            <v>laboratorio</v>
          </cell>
          <cell r="J4359" t="str">
            <v>bueno</v>
          </cell>
          <cell r="K4359" t="str">
            <v>defsi</v>
          </cell>
        </row>
        <row r="4360">
          <cell r="B4360" t="b">
            <v>1</v>
          </cell>
          <cell r="E4360" t="str">
            <v>Hospital Pozon</v>
          </cell>
          <cell r="H4360" t="str">
            <v>consulta_externa</v>
          </cell>
          <cell r="J4360" t="str">
            <v>bueno</v>
          </cell>
          <cell r="K4360" t="str">
            <v>probsi</v>
          </cell>
        </row>
        <row r="4361">
          <cell r="B4361" t="b">
            <v>1</v>
          </cell>
          <cell r="E4361" t="str">
            <v>Hospital Pozon</v>
          </cell>
          <cell r="H4361" t="str">
            <v>laboratorio</v>
          </cell>
          <cell r="J4361" t="str">
            <v>bueno</v>
          </cell>
          <cell r="K4361" t="str">
            <v>probsi</v>
          </cell>
        </row>
        <row r="4362">
          <cell r="B4362" t="b">
            <v>1</v>
          </cell>
          <cell r="E4362" t="str">
            <v>Hospital Pozon</v>
          </cell>
          <cell r="H4362" t="str">
            <v>laboratorio</v>
          </cell>
          <cell r="J4362" t="str">
            <v>bueno</v>
          </cell>
          <cell r="K4362" t="str">
            <v>probsi</v>
          </cell>
        </row>
        <row r="4363">
          <cell r="B4363" t="b">
            <v>1</v>
          </cell>
          <cell r="E4363" t="str">
            <v>Hospital Pozon</v>
          </cell>
          <cell r="H4363" t="str">
            <v>consulta_externa</v>
          </cell>
          <cell r="J4363" t="str">
            <v>bueno</v>
          </cell>
          <cell r="K4363" t="str">
            <v>probsi</v>
          </cell>
        </row>
        <row r="4364">
          <cell r="B4364" t="b">
            <v>1</v>
          </cell>
          <cell r="E4364" t="str">
            <v>Hospital Pozon</v>
          </cell>
          <cell r="H4364" t="str">
            <v>rx</v>
          </cell>
          <cell r="J4364" t="str">
            <v>bueno</v>
          </cell>
          <cell r="K4364" t="str">
            <v>probsi</v>
          </cell>
        </row>
        <row r="4365">
          <cell r="B4365" t="b">
            <v>1</v>
          </cell>
          <cell r="E4365" t="str">
            <v>Hospital Pozon</v>
          </cell>
          <cell r="H4365" t="str">
            <v>rx</v>
          </cell>
          <cell r="J4365" t="str">
            <v>bueno</v>
          </cell>
          <cell r="K4365" t="str">
            <v>probsi</v>
          </cell>
        </row>
        <row r="4366">
          <cell r="B4366" t="b">
            <v>1</v>
          </cell>
          <cell r="E4366" t="str">
            <v>Hospital Pozon</v>
          </cell>
          <cell r="H4366" t="str">
            <v>rx</v>
          </cell>
          <cell r="J4366" t="str">
            <v>bueno</v>
          </cell>
          <cell r="K4366" t="str">
            <v>probsi</v>
          </cell>
        </row>
        <row r="4367">
          <cell r="B4367" t="b">
            <v>1</v>
          </cell>
          <cell r="E4367" t="str">
            <v>Socorro</v>
          </cell>
          <cell r="H4367" t="str">
            <v>consulta_externa</v>
          </cell>
          <cell r="J4367" t="str">
            <v>bueno</v>
          </cell>
          <cell r="K4367" t="str">
            <v>probsi</v>
          </cell>
        </row>
        <row r="4368">
          <cell r="B4368" t="b">
            <v>1</v>
          </cell>
          <cell r="E4368" t="str">
            <v>Socorro</v>
          </cell>
          <cell r="H4368" t="str">
            <v>salud_oral</v>
          </cell>
          <cell r="J4368" t="str">
            <v>bueno</v>
          </cell>
          <cell r="K4368" t="str">
            <v>probsi</v>
          </cell>
        </row>
        <row r="4369">
          <cell r="B4369" t="b">
            <v>0</v>
          </cell>
          <cell r="E4369" t="str">
            <v>Socorro</v>
          </cell>
          <cell r="H4369" t="str">
            <v>salud_oral</v>
          </cell>
          <cell r="J4369" t="str">
            <v>regular</v>
          </cell>
          <cell r="K4369" t="str">
            <v>probsi</v>
          </cell>
        </row>
        <row r="4370">
          <cell r="B4370" t="b">
            <v>1</v>
          </cell>
          <cell r="E4370" t="str">
            <v>Socorro</v>
          </cell>
          <cell r="H4370" t="str">
            <v>laboratorio</v>
          </cell>
          <cell r="J4370" t="str">
            <v>bueno</v>
          </cell>
          <cell r="K4370" t="str">
            <v>probsi</v>
          </cell>
        </row>
        <row r="4371">
          <cell r="B4371" t="b">
            <v>1</v>
          </cell>
          <cell r="E4371" t="str">
            <v>Socorro</v>
          </cell>
          <cell r="H4371" t="str">
            <v>laboratorio</v>
          </cell>
          <cell r="J4371" t="str">
            <v>bueno</v>
          </cell>
          <cell r="K4371" t="str">
            <v>probsi</v>
          </cell>
        </row>
        <row r="4372">
          <cell r="B4372" t="b">
            <v>1</v>
          </cell>
          <cell r="E4372" t="str">
            <v>Socorro</v>
          </cell>
          <cell r="H4372" t="str">
            <v>laboratorio</v>
          </cell>
          <cell r="J4372" t="str">
            <v>bueno</v>
          </cell>
          <cell r="K4372" t="str">
            <v>probsi</v>
          </cell>
        </row>
        <row r="4373">
          <cell r="B4373" t="b">
            <v>1</v>
          </cell>
          <cell r="E4373" t="str">
            <v>Socorro</v>
          </cell>
          <cell r="H4373" t="str">
            <v>laboratorio</v>
          </cell>
          <cell r="J4373" t="str">
            <v>bueno</v>
          </cell>
          <cell r="K4373" t="str">
            <v>probsi</v>
          </cell>
        </row>
        <row r="4374">
          <cell r="B4374" t="b">
            <v>1</v>
          </cell>
          <cell r="E4374" t="str">
            <v>Socorro</v>
          </cell>
          <cell r="H4374" t="str">
            <v>laboratorio</v>
          </cell>
          <cell r="J4374" t="str">
            <v>bueno</v>
          </cell>
          <cell r="K4374" t="str">
            <v>probsi</v>
          </cell>
        </row>
        <row r="4375">
          <cell r="B4375" t="b">
            <v>1</v>
          </cell>
          <cell r="E4375" t="str">
            <v>Socorro</v>
          </cell>
          <cell r="H4375" t="str">
            <v>salud_oral</v>
          </cell>
          <cell r="J4375" t="str">
            <v>bueno</v>
          </cell>
          <cell r="K4375" t="str">
            <v>probsi</v>
          </cell>
        </row>
        <row r="4376">
          <cell r="B4376" t="b">
            <v>0</v>
          </cell>
          <cell r="E4376" t="str">
            <v>Socorro</v>
          </cell>
          <cell r="H4376" t="str">
            <v>salud_oral</v>
          </cell>
          <cell r="J4376" t="str">
            <v>regular</v>
          </cell>
          <cell r="K4376" t="str">
            <v>probsi</v>
          </cell>
        </row>
        <row r="4377">
          <cell r="B4377" t="b">
            <v>1</v>
          </cell>
          <cell r="E4377" t="str">
            <v>Socorro</v>
          </cell>
          <cell r="H4377" t="str">
            <v>salud_oral</v>
          </cell>
          <cell r="J4377" t="str">
            <v>bueno</v>
          </cell>
          <cell r="K4377" t="str">
            <v>probsi</v>
          </cell>
        </row>
        <row r="4378">
          <cell r="B4378" t="b">
            <v>1</v>
          </cell>
          <cell r="E4378" t="str">
            <v>Hospital Pozon</v>
          </cell>
          <cell r="H4378" t="str">
            <v>consulta_externa</v>
          </cell>
          <cell r="J4378" t="str">
            <v>bueno</v>
          </cell>
          <cell r="K4378" t="str">
            <v>defsi</v>
          </cell>
        </row>
        <row r="4379">
          <cell r="B4379" t="b">
            <v>1</v>
          </cell>
          <cell r="E4379" t="str">
            <v>Hospital Pozon</v>
          </cell>
          <cell r="H4379" t="str">
            <v>consulta_externa</v>
          </cell>
          <cell r="J4379" t="str">
            <v>bueno</v>
          </cell>
          <cell r="K4379" t="str">
            <v>defsi</v>
          </cell>
        </row>
        <row r="4380">
          <cell r="B4380" t="b">
            <v>1</v>
          </cell>
          <cell r="E4380" t="str">
            <v>Hospital Pozon</v>
          </cell>
          <cell r="H4380" t="str">
            <v>consulta_externa</v>
          </cell>
          <cell r="J4380" t="str">
            <v>bueno</v>
          </cell>
          <cell r="K4380" t="str">
            <v>defsi</v>
          </cell>
        </row>
        <row r="4381">
          <cell r="B4381" t="b">
            <v>1</v>
          </cell>
          <cell r="E4381" t="str">
            <v>Hospital Pozon</v>
          </cell>
          <cell r="H4381" t="str">
            <v>consulta_externa</v>
          </cell>
          <cell r="J4381" t="str">
            <v>bueno</v>
          </cell>
          <cell r="K4381" t="str">
            <v>defsi</v>
          </cell>
        </row>
        <row r="4382">
          <cell r="B4382" t="b">
            <v>1</v>
          </cell>
          <cell r="E4382" t="str">
            <v>Hospital Pozon</v>
          </cell>
          <cell r="H4382" t="str">
            <v>consulta_externa</v>
          </cell>
          <cell r="J4382" t="str">
            <v>bueno</v>
          </cell>
          <cell r="K4382" t="str">
            <v>defsi</v>
          </cell>
        </row>
        <row r="4383">
          <cell r="B4383" t="b">
            <v>1</v>
          </cell>
          <cell r="E4383" t="str">
            <v>Hospital Pozon</v>
          </cell>
          <cell r="H4383" t="str">
            <v>consulta_externa</v>
          </cell>
          <cell r="J4383" t="str">
            <v>bueno</v>
          </cell>
          <cell r="K4383" t="str">
            <v>defsi</v>
          </cell>
        </row>
        <row r="4384">
          <cell r="B4384" t="b">
            <v>1</v>
          </cell>
          <cell r="E4384" t="str">
            <v>Hospital Pozon</v>
          </cell>
          <cell r="H4384" t="str">
            <v>consulta_externa</v>
          </cell>
          <cell r="J4384" t="str">
            <v>bueno</v>
          </cell>
          <cell r="K4384" t="str">
            <v>defsi</v>
          </cell>
        </row>
        <row r="4385">
          <cell r="B4385" t="b">
            <v>1</v>
          </cell>
          <cell r="E4385" t="str">
            <v>Hospital Pozon</v>
          </cell>
          <cell r="H4385" t="str">
            <v>consulta_externa</v>
          </cell>
          <cell r="J4385" t="str">
            <v>bueno</v>
          </cell>
          <cell r="K4385" t="str">
            <v>defsi</v>
          </cell>
        </row>
        <row r="4386">
          <cell r="B4386" t="b">
            <v>1</v>
          </cell>
          <cell r="E4386" t="str">
            <v>Hospital Pozon</v>
          </cell>
          <cell r="H4386" t="str">
            <v>consulta_externa</v>
          </cell>
          <cell r="J4386" t="str">
            <v>bueno</v>
          </cell>
          <cell r="K4386" t="str">
            <v>defsi</v>
          </cell>
        </row>
        <row r="4387">
          <cell r="B4387" t="b">
            <v>1</v>
          </cell>
          <cell r="E4387" t="str">
            <v>Hospital Pozon</v>
          </cell>
          <cell r="H4387" t="str">
            <v>consulta_externa</v>
          </cell>
          <cell r="J4387" t="str">
            <v>bueno</v>
          </cell>
          <cell r="K4387" t="str">
            <v>defsi</v>
          </cell>
        </row>
        <row r="4388">
          <cell r="B4388" t="b">
            <v>1</v>
          </cell>
          <cell r="E4388" t="str">
            <v>Hospital Pozon</v>
          </cell>
          <cell r="H4388" t="str">
            <v>consulta_externa</v>
          </cell>
          <cell r="J4388" t="str">
            <v>bueno</v>
          </cell>
          <cell r="K4388" t="str">
            <v>defsi</v>
          </cell>
        </row>
        <row r="4389">
          <cell r="B4389" t="b">
            <v>1</v>
          </cell>
          <cell r="E4389" t="str">
            <v>Hospital Pozon</v>
          </cell>
          <cell r="H4389" t="str">
            <v>consulta_externa</v>
          </cell>
          <cell r="J4389" t="str">
            <v>bueno</v>
          </cell>
          <cell r="K4389" t="str">
            <v>defsi</v>
          </cell>
        </row>
        <row r="4390">
          <cell r="B4390" t="b">
            <v>1</v>
          </cell>
          <cell r="E4390" t="str">
            <v>Tierra Baja</v>
          </cell>
          <cell r="H4390" t="str">
            <v>consulta_externa</v>
          </cell>
          <cell r="J4390" t="str">
            <v>bueno</v>
          </cell>
          <cell r="K4390" t="str">
            <v>defsi</v>
          </cell>
        </row>
        <row r="4391">
          <cell r="B4391" t="b">
            <v>1</v>
          </cell>
          <cell r="E4391" t="str">
            <v>Tierra Baja</v>
          </cell>
          <cell r="H4391" t="str">
            <v>salud_oral</v>
          </cell>
          <cell r="J4391" t="str">
            <v>bueno</v>
          </cell>
          <cell r="K4391" t="str">
            <v>defsi</v>
          </cell>
        </row>
        <row r="4392">
          <cell r="B4392" t="b">
            <v>1</v>
          </cell>
          <cell r="E4392" t="str">
            <v>Tierra Baja</v>
          </cell>
          <cell r="H4392" t="str">
            <v>laboratorio</v>
          </cell>
          <cell r="J4392" t="str">
            <v>bueno</v>
          </cell>
          <cell r="K4392" t="str">
            <v>defsi</v>
          </cell>
        </row>
        <row r="4393">
          <cell r="B4393" t="b">
            <v>1</v>
          </cell>
          <cell r="E4393" t="str">
            <v>Tierra Baja</v>
          </cell>
          <cell r="H4393" t="str">
            <v>consulta_externa</v>
          </cell>
          <cell r="J4393" t="str">
            <v>bueno</v>
          </cell>
          <cell r="K4393" t="str">
            <v>defsi</v>
          </cell>
        </row>
        <row r="4394">
          <cell r="B4394" t="b">
            <v>1</v>
          </cell>
          <cell r="E4394" t="str">
            <v>Tierra Baja</v>
          </cell>
          <cell r="H4394" t="str">
            <v>salud_oral</v>
          </cell>
          <cell r="J4394" t="str">
            <v>bueno</v>
          </cell>
          <cell r="K4394" t="str">
            <v>defsi</v>
          </cell>
        </row>
        <row r="4395">
          <cell r="B4395" t="b">
            <v>1</v>
          </cell>
          <cell r="E4395" t="str">
            <v>Tierra Baja</v>
          </cell>
          <cell r="H4395" t="str">
            <v>laboratorio</v>
          </cell>
          <cell r="J4395" t="str">
            <v>bueno</v>
          </cell>
          <cell r="K4395" t="str">
            <v>defsi</v>
          </cell>
        </row>
        <row r="4396">
          <cell r="B4396" t="b">
            <v>1</v>
          </cell>
          <cell r="E4396" t="str">
            <v>Tierra Baja</v>
          </cell>
          <cell r="H4396" t="str">
            <v>consulta_externa</v>
          </cell>
          <cell r="J4396" t="str">
            <v>bueno</v>
          </cell>
          <cell r="K4396" t="str">
            <v>defsi</v>
          </cell>
        </row>
        <row r="4397">
          <cell r="B4397" t="b">
            <v>1</v>
          </cell>
          <cell r="E4397" t="str">
            <v>Tierra Baja</v>
          </cell>
          <cell r="H4397" t="str">
            <v>salud_oral</v>
          </cell>
          <cell r="J4397" t="str">
            <v>bueno</v>
          </cell>
          <cell r="K4397" t="str">
            <v>defsi</v>
          </cell>
        </row>
        <row r="4398">
          <cell r="B4398" t="b">
            <v>1</v>
          </cell>
          <cell r="E4398" t="str">
            <v>Tierra Baja</v>
          </cell>
          <cell r="H4398" t="str">
            <v>laboratorio</v>
          </cell>
          <cell r="J4398" t="str">
            <v>bueno</v>
          </cell>
          <cell r="K4398" t="str">
            <v>defsi</v>
          </cell>
        </row>
        <row r="4399">
          <cell r="B4399" t="b">
            <v>1</v>
          </cell>
          <cell r="E4399" t="str">
            <v>Tierra Baja</v>
          </cell>
          <cell r="H4399" t="str">
            <v>consulta_externa</v>
          </cell>
          <cell r="J4399" t="str">
            <v>bueno</v>
          </cell>
          <cell r="K4399" t="str">
            <v>defsi</v>
          </cell>
        </row>
        <row r="4400">
          <cell r="B4400" t="b">
            <v>1</v>
          </cell>
          <cell r="E4400" t="str">
            <v>Tierra Baja</v>
          </cell>
          <cell r="H4400" t="str">
            <v>salud_oral</v>
          </cell>
          <cell r="J4400" t="str">
            <v>bueno</v>
          </cell>
          <cell r="K4400" t="str">
            <v>defsi</v>
          </cell>
        </row>
        <row r="4401">
          <cell r="B4401" t="b">
            <v>1</v>
          </cell>
          <cell r="E4401" t="str">
            <v>Tierra Baja</v>
          </cell>
          <cell r="H4401" t="str">
            <v>laboratorio</v>
          </cell>
          <cell r="J4401" t="str">
            <v>bueno</v>
          </cell>
          <cell r="K4401" t="str">
            <v>defsi</v>
          </cell>
        </row>
        <row r="4402">
          <cell r="B4402" t="b">
            <v>1</v>
          </cell>
          <cell r="E4402" t="str">
            <v>Tierra Baja</v>
          </cell>
          <cell r="H4402" t="str">
            <v>consulta_externa</v>
          </cell>
          <cell r="J4402" t="str">
            <v>bueno</v>
          </cell>
          <cell r="K4402" t="str">
            <v>defsi</v>
          </cell>
        </row>
        <row r="4403">
          <cell r="B4403" t="b">
            <v>1</v>
          </cell>
          <cell r="E4403" t="str">
            <v>Tierra Baja</v>
          </cell>
          <cell r="H4403" t="str">
            <v>salud_oral</v>
          </cell>
          <cell r="J4403" t="str">
            <v>bueno</v>
          </cell>
          <cell r="K4403" t="str">
            <v>defsi</v>
          </cell>
        </row>
        <row r="4404">
          <cell r="B4404" t="b">
            <v>1</v>
          </cell>
          <cell r="E4404" t="str">
            <v>Tierra Baja</v>
          </cell>
          <cell r="H4404" t="str">
            <v>laboratorio</v>
          </cell>
          <cell r="J4404" t="str">
            <v>bueno</v>
          </cell>
          <cell r="K4404" t="str">
            <v>defsi</v>
          </cell>
        </row>
        <row r="4405">
          <cell r="B4405" t="b">
            <v>1</v>
          </cell>
          <cell r="E4405" t="str">
            <v>Arroyo de Piedra</v>
          </cell>
          <cell r="H4405" t="str">
            <v>consulta_externa</v>
          </cell>
          <cell r="J4405" t="str">
            <v>bueno</v>
          </cell>
          <cell r="K4405" t="str">
            <v>defsi</v>
          </cell>
        </row>
        <row r="4406">
          <cell r="B4406" t="b">
            <v>1</v>
          </cell>
          <cell r="E4406" t="str">
            <v>Arroyo de Piedra</v>
          </cell>
          <cell r="H4406" t="str">
            <v>consulta_externa</v>
          </cell>
          <cell r="J4406" t="str">
            <v>bueno</v>
          </cell>
          <cell r="K4406" t="str">
            <v>defsi</v>
          </cell>
        </row>
        <row r="4407">
          <cell r="B4407" t="b">
            <v>1</v>
          </cell>
          <cell r="E4407" t="str">
            <v>Arroyo de Piedra</v>
          </cell>
          <cell r="H4407" t="str">
            <v>laboratorio</v>
          </cell>
          <cell r="J4407" t="str">
            <v>bueno</v>
          </cell>
          <cell r="K4407" t="str">
            <v>defsi</v>
          </cell>
        </row>
        <row r="4408">
          <cell r="B4408" t="b">
            <v>1</v>
          </cell>
          <cell r="E4408" t="str">
            <v>Arroyo de Piedra</v>
          </cell>
          <cell r="H4408" t="str">
            <v>laboratorio</v>
          </cell>
          <cell r="J4408" t="str">
            <v>bueno</v>
          </cell>
          <cell r="K4408" t="str">
            <v>defsi</v>
          </cell>
        </row>
        <row r="4409">
          <cell r="B4409" t="b">
            <v>1</v>
          </cell>
          <cell r="E4409" t="str">
            <v>Arroyo de Piedra</v>
          </cell>
          <cell r="H4409" t="str">
            <v>consulta_externa</v>
          </cell>
          <cell r="J4409" t="str">
            <v>bueno</v>
          </cell>
          <cell r="K4409" t="str">
            <v>defsi</v>
          </cell>
        </row>
        <row r="4410">
          <cell r="B4410" t="b">
            <v>1</v>
          </cell>
          <cell r="E4410" t="str">
            <v>Arroyo de Piedra</v>
          </cell>
          <cell r="H4410" t="str">
            <v>salud_oral</v>
          </cell>
          <cell r="J4410" t="str">
            <v>bueno</v>
          </cell>
          <cell r="K4410" t="str">
            <v>defsi</v>
          </cell>
        </row>
        <row r="4411">
          <cell r="B4411" t="b">
            <v>1</v>
          </cell>
          <cell r="E4411" t="str">
            <v>Arroyo de Piedra</v>
          </cell>
          <cell r="H4411" t="str">
            <v>salud_oral</v>
          </cell>
          <cell r="J4411" t="str">
            <v>bueno</v>
          </cell>
          <cell r="K4411" t="str">
            <v>defsi</v>
          </cell>
        </row>
        <row r="4412">
          <cell r="B4412" t="b">
            <v>1</v>
          </cell>
          <cell r="E4412" t="str">
            <v>Arroyo de Piedra</v>
          </cell>
          <cell r="H4412" t="str">
            <v>salud_oral</v>
          </cell>
          <cell r="J4412" t="str">
            <v>bueno</v>
          </cell>
          <cell r="K4412" t="str">
            <v>defsi</v>
          </cell>
        </row>
        <row r="4413">
          <cell r="B4413" t="b">
            <v>1</v>
          </cell>
          <cell r="E4413" t="str">
            <v>Arroyo de Piedra</v>
          </cell>
          <cell r="H4413" t="str">
            <v>salud_oral</v>
          </cell>
          <cell r="J4413" t="str">
            <v>bueno</v>
          </cell>
          <cell r="K4413" t="str">
            <v>defsi</v>
          </cell>
        </row>
        <row r="4414">
          <cell r="B4414" t="b">
            <v>1</v>
          </cell>
          <cell r="E4414" t="str">
            <v>Arroyo de Piedra</v>
          </cell>
          <cell r="H4414" t="str">
            <v>salud_oral</v>
          </cell>
          <cell r="J4414" t="str">
            <v>bueno</v>
          </cell>
          <cell r="K4414" t="str">
            <v>defsi</v>
          </cell>
        </row>
        <row r="4415">
          <cell r="B4415" t="b">
            <v>1</v>
          </cell>
          <cell r="E4415" t="str">
            <v>Arroyo de Piedra</v>
          </cell>
          <cell r="H4415" t="str">
            <v>consulta_externa</v>
          </cell>
          <cell r="J4415" t="str">
            <v>bueno</v>
          </cell>
          <cell r="K4415" t="str">
            <v>defsi</v>
          </cell>
        </row>
        <row r="4416">
          <cell r="B4416" t="b">
            <v>1</v>
          </cell>
          <cell r="E4416" t="str">
            <v>Arroyo de Piedra</v>
          </cell>
          <cell r="H4416" t="str">
            <v>laboratorio</v>
          </cell>
          <cell r="J4416" t="str">
            <v>bueno</v>
          </cell>
          <cell r="K4416" t="str">
            <v>defsi</v>
          </cell>
        </row>
        <row r="4417">
          <cell r="B4417" t="b">
            <v>1</v>
          </cell>
          <cell r="E4417" t="str">
            <v>Arroyo de Piedra</v>
          </cell>
          <cell r="H4417" t="str">
            <v>consulta_externa</v>
          </cell>
          <cell r="J4417" t="str">
            <v>bueno</v>
          </cell>
          <cell r="K4417" t="str">
            <v>defsi</v>
          </cell>
        </row>
        <row r="4418">
          <cell r="B4418" t="b">
            <v>1</v>
          </cell>
          <cell r="E4418" t="str">
            <v>Arroyo de Piedra</v>
          </cell>
          <cell r="H4418" t="str">
            <v>salud_oral</v>
          </cell>
          <cell r="J4418" t="str">
            <v>bueno</v>
          </cell>
          <cell r="K4418" t="str">
            <v>defsi</v>
          </cell>
        </row>
        <row r="4419">
          <cell r="B4419" t="b">
            <v>1</v>
          </cell>
          <cell r="E4419" t="str">
            <v>Arroyo de Piedra</v>
          </cell>
          <cell r="H4419" t="str">
            <v>consulta_externa</v>
          </cell>
          <cell r="J4419" t="str">
            <v>bueno</v>
          </cell>
          <cell r="K4419" t="str">
            <v>defsi</v>
          </cell>
        </row>
        <row r="4420">
          <cell r="B4420" t="b">
            <v>1</v>
          </cell>
          <cell r="E4420" t="str">
            <v>Arroyo de Piedra</v>
          </cell>
          <cell r="H4420" t="str">
            <v>consulta_externa</v>
          </cell>
          <cell r="J4420" t="str">
            <v>bueno</v>
          </cell>
          <cell r="K4420" t="str">
            <v>defsi</v>
          </cell>
        </row>
        <row r="4421">
          <cell r="B4421" t="b">
            <v>1</v>
          </cell>
          <cell r="E4421" t="str">
            <v>Arroyo de Piedra</v>
          </cell>
          <cell r="H4421" t="str">
            <v>consulta_externa</v>
          </cell>
          <cell r="J4421" t="str">
            <v>bueno</v>
          </cell>
          <cell r="K4421" t="str">
            <v>defsi</v>
          </cell>
        </row>
        <row r="4422">
          <cell r="B4422" t="b">
            <v>1</v>
          </cell>
          <cell r="E4422" t="str">
            <v>Arroyo de Piedra</v>
          </cell>
          <cell r="H4422" t="str">
            <v>consulta_externa</v>
          </cell>
          <cell r="J4422" t="str">
            <v>bueno</v>
          </cell>
          <cell r="K4422" t="str">
            <v>defsi</v>
          </cell>
        </row>
        <row r="4423">
          <cell r="B4423" t="b">
            <v>1</v>
          </cell>
          <cell r="E4423" t="str">
            <v>Arroyo de Piedra</v>
          </cell>
          <cell r="H4423" t="str">
            <v>consulta_externa</v>
          </cell>
          <cell r="J4423" t="str">
            <v>bueno</v>
          </cell>
          <cell r="K4423" t="str">
            <v>defsi</v>
          </cell>
        </row>
        <row r="4424">
          <cell r="B4424" t="b">
            <v>1</v>
          </cell>
          <cell r="E4424" t="str">
            <v>Arroyo de Piedra</v>
          </cell>
          <cell r="H4424" t="str">
            <v>laboratorio</v>
          </cell>
          <cell r="J4424" t="str">
            <v>bueno</v>
          </cell>
          <cell r="K4424" t="str">
            <v>defsi</v>
          </cell>
        </row>
        <row r="4425">
          <cell r="B4425" t="b">
            <v>1</v>
          </cell>
          <cell r="E4425" t="str">
            <v>Arroyo de Piedra</v>
          </cell>
          <cell r="H4425" t="str">
            <v>salud_oral</v>
          </cell>
          <cell r="J4425" t="str">
            <v>bueno</v>
          </cell>
          <cell r="K4425" t="str">
            <v>defsi</v>
          </cell>
        </row>
        <row r="4426">
          <cell r="B4426" t="b">
            <v>1</v>
          </cell>
          <cell r="E4426" t="str">
            <v>Arroyo de Piedra</v>
          </cell>
          <cell r="H4426" t="str">
            <v>salud_oral</v>
          </cell>
          <cell r="J4426" t="str">
            <v>bueno</v>
          </cell>
          <cell r="K4426" t="str">
            <v>defsi</v>
          </cell>
        </row>
        <row r="4427">
          <cell r="B4427" t="b">
            <v>1</v>
          </cell>
          <cell r="E4427" t="str">
            <v>Arroyo de Piedra</v>
          </cell>
          <cell r="H4427" t="str">
            <v>laboratorio</v>
          </cell>
          <cell r="J4427" t="str">
            <v>bueno</v>
          </cell>
          <cell r="K4427" t="str">
            <v>defsi</v>
          </cell>
        </row>
        <row r="4428">
          <cell r="B4428" t="b">
            <v>1</v>
          </cell>
          <cell r="E4428" t="str">
            <v>Arroyo de Piedra</v>
          </cell>
          <cell r="H4428" t="str">
            <v>laboratorio</v>
          </cell>
          <cell r="J4428" t="str">
            <v>bueno</v>
          </cell>
          <cell r="K4428" t="str">
            <v>defsi</v>
          </cell>
        </row>
        <row r="4429">
          <cell r="B4429" t="b">
            <v>1</v>
          </cell>
          <cell r="E4429" t="str">
            <v>Arroyo de Piedra</v>
          </cell>
          <cell r="H4429" t="str">
            <v>laboratorio</v>
          </cell>
          <cell r="J4429" t="str">
            <v>bueno</v>
          </cell>
          <cell r="K4429" t="str">
            <v>defsi</v>
          </cell>
        </row>
        <row r="4430">
          <cell r="B4430" t="b">
            <v>1</v>
          </cell>
          <cell r="E4430" t="str">
            <v>Arroyo de Piedra</v>
          </cell>
          <cell r="H4430" t="str">
            <v>consulta_externa</v>
          </cell>
          <cell r="J4430" t="str">
            <v>bueno</v>
          </cell>
          <cell r="K4430" t="str">
            <v>defsi</v>
          </cell>
        </row>
        <row r="4431">
          <cell r="B4431" t="b">
            <v>1</v>
          </cell>
          <cell r="E4431" t="str">
            <v>Arroyo de Piedra</v>
          </cell>
          <cell r="H4431" t="str">
            <v>consulta_externa</v>
          </cell>
          <cell r="J4431" t="str">
            <v>bueno</v>
          </cell>
          <cell r="K4431" t="str">
            <v>defsi</v>
          </cell>
        </row>
        <row r="4432">
          <cell r="B4432" t="b">
            <v>1</v>
          </cell>
          <cell r="E4432" t="str">
            <v>Arroyo de Piedra</v>
          </cell>
          <cell r="H4432" t="str">
            <v>laboratorio</v>
          </cell>
          <cell r="J4432" t="str">
            <v>bueno</v>
          </cell>
          <cell r="K4432" t="str">
            <v>defsi</v>
          </cell>
        </row>
        <row r="4433">
          <cell r="B4433" t="b">
            <v>1</v>
          </cell>
          <cell r="E4433" t="str">
            <v>Arroyo de Piedra</v>
          </cell>
          <cell r="H4433" t="str">
            <v>laboratorio</v>
          </cell>
          <cell r="J4433" t="str">
            <v>bueno</v>
          </cell>
          <cell r="K4433" t="str">
            <v>defsi</v>
          </cell>
        </row>
        <row r="4434">
          <cell r="B4434" t="b">
            <v>1</v>
          </cell>
          <cell r="E4434" t="str">
            <v>Arroyo de Piedra</v>
          </cell>
          <cell r="H4434" t="str">
            <v>laboratorio</v>
          </cell>
          <cell r="J4434" t="str">
            <v>muybueno</v>
          </cell>
          <cell r="K4434" t="str">
            <v>defsi</v>
          </cell>
        </row>
        <row r="4435">
          <cell r="B4435" t="b">
            <v>1</v>
          </cell>
          <cell r="E4435" t="str">
            <v>Arroyo de Piedra</v>
          </cell>
          <cell r="H4435" t="str">
            <v>laboratorio</v>
          </cell>
          <cell r="J4435" t="str">
            <v>muybueno</v>
          </cell>
          <cell r="K4435" t="str">
            <v>defsi</v>
          </cell>
        </row>
        <row r="4436">
          <cell r="B4436" t="b">
            <v>0</v>
          </cell>
          <cell r="E4436" t="str">
            <v>Arroyo de Piedra</v>
          </cell>
          <cell r="H4436" t="str">
            <v>consulta_externa</v>
          </cell>
          <cell r="J4436" t="str">
            <v>regular</v>
          </cell>
          <cell r="K4436" t="str">
            <v>defsi</v>
          </cell>
        </row>
        <row r="4437">
          <cell r="B4437" t="b">
            <v>1</v>
          </cell>
          <cell r="E4437" t="str">
            <v>Arroyo de Piedra</v>
          </cell>
          <cell r="H4437" t="str">
            <v>laboratorio</v>
          </cell>
          <cell r="J4437" t="str">
            <v>bueno</v>
          </cell>
          <cell r="K4437" t="str">
            <v>defsi</v>
          </cell>
        </row>
        <row r="4438">
          <cell r="B4438" t="b">
            <v>1</v>
          </cell>
          <cell r="E4438" t="str">
            <v>Arroyo de Piedra</v>
          </cell>
          <cell r="H4438" t="str">
            <v>laboratorio</v>
          </cell>
          <cell r="J4438" t="str">
            <v>bueno</v>
          </cell>
          <cell r="K4438" t="str">
            <v>defsi</v>
          </cell>
        </row>
        <row r="4439">
          <cell r="B4439" t="b">
            <v>1</v>
          </cell>
          <cell r="E4439" t="str">
            <v>Arroyo de Piedra</v>
          </cell>
          <cell r="H4439" t="str">
            <v>salud_oral</v>
          </cell>
          <cell r="J4439" t="str">
            <v>bueno</v>
          </cell>
          <cell r="K4439" t="str">
            <v>defsi</v>
          </cell>
        </row>
        <row r="4440">
          <cell r="B4440" t="b">
            <v>1</v>
          </cell>
          <cell r="E4440" t="str">
            <v>San Pedro y Libertad</v>
          </cell>
          <cell r="H4440" t="str">
            <v>consulta_externa</v>
          </cell>
          <cell r="J4440" t="str">
            <v>bueno</v>
          </cell>
          <cell r="K4440" t="str">
            <v>probsi</v>
          </cell>
        </row>
        <row r="4441">
          <cell r="B4441" t="b">
            <v>1</v>
          </cell>
          <cell r="E4441" t="str">
            <v>San Pedro y Libertad</v>
          </cell>
          <cell r="H4441" t="str">
            <v>consulta_externa</v>
          </cell>
          <cell r="J4441" t="str">
            <v>bueno</v>
          </cell>
          <cell r="K4441" t="str">
            <v>probsi</v>
          </cell>
        </row>
        <row r="4442">
          <cell r="B4442" t="b">
            <v>1</v>
          </cell>
          <cell r="E4442" t="str">
            <v>San Pedro y Libertad</v>
          </cell>
          <cell r="H4442" t="str">
            <v>consulta_externa</v>
          </cell>
          <cell r="J4442" t="str">
            <v>bueno</v>
          </cell>
          <cell r="K4442" t="str">
            <v>probsi</v>
          </cell>
        </row>
        <row r="4443">
          <cell r="B4443" t="b">
            <v>1</v>
          </cell>
          <cell r="E4443" t="str">
            <v>San Pedro y Libertad</v>
          </cell>
          <cell r="H4443" t="str">
            <v>consulta_externa</v>
          </cell>
          <cell r="J4443" t="str">
            <v>bueno</v>
          </cell>
          <cell r="K4443" t="str">
            <v>probsi</v>
          </cell>
        </row>
        <row r="4444">
          <cell r="B4444" t="b">
            <v>1</v>
          </cell>
          <cell r="E4444" t="str">
            <v>San Pedro y Libertad</v>
          </cell>
          <cell r="H4444" t="str">
            <v>consulta_externa</v>
          </cell>
          <cell r="J4444" t="str">
            <v>bueno</v>
          </cell>
          <cell r="K4444" t="str">
            <v>probsi</v>
          </cell>
        </row>
        <row r="4445">
          <cell r="B4445" t="b">
            <v>1</v>
          </cell>
          <cell r="E4445" t="str">
            <v>San Pedro y Libertad</v>
          </cell>
          <cell r="H4445" t="str">
            <v>consulta_externa</v>
          </cell>
          <cell r="J4445" t="str">
            <v>bueno</v>
          </cell>
          <cell r="K4445" t="str">
            <v>probsi</v>
          </cell>
        </row>
        <row r="4446">
          <cell r="B4446" t="b">
            <v>1</v>
          </cell>
          <cell r="E4446" t="str">
            <v>San Pedro y Libertad</v>
          </cell>
          <cell r="H4446" t="str">
            <v>laboratorio</v>
          </cell>
          <cell r="J4446" t="str">
            <v>bueno</v>
          </cell>
          <cell r="K4446" t="str">
            <v>probsi</v>
          </cell>
        </row>
        <row r="4447">
          <cell r="B4447" t="b">
            <v>1</v>
          </cell>
          <cell r="E4447" t="str">
            <v>San Pedro y Libertad</v>
          </cell>
          <cell r="H4447" t="str">
            <v>laboratorio</v>
          </cell>
          <cell r="J4447" t="str">
            <v>bueno</v>
          </cell>
          <cell r="K4447" t="str">
            <v>probsi</v>
          </cell>
        </row>
        <row r="4448">
          <cell r="B4448" t="b">
            <v>1</v>
          </cell>
          <cell r="E4448" t="str">
            <v>San Pedro y Libertad</v>
          </cell>
          <cell r="H4448" t="str">
            <v>salud_oral</v>
          </cell>
          <cell r="J4448" t="str">
            <v>bueno</v>
          </cell>
          <cell r="K4448" t="str">
            <v>probsi</v>
          </cell>
        </row>
        <row r="4449">
          <cell r="B4449" t="b">
            <v>1</v>
          </cell>
          <cell r="E4449" t="str">
            <v>San Pedro y Libertad</v>
          </cell>
          <cell r="H4449" t="str">
            <v>salud_oral</v>
          </cell>
          <cell r="J4449" t="str">
            <v>bueno</v>
          </cell>
          <cell r="K4449" t="str">
            <v>probsi</v>
          </cell>
        </row>
        <row r="4450">
          <cell r="B4450" t="b">
            <v>1</v>
          </cell>
          <cell r="E4450" t="str">
            <v>Pozon</v>
          </cell>
          <cell r="H4450" t="str">
            <v>consulta_externa</v>
          </cell>
          <cell r="J4450" t="str">
            <v>bueno</v>
          </cell>
          <cell r="K4450" t="str">
            <v>probsi</v>
          </cell>
        </row>
        <row r="4451">
          <cell r="B4451" t="b">
            <v>1</v>
          </cell>
          <cell r="E4451" t="str">
            <v>Pozon</v>
          </cell>
          <cell r="H4451" t="str">
            <v>consulta_externa</v>
          </cell>
          <cell r="J4451" t="str">
            <v>bueno</v>
          </cell>
          <cell r="K4451" t="str">
            <v>probsi</v>
          </cell>
        </row>
        <row r="4452">
          <cell r="B4452" t="b">
            <v>1</v>
          </cell>
          <cell r="E4452" t="str">
            <v>Pozon</v>
          </cell>
          <cell r="H4452" t="str">
            <v>consulta_externa</v>
          </cell>
          <cell r="J4452" t="str">
            <v>bueno</v>
          </cell>
          <cell r="K4452" t="str">
            <v>probsi</v>
          </cell>
        </row>
        <row r="4453">
          <cell r="B4453" t="b">
            <v>1</v>
          </cell>
          <cell r="E4453" t="str">
            <v>Pozon</v>
          </cell>
          <cell r="H4453" t="str">
            <v>consulta_externa</v>
          </cell>
          <cell r="J4453" t="str">
            <v>bueno</v>
          </cell>
          <cell r="K4453" t="str">
            <v>probsi</v>
          </cell>
        </row>
        <row r="4454">
          <cell r="B4454" t="b">
            <v>1</v>
          </cell>
          <cell r="E4454" t="str">
            <v>Pozon</v>
          </cell>
          <cell r="H4454" t="str">
            <v>laboratorio</v>
          </cell>
          <cell r="J4454" t="str">
            <v>bueno</v>
          </cell>
          <cell r="K4454" t="str">
            <v>probsi</v>
          </cell>
        </row>
        <row r="4455">
          <cell r="B4455" t="b">
            <v>1</v>
          </cell>
          <cell r="E4455" t="str">
            <v>Pozon</v>
          </cell>
          <cell r="H4455" t="str">
            <v>laboratorio</v>
          </cell>
          <cell r="J4455" t="str">
            <v>bueno</v>
          </cell>
          <cell r="K4455" t="str">
            <v>probsi</v>
          </cell>
        </row>
        <row r="4456">
          <cell r="B4456" t="b">
            <v>1</v>
          </cell>
          <cell r="E4456" t="str">
            <v>Pozon</v>
          </cell>
          <cell r="H4456" t="str">
            <v>laboratorio</v>
          </cell>
          <cell r="J4456" t="str">
            <v>bueno</v>
          </cell>
          <cell r="K4456" t="str">
            <v>probsi</v>
          </cell>
        </row>
        <row r="4457">
          <cell r="B4457" t="b">
            <v>1</v>
          </cell>
          <cell r="E4457" t="str">
            <v>Pozon</v>
          </cell>
          <cell r="H4457" t="str">
            <v>laboratorio</v>
          </cell>
          <cell r="J4457" t="str">
            <v>bueno</v>
          </cell>
          <cell r="K4457" t="str">
            <v>probsi</v>
          </cell>
        </row>
        <row r="4458">
          <cell r="B4458" t="b">
            <v>1</v>
          </cell>
          <cell r="E4458" t="str">
            <v>Pozon</v>
          </cell>
          <cell r="H4458" t="str">
            <v>laboratorio</v>
          </cell>
          <cell r="J4458" t="str">
            <v>bueno</v>
          </cell>
          <cell r="K4458" t="str">
            <v>probsi</v>
          </cell>
        </row>
        <row r="4459">
          <cell r="B4459" t="b">
            <v>1</v>
          </cell>
          <cell r="E4459" t="str">
            <v>Pozon</v>
          </cell>
          <cell r="H4459" t="str">
            <v>laboratorio</v>
          </cell>
          <cell r="J4459" t="str">
            <v>bueno</v>
          </cell>
          <cell r="K4459" t="str">
            <v>probsi</v>
          </cell>
        </row>
        <row r="4460">
          <cell r="B4460" t="b">
            <v>1</v>
          </cell>
          <cell r="E4460" t="str">
            <v>Pozon</v>
          </cell>
          <cell r="H4460" t="str">
            <v>laboratorio</v>
          </cell>
          <cell r="J4460" t="str">
            <v>bueno</v>
          </cell>
          <cell r="K4460" t="str">
            <v>probsi</v>
          </cell>
        </row>
        <row r="4461">
          <cell r="B4461" t="b">
            <v>1</v>
          </cell>
          <cell r="E4461" t="str">
            <v>Pozon</v>
          </cell>
          <cell r="H4461" t="str">
            <v>laboratorio</v>
          </cell>
          <cell r="J4461" t="str">
            <v>bueno</v>
          </cell>
          <cell r="K4461" t="str">
            <v>probsi</v>
          </cell>
        </row>
        <row r="4462">
          <cell r="B4462" t="b">
            <v>1</v>
          </cell>
          <cell r="E4462" t="str">
            <v>Pozon</v>
          </cell>
          <cell r="H4462" t="str">
            <v>laboratorio</v>
          </cell>
          <cell r="J4462" t="str">
            <v>bueno</v>
          </cell>
          <cell r="K4462" t="str">
            <v>probsi</v>
          </cell>
        </row>
        <row r="4463">
          <cell r="B4463" t="b">
            <v>1</v>
          </cell>
          <cell r="E4463" t="str">
            <v>Pozon</v>
          </cell>
          <cell r="H4463" t="str">
            <v>laboratorio</v>
          </cell>
          <cell r="J4463" t="str">
            <v>bueno</v>
          </cell>
          <cell r="K4463" t="str">
            <v>probsi</v>
          </cell>
        </row>
        <row r="4464">
          <cell r="B4464" t="b">
            <v>1</v>
          </cell>
          <cell r="E4464" t="str">
            <v>Pozon</v>
          </cell>
          <cell r="H4464" t="str">
            <v>laboratorio</v>
          </cell>
          <cell r="J4464" t="str">
            <v>bueno</v>
          </cell>
          <cell r="K4464" t="str">
            <v>probsi</v>
          </cell>
        </row>
        <row r="4465">
          <cell r="B4465" t="b">
            <v>1</v>
          </cell>
          <cell r="E4465" t="str">
            <v>Pozon</v>
          </cell>
          <cell r="H4465" t="str">
            <v>laboratorio</v>
          </cell>
          <cell r="J4465" t="str">
            <v>bueno</v>
          </cell>
          <cell r="K4465" t="str">
            <v>probsi</v>
          </cell>
        </row>
        <row r="4466">
          <cell r="B4466" t="b">
            <v>1</v>
          </cell>
          <cell r="E4466" t="str">
            <v>Pozon</v>
          </cell>
          <cell r="H4466" t="str">
            <v>laboratorio</v>
          </cell>
          <cell r="J4466" t="str">
            <v>bueno</v>
          </cell>
          <cell r="K4466" t="str">
            <v>probsi</v>
          </cell>
        </row>
        <row r="4467">
          <cell r="B4467" t="b">
            <v>1</v>
          </cell>
          <cell r="E4467" t="str">
            <v>Pozon</v>
          </cell>
          <cell r="H4467" t="str">
            <v>laboratorio</v>
          </cell>
          <cell r="J4467" t="str">
            <v>bueno</v>
          </cell>
          <cell r="K4467" t="str">
            <v>probsi</v>
          </cell>
        </row>
        <row r="4468">
          <cell r="B4468" t="b">
            <v>1</v>
          </cell>
          <cell r="E4468" t="str">
            <v>Hospital Pozon</v>
          </cell>
          <cell r="H4468" t="str">
            <v>urgencia</v>
          </cell>
          <cell r="J4468" t="str">
            <v>bueno</v>
          </cell>
          <cell r="K4468" t="str">
            <v>defsi</v>
          </cell>
        </row>
        <row r="4469">
          <cell r="B4469" t="b">
            <v>1</v>
          </cell>
          <cell r="E4469" t="str">
            <v>Hospital Pozon</v>
          </cell>
          <cell r="H4469" t="str">
            <v>urgencia</v>
          </cell>
          <cell r="J4469" t="str">
            <v>bueno</v>
          </cell>
          <cell r="K4469" t="str">
            <v>defsi</v>
          </cell>
        </row>
        <row r="4470">
          <cell r="B4470" t="b">
            <v>1</v>
          </cell>
          <cell r="E4470" t="str">
            <v>Hospital Pozon</v>
          </cell>
          <cell r="H4470" t="str">
            <v>pediatria</v>
          </cell>
          <cell r="J4470" t="str">
            <v>bueno</v>
          </cell>
          <cell r="K4470" t="str">
            <v>defsi</v>
          </cell>
        </row>
        <row r="4471">
          <cell r="B4471" t="b">
            <v>1</v>
          </cell>
          <cell r="E4471" t="str">
            <v>Hospital Pozon</v>
          </cell>
          <cell r="H4471" t="str">
            <v>pediatria</v>
          </cell>
          <cell r="J4471" t="str">
            <v>bueno</v>
          </cell>
          <cell r="K4471" t="str">
            <v>defsi</v>
          </cell>
        </row>
        <row r="4472">
          <cell r="B4472" t="b">
            <v>1</v>
          </cell>
          <cell r="E4472" t="str">
            <v>Hospital Pozon</v>
          </cell>
          <cell r="H4472" t="str">
            <v>pediatria</v>
          </cell>
          <cell r="J4472" t="str">
            <v>bueno</v>
          </cell>
          <cell r="K4472" t="str">
            <v>defsi</v>
          </cell>
        </row>
        <row r="4473">
          <cell r="B4473" t="b">
            <v>1</v>
          </cell>
          <cell r="E4473" t="str">
            <v>Hospital Pozon</v>
          </cell>
          <cell r="H4473" t="str">
            <v>pediatria</v>
          </cell>
          <cell r="J4473" t="str">
            <v>bueno</v>
          </cell>
          <cell r="K4473" t="str">
            <v>defsi</v>
          </cell>
        </row>
        <row r="4474">
          <cell r="B4474" t="b">
            <v>1</v>
          </cell>
          <cell r="E4474" t="str">
            <v>Hospital Pozon</v>
          </cell>
          <cell r="H4474" t="str">
            <v>pediatria</v>
          </cell>
          <cell r="J4474" t="str">
            <v>bueno</v>
          </cell>
          <cell r="K4474" t="str">
            <v>defsi</v>
          </cell>
        </row>
        <row r="4475">
          <cell r="B4475" t="b">
            <v>1</v>
          </cell>
          <cell r="E4475" t="str">
            <v>Hospital Pozon</v>
          </cell>
          <cell r="H4475" t="str">
            <v>pediatria</v>
          </cell>
          <cell r="J4475" t="str">
            <v>bueno</v>
          </cell>
          <cell r="K4475" t="str">
            <v>defsi</v>
          </cell>
        </row>
        <row r="4476">
          <cell r="B4476" t="b">
            <v>1</v>
          </cell>
          <cell r="E4476" t="str">
            <v>Arroyo de Piedra</v>
          </cell>
          <cell r="H4476" t="str">
            <v>consulta_externa</v>
          </cell>
          <cell r="J4476" t="str">
            <v>bueno</v>
          </cell>
          <cell r="K4476" t="str">
            <v>defsi</v>
          </cell>
        </row>
        <row r="4477">
          <cell r="B4477" t="b">
            <v>1</v>
          </cell>
          <cell r="E4477" t="str">
            <v>Arroyo de Piedra</v>
          </cell>
          <cell r="H4477" t="str">
            <v>laboratorio</v>
          </cell>
          <cell r="J4477" t="str">
            <v>bueno</v>
          </cell>
          <cell r="K4477" t="str">
            <v>defsi</v>
          </cell>
        </row>
        <row r="4478">
          <cell r="B4478" t="b">
            <v>1</v>
          </cell>
          <cell r="E4478" t="str">
            <v>Arroyo de Piedra</v>
          </cell>
          <cell r="H4478" t="str">
            <v>salud_oral</v>
          </cell>
          <cell r="J4478" t="str">
            <v>muybueno</v>
          </cell>
          <cell r="K4478" t="str">
            <v>defsi</v>
          </cell>
        </row>
        <row r="4479">
          <cell r="B4479" t="b">
            <v>1</v>
          </cell>
          <cell r="E4479" t="str">
            <v>Arroyo de Piedra</v>
          </cell>
          <cell r="H4479" t="str">
            <v>salud_oral</v>
          </cell>
          <cell r="J4479" t="str">
            <v>bueno</v>
          </cell>
          <cell r="K4479" t="str">
            <v>defsi</v>
          </cell>
        </row>
        <row r="4480">
          <cell r="B4480" t="b">
            <v>1</v>
          </cell>
          <cell r="E4480" t="str">
            <v>Arroyo de Piedra</v>
          </cell>
          <cell r="H4480" t="str">
            <v>laboratorio</v>
          </cell>
          <cell r="J4480" t="str">
            <v>bueno</v>
          </cell>
          <cell r="K4480" t="str">
            <v>defsi</v>
          </cell>
        </row>
        <row r="4481">
          <cell r="B4481" t="b">
            <v>1</v>
          </cell>
          <cell r="E4481" t="str">
            <v>Arroyo de Piedra</v>
          </cell>
          <cell r="H4481" t="str">
            <v>consulta_externa</v>
          </cell>
          <cell r="J4481" t="str">
            <v>bueno</v>
          </cell>
          <cell r="K4481" t="str">
            <v>defsi</v>
          </cell>
        </row>
        <row r="4482">
          <cell r="B4482" t="b">
            <v>1</v>
          </cell>
          <cell r="E4482" t="str">
            <v>Arroyo de Piedra</v>
          </cell>
          <cell r="H4482" t="str">
            <v>laboratorio</v>
          </cell>
          <cell r="J4482" t="str">
            <v>bueno</v>
          </cell>
          <cell r="K4482" t="str">
            <v>defsi</v>
          </cell>
        </row>
        <row r="4483">
          <cell r="B4483" t="b">
            <v>1</v>
          </cell>
          <cell r="E4483" t="str">
            <v>Arroyo de Piedra</v>
          </cell>
          <cell r="H4483" t="str">
            <v>laboratorio</v>
          </cell>
          <cell r="J4483" t="str">
            <v>bueno</v>
          </cell>
          <cell r="K4483" t="str">
            <v>defsi</v>
          </cell>
        </row>
        <row r="4484">
          <cell r="B4484" t="b">
            <v>1</v>
          </cell>
          <cell r="E4484" t="str">
            <v>Arroyo de Piedra</v>
          </cell>
          <cell r="H4484" t="str">
            <v>laboratorio</v>
          </cell>
          <cell r="J4484" t="str">
            <v>bueno</v>
          </cell>
          <cell r="K4484" t="str">
            <v>defsi</v>
          </cell>
        </row>
        <row r="4485">
          <cell r="B4485" t="b">
            <v>1</v>
          </cell>
          <cell r="E4485" t="str">
            <v>Arroyo de Piedra</v>
          </cell>
          <cell r="H4485" t="str">
            <v>consulta_externa</v>
          </cell>
          <cell r="J4485" t="str">
            <v>muybueno</v>
          </cell>
          <cell r="K4485" t="str">
            <v>defsi</v>
          </cell>
        </row>
        <row r="4486">
          <cell r="B4486" t="b">
            <v>1</v>
          </cell>
          <cell r="E4486" t="str">
            <v>Arroyo de Piedra</v>
          </cell>
          <cell r="H4486" t="str">
            <v>consulta_externa</v>
          </cell>
          <cell r="J4486" t="str">
            <v>muybueno</v>
          </cell>
          <cell r="K4486" t="str">
            <v>defsi</v>
          </cell>
        </row>
        <row r="4487">
          <cell r="B4487" t="b">
            <v>1</v>
          </cell>
          <cell r="E4487" t="str">
            <v>Arroyo de Piedra</v>
          </cell>
          <cell r="H4487" t="str">
            <v>consulta_externa</v>
          </cell>
          <cell r="J4487" t="str">
            <v>muybueno</v>
          </cell>
          <cell r="K4487" t="str">
            <v>defsi</v>
          </cell>
        </row>
        <row r="4488">
          <cell r="B4488" t="b">
            <v>1</v>
          </cell>
          <cell r="E4488" t="str">
            <v>Arroyo de Piedra</v>
          </cell>
          <cell r="H4488" t="str">
            <v>salud_oral</v>
          </cell>
          <cell r="J4488" t="str">
            <v>muybueno</v>
          </cell>
          <cell r="K4488" t="str">
            <v>defsi</v>
          </cell>
        </row>
        <row r="4489">
          <cell r="B4489" t="b">
            <v>1</v>
          </cell>
          <cell r="E4489" t="str">
            <v>Arroyo de Piedra</v>
          </cell>
          <cell r="H4489" t="str">
            <v>salud_oral</v>
          </cell>
          <cell r="J4489" t="str">
            <v>bueno</v>
          </cell>
          <cell r="K4489" t="str">
            <v>defsi</v>
          </cell>
        </row>
        <row r="4490">
          <cell r="B4490" t="b">
            <v>1</v>
          </cell>
          <cell r="E4490" t="str">
            <v>Arroyo de Piedra</v>
          </cell>
          <cell r="H4490" t="str">
            <v>salud_oral</v>
          </cell>
          <cell r="J4490" t="str">
            <v>bueno</v>
          </cell>
          <cell r="K4490" t="str">
            <v>defsi</v>
          </cell>
        </row>
        <row r="4491">
          <cell r="B4491" t="b">
            <v>1</v>
          </cell>
          <cell r="E4491" t="str">
            <v>Islote de San Bernardo</v>
          </cell>
          <cell r="H4491" t="str">
            <v>consulta_externa</v>
          </cell>
          <cell r="J4491" t="str">
            <v>bueno</v>
          </cell>
          <cell r="K4491" t="str">
            <v>defsi</v>
          </cell>
        </row>
        <row r="4492">
          <cell r="B4492" t="b">
            <v>1</v>
          </cell>
          <cell r="E4492" t="str">
            <v>Islote de San Bernardo</v>
          </cell>
          <cell r="H4492" t="str">
            <v>consulta_externa</v>
          </cell>
          <cell r="J4492" t="str">
            <v>bueno</v>
          </cell>
          <cell r="K4492" t="str">
            <v>defsi</v>
          </cell>
        </row>
        <row r="4493">
          <cell r="B4493" t="b">
            <v>1</v>
          </cell>
          <cell r="E4493" t="str">
            <v>Islote de San Bernardo</v>
          </cell>
          <cell r="H4493" t="str">
            <v>consulta_externa</v>
          </cell>
          <cell r="J4493" t="str">
            <v>bueno</v>
          </cell>
          <cell r="K4493" t="str">
            <v>defsi</v>
          </cell>
        </row>
        <row r="4494">
          <cell r="B4494" t="b">
            <v>1</v>
          </cell>
          <cell r="E4494" t="str">
            <v>Islote de San Bernardo</v>
          </cell>
          <cell r="H4494" t="str">
            <v>laboratorio</v>
          </cell>
          <cell r="J4494" t="str">
            <v>bueno</v>
          </cell>
          <cell r="K4494" t="str">
            <v>defsi</v>
          </cell>
        </row>
        <row r="4495">
          <cell r="B4495" t="b">
            <v>1</v>
          </cell>
          <cell r="E4495" t="str">
            <v>Islote de San Bernardo</v>
          </cell>
          <cell r="H4495" t="str">
            <v>laboratorio</v>
          </cell>
          <cell r="J4495" t="str">
            <v>bueno</v>
          </cell>
          <cell r="K4495" t="str">
            <v>defsi</v>
          </cell>
        </row>
        <row r="4496">
          <cell r="B4496" t="b">
            <v>1</v>
          </cell>
          <cell r="E4496" t="str">
            <v>Arroyo de Piedra</v>
          </cell>
          <cell r="H4496" t="str">
            <v>consulta_externa</v>
          </cell>
          <cell r="J4496" t="str">
            <v>bueno</v>
          </cell>
          <cell r="K4496" t="str">
            <v>defsi</v>
          </cell>
        </row>
        <row r="4497">
          <cell r="B4497" t="b">
            <v>1</v>
          </cell>
          <cell r="E4497" t="str">
            <v>Arroyo de Piedra</v>
          </cell>
          <cell r="H4497" t="str">
            <v>salud_oral</v>
          </cell>
          <cell r="J4497" t="str">
            <v>bueno</v>
          </cell>
          <cell r="K4497" t="str">
            <v>defsi</v>
          </cell>
        </row>
        <row r="4498">
          <cell r="B4498" t="b">
            <v>1</v>
          </cell>
          <cell r="E4498" t="str">
            <v>Arroyo de Piedra</v>
          </cell>
          <cell r="H4498" t="str">
            <v>salud_oral</v>
          </cell>
          <cell r="J4498" t="str">
            <v>bueno</v>
          </cell>
          <cell r="K4498" t="str">
            <v>defsi</v>
          </cell>
        </row>
        <row r="4499">
          <cell r="B4499" t="b">
            <v>1</v>
          </cell>
          <cell r="E4499" t="str">
            <v>Arroyo de Piedra</v>
          </cell>
          <cell r="H4499" t="str">
            <v>salud_oral</v>
          </cell>
          <cell r="J4499" t="str">
            <v>bueno</v>
          </cell>
          <cell r="K4499" t="str">
            <v>defsi</v>
          </cell>
        </row>
        <row r="4500">
          <cell r="B4500" t="b">
            <v>1</v>
          </cell>
          <cell r="E4500" t="str">
            <v>Arroyo de Piedra</v>
          </cell>
          <cell r="H4500" t="str">
            <v>salud_oral</v>
          </cell>
          <cell r="J4500" t="str">
            <v>bueno</v>
          </cell>
          <cell r="K4500" t="str">
            <v>defsi</v>
          </cell>
        </row>
        <row r="4501">
          <cell r="B4501" t="b">
            <v>1</v>
          </cell>
          <cell r="E4501" t="str">
            <v>Arroyo de Piedra</v>
          </cell>
          <cell r="H4501" t="str">
            <v>consulta_externa</v>
          </cell>
          <cell r="J4501" t="str">
            <v>bueno</v>
          </cell>
          <cell r="K4501" t="str">
            <v>defsi</v>
          </cell>
        </row>
        <row r="4502">
          <cell r="B4502" t="b">
            <v>1</v>
          </cell>
          <cell r="E4502" t="str">
            <v>Arroyo de Piedra</v>
          </cell>
          <cell r="H4502" t="str">
            <v>consulta_externa</v>
          </cell>
          <cell r="J4502" t="str">
            <v>bueno</v>
          </cell>
          <cell r="K4502" t="str">
            <v>defsi</v>
          </cell>
        </row>
        <row r="4503">
          <cell r="B4503" t="b">
            <v>1</v>
          </cell>
          <cell r="E4503" t="str">
            <v>Arroyo de Piedra</v>
          </cell>
          <cell r="H4503" t="str">
            <v>consulta_externa</v>
          </cell>
          <cell r="J4503" t="str">
            <v>bueno</v>
          </cell>
          <cell r="K4503" t="str">
            <v>defsi</v>
          </cell>
        </row>
        <row r="4504">
          <cell r="B4504" t="b">
            <v>1</v>
          </cell>
          <cell r="E4504" t="str">
            <v>Arroyo de Piedra</v>
          </cell>
          <cell r="H4504" t="str">
            <v>laboratorio</v>
          </cell>
          <cell r="J4504" t="str">
            <v>bueno</v>
          </cell>
          <cell r="K4504" t="str">
            <v>defsi</v>
          </cell>
        </row>
        <row r="4505">
          <cell r="B4505" t="b">
            <v>1</v>
          </cell>
          <cell r="E4505" t="str">
            <v>Arroyo de Piedra</v>
          </cell>
          <cell r="H4505" t="str">
            <v>consulta_externa</v>
          </cell>
          <cell r="J4505" t="str">
            <v>bueno</v>
          </cell>
          <cell r="K4505" t="str">
            <v>defsi</v>
          </cell>
        </row>
        <row r="4506">
          <cell r="B4506" t="b">
            <v>1</v>
          </cell>
          <cell r="E4506" t="str">
            <v>Islote de San Bernardo</v>
          </cell>
          <cell r="H4506" t="str">
            <v>laboratorio</v>
          </cell>
          <cell r="J4506" t="str">
            <v>bueno</v>
          </cell>
          <cell r="K4506" t="str">
            <v>defsi</v>
          </cell>
        </row>
        <row r="4507">
          <cell r="B4507" t="b">
            <v>1</v>
          </cell>
          <cell r="E4507" t="str">
            <v>Islote de San Bernardo</v>
          </cell>
          <cell r="H4507" t="str">
            <v>laboratorio</v>
          </cell>
          <cell r="J4507" t="str">
            <v>bueno</v>
          </cell>
          <cell r="K4507" t="str">
            <v>defsi</v>
          </cell>
        </row>
        <row r="4508">
          <cell r="B4508" t="b">
            <v>1</v>
          </cell>
          <cell r="E4508" t="str">
            <v>Islote de San Bernardo</v>
          </cell>
          <cell r="H4508" t="str">
            <v>laboratorio</v>
          </cell>
          <cell r="J4508" t="str">
            <v>bueno</v>
          </cell>
          <cell r="K4508" t="str">
            <v>defsi</v>
          </cell>
        </row>
        <row r="4509">
          <cell r="B4509" t="b">
            <v>1</v>
          </cell>
          <cell r="E4509" t="str">
            <v>Islote de San Bernardo</v>
          </cell>
          <cell r="H4509" t="str">
            <v>laboratorio</v>
          </cell>
          <cell r="J4509" t="str">
            <v>bueno</v>
          </cell>
          <cell r="K4509" t="str">
            <v>defsi</v>
          </cell>
        </row>
        <row r="4510">
          <cell r="B4510" t="b">
            <v>1</v>
          </cell>
          <cell r="E4510" t="str">
            <v>Islote de San Bernardo</v>
          </cell>
          <cell r="H4510" t="str">
            <v>laboratorio</v>
          </cell>
          <cell r="J4510" t="str">
            <v>bueno</v>
          </cell>
          <cell r="K4510" t="str">
            <v>defsi</v>
          </cell>
        </row>
        <row r="4511">
          <cell r="B4511" t="b">
            <v>1</v>
          </cell>
          <cell r="E4511" t="str">
            <v>Islote de San Bernardo</v>
          </cell>
          <cell r="H4511" t="str">
            <v>laboratorio</v>
          </cell>
          <cell r="J4511" t="str">
            <v>bueno</v>
          </cell>
          <cell r="K4511" t="str">
            <v>defsi</v>
          </cell>
        </row>
        <row r="4512">
          <cell r="B4512" t="b">
            <v>1</v>
          </cell>
          <cell r="E4512" t="str">
            <v>Islote de San Bernardo</v>
          </cell>
          <cell r="H4512" t="str">
            <v>laboratorio</v>
          </cell>
          <cell r="J4512" t="str">
            <v>bueno</v>
          </cell>
          <cell r="K4512" t="str">
            <v>defsi</v>
          </cell>
        </row>
        <row r="4513">
          <cell r="B4513" t="b">
            <v>1</v>
          </cell>
          <cell r="E4513" t="str">
            <v>Islote de San Bernardo</v>
          </cell>
          <cell r="H4513" t="str">
            <v>laboratorio</v>
          </cell>
          <cell r="J4513" t="str">
            <v>bueno</v>
          </cell>
          <cell r="K4513" t="str">
            <v>defsi</v>
          </cell>
        </row>
        <row r="4514">
          <cell r="B4514" t="b">
            <v>1</v>
          </cell>
          <cell r="E4514" t="str">
            <v>Islote de San Bernardo</v>
          </cell>
          <cell r="H4514" t="str">
            <v>laboratorio</v>
          </cell>
          <cell r="J4514" t="str">
            <v>bueno</v>
          </cell>
          <cell r="K4514" t="str">
            <v>defsi</v>
          </cell>
        </row>
        <row r="4515">
          <cell r="B4515" t="b">
            <v>1</v>
          </cell>
          <cell r="E4515" t="str">
            <v>Islote de San Bernardo</v>
          </cell>
          <cell r="H4515" t="str">
            <v>laboratorio</v>
          </cell>
          <cell r="J4515" t="str">
            <v>bueno</v>
          </cell>
          <cell r="K4515" t="str">
            <v>defsi</v>
          </cell>
        </row>
        <row r="4516">
          <cell r="B4516" t="b">
            <v>1</v>
          </cell>
          <cell r="E4516" t="str">
            <v>Arroyo de Piedra</v>
          </cell>
          <cell r="H4516" t="str">
            <v>laboratorio</v>
          </cell>
          <cell r="J4516" t="str">
            <v>bueno</v>
          </cell>
          <cell r="K4516" t="str">
            <v>defsi</v>
          </cell>
        </row>
        <row r="4517">
          <cell r="B4517" t="b">
            <v>1</v>
          </cell>
          <cell r="E4517" t="str">
            <v>Arroyo de Piedra</v>
          </cell>
          <cell r="H4517" t="str">
            <v>laboratorio</v>
          </cell>
          <cell r="J4517" t="str">
            <v>bueno</v>
          </cell>
          <cell r="K4517" t="str">
            <v>defsi</v>
          </cell>
        </row>
        <row r="4518">
          <cell r="B4518" t="b">
            <v>1</v>
          </cell>
          <cell r="E4518" t="str">
            <v>Arroyo de Piedra</v>
          </cell>
          <cell r="H4518" t="str">
            <v>laboratorio</v>
          </cell>
          <cell r="J4518" t="str">
            <v>bueno</v>
          </cell>
          <cell r="K4518" t="str">
            <v>defsi</v>
          </cell>
        </row>
        <row r="4519">
          <cell r="B4519" t="b">
            <v>1</v>
          </cell>
          <cell r="E4519" t="str">
            <v>Islote de San Bernardo</v>
          </cell>
          <cell r="H4519" t="str">
            <v>laboratorio</v>
          </cell>
          <cell r="J4519" t="str">
            <v>bueno</v>
          </cell>
          <cell r="K4519" t="str">
            <v>defsi</v>
          </cell>
        </row>
        <row r="4520">
          <cell r="B4520" t="b">
            <v>1</v>
          </cell>
          <cell r="E4520" t="str">
            <v>Islote de San Bernardo</v>
          </cell>
          <cell r="H4520" t="str">
            <v>consulta_externa</v>
          </cell>
          <cell r="J4520" t="str">
            <v>bueno</v>
          </cell>
          <cell r="K4520" t="str">
            <v>defsi</v>
          </cell>
        </row>
        <row r="4521">
          <cell r="B4521" t="b">
            <v>1</v>
          </cell>
          <cell r="E4521" t="str">
            <v>Islote de San Bernardo</v>
          </cell>
          <cell r="H4521" t="str">
            <v>consulta_externa</v>
          </cell>
          <cell r="J4521" t="str">
            <v>bueno</v>
          </cell>
          <cell r="K4521" t="str">
            <v>defsi</v>
          </cell>
        </row>
        <row r="4522">
          <cell r="B4522" t="b">
            <v>1</v>
          </cell>
          <cell r="E4522" t="str">
            <v>Islote de San Bernardo</v>
          </cell>
          <cell r="H4522" t="str">
            <v>consulta_externa</v>
          </cell>
          <cell r="J4522" t="str">
            <v>bueno</v>
          </cell>
          <cell r="K4522" t="str">
            <v>defsi</v>
          </cell>
        </row>
        <row r="4523">
          <cell r="B4523" t="b">
            <v>1</v>
          </cell>
          <cell r="E4523" t="str">
            <v>Arroyo de Piedra</v>
          </cell>
          <cell r="H4523" t="str">
            <v>laboratorio</v>
          </cell>
          <cell r="J4523" t="str">
            <v>bueno</v>
          </cell>
          <cell r="K4523" t="str">
            <v>defsi</v>
          </cell>
        </row>
        <row r="4524">
          <cell r="B4524" t="b">
            <v>1</v>
          </cell>
          <cell r="E4524" t="str">
            <v>Islote de San Bernardo</v>
          </cell>
          <cell r="H4524" t="str">
            <v>consulta_externa</v>
          </cell>
          <cell r="J4524" t="str">
            <v>bueno</v>
          </cell>
          <cell r="K4524" t="str">
            <v>defsi</v>
          </cell>
        </row>
        <row r="4525">
          <cell r="B4525" t="b">
            <v>1</v>
          </cell>
          <cell r="E4525" t="str">
            <v>Islote de San Bernardo</v>
          </cell>
          <cell r="H4525" t="str">
            <v>laboratorio</v>
          </cell>
          <cell r="J4525" t="str">
            <v>bueno</v>
          </cell>
          <cell r="K4525" t="str">
            <v>defsi</v>
          </cell>
        </row>
        <row r="4526">
          <cell r="B4526" t="b">
            <v>1</v>
          </cell>
          <cell r="E4526" t="str">
            <v>Islote de San Bernardo</v>
          </cell>
          <cell r="H4526" t="str">
            <v>laboratorio</v>
          </cell>
          <cell r="J4526" t="str">
            <v>bueno</v>
          </cell>
          <cell r="K4526" t="str">
            <v>defsi</v>
          </cell>
        </row>
        <row r="4527">
          <cell r="B4527" t="b">
            <v>1</v>
          </cell>
          <cell r="E4527" t="str">
            <v>Islote de San Bernardo</v>
          </cell>
          <cell r="H4527" t="str">
            <v>laboratorio</v>
          </cell>
          <cell r="J4527" t="str">
            <v>bueno</v>
          </cell>
          <cell r="K4527" t="str">
            <v>defsi</v>
          </cell>
        </row>
        <row r="4528">
          <cell r="B4528" t="b">
            <v>1</v>
          </cell>
          <cell r="E4528" t="str">
            <v>Islote de San Bernardo</v>
          </cell>
          <cell r="H4528" t="str">
            <v>laboratorio</v>
          </cell>
          <cell r="J4528" t="str">
            <v>bueno</v>
          </cell>
          <cell r="K4528" t="str">
            <v>defsi</v>
          </cell>
        </row>
        <row r="4529">
          <cell r="B4529" t="b">
            <v>1</v>
          </cell>
          <cell r="E4529" t="str">
            <v>Islote de San Bernardo</v>
          </cell>
          <cell r="H4529" t="str">
            <v>laboratorio</v>
          </cell>
          <cell r="J4529" t="str">
            <v>bueno</v>
          </cell>
          <cell r="K4529" t="str">
            <v>defsi</v>
          </cell>
        </row>
        <row r="4530">
          <cell r="B4530" t="b">
            <v>1</v>
          </cell>
          <cell r="E4530" t="str">
            <v>Arroyo de Piedra</v>
          </cell>
          <cell r="H4530" t="str">
            <v>laboratorio</v>
          </cell>
          <cell r="J4530" t="str">
            <v>bueno</v>
          </cell>
          <cell r="K4530" t="str">
            <v>defsi</v>
          </cell>
        </row>
        <row r="4531">
          <cell r="B4531" t="b">
            <v>1</v>
          </cell>
          <cell r="E4531" t="str">
            <v>Islote de San Bernardo</v>
          </cell>
          <cell r="H4531" t="str">
            <v>laboratorio</v>
          </cell>
          <cell r="J4531" t="str">
            <v>bueno</v>
          </cell>
          <cell r="K4531" t="str">
            <v>defsi</v>
          </cell>
        </row>
        <row r="4532">
          <cell r="B4532" t="b">
            <v>1</v>
          </cell>
          <cell r="E4532" t="str">
            <v>Islote de San Bernardo</v>
          </cell>
          <cell r="H4532" t="str">
            <v>laboratorio</v>
          </cell>
          <cell r="J4532" t="str">
            <v>bueno</v>
          </cell>
          <cell r="K4532" t="str">
            <v>defsi</v>
          </cell>
        </row>
        <row r="4533">
          <cell r="B4533" t="b">
            <v>1</v>
          </cell>
          <cell r="E4533" t="str">
            <v>Islote de San Bernardo</v>
          </cell>
          <cell r="H4533" t="str">
            <v>laboratorio</v>
          </cell>
          <cell r="J4533" t="str">
            <v>bueno</v>
          </cell>
          <cell r="K4533" t="str">
            <v>defsi</v>
          </cell>
        </row>
        <row r="4534">
          <cell r="B4534" t="b">
            <v>1</v>
          </cell>
          <cell r="E4534" t="str">
            <v>Hospital Pozon</v>
          </cell>
          <cell r="H4534" t="str">
            <v>laboratorio</v>
          </cell>
          <cell r="J4534" t="str">
            <v>bueno</v>
          </cell>
          <cell r="K4534" t="str">
            <v>defsi</v>
          </cell>
        </row>
        <row r="4535">
          <cell r="B4535" t="b">
            <v>1</v>
          </cell>
          <cell r="E4535" t="str">
            <v>Hospital Pozon</v>
          </cell>
          <cell r="H4535" t="str">
            <v>laboratorio</v>
          </cell>
          <cell r="J4535" t="str">
            <v>bueno</v>
          </cell>
          <cell r="K4535" t="str">
            <v>defsi</v>
          </cell>
        </row>
        <row r="4536">
          <cell r="B4536" t="b">
            <v>1</v>
          </cell>
          <cell r="E4536" t="str">
            <v>Hospital Pozon</v>
          </cell>
          <cell r="H4536" t="str">
            <v>laboratorio</v>
          </cell>
          <cell r="J4536" t="str">
            <v>bueno</v>
          </cell>
          <cell r="K4536" t="str">
            <v>defsi</v>
          </cell>
        </row>
        <row r="4537">
          <cell r="B4537" t="b">
            <v>1</v>
          </cell>
          <cell r="E4537" t="str">
            <v>Hospital Pozon</v>
          </cell>
          <cell r="H4537" t="str">
            <v>ecografias</v>
          </cell>
          <cell r="J4537" t="str">
            <v>bueno</v>
          </cell>
          <cell r="K4537" t="str">
            <v>defsi</v>
          </cell>
        </row>
        <row r="4538">
          <cell r="B4538" t="b">
            <v>1</v>
          </cell>
          <cell r="E4538" t="str">
            <v>Hospital Pozon</v>
          </cell>
          <cell r="H4538" t="str">
            <v>ecografias</v>
          </cell>
          <cell r="J4538" t="str">
            <v>bueno</v>
          </cell>
          <cell r="K4538" t="str">
            <v>defsi</v>
          </cell>
        </row>
        <row r="4539">
          <cell r="B4539" t="b">
            <v>1</v>
          </cell>
          <cell r="E4539" t="str">
            <v>Hospital Pozon</v>
          </cell>
          <cell r="H4539" t="str">
            <v>ecografias</v>
          </cell>
          <cell r="J4539" t="str">
            <v>bueno</v>
          </cell>
          <cell r="K4539" t="str">
            <v>defsi</v>
          </cell>
        </row>
        <row r="4540">
          <cell r="B4540" t="b">
            <v>1</v>
          </cell>
          <cell r="E4540" t="str">
            <v>Hospital Pozon</v>
          </cell>
          <cell r="H4540" t="str">
            <v>ecografias</v>
          </cell>
          <cell r="J4540" t="str">
            <v>bueno</v>
          </cell>
          <cell r="K4540" t="str">
            <v>defsi</v>
          </cell>
        </row>
        <row r="4541">
          <cell r="B4541" t="b">
            <v>1</v>
          </cell>
          <cell r="E4541" t="str">
            <v>Hospital Pozon</v>
          </cell>
          <cell r="H4541" t="str">
            <v>ecografias</v>
          </cell>
          <cell r="J4541" t="str">
            <v>bueno</v>
          </cell>
          <cell r="K4541" t="str">
            <v>defsi</v>
          </cell>
        </row>
        <row r="4542">
          <cell r="B4542" t="b">
            <v>1</v>
          </cell>
          <cell r="E4542" t="str">
            <v>Hospital Pozon</v>
          </cell>
          <cell r="H4542" t="str">
            <v>ecografias</v>
          </cell>
          <cell r="J4542" t="str">
            <v>bueno</v>
          </cell>
          <cell r="K4542" t="str">
            <v>defsi</v>
          </cell>
        </row>
        <row r="4543">
          <cell r="B4543" t="b">
            <v>1</v>
          </cell>
          <cell r="E4543" t="str">
            <v>Hospital Pozon</v>
          </cell>
          <cell r="H4543" t="str">
            <v>ecografias</v>
          </cell>
          <cell r="J4543" t="str">
            <v>bueno</v>
          </cell>
          <cell r="K4543" t="str">
            <v>defsi</v>
          </cell>
        </row>
        <row r="4544">
          <cell r="B4544" t="b">
            <v>1</v>
          </cell>
          <cell r="E4544" t="str">
            <v>Hospital Pozon</v>
          </cell>
          <cell r="H4544" t="str">
            <v>ecografias</v>
          </cell>
          <cell r="J4544" t="str">
            <v>bueno</v>
          </cell>
          <cell r="K4544" t="str">
            <v>defsi</v>
          </cell>
        </row>
        <row r="4545">
          <cell r="B4545" t="b">
            <v>1</v>
          </cell>
          <cell r="E4545" t="str">
            <v>Hospital Pozon</v>
          </cell>
          <cell r="H4545" t="str">
            <v>ecografias</v>
          </cell>
          <cell r="J4545" t="str">
            <v>bueno</v>
          </cell>
          <cell r="K4545" t="str">
            <v>defsi</v>
          </cell>
        </row>
        <row r="4546">
          <cell r="B4546" t="b">
            <v>1</v>
          </cell>
          <cell r="E4546" t="str">
            <v>Hospital Pozon</v>
          </cell>
          <cell r="H4546" t="str">
            <v>ecografias</v>
          </cell>
          <cell r="J4546" t="str">
            <v>bueno</v>
          </cell>
          <cell r="K4546" t="str">
            <v>defsi</v>
          </cell>
        </row>
        <row r="4547">
          <cell r="B4547" t="b">
            <v>1</v>
          </cell>
          <cell r="E4547" t="str">
            <v>Hospital Pozon</v>
          </cell>
          <cell r="H4547" t="str">
            <v>pediatria</v>
          </cell>
          <cell r="J4547" t="str">
            <v>bueno</v>
          </cell>
          <cell r="K4547" t="str">
            <v>defsi</v>
          </cell>
        </row>
        <row r="4548">
          <cell r="B4548" t="b">
            <v>1</v>
          </cell>
          <cell r="E4548" t="str">
            <v>Hospital Pozon</v>
          </cell>
          <cell r="H4548" t="str">
            <v>pediatria</v>
          </cell>
          <cell r="J4548" t="str">
            <v>bueno</v>
          </cell>
          <cell r="K4548" t="str">
            <v>defsi</v>
          </cell>
        </row>
        <row r="4549">
          <cell r="B4549" t="b">
            <v>1</v>
          </cell>
          <cell r="E4549" t="str">
            <v>Hospital Pozon</v>
          </cell>
          <cell r="H4549" t="str">
            <v>pediatria</v>
          </cell>
          <cell r="J4549" t="str">
            <v>bueno</v>
          </cell>
          <cell r="K4549" t="str">
            <v>defsi</v>
          </cell>
        </row>
        <row r="4550">
          <cell r="B4550" t="b">
            <v>1</v>
          </cell>
          <cell r="E4550" t="str">
            <v>Hospital Pozon</v>
          </cell>
          <cell r="H4550" t="str">
            <v>pediatria</v>
          </cell>
          <cell r="J4550" t="str">
            <v>bueno</v>
          </cell>
          <cell r="K4550" t="str">
            <v>defsi</v>
          </cell>
        </row>
        <row r="4551">
          <cell r="B4551" t="b">
            <v>1</v>
          </cell>
          <cell r="E4551" t="str">
            <v>Hospital Pozon</v>
          </cell>
          <cell r="H4551" t="str">
            <v>laboratorio</v>
          </cell>
          <cell r="J4551" t="str">
            <v>bueno</v>
          </cell>
          <cell r="K4551" t="str">
            <v>defsi</v>
          </cell>
        </row>
        <row r="4552">
          <cell r="B4552" t="b">
            <v>1</v>
          </cell>
          <cell r="E4552" t="str">
            <v>Hospital Pozon</v>
          </cell>
          <cell r="H4552" t="str">
            <v>laboratorio</v>
          </cell>
          <cell r="J4552" t="str">
            <v>bueno</v>
          </cell>
          <cell r="K4552" t="str">
            <v>defsi</v>
          </cell>
        </row>
        <row r="4553">
          <cell r="B4553" t="b">
            <v>1</v>
          </cell>
          <cell r="E4553" t="str">
            <v>Hospital Pozon</v>
          </cell>
          <cell r="H4553" t="str">
            <v>laboratorio</v>
          </cell>
          <cell r="J4553" t="str">
            <v>bueno</v>
          </cell>
          <cell r="K4553" t="str">
            <v>defsi</v>
          </cell>
        </row>
        <row r="4554">
          <cell r="B4554" t="b">
            <v>1</v>
          </cell>
          <cell r="E4554" t="str">
            <v>Hospital Pozon</v>
          </cell>
          <cell r="H4554" t="str">
            <v>laboratorio</v>
          </cell>
          <cell r="J4554" t="str">
            <v>bueno</v>
          </cell>
          <cell r="K4554" t="str">
            <v>defsi</v>
          </cell>
        </row>
        <row r="4555">
          <cell r="B4555" t="b">
            <v>1</v>
          </cell>
          <cell r="E4555" t="str">
            <v>Hospital Pozon</v>
          </cell>
          <cell r="H4555" t="str">
            <v>laboratorio</v>
          </cell>
          <cell r="J4555" t="str">
            <v>bueno</v>
          </cell>
          <cell r="K4555" t="str">
            <v>defsi</v>
          </cell>
        </row>
        <row r="4556">
          <cell r="B4556" t="b">
            <v>1</v>
          </cell>
          <cell r="E4556" t="str">
            <v>Hospital Pozon</v>
          </cell>
          <cell r="H4556" t="str">
            <v>rx</v>
          </cell>
          <cell r="J4556" t="str">
            <v>bueno</v>
          </cell>
          <cell r="K4556" t="str">
            <v>defsi</v>
          </cell>
        </row>
        <row r="4557">
          <cell r="B4557" t="b">
            <v>1</v>
          </cell>
          <cell r="E4557" t="str">
            <v>Hospital Pozon</v>
          </cell>
          <cell r="H4557" t="str">
            <v>rx</v>
          </cell>
          <cell r="J4557" t="str">
            <v>bueno</v>
          </cell>
          <cell r="K4557" t="str">
            <v>defsi</v>
          </cell>
        </row>
        <row r="4558">
          <cell r="B4558" t="b">
            <v>1</v>
          </cell>
          <cell r="E4558" t="str">
            <v>Hospital Pozon</v>
          </cell>
          <cell r="H4558" t="str">
            <v>rx</v>
          </cell>
          <cell r="J4558" t="str">
            <v>bueno</v>
          </cell>
          <cell r="K4558" t="str">
            <v>defsi</v>
          </cell>
        </row>
        <row r="4559">
          <cell r="B4559" t="b">
            <v>1</v>
          </cell>
          <cell r="E4559" t="str">
            <v>Santa Ana</v>
          </cell>
          <cell r="H4559" t="str">
            <v>consulta_externa</v>
          </cell>
          <cell r="J4559" t="str">
            <v>bueno</v>
          </cell>
          <cell r="K4559" t="str">
            <v>defsi</v>
          </cell>
        </row>
        <row r="4560">
          <cell r="B4560" t="b">
            <v>1</v>
          </cell>
          <cell r="E4560" t="str">
            <v>Santa Ana</v>
          </cell>
          <cell r="H4560" t="str">
            <v>salud_oral</v>
          </cell>
          <cell r="J4560" t="str">
            <v>bueno</v>
          </cell>
          <cell r="K4560" t="str">
            <v>defsi</v>
          </cell>
        </row>
        <row r="4561">
          <cell r="B4561" t="b">
            <v>1</v>
          </cell>
          <cell r="E4561" t="str">
            <v>Santa Ana</v>
          </cell>
          <cell r="H4561" t="str">
            <v>laboratorio</v>
          </cell>
          <cell r="J4561" t="str">
            <v>bueno</v>
          </cell>
          <cell r="K4561" t="str">
            <v>defsi</v>
          </cell>
        </row>
        <row r="4562">
          <cell r="B4562" t="b">
            <v>1</v>
          </cell>
          <cell r="E4562" t="str">
            <v>Santa Ana</v>
          </cell>
          <cell r="H4562" t="str">
            <v>consulta_externa</v>
          </cell>
          <cell r="J4562" t="str">
            <v>bueno</v>
          </cell>
          <cell r="K4562" t="str">
            <v>defsi</v>
          </cell>
        </row>
        <row r="4563">
          <cell r="B4563" t="b">
            <v>1</v>
          </cell>
          <cell r="E4563" t="str">
            <v>Santa Ana</v>
          </cell>
          <cell r="H4563" t="str">
            <v>salud_oral</v>
          </cell>
          <cell r="J4563" t="str">
            <v>bueno</v>
          </cell>
          <cell r="K4563" t="str">
            <v>defsi</v>
          </cell>
        </row>
        <row r="4564">
          <cell r="B4564" t="b">
            <v>1</v>
          </cell>
          <cell r="E4564" t="str">
            <v>Santa Ana</v>
          </cell>
          <cell r="H4564" t="str">
            <v>laboratorio</v>
          </cell>
          <cell r="J4564" t="str">
            <v>bueno</v>
          </cell>
          <cell r="K4564" t="str">
            <v>defsi</v>
          </cell>
        </row>
        <row r="4565">
          <cell r="B4565" t="b">
            <v>1</v>
          </cell>
          <cell r="E4565" t="str">
            <v>Santa Ana</v>
          </cell>
          <cell r="H4565" t="str">
            <v>urgencia</v>
          </cell>
          <cell r="J4565" t="str">
            <v>bueno</v>
          </cell>
          <cell r="K4565" t="str">
            <v>defsi</v>
          </cell>
        </row>
        <row r="4566">
          <cell r="B4566" t="b">
            <v>1</v>
          </cell>
          <cell r="E4566" t="str">
            <v>Santa Ana</v>
          </cell>
          <cell r="H4566" t="str">
            <v>consulta_externa</v>
          </cell>
          <cell r="J4566" t="str">
            <v>bueno</v>
          </cell>
          <cell r="K4566" t="str">
            <v>defsi</v>
          </cell>
        </row>
        <row r="4567">
          <cell r="B4567" t="b">
            <v>1</v>
          </cell>
          <cell r="E4567" t="str">
            <v>Santa Ana</v>
          </cell>
          <cell r="H4567" t="str">
            <v>salud_oral</v>
          </cell>
          <cell r="J4567" t="str">
            <v>bueno</v>
          </cell>
          <cell r="K4567" t="str">
            <v>defsi</v>
          </cell>
        </row>
        <row r="4568">
          <cell r="B4568" t="b">
            <v>1</v>
          </cell>
          <cell r="E4568" t="str">
            <v>Santa Ana</v>
          </cell>
          <cell r="H4568" t="str">
            <v>laboratorio</v>
          </cell>
          <cell r="J4568" t="str">
            <v>bueno</v>
          </cell>
          <cell r="K4568" t="str">
            <v>defsi</v>
          </cell>
        </row>
        <row r="4569">
          <cell r="B4569" t="b">
            <v>1</v>
          </cell>
          <cell r="E4569" t="str">
            <v>Santa Ana</v>
          </cell>
          <cell r="H4569" t="str">
            <v>urgencia</v>
          </cell>
          <cell r="J4569" t="str">
            <v>bueno</v>
          </cell>
          <cell r="K4569" t="str">
            <v>defsi</v>
          </cell>
        </row>
        <row r="4570">
          <cell r="B4570" t="b">
            <v>1</v>
          </cell>
          <cell r="E4570" t="str">
            <v>Santa Ana</v>
          </cell>
          <cell r="H4570" t="str">
            <v>consulta_externa</v>
          </cell>
          <cell r="J4570" t="str">
            <v>bueno</v>
          </cell>
          <cell r="K4570" t="str">
            <v>defsi</v>
          </cell>
        </row>
        <row r="4571">
          <cell r="B4571" t="b">
            <v>1</v>
          </cell>
          <cell r="E4571" t="str">
            <v>Santa Ana</v>
          </cell>
          <cell r="H4571" t="str">
            <v>salud_oral</v>
          </cell>
          <cell r="J4571" t="str">
            <v>bueno</v>
          </cell>
          <cell r="K4571" t="str">
            <v>defsi</v>
          </cell>
        </row>
        <row r="4572">
          <cell r="B4572" t="b">
            <v>1</v>
          </cell>
          <cell r="E4572" t="str">
            <v>Santa Ana</v>
          </cell>
          <cell r="H4572" t="str">
            <v>salud_oral</v>
          </cell>
          <cell r="J4572" t="str">
            <v>bueno</v>
          </cell>
          <cell r="K4572" t="str">
            <v>defsi</v>
          </cell>
        </row>
        <row r="4573">
          <cell r="B4573" t="b">
            <v>1</v>
          </cell>
          <cell r="E4573" t="str">
            <v>Santa Ana</v>
          </cell>
          <cell r="H4573" t="str">
            <v>laboratorio</v>
          </cell>
          <cell r="J4573" t="str">
            <v>bueno</v>
          </cell>
          <cell r="K4573" t="str">
            <v>defsi</v>
          </cell>
        </row>
        <row r="4574">
          <cell r="B4574" t="b">
            <v>1</v>
          </cell>
          <cell r="E4574" t="str">
            <v>Santa Ana</v>
          </cell>
          <cell r="H4574" t="str">
            <v>urgencia</v>
          </cell>
          <cell r="J4574" t="str">
            <v>bueno</v>
          </cell>
          <cell r="K4574" t="str">
            <v>defsi</v>
          </cell>
        </row>
        <row r="4575">
          <cell r="B4575" t="b">
            <v>0</v>
          </cell>
          <cell r="E4575" t="str">
            <v>Socorro</v>
          </cell>
          <cell r="H4575" t="str">
            <v>consulta_externa</v>
          </cell>
          <cell r="J4575" t="str">
            <v>regular</v>
          </cell>
          <cell r="K4575" t="str">
            <v>probsi</v>
          </cell>
        </row>
        <row r="4576">
          <cell r="B4576" t="b">
            <v>1</v>
          </cell>
          <cell r="E4576" t="str">
            <v>Socorro</v>
          </cell>
          <cell r="H4576" t="str">
            <v>consulta_externa</v>
          </cell>
          <cell r="J4576" t="str">
            <v>bueno</v>
          </cell>
          <cell r="K4576" t="str">
            <v>probsi</v>
          </cell>
        </row>
        <row r="4577">
          <cell r="B4577" t="b">
            <v>1</v>
          </cell>
          <cell r="E4577" t="str">
            <v>Socorro</v>
          </cell>
          <cell r="H4577" t="str">
            <v>consulta_externa</v>
          </cell>
          <cell r="J4577" t="str">
            <v>bueno</v>
          </cell>
          <cell r="K4577" t="str">
            <v>probsi</v>
          </cell>
        </row>
        <row r="4578">
          <cell r="B4578" t="b">
            <v>1</v>
          </cell>
          <cell r="E4578" t="str">
            <v>Socorro</v>
          </cell>
          <cell r="H4578" t="str">
            <v>salud_oral</v>
          </cell>
          <cell r="J4578" t="str">
            <v>bueno</v>
          </cell>
          <cell r="K4578" t="str">
            <v>probsi</v>
          </cell>
        </row>
        <row r="4579">
          <cell r="B4579" t="b">
            <v>1</v>
          </cell>
          <cell r="E4579" t="str">
            <v>Socorro</v>
          </cell>
          <cell r="H4579" t="str">
            <v>salud_oral</v>
          </cell>
          <cell r="J4579" t="str">
            <v>bueno</v>
          </cell>
          <cell r="K4579" t="str">
            <v>probsi</v>
          </cell>
        </row>
        <row r="4580">
          <cell r="B4580" t="b">
            <v>1</v>
          </cell>
          <cell r="E4580" t="str">
            <v>Socorro</v>
          </cell>
          <cell r="H4580" t="str">
            <v>salud_oral</v>
          </cell>
          <cell r="J4580" t="str">
            <v>bueno</v>
          </cell>
          <cell r="K4580" t="str">
            <v>probsi</v>
          </cell>
        </row>
        <row r="4581">
          <cell r="B4581" t="b">
            <v>0</v>
          </cell>
          <cell r="E4581" t="str">
            <v>Socorro</v>
          </cell>
          <cell r="H4581" t="str">
            <v>salud_oral</v>
          </cell>
          <cell r="J4581" t="str">
            <v>regular</v>
          </cell>
          <cell r="K4581" t="str">
            <v>probsi</v>
          </cell>
        </row>
        <row r="4582">
          <cell r="B4582" t="b">
            <v>0</v>
          </cell>
          <cell r="E4582" t="str">
            <v>Socorro</v>
          </cell>
          <cell r="H4582" t="str">
            <v>laboratorio</v>
          </cell>
          <cell r="J4582" t="str">
            <v>regular</v>
          </cell>
          <cell r="K4582" t="str">
            <v>probsi</v>
          </cell>
        </row>
        <row r="4583">
          <cell r="B4583" t="b">
            <v>0</v>
          </cell>
          <cell r="E4583" t="str">
            <v>Socorro</v>
          </cell>
          <cell r="H4583" t="str">
            <v>laboratorio</v>
          </cell>
          <cell r="J4583" t="str">
            <v>regular</v>
          </cell>
          <cell r="K4583" t="str">
            <v>probsi</v>
          </cell>
        </row>
        <row r="4584">
          <cell r="B4584" t="b">
            <v>1</v>
          </cell>
          <cell r="E4584" t="str">
            <v>Socorro</v>
          </cell>
          <cell r="H4584" t="str">
            <v>laboratorio</v>
          </cell>
          <cell r="J4584" t="str">
            <v>bueno</v>
          </cell>
          <cell r="K4584" t="str">
            <v>probsi</v>
          </cell>
        </row>
        <row r="4585">
          <cell r="B4585" t="b">
            <v>1</v>
          </cell>
          <cell r="E4585" t="str">
            <v>Punta Arena</v>
          </cell>
          <cell r="H4585" t="str">
            <v>consulta_externa</v>
          </cell>
          <cell r="J4585" t="str">
            <v>bueno</v>
          </cell>
          <cell r="K4585" t="str">
            <v>defsi</v>
          </cell>
        </row>
        <row r="4586">
          <cell r="B4586" t="b">
            <v>1</v>
          </cell>
          <cell r="E4586" t="str">
            <v>Punta Arena</v>
          </cell>
          <cell r="H4586" t="str">
            <v>laboratorio</v>
          </cell>
          <cell r="J4586" t="str">
            <v>bueno</v>
          </cell>
          <cell r="K4586" t="str">
            <v>defsi</v>
          </cell>
        </row>
        <row r="4587">
          <cell r="B4587" t="b">
            <v>1</v>
          </cell>
          <cell r="E4587" t="str">
            <v>Punta Arena</v>
          </cell>
          <cell r="H4587" t="str">
            <v>laboratorio</v>
          </cell>
          <cell r="J4587" t="str">
            <v>bueno</v>
          </cell>
          <cell r="K4587" t="str">
            <v>defsi</v>
          </cell>
        </row>
        <row r="4588">
          <cell r="B4588" t="b">
            <v>1</v>
          </cell>
          <cell r="E4588" t="str">
            <v>Punta Arena</v>
          </cell>
          <cell r="H4588" t="str">
            <v>consulta_externa</v>
          </cell>
          <cell r="J4588" t="str">
            <v>bueno</v>
          </cell>
          <cell r="K4588" t="str">
            <v>defsi</v>
          </cell>
        </row>
        <row r="4589">
          <cell r="B4589" t="b">
            <v>1</v>
          </cell>
          <cell r="E4589" t="str">
            <v>Punta Arena</v>
          </cell>
          <cell r="H4589" t="str">
            <v>consulta_externa</v>
          </cell>
          <cell r="J4589" t="str">
            <v>bueno</v>
          </cell>
          <cell r="K4589" t="str">
            <v>defsi</v>
          </cell>
        </row>
        <row r="4590">
          <cell r="B4590" t="b">
            <v>1</v>
          </cell>
          <cell r="E4590" t="str">
            <v>Punta Arena</v>
          </cell>
          <cell r="H4590" t="str">
            <v>consulta_externa</v>
          </cell>
          <cell r="J4590" t="str">
            <v>bueno</v>
          </cell>
          <cell r="K4590" t="str">
            <v>defsi</v>
          </cell>
        </row>
        <row r="4591">
          <cell r="B4591" t="b">
            <v>1</v>
          </cell>
          <cell r="E4591" t="str">
            <v>Punta Arena</v>
          </cell>
          <cell r="H4591" t="str">
            <v>consulta_externa</v>
          </cell>
          <cell r="J4591" t="str">
            <v>bueno</v>
          </cell>
          <cell r="K4591" t="str">
            <v>defsi</v>
          </cell>
        </row>
        <row r="4592">
          <cell r="B4592" t="b">
            <v>1</v>
          </cell>
          <cell r="E4592" t="str">
            <v>Punta Arena</v>
          </cell>
          <cell r="H4592" t="str">
            <v>laboratorio</v>
          </cell>
          <cell r="J4592" t="str">
            <v>bueno</v>
          </cell>
          <cell r="K4592" t="str">
            <v>defsi</v>
          </cell>
        </row>
        <row r="4593">
          <cell r="B4593" t="b">
            <v>1</v>
          </cell>
          <cell r="E4593" t="str">
            <v>Punta Arena</v>
          </cell>
          <cell r="H4593" t="str">
            <v>laboratorio</v>
          </cell>
          <cell r="J4593" t="str">
            <v>bueno</v>
          </cell>
          <cell r="K4593" t="str">
            <v>defsi</v>
          </cell>
        </row>
        <row r="4594">
          <cell r="B4594" t="b">
            <v>0</v>
          </cell>
          <cell r="E4594" t="str">
            <v>Punta Arena</v>
          </cell>
          <cell r="H4594" t="str">
            <v>consulta_externa</v>
          </cell>
          <cell r="J4594" t="str">
            <v>regular</v>
          </cell>
          <cell r="K4594" t="str">
            <v>defsi</v>
          </cell>
        </row>
        <row r="4595">
          <cell r="B4595" t="b">
            <v>1</v>
          </cell>
          <cell r="E4595" t="str">
            <v>Punta Arena</v>
          </cell>
          <cell r="H4595" t="str">
            <v>salud_oral</v>
          </cell>
          <cell r="J4595" t="str">
            <v>bueno</v>
          </cell>
          <cell r="K4595" t="str">
            <v>defsi</v>
          </cell>
        </row>
        <row r="4596">
          <cell r="B4596" t="b">
            <v>1</v>
          </cell>
          <cell r="E4596" t="str">
            <v>Punta Arena</v>
          </cell>
          <cell r="H4596" t="str">
            <v>salud_oral</v>
          </cell>
          <cell r="J4596" t="str">
            <v>bueno</v>
          </cell>
          <cell r="K4596" t="str">
            <v>defsi</v>
          </cell>
        </row>
        <row r="4597">
          <cell r="B4597" t="b">
            <v>1</v>
          </cell>
          <cell r="E4597" t="str">
            <v>Punta Arena</v>
          </cell>
          <cell r="H4597" t="str">
            <v>consulta_externa</v>
          </cell>
          <cell r="J4597" t="str">
            <v>bueno</v>
          </cell>
          <cell r="K4597" t="str">
            <v>defsi</v>
          </cell>
        </row>
        <row r="4598">
          <cell r="B4598" t="b">
            <v>1</v>
          </cell>
          <cell r="E4598" t="str">
            <v>Punta Arena</v>
          </cell>
          <cell r="H4598" t="str">
            <v>laboratorio</v>
          </cell>
          <cell r="J4598" t="str">
            <v>bueno</v>
          </cell>
          <cell r="K4598" t="str">
            <v>defsi</v>
          </cell>
        </row>
        <row r="4599">
          <cell r="B4599" t="b">
            <v>1</v>
          </cell>
          <cell r="E4599" t="str">
            <v>Punta Arena</v>
          </cell>
          <cell r="H4599" t="str">
            <v>laboratorio</v>
          </cell>
          <cell r="J4599" t="str">
            <v>bueno</v>
          </cell>
          <cell r="K4599" t="str">
            <v>defsi</v>
          </cell>
        </row>
        <row r="4600">
          <cell r="B4600" t="b">
            <v>1</v>
          </cell>
          <cell r="E4600" t="str">
            <v>Punta Arena</v>
          </cell>
          <cell r="H4600" t="str">
            <v>consulta_externa</v>
          </cell>
          <cell r="J4600" t="str">
            <v>bueno</v>
          </cell>
          <cell r="K4600" t="str">
            <v>defsi</v>
          </cell>
        </row>
        <row r="4601">
          <cell r="B4601" t="b">
            <v>1</v>
          </cell>
          <cell r="E4601" t="str">
            <v>Punta Arena</v>
          </cell>
          <cell r="H4601" t="str">
            <v>salud_oral</v>
          </cell>
          <cell r="J4601" t="str">
            <v>bueno</v>
          </cell>
          <cell r="K4601" t="str">
            <v>defsi</v>
          </cell>
        </row>
        <row r="4602">
          <cell r="B4602" t="b">
            <v>1</v>
          </cell>
          <cell r="E4602" t="str">
            <v>Punta Arena</v>
          </cell>
          <cell r="H4602" t="str">
            <v>salud_oral</v>
          </cell>
          <cell r="J4602" t="str">
            <v>muybueno</v>
          </cell>
          <cell r="K4602" t="str">
            <v>defsi</v>
          </cell>
        </row>
        <row r="4603">
          <cell r="B4603" t="b">
            <v>1</v>
          </cell>
          <cell r="E4603" t="str">
            <v>Punta Arena</v>
          </cell>
          <cell r="H4603" t="str">
            <v>consulta_externa</v>
          </cell>
          <cell r="J4603" t="str">
            <v>bueno</v>
          </cell>
          <cell r="K4603" t="str">
            <v>defsi</v>
          </cell>
        </row>
        <row r="4604">
          <cell r="B4604" t="b">
            <v>1</v>
          </cell>
          <cell r="E4604" t="str">
            <v>Punta Arena</v>
          </cell>
          <cell r="H4604" t="str">
            <v>salud_oral</v>
          </cell>
          <cell r="J4604" t="str">
            <v>bueno</v>
          </cell>
          <cell r="K4604" t="str">
            <v>defsi</v>
          </cell>
        </row>
        <row r="4605">
          <cell r="B4605" t="b">
            <v>0</v>
          </cell>
          <cell r="E4605" t="str">
            <v>Punta Arena</v>
          </cell>
          <cell r="H4605" t="str">
            <v>salud_oral</v>
          </cell>
          <cell r="J4605" t="str">
            <v>regular</v>
          </cell>
          <cell r="K4605" t="str">
            <v>defsi</v>
          </cell>
        </row>
        <row r="4606">
          <cell r="B4606" t="b">
            <v>1</v>
          </cell>
          <cell r="E4606" t="str">
            <v>Pozon</v>
          </cell>
          <cell r="H4606" t="str">
            <v>consulta_externa</v>
          </cell>
          <cell r="J4606" t="str">
            <v>bueno</v>
          </cell>
          <cell r="K4606" t="str">
            <v>probsi</v>
          </cell>
        </row>
        <row r="4607">
          <cell r="B4607" t="b">
            <v>1</v>
          </cell>
          <cell r="E4607" t="str">
            <v>Punta Arena</v>
          </cell>
          <cell r="H4607" t="str">
            <v>consulta_externa</v>
          </cell>
          <cell r="J4607" t="str">
            <v>bueno</v>
          </cell>
          <cell r="K4607" t="str">
            <v>defsi</v>
          </cell>
        </row>
        <row r="4608">
          <cell r="B4608" t="b">
            <v>1</v>
          </cell>
          <cell r="E4608" t="str">
            <v>Santa Ana</v>
          </cell>
          <cell r="H4608" t="str">
            <v>consulta_externa</v>
          </cell>
          <cell r="J4608" t="str">
            <v>bueno</v>
          </cell>
          <cell r="K4608" t="str">
            <v>defsi</v>
          </cell>
        </row>
        <row r="4609">
          <cell r="B4609" t="b">
            <v>1</v>
          </cell>
          <cell r="E4609" t="str">
            <v>Pozon</v>
          </cell>
          <cell r="H4609" t="str">
            <v>consulta_externa</v>
          </cell>
          <cell r="J4609" t="str">
            <v>bueno</v>
          </cell>
          <cell r="K4609" t="str">
            <v>probsi</v>
          </cell>
        </row>
        <row r="4610">
          <cell r="B4610" t="b">
            <v>1</v>
          </cell>
          <cell r="E4610" t="str">
            <v>Pozon</v>
          </cell>
          <cell r="H4610" t="str">
            <v>consulta_externa</v>
          </cell>
          <cell r="J4610" t="str">
            <v>bueno</v>
          </cell>
          <cell r="K4610" t="str">
            <v>probsi</v>
          </cell>
        </row>
        <row r="4611">
          <cell r="B4611" t="b">
            <v>1</v>
          </cell>
          <cell r="E4611" t="str">
            <v>Pozon</v>
          </cell>
          <cell r="H4611" t="str">
            <v>salud_oral</v>
          </cell>
          <cell r="J4611" t="str">
            <v>bueno</v>
          </cell>
          <cell r="K4611" t="str">
            <v>probsi</v>
          </cell>
        </row>
        <row r="4612">
          <cell r="B4612" t="b">
            <v>1</v>
          </cell>
          <cell r="E4612" t="str">
            <v>Pozon</v>
          </cell>
          <cell r="H4612" t="str">
            <v>salud_oral</v>
          </cell>
          <cell r="J4612" t="str">
            <v>bueno</v>
          </cell>
          <cell r="K4612" t="str">
            <v>probsi</v>
          </cell>
        </row>
        <row r="4613">
          <cell r="B4613" t="b">
            <v>1</v>
          </cell>
          <cell r="E4613" t="str">
            <v>Pozon</v>
          </cell>
          <cell r="H4613" t="str">
            <v>salud_oral</v>
          </cell>
          <cell r="J4613" t="str">
            <v>bueno</v>
          </cell>
          <cell r="K4613" t="str">
            <v>probsi</v>
          </cell>
        </row>
        <row r="4614">
          <cell r="B4614" t="b">
            <v>1</v>
          </cell>
          <cell r="E4614" t="str">
            <v>Pozon</v>
          </cell>
          <cell r="H4614" t="str">
            <v>salud_oral</v>
          </cell>
          <cell r="J4614" t="str">
            <v>bueno</v>
          </cell>
          <cell r="K4614" t="str">
            <v>probsi</v>
          </cell>
        </row>
        <row r="4615">
          <cell r="B4615" t="b">
            <v>1</v>
          </cell>
          <cell r="E4615" t="str">
            <v>Pozon</v>
          </cell>
          <cell r="H4615" t="str">
            <v>salud_oral</v>
          </cell>
          <cell r="J4615" t="str">
            <v>bueno</v>
          </cell>
          <cell r="K4615" t="str">
            <v>probsi</v>
          </cell>
        </row>
        <row r="4616">
          <cell r="B4616" t="b">
            <v>1</v>
          </cell>
          <cell r="E4616" t="str">
            <v>Pozon</v>
          </cell>
          <cell r="H4616" t="str">
            <v>salud_oral</v>
          </cell>
          <cell r="J4616" t="str">
            <v>bueno</v>
          </cell>
          <cell r="K4616" t="str">
            <v>probsi</v>
          </cell>
        </row>
        <row r="4617">
          <cell r="B4617" t="b">
            <v>1</v>
          </cell>
          <cell r="E4617" t="str">
            <v>Pozon</v>
          </cell>
          <cell r="H4617" t="str">
            <v>salud_oral</v>
          </cell>
          <cell r="J4617" t="str">
            <v>bueno</v>
          </cell>
          <cell r="K4617" t="str">
            <v>probsi</v>
          </cell>
        </row>
        <row r="4618">
          <cell r="B4618" t="b">
            <v>1</v>
          </cell>
          <cell r="E4618" t="str">
            <v>Pozon</v>
          </cell>
          <cell r="H4618" t="str">
            <v>laboratorio</v>
          </cell>
          <cell r="J4618" t="str">
            <v>bueno</v>
          </cell>
          <cell r="K4618" t="str">
            <v>probsi</v>
          </cell>
        </row>
        <row r="4619">
          <cell r="B4619" t="b">
            <v>1</v>
          </cell>
          <cell r="E4619" t="str">
            <v>Pozon</v>
          </cell>
          <cell r="H4619" t="str">
            <v>laboratorio</v>
          </cell>
          <cell r="J4619" t="str">
            <v>bueno</v>
          </cell>
          <cell r="K4619" t="str">
            <v>probsi</v>
          </cell>
        </row>
        <row r="4620">
          <cell r="B4620" t="b">
            <v>1</v>
          </cell>
          <cell r="E4620" t="str">
            <v>Punta Arena</v>
          </cell>
          <cell r="H4620" t="str">
            <v>consulta_externa</v>
          </cell>
          <cell r="J4620" t="str">
            <v>bueno</v>
          </cell>
          <cell r="K4620" t="str">
            <v>defsi</v>
          </cell>
        </row>
        <row r="4621">
          <cell r="B4621" t="b">
            <v>1</v>
          </cell>
          <cell r="E4621" t="str">
            <v>Santa Ana</v>
          </cell>
          <cell r="H4621" t="str">
            <v>salud_oral</v>
          </cell>
          <cell r="J4621" t="str">
            <v>bueno</v>
          </cell>
          <cell r="K4621" t="str">
            <v>defsi</v>
          </cell>
        </row>
        <row r="4622">
          <cell r="B4622" t="b">
            <v>0</v>
          </cell>
          <cell r="E4622" t="str">
            <v>Punta Arena</v>
          </cell>
          <cell r="H4622" t="str">
            <v>laboratorio</v>
          </cell>
          <cell r="J4622" t="str">
            <v>regular</v>
          </cell>
          <cell r="K4622" t="str">
            <v>defsi</v>
          </cell>
        </row>
        <row r="4623">
          <cell r="B4623" t="b">
            <v>1</v>
          </cell>
          <cell r="E4623" t="str">
            <v>Punta Arena</v>
          </cell>
          <cell r="H4623" t="str">
            <v>laboratorio</v>
          </cell>
          <cell r="J4623" t="str">
            <v>bueno</v>
          </cell>
          <cell r="K4623" t="str">
            <v>defsi</v>
          </cell>
        </row>
        <row r="4624">
          <cell r="B4624" t="b">
            <v>1</v>
          </cell>
          <cell r="E4624" t="str">
            <v>Punta Arena</v>
          </cell>
          <cell r="H4624" t="str">
            <v>laboratorio</v>
          </cell>
          <cell r="J4624" t="str">
            <v>bueno</v>
          </cell>
          <cell r="K4624" t="str">
            <v>defsi</v>
          </cell>
        </row>
        <row r="4625">
          <cell r="B4625" t="b">
            <v>1</v>
          </cell>
          <cell r="E4625" t="str">
            <v>Santa Ana</v>
          </cell>
          <cell r="H4625" t="str">
            <v>laboratorio</v>
          </cell>
          <cell r="J4625" t="str">
            <v>bueno</v>
          </cell>
          <cell r="K4625" t="str">
            <v>defsi</v>
          </cell>
        </row>
        <row r="4626">
          <cell r="B4626" t="b">
            <v>1</v>
          </cell>
          <cell r="E4626" t="str">
            <v>Punta Arena</v>
          </cell>
          <cell r="H4626" t="str">
            <v>salud_oral</v>
          </cell>
          <cell r="J4626" t="str">
            <v>bueno</v>
          </cell>
          <cell r="K4626" t="str">
            <v>defsi</v>
          </cell>
        </row>
        <row r="4627">
          <cell r="B4627" t="b">
            <v>1</v>
          </cell>
          <cell r="E4627" t="str">
            <v>Tierra Bomba</v>
          </cell>
          <cell r="H4627" t="str">
            <v>consulta_externa</v>
          </cell>
          <cell r="J4627" t="str">
            <v>bueno</v>
          </cell>
          <cell r="K4627" t="str">
            <v>defsi</v>
          </cell>
        </row>
        <row r="4628">
          <cell r="B4628" t="b">
            <v>1</v>
          </cell>
          <cell r="E4628" t="str">
            <v>Pozon</v>
          </cell>
          <cell r="H4628" t="str">
            <v>laboratorio</v>
          </cell>
          <cell r="J4628" t="str">
            <v>bueno</v>
          </cell>
          <cell r="K4628" t="str">
            <v>probsi</v>
          </cell>
        </row>
        <row r="4629">
          <cell r="B4629" t="b">
            <v>1</v>
          </cell>
          <cell r="E4629" t="str">
            <v>Pozon</v>
          </cell>
          <cell r="H4629" t="str">
            <v>laboratorio</v>
          </cell>
          <cell r="J4629" t="str">
            <v>bueno</v>
          </cell>
          <cell r="K4629" t="str">
            <v>probsi</v>
          </cell>
        </row>
        <row r="4630">
          <cell r="B4630" t="b">
            <v>1</v>
          </cell>
          <cell r="E4630" t="str">
            <v>Pozon</v>
          </cell>
          <cell r="H4630" t="str">
            <v>consulta_externa</v>
          </cell>
          <cell r="J4630" t="str">
            <v>bueno</v>
          </cell>
          <cell r="K4630" t="str">
            <v>probsi</v>
          </cell>
        </row>
        <row r="4631">
          <cell r="B4631" t="b">
            <v>1</v>
          </cell>
          <cell r="E4631" t="str">
            <v>Tierra Bomba</v>
          </cell>
          <cell r="H4631" t="str">
            <v>salud_oral</v>
          </cell>
          <cell r="J4631" t="str">
            <v>bueno</v>
          </cell>
          <cell r="K4631" t="str">
            <v>defsi</v>
          </cell>
        </row>
        <row r="4632">
          <cell r="B4632" t="b">
            <v>1</v>
          </cell>
          <cell r="E4632" t="str">
            <v>Tierra Bomba</v>
          </cell>
          <cell r="H4632" t="str">
            <v>laboratorio</v>
          </cell>
          <cell r="J4632" t="str">
            <v>bueno</v>
          </cell>
          <cell r="K4632" t="str">
            <v>defsi</v>
          </cell>
        </row>
        <row r="4633">
          <cell r="B4633" t="b">
            <v>1</v>
          </cell>
          <cell r="E4633" t="str">
            <v>Punta Arena</v>
          </cell>
          <cell r="H4633" t="str">
            <v>consulta_externa</v>
          </cell>
          <cell r="J4633" t="str">
            <v>muybueno</v>
          </cell>
          <cell r="K4633" t="str">
            <v>defsi</v>
          </cell>
        </row>
        <row r="4634">
          <cell r="B4634" t="b">
            <v>1</v>
          </cell>
          <cell r="E4634" t="str">
            <v>Tierra Bomba</v>
          </cell>
          <cell r="H4634" t="str">
            <v>consulta_externa</v>
          </cell>
          <cell r="J4634" t="str">
            <v>bueno</v>
          </cell>
          <cell r="K4634" t="str">
            <v>defsi</v>
          </cell>
        </row>
        <row r="4635">
          <cell r="B4635" t="b">
            <v>1</v>
          </cell>
          <cell r="E4635" t="str">
            <v>Candelaria</v>
          </cell>
          <cell r="H4635" t="str">
            <v>consulta_externa</v>
          </cell>
          <cell r="J4635" t="str">
            <v>bueno</v>
          </cell>
          <cell r="K4635" t="str">
            <v>probsi</v>
          </cell>
        </row>
        <row r="4636">
          <cell r="B4636" t="b">
            <v>1</v>
          </cell>
          <cell r="E4636" t="str">
            <v>Candelaria</v>
          </cell>
          <cell r="H4636" t="str">
            <v>salud_oral</v>
          </cell>
          <cell r="J4636" t="str">
            <v>bueno</v>
          </cell>
          <cell r="K4636" t="str">
            <v>probsi</v>
          </cell>
        </row>
        <row r="4637">
          <cell r="B4637" t="b">
            <v>1</v>
          </cell>
          <cell r="E4637" t="str">
            <v>Tierra Bomba</v>
          </cell>
          <cell r="H4637" t="str">
            <v>salud_oral</v>
          </cell>
          <cell r="J4637" t="str">
            <v>bueno</v>
          </cell>
          <cell r="K4637" t="str">
            <v>defsi</v>
          </cell>
        </row>
        <row r="4638">
          <cell r="B4638" t="b">
            <v>1</v>
          </cell>
          <cell r="E4638" t="str">
            <v>Candelaria</v>
          </cell>
          <cell r="H4638" t="str">
            <v>salud_oral</v>
          </cell>
          <cell r="J4638" t="str">
            <v>bueno</v>
          </cell>
          <cell r="K4638" t="str">
            <v>probsi</v>
          </cell>
        </row>
        <row r="4639">
          <cell r="B4639" t="b">
            <v>1</v>
          </cell>
          <cell r="E4639" t="str">
            <v>Candelaria</v>
          </cell>
          <cell r="H4639" t="str">
            <v>consulta_externa</v>
          </cell>
          <cell r="J4639" t="str">
            <v>bueno</v>
          </cell>
          <cell r="K4639" t="str">
            <v>probsi</v>
          </cell>
        </row>
        <row r="4640">
          <cell r="B4640" t="b">
            <v>1</v>
          </cell>
          <cell r="E4640" t="str">
            <v>Candelaria</v>
          </cell>
          <cell r="H4640" t="str">
            <v>laboratorio</v>
          </cell>
          <cell r="J4640" t="str">
            <v>bueno</v>
          </cell>
          <cell r="K4640" t="str">
            <v>probsi</v>
          </cell>
        </row>
        <row r="4641">
          <cell r="B4641" t="b">
            <v>1</v>
          </cell>
          <cell r="E4641" t="str">
            <v>Tierra Bomba</v>
          </cell>
          <cell r="H4641" t="str">
            <v>laboratorio</v>
          </cell>
          <cell r="J4641" t="str">
            <v>bueno</v>
          </cell>
          <cell r="K4641" t="str">
            <v>defsi</v>
          </cell>
        </row>
        <row r="4642">
          <cell r="B4642" t="b">
            <v>1</v>
          </cell>
          <cell r="E4642" t="str">
            <v>Candelaria</v>
          </cell>
          <cell r="H4642" t="str">
            <v>laboratorio</v>
          </cell>
          <cell r="J4642" t="str">
            <v>bueno</v>
          </cell>
          <cell r="K4642" t="str">
            <v>probsi</v>
          </cell>
        </row>
        <row r="4643">
          <cell r="B4643" t="b">
            <v>1</v>
          </cell>
          <cell r="E4643" t="str">
            <v>Candelaria</v>
          </cell>
          <cell r="H4643" t="str">
            <v>laboratorio</v>
          </cell>
          <cell r="J4643" t="str">
            <v>bueno</v>
          </cell>
          <cell r="K4643" t="str">
            <v>probsi</v>
          </cell>
        </row>
        <row r="4644">
          <cell r="B4644" t="b">
            <v>1</v>
          </cell>
          <cell r="E4644" t="str">
            <v>Tierra Bomba</v>
          </cell>
          <cell r="H4644" t="str">
            <v>consulta_externa</v>
          </cell>
          <cell r="J4644" t="str">
            <v>bueno</v>
          </cell>
          <cell r="K4644" t="str">
            <v>defsi</v>
          </cell>
        </row>
        <row r="4645">
          <cell r="B4645" t="b">
            <v>1</v>
          </cell>
          <cell r="E4645" t="str">
            <v>Candelaria</v>
          </cell>
          <cell r="H4645" t="str">
            <v>consulta_externa</v>
          </cell>
          <cell r="J4645" t="str">
            <v>bueno</v>
          </cell>
          <cell r="K4645" t="str">
            <v>probsi</v>
          </cell>
        </row>
        <row r="4646">
          <cell r="B4646" t="b">
            <v>1</v>
          </cell>
          <cell r="E4646" t="str">
            <v>Candelaria</v>
          </cell>
          <cell r="H4646" t="str">
            <v>salud_oral</v>
          </cell>
          <cell r="J4646" t="str">
            <v>bueno</v>
          </cell>
          <cell r="K4646" t="str">
            <v>probsi</v>
          </cell>
        </row>
        <row r="4647">
          <cell r="B4647" t="b">
            <v>1</v>
          </cell>
          <cell r="E4647" t="str">
            <v>Tierra Bomba</v>
          </cell>
          <cell r="H4647" t="str">
            <v>salud_oral</v>
          </cell>
          <cell r="J4647" t="str">
            <v>bueno</v>
          </cell>
          <cell r="K4647" t="str">
            <v>defsi</v>
          </cell>
        </row>
        <row r="4648">
          <cell r="B4648" t="b">
            <v>1</v>
          </cell>
          <cell r="E4648" t="str">
            <v>Tierra Bomba</v>
          </cell>
          <cell r="H4648" t="str">
            <v>laboratorio</v>
          </cell>
          <cell r="J4648" t="str">
            <v>bueno</v>
          </cell>
          <cell r="K4648" t="str">
            <v>defsi</v>
          </cell>
        </row>
        <row r="4649">
          <cell r="B4649" t="b">
            <v>1</v>
          </cell>
          <cell r="E4649" t="str">
            <v>Tierra Bomba</v>
          </cell>
          <cell r="H4649" t="str">
            <v>consulta_externa</v>
          </cell>
          <cell r="J4649" t="str">
            <v>bueno</v>
          </cell>
          <cell r="K4649" t="str">
            <v>defsi</v>
          </cell>
        </row>
        <row r="4650">
          <cell r="B4650" t="b">
            <v>1</v>
          </cell>
          <cell r="E4650" t="str">
            <v>Pozon</v>
          </cell>
          <cell r="H4650" t="str">
            <v>consulta_externa</v>
          </cell>
          <cell r="J4650" t="str">
            <v>bueno</v>
          </cell>
          <cell r="K4650" t="str">
            <v>probsi</v>
          </cell>
        </row>
        <row r="4651">
          <cell r="B4651" t="b">
            <v>1</v>
          </cell>
          <cell r="E4651" t="str">
            <v>Tierra Bomba</v>
          </cell>
          <cell r="H4651" t="str">
            <v>salud_oral</v>
          </cell>
          <cell r="J4651" t="str">
            <v>bueno</v>
          </cell>
          <cell r="K4651" t="str">
            <v>defsi</v>
          </cell>
        </row>
        <row r="4652">
          <cell r="B4652" t="b">
            <v>1</v>
          </cell>
          <cell r="E4652" t="str">
            <v>Tierra Bomba</v>
          </cell>
          <cell r="H4652" t="str">
            <v>laboratorio</v>
          </cell>
          <cell r="J4652" t="str">
            <v>bueno</v>
          </cell>
          <cell r="K4652" t="str">
            <v>defsi</v>
          </cell>
        </row>
        <row r="4653">
          <cell r="B4653" t="b">
            <v>1</v>
          </cell>
          <cell r="E4653" t="str">
            <v>Candelaria</v>
          </cell>
          <cell r="H4653" t="str">
            <v>salud_oral</v>
          </cell>
          <cell r="J4653" t="str">
            <v>bueno</v>
          </cell>
          <cell r="K4653" t="str">
            <v>probsi</v>
          </cell>
        </row>
        <row r="4654">
          <cell r="B4654" t="b">
            <v>1</v>
          </cell>
          <cell r="E4654" t="str">
            <v>Candelaria</v>
          </cell>
          <cell r="H4654" t="str">
            <v>salud_oral</v>
          </cell>
          <cell r="J4654" t="str">
            <v>bueno</v>
          </cell>
          <cell r="K4654" t="str">
            <v>probsi</v>
          </cell>
        </row>
        <row r="4655">
          <cell r="B4655" t="b">
            <v>1</v>
          </cell>
          <cell r="E4655" t="str">
            <v>Candelaria</v>
          </cell>
          <cell r="H4655" t="str">
            <v>consulta_externa</v>
          </cell>
          <cell r="J4655" t="str">
            <v>bueno</v>
          </cell>
          <cell r="K4655" t="str">
            <v>probsi</v>
          </cell>
        </row>
        <row r="4656">
          <cell r="B4656" t="b">
            <v>0</v>
          </cell>
          <cell r="E4656" t="str">
            <v>Candelaria</v>
          </cell>
          <cell r="H4656" t="str">
            <v>consulta_externa</v>
          </cell>
          <cell r="J4656" t="str">
            <v>regular</v>
          </cell>
          <cell r="K4656" t="str">
            <v>probsi</v>
          </cell>
        </row>
        <row r="4657">
          <cell r="B4657" t="b">
            <v>0</v>
          </cell>
          <cell r="E4657" t="str">
            <v>Candelaria</v>
          </cell>
          <cell r="H4657" t="str">
            <v>consulta_externa</v>
          </cell>
          <cell r="J4657" t="str">
            <v>regular</v>
          </cell>
          <cell r="K4657" t="str">
            <v>probsi</v>
          </cell>
        </row>
        <row r="4658">
          <cell r="B4658" t="b">
            <v>1</v>
          </cell>
          <cell r="E4658" t="str">
            <v>Tierra Bomba</v>
          </cell>
          <cell r="H4658" t="str">
            <v>consulta_externa</v>
          </cell>
          <cell r="J4658" t="str">
            <v>bueno</v>
          </cell>
          <cell r="K4658" t="str">
            <v>defsi</v>
          </cell>
        </row>
        <row r="4659">
          <cell r="B4659" t="b">
            <v>1</v>
          </cell>
          <cell r="E4659" t="str">
            <v>Candelaria</v>
          </cell>
          <cell r="H4659" t="str">
            <v>salud_oral</v>
          </cell>
          <cell r="J4659" t="str">
            <v>bueno</v>
          </cell>
          <cell r="K4659" t="str">
            <v>probsi</v>
          </cell>
        </row>
        <row r="4660">
          <cell r="B4660" t="b">
            <v>1</v>
          </cell>
          <cell r="E4660" t="str">
            <v>Candelaria</v>
          </cell>
          <cell r="H4660" t="str">
            <v>salud_oral</v>
          </cell>
          <cell r="J4660" t="str">
            <v>bueno</v>
          </cell>
          <cell r="K4660" t="str">
            <v>probsi</v>
          </cell>
        </row>
        <row r="4661">
          <cell r="B4661" t="b">
            <v>1</v>
          </cell>
          <cell r="E4661" t="str">
            <v>Candelaria</v>
          </cell>
          <cell r="H4661" t="str">
            <v>laboratorio</v>
          </cell>
          <cell r="J4661" t="str">
            <v>bueno</v>
          </cell>
          <cell r="K4661" t="str">
            <v>probsi</v>
          </cell>
        </row>
        <row r="4662">
          <cell r="B4662" t="b">
            <v>1</v>
          </cell>
          <cell r="E4662" t="str">
            <v>Candelaria</v>
          </cell>
          <cell r="H4662" t="str">
            <v>laboratorio</v>
          </cell>
          <cell r="J4662" t="str">
            <v>bueno</v>
          </cell>
          <cell r="K4662" t="str">
            <v>probsi</v>
          </cell>
        </row>
        <row r="4663">
          <cell r="B4663" t="b">
            <v>1</v>
          </cell>
          <cell r="E4663" t="str">
            <v>Candelaria</v>
          </cell>
          <cell r="H4663" t="str">
            <v>laboratorio</v>
          </cell>
          <cell r="J4663" t="str">
            <v>bueno</v>
          </cell>
          <cell r="K4663" t="str">
            <v>probsi</v>
          </cell>
        </row>
        <row r="4664">
          <cell r="B4664" t="b">
            <v>1</v>
          </cell>
          <cell r="E4664" t="str">
            <v>Candelaria</v>
          </cell>
          <cell r="H4664" t="str">
            <v>electros</v>
          </cell>
          <cell r="J4664" t="str">
            <v>bueno</v>
          </cell>
          <cell r="K4664" t="str">
            <v>probsi</v>
          </cell>
        </row>
        <row r="4665">
          <cell r="B4665" t="b">
            <v>1</v>
          </cell>
          <cell r="E4665" t="str">
            <v>Candelaria</v>
          </cell>
          <cell r="H4665" t="str">
            <v>electros</v>
          </cell>
          <cell r="J4665" t="str">
            <v>bueno</v>
          </cell>
          <cell r="K4665" t="str">
            <v>probsi</v>
          </cell>
        </row>
        <row r="4666">
          <cell r="B4666" t="b">
            <v>1</v>
          </cell>
          <cell r="E4666" t="str">
            <v>Candelaria</v>
          </cell>
          <cell r="H4666" t="str">
            <v>electros</v>
          </cell>
          <cell r="J4666" t="str">
            <v>bueno</v>
          </cell>
          <cell r="K4666" t="str">
            <v>probsi</v>
          </cell>
        </row>
        <row r="4667">
          <cell r="B4667" t="b">
            <v>1</v>
          </cell>
          <cell r="E4667" t="str">
            <v>Candelaria</v>
          </cell>
          <cell r="H4667" t="str">
            <v>electros</v>
          </cell>
          <cell r="J4667" t="str">
            <v>bueno</v>
          </cell>
          <cell r="K4667" t="str">
            <v>probsi</v>
          </cell>
        </row>
        <row r="4668">
          <cell r="B4668" t="b">
            <v>1</v>
          </cell>
          <cell r="E4668" t="str">
            <v>Candelaria</v>
          </cell>
          <cell r="H4668" t="str">
            <v>electros</v>
          </cell>
          <cell r="J4668" t="str">
            <v>bueno</v>
          </cell>
          <cell r="K4668" t="str">
            <v>probsi</v>
          </cell>
        </row>
        <row r="4669">
          <cell r="B4669" t="b">
            <v>1</v>
          </cell>
          <cell r="E4669" t="str">
            <v>Candelaria</v>
          </cell>
          <cell r="H4669" t="str">
            <v>electros</v>
          </cell>
          <cell r="J4669" t="str">
            <v>bueno</v>
          </cell>
          <cell r="K4669" t="str">
            <v>probsi</v>
          </cell>
        </row>
        <row r="4670">
          <cell r="B4670" t="b">
            <v>1</v>
          </cell>
          <cell r="E4670" t="str">
            <v>Bocachica</v>
          </cell>
          <cell r="H4670" t="str">
            <v>consulta_externa</v>
          </cell>
          <cell r="J4670" t="str">
            <v>bueno</v>
          </cell>
          <cell r="K4670" t="str">
            <v>probsi</v>
          </cell>
        </row>
        <row r="4671">
          <cell r="B4671" t="b">
            <v>1</v>
          </cell>
          <cell r="E4671" t="str">
            <v>Bocachica</v>
          </cell>
          <cell r="H4671" t="str">
            <v>consulta_externa</v>
          </cell>
          <cell r="J4671" t="str">
            <v>bueno</v>
          </cell>
          <cell r="K4671" t="str">
            <v>probsi</v>
          </cell>
        </row>
        <row r="4672">
          <cell r="B4672" t="b">
            <v>1</v>
          </cell>
          <cell r="E4672" t="str">
            <v>Bocachica</v>
          </cell>
          <cell r="H4672" t="str">
            <v>consulta_externa</v>
          </cell>
          <cell r="J4672" t="str">
            <v>bueno</v>
          </cell>
          <cell r="K4672" t="str">
            <v>probsi</v>
          </cell>
        </row>
        <row r="4673">
          <cell r="B4673" t="b">
            <v>1</v>
          </cell>
          <cell r="E4673" t="str">
            <v>Bocachica</v>
          </cell>
          <cell r="H4673" t="str">
            <v>consulta_externa</v>
          </cell>
          <cell r="J4673" t="str">
            <v>bueno</v>
          </cell>
          <cell r="K4673" t="str">
            <v>probsi</v>
          </cell>
        </row>
        <row r="4674">
          <cell r="B4674" t="b">
            <v>1</v>
          </cell>
          <cell r="E4674" t="str">
            <v>Bocachica</v>
          </cell>
          <cell r="H4674" t="str">
            <v>consulta_externa</v>
          </cell>
          <cell r="J4674" t="str">
            <v>bueno</v>
          </cell>
          <cell r="K4674" t="str">
            <v>probsi</v>
          </cell>
        </row>
        <row r="4675">
          <cell r="B4675" t="b">
            <v>1</v>
          </cell>
          <cell r="E4675" t="str">
            <v>Bocachica</v>
          </cell>
          <cell r="H4675" t="str">
            <v>consulta_externa</v>
          </cell>
          <cell r="J4675" t="str">
            <v>bueno</v>
          </cell>
          <cell r="K4675" t="str">
            <v>probsi</v>
          </cell>
        </row>
        <row r="4676">
          <cell r="B4676" t="b">
            <v>1</v>
          </cell>
          <cell r="E4676" t="str">
            <v>Bocachica</v>
          </cell>
          <cell r="H4676" t="str">
            <v>consulta_externa</v>
          </cell>
          <cell r="J4676" t="str">
            <v>bueno</v>
          </cell>
          <cell r="K4676" t="str">
            <v>probsi</v>
          </cell>
        </row>
        <row r="4677">
          <cell r="B4677" t="b">
            <v>1</v>
          </cell>
          <cell r="E4677" t="str">
            <v>Bocachica</v>
          </cell>
          <cell r="H4677" t="str">
            <v>consulta_externa</v>
          </cell>
          <cell r="J4677" t="str">
            <v>bueno</v>
          </cell>
          <cell r="K4677" t="str">
            <v>probsi</v>
          </cell>
        </row>
        <row r="4678">
          <cell r="B4678" t="b">
            <v>1</v>
          </cell>
          <cell r="E4678" t="str">
            <v>Bocachica</v>
          </cell>
          <cell r="H4678" t="str">
            <v>laboratorio</v>
          </cell>
          <cell r="J4678" t="str">
            <v>bueno</v>
          </cell>
          <cell r="K4678" t="str">
            <v>probsi</v>
          </cell>
        </row>
        <row r="4679">
          <cell r="B4679" t="b">
            <v>1</v>
          </cell>
          <cell r="E4679" t="str">
            <v>Bocachica</v>
          </cell>
          <cell r="H4679" t="str">
            <v>laboratorio</v>
          </cell>
          <cell r="J4679" t="str">
            <v>bueno</v>
          </cell>
          <cell r="K4679" t="str">
            <v>probsi</v>
          </cell>
        </row>
        <row r="4680">
          <cell r="B4680" t="b">
            <v>1</v>
          </cell>
          <cell r="E4680" t="str">
            <v>Bocachica</v>
          </cell>
          <cell r="H4680" t="str">
            <v>laboratorio</v>
          </cell>
          <cell r="J4680" t="str">
            <v>bueno</v>
          </cell>
          <cell r="K4680" t="str">
            <v>probsi</v>
          </cell>
        </row>
        <row r="4681">
          <cell r="B4681" t="b">
            <v>1</v>
          </cell>
          <cell r="E4681" t="str">
            <v>Bocachica</v>
          </cell>
          <cell r="H4681" t="str">
            <v>laboratorio</v>
          </cell>
          <cell r="J4681" t="str">
            <v>bueno</v>
          </cell>
          <cell r="K4681" t="str">
            <v>probsi</v>
          </cell>
        </row>
        <row r="4682">
          <cell r="B4682" t="b">
            <v>1</v>
          </cell>
          <cell r="E4682" t="str">
            <v>Bocachica</v>
          </cell>
          <cell r="H4682" t="str">
            <v>laboratorio</v>
          </cell>
          <cell r="J4682" t="str">
            <v>bueno</v>
          </cell>
          <cell r="K4682" t="str">
            <v>probsi</v>
          </cell>
        </row>
        <row r="4683">
          <cell r="B4683" t="b">
            <v>1</v>
          </cell>
          <cell r="E4683" t="str">
            <v>Tierra Bomba</v>
          </cell>
          <cell r="H4683" t="str">
            <v>salud_oral</v>
          </cell>
          <cell r="J4683" t="str">
            <v>bueno</v>
          </cell>
          <cell r="K4683" t="str">
            <v>defsi</v>
          </cell>
        </row>
        <row r="4684">
          <cell r="B4684" t="b">
            <v>1</v>
          </cell>
          <cell r="E4684" t="str">
            <v>Bocachica</v>
          </cell>
          <cell r="H4684" t="str">
            <v>salud_oral</v>
          </cell>
          <cell r="J4684" t="str">
            <v>bueno</v>
          </cell>
          <cell r="K4684" t="str">
            <v>probsi</v>
          </cell>
        </row>
        <row r="4685">
          <cell r="B4685" t="b">
            <v>1</v>
          </cell>
          <cell r="E4685" t="str">
            <v>Bocachica</v>
          </cell>
          <cell r="H4685" t="str">
            <v>salud_oral</v>
          </cell>
          <cell r="J4685" t="str">
            <v>bueno</v>
          </cell>
          <cell r="K4685" t="str">
            <v>probsi</v>
          </cell>
        </row>
        <row r="4686">
          <cell r="B4686" t="b">
            <v>1</v>
          </cell>
          <cell r="E4686" t="str">
            <v>Bocachica</v>
          </cell>
          <cell r="H4686" t="str">
            <v>salud_oral</v>
          </cell>
          <cell r="J4686" t="str">
            <v>bueno</v>
          </cell>
          <cell r="K4686" t="str">
            <v>probsi</v>
          </cell>
        </row>
        <row r="4687">
          <cell r="B4687" t="b">
            <v>1</v>
          </cell>
          <cell r="E4687" t="str">
            <v>Bocachica</v>
          </cell>
          <cell r="H4687" t="str">
            <v>salud_oral</v>
          </cell>
          <cell r="J4687" t="str">
            <v>bueno</v>
          </cell>
          <cell r="K4687" t="str">
            <v>probsi</v>
          </cell>
        </row>
        <row r="4688">
          <cell r="B4688" t="b">
            <v>1</v>
          </cell>
          <cell r="E4688" t="str">
            <v>Bocachica</v>
          </cell>
          <cell r="H4688" t="str">
            <v>salud_oral</v>
          </cell>
          <cell r="J4688" t="str">
            <v>bueno</v>
          </cell>
          <cell r="K4688" t="str">
            <v>probsi</v>
          </cell>
        </row>
        <row r="4689">
          <cell r="B4689" t="b">
            <v>0</v>
          </cell>
          <cell r="E4689" t="str">
            <v>Candelaria</v>
          </cell>
          <cell r="H4689" t="str">
            <v>urgencia</v>
          </cell>
          <cell r="J4689" t="str">
            <v>malo</v>
          </cell>
          <cell r="K4689" t="str">
            <v>probno</v>
          </cell>
        </row>
        <row r="4690">
          <cell r="B4690" t="b">
            <v>1</v>
          </cell>
          <cell r="E4690" t="str">
            <v>Bocachica</v>
          </cell>
          <cell r="H4690" t="str">
            <v>salud_oral</v>
          </cell>
          <cell r="J4690" t="str">
            <v>bueno</v>
          </cell>
          <cell r="K4690" t="str">
            <v>probsi</v>
          </cell>
        </row>
        <row r="4691">
          <cell r="B4691" t="b">
            <v>1</v>
          </cell>
          <cell r="E4691" t="str">
            <v>Bocachica</v>
          </cell>
          <cell r="H4691" t="str">
            <v>salud_oral</v>
          </cell>
          <cell r="J4691" t="str">
            <v>bueno</v>
          </cell>
          <cell r="K4691" t="str">
            <v>probsi</v>
          </cell>
        </row>
        <row r="4692">
          <cell r="B4692" t="b">
            <v>1</v>
          </cell>
          <cell r="E4692" t="str">
            <v>Tierra Bomba</v>
          </cell>
          <cell r="H4692" t="str">
            <v>laboratorio</v>
          </cell>
          <cell r="J4692" t="str">
            <v>bueno</v>
          </cell>
          <cell r="K4692" t="str">
            <v>defsi</v>
          </cell>
        </row>
        <row r="4693">
          <cell r="B4693" t="b">
            <v>1</v>
          </cell>
          <cell r="E4693" t="str">
            <v>Bocachica</v>
          </cell>
          <cell r="H4693" t="str">
            <v>salud_oral</v>
          </cell>
          <cell r="J4693" t="str">
            <v>bueno</v>
          </cell>
          <cell r="K4693" t="str">
            <v>probsi</v>
          </cell>
        </row>
        <row r="4694">
          <cell r="B4694" t="b">
            <v>1</v>
          </cell>
          <cell r="E4694" t="str">
            <v>Bocachica</v>
          </cell>
          <cell r="H4694" t="str">
            <v>salud_oral</v>
          </cell>
          <cell r="J4694" t="str">
            <v>bueno</v>
          </cell>
          <cell r="K4694" t="str">
            <v>probsi</v>
          </cell>
        </row>
        <row r="4695">
          <cell r="B4695" t="b">
            <v>1</v>
          </cell>
          <cell r="E4695" t="str">
            <v>Bocachica</v>
          </cell>
          <cell r="H4695" t="str">
            <v>salud_oral</v>
          </cell>
          <cell r="J4695" t="str">
            <v>bueno</v>
          </cell>
          <cell r="K4695" t="str">
            <v>probsi</v>
          </cell>
        </row>
        <row r="4696">
          <cell r="B4696" t="b">
            <v>1</v>
          </cell>
          <cell r="E4696" t="str">
            <v>Bocachica</v>
          </cell>
          <cell r="H4696" t="str">
            <v>salud_oral</v>
          </cell>
          <cell r="J4696" t="str">
            <v>bueno</v>
          </cell>
          <cell r="K4696" t="str">
            <v>probsi</v>
          </cell>
        </row>
        <row r="4697">
          <cell r="B4697" t="b">
            <v>1</v>
          </cell>
          <cell r="E4697" t="str">
            <v>Bocachica</v>
          </cell>
          <cell r="H4697" t="str">
            <v>salud_oral</v>
          </cell>
          <cell r="J4697" t="str">
            <v>bueno</v>
          </cell>
          <cell r="K4697" t="str">
            <v>probsi</v>
          </cell>
        </row>
        <row r="4698">
          <cell r="B4698" t="b">
            <v>1</v>
          </cell>
          <cell r="E4698" t="str">
            <v>Bocachica</v>
          </cell>
          <cell r="H4698" t="str">
            <v>salud_oral</v>
          </cell>
          <cell r="J4698" t="str">
            <v>bueno</v>
          </cell>
          <cell r="K4698" t="str">
            <v>probsi</v>
          </cell>
        </row>
        <row r="4699">
          <cell r="B4699" t="b">
            <v>1</v>
          </cell>
          <cell r="E4699" t="str">
            <v>Bocachica</v>
          </cell>
          <cell r="H4699" t="str">
            <v>salud_oral</v>
          </cell>
          <cell r="J4699" t="str">
            <v>bueno</v>
          </cell>
          <cell r="K4699" t="str">
            <v>probsi</v>
          </cell>
        </row>
        <row r="4700">
          <cell r="B4700" t="b">
            <v>0</v>
          </cell>
          <cell r="E4700" t="str">
            <v>Candelaria</v>
          </cell>
          <cell r="H4700" t="str">
            <v>urgencia</v>
          </cell>
          <cell r="J4700" t="str">
            <v>regular</v>
          </cell>
          <cell r="K4700" t="str">
            <v>probsi</v>
          </cell>
        </row>
        <row r="4701">
          <cell r="B4701" t="b">
            <v>0</v>
          </cell>
          <cell r="E4701" t="str">
            <v>Candelaria</v>
          </cell>
          <cell r="H4701" t="str">
            <v>urgencia</v>
          </cell>
          <cell r="J4701" t="str">
            <v>regular</v>
          </cell>
          <cell r="K4701" t="str">
            <v>probsi</v>
          </cell>
        </row>
        <row r="4702">
          <cell r="B4702" t="b">
            <v>1</v>
          </cell>
          <cell r="E4702" t="str">
            <v>Candelaria</v>
          </cell>
          <cell r="H4702" t="str">
            <v>electros</v>
          </cell>
          <cell r="J4702" t="str">
            <v>bueno</v>
          </cell>
          <cell r="K4702" t="str">
            <v>probsi</v>
          </cell>
        </row>
        <row r="4703">
          <cell r="B4703" t="b">
            <v>1</v>
          </cell>
          <cell r="E4703" t="str">
            <v>Candelaria</v>
          </cell>
          <cell r="H4703" t="str">
            <v>electros</v>
          </cell>
          <cell r="J4703" t="str">
            <v>bueno</v>
          </cell>
          <cell r="K4703" t="str">
            <v>probsi</v>
          </cell>
        </row>
        <row r="4704">
          <cell r="B4704" t="b">
            <v>1</v>
          </cell>
          <cell r="E4704" t="str">
            <v>Candelaria</v>
          </cell>
          <cell r="H4704" t="str">
            <v>electros</v>
          </cell>
          <cell r="J4704" t="str">
            <v>bueno</v>
          </cell>
          <cell r="K4704" t="str">
            <v>probsi</v>
          </cell>
        </row>
        <row r="4705">
          <cell r="B4705" t="b">
            <v>0</v>
          </cell>
          <cell r="E4705" t="str">
            <v>Candelaria</v>
          </cell>
          <cell r="H4705" t="str">
            <v>laboratorio</v>
          </cell>
          <cell r="J4705" t="str">
            <v>regular</v>
          </cell>
          <cell r="K4705" t="str">
            <v>probsi</v>
          </cell>
        </row>
        <row r="4706">
          <cell r="B4706" t="b">
            <v>1</v>
          </cell>
          <cell r="E4706" t="str">
            <v>Candelaria</v>
          </cell>
          <cell r="H4706" t="str">
            <v>laboratorio</v>
          </cell>
          <cell r="J4706" t="str">
            <v>bueno</v>
          </cell>
          <cell r="K4706" t="str">
            <v>probsi</v>
          </cell>
        </row>
        <row r="4707">
          <cell r="B4707" t="b">
            <v>1</v>
          </cell>
          <cell r="E4707" t="str">
            <v>Candelaria</v>
          </cell>
          <cell r="H4707" t="str">
            <v>salud_oral</v>
          </cell>
          <cell r="J4707" t="str">
            <v>bueno</v>
          </cell>
          <cell r="K4707" t="str">
            <v>probsi</v>
          </cell>
        </row>
        <row r="4708">
          <cell r="B4708" t="b">
            <v>1</v>
          </cell>
          <cell r="E4708" t="str">
            <v>Candelaria</v>
          </cell>
          <cell r="H4708" t="str">
            <v>salud_oral</v>
          </cell>
          <cell r="J4708" t="str">
            <v>bueno</v>
          </cell>
          <cell r="K4708" t="str">
            <v>probsi</v>
          </cell>
        </row>
        <row r="4709">
          <cell r="B4709" t="b">
            <v>1</v>
          </cell>
          <cell r="E4709" t="str">
            <v>Candelaria</v>
          </cell>
          <cell r="H4709" t="str">
            <v>salud_oral</v>
          </cell>
          <cell r="J4709" t="str">
            <v>bueno</v>
          </cell>
          <cell r="K4709" t="str">
            <v>probsi</v>
          </cell>
        </row>
        <row r="4710">
          <cell r="B4710" t="b">
            <v>1</v>
          </cell>
          <cell r="E4710" t="str">
            <v>Pozon</v>
          </cell>
          <cell r="H4710" t="str">
            <v>salud_oral</v>
          </cell>
          <cell r="J4710" t="str">
            <v>bueno</v>
          </cell>
          <cell r="K4710" t="str">
            <v>probsi</v>
          </cell>
        </row>
        <row r="4711">
          <cell r="B4711" t="b">
            <v>1</v>
          </cell>
          <cell r="E4711" t="str">
            <v>Candelaria</v>
          </cell>
          <cell r="H4711" t="str">
            <v>pediatria</v>
          </cell>
          <cell r="J4711" t="str">
            <v>bueno</v>
          </cell>
          <cell r="K4711" t="str">
            <v>probsi</v>
          </cell>
        </row>
        <row r="4712">
          <cell r="B4712" t="b">
            <v>1</v>
          </cell>
          <cell r="E4712" t="str">
            <v>Candelaria</v>
          </cell>
          <cell r="H4712" t="str">
            <v>pediatria</v>
          </cell>
          <cell r="J4712" t="str">
            <v>bueno</v>
          </cell>
          <cell r="K4712" t="str">
            <v>probsi</v>
          </cell>
        </row>
        <row r="4713">
          <cell r="B4713" t="b">
            <v>1</v>
          </cell>
          <cell r="E4713" t="str">
            <v>Candelaria</v>
          </cell>
          <cell r="H4713" t="str">
            <v>pediatria</v>
          </cell>
          <cell r="J4713" t="str">
            <v>bueno</v>
          </cell>
          <cell r="K4713" t="str">
            <v>probsi</v>
          </cell>
        </row>
        <row r="4714">
          <cell r="B4714" t="b">
            <v>1</v>
          </cell>
          <cell r="E4714" t="str">
            <v>Pozon</v>
          </cell>
          <cell r="H4714" t="str">
            <v>consulta_externa</v>
          </cell>
          <cell r="J4714" t="str">
            <v>bueno</v>
          </cell>
          <cell r="K4714" t="str">
            <v>probsi</v>
          </cell>
        </row>
        <row r="4715">
          <cell r="B4715" t="b">
            <v>1</v>
          </cell>
          <cell r="E4715" t="str">
            <v>Candelaria</v>
          </cell>
          <cell r="H4715" t="str">
            <v>pediatria</v>
          </cell>
          <cell r="J4715" t="str">
            <v>bueno</v>
          </cell>
          <cell r="K4715" t="str">
            <v>probsi</v>
          </cell>
        </row>
        <row r="4716">
          <cell r="B4716" t="b">
            <v>1</v>
          </cell>
          <cell r="E4716" t="str">
            <v>Pozon</v>
          </cell>
          <cell r="H4716" t="str">
            <v>consulta_externa</v>
          </cell>
          <cell r="J4716" t="str">
            <v>bueno</v>
          </cell>
          <cell r="K4716" t="str">
            <v>probsi</v>
          </cell>
        </row>
        <row r="4717">
          <cell r="B4717" t="b">
            <v>1</v>
          </cell>
          <cell r="E4717" t="str">
            <v>Pozon</v>
          </cell>
          <cell r="H4717" t="str">
            <v>consulta_externa</v>
          </cell>
          <cell r="J4717" t="str">
            <v>bueno</v>
          </cell>
          <cell r="K4717" t="str">
            <v>probsi</v>
          </cell>
        </row>
        <row r="4718">
          <cell r="B4718" t="b">
            <v>1</v>
          </cell>
          <cell r="E4718" t="str">
            <v>Candelaria</v>
          </cell>
          <cell r="H4718" t="str">
            <v>pediatria</v>
          </cell>
          <cell r="J4718" t="str">
            <v>bueno</v>
          </cell>
          <cell r="K4718" t="str">
            <v>probsi</v>
          </cell>
        </row>
        <row r="4719">
          <cell r="B4719" t="b">
            <v>1</v>
          </cell>
          <cell r="E4719" t="str">
            <v>Pozon</v>
          </cell>
          <cell r="H4719" t="str">
            <v>consulta_externa</v>
          </cell>
          <cell r="J4719" t="str">
            <v>bueno</v>
          </cell>
          <cell r="K4719" t="str">
            <v>probsi</v>
          </cell>
        </row>
        <row r="4720">
          <cell r="B4720" t="b">
            <v>1</v>
          </cell>
          <cell r="E4720" t="str">
            <v>Pozon</v>
          </cell>
          <cell r="H4720" t="str">
            <v>laboratorio</v>
          </cell>
          <cell r="J4720" t="str">
            <v>bueno</v>
          </cell>
          <cell r="K4720" t="str">
            <v>probsi</v>
          </cell>
        </row>
        <row r="4721">
          <cell r="B4721" t="b">
            <v>1</v>
          </cell>
          <cell r="E4721" t="str">
            <v>Pozon</v>
          </cell>
          <cell r="H4721" t="str">
            <v>laboratorio</v>
          </cell>
          <cell r="J4721" t="str">
            <v>bueno</v>
          </cell>
          <cell r="K4721" t="str">
            <v>probsi</v>
          </cell>
        </row>
        <row r="4722">
          <cell r="B4722" t="b">
            <v>1</v>
          </cell>
          <cell r="E4722" t="str">
            <v>Pozon</v>
          </cell>
          <cell r="H4722" t="str">
            <v>laboratorio</v>
          </cell>
          <cell r="J4722" t="str">
            <v>bueno</v>
          </cell>
          <cell r="K4722" t="str">
            <v>probsi</v>
          </cell>
        </row>
        <row r="4723">
          <cell r="B4723" t="b">
            <v>1</v>
          </cell>
          <cell r="E4723" t="str">
            <v>Pozon</v>
          </cell>
          <cell r="H4723" t="str">
            <v>laboratorio</v>
          </cell>
          <cell r="J4723" t="str">
            <v>bueno</v>
          </cell>
          <cell r="K4723" t="str">
            <v>probsi</v>
          </cell>
        </row>
        <row r="4724">
          <cell r="B4724" t="b">
            <v>1</v>
          </cell>
          <cell r="E4724" t="str">
            <v>Pozon</v>
          </cell>
          <cell r="H4724" t="str">
            <v>laboratorio</v>
          </cell>
          <cell r="J4724" t="str">
            <v>bueno</v>
          </cell>
          <cell r="K4724" t="str">
            <v>probsi</v>
          </cell>
        </row>
        <row r="4725">
          <cell r="B4725" t="b">
            <v>1</v>
          </cell>
          <cell r="E4725" t="str">
            <v>Pozon</v>
          </cell>
          <cell r="H4725" t="str">
            <v>laboratorio</v>
          </cell>
          <cell r="J4725" t="str">
            <v>bueno</v>
          </cell>
          <cell r="K4725" t="str">
            <v>probsi</v>
          </cell>
        </row>
        <row r="4726">
          <cell r="B4726" t="b">
            <v>1</v>
          </cell>
          <cell r="E4726" t="str">
            <v>Pozon</v>
          </cell>
          <cell r="H4726" t="str">
            <v>laboratorio</v>
          </cell>
          <cell r="J4726" t="str">
            <v>bueno</v>
          </cell>
          <cell r="K4726" t="str">
            <v>probsi</v>
          </cell>
        </row>
        <row r="4727">
          <cell r="B4727" t="b">
            <v>1</v>
          </cell>
          <cell r="E4727" t="str">
            <v>Candelaria</v>
          </cell>
          <cell r="H4727" t="str">
            <v>medicina_interna</v>
          </cell>
          <cell r="J4727" t="str">
            <v>bueno</v>
          </cell>
          <cell r="K4727" t="str">
            <v>probsi</v>
          </cell>
        </row>
        <row r="4728">
          <cell r="B4728" t="b">
            <v>1</v>
          </cell>
          <cell r="E4728" t="str">
            <v>Candelaria</v>
          </cell>
          <cell r="H4728" t="str">
            <v>medicina_interna</v>
          </cell>
          <cell r="J4728" t="str">
            <v>bueno</v>
          </cell>
          <cell r="K4728" t="str">
            <v>probsi</v>
          </cell>
        </row>
        <row r="4729">
          <cell r="B4729" t="b">
            <v>1</v>
          </cell>
          <cell r="E4729" t="str">
            <v>Candelaria</v>
          </cell>
          <cell r="H4729" t="str">
            <v>medicina_interna</v>
          </cell>
          <cell r="J4729" t="str">
            <v>bueno</v>
          </cell>
          <cell r="K4729" t="str">
            <v>probsi</v>
          </cell>
        </row>
        <row r="4730">
          <cell r="B4730" t="b">
            <v>1</v>
          </cell>
          <cell r="E4730" t="str">
            <v>Candelaria</v>
          </cell>
          <cell r="H4730" t="str">
            <v>medicina_interna</v>
          </cell>
          <cell r="J4730" t="str">
            <v>bueno</v>
          </cell>
          <cell r="K4730" t="str">
            <v>probsi</v>
          </cell>
        </row>
        <row r="4731">
          <cell r="B4731" t="b">
            <v>1</v>
          </cell>
          <cell r="E4731" t="str">
            <v>Candelaria</v>
          </cell>
          <cell r="H4731" t="str">
            <v>consulta_externa</v>
          </cell>
          <cell r="J4731" t="str">
            <v>bueno</v>
          </cell>
          <cell r="K4731" t="str">
            <v>probsi</v>
          </cell>
        </row>
        <row r="4732">
          <cell r="B4732" t="b">
            <v>1</v>
          </cell>
          <cell r="E4732" t="str">
            <v>Candelaria</v>
          </cell>
          <cell r="H4732" t="str">
            <v>salud_oral</v>
          </cell>
          <cell r="J4732" t="str">
            <v>bueno</v>
          </cell>
          <cell r="K4732" t="str">
            <v>probsi</v>
          </cell>
        </row>
        <row r="4733">
          <cell r="B4733" t="b">
            <v>1</v>
          </cell>
          <cell r="E4733" t="str">
            <v>Candelaria</v>
          </cell>
          <cell r="H4733" t="str">
            <v>laboratorio</v>
          </cell>
          <cell r="J4733" t="str">
            <v>bueno</v>
          </cell>
          <cell r="K4733" t="str">
            <v>probsi</v>
          </cell>
        </row>
        <row r="4734">
          <cell r="B4734" t="b">
            <v>1</v>
          </cell>
          <cell r="E4734" t="str">
            <v>Candelaria</v>
          </cell>
          <cell r="H4734" t="str">
            <v>consulta_externa</v>
          </cell>
          <cell r="J4734" t="str">
            <v>bueno</v>
          </cell>
          <cell r="K4734" t="str">
            <v>probsi</v>
          </cell>
        </row>
        <row r="4735">
          <cell r="B4735" t="b">
            <v>1</v>
          </cell>
          <cell r="E4735" t="str">
            <v>Candelaria</v>
          </cell>
          <cell r="H4735" t="str">
            <v>laboratorio</v>
          </cell>
          <cell r="J4735" t="str">
            <v>bueno</v>
          </cell>
          <cell r="K4735" t="str">
            <v>probsi</v>
          </cell>
        </row>
        <row r="4736">
          <cell r="B4736" t="b">
            <v>1</v>
          </cell>
          <cell r="E4736" t="str">
            <v>Punta Arena</v>
          </cell>
          <cell r="H4736" t="str">
            <v>consulta_externa</v>
          </cell>
          <cell r="J4736" t="str">
            <v>bueno</v>
          </cell>
          <cell r="K4736" t="str">
            <v>defsi</v>
          </cell>
        </row>
        <row r="4737">
          <cell r="B4737" t="b">
            <v>1</v>
          </cell>
          <cell r="E4737" t="str">
            <v>Punta Arena</v>
          </cell>
          <cell r="H4737" t="str">
            <v>consulta_externa</v>
          </cell>
          <cell r="J4737" t="str">
            <v>bueno</v>
          </cell>
          <cell r="K4737" t="str">
            <v>defsi</v>
          </cell>
        </row>
        <row r="4738">
          <cell r="B4738" t="b">
            <v>0</v>
          </cell>
          <cell r="E4738" t="str">
            <v>Candelaria</v>
          </cell>
          <cell r="H4738" t="str">
            <v>consulta_externa</v>
          </cell>
          <cell r="J4738" t="str">
            <v>regular</v>
          </cell>
          <cell r="K4738" t="str">
            <v>probsi</v>
          </cell>
        </row>
        <row r="4739">
          <cell r="B4739" t="b">
            <v>0</v>
          </cell>
          <cell r="E4739" t="str">
            <v>Candelaria</v>
          </cell>
          <cell r="H4739" t="str">
            <v>laboratorio</v>
          </cell>
          <cell r="J4739" t="str">
            <v>regular</v>
          </cell>
          <cell r="K4739" t="str">
            <v>probsi</v>
          </cell>
        </row>
        <row r="4740">
          <cell r="B4740" t="b">
            <v>1</v>
          </cell>
          <cell r="E4740" t="str">
            <v>Punta Arena</v>
          </cell>
          <cell r="H4740" t="str">
            <v>laboratorio</v>
          </cell>
          <cell r="J4740" t="str">
            <v>bueno</v>
          </cell>
          <cell r="K4740" t="str">
            <v>defsi</v>
          </cell>
        </row>
        <row r="4741">
          <cell r="B4741" t="b">
            <v>1</v>
          </cell>
          <cell r="E4741" t="str">
            <v>Punta Arena</v>
          </cell>
          <cell r="H4741" t="str">
            <v>laboratorio</v>
          </cell>
          <cell r="J4741" t="str">
            <v>bueno</v>
          </cell>
          <cell r="K4741" t="str">
            <v>defsi</v>
          </cell>
        </row>
        <row r="4742">
          <cell r="B4742" t="b">
            <v>1</v>
          </cell>
          <cell r="E4742" t="str">
            <v>Punta Arena</v>
          </cell>
          <cell r="H4742" t="str">
            <v>laboratorio</v>
          </cell>
          <cell r="J4742" t="str">
            <v>bueno</v>
          </cell>
          <cell r="K4742" t="str">
            <v>defsi</v>
          </cell>
        </row>
        <row r="4743">
          <cell r="B4743" t="b">
            <v>1</v>
          </cell>
          <cell r="E4743" t="str">
            <v>Candelaria</v>
          </cell>
          <cell r="H4743" t="str">
            <v>salud_oral</v>
          </cell>
          <cell r="J4743" t="str">
            <v>muybueno</v>
          </cell>
          <cell r="K4743" t="str">
            <v>probsi</v>
          </cell>
        </row>
        <row r="4744">
          <cell r="B4744" t="b">
            <v>1</v>
          </cell>
          <cell r="E4744" t="str">
            <v>Candelaria</v>
          </cell>
          <cell r="H4744" t="str">
            <v>urgencia</v>
          </cell>
          <cell r="J4744" t="str">
            <v>bueno</v>
          </cell>
          <cell r="K4744" t="str">
            <v>probsi</v>
          </cell>
        </row>
        <row r="4745">
          <cell r="B4745" t="b">
            <v>1</v>
          </cell>
          <cell r="E4745" t="str">
            <v>Candelaria</v>
          </cell>
          <cell r="H4745" t="str">
            <v>salud_oral</v>
          </cell>
          <cell r="J4745" t="str">
            <v>bueno</v>
          </cell>
          <cell r="K4745" t="str">
            <v>probsi</v>
          </cell>
        </row>
        <row r="4746">
          <cell r="B4746" t="b">
            <v>1</v>
          </cell>
          <cell r="E4746" t="str">
            <v>Candelaria</v>
          </cell>
          <cell r="H4746" t="str">
            <v>salud_oral</v>
          </cell>
          <cell r="J4746" t="str">
            <v>bueno</v>
          </cell>
          <cell r="K4746" t="str">
            <v>probsi</v>
          </cell>
        </row>
        <row r="4747">
          <cell r="B4747" t="b">
            <v>1</v>
          </cell>
          <cell r="E4747" t="str">
            <v>Punta Arena</v>
          </cell>
          <cell r="H4747" t="str">
            <v>salud_oral</v>
          </cell>
          <cell r="J4747" t="str">
            <v>bueno</v>
          </cell>
          <cell r="K4747" t="str">
            <v>defsi</v>
          </cell>
        </row>
        <row r="4748">
          <cell r="B4748" t="b">
            <v>1</v>
          </cell>
          <cell r="E4748" t="str">
            <v>Punta Arena</v>
          </cell>
          <cell r="H4748" t="str">
            <v>salud_oral</v>
          </cell>
          <cell r="J4748" t="str">
            <v>bueno</v>
          </cell>
          <cell r="K4748" t="str">
            <v>defsi</v>
          </cell>
        </row>
        <row r="4749">
          <cell r="B4749" t="b">
            <v>1</v>
          </cell>
          <cell r="E4749" t="str">
            <v>Punta Arena</v>
          </cell>
          <cell r="H4749" t="str">
            <v>salud_oral</v>
          </cell>
          <cell r="J4749" t="str">
            <v>bueno</v>
          </cell>
          <cell r="K4749" t="str">
            <v>defsi</v>
          </cell>
        </row>
        <row r="4750">
          <cell r="B4750" t="b">
            <v>1</v>
          </cell>
          <cell r="E4750" t="str">
            <v>Candelaria</v>
          </cell>
          <cell r="H4750" t="str">
            <v>consulta_externa</v>
          </cell>
          <cell r="J4750" t="str">
            <v>bueno</v>
          </cell>
          <cell r="K4750" t="str">
            <v>probsi</v>
          </cell>
        </row>
        <row r="4751">
          <cell r="B4751" t="b">
            <v>1</v>
          </cell>
          <cell r="E4751" t="str">
            <v>Candelaria</v>
          </cell>
          <cell r="H4751" t="str">
            <v>salud_oral</v>
          </cell>
          <cell r="J4751" t="str">
            <v>bueno</v>
          </cell>
          <cell r="K4751" t="str">
            <v>probsi</v>
          </cell>
        </row>
        <row r="4752">
          <cell r="B4752" t="b">
            <v>1</v>
          </cell>
          <cell r="E4752" t="str">
            <v>Punta Arena</v>
          </cell>
          <cell r="H4752" t="str">
            <v>salud_oral</v>
          </cell>
          <cell r="J4752" t="str">
            <v>muybueno</v>
          </cell>
          <cell r="K4752" t="str">
            <v>defsi</v>
          </cell>
        </row>
        <row r="4753">
          <cell r="B4753" t="b">
            <v>1</v>
          </cell>
          <cell r="E4753" t="str">
            <v>Punta Arena</v>
          </cell>
          <cell r="H4753" t="str">
            <v>salud_oral</v>
          </cell>
          <cell r="J4753" t="str">
            <v>muybueno</v>
          </cell>
          <cell r="K4753" t="str">
            <v>defsi</v>
          </cell>
        </row>
        <row r="4754">
          <cell r="B4754" t="b">
            <v>1</v>
          </cell>
          <cell r="E4754" t="str">
            <v>Punta Arena</v>
          </cell>
          <cell r="H4754" t="str">
            <v>consulta_externa</v>
          </cell>
          <cell r="J4754" t="str">
            <v>bueno</v>
          </cell>
          <cell r="K4754" t="str">
            <v>defsi</v>
          </cell>
        </row>
        <row r="4755">
          <cell r="B4755" t="b">
            <v>1</v>
          </cell>
          <cell r="E4755" t="str">
            <v>Punta Arena</v>
          </cell>
          <cell r="H4755" t="str">
            <v>laboratorio</v>
          </cell>
          <cell r="J4755" t="str">
            <v>bueno</v>
          </cell>
          <cell r="K4755" t="str">
            <v>defsi</v>
          </cell>
        </row>
        <row r="4756">
          <cell r="B4756" t="b">
            <v>1</v>
          </cell>
          <cell r="E4756" t="str">
            <v>Punta Arena</v>
          </cell>
          <cell r="H4756" t="str">
            <v>salud_oral</v>
          </cell>
          <cell r="J4756" t="str">
            <v>bueno</v>
          </cell>
          <cell r="K4756" t="str">
            <v>defsi</v>
          </cell>
        </row>
        <row r="4757">
          <cell r="B4757" t="b">
            <v>1</v>
          </cell>
          <cell r="E4757" t="str">
            <v>Punta Arena</v>
          </cell>
          <cell r="H4757" t="str">
            <v>salud_oral</v>
          </cell>
          <cell r="J4757" t="str">
            <v>bueno</v>
          </cell>
          <cell r="K4757" t="str">
            <v>defsi</v>
          </cell>
        </row>
        <row r="4758">
          <cell r="B4758" t="b">
            <v>1</v>
          </cell>
          <cell r="E4758" t="str">
            <v>Punta Arena</v>
          </cell>
          <cell r="H4758" t="str">
            <v>salud_oral</v>
          </cell>
          <cell r="J4758" t="str">
            <v>bueno</v>
          </cell>
          <cell r="K4758" t="str">
            <v>defsi</v>
          </cell>
        </row>
        <row r="4759">
          <cell r="B4759" t="b">
            <v>1</v>
          </cell>
          <cell r="E4759" t="str">
            <v>Punta Arena</v>
          </cell>
          <cell r="H4759" t="str">
            <v>salud_oral</v>
          </cell>
          <cell r="J4759" t="str">
            <v>muybueno</v>
          </cell>
          <cell r="K4759" t="str">
            <v>defsi</v>
          </cell>
        </row>
        <row r="4760">
          <cell r="B4760" t="b">
            <v>1</v>
          </cell>
          <cell r="E4760" t="str">
            <v>Tierra Bomba</v>
          </cell>
          <cell r="H4760" t="str">
            <v>consulta_externa</v>
          </cell>
          <cell r="J4760" t="str">
            <v>bueno</v>
          </cell>
          <cell r="K4760" t="str">
            <v>defsi</v>
          </cell>
        </row>
        <row r="4761">
          <cell r="B4761" t="b">
            <v>1</v>
          </cell>
          <cell r="E4761" t="str">
            <v>Tierra Bomba</v>
          </cell>
          <cell r="H4761" t="str">
            <v>salud_oral</v>
          </cell>
          <cell r="J4761" t="str">
            <v>bueno</v>
          </cell>
          <cell r="K4761" t="str">
            <v>defsi</v>
          </cell>
        </row>
        <row r="4762">
          <cell r="B4762" t="b">
            <v>1</v>
          </cell>
          <cell r="E4762" t="str">
            <v>Tierra Bomba</v>
          </cell>
          <cell r="H4762" t="str">
            <v>laboratorio</v>
          </cell>
          <cell r="J4762" t="str">
            <v>bueno</v>
          </cell>
          <cell r="K4762" t="str">
            <v>defsi</v>
          </cell>
        </row>
        <row r="4763">
          <cell r="B4763" t="b">
            <v>1</v>
          </cell>
          <cell r="E4763" t="str">
            <v>Tierra Bomba</v>
          </cell>
          <cell r="H4763" t="str">
            <v>consulta_externa</v>
          </cell>
          <cell r="J4763" t="str">
            <v>bueno</v>
          </cell>
          <cell r="K4763" t="str">
            <v>defsi</v>
          </cell>
        </row>
        <row r="4764">
          <cell r="B4764" t="b">
            <v>1</v>
          </cell>
          <cell r="E4764" t="str">
            <v>Tierra Bomba</v>
          </cell>
          <cell r="H4764" t="str">
            <v>salud_oral</v>
          </cell>
          <cell r="J4764" t="str">
            <v>bueno</v>
          </cell>
          <cell r="K4764" t="str">
            <v>defsi</v>
          </cell>
        </row>
        <row r="4765">
          <cell r="B4765" t="b">
            <v>1</v>
          </cell>
          <cell r="E4765" t="str">
            <v>Tierra Bomba</v>
          </cell>
          <cell r="H4765" t="str">
            <v>laboratorio</v>
          </cell>
          <cell r="J4765" t="str">
            <v>bueno</v>
          </cell>
          <cell r="K4765" t="str">
            <v>defsi</v>
          </cell>
        </row>
        <row r="4766">
          <cell r="B4766" t="b">
            <v>1</v>
          </cell>
          <cell r="E4766" t="str">
            <v>Tierra Bomba</v>
          </cell>
          <cell r="H4766" t="str">
            <v>consulta_externa</v>
          </cell>
          <cell r="J4766" t="str">
            <v>bueno</v>
          </cell>
          <cell r="K4766" t="str">
            <v>defsi</v>
          </cell>
        </row>
        <row r="4767">
          <cell r="B4767" t="b">
            <v>1</v>
          </cell>
          <cell r="E4767" t="str">
            <v>Tierra Bomba</v>
          </cell>
          <cell r="H4767" t="str">
            <v>salud_oral</v>
          </cell>
          <cell r="J4767" t="str">
            <v>bueno</v>
          </cell>
          <cell r="K4767" t="str">
            <v>defsi</v>
          </cell>
        </row>
        <row r="4768">
          <cell r="B4768" t="b">
            <v>1</v>
          </cell>
          <cell r="E4768" t="str">
            <v>Tierra Bomba</v>
          </cell>
          <cell r="H4768" t="str">
            <v>laboratorio</v>
          </cell>
          <cell r="J4768" t="str">
            <v>bueno</v>
          </cell>
          <cell r="K4768" t="str">
            <v>defsi</v>
          </cell>
        </row>
        <row r="4769">
          <cell r="B4769" t="b">
            <v>1</v>
          </cell>
          <cell r="E4769" t="str">
            <v>Tierra Bomba</v>
          </cell>
          <cell r="H4769" t="str">
            <v>consulta_externa</v>
          </cell>
          <cell r="J4769" t="str">
            <v>bueno</v>
          </cell>
          <cell r="K4769" t="str">
            <v>defsi</v>
          </cell>
        </row>
        <row r="4770">
          <cell r="B4770" t="b">
            <v>1</v>
          </cell>
          <cell r="E4770" t="str">
            <v>Tierra Bomba</v>
          </cell>
          <cell r="H4770" t="str">
            <v>salud_oral</v>
          </cell>
          <cell r="J4770" t="str">
            <v>bueno</v>
          </cell>
          <cell r="K4770" t="str">
            <v>defsi</v>
          </cell>
        </row>
        <row r="4771">
          <cell r="B4771" t="b">
            <v>1</v>
          </cell>
          <cell r="E4771" t="str">
            <v>Tierra Bomba</v>
          </cell>
          <cell r="H4771" t="str">
            <v>laboratorio</v>
          </cell>
          <cell r="J4771" t="str">
            <v>bueno</v>
          </cell>
          <cell r="K4771" t="str">
            <v>defsi</v>
          </cell>
        </row>
        <row r="4772">
          <cell r="B4772" t="b">
            <v>1</v>
          </cell>
          <cell r="E4772" t="str">
            <v>San Francisco I</v>
          </cell>
          <cell r="H4772" t="str">
            <v>consulta_externa</v>
          </cell>
          <cell r="J4772" t="str">
            <v>bueno</v>
          </cell>
          <cell r="K4772" t="str">
            <v>probsi</v>
          </cell>
        </row>
        <row r="4773">
          <cell r="B4773" t="b">
            <v>1</v>
          </cell>
          <cell r="E4773" t="str">
            <v>San Francisco I</v>
          </cell>
          <cell r="H4773" t="str">
            <v>consulta_externa</v>
          </cell>
          <cell r="J4773" t="str">
            <v>bueno</v>
          </cell>
          <cell r="K4773" t="str">
            <v>probsi</v>
          </cell>
        </row>
        <row r="4774">
          <cell r="B4774" t="b">
            <v>1</v>
          </cell>
          <cell r="E4774" t="str">
            <v>San Francisco I</v>
          </cell>
          <cell r="H4774" t="str">
            <v>consulta_externa</v>
          </cell>
          <cell r="J4774" t="str">
            <v>bueno</v>
          </cell>
          <cell r="K4774" t="str">
            <v>probsi</v>
          </cell>
        </row>
        <row r="4775">
          <cell r="B4775" t="b">
            <v>1</v>
          </cell>
          <cell r="E4775" t="str">
            <v>San Francisco I</v>
          </cell>
          <cell r="H4775" t="str">
            <v>consulta_externa</v>
          </cell>
          <cell r="J4775" t="str">
            <v>bueno</v>
          </cell>
          <cell r="K4775" t="str">
            <v>probsi</v>
          </cell>
        </row>
        <row r="4776">
          <cell r="B4776" t="b">
            <v>1</v>
          </cell>
          <cell r="E4776" t="str">
            <v>San Francisco I</v>
          </cell>
          <cell r="H4776" t="str">
            <v>consulta_externa</v>
          </cell>
          <cell r="J4776" t="str">
            <v>bueno</v>
          </cell>
          <cell r="K4776" t="str">
            <v>probsi</v>
          </cell>
        </row>
        <row r="4777">
          <cell r="B4777" t="b">
            <v>1</v>
          </cell>
          <cell r="E4777" t="str">
            <v>San Francisco I</v>
          </cell>
          <cell r="H4777" t="str">
            <v>consulta_externa</v>
          </cell>
          <cell r="J4777" t="str">
            <v>bueno</v>
          </cell>
          <cell r="K4777" t="str">
            <v>probsi</v>
          </cell>
        </row>
        <row r="4778">
          <cell r="B4778" t="b">
            <v>1</v>
          </cell>
          <cell r="E4778" t="str">
            <v>San Francisco I</v>
          </cell>
          <cell r="H4778" t="str">
            <v>laboratorio</v>
          </cell>
          <cell r="J4778" t="str">
            <v>bueno</v>
          </cell>
          <cell r="K4778" t="str">
            <v>probsi</v>
          </cell>
        </row>
        <row r="4779">
          <cell r="B4779" t="b">
            <v>1</v>
          </cell>
          <cell r="E4779" t="str">
            <v>San Francisco I</v>
          </cell>
          <cell r="H4779" t="str">
            <v>laboratorio</v>
          </cell>
          <cell r="J4779" t="str">
            <v>bueno</v>
          </cell>
          <cell r="K4779" t="str">
            <v>probsi</v>
          </cell>
        </row>
        <row r="4780">
          <cell r="B4780" t="b">
            <v>1</v>
          </cell>
          <cell r="E4780" t="str">
            <v>San Francisco I</v>
          </cell>
          <cell r="H4780" t="str">
            <v>laboratorio</v>
          </cell>
          <cell r="J4780" t="str">
            <v>bueno</v>
          </cell>
          <cell r="K4780" t="str">
            <v>probsi</v>
          </cell>
        </row>
        <row r="4781">
          <cell r="B4781" t="b">
            <v>1</v>
          </cell>
          <cell r="E4781" t="str">
            <v>San Francisco I</v>
          </cell>
          <cell r="H4781" t="str">
            <v>laboratorio</v>
          </cell>
          <cell r="J4781" t="str">
            <v>bueno</v>
          </cell>
          <cell r="K4781" t="str">
            <v>probsi</v>
          </cell>
        </row>
        <row r="4782">
          <cell r="B4782" t="b">
            <v>1</v>
          </cell>
          <cell r="E4782" t="str">
            <v>San Francisco I</v>
          </cell>
          <cell r="H4782" t="str">
            <v>laboratorio</v>
          </cell>
          <cell r="J4782" t="str">
            <v>bueno</v>
          </cell>
          <cell r="K4782" t="str">
            <v>probsi</v>
          </cell>
        </row>
        <row r="4783">
          <cell r="B4783" t="b">
            <v>1</v>
          </cell>
          <cell r="E4783" t="str">
            <v>San Francisco I</v>
          </cell>
          <cell r="H4783" t="str">
            <v>laboratorio</v>
          </cell>
          <cell r="J4783" t="str">
            <v>bueno</v>
          </cell>
          <cell r="K4783" t="str">
            <v>probsi</v>
          </cell>
        </row>
        <row r="4784">
          <cell r="B4784" t="b">
            <v>1</v>
          </cell>
          <cell r="E4784" t="str">
            <v>San Francisco I</v>
          </cell>
          <cell r="H4784" t="str">
            <v>laboratorio</v>
          </cell>
          <cell r="J4784" t="str">
            <v>bueno</v>
          </cell>
          <cell r="K4784" t="str">
            <v>probsi</v>
          </cell>
        </row>
        <row r="4785">
          <cell r="B4785" t="b">
            <v>1</v>
          </cell>
          <cell r="E4785" t="str">
            <v>Hospital Pozon</v>
          </cell>
          <cell r="H4785" t="str">
            <v>consulta_externa</v>
          </cell>
          <cell r="J4785" t="str">
            <v>bueno</v>
          </cell>
          <cell r="K4785" t="str">
            <v>probsi</v>
          </cell>
        </row>
        <row r="4786">
          <cell r="B4786" t="b">
            <v>1</v>
          </cell>
          <cell r="E4786" t="str">
            <v>Hospital Pozon</v>
          </cell>
          <cell r="H4786" t="str">
            <v>consulta_externa</v>
          </cell>
          <cell r="J4786" t="str">
            <v>bueno</v>
          </cell>
          <cell r="K4786" t="str">
            <v>probsi</v>
          </cell>
        </row>
        <row r="4787">
          <cell r="B4787" t="b">
            <v>1</v>
          </cell>
          <cell r="E4787" t="str">
            <v>Hospital Pozon</v>
          </cell>
          <cell r="H4787" t="str">
            <v>consulta_externa</v>
          </cell>
          <cell r="J4787" t="str">
            <v>bueno</v>
          </cell>
          <cell r="K4787" t="str">
            <v>probsi</v>
          </cell>
        </row>
        <row r="4788">
          <cell r="B4788" t="b">
            <v>1</v>
          </cell>
          <cell r="E4788" t="str">
            <v>Hospital Pozon</v>
          </cell>
          <cell r="H4788" t="str">
            <v>consulta_externa</v>
          </cell>
          <cell r="J4788" t="str">
            <v>bueno</v>
          </cell>
          <cell r="K4788" t="str">
            <v>probsi</v>
          </cell>
        </row>
        <row r="4789">
          <cell r="B4789" t="b">
            <v>1</v>
          </cell>
          <cell r="E4789" t="str">
            <v>Hospital Pozon</v>
          </cell>
          <cell r="H4789" t="str">
            <v>consulta_externa</v>
          </cell>
          <cell r="J4789" t="str">
            <v>bueno</v>
          </cell>
          <cell r="K4789" t="str">
            <v>probsi</v>
          </cell>
        </row>
        <row r="4790">
          <cell r="B4790" t="b">
            <v>1</v>
          </cell>
          <cell r="E4790" t="str">
            <v>Hospital Pozon</v>
          </cell>
          <cell r="H4790" t="str">
            <v>consulta_externa</v>
          </cell>
          <cell r="J4790" t="str">
            <v>bueno</v>
          </cell>
          <cell r="K4790" t="str">
            <v>probsi</v>
          </cell>
        </row>
        <row r="4791">
          <cell r="B4791" t="b">
            <v>1</v>
          </cell>
          <cell r="E4791" t="str">
            <v>Hospital Pozon</v>
          </cell>
          <cell r="H4791" t="str">
            <v>consulta_externa</v>
          </cell>
          <cell r="J4791" t="str">
            <v>bueno</v>
          </cell>
          <cell r="K4791" t="str">
            <v>probsi</v>
          </cell>
        </row>
        <row r="4792">
          <cell r="B4792" t="b">
            <v>1</v>
          </cell>
          <cell r="E4792" t="str">
            <v>Hospital Pozon</v>
          </cell>
          <cell r="H4792" t="str">
            <v>consulta_externa</v>
          </cell>
          <cell r="J4792" t="str">
            <v>bueno</v>
          </cell>
          <cell r="K4792" t="str">
            <v>probsi</v>
          </cell>
        </row>
        <row r="4793">
          <cell r="B4793" t="b">
            <v>1</v>
          </cell>
          <cell r="E4793" t="str">
            <v>Hospital Pozon</v>
          </cell>
          <cell r="H4793" t="str">
            <v>laboratorio</v>
          </cell>
          <cell r="J4793" t="str">
            <v>bueno</v>
          </cell>
          <cell r="K4793" t="str">
            <v>probsi</v>
          </cell>
        </row>
        <row r="4794">
          <cell r="B4794" t="b">
            <v>1</v>
          </cell>
          <cell r="E4794" t="str">
            <v>Hospital Pozon</v>
          </cell>
          <cell r="H4794" t="str">
            <v>laboratorio</v>
          </cell>
          <cell r="J4794" t="str">
            <v>bueno</v>
          </cell>
          <cell r="K4794" t="str">
            <v>probsi</v>
          </cell>
        </row>
        <row r="4795">
          <cell r="B4795" t="b">
            <v>1</v>
          </cell>
          <cell r="E4795" t="str">
            <v>Hospital Pozon</v>
          </cell>
          <cell r="H4795" t="str">
            <v>laboratorio</v>
          </cell>
          <cell r="J4795" t="str">
            <v>bueno</v>
          </cell>
          <cell r="K4795" t="str">
            <v>probsi</v>
          </cell>
        </row>
        <row r="4796">
          <cell r="B4796" t="b">
            <v>1</v>
          </cell>
          <cell r="E4796" t="str">
            <v>Hospital Pozon</v>
          </cell>
          <cell r="H4796" t="str">
            <v>rx</v>
          </cell>
          <cell r="J4796" t="str">
            <v>bueno</v>
          </cell>
          <cell r="K4796" t="str">
            <v>probsi</v>
          </cell>
        </row>
        <row r="4797">
          <cell r="B4797" t="b">
            <v>1</v>
          </cell>
          <cell r="E4797" t="str">
            <v>Hospital Pozon</v>
          </cell>
          <cell r="H4797" t="str">
            <v>rx</v>
          </cell>
          <cell r="J4797" t="str">
            <v>bueno</v>
          </cell>
          <cell r="K4797" t="str">
            <v>probsi</v>
          </cell>
        </row>
        <row r="4798">
          <cell r="B4798" t="b">
            <v>1</v>
          </cell>
          <cell r="E4798" t="str">
            <v>Hospital Pozon</v>
          </cell>
          <cell r="H4798" t="str">
            <v>rx</v>
          </cell>
          <cell r="J4798" t="str">
            <v>bueno</v>
          </cell>
          <cell r="K4798" t="str">
            <v>probsi</v>
          </cell>
        </row>
        <row r="4799">
          <cell r="B4799" t="b">
            <v>1</v>
          </cell>
          <cell r="E4799" t="str">
            <v>Hospital Pozon</v>
          </cell>
          <cell r="H4799" t="str">
            <v>rx</v>
          </cell>
          <cell r="J4799" t="str">
            <v>bueno</v>
          </cell>
          <cell r="K4799" t="str">
            <v>probsi</v>
          </cell>
        </row>
        <row r="4800">
          <cell r="B4800" t="b">
            <v>1</v>
          </cell>
          <cell r="E4800" t="str">
            <v>Hospital Pozon</v>
          </cell>
          <cell r="H4800" t="str">
            <v>rx</v>
          </cell>
          <cell r="J4800" t="str">
            <v>bueno</v>
          </cell>
          <cell r="K4800" t="str">
            <v>probsi</v>
          </cell>
        </row>
        <row r="4801">
          <cell r="B4801" t="b">
            <v>1</v>
          </cell>
          <cell r="E4801" t="str">
            <v>Hospital Pozon</v>
          </cell>
          <cell r="H4801" t="str">
            <v>rx</v>
          </cell>
          <cell r="J4801" t="str">
            <v>bueno</v>
          </cell>
          <cell r="K4801" t="str">
            <v>probsi</v>
          </cell>
        </row>
        <row r="4802">
          <cell r="B4802" t="b">
            <v>1</v>
          </cell>
          <cell r="E4802" t="str">
            <v>Hospital Pozon</v>
          </cell>
          <cell r="H4802" t="str">
            <v>rx</v>
          </cell>
          <cell r="J4802" t="str">
            <v>bueno</v>
          </cell>
          <cell r="K4802" t="str">
            <v>probsi</v>
          </cell>
        </row>
        <row r="4803">
          <cell r="B4803" t="b">
            <v>1</v>
          </cell>
          <cell r="E4803" t="str">
            <v>Hospital Pozon</v>
          </cell>
          <cell r="H4803" t="str">
            <v>rx</v>
          </cell>
          <cell r="J4803" t="str">
            <v>bueno</v>
          </cell>
          <cell r="K4803" t="str">
            <v>probsi</v>
          </cell>
        </row>
        <row r="4804">
          <cell r="B4804" t="b">
            <v>1</v>
          </cell>
          <cell r="E4804" t="str">
            <v>Hospital Pozon</v>
          </cell>
          <cell r="H4804" t="str">
            <v>rx</v>
          </cell>
          <cell r="J4804" t="str">
            <v>bueno</v>
          </cell>
          <cell r="K4804" t="str">
            <v>probsi</v>
          </cell>
        </row>
        <row r="4805">
          <cell r="B4805" t="b">
            <v>1</v>
          </cell>
          <cell r="E4805" t="str">
            <v>Hospital Pozon</v>
          </cell>
          <cell r="H4805" t="str">
            <v>rx</v>
          </cell>
          <cell r="J4805" t="str">
            <v>bueno</v>
          </cell>
          <cell r="K4805" t="str">
            <v>probsi</v>
          </cell>
        </row>
        <row r="4806">
          <cell r="B4806" t="b">
            <v>1</v>
          </cell>
          <cell r="E4806" t="str">
            <v>Hospital Pozon</v>
          </cell>
          <cell r="H4806" t="str">
            <v>rx</v>
          </cell>
          <cell r="J4806" t="str">
            <v>bueno</v>
          </cell>
          <cell r="K4806" t="str">
            <v>probsi</v>
          </cell>
        </row>
        <row r="4807">
          <cell r="B4807" t="b">
            <v>1</v>
          </cell>
          <cell r="E4807" t="str">
            <v>Hospital Pozon</v>
          </cell>
          <cell r="H4807" t="str">
            <v>rx</v>
          </cell>
          <cell r="J4807" t="str">
            <v>bueno</v>
          </cell>
          <cell r="K4807" t="str">
            <v>probsi</v>
          </cell>
        </row>
        <row r="4808">
          <cell r="B4808" t="b">
            <v>1</v>
          </cell>
          <cell r="E4808" t="str">
            <v>Hospital Pozon</v>
          </cell>
          <cell r="H4808" t="str">
            <v>rx</v>
          </cell>
          <cell r="J4808" t="str">
            <v>bueno</v>
          </cell>
          <cell r="K4808" t="str">
            <v>probsi</v>
          </cell>
        </row>
        <row r="4809">
          <cell r="B4809" t="b">
            <v>1</v>
          </cell>
          <cell r="E4809" t="str">
            <v>Hospital Pozon</v>
          </cell>
          <cell r="H4809" t="str">
            <v>rx</v>
          </cell>
          <cell r="J4809" t="str">
            <v>bueno</v>
          </cell>
          <cell r="K4809" t="str">
            <v>probsi</v>
          </cell>
        </row>
        <row r="4810">
          <cell r="B4810" t="b">
            <v>1</v>
          </cell>
          <cell r="E4810" t="str">
            <v>Hospital Pozon</v>
          </cell>
          <cell r="H4810" t="str">
            <v>rx</v>
          </cell>
          <cell r="J4810" t="str">
            <v>bueno</v>
          </cell>
          <cell r="K4810" t="str">
            <v>probsi</v>
          </cell>
        </row>
        <row r="4811">
          <cell r="B4811" t="b">
            <v>1</v>
          </cell>
          <cell r="E4811" t="str">
            <v>Hospital Pozon</v>
          </cell>
          <cell r="H4811" t="str">
            <v>rx</v>
          </cell>
          <cell r="J4811" t="str">
            <v>bueno</v>
          </cell>
          <cell r="K4811" t="str">
            <v>probsi</v>
          </cell>
        </row>
        <row r="4812">
          <cell r="B4812" t="b">
            <v>1</v>
          </cell>
          <cell r="E4812" t="str">
            <v>Bicentenario</v>
          </cell>
          <cell r="H4812" t="str">
            <v>rx</v>
          </cell>
          <cell r="J4812" t="str">
            <v>bueno</v>
          </cell>
          <cell r="K4812" t="str">
            <v>probsi</v>
          </cell>
        </row>
        <row r="4813">
          <cell r="B4813" t="b">
            <v>1</v>
          </cell>
          <cell r="E4813" t="str">
            <v>Bicentenario</v>
          </cell>
          <cell r="H4813" t="str">
            <v>rx</v>
          </cell>
          <cell r="J4813" t="str">
            <v>bueno</v>
          </cell>
          <cell r="K4813" t="str">
            <v>probsi</v>
          </cell>
        </row>
        <row r="4814">
          <cell r="B4814" t="b">
            <v>1</v>
          </cell>
          <cell r="E4814" t="str">
            <v>Bicentenario</v>
          </cell>
          <cell r="H4814" t="str">
            <v>rx</v>
          </cell>
          <cell r="J4814" t="str">
            <v>bueno</v>
          </cell>
          <cell r="K4814" t="str">
            <v>probsi</v>
          </cell>
        </row>
        <row r="4815">
          <cell r="B4815" t="b">
            <v>1</v>
          </cell>
          <cell r="E4815" t="str">
            <v>Bicentenario</v>
          </cell>
          <cell r="H4815" t="str">
            <v>rx</v>
          </cell>
          <cell r="J4815" t="str">
            <v>bueno</v>
          </cell>
          <cell r="K4815" t="str">
            <v>probsi</v>
          </cell>
        </row>
        <row r="4816">
          <cell r="B4816" t="b">
            <v>1</v>
          </cell>
          <cell r="E4816" t="str">
            <v>Bicentenario</v>
          </cell>
          <cell r="H4816" t="str">
            <v>rx</v>
          </cell>
          <cell r="J4816" t="str">
            <v>bueno</v>
          </cell>
          <cell r="K4816" t="str">
            <v>probsi</v>
          </cell>
        </row>
        <row r="4817">
          <cell r="B4817" t="b">
            <v>1</v>
          </cell>
          <cell r="E4817" t="str">
            <v>Bicentenario</v>
          </cell>
          <cell r="H4817" t="str">
            <v>rx</v>
          </cell>
          <cell r="J4817" t="str">
            <v>bueno</v>
          </cell>
          <cell r="K4817" t="str">
            <v>probsi</v>
          </cell>
        </row>
        <row r="4818">
          <cell r="B4818" t="b">
            <v>1</v>
          </cell>
          <cell r="E4818" t="str">
            <v>Bicentenario</v>
          </cell>
          <cell r="H4818" t="str">
            <v>rx</v>
          </cell>
          <cell r="J4818" t="str">
            <v>bueno</v>
          </cell>
          <cell r="K4818" t="str">
            <v>probsi</v>
          </cell>
        </row>
        <row r="4819">
          <cell r="B4819" t="b">
            <v>1</v>
          </cell>
          <cell r="E4819" t="str">
            <v>Bicentenario</v>
          </cell>
          <cell r="H4819" t="str">
            <v>rx</v>
          </cell>
          <cell r="J4819" t="str">
            <v>bueno</v>
          </cell>
          <cell r="K4819" t="str">
            <v>probsi</v>
          </cell>
        </row>
        <row r="4820">
          <cell r="B4820" t="b">
            <v>1</v>
          </cell>
          <cell r="E4820" t="str">
            <v>Bicentenario</v>
          </cell>
          <cell r="H4820" t="str">
            <v>rx</v>
          </cell>
          <cell r="J4820" t="str">
            <v>bueno</v>
          </cell>
          <cell r="K4820" t="str">
            <v>probsi</v>
          </cell>
        </row>
        <row r="4821">
          <cell r="B4821" t="b">
            <v>1</v>
          </cell>
          <cell r="E4821" t="str">
            <v>Bicentenario</v>
          </cell>
          <cell r="H4821" t="str">
            <v>rx</v>
          </cell>
          <cell r="J4821" t="str">
            <v>bueno</v>
          </cell>
          <cell r="K4821" t="str">
            <v>probsi</v>
          </cell>
        </row>
        <row r="4822">
          <cell r="B4822" t="b">
            <v>1</v>
          </cell>
          <cell r="E4822" t="str">
            <v>Bicentenario</v>
          </cell>
          <cell r="H4822" t="str">
            <v>rx</v>
          </cell>
          <cell r="J4822" t="str">
            <v>bueno</v>
          </cell>
          <cell r="K4822" t="str">
            <v>probsi</v>
          </cell>
        </row>
        <row r="4823">
          <cell r="B4823" t="b">
            <v>1</v>
          </cell>
          <cell r="E4823" t="str">
            <v>Bicentenario</v>
          </cell>
          <cell r="H4823" t="str">
            <v>rx</v>
          </cell>
          <cell r="J4823" t="str">
            <v>bueno</v>
          </cell>
          <cell r="K4823" t="str">
            <v>probsi</v>
          </cell>
        </row>
        <row r="4824">
          <cell r="B4824" t="b">
            <v>1</v>
          </cell>
          <cell r="E4824" t="str">
            <v>Bicentenario</v>
          </cell>
          <cell r="H4824" t="str">
            <v>consulta_externa</v>
          </cell>
          <cell r="J4824" t="str">
            <v>bueno</v>
          </cell>
          <cell r="K4824" t="str">
            <v>probsi</v>
          </cell>
        </row>
        <row r="4825">
          <cell r="B4825" t="b">
            <v>1</v>
          </cell>
          <cell r="E4825" t="str">
            <v>Bicentenario</v>
          </cell>
          <cell r="H4825" t="str">
            <v>consulta_externa</v>
          </cell>
          <cell r="J4825" t="str">
            <v>bueno</v>
          </cell>
          <cell r="K4825" t="str">
            <v>probsi</v>
          </cell>
        </row>
        <row r="4826">
          <cell r="B4826" t="b">
            <v>1</v>
          </cell>
          <cell r="E4826" t="str">
            <v>Bicentenario</v>
          </cell>
          <cell r="H4826" t="str">
            <v>consulta_externa</v>
          </cell>
          <cell r="J4826" t="str">
            <v>bueno</v>
          </cell>
          <cell r="K4826" t="str">
            <v>probsi</v>
          </cell>
        </row>
        <row r="4827">
          <cell r="B4827" t="b">
            <v>1</v>
          </cell>
          <cell r="E4827" t="str">
            <v>Bicentenario</v>
          </cell>
          <cell r="H4827" t="str">
            <v>consulta_externa</v>
          </cell>
          <cell r="J4827" t="str">
            <v>bueno</v>
          </cell>
          <cell r="K4827" t="str">
            <v>probsi</v>
          </cell>
        </row>
        <row r="4828">
          <cell r="B4828" t="b">
            <v>1</v>
          </cell>
          <cell r="E4828" t="str">
            <v>Bicentenario</v>
          </cell>
          <cell r="H4828" t="str">
            <v>consulta_externa</v>
          </cell>
          <cell r="J4828" t="str">
            <v>bueno</v>
          </cell>
          <cell r="K4828" t="str">
            <v>probsi</v>
          </cell>
        </row>
        <row r="4829">
          <cell r="B4829" t="b">
            <v>1</v>
          </cell>
          <cell r="E4829" t="str">
            <v>Bicentenario</v>
          </cell>
          <cell r="H4829" t="str">
            <v>salud_oral</v>
          </cell>
          <cell r="J4829" t="str">
            <v>bueno</v>
          </cell>
          <cell r="K4829" t="str">
            <v>probsi</v>
          </cell>
        </row>
        <row r="4830">
          <cell r="B4830" t="b">
            <v>1</v>
          </cell>
          <cell r="E4830" t="str">
            <v>Bicentenario</v>
          </cell>
          <cell r="H4830" t="str">
            <v>salud_oral</v>
          </cell>
          <cell r="J4830" t="str">
            <v>bueno</v>
          </cell>
          <cell r="K4830" t="str">
            <v>probsi</v>
          </cell>
        </row>
        <row r="4831">
          <cell r="B4831" t="b">
            <v>1</v>
          </cell>
          <cell r="E4831" t="str">
            <v>Bicentenario</v>
          </cell>
          <cell r="H4831" t="str">
            <v>salud_oral</v>
          </cell>
          <cell r="J4831" t="str">
            <v>bueno</v>
          </cell>
          <cell r="K4831" t="str">
            <v>probsi</v>
          </cell>
        </row>
        <row r="4832">
          <cell r="B4832" t="b">
            <v>1</v>
          </cell>
          <cell r="E4832" t="str">
            <v>Bicentenario</v>
          </cell>
          <cell r="H4832" t="str">
            <v>salud_oral</v>
          </cell>
          <cell r="J4832" t="str">
            <v>bueno</v>
          </cell>
          <cell r="K4832" t="str">
            <v>probsi</v>
          </cell>
        </row>
        <row r="4833">
          <cell r="B4833" t="b">
            <v>1</v>
          </cell>
          <cell r="E4833" t="str">
            <v>Bicentenario</v>
          </cell>
          <cell r="H4833" t="str">
            <v>salud_oral</v>
          </cell>
          <cell r="J4833" t="str">
            <v>bueno</v>
          </cell>
          <cell r="K4833" t="str">
            <v>probsi</v>
          </cell>
        </row>
        <row r="4834">
          <cell r="B4834" t="b">
            <v>1</v>
          </cell>
          <cell r="E4834" t="str">
            <v>Hospital Pozon</v>
          </cell>
          <cell r="H4834" t="str">
            <v>consulta_externa</v>
          </cell>
          <cell r="J4834" t="str">
            <v>bueno</v>
          </cell>
          <cell r="K4834" t="str">
            <v>probsi</v>
          </cell>
        </row>
        <row r="4835">
          <cell r="B4835" t="b">
            <v>1</v>
          </cell>
          <cell r="E4835" t="str">
            <v>Hospital Pozon</v>
          </cell>
          <cell r="H4835" t="str">
            <v>consulta_externa</v>
          </cell>
          <cell r="J4835" t="str">
            <v>bueno</v>
          </cell>
          <cell r="K4835" t="str">
            <v>probsi</v>
          </cell>
        </row>
        <row r="4836">
          <cell r="B4836" t="b">
            <v>1</v>
          </cell>
          <cell r="E4836" t="str">
            <v>Hospital Pozon</v>
          </cell>
          <cell r="H4836" t="str">
            <v>consulta_externa</v>
          </cell>
          <cell r="J4836" t="str">
            <v>bueno</v>
          </cell>
          <cell r="K4836" t="str">
            <v>probsi</v>
          </cell>
        </row>
        <row r="4837">
          <cell r="B4837" t="b">
            <v>1</v>
          </cell>
          <cell r="E4837" t="str">
            <v>Hospital Pozon</v>
          </cell>
          <cell r="H4837" t="str">
            <v>consulta_externa</v>
          </cell>
          <cell r="J4837" t="str">
            <v>bueno</v>
          </cell>
          <cell r="K4837" t="str">
            <v>probsi</v>
          </cell>
        </row>
        <row r="4838">
          <cell r="B4838" t="b">
            <v>1</v>
          </cell>
          <cell r="E4838" t="str">
            <v>Hospital Pozon</v>
          </cell>
          <cell r="H4838" t="str">
            <v>consulta_externa</v>
          </cell>
          <cell r="J4838" t="str">
            <v>bueno</v>
          </cell>
          <cell r="K4838" t="str">
            <v>probsi</v>
          </cell>
        </row>
        <row r="4839">
          <cell r="B4839" t="b">
            <v>1</v>
          </cell>
          <cell r="E4839" t="str">
            <v>Hospital Pozon</v>
          </cell>
          <cell r="H4839" t="str">
            <v>consulta_externa</v>
          </cell>
          <cell r="J4839" t="str">
            <v>bueno</v>
          </cell>
          <cell r="K4839" t="str">
            <v>probsi</v>
          </cell>
        </row>
        <row r="4840">
          <cell r="B4840" t="b">
            <v>1</v>
          </cell>
          <cell r="E4840" t="str">
            <v>Hospital Pozon</v>
          </cell>
          <cell r="H4840" t="str">
            <v>rx</v>
          </cell>
          <cell r="J4840" t="str">
            <v>bueno</v>
          </cell>
          <cell r="K4840" t="str">
            <v>probsi</v>
          </cell>
        </row>
        <row r="4841">
          <cell r="B4841" t="b">
            <v>1</v>
          </cell>
          <cell r="E4841" t="str">
            <v>Hospital Pozon</v>
          </cell>
          <cell r="H4841" t="str">
            <v>rx</v>
          </cell>
          <cell r="J4841" t="str">
            <v>bueno</v>
          </cell>
          <cell r="K4841" t="str">
            <v>probsi</v>
          </cell>
        </row>
        <row r="4842">
          <cell r="B4842" t="b">
            <v>1</v>
          </cell>
          <cell r="E4842" t="str">
            <v>Hospital Pozon</v>
          </cell>
          <cell r="H4842" t="str">
            <v>rx</v>
          </cell>
          <cell r="J4842" t="str">
            <v>bueno</v>
          </cell>
          <cell r="K4842" t="str">
            <v>probsi</v>
          </cell>
        </row>
        <row r="4843">
          <cell r="B4843" t="b">
            <v>1</v>
          </cell>
          <cell r="E4843" t="str">
            <v>Hospital Pozon</v>
          </cell>
          <cell r="H4843" t="str">
            <v>rx</v>
          </cell>
          <cell r="J4843" t="str">
            <v>bueno</v>
          </cell>
          <cell r="K4843" t="str">
            <v>probsi</v>
          </cell>
        </row>
        <row r="4844">
          <cell r="B4844" t="b">
            <v>1</v>
          </cell>
          <cell r="E4844" t="str">
            <v>Hospital Pozon</v>
          </cell>
          <cell r="H4844" t="str">
            <v>rx</v>
          </cell>
          <cell r="J4844" t="str">
            <v>bueno</v>
          </cell>
          <cell r="K4844" t="str">
            <v>probsi</v>
          </cell>
        </row>
        <row r="4845">
          <cell r="B4845" t="b">
            <v>1</v>
          </cell>
          <cell r="E4845" t="str">
            <v>Hospital Pozon</v>
          </cell>
          <cell r="H4845" t="str">
            <v>rx</v>
          </cell>
          <cell r="J4845" t="str">
            <v>bueno</v>
          </cell>
          <cell r="K4845" t="str">
            <v>probsi</v>
          </cell>
        </row>
        <row r="4846">
          <cell r="B4846" t="b">
            <v>1</v>
          </cell>
          <cell r="E4846" t="str">
            <v>Hospital Pozon</v>
          </cell>
          <cell r="H4846" t="str">
            <v>rx</v>
          </cell>
          <cell r="J4846" t="str">
            <v>bueno</v>
          </cell>
          <cell r="K4846" t="str">
            <v>probsi</v>
          </cell>
        </row>
        <row r="4847">
          <cell r="B4847" t="b">
            <v>1</v>
          </cell>
          <cell r="E4847" t="str">
            <v>Hospital Pozon</v>
          </cell>
          <cell r="H4847" t="str">
            <v>pediatria</v>
          </cell>
          <cell r="J4847" t="str">
            <v>bueno</v>
          </cell>
          <cell r="K4847" t="str">
            <v>probsi</v>
          </cell>
        </row>
        <row r="4848">
          <cell r="B4848" t="b">
            <v>1</v>
          </cell>
          <cell r="E4848" t="str">
            <v>Hospital Pozon</v>
          </cell>
          <cell r="H4848" t="str">
            <v>pediatria</v>
          </cell>
          <cell r="J4848" t="str">
            <v>bueno</v>
          </cell>
          <cell r="K4848" t="str">
            <v>probsi</v>
          </cell>
        </row>
        <row r="4849">
          <cell r="B4849" t="b">
            <v>1</v>
          </cell>
          <cell r="E4849" t="str">
            <v>Hospital Pozon</v>
          </cell>
          <cell r="H4849" t="str">
            <v>pediatria</v>
          </cell>
          <cell r="J4849" t="str">
            <v>bueno</v>
          </cell>
          <cell r="K4849" t="str">
            <v>probsi</v>
          </cell>
        </row>
        <row r="4850">
          <cell r="B4850" t="b">
            <v>1</v>
          </cell>
          <cell r="E4850" t="str">
            <v>Hospital Pozon</v>
          </cell>
          <cell r="H4850" t="str">
            <v>pediatria</v>
          </cell>
          <cell r="J4850" t="str">
            <v>bueno</v>
          </cell>
          <cell r="K4850" t="str">
            <v>probsi</v>
          </cell>
        </row>
        <row r="4851">
          <cell r="B4851" t="b">
            <v>1</v>
          </cell>
          <cell r="E4851" t="str">
            <v>Hospital Pozon</v>
          </cell>
          <cell r="H4851" t="str">
            <v>pediatria</v>
          </cell>
          <cell r="J4851" t="str">
            <v>bueno</v>
          </cell>
          <cell r="K4851" t="str">
            <v>probsi</v>
          </cell>
        </row>
        <row r="4852">
          <cell r="B4852" t="b">
            <v>1</v>
          </cell>
          <cell r="E4852" t="str">
            <v>Hospital Pozon</v>
          </cell>
          <cell r="H4852" t="str">
            <v>ecografias</v>
          </cell>
          <cell r="J4852" t="str">
            <v>bueno</v>
          </cell>
          <cell r="K4852" t="str">
            <v>probsi</v>
          </cell>
        </row>
        <row r="4853">
          <cell r="B4853" t="b">
            <v>1</v>
          </cell>
          <cell r="E4853" t="str">
            <v>Hospital Pozon</v>
          </cell>
          <cell r="H4853" t="str">
            <v>ecografias</v>
          </cell>
          <cell r="J4853" t="str">
            <v>bueno</v>
          </cell>
          <cell r="K4853" t="str">
            <v>probsi</v>
          </cell>
        </row>
        <row r="4854">
          <cell r="B4854" t="b">
            <v>1</v>
          </cell>
          <cell r="E4854" t="str">
            <v>Hospital Pozon</v>
          </cell>
          <cell r="H4854" t="str">
            <v>ecografias</v>
          </cell>
          <cell r="J4854" t="str">
            <v>bueno</v>
          </cell>
          <cell r="K4854" t="str">
            <v>probsi</v>
          </cell>
        </row>
        <row r="4855">
          <cell r="B4855" t="b">
            <v>1</v>
          </cell>
          <cell r="E4855" t="str">
            <v>Hospital Pozon</v>
          </cell>
          <cell r="H4855" t="str">
            <v>ecografias</v>
          </cell>
          <cell r="J4855" t="str">
            <v>bueno</v>
          </cell>
          <cell r="K4855" t="str">
            <v>probsi</v>
          </cell>
        </row>
        <row r="4856">
          <cell r="B4856" t="b">
            <v>1</v>
          </cell>
          <cell r="E4856" t="str">
            <v>Hospital Pozon</v>
          </cell>
          <cell r="H4856" t="str">
            <v>ecografias</v>
          </cell>
          <cell r="J4856" t="str">
            <v>bueno</v>
          </cell>
          <cell r="K4856" t="str">
            <v>probsi</v>
          </cell>
        </row>
        <row r="4857">
          <cell r="B4857" t="b">
            <v>1</v>
          </cell>
          <cell r="E4857" t="str">
            <v>Hospital Pozon</v>
          </cell>
          <cell r="H4857" t="str">
            <v>salud_oral</v>
          </cell>
          <cell r="J4857" t="str">
            <v>bueno</v>
          </cell>
          <cell r="K4857" t="str">
            <v>probsi</v>
          </cell>
        </row>
        <row r="4858">
          <cell r="B4858" t="b">
            <v>1</v>
          </cell>
          <cell r="E4858" t="str">
            <v>Hospital Pozon</v>
          </cell>
          <cell r="H4858" t="str">
            <v>salud_oral</v>
          </cell>
          <cell r="J4858" t="str">
            <v>bueno</v>
          </cell>
          <cell r="K4858" t="str">
            <v>probsi</v>
          </cell>
        </row>
        <row r="4859">
          <cell r="B4859" t="b">
            <v>1</v>
          </cell>
          <cell r="E4859" t="str">
            <v>Hospital Pozon</v>
          </cell>
          <cell r="H4859" t="str">
            <v>salud_oral</v>
          </cell>
          <cell r="J4859" t="str">
            <v>bueno</v>
          </cell>
          <cell r="K4859" t="str">
            <v>probsi</v>
          </cell>
        </row>
        <row r="4860">
          <cell r="B4860" t="b">
            <v>1</v>
          </cell>
          <cell r="E4860" t="str">
            <v>Hospital Pozon</v>
          </cell>
          <cell r="H4860" t="str">
            <v>salud_oral</v>
          </cell>
          <cell r="J4860" t="str">
            <v>bueno</v>
          </cell>
          <cell r="K4860" t="str">
            <v>probsi</v>
          </cell>
        </row>
        <row r="4861">
          <cell r="B4861" t="b">
            <v>1</v>
          </cell>
          <cell r="E4861" t="str">
            <v>Hospital Pozon</v>
          </cell>
          <cell r="H4861" t="str">
            <v>salud_oral</v>
          </cell>
          <cell r="J4861" t="str">
            <v>bueno</v>
          </cell>
          <cell r="K4861" t="str">
            <v>probsi</v>
          </cell>
        </row>
        <row r="4862">
          <cell r="B4862" t="b">
            <v>1</v>
          </cell>
          <cell r="E4862" t="str">
            <v>Tierra Bomba</v>
          </cell>
          <cell r="H4862" t="str">
            <v>consulta_externa</v>
          </cell>
          <cell r="J4862" t="str">
            <v>bueno</v>
          </cell>
          <cell r="K4862" t="str">
            <v>defsi</v>
          </cell>
        </row>
        <row r="4863">
          <cell r="B4863" t="b">
            <v>1</v>
          </cell>
          <cell r="E4863" t="str">
            <v>Tierra Bomba</v>
          </cell>
          <cell r="H4863" t="str">
            <v>salud_oral</v>
          </cell>
          <cell r="J4863" t="str">
            <v>bueno</v>
          </cell>
          <cell r="K4863" t="str">
            <v>defsi</v>
          </cell>
        </row>
        <row r="4864">
          <cell r="B4864" t="b">
            <v>1</v>
          </cell>
          <cell r="E4864" t="str">
            <v>Tierra Bomba</v>
          </cell>
          <cell r="H4864" t="str">
            <v>laboratorio</v>
          </cell>
          <cell r="J4864" t="str">
            <v>bueno</v>
          </cell>
          <cell r="K4864" t="str">
            <v>defsi</v>
          </cell>
        </row>
        <row r="4865">
          <cell r="B4865" t="b">
            <v>1</v>
          </cell>
          <cell r="E4865" t="str">
            <v>Tierra Bomba</v>
          </cell>
          <cell r="H4865" t="str">
            <v>consulta_externa</v>
          </cell>
          <cell r="J4865" t="str">
            <v>bueno</v>
          </cell>
          <cell r="K4865" t="str">
            <v>defsi</v>
          </cell>
        </row>
        <row r="4866">
          <cell r="B4866" t="b">
            <v>1</v>
          </cell>
          <cell r="E4866" t="str">
            <v>Tierra Bomba</v>
          </cell>
          <cell r="H4866" t="str">
            <v>salud_oral</v>
          </cell>
          <cell r="J4866" t="str">
            <v>bueno</v>
          </cell>
          <cell r="K4866" t="str">
            <v>defsi</v>
          </cell>
        </row>
        <row r="4867">
          <cell r="B4867" t="b">
            <v>1</v>
          </cell>
          <cell r="E4867" t="str">
            <v>Tierra Bomba</v>
          </cell>
          <cell r="H4867" t="str">
            <v>laboratorio</v>
          </cell>
          <cell r="J4867" t="str">
            <v>bueno</v>
          </cell>
          <cell r="K4867" t="str">
            <v>defsi</v>
          </cell>
        </row>
        <row r="4868">
          <cell r="B4868" t="b">
            <v>1</v>
          </cell>
          <cell r="E4868" t="str">
            <v>Tierra Bomba</v>
          </cell>
          <cell r="H4868" t="str">
            <v>consulta_externa</v>
          </cell>
          <cell r="J4868" t="str">
            <v>bueno</v>
          </cell>
          <cell r="K4868" t="str">
            <v>defsi</v>
          </cell>
        </row>
        <row r="4869">
          <cell r="B4869" t="b">
            <v>1</v>
          </cell>
          <cell r="E4869" t="str">
            <v>Tierra Bomba</v>
          </cell>
          <cell r="H4869" t="str">
            <v>salud_oral</v>
          </cell>
          <cell r="J4869" t="str">
            <v>bueno</v>
          </cell>
          <cell r="K4869" t="str">
            <v>defsi</v>
          </cell>
        </row>
        <row r="4870">
          <cell r="B4870" t="b">
            <v>1</v>
          </cell>
          <cell r="E4870" t="str">
            <v>Tierra Bomba</v>
          </cell>
          <cell r="H4870" t="str">
            <v>laboratorio</v>
          </cell>
          <cell r="J4870" t="str">
            <v>bueno</v>
          </cell>
          <cell r="K4870" t="str">
            <v>defsi</v>
          </cell>
        </row>
        <row r="4871">
          <cell r="B4871" t="b">
            <v>1</v>
          </cell>
          <cell r="E4871" t="str">
            <v>Tierra Bomba</v>
          </cell>
          <cell r="H4871" t="str">
            <v>consulta_externa</v>
          </cell>
          <cell r="J4871" t="str">
            <v>bueno</v>
          </cell>
          <cell r="K4871" t="str">
            <v>defsi</v>
          </cell>
        </row>
        <row r="4872">
          <cell r="B4872" t="b">
            <v>1</v>
          </cell>
          <cell r="E4872" t="str">
            <v>Tierra Bomba</v>
          </cell>
          <cell r="H4872" t="str">
            <v>salud_oral</v>
          </cell>
          <cell r="J4872" t="str">
            <v>bueno</v>
          </cell>
          <cell r="K4872" t="str">
            <v>defsi</v>
          </cell>
        </row>
        <row r="4873">
          <cell r="B4873" t="b">
            <v>1</v>
          </cell>
          <cell r="E4873" t="str">
            <v>Tierra Bomba</v>
          </cell>
          <cell r="H4873" t="str">
            <v>laboratorio</v>
          </cell>
          <cell r="J4873" t="str">
            <v>bueno</v>
          </cell>
          <cell r="K4873" t="str">
            <v>defsi</v>
          </cell>
        </row>
        <row r="4874">
          <cell r="B4874" t="b">
            <v>1</v>
          </cell>
          <cell r="E4874" t="str">
            <v>Tierra Bomba</v>
          </cell>
          <cell r="H4874" t="str">
            <v>consulta_externa</v>
          </cell>
          <cell r="J4874" t="str">
            <v>bueno</v>
          </cell>
          <cell r="K4874" t="str">
            <v>defsi</v>
          </cell>
        </row>
        <row r="4875">
          <cell r="B4875" t="b">
            <v>1</v>
          </cell>
          <cell r="E4875" t="str">
            <v>Tierra Bomba</v>
          </cell>
          <cell r="H4875" t="str">
            <v>salud_oral</v>
          </cell>
          <cell r="J4875" t="str">
            <v>bueno</v>
          </cell>
          <cell r="K4875" t="str">
            <v>defsi</v>
          </cell>
        </row>
        <row r="4876">
          <cell r="B4876" t="b">
            <v>1</v>
          </cell>
          <cell r="E4876" t="str">
            <v>Tierra Bomba</v>
          </cell>
          <cell r="H4876" t="str">
            <v>laboratorio</v>
          </cell>
          <cell r="J4876" t="str">
            <v>bueno</v>
          </cell>
          <cell r="K4876" t="str">
            <v>defsi</v>
          </cell>
        </row>
        <row r="4877">
          <cell r="B4877" t="b">
            <v>1</v>
          </cell>
          <cell r="E4877" t="str">
            <v>Tierra Bomba</v>
          </cell>
          <cell r="H4877" t="str">
            <v>consulta_externa</v>
          </cell>
          <cell r="J4877" t="str">
            <v>bueno</v>
          </cell>
          <cell r="K4877" t="str">
            <v>defsi</v>
          </cell>
        </row>
        <row r="4878">
          <cell r="B4878" t="b">
            <v>1</v>
          </cell>
          <cell r="E4878" t="str">
            <v>Tierra Bomba</v>
          </cell>
          <cell r="H4878" t="str">
            <v>salud_oral</v>
          </cell>
          <cell r="J4878" t="str">
            <v>bueno</v>
          </cell>
          <cell r="K4878" t="str">
            <v>defsi</v>
          </cell>
        </row>
        <row r="4879">
          <cell r="B4879" t="b">
            <v>1</v>
          </cell>
          <cell r="E4879" t="str">
            <v>Tierra Bomba</v>
          </cell>
          <cell r="H4879" t="str">
            <v>laboratorio</v>
          </cell>
          <cell r="J4879" t="str">
            <v>bueno</v>
          </cell>
          <cell r="K4879" t="str">
            <v>defsi</v>
          </cell>
        </row>
        <row r="4880">
          <cell r="B4880" t="b">
            <v>1</v>
          </cell>
          <cell r="E4880" t="str">
            <v>Tierra Bomba</v>
          </cell>
          <cell r="H4880" t="str">
            <v>consulta_externa</v>
          </cell>
          <cell r="J4880" t="str">
            <v>bueno</v>
          </cell>
          <cell r="K4880" t="str">
            <v>defsi</v>
          </cell>
        </row>
        <row r="4881">
          <cell r="B4881" t="b">
            <v>1</v>
          </cell>
          <cell r="E4881" t="str">
            <v>Tierra Bomba</v>
          </cell>
          <cell r="H4881" t="str">
            <v>salud_oral</v>
          </cell>
          <cell r="J4881" t="str">
            <v>bueno</v>
          </cell>
          <cell r="K4881" t="str">
            <v>defsi</v>
          </cell>
        </row>
        <row r="4882">
          <cell r="B4882" t="b">
            <v>1</v>
          </cell>
          <cell r="E4882" t="str">
            <v>Tierra Bomba</v>
          </cell>
          <cell r="H4882" t="str">
            <v>laboratorio</v>
          </cell>
          <cell r="J4882" t="str">
            <v>bueno</v>
          </cell>
          <cell r="K4882" t="str">
            <v>defsi</v>
          </cell>
        </row>
        <row r="4883">
          <cell r="B4883" t="b">
            <v>1</v>
          </cell>
          <cell r="E4883" t="str">
            <v>Tierra Bomba</v>
          </cell>
          <cell r="H4883" t="str">
            <v>consulta_externa</v>
          </cell>
          <cell r="J4883" t="str">
            <v>bueno</v>
          </cell>
          <cell r="K4883" t="str">
            <v>defsi</v>
          </cell>
        </row>
        <row r="4884">
          <cell r="B4884" t="b">
            <v>1</v>
          </cell>
          <cell r="E4884" t="str">
            <v>Tierra Bomba</v>
          </cell>
          <cell r="H4884" t="str">
            <v>salud_oral</v>
          </cell>
          <cell r="J4884" t="str">
            <v>bueno</v>
          </cell>
          <cell r="K4884" t="str">
            <v>defsi</v>
          </cell>
        </row>
        <row r="4885">
          <cell r="B4885" t="b">
            <v>1</v>
          </cell>
          <cell r="E4885" t="str">
            <v>Tierra Bomba</v>
          </cell>
          <cell r="H4885" t="str">
            <v>laboratorio</v>
          </cell>
          <cell r="J4885" t="str">
            <v>bueno</v>
          </cell>
          <cell r="K4885" t="str">
            <v>defsi</v>
          </cell>
        </row>
        <row r="4886">
          <cell r="B4886" t="b">
            <v>1</v>
          </cell>
          <cell r="E4886" t="str">
            <v>Nuevo Porvenir</v>
          </cell>
          <cell r="H4886" t="str">
            <v>consulta_externa</v>
          </cell>
          <cell r="J4886" t="str">
            <v>bueno</v>
          </cell>
          <cell r="K4886" t="str">
            <v>defsi</v>
          </cell>
        </row>
        <row r="4887">
          <cell r="B4887" t="b">
            <v>1</v>
          </cell>
          <cell r="E4887" t="str">
            <v>Nuevo Porvenir</v>
          </cell>
          <cell r="H4887" t="str">
            <v>consulta_externa</v>
          </cell>
          <cell r="J4887" t="str">
            <v>bueno</v>
          </cell>
          <cell r="K4887" t="str">
            <v>defsi</v>
          </cell>
        </row>
        <row r="4888">
          <cell r="B4888" t="b">
            <v>1</v>
          </cell>
          <cell r="E4888" t="str">
            <v>Bayunca</v>
          </cell>
          <cell r="H4888" t="str">
            <v>consulta_externa</v>
          </cell>
          <cell r="J4888" t="str">
            <v>bueno</v>
          </cell>
          <cell r="K4888" t="str">
            <v>probsi</v>
          </cell>
        </row>
        <row r="4889">
          <cell r="B4889" t="b">
            <v>1</v>
          </cell>
          <cell r="E4889" t="str">
            <v>Bayunca</v>
          </cell>
          <cell r="H4889" t="str">
            <v>laboratorio</v>
          </cell>
          <cell r="J4889" t="str">
            <v>bueno</v>
          </cell>
          <cell r="K4889" t="str">
            <v>probsi</v>
          </cell>
        </row>
        <row r="4890">
          <cell r="B4890" t="b">
            <v>1</v>
          </cell>
          <cell r="E4890" t="str">
            <v>Bayunca</v>
          </cell>
          <cell r="H4890" t="str">
            <v>laboratorio</v>
          </cell>
          <cell r="J4890" t="str">
            <v>bueno</v>
          </cell>
          <cell r="K4890" t="str">
            <v>probsi</v>
          </cell>
        </row>
        <row r="4891">
          <cell r="B4891" t="b">
            <v>1</v>
          </cell>
          <cell r="E4891" t="str">
            <v>Bayunca</v>
          </cell>
          <cell r="H4891" t="str">
            <v>salud_oral</v>
          </cell>
          <cell r="J4891" t="str">
            <v>bueno</v>
          </cell>
          <cell r="K4891" t="str">
            <v>probsi</v>
          </cell>
        </row>
        <row r="4892">
          <cell r="B4892" t="b">
            <v>1</v>
          </cell>
          <cell r="E4892" t="str">
            <v>Bayunca</v>
          </cell>
          <cell r="H4892" t="str">
            <v>salud_oral</v>
          </cell>
          <cell r="J4892" t="str">
            <v>bueno</v>
          </cell>
          <cell r="K4892" t="str">
            <v>probsi</v>
          </cell>
        </row>
        <row r="4893">
          <cell r="B4893" t="b">
            <v>1</v>
          </cell>
          <cell r="E4893" t="str">
            <v>Bayunca</v>
          </cell>
          <cell r="H4893" t="str">
            <v>consulta_externa</v>
          </cell>
          <cell r="J4893" t="str">
            <v>bueno</v>
          </cell>
          <cell r="K4893" t="str">
            <v>probsi</v>
          </cell>
        </row>
        <row r="4894">
          <cell r="B4894" t="b">
            <v>1</v>
          </cell>
          <cell r="E4894" t="str">
            <v>Bayunca</v>
          </cell>
          <cell r="H4894" t="str">
            <v>salud_oral</v>
          </cell>
          <cell r="J4894" t="str">
            <v>bueno</v>
          </cell>
          <cell r="K4894" t="str">
            <v>probsi</v>
          </cell>
        </row>
        <row r="4895">
          <cell r="B4895" t="b">
            <v>1</v>
          </cell>
          <cell r="E4895" t="str">
            <v>Nuevo Porvenir</v>
          </cell>
          <cell r="H4895" t="str">
            <v>consulta_externa</v>
          </cell>
          <cell r="J4895" t="str">
            <v>bueno</v>
          </cell>
          <cell r="K4895" t="str">
            <v>defsi</v>
          </cell>
        </row>
        <row r="4896">
          <cell r="B4896" t="b">
            <v>1</v>
          </cell>
          <cell r="E4896" t="str">
            <v>Bayunca</v>
          </cell>
          <cell r="H4896" t="str">
            <v>consulta_externa</v>
          </cell>
          <cell r="J4896" t="str">
            <v>bueno</v>
          </cell>
          <cell r="K4896" t="str">
            <v>probsi</v>
          </cell>
        </row>
        <row r="4897">
          <cell r="B4897" t="b">
            <v>1</v>
          </cell>
          <cell r="E4897" t="str">
            <v>Bayunca</v>
          </cell>
          <cell r="H4897" t="str">
            <v>salud_oral</v>
          </cell>
          <cell r="J4897" t="str">
            <v>bueno</v>
          </cell>
          <cell r="K4897" t="str">
            <v>probsi</v>
          </cell>
        </row>
        <row r="4898">
          <cell r="B4898" t="b">
            <v>0</v>
          </cell>
          <cell r="E4898" t="str">
            <v>Bayunca</v>
          </cell>
          <cell r="H4898" t="str">
            <v>urgencia</v>
          </cell>
          <cell r="J4898" t="str">
            <v>malo</v>
          </cell>
          <cell r="K4898" t="str">
            <v>probno</v>
          </cell>
        </row>
        <row r="4899">
          <cell r="B4899" t="b">
            <v>1</v>
          </cell>
          <cell r="E4899" t="str">
            <v>Bayunca</v>
          </cell>
          <cell r="H4899" t="str">
            <v>consulta_externa</v>
          </cell>
          <cell r="J4899" t="str">
            <v>bueno</v>
          </cell>
          <cell r="K4899" t="str">
            <v>probsi</v>
          </cell>
        </row>
        <row r="4900">
          <cell r="B4900" t="b">
            <v>1</v>
          </cell>
          <cell r="E4900" t="str">
            <v>Bayunca</v>
          </cell>
          <cell r="H4900" t="str">
            <v>laboratorio</v>
          </cell>
          <cell r="J4900" t="str">
            <v>bueno</v>
          </cell>
          <cell r="K4900" t="str">
            <v>probsi</v>
          </cell>
        </row>
        <row r="4901">
          <cell r="B4901" t="b">
            <v>0</v>
          </cell>
          <cell r="E4901" t="str">
            <v>Bayunca</v>
          </cell>
          <cell r="H4901" t="str">
            <v>urgencia</v>
          </cell>
          <cell r="J4901" t="str">
            <v>regular</v>
          </cell>
          <cell r="K4901" t="str">
            <v>probsi</v>
          </cell>
        </row>
        <row r="4902">
          <cell r="B4902" t="b">
            <v>1</v>
          </cell>
          <cell r="E4902" t="str">
            <v>Nuevo Porvenir</v>
          </cell>
          <cell r="H4902" t="str">
            <v>consulta_externa</v>
          </cell>
          <cell r="J4902" t="str">
            <v>bueno</v>
          </cell>
          <cell r="K4902" t="str">
            <v>defsi</v>
          </cell>
        </row>
        <row r="4903">
          <cell r="B4903" t="b">
            <v>0</v>
          </cell>
          <cell r="E4903" t="str">
            <v>Nuevo Porvenir</v>
          </cell>
          <cell r="H4903" t="str">
            <v>laboratorio</v>
          </cell>
          <cell r="J4903" t="str">
            <v>muymalo</v>
          </cell>
          <cell r="K4903" t="str">
            <v>defsi</v>
          </cell>
        </row>
        <row r="4904">
          <cell r="B4904" t="b">
            <v>1</v>
          </cell>
          <cell r="E4904" t="str">
            <v>Nuevo Porvenir</v>
          </cell>
          <cell r="H4904" t="str">
            <v>laboratorio</v>
          </cell>
          <cell r="J4904" t="str">
            <v>bueno</v>
          </cell>
          <cell r="K4904" t="str">
            <v>defsi</v>
          </cell>
        </row>
        <row r="4905">
          <cell r="B4905" t="b">
            <v>1</v>
          </cell>
          <cell r="E4905" t="str">
            <v>Nuevo Porvenir</v>
          </cell>
          <cell r="H4905" t="str">
            <v>consulta_externa</v>
          </cell>
          <cell r="J4905" t="str">
            <v>bueno</v>
          </cell>
          <cell r="K4905" t="str">
            <v>defsi</v>
          </cell>
        </row>
        <row r="4906">
          <cell r="B4906" t="b">
            <v>1</v>
          </cell>
          <cell r="E4906" t="str">
            <v>Nuevo Porvenir</v>
          </cell>
          <cell r="H4906" t="str">
            <v>salud_oral</v>
          </cell>
          <cell r="J4906" t="str">
            <v>bueno</v>
          </cell>
          <cell r="K4906" t="str">
            <v>defsi</v>
          </cell>
        </row>
        <row r="4907">
          <cell r="B4907" t="b">
            <v>1</v>
          </cell>
          <cell r="E4907" t="str">
            <v>Nuevo Porvenir</v>
          </cell>
          <cell r="H4907" t="str">
            <v>laboratorio</v>
          </cell>
          <cell r="J4907" t="str">
            <v>bueno</v>
          </cell>
          <cell r="K4907" t="str">
            <v>defsi</v>
          </cell>
        </row>
        <row r="4908">
          <cell r="B4908" t="b">
            <v>0</v>
          </cell>
          <cell r="E4908" t="str">
            <v>Bayunca</v>
          </cell>
          <cell r="H4908" t="str">
            <v>consulta_externa</v>
          </cell>
          <cell r="J4908" t="str">
            <v>regular</v>
          </cell>
          <cell r="K4908" t="str">
            <v>probsi</v>
          </cell>
        </row>
        <row r="4909">
          <cell r="B4909" t="b">
            <v>1</v>
          </cell>
          <cell r="E4909" t="str">
            <v>Bayunca</v>
          </cell>
          <cell r="H4909" t="str">
            <v>salud_oral</v>
          </cell>
          <cell r="J4909" t="str">
            <v>bueno</v>
          </cell>
          <cell r="K4909" t="str">
            <v>probsi</v>
          </cell>
        </row>
        <row r="4910">
          <cell r="B4910" t="b">
            <v>1</v>
          </cell>
          <cell r="E4910" t="str">
            <v>Bayunca</v>
          </cell>
          <cell r="H4910" t="str">
            <v>laboratorio</v>
          </cell>
          <cell r="J4910" t="str">
            <v>bueno</v>
          </cell>
          <cell r="K4910" t="str">
            <v>probsi</v>
          </cell>
        </row>
        <row r="4911">
          <cell r="B4911" t="b">
            <v>1</v>
          </cell>
          <cell r="E4911" t="str">
            <v>Nuevo Porvenir</v>
          </cell>
          <cell r="H4911" t="str">
            <v>consulta_externa</v>
          </cell>
          <cell r="J4911" t="str">
            <v>bueno</v>
          </cell>
          <cell r="K4911" t="str">
            <v>defsi</v>
          </cell>
        </row>
        <row r="4912">
          <cell r="B4912" t="b">
            <v>1</v>
          </cell>
          <cell r="E4912" t="str">
            <v>Nuevo Porvenir</v>
          </cell>
          <cell r="H4912" t="str">
            <v>laboratorio</v>
          </cell>
          <cell r="J4912" t="str">
            <v>bueno</v>
          </cell>
          <cell r="K4912" t="str">
            <v>defsi</v>
          </cell>
        </row>
        <row r="4913">
          <cell r="B4913" t="b">
            <v>1</v>
          </cell>
          <cell r="E4913" t="str">
            <v>Nuevo Porvenir</v>
          </cell>
          <cell r="H4913" t="str">
            <v>consulta_externa</v>
          </cell>
          <cell r="J4913" t="str">
            <v>muybueno</v>
          </cell>
          <cell r="K4913" t="str">
            <v>defsi</v>
          </cell>
        </row>
        <row r="4914">
          <cell r="B4914" t="b">
            <v>1</v>
          </cell>
          <cell r="E4914" t="str">
            <v>Nuevo Porvenir</v>
          </cell>
          <cell r="H4914" t="str">
            <v>laboratorio</v>
          </cell>
          <cell r="J4914" t="str">
            <v>bueno</v>
          </cell>
          <cell r="K4914" t="str">
            <v>defsi</v>
          </cell>
        </row>
        <row r="4915">
          <cell r="B4915" t="b">
            <v>1</v>
          </cell>
          <cell r="E4915" t="str">
            <v>Nuevo Porvenir</v>
          </cell>
          <cell r="H4915" t="str">
            <v>salud_oral</v>
          </cell>
          <cell r="J4915" t="str">
            <v>bueno</v>
          </cell>
          <cell r="K4915" t="str">
            <v>defsi</v>
          </cell>
        </row>
        <row r="4916">
          <cell r="B4916" t="b">
            <v>1</v>
          </cell>
          <cell r="E4916" t="str">
            <v>Nuevo Porvenir</v>
          </cell>
          <cell r="H4916" t="str">
            <v>consulta_externa</v>
          </cell>
          <cell r="J4916" t="str">
            <v>bueno</v>
          </cell>
          <cell r="K4916" t="str">
            <v>defsi</v>
          </cell>
        </row>
        <row r="4917">
          <cell r="B4917" t="b">
            <v>1</v>
          </cell>
          <cell r="E4917" t="str">
            <v>Nuevo Porvenir</v>
          </cell>
          <cell r="H4917" t="str">
            <v>salud_oral</v>
          </cell>
          <cell r="J4917" t="str">
            <v>bueno</v>
          </cell>
          <cell r="K4917" t="str">
            <v>defsi</v>
          </cell>
        </row>
        <row r="4918">
          <cell r="B4918" t="b">
            <v>1</v>
          </cell>
          <cell r="E4918" t="str">
            <v>Nuevo Porvenir</v>
          </cell>
          <cell r="H4918" t="str">
            <v>salud_oral</v>
          </cell>
          <cell r="J4918" t="str">
            <v>bueno</v>
          </cell>
          <cell r="K4918" t="str">
            <v>defsi</v>
          </cell>
        </row>
        <row r="4919">
          <cell r="B4919" t="b">
            <v>1</v>
          </cell>
          <cell r="E4919" t="str">
            <v>Bayunca</v>
          </cell>
          <cell r="H4919" t="str">
            <v>consulta_externa</v>
          </cell>
          <cell r="J4919" t="str">
            <v>bueno</v>
          </cell>
          <cell r="K4919" t="str">
            <v>probsi</v>
          </cell>
        </row>
        <row r="4920">
          <cell r="B4920" t="b">
            <v>1</v>
          </cell>
          <cell r="E4920" t="str">
            <v>Bayunca</v>
          </cell>
          <cell r="H4920" t="str">
            <v>consulta_externa</v>
          </cell>
          <cell r="J4920" t="str">
            <v>bueno</v>
          </cell>
          <cell r="K4920" t="str">
            <v>probsi</v>
          </cell>
        </row>
        <row r="4921">
          <cell r="B4921" t="b">
            <v>1</v>
          </cell>
          <cell r="E4921" t="str">
            <v>Bayunca</v>
          </cell>
          <cell r="H4921" t="str">
            <v>laboratorio</v>
          </cell>
          <cell r="J4921" t="str">
            <v>bueno</v>
          </cell>
          <cell r="K4921" t="str">
            <v>probsi</v>
          </cell>
        </row>
        <row r="4922">
          <cell r="B4922" t="b">
            <v>1</v>
          </cell>
          <cell r="E4922" t="str">
            <v>Bayunca</v>
          </cell>
          <cell r="H4922" t="str">
            <v>laboratorio</v>
          </cell>
          <cell r="J4922" t="str">
            <v>bueno</v>
          </cell>
          <cell r="K4922" t="str">
            <v>probsi</v>
          </cell>
        </row>
        <row r="4923">
          <cell r="B4923" t="b">
            <v>1</v>
          </cell>
          <cell r="E4923" t="str">
            <v>Bayunca</v>
          </cell>
          <cell r="H4923" t="str">
            <v>laboratorio</v>
          </cell>
          <cell r="J4923" t="str">
            <v>bueno</v>
          </cell>
          <cell r="K4923" t="str">
            <v>probsi</v>
          </cell>
        </row>
        <row r="4924">
          <cell r="B4924" t="b">
            <v>1</v>
          </cell>
          <cell r="E4924" t="str">
            <v>Bayunca</v>
          </cell>
          <cell r="H4924" t="str">
            <v>salud_oral</v>
          </cell>
          <cell r="J4924" t="str">
            <v>bueno</v>
          </cell>
          <cell r="K4924" t="str">
            <v>probsi</v>
          </cell>
        </row>
        <row r="4925">
          <cell r="B4925" t="b">
            <v>1</v>
          </cell>
          <cell r="E4925" t="str">
            <v>Nuevo Porvenir</v>
          </cell>
          <cell r="H4925" t="str">
            <v>salud_oral</v>
          </cell>
          <cell r="J4925" t="str">
            <v>bueno</v>
          </cell>
          <cell r="K4925" t="str">
            <v>defsi</v>
          </cell>
        </row>
        <row r="4926">
          <cell r="B4926" t="b">
            <v>1</v>
          </cell>
          <cell r="E4926" t="str">
            <v>Bayunca</v>
          </cell>
          <cell r="H4926" t="str">
            <v>salud_oral</v>
          </cell>
          <cell r="J4926" t="str">
            <v>bueno</v>
          </cell>
          <cell r="K4926" t="str">
            <v>probsi</v>
          </cell>
        </row>
        <row r="4927">
          <cell r="B4927" t="b">
            <v>1</v>
          </cell>
          <cell r="E4927" t="str">
            <v>Bayunca</v>
          </cell>
          <cell r="H4927" t="str">
            <v>salud_oral</v>
          </cell>
          <cell r="J4927" t="str">
            <v>bueno</v>
          </cell>
          <cell r="K4927" t="str">
            <v>probsi</v>
          </cell>
        </row>
        <row r="4928">
          <cell r="B4928" t="b">
            <v>1</v>
          </cell>
          <cell r="E4928" t="str">
            <v>Nuevo Porvenir</v>
          </cell>
          <cell r="H4928" t="str">
            <v>salud_oral</v>
          </cell>
          <cell r="J4928" t="str">
            <v>bueno</v>
          </cell>
          <cell r="K4928" t="str">
            <v>defsi</v>
          </cell>
        </row>
        <row r="4929">
          <cell r="B4929" t="b">
            <v>0</v>
          </cell>
          <cell r="E4929" t="str">
            <v>Bayunca</v>
          </cell>
          <cell r="H4929" t="str">
            <v>salud_oral</v>
          </cell>
          <cell r="J4929" t="str">
            <v>regular</v>
          </cell>
          <cell r="K4929" t="str">
            <v>probsi</v>
          </cell>
        </row>
        <row r="4930">
          <cell r="B4930" t="b">
            <v>1</v>
          </cell>
          <cell r="E4930" t="str">
            <v>Bayunca</v>
          </cell>
          <cell r="H4930" t="str">
            <v>salud_oral</v>
          </cell>
          <cell r="J4930" t="str">
            <v>bueno</v>
          </cell>
          <cell r="K4930" t="str">
            <v>probsi</v>
          </cell>
        </row>
        <row r="4931">
          <cell r="B4931" t="b">
            <v>1</v>
          </cell>
          <cell r="E4931" t="str">
            <v>Bayunca</v>
          </cell>
          <cell r="H4931" t="str">
            <v>salud_oral</v>
          </cell>
          <cell r="J4931" t="str">
            <v>bueno</v>
          </cell>
          <cell r="K4931" t="str">
            <v>probsi</v>
          </cell>
        </row>
        <row r="4932">
          <cell r="B4932" t="b">
            <v>1</v>
          </cell>
          <cell r="E4932" t="str">
            <v>Los Cerros</v>
          </cell>
          <cell r="H4932" t="str">
            <v>consulta_externa</v>
          </cell>
          <cell r="J4932" t="str">
            <v>bueno</v>
          </cell>
          <cell r="K4932" t="str">
            <v>defsi</v>
          </cell>
        </row>
        <row r="4933">
          <cell r="B4933" t="b">
            <v>1</v>
          </cell>
          <cell r="E4933" t="str">
            <v>Bayunca</v>
          </cell>
          <cell r="H4933" t="str">
            <v>laboratorio</v>
          </cell>
          <cell r="J4933" t="str">
            <v>bueno</v>
          </cell>
          <cell r="K4933" t="str">
            <v>probsi</v>
          </cell>
        </row>
        <row r="4934">
          <cell r="B4934" t="b">
            <v>0</v>
          </cell>
          <cell r="E4934" t="str">
            <v>Bayunca</v>
          </cell>
          <cell r="H4934" t="str">
            <v>urgencia</v>
          </cell>
          <cell r="J4934" t="str">
            <v>regular</v>
          </cell>
          <cell r="K4934" t="str">
            <v>probsi</v>
          </cell>
        </row>
        <row r="4935">
          <cell r="B4935" t="b">
            <v>1</v>
          </cell>
          <cell r="E4935" t="str">
            <v>Bayunca</v>
          </cell>
          <cell r="H4935" t="str">
            <v>salud_oral</v>
          </cell>
          <cell r="J4935" t="str">
            <v>bueno</v>
          </cell>
          <cell r="K4935" t="str">
            <v>probsi</v>
          </cell>
        </row>
        <row r="4936">
          <cell r="B4936" t="b">
            <v>1</v>
          </cell>
          <cell r="E4936" t="str">
            <v>Bayunca</v>
          </cell>
          <cell r="H4936" t="str">
            <v>salud_oral</v>
          </cell>
          <cell r="J4936" t="str">
            <v>bueno</v>
          </cell>
          <cell r="K4936" t="str">
            <v>probsi</v>
          </cell>
        </row>
        <row r="4937">
          <cell r="B4937" t="b">
            <v>1</v>
          </cell>
          <cell r="E4937" t="str">
            <v>Bayunca</v>
          </cell>
          <cell r="H4937" t="str">
            <v>salud_oral</v>
          </cell>
          <cell r="J4937" t="str">
            <v>bueno</v>
          </cell>
          <cell r="K4937" t="str">
            <v>probsi</v>
          </cell>
        </row>
        <row r="4938">
          <cell r="B4938" t="b">
            <v>1</v>
          </cell>
          <cell r="E4938" t="str">
            <v>Nuevo Porvenir</v>
          </cell>
          <cell r="H4938" t="str">
            <v>salud_oral</v>
          </cell>
          <cell r="J4938" t="str">
            <v>bueno</v>
          </cell>
          <cell r="K4938" t="str">
            <v>defsi</v>
          </cell>
        </row>
        <row r="4939">
          <cell r="B4939" t="b">
            <v>1</v>
          </cell>
          <cell r="E4939" t="str">
            <v>Nuevo Porvenir</v>
          </cell>
          <cell r="H4939" t="str">
            <v>laboratorio</v>
          </cell>
          <cell r="J4939" t="str">
            <v>bueno</v>
          </cell>
          <cell r="K4939" t="str">
            <v>defsi</v>
          </cell>
        </row>
        <row r="4940">
          <cell r="B4940" t="b">
            <v>1</v>
          </cell>
          <cell r="E4940" t="str">
            <v>Bayunca</v>
          </cell>
          <cell r="H4940" t="str">
            <v>urgencia</v>
          </cell>
          <cell r="J4940" t="str">
            <v>bueno</v>
          </cell>
          <cell r="K4940" t="str">
            <v>probsi</v>
          </cell>
        </row>
        <row r="4941">
          <cell r="B4941" t="b">
            <v>1</v>
          </cell>
          <cell r="E4941" t="str">
            <v>Bayunca</v>
          </cell>
          <cell r="H4941" t="str">
            <v>urgencia</v>
          </cell>
          <cell r="J4941" t="str">
            <v>bueno</v>
          </cell>
          <cell r="K4941" t="str">
            <v>probsi</v>
          </cell>
        </row>
        <row r="4942">
          <cell r="B4942" t="b">
            <v>0</v>
          </cell>
          <cell r="E4942" t="str">
            <v>Bayunca</v>
          </cell>
          <cell r="H4942" t="str">
            <v>urgencia</v>
          </cell>
          <cell r="J4942" t="str">
            <v>regular</v>
          </cell>
          <cell r="K4942" t="str">
            <v>probno</v>
          </cell>
        </row>
        <row r="4943">
          <cell r="B4943" t="b">
            <v>1</v>
          </cell>
          <cell r="E4943" t="str">
            <v>Bayunca</v>
          </cell>
          <cell r="H4943" t="str">
            <v>pediatria</v>
          </cell>
          <cell r="J4943" t="str">
            <v>bueno</v>
          </cell>
          <cell r="K4943" t="str">
            <v>probsi</v>
          </cell>
        </row>
        <row r="4944">
          <cell r="B4944" t="b">
            <v>1</v>
          </cell>
          <cell r="E4944" t="str">
            <v>Bayunca</v>
          </cell>
          <cell r="H4944" t="str">
            <v>urgencia</v>
          </cell>
          <cell r="J4944" t="str">
            <v>bueno</v>
          </cell>
          <cell r="K4944" t="str">
            <v>probsi</v>
          </cell>
        </row>
        <row r="4945">
          <cell r="B4945" t="b">
            <v>1</v>
          </cell>
          <cell r="E4945" t="str">
            <v>Nuevo Porvenir</v>
          </cell>
          <cell r="H4945" t="str">
            <v>laboratorio</v>
          </cell>
          <cell r="J4945" t="str">
            <v>bueno</v>
          </cell>
          <cell r="K4945" t="str">
            <v>defsi</v>
          </cell>
        </row>
        <row r="4946">
          <cell r="B4946" t="b">
            <v>1</v>
          </cell>
          <cell r="E4946" t="str">
            <v>Nuevo Porvenir</v>
          </cell>
          <cell r="H4946" t="str">
            <v>laboratorio</v>
          </cell>
          <cell r="J4946" t="str">
            <v>bueno</v>
          </cell>
          <cell r="K4946" t="str">
            <v>defsi</v>
          </cell>
        </row>
        <row r="4947">
          <cell r="B4947" t="b">
            <v>1</v>
          </cell>
          <cell r="E4947" t="str">
            <v>Nuevo Porvenir</v>
          </cell>
          <cell r="H4947" t="str">
            <v>laboratorio</v>
          </cell>
          <cell r="J4947" t="str">
            <v>bueno</v>
          </cell>
          <cell r="K4947" t="str">
            <v>defsi</v>
          </cell>
        </row>
        <row r="4948">
          <cell r="B4948" t="b">
            <v>1</v>
          </cell>
          <cell r="E4948" t="str">
            <v>Nuevo Porvenir</v>
          </cell>
          <cell r="H4948" t="str">
            <v>consulta_externa</v>
          </cell>
          <cell r="J4948" t="str">
            <v>bueno</v>
          </cell>
          <cell r="K4948" t="str">
            <v>defsi</v>
          </cell>
        </row>
        <row r="4949">
          <cell r="B4949" t="b">
            <v>1</v>
          </cell>
          <cell r="E4949" t="str">
            <v>Nuevo Porvenir</v>
          </cell>
          <cell r="H4949" t="str">
            <v>consulta_externa</v>
          </cell>
          <cell r="J4949" t="str">
            <v>bueno</v>
          </cell>
          <cell r="K4949" t="str">
            <v>defsi</v>
          </cell>
        </row>
        <row r="4950">
          <cell r="B4950" t="b">
            <v>1</v>
          </cell>
          <cell r="E4950" t="str">
            <v>Nuevo Porvenir</v>
          </cell>
          <cell r="H4950" t="str">
            <v>laboratorio</v>
          </cell>
          <cell r="J4950" t="str">
            <v>bueno</v>
          </cell>
          <cell r="K4950" t="str">
            <v>defsi</v>
          </cell>
        </row>
        <row r="4951">
          <cell r="B4951" t="b">
            <v>1</v>
          </cell>
          <cell r="E4951" t="str">
            <v>Los Cerros</v>
          </cell>
          <cell r="H4951" t="str">
            <v>salud_oral</v>
          </cell>
          <cell r="J4951" t="str">
            <v>bueno</v>
          </cell>
          <cell r="K4951" t="str">
            <v>defsi</v>
          </cell>
        </row>
        <row r="4952">
          <cell r="B4952" t="b">
            <v>1</v>
          </cell>
          <cell r="E4952" t="str">
            <v>Los Cerros</v>
          </cell>
          <cell r="H4952" t="str">
            <v>laboratorio</v>
          </cell>
          <cell r="J4952" t="str">
            <v>bueno</v>
          </cell>
          <cell r="K4952" t="str">
            <v>defsi</v>
          </cell>
        </row>
        <row r="4953">
          <cell r="B4953" t="b">
            <v>1</v>
          </cell>
          <cell r="E4953" t="str">
            <v>Los Cerros</v>
          </cell>
          <cell r="H4953" t="str">
            <v>pediatria</v>
          </cell>
          <cell r="J4953" t="str">
            <v>bueno</v>
          </cell>
          <cell r="K4953" t="str">
            <v>defsi</v>
          </cell>
        </row>
        <row r="4954">
          <cell r="B4954" t="b">
            <v>1</v>
          </cell>
          <cell r="E4954" t="str">
            <v>Los Cerros</v>
          </cell>
          <cell r="H4954" t="str">
            <v>medicina_interna</v>
          </cell>
          <cell r="J4954" t="str">
            <v>bueno</v>
          </cell>
          <cell r="K4954" t="str">
            <v>defsi</v>
          </cell>
        </row>
        <row r="4955">
          <cell r="B4955" t="b">
            <v>1</v>
          </cell>
          <cell r="E4955" t="str">
            <v>Los Cerros</v>
          </cell>
          <cell r="H4955" t="str">
            <v>consulta_externa</v>
          </cell>
          <cell r="J4955" t="str">
            <v>bueno</v>
          </cell>
          <cell r="K4955" t="str">
            <v>defsi</v>
          </cell>
        </row>
        <row r="4956">
          <cell r="B4956" t="b">
            <v>1</v>
          </cell>
          <cell r="E4956" t="str">
            <v>Los Cerros</v>
          </cell>
          <cell r="H4956" t="str">
            <v>salud_oral</v>
          </cell>
          <cell r="J4956" t="str">
            <v>bueno</v>
          </cell>
          <cell r="K4956" t="str">
            <v>defsi</v>
          </cell>
        </row>
        <row r="4957">
          <cell r="B4957" t="b">
            <v>1</v>
          </cell>
          <cell r="E4957" t="str">
            <v>Los Cerros</v>
          </cell>
          <cell r="H4957" t="str">
            <v>laboratorio</v>
          </cell>
          <cell r="J4957" t="str">
            <v>bueno</v>
          </cell>
          <cell r="K4957" t="str">
            <v>defsi</v>
          </cell>
        </row>
        <row r="4958">
          <cell r="B4958" t="b">
            <v>1</v>
          </cell>
          <cell r="E4958" t="str">
            <v>Los Cerros</v>
          </cell>
          <cell r="H4958" t="str">
            <v>pediatria</v>
          </cell>
          <cell r="J4958" t="str">
            <v>bueno</v>
          </cell>
          <cell r="K4958" t="str">
            <v>defsi</v>
          </cell>
        </row>
        <row r="4959">
          <cell r="B4959" t="b">
            <v>1</v>
          </cell>
          <cell r="E4959" t="str">
            <v>Los Cerros</v>
          </cell>
          <cell r="H4959" t="str">
            <v>medicina_interna</v>
          </cell>
          <cell r="J4959" t="str">
            <v>bueno</v>
          </cell>
          <cell r="K4959" t="str">
            <v>defsi</v>
          </cell>
        </row>
        <row r="4960">
          <cell r="B4960" t="b">
            <v>0</v>
          </cell>
          <cell r="E4960" t="str">
            <v>Los Cerros</v>
          </cell>
          <cell r="H4960" t="str">
            <v>consulta_externa</v>
          </cell>
          <cell r="J4960" t="str">
            <v>malo</v>
          </cell>
          <cell r="K4960" t="str">
            <v>defsi</v>
          </cell>
        </row>
        <row r="4961">
          <cell r="B4961" t="b">
            <v>1</v>
          </cell>
          <cell r="E4961" t="str">
            <v>Los Cerros</v>
          </cell>
          <cell r="H4961" t="str">
            <v>salud_oral</v>
          </cell>
          <cell r="J4961" t="str">
            <v>bueno</v>
          </cell>
          <cell r="K4961" t="str">
            <v>defsi</v>
          </cell>
        </row>
        <row r="4962">
          <cell r="B4962" t="b">
            <v>1</v>
          </cell>
          <cell r="E4962" t="str">
            <v>Los Cerros</v>
          </cell>
          <cell r="H4962" t="str">
            <v>laboratorio</v>
          </cell>
          <cell r="J4962" t="str">
            <v>bueno</v>
          </cell>
          <cell r="K4962" t="str">
            <v>defsi</v>
          </cell>
        </row>
        <row r="4963">
          <cell r="B4963" t="b">
            <v>1</v>
          </cell>
          <cell r="E4963" t="str">
            <v>Daniel Lemaitre</v>
          </cell>
          <cell r="H4963" t="str">
            <v>consulta_externa</v>
          </cell>
          <cell r="J4963" t="str">
            <v>bueno</v>
          </cell>
          <cell r="K4963" t="str">
            <v>probsi</v>
          </cell>
        </row>
        <row r="4964">
          <cell r="B4964" t="b">
            <v>1</v>
          </cell>
          <cell r="E4964" t="str">
            <v>Daniel Lemaitre</v>
          </cell>
          <cell r="H4964" t="str">
            <v>consulta_externa</v>
          </cell>
          <cell r="J4964" t="str">
            <v>bueno</v>
          </cell>
          <cell r="K4964" t="str">
            <v>probsi</v>
          </cell>
        </row>
        <row r="4965">
          <cell r="B4965" t="b">
            <v>1</v>
          </cell>
          <cell r="E4965" t="str">
            <v>Daniel Lemaitre</v>
          </cell>
          <cell r="H4965" t="str">
            <v>laboratorio</v>
          </cell>
          <cell r="J4965" t="str">
            <v>bueno</v>
          </cell>
          <cell r="K4965" t="str">
            <v>probsi</v>
          </cell>
        </row>
        <row r="4966">
          <cell r="B4966" t="b">
            <v>1</v>
          </cell>
          <cell r="E4966" t="str">
            <v>Daniel Lemaitre</v>
          </cell>
          <cell r="H4966" t="str">
            <v>laboratorio</v>
          </cell>
          <cell r="J4966" t="str">
            <v>bueno</v>
          </cell>
          <cell r="K4966" t="str">
            <v>probsi</v>
          </cell>
        </row>
        <row r="4967">
          <cell r="B4967" t="b">
            <v>1</v>
          </cell>
          <cell r="E4967" t="str">
            <v>Daniel Lemaitre</v>
          </cell>
          <cell r="H4967" t="str">
            <v>salud_oral</v>
          </cell>
          <cell r="J4967" t="str">
            <v>bueno</v>
          </cell>
          <cell r="K4967" t="str">
            <v>probsi</v>
          </cell>
        </row>
        <row r="4968">
          <cell r="B4968" t="b">
            <v>1</v>
          </cell>
          <cell r="E4968" t="str">
            <v>Daniel Lemaitre</v>
          </cell>
          <cell r="H4968" t="str">
            <v>salud_oral</v>
          </cell>
          <cell r="J4968" t="str">
            <v>bueno</v>
          </cell>
          <cell r="K4968" t="str">
            <v>probsi</v>
          </cell>
        </row>
        <row r="4969">
          <cell r="B4969" t="b">
            <v>1</v>
          </cell>
          <cell r="E4969" t="str">
            <v>Daniel Lemaitre</v>
          </cell>
          <cell r="H4969" t="str">
            <v>salud_oral</v>
          </cell>
          <cell r="J4969" t="str">
            <v>bueno</v>
          </cell>
          <cell r="K4969" t="str">
            <v>probsi</v>
          </cell>
        </row>
        <row r="4970">
          <cell r="B4970" t="b">
            <v>1</v>
          </cell>
          <cell r="E4970" t="str">
            <v>Daniel Lemaitre</v>
          </cell>
          <cell r="H4970" t="str">
            <v>salud_oral</v>
          </cell>
          <cell r="J4970" t="str">
            <v>bueno</v>
          </cell>
          <cell r="K4970" t="str">
            <v>probsi</v>
          </cell>
        </row>
        <row r="4971">
          <cell r="B4971" t="b">
            <v>1</v>
          </cell>
          <cell r="E4971" t="str">
            <v>Daniel Lemaitre</v>
          </cell>
          <cell r="H4971" t="str">
            <v>salud_oral</v>
          </cell>
          <cell r="J4971" t="str">
            <v>bueno</v>
          </cell>
          <cell r="K4971" t="str">
            <v>probsi</v>
          </cell>
        </row>
        <row r="4972">
          <cell r="B4972" t="b">
            <v>1</v>
          </cell>
          <cell r="E4972" t="str">
            <v>Daniel Lemaitre</v>
          </cell>
          <cell r="H4972" t="str">
            <v>consulta_externa</v>
          </cell>
          <cell r="J4972" t="str">
            <v>bueno</v>
          </cell>
          <cell r="K4972" t="str">
            <v>probsi</v>
          </cell>
        </row>
        <row r="4973">
          <cell r="B4973" t="b">
            <v>1</v>
          </cell>
          <cell r="E4973" t="str">
            <v>Daniel Lemaitre</v>
          </cell>
          <cell r="H4973" t="str">
            <v>consulta_externa</v>
          </cell>
          <cell r="J4973" t="str">
            <v>bueno</v>
          </cell>
          <cell r="K4973" t="str">
            <v>probsi</v>
          </cell>
        </row>
        <row r="4974">
          <cell r="B4974" t="b">
            <v>1</v>
          </cell>
          <cell r="E4974" t="str">
            <v>Nuevo Porvenir</v>
          </cell>
          <cell r="H4974" t="str">
            <v>laboratorio</v>
          </cell>
          <cell r="J4974" t="str">
            <v>bueno</v>
          </cell>
          <cell r="K4974" t="str">
            <v>defsi</v>
          </cell>
        </row>
        <row r="4975">
          <cell r="B4975" t="b">
            <v>1</v>
          </cell>
          <cell r="E4975" t="str">
            <v>Los Cerros</v>
          </cell>
          <cell r="H4975" t="str">
            <v>pediatria</v>
          </cell>
          <cell r="J4975" t="str">
            <v>bueno</v>
          </cell>
          <cell r="K4975" t="str">
            <v>defsi</v>
          </cell>
        </row>
        <row r="4976">
          <cell r="B4976" t="b">
            <v>1</v>
          </cell>
          <cell r="E4976" t="str">
            <v>Nuevo Porvenir</v>
          </cell>
          <cell r="H4976" t="str">
            <v>laboratorio</v>
          </cell>
          <cell r="J4976" t="str">
            <v>bueno</v>
          </cell>
          <cell r="K4976" t="str">
            <v>defsi</v>
          </cell>
        </row>
        <row r="4977">
          <cell r="B4977" t="b">
            <v>1</v>
          </cell>
          <cell r="E4977" t="str">
            <v>Nuevo Porvenir</v>
          </cell>
          <cell r="H4977" t="str">
            <v>laboratorio</v>
          </cell>
          <cell r="J4977" t="str">
            <v>bueno</v>
          </cell>
          <cell r="K4977" t="str">
            <v>defsi</v>
          </cell>
        </row>
        <row r="4978">
          <cell r="B4978" t="b">
            <v>1</v>
          </cell>
          <cell r="E4978" t="str">
            <v>Daniel Lemaitre</v>
          </cell>
          <cell r="H4978" t="str">
            <v>consulta_externa</v>
          </cell>
          <cell r="J4978" t="str">
            <v>bueno</v>
          </cell>
          <cell r="K4978" t="str">
            <v>probsi</v>
          </cell>
        </row>
        <row r="4979">
          <cell r="B4979" t="b">
            <v>1</v>
          </cell>
          <cell r="E4979" t="str">
            <v>Daniel Lemaitre</v>
          </cell>
          <cell r="H4979" t="str">
            <v>consulta_externa</v>
          </cell>
          <cell r="J4979" t="str">
            <v>bueno</v>
          </cell>
          <cell r="K4979" t="str">
            <v>probsi</v>
          </cell>
        </row>
        <row r="4980">
          <cell r="B4980" t="b">
            <v>1</v>
          </cell>
          <cell r="E4980" t="str">
            <v>Los Cerros</v>
          </cell>
          <cell r="H4980" t="str">
            <v>medicina_interna</v>
          </cell>
          <cell r="J4980" t="str">
            <v>bueno</v>
          </cell>
          <cell r="K4980" t="str">
            <v>defsi</v>
          </cell>
        </row>
        <row r="4981">
          <cell r="B4981" t="b">
            <v>1</v>
          </cell>
          <cell r="E4981" t="str">
            <v>Daniel Lemaitre</v>
          </cell>
          <cell r="H4981" t="str">
            <v>consulta_externa</v>
          </cell>
          <cell r="J4981" t="str">
            <v>bueno</v>
          </cell>
          <cell r="K4981" t="str">
            <v>probsi</v>
          </cell>
        </row>
        <row r="4982">
          <cell r="B4982" t="b">
            <v>1</v>
          </cell>
          <cell r="E4982" t="str">
            <v>Daniel Lemaitre</v>
          </cell>
          <cell r="H4982" t="str">
            <v>consulta_externa</v>
          </cell>
          <cell r="J4982" t="str">
            <v>bueno</v>
          </cell>
          <cell r="K4982" t="str">
            <v>probsi</v>
          </cell>
        </row>
        <row r="4983">
          <cell r="B4983" t="b">
            <v>1</v>
          </cell>
          <cell r="E4983" t="str">
            <v>Daniel Lemaitre</v>
          </cell>
          <cell r="H4983" t="str">
            <v>laboratorio</v>
          </cell>
          <cell r="J4983" t="str">
            <v>bueno</v>
          </cell>
          <cell r="K4983" t="str">
            <v>probsi</v>
          </cell>
        </row>
        <row r="4984">
          <cell r="B4984" t="b">
            <v>1</v>
          </cell>
          <cell r="E4984" t="str">
            <v>Daniel Lemaitre</v>
          </cell>
          <cell r="H4984" t="str">
            <v>laboratorio</v>
          </cell>
          <cell r="J4984" t="str">
            <v>bueno</v>
          </cell>
          <cell r="K4984" t="str">
            <v>probsi</v>
          </cell>
        </row>
        <row r="4985">
          <cell r="B4985" t="b">
            <v>1</v>
          </cell>
          <cell r="E4985" t="str">
            <v>Daniel Lemaitre</v>
          </cell>
          <cell r="H4985" t="str">
            <v>laboratorio</v>
          </cell>
          <cell r="J4985" t="str">
            <v>bueno</v>
          </cell>
          <cell r="K4985" t="str">
            <v>probsi</v>
          </cell>
        </row>
        <row r="4986">
          <cell r="B4986" t="b">
            <v>1</v>
          </cell>
          <cell r="E4986" t="str">
            <v>Nuevo Porvenir</v>
          </cell>
          <cell r="H4986" t="str">
            <v>consulta_externa</v>
          </cell>
          <cell r="J4986" t="str">
            <v>bueno</v>
          </cell>
          <cell r="K4986" t="str">
            <v>defsi</v>
          </cell>
        </row>
        <row r="4987">
          <cell r="B4987" t="b">
            <v>1</v>
          </cell>
          <cell r="E4987" t="str">
            <v>Daniel Lemaitre</v>
          </cell>
          <cell r="H4987" t="str">
            <v>laboratorio</v>
          </cell>
          <cell r="J4987" t="str">
            <v>bueno</v>
          </cell>
          <cell r="K4987" t="str">
            <v>probsi</v>
          </cell>
        </row>
        <row r="4988">
          <cell r="B4988" t="b">
            <v>1</v>
          </cell>
          <cell r="E4988" t="str">
            <v>Nuevo Porvenir</v>
          </cell>
          <cell r="H4988" t="str">
            <v>laboratorio</v>
          </cell>
          <cell r="J4988" t="str">
            <v>bueno</v>
          </cell>
          <cell r="K4988" t="str">
            <v>defsi</v>
          </cell>
        </row>
        <row r="4989">
          <cell r="B4989" t="b">
            <v>1</v>
          </cell>
          <cell r="E4989" t="str">
            <v>Nuevo Porvenir</v>
          </cell>
          <cell r="H4989" t="str">
            <v>laboratorio</v>
          </cell>
          <cell r="J4989" t="str">
            <v>bueno</v>
          </cell>
          <cell r="K4989" t="str">
            <v>defsi</v>
          </cell>
        </row>
        <row r="4990">
          <cell r="B4990" t="b">
            <v>1</v>
          </cell>
          <cell r="E4990" t="str">
            <v>Los Cerros</v>
          </cell>
          <cell r="H4990" t="str">
            <v>consulta_externa</v>
          </cell>
          <cell r="J4990" t="str">
            <v>bueno</v>
          </cell>
          <cell r="K4990" t="str">
            <v>defsi</v>
          </cell>
        </row>
        <row r="4991">
          <cell r="B4991" t="b">
            <v>1</v>
          </cell>
          <cell r="E4991" t="str">
            <v>Nuevo Porvenir</v>
          </cell>
          <cell r="H4991" t="str">
            <v>laboratorio</v>
          </cell>
          <cell r="J4991" t="str">
            <v>muybueno</v>
          </cell>
          <cell r="K4991" t="str">
            <v>defsi</v>
          </cell>
        </row>
        <row r="4992">
          <cell r="B4992" t="b">
            <v>1</v>
          </cell>
          <cell r="E4992" t="str">
            <v>Nuevo Porvenir</v>
          </cell>
          <cell r="H4992" t="str">
            <v>laboratorio</v>
          </cell>
          <cell r="J4992" t="str">
            <v>muybueno</v>
          </cell>
          <cell r="K4992" t="str">
            <v>defsi</v>
          </cell>
        </row>
        <row r="4993">
          <cell r="B4993" t="b">
            <v>1</v>
          </cell>
          <cell r="E4993" t="str">
            <v>Nuevo Porvenir</v>
          </cell>
          <cell r="H4993" t="str">
            <v>laboratorio</v>
          </cell>
          <cell r="J4993" t="str">
            <v>muybueno</v>
          </cell>
          <cell r="K4993" t="str">
            <v>defsi</v>
          </cell>
        </row>
        <row r="4994">
          <cell r="B4994" t="b">
            <v>1</v>
          </cell>
          <cell r="E4994" t="str">
            <v>Nuevo Porvenir</v>
          </cell>
          <cell r="H4994" t="str">
            <v>laboratorio</v>
          </cell>
          <cell r="J4994" t="str">
            <v>muybueno</v>
          </cell>
          <cell r="K4994" t="str">
            <v>defsi</v>
          </cell>
        </row>
        <row r="4995">
          <cell r="B4995" t="b">
            <v>1</v>
          </cell>
          <cell r="E4995" t="str">
            <v>Nuevo Porvenir</v>
          </cell>
          <cell r="H4995" t="str">
            <v>consulta_externa</v>
          </cell>
          <cell r="J4995" t="str">
            <v>bueno</v>
          </cell>
          <cell r="K4995" t="str">
            <v>defsi</v>
          </cell>
        </row>
        <row r="4996">
          <cell r="B4996" t="b">
            <v>1</v>
          </cell>
          <cell r="E4996" t="str">
            <v>Nuevo Porvenir</v>
          </cell>
          <cell r="H4996" t="str">
            <v>salud_oral</v>
          </cell>
          <cell r="J4996" t="str">
            <v>bueno</v>
          </cell>
          <cell r="K4996" t="str">
            <v>defsi</v>
          </cell>
        </row>
        <row r="4997">
          <cell r="B4997" t="b">
            <v>1</v>
          </cell>
          <cell r="E4997" t="str">
            <v>Nuevo Porvenir</v>
          </cell>
          <cell r="H4997" t="str">
            <v>salud_oral</v>
          </cell>
          <cell r="J4997" t="str">
            <v>bueno</v>
          </cell>
          <cell r="K4997" t="str">
            <v>defsi</v>
          </cell>
        </row>
        <row r="4998">
          <cell r="B4998" t="b">
            <v>1</v>
          </cell>
          <cell r="E4998" t="str">
            <v>Los Cerros</v>
          </cell>
          <cell r="H4998" t="str">
            <v>consulta_externa</v>
          </cell>
          <cell r="J4998" t="str">
            <v>bueno</v>
          </cell>
          <cell r="K4998" t="str">
            <v>defsi</v>
          </cell>
        </row>
        <row r="4999">
          <cell r="B4999" t="b">
            <v>1</v>
          </cell>
          <cell r="E4999" t="str">
            <v>Los Cerros</v>
          </cell>
          <cell r="H4999" t="str">
            <v>salud_oral</v>
          </cell>
          <cell r="J4999" t="str">
            <v>bueno</v>
          </cell>
          <cell r="K4999" t="str">
            <v>defsi</v>
          </cell>
        </row>
        <row r="5000">
          <cell r="B5000" t="b">
            <v>1</v>
          </cell>
          <cell r="E5000" t="str">
            <v>Los Cerros</v>
          </cell>
          <cell r="H5000" t="str">
            <v>laboratorio</v>
          </cell>
          <cell r="J5000" t="str">
            <v>bueno</v>
          </cell>
          <cell r="K5000" t="str">
            <v>defsi</v>
          </cell>
        </row>
        <row r="5001">
          <cell r="B5001" t="b">
            <v>1</v>
          </cell>
          <cell r="E5001" t="str">
            <v>Los Cerros</v>
          </cell>
          <cell r="H5001" t="str">
            <v>pediatria</v>
          </cell>
          <cell r="J5001" t="str">
            <v>bueno</v>
          </cell>
          <cell r="K5001" t="str">
            <v>defsi</v>
          </cell>
        </row>
        <row r="5002">
          <cell r="B5002" t="b">
            <v>1</v>
          </cell>
          <cell r="E5002" t="str">
            <v>Los Cerros</v>
          </cell>
          <cell r="H5002" t="str">
            <v>medicina_interna</v>
          </cell>
          <cell r="J5002" t="str">
            <v>bueno</v>
          </cell>
          <cell r="K5002" t="str">
            <v>defsi</v>
          </cell>
        </row>
        <row r="5003">
          <cell r="B5003" t="b">
            <v>1</v>
          </cell>
          <cell r="E5003" t="str">
            <v>Los Cerros</v>
          </cell>
          <cell r="H5003" t="str">
            <v>consulta_externa</v>
          </cell>
          <cell r="J5003" t="str">
            <v>bueno</v>
          </cell>
          <cell r="K5003" t="str">
            <v>defsi</v>
          </cell>
        </row>
        <row r="5004">
          <cell r="B5004" t="b">
            <v>1</v>
          </cell>
          <cell r="E5004" t="str">
            <v>Los Cerros</v>
          </cell>
          <cell r="H5004" t="str">
            <v>salud_oral</v>
          </cell>
          <cell r="J5004" t="str">
            <v>bueno</v>
          </cell>
          <cell r="K5004" t="str">
            <v>defsi</v>
          </cell>
        </row>
        <row r="5005">
          <cell r="B5005" t="b">
            <v>1</v>
          </cell>
          <cell r="E5005" t="str">
            <v>Los Cerros</v>
          </cell>
          <cell r="H5005" t="str">
            <v>laboratorio</v>
          </cell>
          <cell r="J5005" t="str">
            <v>bueno</v>
          </cell>
          <cell r="K5005" t="str">
            <v>defsi</v>
          </cell>
        </row>
        <row r="5006">
          <cell r="B5006" t="b">
            <v>1</v>
          </cell>
          <cell r="E5006" t="str">
            <v>Los Cerros</v>
          </cell>
          <cell r="H5006" t="str">
            <v>ecografias</v>
          </cell>
          <cell r="J5006" t="str">
            <v>bueno</v>
          </cell>
          <cell r="K5006" t="str">
            <v>defsi</v>
          </cell>
        </row>
        <row r="5007">
          <cell r="B5007" t="b">
            <v>1</v>
          </cell>
          <cell r="E5007" t="str">
            <v>Los Cerros</v>
          </cell>
          <cell r="H5007" t="str">
            <v>pediatria</v>
          </cell>
          <cell r="J5007" t="str">
            <v>bueno</v>
          </cell>
          <cell r="K5007" t="str">
            <v>defsi</v>
          </cell>
        </row>
        <row r="5008">
          <cell r="B5008" t="b">
            <v>1</v>
          </cell>
          <cell r="E5008" t="str">
            <v>Los Cerros</v>
          </cell>
          <cell r="H5008" t="str">
            <v>medicina_interna</v>
          </cell>
          <cell r="J5008" t="str">
            <v>bueno</v>
          </cell>
          <cell r="K5008" t="str">
            <v>defsi</v>
          </cell>
        </row>
        <row r="5009">
          <cell r="B5009" t="b">
            <v>1</v>
          </cell>
          <cell r="E5009" t="str">
            <v>Daniel Lemaitre</v>
          </cell>
          <cell r="H5009" t="str">
            <v>consulta_externa</v>
          </cell>
          <cell r="J5009" t="str">
            <v>bueno</v>
          </cell>
          <cell r="K5009" t="str">
            <v>defsi</v>
          </cell>
        </row>
        <row r="5010">
          <cell r="B5010" t="b">
            <v>1</v>
          </cell>
          <cell r="E5010" t="str">
            <v>Daniel Lemaitre</v>
          </cell>
          <cell r="H5010" t="str">
            <v>consulta_externa</v>
          </cell>
          <cell r="J5010" t="str">
            <v>bueno</v>
          </cell>
          <cell r="K5010" t="str">
            <v>defsi</v>
          </cell>
        </row>
        <row r="5011">
          <cell r="B5011" t="b">
            <v>1</v>
          </cell>
          <cell r="E5011" t="str">
            <v>Daniel Lemaitre</v>
          </cell>
          <cell r="H5011" t="str">
            <v>consulta_externa</v>
          </cell>
          <cell r="J5011" t="str">
            <v>bueno</v>
          </cell>
          <cell r="K5011" t="str">
            <v>defsi</v>
          </cell>
        </row>
        <row r="5012">
          <cell r="B5012" t="b">
            <v>1</v>
          </cell>
          <cell r="E5012" t="str">
            <v>Daniel Lemaitre</v>
          </cell>
          <cell r="H5012" t="str">
            <v>consulta_externa</v>
          </cell>
          <cell r="J5012" t="str">
            <v>muybueno</v>
          </cell>
          <cell r="K5012" t="str">
            <v>defsi</v>
          </cell>
        </row>
        <row r="5013">
          <cell r="B5013" t="b">
            <v>1</v>
          </cell>
          <cell r="E5013" t="str">
            <v>Daniel Lemaitre</v>
          </cell>
          <cell r="H5013" t="str">
            <v>consulta_externa</v>
          </cell>
          <cell r="J5013" t="str">
            <v>muybueno</v>
          </cell>
          <cell r="K5013" t="str">
            <v>defsi</v>
          </cell>
        </row>
        <row r="5014">
          <cell r="B5014" t="b">
            <v>1</v>
          </cell>
          <cell r="E5014" t="str">
            <v>Daniel Lemaitre</v>
          </cell>
          <cell r="H5014" t="str">
            <v>consulta_externa</v>
          </cell>
          <cell r="J5014" t="str">
            <v>muybueno</v>
          </cell>
          <cell r="K5014" t="str">
            <v>defsi</v>
          </cell>
        </row>
        <row r="5015">
          <cell r="B5015" t="b">
            <v>1</v>
          </cell>
          <cell r="E5015" t="str">
            <v>Daniel Lemaitre</v>
          </cell>
          <cell r="H5015" t="str">
            <v>consulta_externa</v>
          </cell>
          <cell r="J5015" t="str">
            <v>muybueno</v>
          </cell>
          <cell r="K5015" t="str">
            <v>defsi</v>
          </cell>
        </row>
        <row r="5016">
          <cell r="B5016" t="b">
            <v>1</v>
          </cell>
          <cell r="E5016" t="str">
            <v>Daniel Lemaitre</v>
          </cell>
          <cell r="H5016" t="str">
            <v>consulta_externa</v>
          </cell>
          <cell r="J5016" t="str">
            <v>muybueno</v>
          </cell>
          <cell r="K5016" t="str">
            <v>defsi</v>
          </cell>
        </row>
        <row r="5017">
          <cell r="B5017" t="b">
            <v>1</v>
          </cell>
          <cell r="E5017" t="str">
            <v>Daniel Lemaitre</v>
          </cell>
          <cell r="H5017" t="str">
            <v>consulta_externa</v>
          </cell>
          <cell r="J5017" t="str">
            <v>muybueno</v>
          </cell>
          <cell r="K5017" t="str">
            <v>defsi</v>
          </cell>
        </row>
        <row r="5018">
          <cell r="B5018" t="b">
            <v>1</v>
          </cell>
          <cell r="E5018" t="str">
            <v>Daniel Lemaitre</v>
          </cell>
          <cell r="H5018" t="str">
            <v>consulta_externa</v>
          </cell>
          <cell r="J5018" t="str">
            <v>muybueno</v>
          </cell>
          <cell r="K5018" t="str">
            <v>defsi</v>
          </cell>
        </row>
        <row r="5019">
          <cell r="B5019" t="b">
            <v>1</v>
          </cell>
          <cell r="E5019" t="str">
            <v>Daniel Lemaitre</v>
          </cell>
          <cell r="H5019" t="str">
            <v>consulta_externa</v>
          </cell>
          <cell r="J5019" t="str">
            <v>muybueno</v>
          </cell>
          <cell r="K5019" t="str">
            <v>defsi</v>
          </cell>
        </row>
        <row r="5020">
          <cell r="B5020" t="b">
            <v>1</v>
          </cell>
          <cell r="E5020" t="str">
            <v>Daniel Lemaitre</v>
          </cell>
          <cell r="H5020" t="str">
            <v>consulta_externa</v>
          </cell>
          <cell r="J5020" t="str">
            <v>muybueno</v>
          </cell>
          <cell r="K5020" t="str">
            <v>defsi</v>
          </cell>
        </row>
        <row r="5021">
          <cell r="B5021" t="b">
            <v>1</v>
          </cell>
          <cell r="E5021" t="str">
            <v>Daniel Lemaitre</v>
          </cell>
          <cell r="H5021" t="str">
            <v>consulta_externa</v>
          </cell>
          <cell r="J5021" t="str">
            <v>muybueno</v>
          </cell>
          <cell r="K5021" t="str">
            <v>defsi</v>
          </cell>
        </row>
        <row r="5022">
          <cell r="B5022" t="b">
            <v>1</v>
          </cell>
          <cell r="E5022" t="str">
            <v>Daniel Lemaitre</v>
          </cell>
          <cell r="H5022" t="str">
            <v>laboratorio</v>
          </cell>
          <cell r="J5022" t="str">
            <v>muybueno</v>
          </cell>
          <cell r="K5022" t="str">
            <v>defsi</v>
          </cell>
        </row>
        <row r="5023">
          <cell r="B5023" t="b">
            <v>1</v>
          </cell>
          <cell r="E5023" t="str">
            <v>Daniel Lemaitre</v>
          </cell>
          <cell r="H5023" t="str">
            <v>laboratorio</v>
          </cell>
          <cell r="J5023" t="str">
            <v>muybueno</v>
          </cell>
          <cell r="K5023" t="str">
            <v>defsi</v>
          </cell>
        </row>
        <row r="5024">
          <cell r="B5024" t="b">
            <v>1</v>
          </cell>
          <cell r="E5024" t="str">
            <v>Daniel Lemaitre</v>
          </cell>
          <cell r="H5024" t="str">
            <v>salud_oral</v>
          </cell>
          <cell r="J5024" t="str">
            <v>muybueno</v>
          </cell>
          <cell r="K5024" t="str">
            <v>defsi</v>
          </cell>
        </row>
        <row r="5025">
          <cell r="B5025" t="b">
            <v>1</v>
          </cell>
          <cell r="E5025" t="str">
            <v>Daniel Lemaitre</v>
          </cell>
          <cell r="H5025" t="str">
            <v>salud_oral</v>
          </cell>
          <cell r="J5025" t="str">
            <v>muybueno</v>
          </cell>
          <cell r="K5025" t="str">
            <v>defsi</v>
          </cell>
        </row>
        <row r="5026">
          <cell r="B5026" t="b">
            <v>1</v>
          </cell>
          <cell r="E5026" t="str">
            <v>Daniel Lemaitre</v>
          </cell>
          <cell r="H5026" t="str">
            <v>salud_oral</v>
          </cell>
          <cell r="J5026" t="str">
            <v>muybueno</v>
          </cell>
          <cell r="K5026" t="str">
            <v>defsi</v>
          </cell>
        </row>
        <row r="5027">
          <cell r="B5027" t="b">
            <v>1</v>
          </cell>
          <cell r="E5027" t="str">
            <v>Daniel Lemaitre</v>
          </cell>
          <cell r="H5027" t="str">
            <v>salud_oral</v>
          </cell>
          <cell r="J5027" t="str">
            <v>muybueno</v>
          </cell>
          <cell r="K5027" t="str">
            <v>defsi</v>
          </cell>
        </row>
        <row r="5028">
          <cell r="B5028" t="b">
            <v>1</v>
          </cell>
          <cell r="E5028" t="str">
            <v>Daniel Lemaitre</v>
          </cell>
          <cell r="H5028" t="str">
            <v>salud_oral</v>
          </cell>
          <cell r="J5028" t="str">
            <v>muybueno</v>
          </cell>
          <cell r="K5028" t="str">
            <v>defsi</v>
          </cell>
        </row>
        <row r="5029">
          <cell r="B5029" t="b">
            <v>1</v>
          </cell>
          <cell r="E5029" t="str">
            <v>Daniel Lemaitre</v>
          </cell>
          <cell r="H5029" t="str">
            <v>salud_oral</v>
          </cell>
          <cell r="J5029" t="str">
            <v>muybueno</v>
          </cell>
          <cell r="K5029" t="str">
            <v>defsi</v>
          </cell>
        </row>
        <row r="5030">
          <cell r="B5030" t="b">
            <v>1</v>
          </cell>
          <cell r="E5030" t="str">
            <v>Daniel Lemaitre</v>
          </cell>
          <cell r="H5030" t="str">
            <v>laboratorio</v>
          </cell>
          <cell r="J5030" t="str">
            <v>muybueno</v>
          </cell>
          <cell r="K5030" t="str">
            <v>defsi</v>
          </cell>
        </row>
        <row r="5031">
          <cell r="B5031" t="b">
            <v>1</v>
          </cell>
          <cell r="E5031" t="str">
            <v>Daniel Lemaitre</v>
          </cell>
          <cell r="H5031" t="str">
            <v>laboratorio</v>
          </cell>
          <cell r="J5031" t="str">
            <v>muybueno</v>
          </cell>
          <cell r="K5031" t="str">
            <v>defsi</v>
          </cell>
        </row>
        <row r="5032">
          <cell r="B5032" t="b">
            <v>1</v>
          </cell>
          <cell r="E5032" t="str">
            <v>Daniel Lemaitre</v>
          </cell>
          <cell r="H5032" t="str">
            <v>laboratorio</v>
          </cell>
          <cell r="J5032" t="str">
            <v>muybueno</v>
          </cell>
          <cell r="K5032" t="str">
            <v>defsi</v>
          </cell>
        </row>
        <row r="5033">
          <cell r="B5033" t="b">
            <v>1</v>
          </cell>
          <cell r="E5033" t="str">
            <v>Daniel Lemaitre</v>
          </cell>
          <cell r="H5033" t="str">
            <v>laboratorio</v>
          </cell>
          <cell r="J5033" t="str">
            <v>muybueno</v>
          </cell>
          <cell r="K5033" t="str">
            <v>defsi</v>
          </cell>
        </row>
        <row r="5034">
          <cell r="B5034" t="b">
            <v>1</v>
          </cell>
          <cell r="E5034" t="str">
            <v>Daniel Lemaitre</v>
          </cell>
          <cell r="H5034" t="str">
            <v>salud_oral</v>
          </cell>
          <cell r="J5034" t="str">
            <v>muybueno</v>
          </cell>
          <cell r="K5034" t="str">
            <v>defsi</v>
          </cell>
        </row>
        <row r="5035">
          <cell r="B5035" t="b">
            <v>1</v>
          </cell>
          <cell r="E5035" t="str">
            <v>Daniel Lemaitre</v>
          </cell>
          <cell r="H5035" t="str">
            <v>salud_oral</v>
          </cell>
          <cell r="J5035" t="str">
            <v>muybueno</v>
          </cell>
          <cell r="K5035" t="str">
            <v>defsi</v>
          </cell>
        </row>
        <row r="5036">
          <cell r="B5036" t="b">
            <v>1</v>
          </cell>
          <cell r="E5036" t="str">
            <v>Daniel Lemaitre</v>
          </cell>
          <cell r="H5036" t="str">
            <v>salud_oral</v>
          </cell>
          <cell r="J5036" t="str">
            <v>muybueno</v>
          </cell>
          <cell r="K5036" t="str">
            <v>defsi</v>
          </cell>
        </row>
        <row r="5037">
          <cell r="B5037" t="b">
            <v>1</v>
          </cell>
          <cell r="E5037" t="str">
            <v>Daniel Lemaitre</v>
          </cell>
          <cell r="H5037" t="str">
            <v>salud_oral</v>
          </cell>
          <cell r="J5037" t="str">
            <v>muybueno</v>
          </cell>
          <cell r="K5037" t="str">
            <v>defsi</v>
          </cell>
        </row>
        <row r="5038">
          <cell r="B5038" t="b">
            <v>1</v>
          </cell>
          <cell r="E5038" t="str">
            <v>Daniel Lemaitre</v>
          </cell>
          <cell r="H5038" t="str">
            <v>salud_oral</v>
          </cell>
          <cell r="J5038" t="str">
            <v>muybueno</v>
          </cell>
          <cell r="K5038" t="str">
            <v>defsi</v>
          </cell>
        </row>
        <row r="5039">
          <cell r="B5039" t="b">
            <v>1</v>
          </cell>
          <cell r="E5039" t="str">
            <v>Daniel Lemaitre</v>
          </cell>
          <cell r="H5039" t="str">
            <v>salud_oral</v>
          </cell>
          <cell r="J5039" t="str">
            <v>muybueno</v>
          </cell>
          <cell r="K5039" t="str">
            <v>defsi</v>
          </cell>
        </row>
        <row r="5040">
          <cell r="B5040" t="b">
            <v>1</v>
          </cell>
          <cell r="E5040" t="str">
            <v>Daniel Lemaitre</v>
          </cell>
          <cell r="H5040" t="str">
            <v>salud_oral</v>
          </cell>
          <cell r="J5040" t="str">
            <v>muybueno</v>
          </cell>
          <cell r="K5040" t="str">
            <v>defsi</v>
          </cell>
        </row>
        <row r="5041">
          <cell r="B5041" t="b">
            <v>1</v>
          </cell>
          <cell r="E5041" t="str">
            <v>Daniel Lemaitre</v>
          </cell>
          <cell r="H5041" t="str">
            <v>salud_oral</v>
          </cell>
          <cell r="J5041" t="str">
            <v>muybueno</v>
          </cell>
          <cell r="K5041" t="str">
            <v>defsi</v>
          </cell>
        </row>
        <row r="5042">
          <cell r="B5042" t="b">
            <v>1</v>
          </cell>
          <cell r="E5042" t="str">
            <v>Daniel Lemaitre</v>
          </cell>
          <cell r="H5042" t="str">
            <v>consulta_externa</v>
          </cell>
          <cell r="J5042" t="str">
            <v>muybueno</v>
          </cell>
          <cell r="K5042" t="str">
            <v>defsi</v>
          </cell>
        </row>
        <row r="5043">
          <cell r="B5043" t="b">
            <v>1</v>
          </cell>
          <cell r="E5043" t="str">
            <v>Daniel Lemaitre</v>
          </cell>
          <cell r="H5043" t="str">
            <v>laboratorio</v>
          </cell>
          <cell r="J5043" t="str">
            <v>muybueno</v>
          </cell>
          <cell r="K5043" t="str">
            <v>defsi</v>
          </cell>
        </row>
        <row r="5044">
          <cell r="B5044" t="b">
            <v>1</v>
          </cell>
          <cell r="E5044" t="str">
            <v>Daniel Lemaitre</v>
          </cell>
          <cell r="H5044" t="str">
            <v>laboratorio</v>
          </cell>
          <cell r="J5044" t="str">
            <v>muybueno</v>
          </cell>
          <cell r="K5044" t="str">
            <v>defsi</v>
          </cell>
        </row>
        <row r="5045">
          <cell r="B5045" t="b">
            <v>1</v>
          </cell>
          <cell r="E5045" t="str">
            <v>Daniel Lemaitre</v>
          </cell>
          <cell r="H5045" t="str">
            <v>laboratorio</v>
          </cell>
          <cell r="J5045" t="str">
            <v>muybueno</v>
          </cell>
          <cell r="K5045" t="str">
            <v>defsi</v>
          </cell>
        </row>
        <row r="5046">
          <cell r="B5046" t="b">
            <v>1</v>
          </cell>
          <cell r="E5046" t="str">
            <v>Daniel Lemaitre</v>
          </cell>
          <cell r="H5046" t="str">
            <v>consulta_externa</v>
          </cell>
          <cell r="J5046" t="str">
            <v>muybueno</v>
          </cell>
          <cell r="K5046" t="str">
            <v>defsi</v>
          </cell>
        </row>
        <row r="5047">
          <cell r="B5047" t="b">
            <v>1</v>
          </cell>
          <cell r="E5047" t="str">
            <v>Daniel Lemaitre</v>
          </cell>
          <cell r="H5047" t="str">
            <v>consulta_externa</v>
          </cell>
          <cell r="J5047" t="str">
            <v>muybueno</v>
          </cell>
          <cell r="K5047" t="str">
            <v>defsi</v>
          </cell>
        </row>
        <row r="5048">
          <cell r="B5048" t="b">
            <v>1</v>
          </cell>
          <cell r="E5048" t="str">
            <v>Los Cerros</v>
          </cell>
          <cell r="H5048" t="str">
            <v>consulta_externa</v>
          </cell>
          <cell r="J5048" t="str">
            <v>bueno</v>
          </cell>
          <cell r="K5048" t="str">
            <v>defsi</v>
          </cell>
        </row>
        <row r="5049">
          <cell r="B5049" t="b">
            <v>1</v>
          </cell>
          <cell r="E5049" t="str">
            <v>Los Cerros</v>
          </cell>
          <cell r="H5049" t="str">
            <v>salud_oral</v>
          </cell>
          <cell r="J5049" t="str">
            <v>bueno</v>
          </cell>
          <cell r="K5049" t="str">
            <v>defsi</v>
          </cell>
        </row>
        <row r="5050">
          <cell r="B5050" t="b">
            <v>0</v>
          </cell>
          <cell r="E5050" t="str">
            <v>Bayunca</v>
          </cell>
          <cell r="H5050" t="str">
            <v>urgencia</v>
          </cell>
          <cell r="J5050" t="str">
            <v>regular</v>
          </cell>
          <cell r="K5050" t="str">
            <v>probsi</v>
          </cell>
        </row>
        <row r="5051">
          <cell r="B5051" t="b">
            <v>0</v>
          </cell>
          <cell r="E5051" t="str">
            <v>Bayunca</v>
          </cell>
          <cell r="H5051" t="str">
            <v>urgencia</v>
          </cell>
          <cell r="J5051" t="str">
            <v>regular</v>
          </cell>
          <cell r="K5051" t="str">
            <v>probsi</v>
          </cell>
        </row>
        <row r="5052">
          <cell r="B5052" t="b">
            <v>1</v>
          </cell>
          <cell r="E5052" t="str">
            <v>Bayunca</v>
          </cell>
          <cell r="H5052" t="str">
            <v>urgencia</v>
          </cell>
          <cell r="J5052" t="str">
            <v>bueno</v>
          </cell>
          <cell r="K5052" t="str">
            <v>probsi</v>
          </cell>
        </row>
        <row r="5053">
          <cell r="B5053" t="b">
            <v>1</v>
          </cell>
          <cell r="E5053" t="str">
            <v>Bayunca</v>
          </cell>
          <cell r="H5053" t="str">
            <v>urgencia</v>
          </cell>
          <cell r="J5053" t="str">
            <v>bueno</v>
          </cell>
          <cell r="K5053" t="str">
            <v>probsi</v>
          </cell>
        </row>
        <row r="5054">
          <cell r="B5054" t="b">
            <v>1</v>
          </cell>
          <cell r="E5054" t="str">
            <v>Bayunca</v>
          </cell>
          <cell r="H5054" t="str">
            <v>urgencia</v>
          </cell>
          <cell r="J5054" t="str">
            <v>bueno</v>
          </cell>
          <cell r="K5054" t="str">
            <v>probsi</v>
          </cell>
        </row>
        <row r="5055">
          <cell r="B5055" t="b">
            <v>1</v>
          </cell>
          <cell r="E5055" t="str">
            <v>Bayunca</v>
          </cell>
          <cell r="H5055" t="str">
            <v>urgencia</v>
          </cell>
          <cell r="J5055" t="str">
            <v>bueno</v>
          </cell>
          <cell r="K5055" t="str">
            <v>probsi</v>
          </cell>
        </row>
        <row r="5056">
          <cell r="B5056" t="b">
            <v>1</v>
          </cell>
          <cell r="E5056" t="str">
            <v>Los Cerros</v>
          </cell>
          <cell r="H5056" t="str">
            <v>salud_oral</v>
          </cell>
          <cell r="J5056" t="str">
            <v>bueno</v>
          </cell>
          <cell r="K5056" t="str">
            <v>defsi</v>
          </cell>
        </row>
        <row r="5057">
          <cell r="B5057" t="b">
            <v>1</v>
          </cell>
          <cell r="E5057" t="str">
            <v>Los Cerros</v>
          </cell>
          <cell r="H5057" t="str">
            <v>laboratorio</v>
          </cell>
          <cell r="J5057" t="str">
            <v>bueno</v>
          </cell>
          <cell r="K5057" t="str">
            <v>defsi</v>
          </cell>
        </row>
        <row r="5058">
          <cell r="B5058" t="b">
            <v>1</v>
          </cell>
          <cell r="E5058" t="str">
            <v>Los Cerros</v>
          </cell>
          <cell r="H5058" t="str">
            <v>pediatria</v>
          </cell>
          <cell r="J5058" t="str">
            <v>bueno</v>
          </cell>
          <cell r="K5058" t="str">
            <v>defsi</v>
          </cell>
        </row>
        <row r="5059">
          <cell r="B5059" t="b">
            <v>1</v>
          </cell>
          <cell r="E5059" t="str">
            <v>Los Cerros</v>
          </cell>
          <cell r="H5059" t="str">
            <v>medicina_interna</v>
          </cell>
          <cell r="J5059" t="str">
            <v>bueno</v>
          </cell>
          <cell r="K5059" t="str">
            <v>defsi</v>
          </cell>
        </row>
        <row r="5060">
          <cell r="B5060" t="b">
            <v>1</v>
          </cell>
          <cell r="E5060" t="str">
            <v>Nuevo Porvenir</v>
          </cell>
          <cell r="H5060" t="str">
            <v>consulta_externa</v>
          </cell>
          <cell r="J5060" t="str">
            <v>bueno</v>
          </cell>
          <cell r="K5060" t="str">
            <v>defsi</v>
          </cell>
        </row>
        <row r="5061">
          <cell r="B5061" t="b">
            <v>1</v>
          </cell>
          <cell r="E5061" t="str">
            <v>Nuevo Porvenir</v>
          </cell>
          <cell r="H5061" t="str">
            <v>salud_oral</v>
          </cell>
          <cell r="J5061" t="str">
            <v>bueno</v>
          </cell>
          <cell r="K5061" t="str">
            <v>defsi</v>
          </cell>
        </row>
        <row r="5062">
          <cell r="B5062" t="b">
            <v>1</v>
          </cell>
          <cell r="E5062" t="str">
            <v>Nuevo Porvenir</v>
          </cell>
          <cell r="H5062" t="str">
            <v>salud_oral</v>
          </cell>
          <cell r="J5062" t="str">
            <v>bueno</v>
          </cell>
          <cell r="K5062" t="str">
            <v>defsi</v>
          </cell>
        </row>
        <row r="5063">
          <cell r="B5063" t="b">
            <v>1</v>
          </cell>
          <cell r="E5063" t="str">
            <v>Nuevo Porvenir</v>
          </cell>
          <cell r="H5063" t="str">
            <v>salud_oral</v>
          </cell>
          <cell r="J5063" t="str">
            <v>bueno</v>
          </cell>
          <cell r="K5063" t="str">
            <v>defsi</v>
          </cell>
        </row>
        <row r="5064">
          <cell r="B5064" t="b">
            <v>1</v>
          </cell>
          <cell r="E5064" t="str">
            <v>Nuevo Porvenir</v>
          </cell>
          <cell r="H5064" t="str">
            <v>salud_oral</v>
          </cell>
          <cell r="J5064" t="str">
            <v>bueno</v>
          </cell>
          <cell r="K5064" t="str">
            <v>defsi</v>
          </cell>
        </row>
        <row r="5065">
          <cell r="B5065" t="b">
            <v>1</v>
          </cell>
          <cell r="E5065" t="str">
            <v>Nuevo Porvenir</v>
          </cell>
          <cell r="H5065" t="str">
            <v>salud_oral</v>
          </cell>
          <cell r="J5065" t="str">
            <v>bueno</v>
          </cell>
          <cell r="K5065" t="str">
            <v>defsi</v>
          </cell>
        </row>
        <row r="5066">
          <cell r="B5066" t="b">
            <v>1</v>
          </cell>
          <cell r="E5066" t="str">
            <v>Nuevo Porvenir</v>
          </cell>
          <cell r="H5066" t="str">
            <v>consulta_externa</v>
          </cell>
          <cell r="J5066" t="str">
            <v>bueno</v>
          </cell>
          <cell r="K5066" t="str">
            <v>defsi</v>
          </cell>
        </row>
        <row r="5067">
          <cell r="B5067" t="b">
            <v>1</v>
          </cell>
          <cell r="E5067" t="str">
            <v>Nuevo Porvenir</v>
          </cell>
          <cell r="H5067" t="str">
            <v>consulta_externa</v>
          </cell>
          <cell r="J5067" t="str">
            <v>bueno</v>
          </cell>
          <cell r="K5067" t="str">
            <v>defsi</v>
          </cell>
        </row>
        <row r="5068">
          <cell r="B5068" t="b">
            <v>1</v>
          </cell>
          <cell r="E5068" t="str">
            <v>Nuevo Porvenir</v>
          </cell>
          <cell r="H5068" t="str">
            <v>salud_oral</v>
          </cell>
          <cell r="J5068" t="str">
            <v>bueno</v>
          </cell>
          <cell r="K5068" t="str">
            <v>defsi</v>
          </cell>
        </row>
        <row r="5069">
          <cell r="B5069" t="b">
            <v>1</v>
          </cell>
          <cell r="E5069" t="str">
            <v>Nuevo Porvenir</v>
          </cell>
          <cell r="H5069" t="str">
            <v>salud_oral</v>
          </cell>
          <cell r="J5069" t="str">
            <v>muybueno</v>
          </cell>
          <cell r="K5069" t="str">
            <v>defsi</v>
          </cell>
        </row>
        <row r="5070">
          <cell r="B5070" t="b">
            <v>1</v>
          </cell>
          <cell r="E5070" t="str">
            <v>Nuevo Porvenir</v>
          </cell>
          <cell r="H5070" t="str">
            <v>salud_oral</v>
          </cell>
          <cell r="J5070" t="str">
            <v>muybueno</v>
          </cell>
          <cell r="K5070" t="str">
            <v>defsi</v>
          </cell>
        </row>
        <row r="5071">
          <cell r="B5071" t="b">
            <v>1</v>
          </cell>
          <cell r="E5071" t="str">
            <v>Los Cerros</v>
          </cell>
          <cell r="H5071" t="str">
            <v>consulta_externa</v>
          </cell>
          <cell r="J5071" t="str">
            <v>bueno</v>
          </cell>
          <cell r="K5071" t="str">
            <v>defsi</v>
          </cell>
        </row>
        <row r="5072">
          <cell r="B5072" t="b">
            <v>1</v>
          </cell>
          <cell r="E5072" t="str">
            <v>Los Cerros</v>
          </cell>
          <cell r="H5072" t="str">
            <v>salud_oral</v>
          </cell>
          <cell r="J5072" t="str">
            <v>bueno</v>
          </cell>
          <cell r="K5072" t="str">
            <v>defsi</v>
          </cell>
        </row>
        <row r="5073">
          <cell r="B5073" t="b">
            <v>1</v>
          </cell>
          <cell r="E5073" t="str">
            <v>Los Cerros</v>
          </cell>
          <cell r="H5073" t="str">
            <v>laboratorio</v>
          </cell>
          <cell r="J5073" t="str">
            <v>bueno</v>
          </cell>
          <cell r="K5073" t="str">
            <v>defsi</v>
          </cell>
        </row>
        <row r="5074">
          <cell r="B5074" t="b">
            <v>1</v>
          </cell>
          <cell r="E5074" t="str">
            <v>Los Cerros</v>
          </cell>
          <cell r="H5074" t="str">
            <v>medicina_interna</v>
          </cell>
          <cell r="J5074" t="str">
            <v>bueno</v>
          </cell>
          <cell r="K5074" t="str">
            <v>defsi</v>
          </cell>
        </row>
        <row r="5075">
          <cell r="B5075" t="b">
            <v>1</v>
          </cell>
          <cell r="E5075" t="str">
            <v>Bayunca</v>
          </cell>
          <cell r="H5075" t="str">
            <v>pediatria</v>
          </cell>
          <cell r="J5075" t="str">
            <v>bueno</v>
          </cell>
          <cell r="K5075" t="str">
            <v>probsi</v>
          </cell>
        </row>
        <row r="5076">
          <cell r="B5076" t="b">
            <v>1</v>
          </cell>
          <cell r="E5076" t="str">
            <v>Bayunca</v>
          </cell>
          <cell r="H5076" t="str">
            <v>pediatria</v>
          </cell>
          <cell r="J5076" t="str">
            <v>bueno</v>
          </cell>
          <cell r="K5076" t="str">
            <v>probsi</v>
          </cell>
        </row>
        <row r="5077">
          <cell r="B5077" t="b">
            <v>1</v>
          </cell>
          <cell r="E5077" t="str">
            <v>Bayunca</v>
          </cell>
          <cell r="H5077" t="str">
            <v>pediatria</v>
          </cell>
          <cell r="J5077" t="str">
            <v>bueno</v>
          </cell>
          <cell r="K5077" t="str">
            <v>probsi</v>
          </cell>
        </row>
        <row r="5078">
          <cell r="B5078" t="b">
            <v>1</v>
          </cell>
          <cell r="E5078" t="str">
            <v>Bayunca</v>
          </cell>
          <cell r="H5078" t="str">
            <v>pediatria</v>
          </cell>
          <cell r="J5078" t="str">
            <v>bueno</v>
          </cell>
          <cell r="K5078" t="str">
            <v>probsi</v>
          </cell>
        </row>
        <row r="5079">
          <cell r="B5079" t="b">
            <v>0</v>
          </cell>
          <cell r="E5079" t="str">
            <v>Bayunca</v>
          </cell>
          <cell r="H5079" t="str">
            <v>urgencia</v>
          </cell>
          <cell r="J5079" t="str">
            <v>regular</v>
          </cell>
          <cell r="K5079" t="str">
            <v>probsi</v>
          </cell>
        </row>
        <row r="5080">
          <cell r="B5080" t="b">
            <v>0</v>
          </cell>
          <cell r="E5080" t="str">
            <v>Bayunca</v>
          </cell>
          <cell r="H5080" t="str">
            <v>urgencia</v>
          </cell>
          <cell r="J5080" t="str">
            <v>regular</v>
          </cell>
          <cell r="K5080" t="str">
            <v>probsi</v>
          </cell>
        </row>
        <row r="5081">
          <cell r="B5081" t="b">
            <v>0</v>
          </cell>
          <cell r="E5081" t="str">
            <v>Bayunca</v>
          </cell>
          <cell r="H5081" t="str">
            <v>urgencia</v>
          </cell>
          <cell r="J5081" t="str">
            <v>regular</v>
          </cell>
          <cell r="K5081" t="str">
            <v>probsi</v>
          </cell>
        </row>
        <row r="5082">
          <cell r="B5082" t="b">
            <v>1</v>
          </cell>
          <cell r="E5082" t="str">
            <v>Bayunca</v>
          </cell>
          <cell r="H5082" t="str">
            <v>urgencia</v>
          </cell>
          <cell r="J5082" t="str">
            <v>bueno</v>
          </cell>
          <cell r="K5082" t="str">
            <v>probsi</v>
          </cell>
        </row>
        <row r="5083">
          <cell r="B5083" t="b">
            <v>1</v>
          </cell>
          <cell r="E5083" t="str">
            <v>Bayunca</v>
          </cell>
          <cell r="H5083" t="str">
            <v>urgencia</v>
          </cell>
          <cell r="J5083" t="str">
            <v>bueno</v>
          </cell>
          <cell r="K5083" t="str">
            <v>probsi</v>
          </cell>
        </row>
        <row r="5084">
          <cell r="B5084" t="b">
            <v>1</v>
          </cell>
          <cell r="E5084" t="str">
            <v>Los Cerros</v>
          </cell>
          <cell r="H5084" t="str">
            <v>consulta_externa</v>
          </cell>
          <cell r="J5084" t="str">
            <v>bueno</v>
          </cell>
          <cell r="K5084" t="str">
            <v>defsi</v>
          </cell>
        </row>
        <row r="5085">
          <cell r="B5085" t="b">
            <v>1</v>
          </cell>
          <cell r="E5085" t="str">
            <v>Los Cerros</v>
          </cell>
          <cell r="H5085" t="str">
            <v>laboratorio</v>
          </cell>
          <cell r="J5085" t="str">
            <v>bueno</v>
          </cell>
          <cell r="K5085" t="str">
            <v>defsi</v>
          </cell>
        </row>
        <row r="5086">
          <cell r="B5086" t="b">
            <v>1</v>
          </cell>
          <cell r="E5086" t="str">
            <v>Los Cerros</v>
          </cell>
          <cell r="H5086" t="str">
            <v>laboratorio</v>
          </cell>
          <cell r="J5086" t="str">
            <v>bueno</v>
          </cell>
          <cell r="K5086" t="str">
            <v>defsi</v>
          </cell>
        </row>
        <row r="5087">
          <cell r="B5087" t="b">
            <v>1</v>
          </cell>
          <cell r="E5087" t="str">
            <v>Nuevo Porvenir</v>
          </cell>
          <cell r="H5087" t="str">
            <v>salud_oral</v>
          </cell>
          <cell r="J5087" t="str">
            <v>bueno</v>
          </cell>
          <cell r="K5087" t="str">
            <v>defsi</v>
          </cell>
        </row>
        <row r="5088">
          <cell r="B5088" t="b">
            <v>1</v>
          </cell>
          <cell r="E5088" t="str">
            <v>Los Cerros</v>
          </cell>
          <cell r="H5088" t="str">
            <v>medicina_interna</v>
          </cell>
          <cell r="J5088" t="str">
            <v>bueno</v>
          </cell>
          <cell r="K5088" t="str">
            <v>defsi</v>
          </cell>
        </row>
        <row r="5089">
          <cell r="B5089" t="b">
            <v>1</v>
          </cell>
          <cell r="E5089" t="str">
            <v>Nuevo Porvenir</v>
          </cell>
          <cell r="H5089" t="str">
            <v>salud_oral</v>
          </cell>
          <cell r="J5089" t="str">
            <v>bueno</v>
          </cell>
          <cell r="K5089" t="str">
            <v>defsi</v>
          </cell>
        </row>
        <row r="5090">
          <cell r="B5090" t="b">
            <v>1</v>
          </cell>
          <cell r="E5090" t="str">
            <v>Nuevo Porvenir</v>
          </cell>
          <cell r="H5090" t="str">
            <v>consulta_externa</v>
          </cell>
          <cell r="J5090" t="str">
            <v>bueno</v>
          </cell>
          <cell r="K5090" t="str">
            <v>defsi</v>
          </cell>
        </row>
        <row r="5091">
          <cell r="B5091" t="b">
            <v>1</v>
          </cell>
          <cell r="E5091" t="str">
            <v>Nuevo Porvenir</v>
          </cell>
          <cell r="H5091" t="str">
            <v>consulta_externa</v>
          </cell>
          <cell r="J5091" t="str">
            <v>bueno</v>
          </cell>
          <cell r="K5091" t="str">
            <v>defsi</v>
          </cell>
        </row>
        <row r="5092">
          <cell r="B5092" t="b">
            <v>1</v>
          </cell>
          <cell r="E5092" t="str">
            <v>Nuevo Porvenir</v>
          </cell>
          <cell r="H5092" t="str">
            <v>consulta_externa</v>
          </cell>
          <cell r="J5092" t="str">
            <v>bueno</v>
          </cell>
          <cell r="K5092" t="str">
            <v>defsi</v>
          </cell>
        </row>
        <row r="5093">
          <cell r="B5093" t="b">
            <v>1</v>
          </cell>
          <cell r="E5093" t="str">
            <v>Los Cerros</v>
          </cell>
          <cell r="H5093" t="str">
            <v>consulta_externa</v>
          </cell>
          <cell r="J5093" t="str">
            <v>bueno</v>
          </cell>
          <cell r="K5093" t="str">
            <v>defsi</v>
          </cell>
        </row>
        <row r="5094">
          <cell r="B5094" t="b">
            <v>1</v>
          </cell>
          <cell r="E5094" t="str">
            <v>Los Cerros</v>
          </cell>
          <cell r="H5094" t="str">
            <v>salud_oral</v>
          </cell>
          <cell r="J5094" t="str">
            <v>bueno</v>
          </cell>
          <cell r="K5094" t="str">
            <v>defsi</v>
          </cell>
        </row>
        <row r="5095">
          <cell r="B5095" t="b">
            <v>1</v>
          </cell>
          <cell r="E5095" t="str">
            <v>Los Cerros</v>
          </cell>
          <cell r="H5095" t="str">
            <v>laboratorio</v>
          </cell>
          <cell r="J5095" t="str">
            <v>bueno</v>
          </cell>
          <cell r="K5095" t="str">
            <v>defsi</v>
          </cell>
        </row>
        <row r="5096">
          <cell r="B5096" t="b">
            <v>1</v>
          </cell>
          <cell r="E5096" t="str">
            <v>Canapote</v>
          </cell>
          <cell r="H5096" t="str">
            <v>consulta_externa</v>
          </cell>
          <cell r="J5096" t="str">
            <v>bueno</v>
          </cell>
          <cell r="K5096" t="str">
            <v>probsi</v>
          </cell>
        </row>
        <row r="5097">
          <cell r="B5097" t="b">
            <v>1</v>
          </cell>
          <cell r="E5097" t="str">
            <v>Canapote</v>
          </cell>
          <cell r="H5097" t="str">
            <v>consulta_externa</v>
          </cell>
          <cell r="J5097" t="str">
            <v>bueno</v>
          </cell>
          <cell r="K5097" t="str">
            <v>probsi</v>
          </cell>
        </row>
        <row r="5098">
          <cell r="B5098" t="b">
            <v>1</v>
          </cell>
          <cell r="E5098" t="str">
            <v>Canapote</v>
          </cell>
          <cell r="H5098" t="str">
            <v>consulta_externa</v>
          </cell>
          <cell r="J5098" t="str">
            <v>bueno</v>
          </cell>
          <cell r="K5098" t="str">
            <v>probsi</v>
          </cell>
        </row>
        <row r="5099">
          <cell r="B5099" t="b">
            <v>1</v>
          </cell>
          <cell r="E5099" t="str">
            <v>Canapote</v>
          </cell>
          <cell r="H5099" t="str">
            <v>laboratorio</v>
          </cell>
          <cell r="J5099" t="str">
            <v>bueno</v>
          </cell>
          <cell r="K5099" t="str">
            <v>probsi</v>
          </cell>
        </row>
        <row r="5100">
          <cell r="B5100" t="b">
            <v>1</v>
          </cell>
          <cell r="E5100" t="str">
            <v>Canapote</v>
          </cell>
          <cell r="H5100" t="str">
            <v>laboratorio</v>
          </cell>
          <cell r="J5100" t="str">
            <v>bueno</v>
          </cell>
          <cell r="K5100" t="str">
            <v>probsi</v>
          </cell>
        </row>
        <row r="5101">
          <cell r="B5101" t="b">
            <v>1</v>
          </cell>
          <cell r="E5101" t="str">
            <v>Canapote</v>
          </cell>
          <cell r="H5101" t="str">
            <v>laboratorio</v>
          </cell>
          <cell r="J5101" t="str">
            <v>bueno</v>
          </cell>
          <cell r="K5101" t="str">
            <v>probsi</v>
          </cell>
        </row>
        <row r="5102">
          <cell r="B5102" t="b">
            <v>1</v>
          </cell>
          <cell r="E5102" t="str">
            <v>Canapote</v>
          </cell>
          <cell r="H5102" t="str">
            <v>laboratorio</v>
          </cell>
          <cell r="J5102" t="str">
            <v>bueno</v>
          </cell>
          <cell r="K5102" t="str">
            <v>probsi</v>
          </cell>
        </row>
        <row r="5103">
          <cell r="B5103" t="b">
            <v>1</v>
          </cell>
          <cell r="E5103" t="str">
            <v>Canapote</v>
          </cell>
          <cell r="H5103" t="str">
            <v>laboratorio</v>
          </cell>
          <cell r="J5103" t="str">
            <v>bueno</v>
          </cell>
          <cell r="K5103" t="str">
            <v>probsi</v>
          </cell>
        </row>
        <row r="5104">
          <cell r="B5104" t="b">
            <v>1</v>
          </cell>
          <cell r="E5104" t="str">
            <v>Canapote</v>
          </cell>
          <cell r="H5104" t="str">
            <v>laboratorio</v>
          </cell>
          <cell r="J5104" t="str">
            <v>bueno</v>
          </cell>
          <cell r="K5104" t="str">
            <v>probsi</v>
          </cell>
        </row>
        <row r="5105">
          <cell r="B5105" t="b">
            <v>1</v>
          </cell>
          <cell r="E5105" t="str">
            <v>Canapote</v>
          </cell>
          <cell r="H5105" t="str">
            <v>consulta_externa</v>
          </cell>
          <cell r="J5105" t="str">
            <v>bueno</v>
          </cell>
          <cell r="K5105" t="str">
            <v>probsi</v>
          </cell>
        </row>
        <row r="5106">
          <cell r="B5106" t="b">
            <v>1</v>
          </cell>
          <cell r="E5106" t="str">
            <v>Canapote</v>
          </cell>
          <cell r="H5106" t="str">
            <v>consulta_externa</v>
          </cell>
          <cell r="J5106" t="str">
            <v>bueno</v>
          </cell>
          <cell r="K5106" t="str">
            <v>probsi</v>
          </cell>
        </row>
        <row r="5107">
          <cell r="B5107" t="b">
            <v>1</v>
          </cell>
          <cell r="E5107" t="str">
            <v>Canapote</v>
          </cell>
          <cell r="H5107" t="str">
            <v>consulta_externa</v>
          </cell>
          <cell r="J5107" t="str">
            <v>bueno</v>
          </cell>
          <cell r="K5107" t="str">
            <v>probsi</v>
          </cell>
        </row>
        <row r="5108">
          <cell r="B5108" t="b">
            <v>1</v>
          </cell>
          <cell r="E5108" t="str">
            <v>Canapote</v>
          </cell>
          <cell r="H5108" t="str">
            <v>consulta_externa</v>
          </cell>
          <cell r="J5108" t="str">
            <v>bueno</v>
          </cell>
          <cell r="K5108" t="str">
            <v>probsi</v>
          </cell>
        </row>
        <row r="5109">
          <cell r="B5109" t="b">
            <v>1</v>
          </cell>
          <cell r="E5109" t="str">
            <v>Canapote</v>
          </cell>
          <cell r="H5109" t="str">
            <v>consulta_externa</v>
          </cell>
          <cell r="J5109" t="str">
            <v>bueno</v>
          </cell>
          <cell r="K5109" t="str">
            <v>probsi</v>
          </cell>
        </row>
        <row r="5110">
          <cell r="B5110" t="b">
            <v>1</v>
          </cell>
          <cell r="E5110" t="str">
            <v>Canapote</v>
          </cell>
          <cell r="H5110" t="str">
            <v>consulta_externa</v>
          </cell>
          <cell r="J5110" t="str">
            <v>bueno</v>
          </cell>
          <cell r="K5110" t="str">
            <v>probsi</v>
          </cell>
        </row>
        <row r="5111">
          <cell r="B5111" t="b">
            <v>1</v>
          </cell>
          <cell r="E5111" t="str">
            <v>Canapote</v>
          </cell>
          <cell r="H5111" t="str">
            <v>consulta_externa</v>
          </cell>
          <cell r="J5111" t="str">
            <v>bueno</v>
          </cell>
          <cell r="K5111" t="str">
            <v>probsi</v>
          </cell>
        </row>
        <row r="5112">
          <cell r="B5112" t="b">
            <v>1</v>
          </cell>
          <cell r="E5112" t="str">
            <v>Canapote</v>
          </cell>
          <cell r="H5112" t="str">
            <v>consulta_externa</v>
          </cell>
          <cell r="J5112" t="str">
            <v>bueno</v>
          </cell>
          <cell r="K5112" t="str">
            <v>probsi</v>
          </cell>
        </row>
        <row r="5113">
          <cell r="B5113" t="b">
            <v>1</v>
          </cell>
          <cell r="E5113" t="str">
            <v>Canapote</v>
          </cell>
          <cell r="H5113" t="str">
            <v>consulta_externa</v>
          </cell>
          <cell r="J5113" t="str">
            <v>bueno</v>
          </cell>
          <cell r="K5113" t="str">
            <v>probsi</v>
          </cell>
        </row>
        <row r="5114">
          <cell r="B5114" t="b">
            <v>1</v>
          </cell>
          <cell r="E5114" t="str">
            <v>Canapote</v>
          </cell>
          <cell r="H5114" t="str">
            <v>consulta_externa</v>
          </cell>
          <cell r="J5114" t="str">
            <v>bueno</v>
          </cell>
          <cell r="K5114" t="str">
            <v>probsi</v>
          </cell>
        </row>
        <row r="5115">
          <cell r="B5115" t="b">
            <v>1</v>
          </cell>
          <cell r="E5115" t="str">
            <v>Canapote</v>
          </cell>
          <cell r="H5115" t="str">
            <v>consulta_externa</v>
          </cell>
          <cell r="J5115" t="str">
            <v>bueno</v>
          </cell>
          <cell r="K5115" t="str">
            <v>probsi</v>
          </cell>
        </row>
        <row r="5116">
          <cell r="B5116" t="b">
            <v>1</v>
          </cell>
          <cell r="E5116" t="str">
            <v>Canapote</v>
          </cell>
          <cell r="H5116" t="str">
            <v>laboratorio</v>
          </cell>
          <cell r="J5116" t="str">
            <v>bueno</v>
          </cell>
          <cell r="K5116" t="str">
            <v>probsi</v>
          </cell>
        </row>
        <row r="5117">
          <cell r="B5117" t="b">
            <v>1</v>
          </cell>
          <cell r="E5117" t="str">
            <v>Canapote</v>
          </cell>
          <cell r="H5117" t="str">
            <v>laboratorio</v>
          </cell>
          <cell r="J5117" t="str">
            <v>bueno</v>
          </cell>
          <cell r="K5117" t="str">
            <v>probsi</v>
          </cell>
        </row>
        <row r="5118">
          <cell r="B5118" t="b">
            <v>1</v>
          </cell>
          <cell r="E5118" t="str">
            <v>Canapote</v>
          </cell>
          <cell r="H5118" t="str">
            <v>laboratorio</v>
          </cell>
          <cell r="J5118" t="str">
            <v>bueno</v>
          </cell>
          <cell r="K5118" t="str">
            <v>probsi</v>
          </cell>
        </row>
        <row r="5119">
          <cell r="B5119" t="b">
            <v>1</v>
          </cell>
          <cell r="E5119" t="str">
            <v>Canapote</v>
          </cell>
          <cell r="H5119" t="str">
            <v>laboratorio</v>
          </cell>
          <cell r="J5119" t="str">
            <v>bueno</v>
          </cell>
          <cell r="K5119" t="str">
            <v>probsi</v>
          </cell>
        </row>
        <row r="5120">
          <cell r="B5120" t="b">
            <v>1</v>
          </cell>
          <cell r="E5120" t="str">
            <v>Canapote</v>
          </cell>
          <cell r="H5120" t="str">
            <v>laboratorio</v>
          </cell>
          <cell r="J5120" t="str">
            <v>bueno</v>
          </cell>
          <cell r="K5120" t="str">
            <v>probsi</v>
          </cell>
        </row>
        <row r="5121">
          <cell r="B5121" t="b">
            <v>1</v>
          </cell>
          <cell r="E5121" t="str">
            <v>Canapote</v>
          </cell>
          <cell r="H5121" t="str">
            <v>laboratorio</v>
          </cell>
          <cell r="J5121" t="str">
            <v>bueno</v>
          </cell>
          <cell r="K5121" t="str">
            <v>probsi</v>
          </cell>
        </row>
        <row r="5122">
          <cell r="B5122" t="b">
            <v>1</v>
          </cell>
          <cell r="E5122" t="str">
            <v>Canapote</v>
          </cell>
          <cell r="H5122" t="str">
            <v>consulta_externa</v>
          </cell>
          <cell r="J5122" t="str">
            <v>bueno</v>
          </cell>
          <cell r="K5122" t="str">
            <v>probsi</v>
          </cell>
        </row>
        <row r="5123">
          <cell r="B5123" t="b">
            <v>1</v>
          </cell>
          <cell r="E5123" t="str">
            <v>Canapote</v>
          </cell>
          <cell r="H5123" t="str">
            <v>consulta_externa</v>
          </cell>
          <cell r="J5123" t="str">
            <v>bueno</v>
          </cell>
          <cell r="K5123" t="str">
            <v>probsi</v>
          </cell>
        </row>
        <row r="5124">
          <cell r="B5124" t="b">
            <v>1</v>
          </cell>
          <cell r="E5124" t="str">
            <v>Canapote</v>
          </cell>
          <cell r="H5124" t="str">
            <v>consulta_externa</v>
          </cell>
          <cell r="J5124" t="str">
            <v>bueno</v>
          </cell>
          <cell r="K5124" t="str">
            <v>probsi</v>
          </cell>
        </row>
        <row r="5125">
          <cell r="B5125" t="b">
            <v>1</v>
          </cell>
          <cell r="E5125" t="str">
            <v>Canapote</v>
          </cell>
          <cell r="H5125" t="str">
            <v>consulta_externa</v>
          </cell>
          <cell r="J5125" t="str">
            <v>bueno</v>
          </cell>
          <cell r="K5125" t="str">
            <v>probsi</v>
          </cell>
        </row>
        <row r="5126">
          <cell r="B5126" t="b">
            <v>1</v>
          </cell>
          <cell r="E5126" t="str">
            <v>Canapote</v>
          </cell>
          <cell r="H5126" t="str">
            <v>consulta_externa</v>
          </cell>
          <cell r="J5126" t="str">
            <v>bueno</v>
          </cell>
          <cell r="K5126" t="str">
            <v>probsi</v>
          </cell>
        </row>
        <row r="5127">
          <cell r="B5127" t="b">
            <v>1</v>
          </cell>
          <cell r="E5127" t="str">
            <v>Canapote</v>
          </cell>
          <cell r="H5127" t="str">
            <v>consulta_externa</v>
          </cell>
          <cell r="J5127" t="str">
            <v>bueno</v>
          </cell>
          <cell r="K5127" t="str">
            <v>probsi</v>
          </cell>
        </row>
        <row r="5128">
          <cell r="B5128" t="b">
            <v>1</v>
          </cell>
          <cell r="E5128" t="str">
            <v>Canapote</v>
          </cell>
          <cell r="H5128" t="str">
            <v>salud_oral</v>
          </cell>
          <cell r="J5128" t="str">
            <v>bueno</v>
          </cell>
          <cell r="K5128" t="str">
            <v>probsi</v>
          </cell>
        </row>
        <row r="5129">
          <cell r="B5129" t="b">
            <v>1</v>
          </cell>
          <cell r="E5129" t="str">
            <v>Canapote</v>
          </cell>
          <cell r="H5129" t="str">
            <v>salud_oral</v>
          </cell>
          <cell r="J5129" t="str">
            <v>bueno</v>
          </cell>
          <cell r="K5129" t="str">
            <v>probsi</v>
          </cell>
        </row>
        <row r="5130">
          <cell r="B5130" t="b">
            <v>1</v>
          </cell>
          <cell r="E5130" t="str">
            <v>Canapote</v>
          </cell>
          <cell r="H5130" t="str">
            <v>salud_oral</v>
          </cell>
          <cell r="J5130" t="str">
            <v>bueno</v>
          </cell>
          <cell r="K5130" t="str">
            <v>probsi</v>
          </cell>
        </row>
        <row r="5131">
          <cell r="B5131" t="b">
            <v>1</v>
          </cell>
          <cell r="E5131" t="str">
            <v>Canapote</v>
          </cell>
          <cell r="H5131" t="str">
            <v>salud_oral</v>
          </cell>
          <cell r="J5131" t="str">
            <v>bueno</v>
          </cell>
          <cell r="K5131" t="str">
            <v>probsi</v>
          </cell>
        </row>
        <row r="5132">
          <cell r="B5132" t="b">
            <v>1</v>
          </cell>
          <cell r="E5132" t="str">
            <v>Canapote</v>
          </cell>
          <cell r="H5132" t="str">
            <v>laboratorio</v>
          </cell>
          <cell r="J5132" t="str">
            <v>bueno</v>
          </cell>
          <cell r="K5132" t="str">
            <v>probsi</v>
          </cell>
        </row>
        <row r="5133">
          <cell r="B5133" t="b">
            <v>1</v>
          </cell>
          <cell r="E5133" t="str">
            <v>Canapote</v>
          </cell>
          <cell r="H5133" t="str">
            <v>laboratorio</v>
          </cell>
          <cell r="J5133" t="str">
            <v>bueno</v>
          </cell>
          <cell r="K5133" t="str">
            <v>probsi</v>
          </cell>
        </row>
        <row r="5134">
          <cell r="B5134" t="b">
            <v>1</v>
          </cell>
          <cell r="E5134" t="str">
            <v>Canapote</v>
          </cell>
          <cell r="H5134" t="str">
            <v>laboratorio</v>
          </cell>
          <cell r="J5134" t="str">
            <v>bueno</v>
          </cell>
          <cell r="K5134" t="str">
            <v>probsi</v>
          </cell>
        </row>
        <row r="5135">
          <cell r="B5135" t="b">
            <v>1</v>
          </cell>
          <cell r="E5135" t="str">
            <v>Los Cerros</v>
          </cell>
          <cell r="H5135" t="str">
            <v>consulta_externa</v>
          </cell>
          <cell r="J5135" t="str">
            <v>bueno</v>
          </cell>
          <cell r="K5135" t="str">
            <v>defsi</v>
          </cell>
        </row>
        <row r="5136">
          <cell r="B5136" t="b">
            <v>1</v>
          </cell>
          <cell r="E5136" t="str">
            <v>Los Cerros</v>
          </cell>
          <cell r="H5136" t="str">
            <v>salud_oral</v>
          </cell>
          <cell r="J5136" t="str">
            <v>bueno</v>
          </cell>
          <cell r="K5136" t="str">
            <v>defsi</v>
          </cell>
        </row>
        <row r="5137">
          <cell r="B5137" t="b">
            <v>1</v>
          </cell>
          <cell r="E5137" t="str">
            <v>Los Cerros</v>
          </cell>
          <cell r="H5137" t="str">
            <v>laboratorio</v>
          </cell>
          <cell r="J5137" t="str">
            <v>bueno</v>
          </cell>
          <cell r="K5137" t="str">
            <v>defsi</v>
          </cell>
        </row>
        <row r="5138">
          <cell r="B5138" t="b">
            <v>1</v>
          </cell>
          <cell r="E5138" t="str">
            <v>Nuevo Porvenir</v>
          </cell>
          <cell r="H5138" t="str">
            <v>laboratorio</v>
          </cell>
          <cell r="J5138" t="str">
            <v>bueno</v>
          </cell>
          <cell r="K5138" t="str">
            <v>defsi</v>
          </cell>
        </row>
        <row r="5139">
          <cell r="B5139" t="b">
            <v>1</v>
          </cell>
          <cell r="E5139" t="str">
            <v>Nuevo Porvenir</v>
          </cell>
          <cell r="H5139" t="str">
            <v>laboratorio</v>
          </cell>
          <cell r="J5139" t="str">
            <v>bueno</v>
          </cell>
          <cell r="K5139" t="str">
            <v>defsi</v>
          </cell>
        </row>
        <row r="5140">
          <cell r="B5140" t="b">
            <v>1</v>
          </cell>
          <cell r="E5140" t="str">
            <v>Nuevo Porvenir</v>
          </cell>
          <cell r="H5140" t="str">
            <v>laboratorio</v>
          </cell>
          <cell r="J5140" t="str">
            <v>muybueno</v>
          </cell>
          <cell r="K5140" t="str">
            <v>defsi</v>
          </cell>
        </row>
        <row r="5141">
          <cell r="B5141" t="b">
            <v>1</v>
          </cell>
          <cell r="E5141" t="str">
            <v>Nuevo Porvenir</v>
          </cell>
          <cell r="H5141" t="str">
            <v>laboratorio</v>
          </cell>
          <cell r="J5141" t="str">
            <v>bueno</v>
          </cell>
          <cell r="K5141" t="str">
            <v>defsi</v>
          </cell>
        </row>
        <row r="5142">
          <cell r="B5142" t="b">
            <v>1</v>
          </cell>
          <cell r="E5142" t="str">
            <v>Nuevo Porvenir</v>
          </cell>
          <cell r="H5142" t="str">
            <v>laboratorio</v>
          </cell>
          <cell r="J5142" t="str">
            <v>bueno</v>
          </cell>
          <cell r="K5142" t="str">
            <v>defsi</v>
          </cell>
        </row>
        <row r="5143">
          <cell r="B5143" t="b">
            <v>1</v>
          </cell>
          <cell r="E5143" t="str">
            <v>Nuevo Porvenir</v>
          </cell>
          <cell r="H5143" t="str">
            <v>laboratorio</v>
          </cell>
          <cell r="J5143" t="str">
            <v>bueno</v>
          </cell>
          <cell r="K5143" t="str">
            <v>defsi</v>
          </cell>
        </row>
        <row r="5144">
          <cell r="B5144" t="b">
            <v>1</v>
          </cell>
          <cell r="E5144" t="str">
            <v>Nuevo Porvenir</v>
          </cell>
          <cell r="H5144" t="str">
            <v>laboratorio</v>
          </cell>
          <cell r="J5144" t="str">
            <v>bueno</v>
          </cell>
          <cell r="K5144" t="str">
            <v>defsi</v>
          </cell>
        </row>
        <row r="5145">
          <cell r="B5145" t="b">
            <v>1</v>
          </cell>
          <cell r="E5145" t="str">
            <v>Nuevo Porvenir</v>
          </cell>
          <cell r="H5145" t="str">
            <v>consulta_externa</v>
          </cell>
          <cell r="J5145" t="str">
            <v>bueno</v>
          </cell>
          <cell r="K5145" t="str">
            <v>defsi</v>
          </cell>
        </row>
        <row r="5146">
          <cell r="B5146" t="b">
            <v>1</v>
          </cell>
          <cell r="E5146" t="str">
            <v>Fredonia</v>
          </cell>
          <cell r="H5146" t="str">
            <v>consulta_externa</v>
          </cell>
          <cell r="J5146" t="str">
            <v>bueno</v>
          </cell>
          <cell r="K5146" t="str">
            <v>defsi</v>
          </cell>
        </row>
        <row r="5147">
          <cell r="B5147" t="b">
            <v>1</v>
          </cell>
          <cell r="E5147" t="str">
            <v>Fredonia</v>
          </cell>
          <cell r="H5147" t="str">
            <v>laboratorio</v>
          </cell>
          <cell r="J5147" t="str">
            <v>bueno</v>
          </cell>
          <cell r="K5147" t="str">
            <v>defsi</v>
          </cell>
        </row>
        <row r="5148">
          <cell r="B5148" t="b">
            <v>1</v>
          </cell>
          <cell r="E5148" t="str">
            <v>Fredonia</v>
          </cell>
          <cell r="H5148" t="str">
            <v>consulta_externa</v>
          </cell>
          <cell r="J5148" t="str">
            <v>bueno</v>
          </cell>
          <cell r="K5148" t="str">
            <v>defsi</v>
          </cell>
        </row>
        <row r="5149">
          <cell r="B5149" t="b">
            <v>1</v>
          </cell>
          <cell r="E5149" t="str">
            <v>Fredonia</v>
          </cell>
          <cell r="H5149" t="str">
            <v>laboratorio</v>
          </cell>
          <cell r="J5149" t="str">
            <v>bueno</v>
          </cell>
          <cell r="K5149" t="str">
            <v>defsi</v>
          </cell>
        </row>
        <row r="5150">
          <cell r="B5150" t="b">
            <v>1</v>
          </cell>
          <cell r="E5150" t="str">
            <v>Fredonia</v>
          </cell>
          <cell r="H5150" t="str">
            <v>consulta_externa</v>
          </cell>
          <cell r="J5150" t="str">
            <v>bueno</v>
          </cell>
          <cell r="K5150" t="str">
            <v>defsi</v>
          </cell>
        </row>
        <row r="5151">
          <cell r="B5151" t="b">
            <v>1</v>
          </cell>
          <cell r="E5151" t="str">
            <v>Fredonia</v>
          </cell>
          <cell r="H5151" t="str">
            <v>consulta_externa</v>
          </cell>
          <cell r="J5151" t="str">
            <v>bueno</v>
          </cell>
          <cell r="K5151" t="str">
            <v>defsi</v>
          </cell>
        </row>
        <row r="5152">
          <cell r="B5152" t="b">
            <v>1</v>
          </cell>
          <cell r="E5152" t="str">
            <v>Fredonia</v>
          </cell>
          <cell r="H5152" t="str">
            <v>laboratorio</v>
          </cell>
          <cell r="J5152" t="str">
            <v>bueno</v>
          </cell>
          <cell r="K5152" t="str">
            <v>defsi</v>
          </cell>
        </row>
        <row r="5153">
          <cell r="B5153" t="b">
            <v>1</v>
          </cell>
          <cell r="E5153" t="str">
            <v>Fredonia</v>
          </cell>
          <cell r="H5153" t="str">
            <v>salud_oral</v>
          </cell>
          <cell r="J5153" t="str">
            <v>bueno</v>
          </cell>
          <cell r="K5153" t="str">
            <v>defsi</v>
          </cell>
        </row>
        <row r="5154">
          <cell r="B5154" t="b">
            <v>1</v>
          </cell>
          <cell r="E5154" t="str">
            <v>Fredonia</v>
          </cell>
          <cell r="H5154" t="str">
            <v>salud_oral</v>
          </cell>
          <cell r="J5154" t="str">
            <v>bueno</v>
          </cell>
          <cell r="K5154" t="str">
            <v>defsi</v>
          </cell>
        </row>
        <row r="5155">
          <cell r="B5155" t="b">
            <v>1</v>
          </cell>
          <cell r="E5155" t="str">
            <v>Fredonia</v>
          </cell>
          <cell r="H5155" t="str">
            <v>laboratorio</v>
          </cell>
          <cell r="J5155" t="str">
            <v>bueno</v>
          </cell>
          <cell r="K5155" t="str">
            <v>defsi</v>
          </cell>
        </row>
        <row r="5156">
          <cell r="B5156" t="b">
            <v>1</v>
          </cell>
          <cell r="E5156" t="str">
            <v>Pontezuela</v>
          </cell>
          <cell r="H5156" t="str">
            <v>consulta_externa</v>
          </cell>
          <cell r="J5156" t="str">
            <v>bueno</v>
          </cell>
          <cell r="K5156" t="str">
            <v>probsi</v>
          </cell>
        </row>
        <row r="5157">
          <cell r="B5157" t="b">
            <v>1</v>
          </cell>
          <cell r="E5157" t="str">
            <v>Pontezuela</v>
          </cell>
          <cell r="H5157" t="str">
            <v>consulta_externa</v>
          </cell>
          <cell r="J5157" t="str">
            <v>bueno</v>
          </cell>
          <cell r="K5157" t="str">
            <v>probsi</v>
          </cell>
        </row>
        <row r="5158">
          <cell r="B5158" t="b">
            <v>1</v>
          </cell>
          <cell r="E5158" t="str">
            <v>Pontezuela</v>
          </cell>
          <cell r="H5158" t="str">
            <v>consulta_externa</v>
          </cell>
          <cell r="J5158" t="str">
            <v>bueno</v>
          </cell>
          <cell r="K5158" t="str">
            <v>probsi</v>
          </cell>
        </row>
        <row r="5159">
          <cell r="B5159" t="b">
            <v>1</v>
          </cell>
          <cell r="E5159" t="str">
            <v>Pontezuela</v>
          </cell>
          <cell r="H5159" t="str">
            <v>consulta_externa</v>
          </cell>
          <cell r="J5159" t="str">
            <v>bueno</v>
          </cell>
          <cell r="K5159" t="str">
            <v>probsi</v>
          </cell>
        </row>
        <row r="5160">
          <cell r="B5160" t="b">
            <v>1</v>
          </cell>
          <cell r="E5160" t="str">
            <v>Pontezuela</v>
          </cell>
          <cell r="H5160" t="str">
            <v>consulta_externa</v>
          </cell>
          <cell r="J5160" t="str">
            <v>bueno</v>
          </cell>
          <cell r="K5160" t="str">
            <v>probsi</v>
          </cell>
        </row>
        <row r="5161">
          <cell r="B5161" t="b">
            <v>1</v>
          </cell>
          <cell r="E5161" t="str">
            <v>Pontezuela</v>
          </cell>
          <cell r="H5161" t="str">
            <v>consulta_externa</v>
          </cell>
          <cell r="J5161" t="str">
            <v>bueno</v>
          </cell>
          <cell r="K5161" t="str">
            <v>probsi</v>
          </cell>
        </row>
        <row r="5162">
          <cell r="B5162" t="b">
            <v>1</v>
          </cell>
          <cell r="E5162" t="str">
            <v>Pontezuela</v>
          </cell>
          <cell r="H5162" t="str">
            <v>consulta_externa</v>
          </cell>
          <cell r="J5162" t="str">
            <v>bueno</v>
          </cell>
          <cell r="K5162" t="str">
            <v>probsi</v>
          </cell>
        </row>
        <row r="5163">
          <cell r="B5163" t="b">
            <v>1</v>
          </cell>
          <cell r="E5163" t="str">
            <v>Pontezuela</v>
          </cell>
          <cell r="H5163" t="str">
            <v>consulta_externa</v>
          </cell>
          <cell r="J5163" t="str">
            <v>bueno</v>
          </cell>
          <cell r="K5163" t="str">
            <v>probsi</v>
          </cell>
        </row>
        <row r="5164">
          <cell r="B5164" t="b">
            <v>1</v>
          </cell>
          <cell r="E5164" t="str">
            <v>Pontezuela</v>
          </cell>
          <cell r="H5164" t="str">
            <v>consulta_externa</v>
          </cell>
          <cell r="J5164" t="str">
            <v>bueno</v>
          </cell>
          <cell r="K5164" t="str">
            <v>probsi</v>
          </cell>
        </row>
        <row r="5165">
          <cell r="B5165" t="b">
            <v>1</v>
          </cell>
          <cell r="E5165" t="str">
            <v>Pontezuela</v>
          </cell>
          <cell r="H5165" t="str">
            <v>consulta_externa</v>
          </cell>
          <cell r="J5165" t="str">
            <v>bueno</v>
          </cell>
          <cell r="K5165" t="str">
            <v>probsi</v>
          </cell>
        </row>
        <row r="5166">
          <cell r="B5166" t="b">
            <v>1</v>
          </cell>
          <cell r="E5166" t="str">
            <v>Pontezuela</v>
          </cell>
          <cell r="H5166" t="str">
            <v>consulta_externa</v>
          </cell>
          <cell r="J5166" t="str">
            <v>bueno</v>
          </cell>
          <cell r="K5166" t="str">
            <v>probsi</v>
          </cell>
        </row>
        <row r="5167">
          <cell r="B5167" t="b">
            <v>1</v>
          </cell>
          <cell r="E5167" t="str">
            <v>Pontezuela</v>
          </cell>
          <cell r="H5167" t="str">
            <v>consulta_externa</v>
          </cell>
          <cell r="J5167" t="str">
            <v>bueno</v>
          </cell>
          <cell r="K5167" t="str">
            <v>probsi</v>
          </cell>
        </row>
        <row r="5168">
          <cell r="B5168" t="b">
            <v>1</v>
          </cell>
          <cell r="E5168" t="str">
            <v>Pontezuela</v>
          </cell>
          <cell r="H5168" t="str">
            <v>salud_oral</v>
          </cell>
          <cell r="J5168" t="str">
            <v>bueno</v>
          </cell>
          <cell r="K5168" t="str">
            <v>probsi</v>
          </cell>
        </row>
        <row r="5169">
          <cell r="B5169" t="b">
            <v>1</v>
          </cell>
          <cell r="E5169" t="str">
            <v>Pontezuela</v>
          </cell>
          <cell r="H5169" t="str">
            <v>salud_oral</v>
          </cell>
          <cell r="J5169" t="str">
            <v>bueno</v>
          </cell>
          <cell r="K5169" t="str">
            <v>probsi</v>
          </cell>
        </row>
        <row r="5170">
          <cell r="B5170" t="b">
            <v>1</v>
          </cell>
          <cell r="E5170" t="str">
            <v>Pontezuela</v>
          </cell>
          <cell r="H5170" t="str">
            <v>salud_oral</v>
          </cell>
          <cell r="J5170" t="str">
            <v>bueno</v>
          </cell>
          <cell r="K5170" t="str">
            <v>probsi</v>
          </cell>
        </row>
        <row r="5171">
          <cell r="B5171" t="b">
            <v>1</v>
          </cell>
          <cell r="E5171" t="str">
            <v>Los Cerros</v>
          </cell>
          <cell r="H5171" t="str">
            <v>consulta_externa</v>
          </cell>
          <cell r="J5171" t="str">
            <v>bueno</v>
          </cell>
          <cell r="K5171" t="str">
            <v>defsi</v>
          </cell>
        </row>
        <row r="5172">
          <cell r="B5172" t="b">
            <v>1</v>
          </cell>
          <cell r="E5172" t="str">
            <v>Pontezuela</v>
          </cell>
          <cell r="H5172" t="str">
            <v>salud_oral</v>
          </cell>
          <cell r="J5172" t="str">
            <v>bueno</v>
          </cell>
          <cell r="K5172" t="str">
            <v>probsi</v>
          </cell>
        </row>
        <row r="5173">
          <cell r="B5173" t="b">
            <v>1</v>
          </cell>
          <cell r="E5173" t="str">
            <v>Pontezuela</v>
          </cell>
          <cell r="H5173" t="str">
            <v>salud_oral</v>
          </cell>
          <cell r="J5173" t="str">
            <v>bueno</v>
          </cell>
          <cell r="K5173" t="str">
            <v>probsi</v>
          </cell>
        </row>
        <row r="5174">
          <cell r="B5174" t="b">
            <v>1</v>
          </cell>
          <cell r="E5174" t="str">
            <v>Los Cerros</v>
          </cell>
          <cell r="H5174" t="str">
            <v>salud_oral</v>
          </cell>
          <cell r="J5174" t="str">
            <v>bueno</v>
          </cell>
          <cell r="K5174" t="str">
            <v>defsi</v>
          </cell>
        </row>
        <row r="5175">
          <cell r="B5175" t="b">
            <v>1</v>
          </cell>
          <cell r="E5175" t="str">
            <v>Pontezuela</v>
          </cell>
          <cell r="H5175" t="str">
            <v>salud_oral</v>
          </cell>
          <cell r="J5175" t="str">
            <v>bueno</v>
          </cell>
          <cell r="K5175" t="str">
            <v>probsi</v>
          </cell>
        </row>
        <row r="5176">
          <cell r="B5176" t="b">
            <v>1</v>
          </cell>
          <cell r="E5176" t="str">
            <v>Pontezuela</v>
          </cell>
          <cell r="H5176" t="str">
            <v>salud_oral</v>
          </cell>
          <cell r="J5176" t="str">
            <v>bueno</v>
          </cell>
          <cell r="K5176" t="str">
            <v>probsi</v>
          </cell>
        </row>
        <row r="5177">
          <cell r="B5177" t="b">
            <v>1</v>
          </cell>
          <cell r="E5177" t="str">
            <v>Fredonia</v>
          </cell>
          <cell r="H5177" t="str">
            <v>salud_oral</v>
          </cell>
          <cell r="J5177" t="str">
            <v>bueno</v>
          </cell>
          <cell r="K5177" t="str">
            <v>defsi</v>
          </cell>
        </row>
        <row r="5178">
          <cell r="B5178" t="b">
            <v>1</v>
          </cell>
          <cell r="E5178" t="str">
            <v>Fredonia</v>
          </cell>
          <cell r="H5178" t="str">
            <v>salud_oral</v>
          </cell>
          <cell r="J5178" t="str">
            <v>bueno</v>
          </cell>
          <cell r="K5178" t="str">
            <v>defsi</v>
          </cell>
        </row>
        <row r="5179">
          <cell r="B5179" t="b">
            <v>1</v>
          </cell>
          <cell r="E5179" t="str">
            <v>Los Cerros</v>
          </cell>
          <cell r="H5179" t="str">
            <v>laboratorio</v>
          </cell>
          <cell r="J5179" t="str">
            <v>bueno</v>
          </cell>
          <cell r="K5179" t="str">
            <v>defsi</v>
          </cell>
        </row>
        <row r="5180">
          <cell r="B5180" t="b">
            <v>1</v>
          </cell>
          <cell r="E5180" t="str">
            <v>Fredonia</v>
          </cell>
          <cell r="H5180" t="str">
            <v>salud_oral</v>
          </cell>
          <cell r="J5180" t="str">
            <v>bueno</v>
          </cell>
          <cell r="K5180" t="str">
            <v>defsi</v>
          </cell>
        </row>
        <row r="5181">
          <cell r="B5181" t="b">
            <v>1</v>
          </cell>
          <cell r="E5181" t="str">
            <v>Los Cerros</v>
          </cell>
          <cell r="H5181" t="str">
            <v>consulta_externa</v>
          </cell>
          <cell r="J5181" t="str">
            <v>bueno</v>
          </cell>
          <cell r="K5181" t="str">
            <v>defsi</v>
          </cell>
        </row>
        <row r="5182">
          <cell r="B5182" t="b">
            <v>1</v>
          </cell>
          <cell r="E5182" t="str">
            <v>Fredonia</v>
          </cell>
          <cell r="H5182" t="str">
            <v>laboratorio</v>
          </cell>
          <cell r="J5182" t="str">
            <v>muybueno</v>
          </cell>
          <cell r="K5182" t="str">
            <v>defsi</v>
          </cell>
        </row>
        <row r="5183">
          <cell r="B5183" t="b">
            <v>1</v>
          </cell>
          <cell r="E5183" t="str">
            <v>Fredonia</v>
          </cell>
          <cell r="H5183" t="str">
            <v>laboratorio</v>
          </cell>
          <cell r="J5183" t="str">
            <v>muybueno</v>
          </cell>
          <cell r="K5183" t="str">
            <v>defsi</v>
          </cell>
        </row>
        <row r="5184">
          <cell r="B5184" t="b">
            <v>1</v>
          </cell>
          <cell r="E5184" t="str">
            <v>Fredonia</v>
          </cell>
          <cell r="H5184" t="str">
            <v>consulta_externa</v>
          </cell>
          <cell r="J5184" t="str">
            <v>bueno</v>
          </cell>
          <cell r="K5184" t="str">
            <v>defsi</v>
          </cell>
        </row>
        <row r="5185">
          <cell r="B5185" t="b">
            <v>1</v>
          </cell>
          <cell r="E5185" t="str">
            <v>Los Cerros</v>
          </cell>
          <cell r="H5185" t="str">
            <v>salud_oral</v>
          </cell>
          <cell r="J5185" t="str">
            <v>bueno</v>
          </cell>
          <cell r="K5185" t="str">
            <v>defsi</v>
          </cell>
        </row>
        <row r="5186">
          <cell r="B5186" t="b">
            <v>1</v>
          </cell>
          <cell r="E5186" t="str">
            <v>Los Cerros</v>
          </cell>
          <cell r="H5186" t="str">
            <v>laboratorio</v>
          </cell>
          <cell r="J5186" t="str">
            <v>bueno</v>
          </cell>
          <cell r="K5186" t="str">
            <v>defsi</v>
          </cell>
        </row>
        <row r="5187">
          <cell r="B5187" t="b">
            <v>1</v>
          </cell>
          <cell r="E5187" t="str">
            <v>Los Cerros</v>
          </cell>
          <cell r="H5187" t="str">
            <v>consulta_externa</v>
          </cell>
          <cell r="J5187" t="str">
            <v>bueno</v>
          </cell>
          <cell r="K5187" t="str">
            <v>defsi</v>
          </cell>
        </row>
        <row r="5188">
          <cell r="B5188" t="b">
            <v>1</v>
          </cell>
          <cell r="E5188" t="str">
            <v>Los Cerros</v>
          </cell>
          <cell r="H5188" t="str">
            <v>salud_oral</v>
          </cell>
          <cell r="J5188" t="str">
            <v>bueno</v>
          </cell>
          <cell r="K5188" t="str">
            <v>defsi</v>
          </cell>
        </row>
        <row r="5189">
          <cell r="B5189" t="b">
            <v>1</v>
          </cell>
          <cell r="E5189" t="str">
            <v>Los Cerros</v>
          </cell>
          <cell r="H5189" t="str">
            <v>laboratorio</v>
          </cell>
          <cell r="J5189" t="str">
            <v>bueno</v>
          </cell>
          <cell r="K5189" t="str">
            <v>defsi</v>
          </cell>
        </row>
        <row r="5190">
          <cell r="B5190" t="b">
            <v>1</v>
          </cell>
          <cell r="E5190" t="str">
            <v>Los Cerros</v>
          </cell>
          <cell r="H5190" t="str">
            <v>consulta_externa</v>
          </cell>
          <cell r="J5190" t="str">
            <v>bueno</v>
          </cell>
          <cell r="K5190" t="str">
            <v>defsi</v>
          </cell>
        </row>
        <row r="5191">
          <cell r="B5191" t="b">
            <v>1</v>
          </cell>
          <cell r="E5191" t="str">
            <v>Los Cerros</v>
          </cell>
          <cell r="H5191" t="str">
            <v>salud_oral</v>
          </cell>
          <cell r="J5191" t="str">
            <v>bueno</v>
          </cell>
          <cell r="K5191" t="str">
            <v>defsi</v>
          </cell>
        </row>
        <row r="5192">
          <cell r="B5192" t="b">
            <v>1</v>
          </cell>
          <cell r="E5192" t="str">
            <v>Los Cerros</v>
          </cell>
          <cell r="H5192" t="str">
            <v>laboratorio</v>
          </cell>
          <cell r="J5192" t="str">
            <v>bueno</v>
          </cell>
          <cell r="K5192" t="str">
            <v>defsi</v>
          </cell>
        </row>
        <row r="5193">
          <cell r="B5193" t="b">
            <v>1</v>
          </cell>
          <cell r="E5193" t="str">
            <v>Los Cerros</v>
          </cell>
          <cell r="H5193" t="str">
            <v>consulta_externa</v>
          </cell>
          <cell r="J5193" t="str">
            <v>bueno</v>
          </cell>
          <cell r="K5193" t="str">
            <v>defsi</v>
          </cell>
        </row>
        <row r="5194">
          <cell r="B5194" t="b">
            <v>1</v>
          </cell>
          <cell r="E5194" t="str">
            <v>Los Cerros</v>
          </cell>
          <cell r="H5194" t="str">
            <v>salud_oral</v>
          </cell>
          <cell r="J5194" t="str">
            <v>bueno</v>
          </cell>
          <cell r="K5194" t="str">
            <v>defsi</v>
          </cell>
        </row>
        <row r="5195">
          <cell r="B5195" t="b">
            <v>1</v>
          </cell>
          <cell r="E5195" t="str">
            <v>Los Cerros</v>
          </cell>
          <cell r="H5195" t="str">
            <v>laboratorio</v>
          </cell>
          <cell r="J5195" t="str">
            <v>bueno</v>
          </cell>
          <cell r="K5195" t="str">
            <v>defsi</v>
          </cell>
        </row>
        <row r="5196">
          <cell r="B5196" t="b">
            <v>1</v>
          </cell>
          <cell r="E5196" t="str">
            <v>Los Cerros</v>
          </cell>
          <cell r="H5196" t="str">
            <v>consulta_externa</v>
          </cell>
          <cell r="J5196" t="str">
            <v>bueno</v>
          </cell>
          <cell r="K5196" t="str">
            <v>defsi</v>
          </cell>
        </row>
        <row r="5197">
          <cell r="B5197" t="b">
            <v>1</v>
          </cell>
          <cell r="E5197" t="str">
            <v>Los Cerros</v>
          </cell>
          <cell r="H5197" t="str">
            <v>salud_oral</v>
          </cell>
          <cell r="J5197" t="str">
            <v>bueno</v>
          </cell>
          <cell r="K5197" t="str">
            <v>defsi</v>
          </cell>
        </row>
        <row r="5198">
          <cell r="B5198" t="b">
            <v>1</v>
          </cell>
          <cell r="E5198" t="str">
            <v>Los Cerros</v>
          </cell>
          <cell r="H5198" t="str">
            <v>laboratorio</v>
          </cell>
          <cell r="J5198" t="str">
            <v>bueno</v>
          </cell>
          <cell r="K5198" t="str">
            <v>defsi</v>
          </cell>
        </row>
        <row r="5199">
          <cell r="B5199" t="b">
            <v>1</v>
          </cell>
          <cell r="E5199" t="str">
            <v>Santa Ana</v>
          </cell>
          <cell r="H5199" t="str">
            <v>consulta_externa</v>
          </cell>
          <cell r="J5199" t="str">
            <v>bueno</v>
          </cell>
          <cell r="K5199" t="str">
            <v>defsi</v>
          </cell>
        </row>
        <row r="5200">
          <cell r="B5200" t="b">
            <v>1</v>
          </cell>
          <cell r="E5200" t="str">
            <v>Santa Ana</v>
          </cell>
          <cell r="H5200" t="str">
            <v>salud_oral</v>
          </cell>
          <cell r="J5200" t="str">
            <v>bueno</v>
          </cell>
          <cell r="K5200" t="str">
            <v>defsi</v>
          </cell>
        </row>
        <row r="5201">
          <cell r="B5201" t="b">
            <v>1</v>
          </cell>
          <cell r="E5201" t="str">
            <v>Santa Ana</v>
          </cell>
          <cell r="H5201" t="str">
            <v>laboratorio</v>
          </cell>
          <cell r="J5201" t="str">
            <v>bueno</v>
          </cell>
          <cell r="K5201" t="str">
            <v>defsi</v>
          </cell>
        </row>
        <row r="5202">
          <cell r="B5202" t="b">
            <v>1</v>
          </cell>
          <cell r="E5202" t="str">
            <v>Santa Ana</v>
          </cell>
          <cell r="H5202" t="str">
            <v>urgencia</v>
          </cell>
          <cell r="J5202" t="str">
            <v>bueno</v>
          </cell>
          <cell r="K5202" t="str">
            <v>defsi</v>
          </cell>
        </row>
        <row r="5203">
          <cell r="B5203" t="b">
            <v>1</v>
          </cell>
          <cell r="E5203" t="str">
            <v>Santa Ana</v>
          </cell>
          <cell r="H5203" t="str">
            <v>consulta_externa</v>
          </cell>
          <cell r="J5203" t="str">
            <v>bueno</v>
          </cell>
          <cell r="K5203" t="str">
            <v>defsi</v>
          </cell>
        </row>
        <row r="5204">
          <cell r="B5204" t="b">
            <v>1</v>
          </cell>
          <cell r="E5204" t="str">
            <v>Santa Ana</v>
          </cell>
          <cell r="H5204" t="str">
            <v>salud_oral</v>
          </cell>
          <cell r="J5204" t="str">
            <v>bueno</v>
          </cell>
          <cell r="K5204" t="str">
            <v>defsi</v>
          </cell>
        </row>
        <row r="5205">
          <cell r="B5205" t="b">
            <v>1</v>
          </cell>
          <cell r="E5205" t="str">
            <v>Santa Ana</v>
          </cell>
          <cell r="H5205" t="str">
            <v>laboratorio</v>
          </cell>
          <cell r="J5205" t="str">
            <v>bueno</v>
          </cell>
          <cell r="K5205" t="str">
            <v>defsi</v>
          </cell>
        </row>
        <row r="5206">
          <cell r="B5206" t="b">
            <v>1</v>
          </cell>
          <cell r="E5206" t="str">
            <v>Santa Ana</v>
          </cell>
          <cell r="H5206" t="str">
            <v>urgencia</v>
          </cell>
          <cell r="J5206" t="str">
            <v>bueno</v>
          </cell>
          <cell r="K5206" t="str">
            <v>defsi</v>
          </cell>
        </row>
        <row r="5207">
          <cell r="B5207" t="b">
            <v>1</v>
          </cell>
          <cell r="E5207" t="str">
            <v>Santa Ana</v>
          </cell>
          <cell r="H5207" t="str">
            <v>consulta_externa</v>
          </cell>
          <cell r="J5207" t="str">
            <v>bueno</v>
          </cell>
          <cell r="K5207" t="str">
            <v>defsi</v>
          </cell>
        </row>
        <row r="5208">
          <cell r="B5208" t="b">
            <v>1</v>
          </cell>
          <cell r="E5208" t="str">
            <v>Santa Ana</v>
          </cell>
          <cell r="H5208" t="str">
            <v>salud_oral</v>
          </cell>
          <cell r="J5208" t="str">
            <v>bueno</v>
          </cell>
          <cell r="K5208" t="str">
            <v>defsi</v>
          </cell>
        </row>
        <row r="5209">
          <cell r="B5209" t="b">
            <v>1</v>
          </cell>
          <cell r="E5209" t="str">
            <v>Santa Ana</v>
          </cell>
          <cell r="H5209" t="str">
            <v>consulta_externa</v>
          </cell>
          <cell r="J5209" t="str">
            <v>bueno</v>
          </cell>
          <cell r="K5209" t="str">
            <v>defsi</v>
          </cell>
        </row>
        <row r="5210">
          <cell r="B5210" t="b">
            <v>1</v>
          </cell>
          <cell r="E5210" t="str">
            <v>Santa Ana</v>
          </cell>
          <cell r="H5210" t="str">
            <v>salud_oral</v>
          </cell>
          <cell r="J5210" t="str">
            <v>bueno</v>
          </cell>
          <cell r="K5210" t="str">
            <v>defsi</v>
          </cell>
        </row>
        <row r="5211">
          <cell r="B5211" t="b">
            <v>1</v>
          </cell>
          <cell r="E5211" t="str">
            <v>Santa Ana</v>
          </cell>
          <cell r="H5211" t="str">
            <v>laboratorio</v>
          </cell>
          <cell r="J5211" t="str">
            <v>bueno</v>
          </cell>
          <cell r="K5211" t="str">
            <v>defsi</v>
          </cell>
        </row>
        <row r="5212">
          <cell r="B5212" t="b">
            <v>1</v>
          </cell>
          <cell r="E5212" t="str">
            <v>Santa Ana</v>
          </cell>
          <cell r="H5212" t="str">
            <v>urgencia</v>
          </cell>
          <cell r="J5212" t="str">
            <v>bueno</v>
          </cell>
          <cell r="K5212" t="str">
            <v>defsi</v>
          </cell>
        </row>
        <row r="5213">
          <cell r="B5213" t="b">
            <v>1</v>
          </cell>
          <cell r="E5213" t="str">
            <v>Tierra Bomba</v>
          </cell>
          <cell r="H5213" t="str">
            <v>consulta_externa</v>
          </cell>
          <cell r="J5213" t="str">
            <v>bueno</v>
          </cell>
          <cell r="K5213" t="str">
            <v>defsi</v>
          </cell>
        </row>
        <row r="5214">
          <cell r="B5214" t="b">
            <v>1</v>
          </cell>
          <cell r="E5214" t="str">
            <v>Tierra Bomba</v>
          </cell>
          <cell r="H5214" t="str">
            <v>salud_oral</v>
          </cell>
          <cell r="J5214" t="str">
            <v>bueno</v>
          </cell>
          <cell r="K5214" t="str">
            <v>defsi</v>
          </cell>
        </row>
        <row r="5215">
          <cell r="B5215" t="b">
            <v>1</v>
          </cell>
          <cell r="E5215" t="str">
            <v>Tierra Bomba</v>
          </cell>
          <cell r="H5215" t="str">
            <v>laboratorio</v>
          </cell>
          <cell r="J5215" t="str">
            <v>bueno</v>
          </cell>
          <cell r="K5215" t="str">
            <v>defsi</v>
          </cell>
        </row>
        <row r="5216">
          <cell r="B5216" t="b">
            <v>1</v>
          </cell>
          <cell r="E5216" t="str">
            <v>Tierra Bomba</v>
          </cell>
          <cell r="H5216" t="str">
            <v>consulta_externa</v>
          </cell>
          <cell r="J5216" t="str">
            <v>bueno</v>
          </cell>
          <cell r="K5216" t="str">
            <v>defsi</v>
          </cell>
        </row>
        <row r="5217">
          <cell r="B5217" t="b">
            <v>1</v>
          </cell>
          <cell r="E5217" t="str">
            <v>Tierra Bomba</v>
          </cell>
          <cell r="H5217" t="str">
            <v>salud_oral</v>
          </cell>
          <cell r="J5217" t="str">
            <v>bueno</v>
          </cell>
          <cell r="K5217" t="str">
            <v>defsi</v>
          </cell>
        </row>
        <row r="5218">
          <cell r="B5218" t="b">
            <v>1</v>
          </cell>
          <cell r="E5218" t="str">
            <v>Tierra Bomba</v>
          </cell>
          <cell r="H5218" t="str">
            <v>laboratorio</v>
          </cell>
          <cell r="J5218" t="str">
            <v>bueno</v>
          </cell>
          <cell r="K5218" t="str">
            <v>defsi</v>
          </cell>
        </row>
        <row r="5219">
          <cell r="B5219" t="b">
            <v>1</v>
          </cell>
          <cell r="E5219" t="str">
            <v>Tierra Bomba</v>
          </cell>
          <cell r="H5219" t="str">
            <v>consulta_externa</v>
          </cell>
          <cell r="J5219" t="str">
            <v>bueno</v>
          </cell>
          <cell r="K5219" t="str">
            <v>defsi</v>
          </cell>
        </row>
        <row r="5220">
          <cell r="B5220" t="b">
            <v>1</v>
          </cell>
          <cell r="E5220" t="str">
            <v>Tierra Bomba</v>
          </cell>
          <cell r="H5220" t="str">
            <v>salud_oral</v>
          </cell>
          <cell r="J5220" t="str">
            <v>bueno</v>
          </cell>
          <cell r="K5220" t="str">
            <v>defsi</v>
          </cell>
        </row>
        <row r="5221">
          <cell r="B5221" t="b">
            <v>1</v>
          </cell>
          <cell r="E5221" t="str">
            <v>Tierra Bomba</v>
          </cell>
          <cell r="H5221" t="str">
            <v>laboratorio</v>
          </cell>
          <cell r="J5221" t="str">
            <v>bueno</v>
          </cell>
          <cell r="K5221" t="str">
            <v>defsi</v>
          </cell>
        </row>
        <row r="5222">
          <cell r="B5222" t="b">
            <v>1</v>
          </cell>
          <cell r="E5222" t="str">
            <v>Tierra Bomba</v>
          </cell>
          <cell r="H5222" t="str">
            <v>consulta_externa</v>
          </cell>
          <cell r="J5222" t="str">
            <v>bueno</v>
          </cell>
          <cell r="K5222" t="str">
            <v>defsi</v>
          </cell>
        </row>
        <row r="5223">
          <cell r="B5223" t="b">
            <v>1</v>
          </cell>
          <cell r="E5223" t="str">
            <v>Tierra Bomba</v>
          </cell>
          <cell r="H5223" t="str">
            <v>salud_oral</v>
          </cell>
          <cell r="J5223" t="str">
            <v>bueno</v>
          </cell>
          <cell r="K5223" t="str">
            <v>defsi</v>
          </cell>
        </row>
        <row r="5224">
          <cell r="B5224" t="b">
            <v>1</v>
          </cell>
          <cell r="E5224" t="str">
            <v>Tierra Bomba</v>
          </cell>
          <cell r="H5224" t="str">
            <v>laboratorio</v>
          </cell>
          <cell r="J5224" t="str">
            <v>bueno</v>
          </cell>
          <cell r="K5224" t="str">
            <v>defsi</v>
          </cell>
        </row>
        <row r="5225">
          <cell r="B5225" t="b">
            <v>1</v>
          </cell>
          <cell r="E5225" t="str">
            <v>Fredonia</v>
          </cell>
          <cell r="H5225" t="str">
            <v>laboratorio</v>
          </cell>
          <cell r="J5225" t="str">
            <v>bueno</v>
          </cell>
          <cell r="K5225" t="str">
            <v>defsi</v>
          </cell>
        </row>
        <row r="5226">
          <cell r="B5226" t="b">
            <v>1</v>
          </cell>
          <cell r="E5226" t="str">
            <v>Fredonia</v>
          </cell>
          <cell r="H5226" t="str">
            <v>consulta_externa</v>
          </cell>
          <cell r="J5226" t="str">
            <v>bueno</v>
          </cell>
          <cell r="K5226" t="str">
            <v>defsi</v>
          </cell>
        </row>
        <row r="5227">
          <cell r="B5227" t="b">
            <v>1</v>
          </cell>
          <cell r="E5227" t="str">
            <v>Fredonia</v>
          </cell>
          <cell r="H5227" t="str">
            <v>laboratorio</v>
          </cell>
          <cell r="J5227" t="str">
            <v>bueno</v>
          </cell>
          <cell r="K5227" t="str">
            <v>defsi</v>
          </cell>
        </row>
        <row r="5228">
          <cell r="B5228" t="b">
            <v>1</v>
          </cell>
          <cell r="E5228" t="str">
            <v>Fredonia</v>
          </cell>
          <cell r="H5228" t="str">
            <v>salud_oral</v>
          </cell>
          <cell r="J5228" t="str">
            <v>bueno</v>
          </cell>
          <cell r="K5228" t="str">
            <v>defsi</v>
          </cell>
        </row>
        <row r="5229">
          <cell r="B5229" t="b">
            <v>1</v>
          </cell>
          <cell r="E5229" t="str">
            <v>Canapote</v>
          </cell>
          <cell r="H5229" t="str">
            <v>consulta_externa</v>
          </cell>
          <cell r="J5229" t="str">
            <v>muybueno</v>
          </cell>
          <cell r="K5229" t="str">
            <v>probsi</v>
          </cell>
        </row>
        <row r="5230">
          <cell r="B5230" t="b">
            <v>1</v>
          </cell>
          <cell r="E5230" t="str">
            <v>Canapote</v>
          </cell>
          <cell r="H5230" t="str">
            <v>consulta_externa</v>
          </cell>
          <cell r="J5230" t="str">
            <v>muybueno</v>
          </cell>
          <cell r="K5230" t="str">
            <v>probsi</v>
          </cell>
        </row>
        <row r="5231">
          <cell r="B5231" t="b">
            <v>1</v>
          </cell>
          <cell r="E5231" t="str">
            <v>Canapote</v>
          </cell>
          <cell r="H5231" t="str">
            <v>consulta_externa</v>
          </cell>
          <cell r="J5231" t="str">
            <v>muybueno</v>
          </cell>
          <cell r="K5231" t="str">
            <v>probsi</v>
          </cell>
        </row>
        <row r="5232">
          <cell r="B5232" t="b">
            <v>1</v>
          </cell>
          <cell r="E5232" t="str">
            <v>Canapote</v>
          </cell>
          <cell r="H5232" t="str">
            <v>consulta_externa</v>
          </cell>
          <cell r="J5232" t="str">
            <v>muybueno</v>
          </cell>
          <cell r="K5232" t="str">
            <v>probsi</v>
          </cell>
        </row>
        <row r="5233">
          <cell r="B5233" t="b">
            <v>1</v>
          </cell>
          <cell r="E5233" t="str">
            <v>Canapote</v>
          </cell>
          <cell r="H5233" t="str">
            <v>laboratorio</v>
          </cell>
          <cell r="J5233" t="str">
            <v>muybueno</v>
          </cell>
          <cell r="K5233" t="str">
            <v>probsi</v>
          </cell>
        </row>
        <row r="5234">
          <cell r="B5234" t="b">
            <v>1</v>
          </cell>
          <cell r="E5234" t="str">
            <v>Canapote</v>
          </cell>
          <cell r="H5234" t="str">
            <v>laboratorio</v>
          </cell>
          <cell r="J5234" t="str">
            <v>muybueno</v>
          </cell>
          <cell r="K5234" t="str">
            <v>probsi</v>
          </cell>
        </row>
        <row r="5235">
          <cell r="B5235" t="b">
            <v>1</v>
          </cell>
          <cell r="E5235" t="str">
            <v>Canapote</v>
          </cell>
          <cell r="H5235" t="str">
            <v>laboratorio</v>
          </cell>
          <cell r="J5235" t="str">
            <v>muybueno</v>
          </cell>
          <cell r="K5235" t="str">
            <v>probsi</v>
          </cell>
        </row>
        <row r="5236">
          <cell r="B5236" t="b">
            <v>1</v>
          </cell>
          <cell r="E5236" t="str">
            <v>Fredonia</v>
          </cell>
          <cell r="H5236" t="str">
            <v>laboratorio</v>
          </cell>
          <cell r="J5236" t="str">
            <v>bueno</v>
          </cell>
          <cell r="K5236" t="str">
            <v>defsi</v>
          </cell>
        </row>
        <row r="5237">
          <cell r="B5237" t="b">
            <v>1</v>
          </cell>
          <cell r="E5237" t="str">
            <v>Fredonia</v>
          </cell>
          <cell r="H5237" t="str">
            <v>laboratorio</v>
          </cell>
          <cell r="J5237" t="str">
            <v>bueno</v>
          </cell>
          <cell r="K5237" t="str">
            <v>defsi</v>
          </cell>
        </row>
        <row r="5238">
          <cell r="B5238" t="b">
            <v>1</v>
          </cell>
          <cell r="E5238" t="str">
            <v>Fredonia</v>
          </cell>
          <cell r="H5238" t="str">
            <v>laboratorio</v>
          </cell>
          <cell r="J5238" t="str">
            <v>bueno</v>
          </cell>
          <cell r="K5238" t="str">
            <v>defsi</v>
          </cell>
        </row>
        <row r="5239">
          <cell r="B5239" t="b">
            <v>1</v>
          </cell>
          <cell r="E5239" t="str">
            <v>Canapote</v>
          </cell>
          <cell r="H5239" t="str">
            <v>laboratorio</v>
          </cell>
          <cell r="J5239" t="str">
            <v>muybueno</v>
          </cell>
          <cell r="K5239" t="str">
            <v>probsi</v>
          </cell>
        </row>
        <row r="5240">
          <cell r="B5240" t="b">
            <v>1</v>
          </cell>
          <cell r="E5240" t="str">
            <v>Canapote</v>
          </cell>
          <cell r="H5240" t="str">
            <v>laboratorio</v>
          </cell>
          <cell r="J5240" t="str">
            <v>muybueno</v>
          </cell>
          <cell r="K5240" t="str">
            <v>probsi</v>
          </cell>
        </row>
        <row r="5241">
          <cell r="B5241" t="b">
            <v>1</v>
          </cell>
          <cell r="E5241" t="str">
            <v>Canapote</v>
          </cell>
          <cell r="H5241" t="str">
            <v>salud_oral</v>
          </cell>
          <cell r="J5241" t="str">
            <v>muybueno</v>
          </cell>
          <cell r="K5241" t="str">
            <v>probsi</v>
          </cell>
        </row>
        <row r="5242">
          <cell r="B5242" t="b">
            <v>1</v>
          </cell>
          <cell r="E5242" t="str">
            <v>Canapote</v>
          </cell>
          <cell r="H5242" t="str">
            <v>salud_oral</v>
          </cell>
          <cell r="J5242" t="str">
            <v>muybueno</v>
          </cell>
          <cell r="K5242" t="str">
            <v>probsi</v>
          </cell>
        </row>
        <row r="5243">
          <cell r="B5243" t="b">
            <v>1</v>
          </cell>
          <cell r="E5243" t="str">
            <v>Canapote</v>
          </cell>
          <cell r="H5243" t="str">
            <v>salud_oral</v>
          </cell>
          <cell r="J5243" t="str">
            <v>muybueno</v>
          </cell>
          <cell r="K5243" t="str">
            <v>probsi</v>
          </cell>
        </row>
        <row r="5244">
          <cell r="B5244" t="b">
            <v>1</v>
          </cell>
          <cell r="E5244" t="str">
            <v>Canapote</v>
          </cell>
          <cell r="H5244" t="str">
            <v>salud_oral</v>
          </cell>
          <cell r="J5244" t="str">
            <v>muybueno</v>
          </cell>
          <cell r="K5244" t="str">
            <v>probsi</v>
          </cell>
        </row>
        <row r="5245">
          <cell r="B5245" t="b">
            <v>1</v>
          </cell>
          <cell r="E5245" t="str">
            <v>Fredonia</v>
          </cell>
          <cell r="H5245" t="str">
            <v>laboratorio</v>
          </cell>
          <cell r="J5245" t="str">
            <v>bueno</v>
          </cell>
          <cell r="K5245" t="str">
            <v>defsi</v>
          </cell>
        </row>
        <row r="5246">
          <cell r="B5246" t="b">
            <v>1</v>
          </cell>
          <cell r="E5246" t="str">
            <v>Fredonia</v>
          </cell>
          <cell r="H5246" t="str">
            <v>laboratorio</v>
          </cell>
          <cell r="J5246" t="str">
            <v>bueno</v>
          </cell>
          <cell r="K5246" t="str">
            <v>defsi</v>
          </cell>
        </row>
        <row r="5247">
          <cell r="B5247" t="b">
            <v>1</v>
          </cell>
          <cell r="E5247" t="str">
            <v>Fredonia</v>
          </cell>
          <cell r="H5247" t="str">
            <v>laboratorio</v>
          </cell>
          <cell r="J5247" t="str">
            <v>bueno</v>
          </cell>
          <cell r="K5247" t="str">
            <v>defsi</v>
          </cell>
        </row>
        <row r="5248">
          <cell r="B5248" t="b">
            <v>1</v>
          </cell>
          <cell r="E5248" t="str">
            <v>Fredonia</v>
          </cell>
          <cell r="H5248" t="str">
            <v>laboratorio</v>
          </cell>
          <cell r="J5248" t="str">
            <v>bueno</v>
          </cell>
          <cell r="K5248" t="str">
            <v>defsi</v>
          </cell>
        </row>
        <row r="5249">
          <cell r="B5249" t="b">
            <v>1</v>
          </cell>
          <cell r="E5249" t="str">
            <v>Fredonia</v>
          </cell>
          <cell r="H5249" t="str">
            <v>consulta_externa</v>
          </cell>
          <cell r="J5249" t="str">
            <v>bueno</v>
          </cell>
          <cell r="K5249" t="str">
            <v>defsi</v>
          </cell>
        </row>
        <row r="5250">
          <cell r="B5250" t="b">
            <v>1</v>
          </cell>
          <cell r="E5250" t="str">
            <v>Fredonia</v>
          </cell>
          <cell r="H5250" t="str">
            <v>laboratorio</v>
          </cell>
          <cell r="J5250" t="str">
            <v>bueno</v>
          </cell>
          <cell r="K5250" t="str">
            <v>defsi</v>
          </cell>
        </row>
        <row r="5251">
          <cell r="B5251" t="b">
            <v>1</v>
          </cell>
          <cell r="E5251" t="str">
            <v>Fredonia</v>
          </cell>
          <cell r="H5251" t="str">
            <v>salud_oral</v>
          </cell>
          <cell r="J5251" t="str">
            <v>bueno</v>
          </cell>
          <cell r="K5251" t="str">
            <v>defsi</v>
          </cell>
        </row>
        <row r="5252">
          <cell r="B5252" t="b">
            <v>0</v>
          </cell>
          <cell r="E5252" t="str">
            <v>Fredonia</v>
          </cell>
          <cell r="H5252" t="str">
            <v>salud_oral</v>
          </cell>
          <cell r="J5252" t="str">
            <v>regular</v>
          </cell>
          <cell r="K5252" t="str">
            <v>defsi</v>
          </cell>
        </row>
        <row r="5253">
          <cell r="B5253" t="b">
            <v>1</v>
          </cell>
          <cell r="E5253" t="str">
            <v>Fredonia</v>
          </cell>
          <cell r="H5253" t="str">
            <v>salud_oral</v>
          </cell>
          <cell r="J5253" t="str">
            <v>bueno</v>
          </cell>
          <cell r="K5253" t="str">
            <v>defsi</v>
          </cell>
        </row>
        <row r="5254">
          <cell r="B5254" t="b">
            <v>1</v>
          </cell>
          <cell r="E5254" t="str">
            <v>Fredonia</v>
          </cell>
          <cell r="H5254" t="str">
            <v>salud_oral</v>
          </cell>
          <cell r="J5254" t="str">
            <v>bueno</v>
          </cell>
          <cell r="K5254" t="str">
            <v>defsi</v>
          </cell>
        </row>
        <row r="5255">
          <cell r="B5255" t="b">
            <v>1</v>
          </cell>
          <cell r="E5255" t="str">
            <v>Fredonia</v>
          </cell>
          <cell r="H5255" t="str">
            <v>consulta_externa</v>
          </cell>
          <cell r="J5255" t="str">
            <v>bueno</v>
          </cell>
          <cell r="K5255" t="str">
            <v>defsi</v>
          </cell>
        </row>
        <row r="5256">
          <cell r="B5256" t="b">
            <v>1</v>
          </cell>
          <cell r="E5256" t="str">
            <v>Fredonia</v>
          </cell>
          <cell r="H5256" t="str">
            <v>laboratorio</v>
          </cell>
          <cell r="J5256" t="str">
            <v>bueno</v>
          </cell>
          <cell r="K5256" t="str">
            <v>defsi</v>
          </cell>
        </row>
        <row r="5257">
          <cell r="B5257" t="b">
            <v>1</v>
          </cell>
          <cell r="E5257" t="str">
            <v>Fredonia</v>
          </cell>
          <cell r="H5257" t="str">
            <v>laboratorio</v>
          </cell>
          <cell r="J5257" t="str">
            <v>bueno</v>
          </cell>
          <cell r="K5257" t="str">
            <v>defsi</v>
          </cell>
        </row>
        <row r="5258">
          <cell r="B5258" t="b">
            <v>0</v>
          </cell>
          <cell r="E5258" t="str">
            <v>Fredonia</v>
          </cell>
          <cell r="H5258" t="str">
            <v>laboratorio</v>
          </cell>
          <cell r="J5258" t="str">
            <v>regular</v>
          </cell>
          <cell r="K5258" t="str">
            <v>defsi</v>
          </cell>
        </row>
        <row r="5259">
          <cell r="B5259" t="b">
            <v>1</v>
          </cell>
          <cell r="E5259" t="str">
            <v>Fredonia</v>
          </cell>
          <cell r="H5259" t="str">
            <v>consulta_externa</v>
          </cell>
          <cell r="J5259" t="str">
            <v>bueno</v>
          </cell>
          <cell r="K5259" t="str">
            <v>defsi</v>
          </cell>
        </row>
        <row r="5260">
          <cell r="B5260" t="b">
            <v>1</v>
          </cell>
          <cell r="E5260" t="str">
            <v>Fredonia</v>
          </cell>
          <cell r="H5260" t="str">
            <v>consulta_externa</v>
          </cell>
          <cell r="J5260" t="str">
            <v>bueno</v>
          </cell>
          <cell r="K5260" t="str">
            <v>defsi</v>
          </cell>
        </row>
        <row r="5261">
          <cell r="B5261" t="b">
            <v>1</v>
          </cell>
          <cell r="E5261" t="str">
            <v>Isla del Rosario</v>
          </cell>
          <cell r="H5261" t="str">
            <v>consulta_externa</v>
          </cell>
          <cell r="J5261" t="str">
            <v>bueno</v>
          </cell>
          <cell r="K5261" t="str">
            <v>defsi</v>
          </cell>
        </row>
        <row r="5262">
          <cell r="B5262" t="b">
            <v>1</v>
          </cell>
          <cell r="E5262" t="str">
            <v>Isla del Rosario</v>
          </cell>
          <cell r="H5262" t="str">
            <v>salud_oral</v>
          </cell>
          <cell r="J5262" t="str">
            <v>bueno</v>
          </cell>
          <cell r="K5262" t="str">
            <v>defsi</v>
          </cell>
        </row>
        <row r="5263">
          <cell r="B5263" t="b">
            <v>1</v>
          </cell>
          <cell r="E5263" t="str">
            <v>Isla del Rosario</v>
          </cell>
          <cell r="H5263" t="str">
            <v>laboratorio</v>
          </cell>
          <cell r="J5263" t="str">
            <v>bueno</v>
          </cell>
          <cell r="K5263" t="str">
            <v>defsi</v>
          </cell>
        </row>
        <row r="5264">
          <cell r="B5264" t="b">
            <v>1</v>
          </cell>
          <cell r="E5264" t="str">
            <v>Isla del Rosario</v>
          </cell>
          <cell r="H5264" t="str">
            <v>consulta_externa</v>
          </cell>
          <cell r="J5264" t="str">
            <v>bueno</v>
          </cell>
          <cell r="K5264" t="str">
            <v>defsi</v>
          </cell>
        </row>
        <row r="5265">
          <cell r="B5265" t="b">
            <v>1</v>
          </cell>
          <cell r="E5265" t="str">
            <v>Isla del Rosario</v>
          </cell>
          <cell r="H5265" t="str">
            <v>laboratorio</v>
          </cell>
          <cell r="J5265" t="str">
            <v>bueno</v>
          </cell>
          <cell r="K5265" t="str">
            <v>defsi</v>
          </cell>
        </row>
        <row r="5266">
          <cell r="B5266" t="b">
            <v>1</v>
          </cell>
          <cell r="E5266" t="str">
            <v>Isla del Rosario</v>
          </cell>
          <cell r="H5266" t="str">
            <v>consulta_externa</v>
          </cell>
          <cell r="J5266" t="str">
            <v>bueno</v>
          </cell>
          <cell r="K5266" t="str">
            <v>defsi</v>
          </cell>
        </row>
        <row r="5267">
          <cell r="B5267" t="b">
            <v>1</v>
          </cell>
          <cell r="E5267" t="str">
            <v>Isla del Rosario</v>
          </cell>
          <cell r="H5267" t="str">
            <v>salud_oral</v>
          </cell>
          <cell r="J5267" t="str">
            <v>bueno</v>
          </cell>
          <cell r="K5267" t="str">
            <v>defsi</v>
          </cell>
        </row>
        <row r="5268">
          <cell r="B5268" t="b">
            <v>1</v>
          </cell>
          <cell r="E5268" t="str">
            <v>Isla del Rosario</v>
          </cell>
          <cell r="H5268" t="str">
            <v>laboratorio</v>
          </cell>
          <cell r="J5268" t="str">
            <v>bueno</v>
          </cell>
          <cell r="K5268" t="str">
            <v>defsi</v>
          </cell>
        </row>
        <row r="5269">
          <cell r="B5269" t="b">
            <v>1</v>
          </cell>
          <cell r="E5269" t="str">
            <v>Isla del Rosario</v>
          </cell>
          <cell r="H5269" t="str">
            <v>consulta_externa</v>
          </cell>
          <cell r="J5269" t="str">
            <v>bueno</v>
          </cell>
          <cell r="K5269" t="str">
            <v>defsi</v>
          </cell>
        </row>
        <row r="5270">
          <cell r="B5270" t="b">
            <v>1</v>
          </cell>
          <cell r="E5270" t="str">
            <v>Isla del Rosario</v>
          </cell>
          <cell r="H5270" t="str">
            <v>salud_oral</v>
          </cell>
          <cell r="J5270" t="str">
            <v>bueno</v>
          </cell>
          <cell r="K5270" t="str">
            <v>defsi</v>
          </cell>
        </row>
        <row r="5271">
          <cell r="B5271" t="b">
            <v>1</v>
          </cell>
          <cell r="E5271" t="str">
            <v>Isla del Rosario</v>
          </cell>
          <cell r="H5271" t="str">
            <v>laboratorio</v>
          </cell>
          <cell r="J5271" t="str">
            <v>bueno</v>
          </cell>
          <cell r="K5271" t="str">
            <v>defsi</v>
          </cell>
        </row>
        <row r="5272">
          <cell r="B5272" t="b">
            <v>1</v>
          </cell>
          <cell r="E5272" t="str">
            <v>Punta Canoa</v>
          </cell>
          <cell r="H5272" t="str">
            <v>consulta_externa</v>
          </cell>
          <cell r="J5272" t="str">
            <v>bueno</v>
          </cell>
          <cell r="K5272" t="str">
            <v>probsi</v>
          </cell>
        </row>
        <row r="5273">
          <cell r="B5273" t="b">
            <v>1</v>
          </cell>
          <cell r="E5273" t="str">
            <v>Punta Canoa</v>
          </cell>
          <cell r="H5273" t="str">
            <v>consulta_externa</v>
          </cell>
          <cell r="J5273" t="str">
            <v>muybueno</v>
          </cell>
          <cell r="K5273" t="str">
            <v>probsi</v>
          </cell>
        </row>
        <row r="5274">
          <cell r="B5274" t="b">
            <v>1</v>
          </cell>
          <cell r="E5274" t="str">
            <v>Punta Canoa</v>
          </cell>
          <cell r="H5274" t="str">
            <v>salud_oral</v>
          </cell>
          <cell r="J5274" t="str">
            <v>muybueno</v>
          </cell>
          <cell r="K5274" t="str">
            <v>probsi</v>
          </cell>
        </row>
        <row r="5275">
          <cell r="B5275" t="b">
            <v>1</v>
          </cell>
          <cell r="E5275" t="str">
            <v>Punta Canoa</v>
          </cell>
          <cell r="H5275" t="str">
            <v>consulta_externa</v>
          </cell>
          <cell r="J5275" t="str">
            <v>bueno</v>
          </cell>
          <cell r="K5275" t="str">
            <v>probsi</v>
          </cell>
        </row>
        <row r="5276">
          <cell r="B5276" t="b">
            <v>1</v>
          </cell>
          <cell r="E5276" t="str">
            <v>Punta Canoa</v>
          </cell>
          <cell r="H5276" t="str">
            <v>salud_oral</v>
          </cell>
          <cell r="J5276" t="str">
            <v>bueno</v>
          </cell>
          <cell r="K5276" t="str">
            <v>probsi</v>
          </cell>
        </row>
        <row r="5277">
          <cell r="B5277" t="b">
            <v>1</v>
          </cell>
          <cell r="E5277" t="str">
            <v>Libano</v>
          </cell>
          <cell r="H5277" t="str">
            <v>consulta_externa</v>
          </cell>
          <cell r="J5277" t="str">
            <v>bueno</v>
          </cell>
          <cell r="K5277" t="str">
            <v>defsi</v>
          </cell>
        </row>
        <row r="5278">
          <cell r="B5278" t="b">
            <v>1</v>
          </cell>
          <cell r="E5278" t="str">
            <v>Libano</v>
          </cell>
          <cell r="H5278" t="str">
            <v>salud_oral</v>
          </cell>
          <cell r="J5278" t="str">
            <v>bueno</v>
          </cell>
          <cell r="K5278" t="str">
            <v>defsi</v>
          </cell>
        </row>
        <row r="5279">
          <cell r="B5279" t="b">
            <v>1</v>
          </cell>
          <cell r="E5279" t="str">
            <v>Libano</v>
          </cell>
          <cell r="H5279" t="str">
            <v>laboratorio</v>
          </cell>
          <cell r="J5279" t="str">
            <v>bueno</v>
          </cell>
          <cell r="K5279" t="str">
            <v>defsi</v>
          </cell>
        </row>
        <row r="5280">
          <cell r="B5280" t="b">
            <v>1</v>
          </cell>
          <cell r="E5280" t="str">
            <v>Libano</v>
          </cell>
          <cell r="H5280" t="str">
            <v>ecografias</v>
          </cell>
          <cell r="J5280" t="str">
            <v>bueno</v>
          </cell>
          <cell r="K5280" t="str">
            <v>defsi</v>
          </cell>
        </row>
        <row r="5281">
          <cell r="B5281" t="b">
            <v>1</v>
          </cell>
          <cell r="E5281" t="str">
            <v>Libano</v>
          </cell>
          <cell r="H5281" t="str">
            <v>ginecologia</v>
          </cell>
          <cell r="J5281" t="str">
            <v>bueno</v>
          </cell>
          <cell r="K5281" t="str">
            <v>defsi</v>
          </cell>
        </row>
        <row r="5282">
          <cell r="B5282" t="b">
            <v>1</v>
          </cell>
          <cell r="E5282" t="str">
            <v>Libano</v>
          </cell>
          <cell r="H5282" t="str">
            <v>pediatria</v>
          </cell>
          <cell r="J5282" t="str">
            <v>bueno</v>
          </cell>
          <cell r="K5282" t="str">
            <v>defsi</v>
          </cell>
        </row>
        <row r="5283">
          <cell r="B5283" t="b">
            <v>1</v>
          </cell>
          <cell r="E5283" t="str">
            <v>Libano</v>
          </cell>
          <cell r="H5283" t="str">
            <v>consulta_externa</v>
          </cell>
          <cell r="J5283" t="str">
            <v>bueno</v>
          </cell>
          <cell r="K5283" t="str">
            <v>defsi</v>
          </cell>
        </row>
        <row r="5284">
          <cell r="B5284" t="b">
            <v>1</v>
          </cell>
          <cell r="E5284" t="str">
            <v>Punta Canoa</v>
          </cell>
          <cell r="H5284" t="str">
            <v>consulta_externa</v>
          </cell>
          <cell r="J5284" t="str">
            <v>bueno</v>
          </cell>
          <cell r="K5284" t="str">
            <v>probsi</v>
          </cell>
        </row>
        <row r="5285">
          <cell r="B5285" t="b">
            <v>1</v>
          </cell>
          <cell r="E5285" t="str">
            <v>Punta Canoa</v>
          </cell>
          <cell r="H5285" t="str">
            <v>salud_oral</v>
          </cell>
          <cell r="J5285" t="str">
            <v>bueno</v>
          </cell>
          <cell r="K5285" t="str">
            <v>probsi</v>
          </cell>
        </row>
        <row r="5286">
          <cell r="B5286" t="b">
            <v>1</v>
          </cell>
          <cell r="E5286" t="str">
            <v>Libano</v>
          </cell>
          <cell r="H5286" t="str">
            <v>salud_oral</v>
          </cell>
          <cell r="J5286" t="str">
            <v>bueno</v>
          </cell>
          <cell r="K5286" t="str">
            <v>defsi</v>
          </cell>
        </row>
        <row r="5287">
          <cell r="B5287" t="b">
            <v>1</v>
          </cell>
          <cell r="E5287" t="str">
            <v>Punta Canoa</v>
          </cell>
          <cell r="H5287" t="str">
            <v>laboratorio</v>
          </cell>
          <cell r="J5287" t="str">
            <v>bueno</v>
          </cell>
          <cell r="K5287" t="str">
            <v>probsi</v>
          </cell>
        </row>
        <row r="5288">
          <cell r="B5288" t="b">
            <v>1</v>
          </cell>
          <cell r="E5288" t="str">
            <v>Punta Canoa</v>
          </cell>
          <cell r="H5288" t="str">
            <v>laboratorio</v>
          </cell>
          <cell r="J5288" t="str">
            <v>bueno</v>
          </cell>
          <cell r="K5288" t="str">
            <v>probsi</v>
          </cell>
        </row>
        <row r="5289">
          <cell r="B5289" t="b">
            <v>1</v>
          </cell>
          <cell r="E5289" t="str">
            <v>Punta Canoa</v>
          </cell>
          <cell r="H5289" t="str">
            <v>laboratorio</v>
          </cell>
          <cell r="J5289" t="str">
            <v>bueno</v>
          </cell>
          <cell r="K5289" t="str">
            <v>probsi</v>
          </cell>
        </row>
        <row r="5290">
          <cell r="B5290" t="b">
            <v>1</v>
          </cell>
          <cell r="E5290" t="str">
            <v>Libano</v>
          </cell>
          <cell r="H5290" t="str">
            <v>laboratorio</v>
          </cell>
          <cell r="J5290" t="str">
            <v>bueno</v>
          </cell>
          <cell r="K5290" t="str">
            <v>defsi</v>
          </cell>
        </row>
        <row r="5291">
          <cell r="B5291" t="b">
            <v>1</v>
          </cell>
          <cell r="E5291" t="str">
            <v>Libano</v>
          </cell>
          <cell r="H5291" t="str">
            <v>ecografias</v>
          </cell>
          <cell r="J5291" t="str">
            <v>bueno</v>
          </cell>
          <cell r="K5291" t="str">
            <v>defsi</v>
          </cell>
        </row>
        <row r="5292">
          <cell r="B5292" t="b">
            <v>1</v>
          </cell>
          <cell r="E5292" t="str">
            <v>Libano</v>
          </cell>
          <cell r="H5292" t="str">
            <v>ginecologia</v>
          </cell>
          <cell r="J5292" t="str">
            <v>bueno</v>
          </cell>
          <cell r="K5292" t="str">
            <v>defsi</v>
          </cell>
        </row>
        <row r="5293">
          <cell r="B5293" t="b">
            <v>1</v>
          </cell>
          <cell r="E5293" t="str">
            <v>Libano</v>
          </cell>
          <cell r="H5293" t="str">
            <v>pediatria</v>
          </cell>
          <cell r="J5293" t="str">
            <v>bueno</v>
          </cell>
          <cell r="K5293" t="str">
            <v>defsi</v>
          </cell>
        </row>
        <row r="5294">
          <cell r="B5294" t="b">
            <v>1</v>
          </cell>
          <cell r="E5294" t="str">
            <v>Libano</v>
          </cell>
          <cell r="H5294" t="str">
            <v>consulta_externa</v>
          </cell>
          <cell r="J5294" t="str">
            <v>bueno</v>
          </cell>
          <cell r="K5294" t="str">
            <v>defsi</v>
          </cell>
        </row>
        <row r="5295">
          <cell r="B5295" t="b">
            <v>1</v>
          </cell>
          <cell r="E5295" t="str">
            <v>Libano</v>
          </cell>
          <cell r="H5295" t="str">
            <v>salud_oral</v>
          </cell>
          <cell r="J5295" t="str">
            <v>bueno</v>
          </cell>
          <cell r="K5295" t="str">
            <v>defsi</v>
          </cell>
        </row>
        <row r="5296">
          <cell r="B5296" t="b">
            <v>1</v>
          </cell>
          <cell r="E5296" t="str">
            <v>San Francisco I</v>
          </cell>
          <cell r="H5296" t="str">
            <v>consulta_externa</v>
          </cell>
          <cell r="J5296" t="str">
            <v>bueno</v>
          </cell>
          <cell r="K5296" t="str">
            <v>probsi</v>
          </cell>
        </row>
        <row r="5297">
          <cell r="B5297" t="b">
            <v>1</v>
          </cell>
          <cell r="E5297" t="str">
            <v>San Francisco I</v>
          </cell>
          <cell r="H5297" t="str">
            <v>consulta_externa</v>
          </cell>
          <cell r="J5297" t="str">
            <v>bueno</v>
          </cell>
          <cell r="K5297" t="str">
            <v>probsi</v>
          </cell>
        </row>
        <row r="5298">
          <cell r="B5298" t="b">
            <v>1</v>
          </cell>
          <cell r="E5298" t="str">
            <v>San Francisco I</v>
          </cell>
          <cell r="H5298" t="str">
            <v>consulta_externa</v>
          </cell>
          <cell r="J5298" t="str">
            <v>bueno</v>
          </cell>
          <cell r="K5298" t="str">
            <v>probsi</v>
          </cell>
        </row>
        <row r="5299">
          <cell r="B5299" t="b">
            <v>1</v>
          </cell>
          <cell r="E5299" t="str">
            <v>San Francisco I</v>
          </cell>
          <cell r="H5299" t="str">
            <v>consulta_externa</v>
          </cell>
          <cell r="J5299" t="str">
            <v>bueno</v>
          </cell>
          <cell r="K5299" t="str">
            <v>probsi</v>
          </cell>
        </row>
        <row r="5300">
          <cell r="B5300" t="b">
            <v>1</v>
          </cell>
          <cell r="E5300" t="str">
            <v>San Francisco I</v>
          </cell>
          <cell r="H5300" t="str">
            <v>consulta_externa</v>
          </cell>
          <cell r="J5300" t="str">
            <v>bueno</v>
          </cell>
          <cell r="K5300" t="str">
            <v>probsi</v>
          </cell>
        </row>
        <row r="5301">
          <cell r="B5301" t="b">
            <v>1</v>
          </cell>
          <cell r="E5301" t="str">
            <v>San Francisco I</v>
          </cell>
          <cell r="H5301" t="str">
            <v>laboratorio</v>
          </cell>
          <cell r="J5301" t="str">
            <v>bueno</v>
          </cell>
          <cell r="K5301" t="str">
            <v>probsi</v>
          </cell>
        </row>
        <row r="5302">
          <cell r="B5302" t="b">
            <v>1</v>
          </cell>
          <cell r="E5302" t="str">
            <v>Libano</v>
          </cell>
          <cell r="H5302" t="str">
            <v>laboratorio</v>
          </cell>
          <cell r="J5302" t="str">
            <v>bueno</v>
          </cell>
          <cell r="K5302" t="str">
            <v>defsi</v>
          </cell>
        </row>
        <row r="5303">
          <cell r="B5303" t="b">
            <v>1</v>
          </cell>
          <cell r="E5303" t="str">
            <v>San Francisco I</v>
          </cell>
          <cell r="H5303" t="str">
            <v>laboratorio</v>
          </cell>
          <cell r="J5303" t="str">
            <v>bueno</v>
          </cell>
          <cell r="K5303" t="str">
            <v>probsi</v>
          </cell>
        </row>
        <row r="5304">
          <cell r="B5304" t="b">
            <v>1</v>
          </cell>
          <cell r="E5304" t="str">
            <v>San Francisco I</v>
          </cell>
          <cell r="H5304" t="str">
            <v>laboratorio</v>
          </cell>
          <cell r="J5304" t="str">
            <v>bueno</v>
          </cell>
          <cell r="K5304" t="str">
            <v>probsi</v>
          </cell>
        </row>
        <row r="5305">
          <cell r="B5305" t="b">
            <v>1</v>
          </cell>
          <cell r="E5305" t="str">
            <v>San Francisco I</v>
          </cell>
          <cell r="H5305" t="str">
            <v>laboratorio</v>
          </cell>
          <cell r="J5305" t="str">
            <v>bueno</v>
          </cell>
          <cell r="K5305" t="str">
            <v>probsi</v>
          </cell>
        </row>
        <row r="5306">
          <cell r="B5306" t="b">
            <v>1</v>
          </cell>
          <cell r="E5306" t="str">
            <v>San Francisco I</v>
          </cell>
          <cell r="H5306" t="str">
            <v>laboratorio</v>
          </cell>
          <cell r="J5306" t="str">
            <v>bueno</v>
          </cell>
          <cell r="K5306" t="str">
            <v>probsi</v>
          </cell>
        </row>
        <row r="5307">
          <cell r="B5307" t="b">
            <v>1</v>
          </cell>
          <cell r="E5307" t="str">
            <v>Libano</v>
          </cell>
          <cell r="H5307" t="str">
            <v>ecografias</v>
          </cell>
          <cell r="J5307" t="str">
            <v>bueno</v>
          </cell>
          <cell r="K5307" t="str">
            <v>defsi</v>
          </cell>
        </row>
        <row r="5308">
          <cell r="B5308" t="b">
            <v>1</v>
          </cell>
          <cell r="E5308" t="str">
            <v>Libano</v>
          </cell>
          <cell r="H5308" t="str">
            <v>ginecologia</v>
          </cell>
          <cell r="J5308" t="str">
            <v>bueno</v>
          </cell>
          <cell r="K5308" t="str">
            <v>defsi</v>
          </cell>
        </row>
        <row r="5309">
          <cell r="B5309" t="b">
            <v>1</v>
          </cell>
          <cell r="E5309" t="str">
            <v>Libano</v>
          </cell>
          <cell r="H5309" t="str">
            <v>pediatria</v>
          </cell>
          <cell r="J5309" t="str">
            <v>bueno</v>
          </cell>
          <cell r="K5309" t="str">
            <v>defsi</v>
          </cell>
        </row>
        <row r="5310">
          <cell r="B5310" t="b">
            <v>1</v>
          </cell>
          <cell r="E5310" t="str">
            <v>San Francisco I</v>
          </cell>
          <cell r="H5310" t="str">
            <v>laboratorio</v>
          </cell>
          <cell r="J5310" t="str">
            <v>bueno</v>
          </cell>
          <cell r="K5310" t="str">
            <v>probsi</v>
          </cell>
        </row>
        <row r="5311">
          <cell r="B5311" t="b">
            <v>1</v>
          </cell>
          <cell r="E5311" t="str">
            <v>San Francisco I</v>
          </cell>
          <cell r="H5311" t="str">
            <v>laboratorio</v>
          </cell>
          <cell r="J5311" t="str">
            <v>bueno</v>
          </cell>
          <cell r="K5311" t="str">
            <v>probsi</v>
          </cell>
        </row>
        <row r="5312">
          <cell r="B5312" t="b">
            <v>1</v>
          </cell>
          <cell r="E5312" t="str">
            <v>San Francisco I</v>
          </cell>
          <cell r="H5312" t="str">
            <v>laboratorio</v>
          </cell>
          <cell r="J5312" t="str">
            <v>bueno</v>
          </cell>
          <cell r="K5312" t="str">
            <v>probsi</v>
          </cell>
        </row>
        <row r="5313">
          <cell r="B5313" t="b">
            <v>1</v>
          </cell>
          <cell r="E5313" t="str">
            <v>San Francisco I</v>
          </cell>
          <cell r="H5313" t="str">
            <v>laboratorio</v>
          </cell>
          <cell r="J5313" t="str">
            <v>bueno</v>
          </cell>
          <cell r="K5313" t="str">
            <v>probsi</v>
          </cell>
        </row>
        <row r="5314">
          <cell r="B5314" t="b">
            <v>1</v>
          </cell>
          <cell r="E5314" t="str">
            <v>San Francisco I</v>
          </cell>
          <cell r="H5314" t="str">
            <v>laboratorio</v>
          </cell>
          <cell r="J5314" t="str">
            <v>bueno</v>
          </cell>
          <cell r="K5314" t="str">
            <v>probsi</v>
          </cell>
        </row>
        <row r="5315">
          <cell r="B5315" t="b">
            <v>1</v>
          </cell>
          <cell r="E5315" t="str">
            <v>San Francisco I</v>
          </cell>
          <cell r="H5315" t="str">
            <v>laboratorio</v>
          </cell>
          <cell r="J5315" t="str">
            <v>bueno</v>
          </cell>
          <cell r="K5315" t="str">
            <v>probsi</v>
          </cell>
        </row>
        <row r="5316">
          <cell r="B5316" t="b">
            <v>1</v>
          </cell>
          <cell r="E5316" t="str">
            <v>San Francisco I</v>
          </cell>
          <cell r="H5316" t="str">
            <v>laboratorio</v>
          </cell>
          <cell r="J5316" t="str">
            <v>bueno</v>
          </cell>
          <cell r="K5316" t="str">
            <v>probsi</v>
          </cell>
        </row>
        <row r="5317">
          <cell r="B5317" t="b">
            <v>1</v>
          </cell>
          <cell r="E5317" t="str">
            <v>San Francisco I</v>
          </cell>
          <cell r="H5317" t="str">
            <v>laboratorio</v>
          </cell>
          <cell r="J5317" t="str">
            <v>bueno</v>
          </cell>
          <cell r="K5317" t="str">
            <v>probsi</v>
          </cell>
        </row>
        <row r="5318">
          <cell r="B5318" t="b">
            <v>1</v>
          </cell>
          <cell r="E5318" t="str">
            <v>Canapote</v>
          </cell>
          <cell r="H5318" t="str">
            <v>salud_oral</v>
          </cell>
          <cell r="J5318" t="str">
            <v>muybueno</v>
          </cell>
          <cell r="K5318" t="str">
            <v>probsi</v>
          </cell>
        </row>
        <row r="5319">
          <cell r="B5319" t="b">
            <v>1</v>
          </cell>
          <cell r="E5319" t="str">
            <v>Canapote</v>
          </cell>
          <cell r="H5319" t="str">
            <v>salud_oral</v>
          </cell>
          <cell r="J5319" t="str">
            <v>muybueno</v>
          </cell>
          <cell r="K5319" t="str">
            <v>probsi</v>
          </cell>
        </row>
        <row r="5320">
          <cell r="B5320" t="b">
            <v>1</v>
          </cell>
          <cell r="E5320" t="str">
            <v>Canapote</v>
          </cell>
          <cell r="H5320" t="str">
            <v>salud_oral</v>
          </cell>
          <cell r="J5320" t="str">
            <v>muybueno</v>
          </cell>
          <cell r="K5320" t="str">
            <v>probsi</v>
          </cell>
        </row>
        <row r="5321">
          <cell r="B5321" t="b">
            <v>1</v>
          </cell>
          <cell r="E5321" t="str">
            <v>Canapote</v>
          </cell>
          <cell r="H5321" t="str">
            <v>salud_oral</v>
          </cell>
          <cell r="J5321" t="str">
            <v>muybueno</v>
          </cell>
          <cell r="K5321" t="str">
            <v>probsi</v>
          </cell>
        </row>
        <row r="5322">
          <cell r="B5322" t="b">
            <v>1</v>
          </cell>
          <cell r="E5322" t="str">
            <v>Canapote</v>
          </cell>
          <cell r="H5322" t="str">
            <v>salud_oral</v>
          </cell>
          <cell r="J5322" t="str">
            <v>muybueno</v>
          </cell>
          <cell r="K5322" t="str">
            <v>probsi</v>
          </cell>
        </row>
        <row r="5323">
          <cell r="B5323" t="b">
            <v>1</v>
          </cell>
          <cell r="E5323" t="str">
            <v>Canapote</v>
          </cell>
          <cell r="H5323" t="str">
            <v>salud_oral</v>
          </cell>
          <cell r="J5323" t="str">
            <v>muybueno</v>
          </cell>
          <cell r="K5323" t="str">
            <v>probsi</v>
          </cell>
        </row>
        <row r="5324">
          <cell r="B5324" t="b">
            <v>1</v>
          </cell>
          <cell r="E5324" t="str">
            <v>Canapote</v>
          </cell>
          <cell r="H5324" t="str">
            <v>salud_oral</v>
          </cell>
          <cell r="J5324" t="str">
            <v>muybueno</v>
          </cell>
          <cell r="K5324" t="str">
            <v>probsi</v>
          </cell>
        </row>
        <row r="5325">
          <cell r="B5325" t="b">
            <v>1</v>
          </cell>
          <cell r="E5325" t="str">
            <v>Canapote</v>
          </cell>
          <cell r="H5325" t="str">
            <v>salud_oral</v>
          </cell>
          <cell r="J5325" t="str">
            <v>muybueno</v>
          </cell>
          <cell r="K5325" t="str">
            <v>probsi</v>
          </cell>
        </row>
        <row r="5326">
          <cell r="B5326" t="b">
            <v>1</v>
          </cell>
          <cell r="E5326" t="str">
            <v>Punta Canoa</v>
          </cell>
          <cell r="H5326" t="str">
            <v>consulta_externa</v>
          </cell>
          <cell r="J5326" t="str">
            <v>bueno</v>
          </cell>
          <cell r="K5326" t="str">
            <v>probsi</v>
          </cell>
        </row>
        <row r="5327">
          <cell r="B5327" t="b">
            <v>1</v>
          </cell>
          <cell r="E5327" t="str">
            <v>San Francisco I</v>
          </cell>
          <cell r="H5327" t="str">
            <v>consulta_externa</v>
          </cell>
          <cell r="J5327" t="str">
            <v>bueno</v>
          </cell>
          <cell r="K5327" t="str">
            <v>probsi</v>
          </cell>
        </row>
        <row r="5328">
          <cell r="B5328" t="b">
            <v>1</v>
          </cell>
          <cell r="E5328" t="str">
            <v>San Francisco I</v>
          </cell>
          <cell r="H5328" t="str">
            <v>consulta_externa</v>
          </cell>
          <cell r="J5328" t="str">
            <v>bueno</v>
          </cell>
          <cell r="K5328" t="str">
            <v>probsi</v>
          </cell>
        </row>
        <row r="5329">
          <cell r="B5329" t="b">
            <v>1</v>
          </cell>
          <cell r="E5329" t="str">
            <v>Punta Canoa</v>
          </cell>
          <cell r="H5329" t="str">
            <v>salud_oral</v>
          </cell>
          <cell r="J5329" t="str">
            <v>bueno</v>
          </cell>
          <cell r="K5329" t="str">
            <v>probsi</v>
          </cell>
        </row>
        <row r="5330">
          <cell r="B5330" t="b">
            <v>1</v>
          </cell>
          <cell r="E5330" t="str">
            <v>San Francisco I</v>
          </cell>
          <cell r="H5330" t="str">
            <v>consulta_externa</v>
          </cell>
          <cell r="J5330" t="str">
            <v>bueno</v>
          </cell>
          <cell r="K5330" t="str">
            <v>probsi</v>
          </cell>
        </row>
        <row r="5331">
          <cell r="B5331" t="b">
            <v>1</v>
          </cell>
          <cell r="E5331" t="str">
            <v>Punta Canoa</v>
          </cell>
          <cell r="H5331" t="str">
            <v>laboratorio</v>
          </cell>
          <cell r="J5331" t="str">
            <v>bueno</v>
          </cell>
          <cell r="K5331" t="str">
            <v>probsi</v>
          </cell>
        </row>
        <row r="5332">
          <cell r="B5332" t="b">
            <v>1</v>
          </cell>
          <cell r="E5332" t="str">
            <v>San Francisco I</v>
          </cell>
          <cell r="H5332" t="str">
            <v>consulta_externa</v>
          </cell>
          <cell r="J5332" t="str">
            <v>bueno</v>
          </cell>
          <cell r="K5332" t="str">
            <v>probsi</v>
          </cell>
        </row>
        <row r="5333">
          <cell r="B5333" t="b">
            <v>1</v>
          </cell>
          <cell r="E5333" t="str">
            <v>San Francisco I</v>
          </cell>
          <cell r="H5333" t="str">
            <v>consulta_externa</v>
          </cell>
          <cell r="J5333" t="str">
            <v>bueno</v>
          </cell>
          <cell r="K5333" t="str">
            <v>probsi</v>
          </cell>
        </row>
        <row r="5334">
          <cell r="B5334" t="b">
            <v>1</v>
          </cell>
          <cell r="E5334" t="str">
            <v>San Francisco I</v>
          </cell>
          <cell r="H5334" t="str">
            <v>consulta_externa</v>
          </cell>
          <cell r="J5334" t="str">
            <v>bueno</v>
          </cell>
          <cell r="K5334" t="str">
            <v>probsi</v>
          </cell>
        </row>
        <row r="5335">
          <cell r="B5335" t="b">
            <v>1</v>
          </cell>
          <cell r="E5335" t="str">
            <v>San Francisco I</v>
          </cell>
          <cell r="H5335" t="str">
            <v>consulta_externa</v>
          </cell>
          <cell r="J5335" t="str">
            <v>bueno</v>
          </cell>
          <cell r="K5335" t="str">
            <v>probsi</v>
          </cell>
        </row>
        <row r="5336">
          <cell r="B5336" t="b">
            <v>1</v>
          </cell>
          <cell r="E5336" t="str">
            <v>San Francisco I</v>
          </cell>
          <cell r="H5336" t="str">
            <v>consulta_externa</v>
          </cell>
          <cell r="J5336" t="str">
            <v>bueno</v>
          </cell>
          <cell r="K5336" t="str">
            <v>probsi</v>
          </cell>
        </row>
        <row r="5337">
          <cell r="B5337" t="b">
            <v>1</v>
          </cell>
          <cell r="E5337" t="str">
            <v>San Francisco I</v>
          </cell>
          <cell r="H5337" t="str">
            <v>consulta_externa</v>
          </cell>
          <cell r="J5337" t="str">
            <v>bueno</v>
          </cell>
          <cell r="K5337" t="str">
            <v>probsi</v>
          </cell>
        </row>
        <row r="5338">
          <cell r="B5338" t="b">
            <v>1</v>
          </cell>
          <cell r="E5338" t="str">
            <v>San Francisco I</v>
          </cell>
          <cell r="H5338" t="str">
            <v>consulta_externa</v>
          </cell>
          <cell r="J5338" t="str">
            <v>bueno</v>
          </cell>
          <cell r="K5338" t="str">
            <v>probsi</v>
          </cell>
        </row>
        <row r="5339">
          <cell r="B5339" t="b">
            <v>1</v>
          </cell>
          <cell r="E5339" t="str">
            <v>San Francisco I</v>
          </cell>
          <cell r="H5339" t="str">
            <v>consulta_externa</v>
          </cell>
          <cell r="J5339" t="str">
            <v>bueno</v>
          </cell>
          <cell r="K5339" t="str">
            <v>probsi</v>
          </cell>
        </row>
        <row r="5340">
          <cell r="B5340" t="b">
            <v>1</v>
          </cell>
          <cell r="E5340" t="str">
            <v>San Francisco I</v>
          </cell>
          <cell r="H5340" t="str">
            <v>consulta_externa</v>
          </cell>
          <cell r="J5340" t="str">
            <v>bueno</v>
          </cell>
          <cell r="K5340" t="str">
            <v>probsi</v>
          </cell>
        </row>
        <row r="5341">
          <cell r="B5341" t="b">
            <v>1</v>
          </cell>
          <cell r="E5341" t="str">
            <v>San Francisco I</v>
          </cell>
          <cell r="H5341" t="str">
            <v>consulta_externa</v>
          </cell>
          <cell r="J5341" t="str">
            <v>bueno</v>
          </cell>
          <cell r="K5341" t="str">
            <v>probsi</v>
          </cell>
        </row>
        <row r="5342">
          <cell r="B5342" t="b">
            <v>1</v>
          </cell>
          <cell r="E5342" t="str">
            <v>San Francisco I</v>
          </cell>
          <cell r="H5342" t="str">
            <v>consulta_externa</v>
          </cell>
          <cell r="J5342" t="str">
            <v>bueno</v>
          </cell>
          <cell r="K5342" t="str">
            <v>probsi</v>
          </cell>
        </row>
        <row r="5343">
          <cell r="B5343" t="b">
            <v>1</v>
          </cell>
          <cell r="E5343" t="str">
            <v>San Francisco I</v>
          </cell>
          <cell r="H5343" t="str">
            <v>laboratorio</v>
          </cell>
          <cell r="J5343" t="str">
            <v>bueno</v>
          </cell>
          <cell r="K5343" t="str">
            <v>probsi</v>
          </cell>
        </row>
        <row r="5344">
          <cell r="B5344" t="b">
            <v>1</v>
          </cell>
          <cell r="E5344" t="str">
            <v>San Francisco I</v>
          </cell>
          <cell r="H5344" t="str">
            <v>laboratorio</v>
          </cell>
          <cell r="J5344" t="str">
            <v>bueno</v>
          </cell>
          <cell r="K5344" t="str">
            <v>probsi</v>
          </cell>
        </row>
        <row r="5345">
          <cell r="B5345" t="b">
            <v>1</v>
          </cell>
          <cell r="E5345" t="str">
            <v>San Francisco I</v>
          </cell>
          <cell r="H5345" t="str">
            <v>laboratorio</v>
          </cell>
          <cell r="J5345" t="str">
            <v>bueno</v>
          </cell>
          <cell r="K5345" t="str">
            <v>probsi</v>
          </cell>
        </row>
        <row r="5346">
          <cell r="B5346" t="b">
            <v>1</v>
          </cell>
          <cell r="E5346" t="str">
            <v>San Francisco I</v>
          </cell>
          <cell r="H5346" t="str">
            <v>laboratorio</v>
          </cell>
          <cell r="J5346" t="str">
            <v>bueno</v>
          </cell>
          <cell r="K5346" t="str">
            <v>probsi</v>
          </cell>
        </row>
        <row r="5347">
          <cell r="B5347" t="b">
            <v>1</v>
          </cell>
          <cell r="E5347" t="str">
            <v>San Francisco I</v>
          </cell>
          <cell r="H5347" t="str">
            <v>laboratorio</v>
          </cell>
          <cell r="J5347" t="str">
            <v>bueno</v>
          </cell>
          <cell r="K5347" t="str">
            <v>probsi</v>
          </cell>
        </row>
        <row r="5348">
          <cell r="B5348" t="b">
            <v>1</v>
          </cell>
          <cell r="E5348" t="str">
            <v>San Francisco I</v>
          </cell>
          <cell r="H5348" t="str">
            <v>laboratorio</v>
          </cell>
          <cell r="J5348" t="str">
            <v>bueno</v>
          </cell>
          <cell r="K5348" t="str">
            <v>probsi</v>
          </cell>
        </row>
        <row r="5349">
          <cell r="B5349" t="b">
            <v>1</v>
          </cell>
          <cell r="E5349" t="str">
            <v>San Francisco I</v>
          </cell>
          <cell r="H5349" t="str">
            <v>consulta_externa</v>
          </cell>
          <cell r="J5349" t="str">
            <v>bueno</v>
          </cell>
          <cell r="K5349" t="str">
            <v>probsi</v>
          </cell>
        </row>
        <row r="5350">
          <cell r="B5350" t="b">
            <v>1</v>
          </cell>
          <cell r="E5350" t="str">
            <v>San Francisco I</v>
          </cell>
          <cell r="H5350" t="str">
            <v>consulta_externa</v>
          </cell>
          <cell r="J5350" t="str">
            <v>bueno</v>
          </cell>
          <cell r="K5350" t="str">
            <v>probsi</v>
          </cell>
        </row>
        <row r="5351">
          <cell r="B5351" t="b">
            <v>1</v>
          </cell>
          <cell r="E5351" t="str">
            <v>Libano</v>
          </cell>
          <cell r="H5351" t="str">
            <v>consulta_externa</v>
          </cell>
          <cell r="J5351" t="str">
            <v>bueno</v>
          </cell>
          <cell r="K5351" t="str">
            <v>defsi</v>
          </cell>
        </row>
        <row r="5352">
          <cell r="B5352" t="b">
            <v>1</v>
          </cell>
          <cell r="E5352" t="str">
            <v>San Francisco I</v>
          </cell>
          <cell r="H5352" t="str">
            <v>consulta_externa</v>
          </cell>
          <cell r="J5352" t="str">
            <v>bueno</v>
          </cell>
          <cell r="K5352" t="str">
            <v>probsi</v>
          </cell>
        </row>
        <row r="5353">
          <cell r="B5353" t="b">
            <v>1</v>
          </cell>
          <cell r="E5353" t="str">
            <v>Libano</v>
          </cell>
          <cell r="H5353" t="str">
            <v>salud_oral</v>
          </cell>
          <cell r="J5353" t="str">
            <v>bueno</v>
          </cell>
          <cell r="K5353" t="str">
            <v>defsi</v>
          </cell>
        </row>
        <row r="5354">
          <cell r="B5354" t="b">
            <v>1</v>
          </cell>
          <cell r="E5354" t="str">
            <v>San Francisco I</v>
          </cell>
          <cell r="H5354" t="str">
            <v>consulta_externa</v>
          </cell>
          <cell r="J5354" t="str">
            <v>bueno</v>
          </cell>
          <cell r="K5354" t="str">
            <v>probsi</v>
          </cell>
        </row>
        <row r="5355">
          <cell r="B5355" t="b">
            <v>1</v>
          </cell>
          <cell r="E5355" t="str">
            <v>San Francisco I</v>
          </cell>
          <cell r="H5355" t="str">
            <v>consulta_externa</v>
          </cell>
          <cell r="J5355" t="str">
            <v>bueno</v>
          </cell>
          <cell r="K5355" t="str">
            <v>probsi</v>
          </cell>
        </row>
        <row r="5356">
          <cell r="B5356" t="b">
            <v>1</v>
          </cell>
          <cell r="E5356" t="str">
            <v>Libano</v>
          </cell>
          <cell r="H5356" t="str">
            <v>laboratorio</v>
          </cell>
          <cell r="J5356" t="str">
            <v>bueno</v>
          </cell>
          <cell r="K5356" t="str">
            <v>defsi</v>
          </cell>
        </row>
        <row r="5357">
          <cell r="B5357" t="b">
            <v>1</v>
          </cell>
          <cell r="E5357" t="str">
            <v>San Francisco I</v>
          </cell>
          <cell r="H5357" t="str">
            <v>consulta_externa</v>
          </cell>
          <cell r="J5357" t="str">
            <v>bueno</v>
          </cell>
          <cell r="K5357" t="str">
            <v>probsi</v>
          </cell>
        </row>
        <row r="5358">
          <cell r="B5358" t="b">
            <v>1</v>
          </cell>
          <cell r="E5358" t="str">
            <v>San Francisco I</v>
          </cell>
          <cell r="H5358" t="str">
            <v>consulta_externa</v>
          </cell>
          <cell r="J5358" t="str">
            <v>bueno</v>
          </cell>
          <cell r="K5358" t="str">
            <v>probsi</v>
          </cell>
        </row>
        <row r="5359">
          <cell r="B5359" t="b">
            <v>1</v>
          </cell>
          <cell r="E5359" t="str">
            <v>San Francisco I</v>
          </cell>
          <cell r="H5359" t="str">
            <v>consulta_externa</v>
          </cell>
          <cell r="J5359" t="str">
            <v>bueno</v>
          </cell>
          <cell r="K5359" t="str">
            <v>probsi</v>
          </cell>
        </row>
        <row r="5360">
          <cell r="B5360" t="b">
            <v>1</v>
          </cell>
          <cell r="E5360" t="str">
            <v>San Francisco I</v>
          </cell>
          <cell r="H5360" t="str">
            <v>consulta_externa</v>
          </cell>
          <cell r="J5360" t="str">
            <v>bueno</v>
          </cell>
          <cell r="K5360" t="str">
            <v>probsi</v>
          </cell>
        </row>
        <row r="5361">
          <cell r="B5361" t="b">
            <v>1</v>
          </cell>
          <cell r="E5361" t="str">
            <v>San Francisco I</v>
          </cell>
          <cell r="H5361" t="str">
            <v>consulta_externa</v>
          </cell>
          <cell r="J5361" t="str">
            <v>bueno</v>
          </cell>
          <cell r="K5361" t="str">
            <v>probsi</v>
          </cell>
        </row>
        <row r="5362">
          <cell r="B5362" t="b">
            <v>1</v>
          </cell>
          <cell r="E5362" t="str">
            <v>San Francisco I</v>
          </cell>
          <cell r="H5362" t="str">
            <v>consulta_externa</v>
          </cell>
          <cell r="J5362" t="str">
            <v>bueno</v>
          </cell>
          <cell r="K5362" t="str">
            <v>probsi</v>
          </cell>
        </row>
        <row r="5363">
          <cell r="B5363" t="b">
            <v>1</v>
          </cell>
          <cell r="E5363" t="str">
            <v>Libano</v>
          </cell>
          <cell r="H5363" t="str">
            <v>ecografias</v>
          </cell>
          <cell r="J5363" t="str">
            <v>bueno</v>
          </cell>
          <cell r="K5363" t="str">
            <v>defsi</v>
          </cell>
        </row>
        <row r="5364">
          <cell r="B5364" t="b">
            <v>1</v>
          </cell>
          <cell r="E5364" t="str">
            <v>San Francisco I</v>
          </cell>
          <cell r="H5364" t="str">
            <v>consulta_externa</v>
          </cell>
          <cell r="J5364" t="str">
            <v>bueno</v>
          </cell>
          <cell r="K5364" t="str">
            <v>probsi</v>
          </cell>
        </row>
        <row r="5365">
          <cell r="B5365" t="b">
            <v>1</v>
          </cell>
          <cell r="E5365" t="str">
            <v>San Francisco I</v>
          </cell>
          <cell r="H5365" t="str">
            <v>consulta_externa</v>
          </cell>
          <cell r="J5365" t="str">
            <v>bueno</v>
          </cell>
          <cell r="K5365" t="str">
            <v>probsi</v>
          </cell>
        </row>
        <row r="5366">
          <cell r="B5366" t="b">
            <v>1</v>
          </cell>
          <cell r="E5366" t="str">
            <v>Libano</v>
          </cell>
          <cell r="H5366" t="str">
            <v>ginecologia</v>
          </cell>
          <cell r="J5366" t="str">
            <v>bueno</v>
          </cell>
          <cell r="K5366" t="str">
            <v>defsi</v>
          </cell>
        </row>
        <row r="5367">
          <cell r="B5367" t="b">
            <v>1</v>
          </cell>
          <cell r="E5367" t="str">
            <v>San Francisco I</v>
          </cell>
          <cell r="H5367" t="str">
            <v>consulta_externa</v>
          </cell>
          <cell r="J5367" t="str">
            <v>bueno</v>
          </cell>
          <cell r="K5367" t="str">
            <v>probsi</v>
          </cell>
        </row>
        <row r="5368">
          <cell r="B5368" t="b">
            <v>1</v>
          </cell>
          <cell r="E5368" t="str">
            <v>San Francisco I</v>
          </cell>
          <cell r="H5368" t="str">
            <v>consulta_externa</v>
          </cell>
          <cell r="J5368" t="str">
            <v>bueno</v>
          </cell>
          <cell r="K5368" t="str">
            <v>probsi</v>
          </cell>
        </row>
        <row r="5369">
          <cell r="B5369" t="b">
            <v>1</v>
          </cell>
          <cell r="E5369" t="str">
            <v>San Francisco I</v>
          </cell>
          <cell r="H5369" t="str">
            <v>consulta_externa</v>
          </cell>
          <cell r="J5369" t="str">
            <v>bueno</v>
          </cell>
          <cell r="K5369" t="str">
            <v>probsi</v>
          </cell>
        </row>
        <row r="5370">
          <cell r="B5370" t="b">
            <v>1</v>
          </cell>
          <cell r="E5370" t="str">
            <v>Libano</v>
          </cell>
          <cell r="H5370" t="str">
            <v>pediatria</v>
          </cell>
          <cell r="J5370" t="str">
            <v>bueno</v>
          </cell>
          <cell r="K5370" t="str">
            <v>defsi</v>
          </cell>
        </row>
        <row r="5371">
          <cell r="B5371" t="b">
            <v>1</v>
          </cell>
          <cell r="E5371" t="str">
            <v>San Francisco I</v>
          </cell>
          <cell r="H5371" t="str">
            <v>consulta_externa</v>
          </cell>
          <cell r="J5371" t="str">
            <v>bueno</v>
          </cell>
          <cell r="K5371" t="str">
            <v>probsi</v>
          </cell>
        </row>
        <row r="5372">
          <cell r="B5372" t="b">
            <v>1</v>
          </cell>
          <cell r="E5372" t="str">
            <v>San Francisco I</v>
          </cell>
          <cell r="H5372" t="str">
            <v>consulta_externa</v>
          </cell>
          <cell r="J5372" t="str">
            <v>bueno</v>
          </cell>
          <cell r="K5372" t="str">
            <v>probsi</v>
          </cell>
        </row>
        <row r="5373">
          <cell r="B5373" t="b">
            <v>1</v>
          </cell>
          <cell r="E5373" t="str">
            <v>San Francisco I</v>
          </cell>
          <cell r="H5373" t="str">
            <v>consulta_externa</v>
          </cell>
          <cell r="J5373" t="str">
            <v>bueno</v>
          </cell>
          <cell r="K5373" t="str">
            <v>probsi</v>
          </cell>
        </row>
        <row r="5374">
          <cell r="B5374" t="b">
            <v>1</v>
          </cell>
          <cell r="E5374" t="str">
            <v>San Francisco I</v>
          </cell>
          <cell r="H5374" t="str">
            <v>consulta_externa</v>
          </cell>
          <cell r="J5374" t="str">
            <v>bueno</v>
          </cell>
          <cell r="K5374" t="str">
            <v>probsi</v>
          </cell>
        </row>
        <row r="5375">
          <cell r="B5375" t="b">
            <v>1</v>
          </cell>
          <cell r="E5375" t="str">
            <v>San Francisco I</v>
          </cell>
          <cell r="H5375" t="str">
            <v>consulta_externa</v>
          </cell>
          <cell r="J5375" t="str">
            <v>bueno</v>
          </cell>
          <cell r="K5375" t="str">
            <v>probsi</v>
          </cell>
        </row>
        <row r="5376">
          <cell r="B5376" t="b">
            <v>1</v>
          </cell>
          <cell r="E5376" t="str">
            <v>San Francisco I</v>
          </cell>
          <cell r="H5376" t="str">
            <v>consulta_externa</v>
          </cell>
          <cell r="J5376" t="str">
            <v>bueno</v>
          </cell>
          <cell r="K5376" t="str">
            <v>probsi</v>
          </cell>
        </row>
        <row r="5377">
          <cell r="B5377" t="b">
            <v>1</v>
          </cell>
          <cell r="E5377" t="str">
            <v>San Francisco I</v>
          </cell>
          <cell r="H5377" t="str">
            <v>consulta_externa</v>
          </cell>
          <cell r="J5377" t="str">
            <v>bueno</v>
          </cell>
          <cell r="K5377" t="str">
            <v>probsi</v>
          </cell>
        </row>
        <row r="5378">
          <cell r="B5378" t="b">
            <v>1</v>
          </cell>
          <cell r="E5378" t="str">
            <v>San Francisco I</v>
          </cell>
          <cell r="H5378" t="str">
            <v>consulta_externa</v>
          </cell>
          <cell r="J5378" t="str">
            <v>bueno</v>
          </cell>
          <cell r="K5378" t="str">
            <v>probsi</v>
          </cell>
        </row>
        <row r="5379">
          <cell r="B5379" t="b">
            <v>1</v>
          </cell>
          <cell r="E5379" t="str">
            <v>San Francisco I</v>
          </cell>
          <cell r="H5379" t="str">
            <v>consulta_externa</v>
          </cell>
          <cell r="J5379" t="str">
            <v>bueno</v>
          </cell>
          <cell r="K5379" t="str">
            <v>probsi</v>
          </cell>
        </row>
        <row r="5380">
          <cell r="B5380" t="b">
            <v>1</v>
          </cell>
          <cell r="E5380" t="str">
            <v>San Francisco I</v>
          </cell>
          <cell r="H5380" t="str">
            <v>consulta_externa</v>
          </cell>
          <cell r="J5380" t="str">
            <v>bueno</v>
          </cell>
          <cell r="K5380" t="str">
            <v>probsi</v>
          </cell>
        </row>
        <row r="5381">
          <cell r="B5381" t="b">
            <v>1</v>
          </cell>
          <cell r="E5381" t="str">
            <v>Nelson Mandela UPA</v>
          </cell>
          <cell r="H5381" t="str">
            <v>salud_oral</v>
          </cell>
          <cell r="J5381" t="str">
            <v>muybueno</v>
          </cell>
          <cell r="K5381" t="str">
            <v>defsi</v>
          </cell>
        </row>
        <row r="5382">
          <cell r="B5382" t="b">
            <v>1</v>
          </cell>
          <cell r="E5382" t="str">
            <v>San Francisco I</v>
          </cell>
          <cell r="H5382" t="str">
            <v>consulta_externa</v>
          </cell>
          <cell r="J5382" t="str">
            <v>bueno</v>
          </cell>
          <cell r="K5382" t="str">
            <v>probsi</v>
          </cell>
        </row>
        <row r="5383">
          <cell r="B5383" t="b">
            <v>1</v>
          </cell>
          <cell r="E5383" t="str">
            <v>Nelson Mandela UPA</v>
          </cell>
          <cell r="H5383" t="str">
            <v>urgencia</v>
          </cell>
          <cell r="J5383" t="str">
            <v>muybueno</v>
          </cell>
          <cell r="K5383" t="str">
            <v>defsi</v>
          </cell>
        </row>
        <row r="5384">
          <cell r="B5384" t="b">
            <v>1</v>
          </cell>
          <cell r="E5384" t="str">
            <v>San Francisco I</v>
          </cell>
          <cell r="H5384" t="str">
            <v>consulta_externa</v>
          </cell>
          <cell r="J5384" t="str">
            <v>bueno</v>
          </cell>
          <cell r="K5384" t="str">
            <v>probsi</v>
          </cell>
        </row>
        <row r="5385">
          <cell r="B5385" t="b">
            <v>1</v>
          </cell>
          <cell r="E5385" t="str">
            <v>San Francisco I</v>
          </cell>
          <cell r="H5385" t="str">
            <v>consulta_externa</v>
          </cell>
          <cell r="J5385" t="str">
            <v>bueno</v>
          </cell>
          <cell r="K5385" t="str">
            <v>probsi</v>
          </cell>
        </row>
        <row r="5386">
          <cell r="B5386" t="b">
            <v>1</v>
          </cell>
          <cell r="E5386" t="str">
            <v>San Francisco I</v>
          </cell>
          <cell r="H5386" t="str">
            <v>consulta_externa</v>
          </cell>
          <cell r="J5386" t="str">
            <v>bueno</v>
          </cell>
          <cell r="K5386" t="str">
            <v>probsi</v>
          </cell>
        </row>
        <row r="5387">
          <cell r="B5387" t="b">
            <v>1</v>
          </cell>
          <cell r="E5387" t="str">
            <v>San Francisco I</v>
          </cell>
          <cell r="H5387" t="str">
            <v>consulta_externa</v>
          </cell>
          <cell r="J5387" t="str">
            <v>bueno</v>
          </cell>
          <cell r="K5387" t="str">
            <v>probsi</v>
          </cell>
        </row>
        <row r="5388">
          <cell r="B5388" t="b">
            <v>1</v>
          </cell>
          <cell r="E5388" t="str">
            <v>San Francisco I</v>
          </cell>
          <cell r="H5388" t="str">
            <v>consulta_externa</v>
          </cell>
          <cell r="J5388" t="str">
            <v>bueno</v>
          </cell>
          <cell r="K5388" t="str">
            <v>probsi</v>
          </cell>
        </row>
        <row r="5389">
          <cell r="B5389" t="b">
            <v>1</v>
          </cell>
          <cell r="E5389" t="str">
            <v>San Francisco I</v>
          </cell>
          <cell r="H5389" t="str">
            <v>consulta_externa</v>
          </cell>
          <cell r="J5389" t="str">
            <v>bueno</v>
          </cell>
          <cell r="K5389" t="str">
            <v>probsi</v>
          </cell>
        </row>
        <row r="5390">
          <cell r="B5390" t="b">
            <v>1</v>
          </cell>
          <cell r="E5390" t="str">
            <v>San Francisco I</v>
          </cell>
          <cell r="H5390" t="str">
            <v>laboratorio</v>
          </cell>
          <cell r="J5390" t="str">
            <v>bueno</v>
          </cell>
          <cell r="K5390" t="str">
            <v>probsi</v>
          </cell>
        </row>
        <row r="5391">
          <cell r="B5391" t="b">
            <v>1</v>
          </cell>
          <cell r="E5391" t="str">
            <v>San Francisco I</v>
          </cell>
          <cell r="H5391" t="str">
            <v>laboratorio</v>
          </cell>
          <cell r="J5391" t="str">
            <v>bueno</v>
          </cell>
          <cell r="K5391" t="str">
            <v>probsi</v>
          </cell>
        </row>
        <row r="5392">
          <cell r="B5392" t="b">
            <v>1</v>
          </cell>
          <cell r="E5392" t="str">
            <v>San Francisco I</v>
          </cell>
          <cell r="H5392" t="str">
            <v>laboratorio</v>
          </cell>
          <cell r="J5392" t="str">
            <v>bueno</v>
          </cell>
          <cell r="K5392" t="str">
            <v>probsi</v>
          </cell>
        </row>
        <row r="5393">
          <cell r="B5393" t="b">
            <v>1</v>
          </cell>
          <cell r="E5393" t="str">
            <v>San Francisco I</v>
          </cell>
          <cell r="H5393" t="str">
            <v>laboratorio</v>
          </cell>
          <cell r="J5393" t="str">
            <v>bueno</v>
          </cell>
          <cell r="K5393" t="str">
            <v>probsi</v>
          </cell>
        </row>
        <row r="5394">
          <cell r="B5394" t="b">
            <v>1</v>
          </cell>
          <cell r="E5394" t="str">
            <v>San Francisco I</v>
          </cell>
          <cell r="H5394" t="str">
            <v>laboratorio</v>
          </cell>
          <cell r="J5394" t="str">
            <v>bueno</v>
          </cell>
          <cell r="K5394" t="str">
            <v>probsi</v>
          </cell>
        </row>
        <row r="5395">
          <cell r="B5395" t="b">
            <v>1</v>
          </cell>
          <cell r="E5395" t="str">
            <v>San Francisco I</v>
          </cell>
          <cell r="H5395" t="str">
            <v>salud_oral</v>
          </cell>
          <cell r="J5395" t="str">
            <v>bueno</v>
          </cell>
          <cell r="K5395" t="str">
            <v>probsi</v>
          </cell>
        </row>
        <row r="5396">
          <cell r="B5396" t="b">
            <v>1</v>
          </cell>
          <cell r="E5396" t="str">
            <v>San Francisco I</v>
          </cell>
          <cell r="H5396" t="str">
            <v>salud_oral</v>
          </cell>
          <cell r="J5396" t="str">
            <v>bueno</v>
          </cell>
          <cell r="K5396" t="str">
            <v>probsi</v>
          </cell>
        </row>
        <row r="5397">
          <cell r="B5397" t="b">
            <v>1</v>
          </cell>
          <cell r="E5397" t="str">
            <v>San Francisco I</v>
          </cell>
          <cell r="H5397" t="str">
            <v>salud_oral</v>
          </cell>
          <cell r="J5397" t="str">
            <v>bueno</v>
          </cell>
          <cell r="K5397" t="str">
            <v>probsi</v>
          </cell>
        </row>
        <row r="5398">
          <cell r="B5398" t="b">
            <v>1</v>
          </cell>
          <cell r="E5398" t="str">
            <v>San Francisco I</v>
          </cell>
          <cell r="H5398" t="str">
            <v>salud_oral</v>
          </cell>
          <cell r="J5398" t="str">
            <v>bueno</v>
          </cell>
          <cell r="K5398" t="str">
            <v>probsi</v>
          </cell>
        </row>
        <row r="5399">
          <cell r="B5399" t="b">
            <v>1</v>
          </cell>
          <cell r="E5399" t="str">
            <v>San Francisco I</v>
          </cell>
          <cell r="H5399" t="str">
            <v>salud_oral</v>
          </cell>
          <cell r="J5399" t="str">
            <v>bueno</v>
          </cell>
          <cell r="K5399" t="str">
            <v>probsi</v>
          </cell>
        </row>
        <row r="5400">
          <cell r="B5400" t="b">
            <v>1</v>
          </cell>
          <cell r="E5400" t="str">
            <v>San Francisco I</v>
          </cell>
          <cell r="H5400" t="str">
            <v>salud_oral</v>
          </cell>
          <cell r="J5400" t="str">
            <v>bueno</v>
          </cell>
          <cell r="K5400" t="str">
            <v>probsi</v>
          </cell>
        </row>
        <row r="5401">
          <cell r="B5401" t="b">
            <v>1</v>
          </cell>
          <cell r="E5401" t="str">
            <v>Nelson Mandela UPA</v>
          </cell>
          <cell r="H5401" t="str">
            <v>salud_oral</v>
          </cell>
          <cell r="J5401" t="str">
            <v>bueno</v>
          </cell>
          <cell r="K5401" t="str">
            <v>defsi</v>
          </cell>
        </row>
        <row r="5402">
          <cell r="B5402" t="b">
            <v>1</v>
          </cell>
          <cell r="E5402" t="str">
            <v>San Francisco I</v>
          </cell>
          <cell r="H5402" t="str">
            <v>laboratorio</v>
          </cell>
          <cell r="J5402" t="str">
            <v>bueno</v>
          </cell>
          <cell r="K5402" t="str">
            <v>probsi</v>
          </cell>
        </row>
        <row r="5403">
          <cell r="B5403" t="b">
            <v>1</v>
          </cell>
          <cell r="E5403" t="str">
            <v>San Francisco I</v>
          </cell>
          <cell r="H5403" t="str">
            <v>laboratorio</v>
          </cell>
          <cell r="J5403" t="str">
            <v>bueno</v>
          </cell>
          <cell r="K5403" t="str">
            <v>probsi</v>
          </cell>
        </row>
        <row r="5404">
          <cell r="B5404" t="b">
            <v>1</v>
          </cell>
          <cell r="E5404" t="str">
            <v>San Francisco I</v>
          </cell>
          <cell r="H5404" t="str">
            <v>laboratorio</v>
          </cell>
          <cell r="J5404" t="str">
            <v>bueno</v>
          </cell>
          <cell r="K5404" t="str">
            <v>probsi</v>
          </cell>
        </row>
        <row r="5405">
          <cell r="B5405" t="b">
            <v>0</v>
          </cell>
          <cell r="E5405" t="str">
            <v>Nelson Mandela UPA</v>
          </cell>
          <cell r="H5405" t="str">
            <v>salud_oral</v>
          </cell>
          <cell r="J5405" t="str">
            <v>regular</v>
          </cell>
          <cell r="K5405" t="str">
            <v>probsi</v>
          </cell>
        </row>
        <row r="5406">
          <cell r="B5406" t="b">
            <v>1</v>
          </cell>
          <cell r="E5406" t="str">
            <v>Punta Canoa</v>
          </cell>
          <cell r="H5406" t="str">
            <v>consulta_externa</v>
          </cell>
          <cell r="J5406" t="str">
            <v>bueno</v>
          </cell>
          <cell r="K5406" t="str">
            <v>probsi</v>
          </cell>
        </row>
        <row r="5407">
          <cell r="B5407" t="b">
            <v>1</v>
          </cell>
          <cell r="E5407" t="str">
            <v>Punta Canoa</v>
          </cell>
          <cell r="H5407" t="str">
            <v>laboratorio</v>
          </cell>
          <cell r="J5407" t="str">
            <v>bueno</v>
          </cell>
          <cell r="K5407" t="str">
            <v>probsi</v>
          </cell>
        </row>
        <row r="5408">
          <cell r="B5408" t="b">
            <v>1</v>
          </cell>
          <cell r="E5408" t="str">
            <v>Punta Canoa</v>
          </cell>
          <cell r="H5408" t="str">
            <v>salud_oral</v>
          </cell>
          <cell r="J5408" t="str">
            <v>bueno</v>
          </cell>
          <cell r="K5408" t="str">
            <v>probsi</v>
          </cell>
        </row>
        <row r="5409">
          <cell r="B5409" t="b">
            <v>1</v>
          </cell>
          <cell r="E5409" t="str">
            <v>Nelson Mandela UPA</v>
          </cell>
          <cell r="H5409" t="str">
            <v>salud_oral</v>
          </cell>
          <cell r="J5409" t="str">
            <v>bueno</v>
          </cell>
          <cell r="K5409" t="str">
            <v>defsi</v>
          </cell>
        </row>
        <row r="5410">
          <cell r="B5410" t="b">
            <v>1</v>
          </cell>
          <cell r="E5410" t="str">
            <v>Nelson Mandela UPA</v>
          </cell>
          <cell r="H5410" t="str">
            <v>consulta_externa</v>
          </cell>
          <cell r="J5410" t="str">
            <v>bueno</v>
          </cell>
          <cell r="K5410" t="str">
            <v>defsi</v>
          </cell>
        </row>
        <row r="5411">
          <cell r="B5411" t="b">
            <v>1</v>
          </cell>
          <cell r="E5411" t="str">
            <v>Nelson Mandela UPA</v>
          </cell>
          <cell r="H5411" t="str">
            <v>laboratorio</v>
          </cell>
          <cell r="J5411" t="str">
            <v>bueno</v>
          </cell>
          <cell r="K5411" t="str">
            <v>defsi</v>
          </cell>
        </row>
        <row r="5412">
          <cell r="B5412" t="b">
            <v>1</v>
          </cell>
          <cell r="E5412" t="str">
            <v>Nelson Mandela UPA</v>
          </cell>
          <cell r="H5412" t="str">
            <v>laboratorio</v>
          </cell>
          <cell r="J5412" t="str">
            <v>bueno</v>
          </cell>
          <cell r="K5412" t="str">
            <v>defsi</v>
          </cell>
        </row>
        <row r="5413">
          <cell r="B5413" t="b">
            <v>1</v>
          </cell>
          <cell r="E5413" t="str">
            <v>Nelson Mandela UPA</v>
          </cell>
          <cell r="H5413" t="str">
            <v>laboratorio</v>
          </cell>
          <cell r="J5413" t="str">
            <v>bueno</v>
          </cell>
          <cell r="K5413" t="str">
            <v>defsi</v>
          </cell>
        </row>
        <row r="5414">
          <cell r="B5414" t="b">
            <v>1</v>
          </cell>
          <cell r="E5414" t="str">
            <v>Nelson Mandela UPA</v>
          </cell>
          <cell r="H5414" t="str">
            <v>laboratorio</v>
          </cell>
          <cell r="J5414" t="str">
            <v>bueno</v>
          </cell>
          <cell r="K5414" t="str">
            <v>defsi</v>
          </cell>
        </row>
        <row r="5415">
          <cell r="B5415" t="b">
            <v>1</v>
          </cell>
          <cell r="E5415" t="str">
            <v>Punta Canoa</v>
          </cell>
          <cell r="H5415" t="str">
            <v>consulta_externa</v>
          </cell>
          <cell r="J5415" t="str">
            <v>bueno</v>
          </cell>
          <cell r="K5415" t="str">
            <v>probsi</v>
          </cell>
        </row>
        <row r="5416">
          <cell r="B5416" t="b">
            <v>1</v>
          </cell>
          <cell r="E5416" t="str">
            <v>Punta Canoa</v>
          </cell>
          <cell r="H5416" t="str">
            <v>salud_oral</v>
          </cell>
          <cell r="J5416" t="str">
            <v>bueno</v>
          </cell>
          <cell r="K5416" t="str">
            <v>probsi</v>
          </cell>
        </row>
        <row r="5417">
          <cell r="B5417" t="b">
            <v>1</v>
          </cell>
          <cell r="E5417" t="str">
            <v>Punta Canoa</v>
          </cell>
          <cell r="H5417" t="str">
            <v>laboratorio</v>
          </cell>
          <cell r="J5417" t="str">
            <v>bueno</v>
          </cell>
          <cell r="K5417" t="str">
            <v>probsi</v>
          </cell>
        </row>
        <row r="5418">
          <cell r="B5418" t="b">
            <v>1</v>
          </cell>
          <cell r="E5418" t="str">
            <v>Punta Canoa</v>
          </cell>
          <cell r="H5418" t="str">
            <v>consulta_externa</v>
          </cell>
          <cell r="J5418" t="str">
            <v>muybueno</v>
          </cell>
          <cell r="K5418" t="str">
            <v>probsi</v>
          </cell>
        </row>
        <row r="5419">
          <cell r="B5419" t="b">
            <v>1</v>
          </cell>
          <cell r="E5419" t="str">
            <v>Nelson Mandela UPA</v>
          </cell>
          <cell r="H5419" t="str">
            <v>laboratorio</v>
          </cell>
          <cell r="J5419" t="str">
            <v>bueno</v>
          </cell>
          <cell r="K5419" t="str">
            <v>defsi</v>
          </cell>
        </row>
        <row r="5420">
          <cell r="B5420" t="b">
            <v>1</v>
          </cell>
          <cell r="E5420" t="str">
            <v>Punta Canoa</v>
          </cell>
          <cell r="H5420" t="str">
            <v>salud_oral</v>
          </cell>
          <cell r="J5420" t="str">
            <v>bueno</v>
          </cell>
          <cell r="K5420" t="str">
            <v>probsi</v>
          </cell>
        </row>
        <row r="5421">
          <cell r="B5421" t="b">
            <v>1</v>
          </cell>
          <cell r="E5421" t="str">
            <v>Punta Canoa</v>
          </cell>
          <cell r="H5421" t="str">
            <v>laboratorio</v>
          </cell>
          <cell r="J5421" t="str">
            <v>bueno</v>
          </cell>
          <cell r="K5421" t="str">
            <v>probsi</v>
          </cell>
        </row>
        <row r="5422">
          <cell r="B5422" t="b">
            <v>1</v>
          </cell>
          <cell r="E5422" t="str">
            <v>Nelson Mandela UPA</v>
          </cell>
          <cell r="H5422" t="str">
            <v>laboratorio</v>
          </cell>
          <cell r="J5422" t="str">
            <v>bueno</v>
          </cell>
          <cell r="K5422" t="str">
            <v>defsi</v>
          </cell>
        </row>
        <row r="5423">
          <cell r="B5423" t="b">
            <v>1</v>
          </cell>
          <cell r="E5423" t="str">
            <v>Nelson Mandela UPA</v>
          </cell>
          <cell r="H5423" t="str">
            <v>laboratorio</v>
          </cell>
          <cell r="J5423" t="str">
            <v>bueno</v>
          </cell>
          <cell r="K5423" t="str">
            <v>defsi</v>
          </cell>
        </row>
        <row r="5424">
          <cell r="B5424" t="b">
            <v>0</v>
          </cell>
          <cell r="E5424" t="str">
            <v>Nelson Mandela UPA</v>
          </cell>
          <cell r="H5424" t="str">
            <v>consulta_externa</v>
          </cell>
          <cell r="J5424" t="str">
            <v>regular</v>
          </cell>
          <cell r="K5424" t="str">
            <v>defsi</v>
          </cell>
        </row>
        <row r="5425">
          <cell r="B5425" t="b">
            <v>1</v>
          </cell>
          <cell r="E5425" t="str">
            <v>Nelson Mandela UPA</v>
          </cell>
          <cell r="H5425" t="str">
            <v>laboratorio</v>
          </cell>
          <cell r="J5425" t="str">
            <v>bueno</v>
          </cell>
          <cell r="K5425" t="str">
            <v>probsi</v>
          </cell>
        </row>
        <row r="5426">
          <cell r="B5426" t="b">
            <v>1</v>
          </cell>
          <cell r="E5426" t="str">
            <v>Nelson Mandela UPA</v>
          </cell>
          <cell r="H5426" t="str">
            <v>consulta_externa</v>
          </cell>
          <cell r="J5426" t="str">
            <v>bueno</v>
          </cell>
          <cell r="K5426" t="str">
            <v>defsi</v>
          </cell>
        </row>
        <row r="5427">
          <cell r="B5427" t="b">
            <v>1</v>
          </cell>
          <cell r="E5427" t="str">
            <v>Punta Canoa</v>
          </cell>
          <cell r="H5427" t="str">
            <v>consulta_externa</v>
          </cell>
          <cell r="J5427" t="str">
            <v>bueno</v>
          </cell>
          <cell r="K5427" t="str">
            <v>probsi</v>
          </cell>
        </row>
        <row r="5428">
          <cell r="B5428" t="b">
            <v>1</v>
          </cell>
          <cell r="E5428" t="str">
            <v>Punta Canoa</v>
          </cell>
          <cell r="H5428" t="str">
            <v>salud_oral</v>
          </cell>
          <cell r="J5428" t="str">
            <v>bueno</v>
          </cell>
          <cell r="K5428" t="str">
            <v>probsi</v>
          </cell>
        </row>
        <row r="5429">
          <cell r="B5429" t="b">
            <v>1</v>
          </cell>
          <cell r="E5429" t="str">
            <v>Punta Canoa</v>
          </cell>
          <cell r="H5429" t="str">
            <v>consulta_externa</v>
          </cell>
          <cell r="J5429" t="str">
            <v>bueno</v>
          </cell>
          <cell r="K5429" t="str">
            <v>probsi</v>
          </cell>
        </row>
        <row r="5430">
          <cell r="B5430" t="b">
            <v>1</v>
          </cell>
          <cell r="E5430" t="str">
            <v>Punta Canoa</v>
          </cell>
          <cell r="H5430" t="str">
            <v>laboratorio</v>
          </cell>
          <cell r="J5430" t="str">
            <v>bueno</v>
          </cell>
          <cell r="K5430" t="str">
            <v>probsi</v>
          </cell>
        </row>
        <row r="5431">
          <cell r="B5431" t="b">
            <v>1</v>
          </cell>
          <cell r="E5431" t="str">
            <v>San Francisco I</v>
          </cell>
          <cell r="H5431" t="str">
            <v>consulta_externa</v>
          </cell>
          <cell r="J5431" t="str">
            <v>bueno</v>
          </cell>
          <cell r="K5431" t="str">
            <v>probsi</v>
          </cell>
        </row>
        <row r="5432">
          <cell r="B5432" t="b">
            <v>1</v>
          </cell>
          <cell r="E5432" t="str">
            <v>San Francisco I</v>
          </cell>
          <cell r="H5432" t="str">
            <v>consulta_externa</v>
          </cell>
          <cell r="J5432" t="str">
            <v>bueno</v>
          </cell>
          <cell r="K5432" t="str">
            <v>probsi</v>
          </cell>
        </row>
        <row r="5433">
          <cell r="B5433" t="b">
            <v>1</v>
          </cell>
          <cell r="E5433" t="str">
            <v>San Francisco I</v>
          </cell>
          <cell r="H5433" t="str">
            <v>consulta_externa</v>
          </cell>
          <cell r="J5433" t="str">
            <v>bueno</v>
          </cell>
          <cell r="K5433" t="str">
            <v>probsi</v>
          </cell>
        </row>
        <row r="5434">
          <cell r="B5434" t="b">
            <v>1</v>
          </cell>
          <cell r="E5434" t="str">
            <v>Libano</v>
          </cell>
          <cell r="H5434" t="str">
            <v>consulta_externa</v>
          </cell>
          <cell r="J5434" t="str">
            <v>bueno</v>
          </cell>
          <cell r="K5434" t="str">
            <v>defsi</v>
          </cell>
        </row>
        <row r="5435">
          <cell r="B5435" t="b">
            <v>1</v>
          </cell>
          <cell r="E5435" t="str">
            <v>San Francisco I</v>
          </cell>
          <cell r="H5435" t="str">
            <v>consulta_externa</v>
          </cell>
          <cell r="J5435" t="str">
            <v>bueno</v>
          </cell>
          <cell r="K5435" t="str">
            <v>probsi</v>
          </cell>
        </row>
        <row r="5436">
          <cell r="B5436" t="b">
            <v>1</v>
          </cell>
          <cell r="E5436" t="str">
            <v>San Francisco I</v>
          </cell>
          <cell r="H5436" t="str">
            <v>salud_oral</v>
          </cell>
          <cell r="J5436" t="str">
            <v>bueno</v>
          </cell>
          <cell r="K5436" t="str">
            <v>probsi</v>
          </cell>
        </row>
        <row r="5437">
          <cell r="B5437" t="b">
            <v>1</v>
          </cell>
          <cell r="E5437" t="str">
            <v>San Francisco I</v>
          </cell>
          <cell r="H5437" t="str">
            <v>salud_oral</v>
          </cell>
          <cell r="J5437" t="str">
            <v>bueno</v>
          </cell>
          <cell r="K5437" t="str">
            <v>probsi</v>
          </cell>
        </row>
        <row r="5438">
          <cell r="B5438" t="b">
            <v>1</v>
          </cell>
          <cell r="E5438" t="str">
            <v>San Francisco I</v>
          </cell>
          <cell r="H5438" t="str">
            <v>salud_oral</v>
          </cell>
          <cell r="J5438" t="str">
            <v>bueno</v>
          </cell>
          <cell r="K5438" t="str">
            <v>probsi</v>
          </cell>
        </row>
        <row r="5439">
          <cell r="B5439" t="b">
            <v>1</v>
          </cell>
          <cell r="E5439" t="str">
            <v>San Francisco I</v>
          </cell>
          <cell r="H5439" t="str">
            <v>salud_oral</v>
          </cell>
          <cell r="J5439" t="str">
            <v>bueno</v>
          </cell>
          <cell r="K5439" t="str">
            <v>probsi</v>
          </cell>
        </row>
        <row r="5440">
          <cell r="B5440" t="b">
            <v>1</v>
          </cell>
          <cell r="E5440" t="str">
            <v>San Francisco I</v>
          </cell>
          <cell r="H5440" t="str">
            <v>salud_oral</v>
          </cell>
          <cell r="J5440" t="str">
            <v>bueno</v>
          </cell>
          <cell r="K5440" t="str">
            <v>probsi</v>
          </cell>
        </row>
        <row r="5441">
          <cell r="B5441" t="b">
            <v>1</v>
          </cell>
          <cell r="E5441" t="str">
            <v>San Francisco I</v>
          </cell>
          <cell r="H5441" t="str">
            <v>salud_oral</v>
          </cell>
          <cell r="J5441" t="str">
            <v>bueno</v>
          </cell>
          <cell r="K5441" t="str">
            <v>probsi</v>
          </cell>
        </row>
        <row r="5442">
          <cell r="B5442" t="b">
            <v>1</v>
          </cell>
          <cell r="E5442" t="str">
            <v>Libano</v>
          </cell>
          <cell r="H5442" t="str">
            <v>salud_oral</v>
          </cell>
          <cell r="J5442" t="str">
            <v>bueno</v>
          </cell>
          <cell r="K5442" t="str">
            <v>defsi</v>
          </cell>
        </row>
        <row r="5443">
          <cell r="B5443" t="b">
            <v>1</v>
          </cell>
          <cell r="E5443" t="str">
            <v>San Francisco I</v>
          </cell>
          <cell r="H5443" t="str">
            <v>salud_oral</v>
          </cell>
          <cell r="J5443" t="str">
            <v>bueno</v>
          </cell>
          <cell r="K5443" t="str">
            <v>probsi</v>
          </cell>
        </row>
        <row r="5444">
          <cell r="B5444" t="b">
            <v>1</v>
          </cell>
          <cell r="E5444" t="str">
            <v>San Francisco I</v>
          </cell>
          <cell r="H5444" t="str">
            <v>salud_oral</v>
          </cell>
          <cell r="J5444" t="str">
            <v>bueno</v>
          </cell>
          <cell r="K5444" t="str">
            <v>probsi</v>
          </cell>
        </row>
        <row r="5445">
          <cell r="B5445" t="b">
            <v>1</v>
          </cell>
          <cell r="E5445" t="str">
            <v>San Francisco I</v>
          </cell>
          <cell r="H5445" t="str">
            <v>consulta_externa</v>
          </cell>
          <cell r="J5445" t="str">
            <v>bueno</v>
          </cell>
          <cell r="K5445" t="str">
            <v>probsi</v>
          </cell>
        </row>
        <row r="5446">
          <cell r="B5446" t="b">
            <v>1</v>
          </cell>
          <cell r="E5446" t="str">
            <v>Libano</v>
          </cell>
          <cell r="H5446" t="str">
            <v>salud_oral</v>
          </cell>
          <cell r="J5446" t="str">
            <v>bueno</v>
          </cell>
          <cell r="K5446" t="str">
            <v>defsi</v>
          </cell>
        </row>
        <row r="5447">
          <cell r="B5447" t="b">
            <v>1</v>
          </cell>
          <cell r="E5447" t="str">
            <v>San Francisco I</v>
          </cell>
          <cell r="H5447" t="str">
            <v>consulta_externa</v>
          </cell>
          <cell r="J5447" t="str">
            <v>bueno</v>
          </cell>
          <cell r="K5447" t="str">
            <v>probsi</v>
          </cell>
        </row>
        <row r="5448">
          <cell r="B5448" t="b">
            <v>1</v>
          </cell>
          <cell r="E5448" t="str">
            <v>San Francisco I</v>
          </cell>
          <cell r="H5448" t="str">
            <v>consulta_externa</v>
          </cell>
          <cell r="J5448" t="str">
            <v>bueno</v>
          </cell>
          <cell r="K5448" t="str">
            <v>probsi</v>
          </cell>
        </row>
        <row r="5449">
          <cell r="B5449" t="b">
            <v>1</v>
          </cell>
          <cell r="E5449" t="str">
            <v>San Francisco I</v>
          </cell>
          <cell r="H5449" t="str">
            <v>consulta_externa</v>
          </cell>
          <cell r="J5449" t="str">
            <v>bueno</v>
          </cell>
          <cell r="K5449" t="str">
            <v>probsi</v>
          </cell>
        </row>
        <row r="5450">
          <cell r="B5450" t="b">
            <v>1</v>
          </cell>
          <cell r="E5450" t="str">
            <v>San Francisco I</v>
          </cell>
          <cell r="H5450" t="str">
            <v>consulta_externa</v>
          </cell>
          <cell r="J5450" t="str">
            <v>bueno</v>
          </cell>
          <cell r="K5450" t="str">
            <v>probsi</v>
          </cell>
        </row>
        <row r="5451">
          <cell r="B5451" t="b">
            <v>1</v>
          </cell>
          <cell r="E5451" t="str">
            <v>Libano</v>
          </cell>
          <cell r="H5451" t="str">
            <v>laboratorio</v>
          </cell>
          <cell r="J5451" t="str">
            <v>bueno</v>
          </cell>
          <cell r="K5451" t="str">
            <v>defsi</v>
          </cell>
        </row>
        <row r="5452">
          <cell r="B5452" t="b">
            <v>1</v>
          </cell>
          <cell r="E5452" t="str">
            <v>Punta Canoa</v>
          </cell>
          <cell r="H5452" t="str">
            <v>salud_oral</v>
          </cell>
          <cell r="J5452" t="str">
            <v>muybueno</v>
          </cell>
          <cell r="K5452" t="str">
            <v>probsi</v>
          </cell>
        </row>
        <row r="5453">
          <cell r="B5453" t="b">
            <v>1</v>
          </cell>
          <cell r="E5453" t="str">
            <v>Punta Canoa</v>
          </cell>
          <cell r="H5453" t="str">
            <v>laboratorio</v>
          </cell>
          <cell r="J5453" t="str">
            <v>bueno</v>
          </cell>
          <cell r="K5453" t="str">
            <v>probsi</v>
          </cell>
        </row>
        <row r="5454">
          <cell r="B5454" t="b">
            <v>1</v>
          </cell>
          <cell r="E5454" t="str">
            <v>Libano</v>
          </cell>
          <cell r="H5454" t="str">
            <v>consulta_externa</v>
          </cell>
          <cell r="J5454" t="str">
            <v>bueno</v>
          </cell>
          <cell r="K5454" t="str">
            <v>defsi</v>
          </cell>
        </row>
        <row r="5455">
          <cell r="B5455" t="b">
            <v>1</v>
          </cell>
          <cell r="E5455" t="str">
            <v>Punta Canoa</v>
          </cell>
          <cell r="H5455" t="str">
            <v>laboratorio</v>
          </cell>
          <cell r="J5455" t="str">
            <v>bueno</v>
          </cell>
          <cell r="K5455" t="str">
            <v>probsi</v>
          </cell>
        </row>
        <row r="5456">
          <cell r="B5456" t="b">
            <v>1</v>
          </cell>
          <cell r="E5456" t="str">
            <v>Punta Canoa</v>
          </cell>
          <cell r="H5456" t="str">
            <v>laboratorio</v>
          </cell>
          <cell r="J5456" t="str">
            <v>bueno</v>
          </cell>
          <cell r="K5456" t="str">
            <v>probsi</v>
          </cell>
        </row>
        <row r="5457">
          <cell r="B5457" t="b">
            <v>1</v>
          </cell>
          <cell r="E5457" t="str">
            <v>Punta Canoa</v>
          </cell>
          <cell r="H5457" t="str">
            <v>laboratorio</v>
          </cell>
          <cell r="J5457" t="str">
            <v>bueno</v>
          </cell>
          <cell r="K5457" t="str">
            <v>probsi</v>
          </cell>
        </row>
        <row r="5458">
          <cell r="B5458" t="b">
            <v>1</v>
          </cell>
          <cell r="E5458" t="str">
            <v>Libano</v>
          </cell>
          <cell r="H5458" t="str">
            <v>salud_oral</v>
          </cell>
          <cell r="J5458" t="str">
            <v>bueno</v>
          </cell>
          <cell r="K5458" t="str">
            <v>defsi</v>
          </cell>
        </row>
        <row r="5459">
          <cell r="B5459" t="b">
            <v>1</v>
          </cell>
          <cell r="E5459" t="str">
            <v>Punta Canoa</v>
          </cell>
          <cell r="H5459" t="str">
            <v>laboratorio</v>
          </cell>
          <cell r="J5459" t="str">
            <v>bueno</v>
          </cell>
          <cell r="K5459" t="str">
            <v>probsi</v>
          </cell>
        </row>
        <row r="5460">
          <cell r="B5460" t="b">
            <v>1</v>
          </cell>
          <cell r="E5460" t="str">
            <v>Punta Canoa</v>
          </cell>
          <cell r="H5460" t="str">
            <v>laboratorio</v>
          </cell>
          <cell r="J5460" t="str">
            <v>bueno</v>
          </cell>
          <cell r="K5460" t="str">
            <v>probsi</v>
          </cell>
        </row>
        <row r="5461">
          <cell r="B5461" t="b">
            <v>1</v>
          </cell>
          <cell r="E5461" t="str">
            <v>Punta Canoa</v>
          </cell>
          <cell r="H5461" t="str">
            <v>laboratorio</v>
          </cell>
          <cell r="J5461" t="str">
            <v>bueno</v>
          </cell>
          <cell r="K5461" t="str">
            <v>probsi</v>
          </cell>
        </row>
        <row r="5462">
          <cell r="B5462" t="b">
            <v>1</v>
          </cell>
          <cell r="E5462" t="str">
            <v>Libano</v>
          </cell>
          <cell r="H5462" t="str">
            <v>laboratorio</v>
          </cell>
          <cell r="J5462" t="str">
            <v>bueno</v>
          </cell>
          <cell r="K5462" t="str">
            <v>defsi</v>
          </cell>
        </row>
        <row r="5463">
          <cell r="B5463" t="b">
            <v>1</v>
          </cell>
          <cell r="E5463" t="str">
            <v>Libano</v>
          </cell>
          <cell r="H5463" t="str">
            <v>pediatria</v>
          </cell>
          <cell r="J5463" t="str">
            <v>bueno</v>
          </cell>
          <cell r="K5463" t="str">
            <v>defsi</v>
          </cell>
        </row>
        <row r="5464">
          <cell r="B5464" t="b">
            <v>1</v>
          </cell>
          <cell r="E5464" t="str">
            <v>Nelson Mandela UPA</v>
          </cell>
          <cell r="H5464" t="str">
            <v>urgencia</v>
          </cell>
          <cell r="J5464" t="str">
            <v>bueno</v>
          </cell>
          <cell r="K5464" t="str">
            <v>defsi</v>
          </cell>
        </row>
        <row r="5465">
          <cell r="B5465" t="b">
            <v>1</v>
          </cell>
          <cell r="E5465" t="str">
            <v>Libano</v>
          </cell>
          <cell r="H5465" t="str">
            <v>consulta_externa</v>
          </cell>
          <cell r="J5465" t="str">
            <v>bueno</v>
          </cell>
          <cell r="K5465" t="str">
            <v>defsi</v>
          </cell>
        </row>
        <row r="5466">
          <cell r="B5466" t="b">
            <v>1</v>
          </cell>
          <cell r="E5466" t="str">
            <v>Libano</v>
          </cell>
          <cell r="H5466" t="str">
            <v>salud_oral</v>
          </cell>
          <cell r="J5466" t="str">
            <v>bueno</v>
          </cell>
          <cell r="K5466" t="str">
            <v>defsi</v>
          </cell>
        </row>
        <row r="5467">
          <cell r="B5467" t="b">
            <v>1</v>
          </cell>
          <cell r="E5467" t="str">
            <v>Libano</v>
          </cell>
          <cell r="H5467" t="str">
            <v>laboratorio</v>
          </cell>
          <cell r="J5467" t="str">
            <v>bueno</v>
          </cell>
          <cell r="K5467" t="str">
            <v>defsi</v>
          </cell>
        </row>
        <row r="5468">
          <cell r="B5468" t="b">
            <v>1</v>
          </cell>
          <cell r="E5468" t="str">
            <v>Libano</v>
          </cell>
          <cell r="H5468" t="str">
            <v>pediatria</v>
          </cell>
          <cell r="J5468" t="str">
            <v>bueno</v>
          </cell>
          <cell r="K5468" t="str">
            <v>defsi</v>
          </cell>
        </row>
        <row r="5469">
          <cell r="B5469" t="b">
            <v>1</v>
          </cell>
          <cell r="E5469" t="str">
            <v>Libano</v>
          </cell>
          <cell r="H5469" t="str">
            <v>consulta_externa</v>
          </cell>
          <cell r="J5469" t="str">
            <v>bueno</v>
          </cell>
          <cell r="K5469" t="str">
            <v>defsi</v>
          </cell>
        </row>
        <row r="5470">
          <cell r="B5470" t="b">
            <v>1</v>
          </cell>
          <cell r="E5470" t="str">
            <v>Libano</v>
          </cell>
          <cell r="H5470" t="str">
            <v>salud_oral</v>
          </cell>
          <cell r="J5470" t="str">
            <v>bueno</v>
          </cell>
          <cell r="K5470" t="str">
            <v>defsi</v>
          </cell>
        </row>
        <row r="5471">
          <cell r="B5471" t="b">
            <v>1</v>
          </cell>
          <cell r="E5471" t="str">
            <v>Libano</v>
          </cell>
          <cell r="H5471" t="str">
            <v>laboratorio</v>
          </cell>
          <cell r="J5471" t="str">
            <v>bueno</v>
          </cell>
          <cell r="K5471" t="str">
            <v>defsi</v>
          </cell>
        </row>
        <row r="5472">
          <cell r="B5472" t="b">
            <v>1</v>
          </cell>
          <cell r="E5472" t="str">
            <v>Libano</v>
          </cell>
          <cell r="H5472" t="str">
            <v>pediatria</v>
          </cell>
          <cell r="J5472" t="str">
            <v>bueno</v>
          </cell>
          <cell r="K5472" t="str">
            <v>defsi</v>
          </cell>
        </row>
        <row r="5473">
          <cell r="B5473" t="b">
            <v>1</v>
          </cell>
          <cell r="E5473" t="str">
            <v>Esperanza</v>
          </cell>
          <cell r="H5473" t="str">
            <v>consulta_externa</v>
          </cell>
          <cell r="J5473" t="str">
            <v>bueno</v>
          </cell>
          <cell r="K5473" t="str">
            <v>probsi</v>
          </cell>
        </row>
        <row r="5474">
          <cell r="B5474" t="b">
            <v>1</v>
          </cell>
          <cell r="E5474" t="str">
            <v>Esperanza</v>
          </cell>
          <cell r="H5474" t="str">
            <v>consulta_externa</v>
          </cell>
          <cell r="J5474" t="str">
            <v>bueno</v>
          </cell>
          <cell r="K5474" t="str">
            <v>probsi</v>
          </cell>
        </row>
        <row r="5475">
          <cell r="B5475" t="b">
            <v>1</v>
          </cell>
          <cell r="E5475" t="str">
            <v>Libano</v>
          </cell>
          <cell r="H5475" t="str">
            <v>consulta_externa</v>
          </cell>
          <cell r="J5475" t="str">
            <v>bueno</v>
          </cell>
          <cell r="K5475" t="str">
            <v>defsi</v>
          </cell>
        </row>
        <row r="5476">
          <cell r="B5476" t="b">
            <v>1</v>
          </cell>
          <cell r="E5476" t="str">
            <v>Libano</v>
          </cell>
          <cell r="H5476" t="str">
            <v>consulta_externa</v>
          </cell>
          <cell r="J5476" t="str">
            <v>bueno</v>
          </cell>
          <cell r="K5476" t="str">
            <v>defsi</v>
          </cell>
        </row>
        <row r="5477">
          <cell r="B5477" t="b">
            <v>1</v>
          </cell>
          <cell r="E5477" t="str">
            <v>Libano</v>
          </cell>
          <cell r="H5477" t="str">
            <v>laboratorio</v>
          </cell>
          <cell r="J5477" t="str">
            <v>bueno</v>
          </cell>
          <cell r="K5477" t="str">
            <v>defsi</v>
          </cell>
        </row>
        <row r="5478">
          <cell r="B5478" t="b">
            <v>1</v>
          </cell>
          <cell r="E5478" t="str">
            <v>Libano</v>
          </cell>
          <cell r="H5478" t="str">
            <v>consulta_externa</v>
          </cell>
          <cell r="J5478" t="str">
            <v>bueno</v>
          </cell>
          <cell r="K5478" t="str">
            <v>defsi</v>
          </cell>
        </row>
        <row r="5479">
          <cell r="B5479" t="b">
            <v>1</v>
          </cell>
          <cell r="E5479" t="str">
            <v>Libano</v>
          </cell>
          <cell r="H5479" t="str">
            <v>pediatria</v>
          </cell>
          <cell r="J5479" t="str">
            <v>bueno</v>
          </cell>
          <cell r="K5479" t="str">
            <v>defsi</v>
          </cell>
        </row>
        <row r="5480">
          <cell r="B5480" t="b">
            <v>1</v>
          </cell>
          <cell r="E5480" t="str">
            <v>Esperanza</v>
          </cell>
          <cell r="H5480" t="str">
            <v>consulta_externa</v>
          </cell>
          <cell r="J5480" t="str">
            <v>bueno</v>
          </cell>
          <cell r="K5480" t="str">
            <v>probsi</v>
          </cell>
        </row>
        <row r="5481">
          <cell r="B5481" t="b">
            <v>1</v>
          </cell>
          <cell r="E5481" t="str">
            <v>Esperanza</v>
          </cell>
          <cell r="H5481" t="str">
            <v>consulta_externa</v>
          </cell>
          <cell r="J5481" t="str">
            <v>bueno</v>
          </cell>
          <cell r="K5481" t="str">
            <v>probsi</v>
          </cell>
        </row>
        <row r="5482">
          <cell r="B5482" t="b">
            <v>1</v>
          </cell>
          <cell r="E5482" t="str">
            <v>Esperanza</v>
          </cell>
          <cell r="H5482" t="str">
            <v>consulta_externa</v>
          </cell>
          <cell r="J5482" t="str">
            <v>bueno</v>
          </cell>
          <cell r="K5482" t="str">
            <v>probsi</v>
          </cell>
        </row>
        <row r="5483">
          <cell r="B5483" t="b">
            <v>1</v>
          </cell>
          <cell r="E5483" t="str">
            <v>Esperanza</v>
          </cell>
          <cell r="H5483" t="str">
            <v>consulta_externa</v>
          </cell>
          <cell r="J5483" t="str">
            <v>bueno</v>
          </cell>
          <cell r="K5483" t="str">
            <v>probsi</v>
          </cell>
        </row>
        <row r="5484">
          <cell r="B5484" t="b">
            <v>1</v>
          </cell>
          <cell r="E5484" t="str">
            <v>Esperanza</v>
          </cell>
          <cell r="H5484" t="str">
            <v>consulta_externa</v>
          </cell>
          <cell r="J5484" t="str">
            <v>bueno</v>
          </cell>
          <cell r="K5484" t="str">
            <v>probsi</v>
          </cell>
        </row>
        <row r="5485">
          <cell r="B5485" t="b">
            <v>1</v>
          </cell>
          <cell r="E5485" t="str">
            <v>Esperanza</v>
          </cell>
          <cell r="H5485" t="str">
            <v>laboratorio</v>
          </cell>
          <cell r="J5485" t="str">
            <v>bueno</v>
          </cell>
          <cell r="K5485" t="str">
            <v>probsi</v>
          </cell>
        </row>
        <row r="5486">
          <cell r="B5486" t="b">
            <v>1</v>
          </cell>
          <cell r="E5486" t="str">
            <v>Esperanza</v>
          </cell>
          <cell r="H5486" t="str">
            <v>laboratorio</v>
          </cell>
          <cell r="J5486" t="str">
            <v>bueno</v>
          </cell>
          <cell r="K5486" t="str">
            <v>probsi</v>
          </cell>
        </row>
        <row r="5487">
          <cell r="B5487" t="b">
            <v>1</v>
          </cell>
          <cell r="E5487" t="str">
            <v>Esperanza</v>
          </cell>
          <cell r="H5487" t="str">
            <v>consulta_externa</v>
          </cell>
          <cell r="J5487" t="str">
            <v>bueno</v>
          </cell>
          <cell r="K5487" t="str">
            <v>probsi</v>
          </cell>
        </row>
        <row r="5488">
          <cell r="B5488" t="b">
            <v>1</v>
          </cell>
          <cell r="E5488" t="str">
            <v>Esperanza</v>
          </cell>
          <cell r="H5488" t="str">
            <v>consulta_externa</v>
          </cell>
          <cell r="J5488" t="str">
            <v>bueno</v>
          </cell>
          <cell r="K5488" t="str">
            <v>probsi</v>
          </cell>
        </row>
        <row r="5489">
          <cell r="B5489" t="b">
            <v>1</v>
          </cell>
          <cell r="E5489" t="str">
            <v>Esperanza</v>
          </cell>
          <cell r="H5489" t="str">
            <v>consulta_externa</v>
          </cell>
          <cell r="J5489" t="str">
            <v>bueno</v>
          </cell>
          <cell r="K5489" t="str">
            <v>probsi</v>
          </cell>
        </row>
        <row r="5490">
          <cell r="B5490" t="b">
            <v>1</v>
          </cell>
          <cell r="E5490" t="str">
            <v>Esperanza</v>
          </cell>
          <cell r="H5490" t="str">
            <v>consulta_externa</v>
          </cell>
          <cell r="J5490" t="str">
            <v>bueno</v>
          </cell>
          <cell r="K5490" t="str">
            <v>probsi</v>
          </cell>
        </row>
        <row r="5491">
          <cell r="B5491" t="b">
            <v>1</v>
          </cell>
          <cell r="E5491" t="str">
            <v>Esperanza</v>
          </cell>
          <cell r="H5491" t="str">
            <v>consulta_externa</v>
          </cell>
          <cell r="J5491" t="str">
            <v>bueno</v>
          </cell>
          <cell r="K5491" t="str">
            <v>probsi</v>
          </cell>
        </row>
        <row r="5492">
          <cell r="B5492" t="b">
            <v>1</v>
          </cell>
          <cell r="E5492" t="str">
            <v>Esperanza</v>
          </cell>
          <cell r="H5492" t="str">
            <v>consulta_externa</v>
          </cell>
          <cell r="J5492" t="str">
            <v>bueno</v>
          </cell>
          <cell r="K5492" t="str">
            <v>probsi</v>
          </cell>
        </row>
        <row r="5493">
          <cell r="B5493" t="b">
            <v>1</v>
          </cell>
          <cell r="E5493" t="str">
            <v>Esperanza</v>
          </cell>
          <cell r="H5493" t="str">
            <v>consulta_externa</v>
          </cell>
          <cell r="J5493" t="str">
            <v>bueno</v>
          </cell>
          <cell r="K5493" t="str">
            <v>probsi</v>
          </cell>
        </row>
        <row r="5494">
          <cell r="B5494" t="b">
            <v>1</v>
          </cell>
          <cell r="E5494" t="str">
            <v>Esperanza</v>
          </cell>
          <cell r="H5494" t="str">
            <v>consulta_externa</v>
          </cell>
          <cell r="J5494" t="str">
            <v>bueno</v>
          </cell>
          <cell r="K5494" t="str">
            <v>probsi</v>
          </cell>
        </row>
        <row r="5495">
          <cell r="B5495" t="b">
            <v>1</v>
          </cell>
          <cell r="E5495" t="str">
            <v>Esperanza</v>
          </cell>
          <cell r="H5495" t="str">
            <v>consulta_externa</v>
          </cell>
          <cell r="J5495" t="str">
            <v>bueno</v>
          </cell>
          <cell r="K5495" t="str">
            <v>probsi</v>
          </cell>
        </row>
        <row r="5496">
          <cell r="B5496" t="b">
            <v>1</v>
          </cell>
          <cell r="E5496" t="str">
            <v>Esperanza</v>
          </cell>
          <cell r="H5496" t="str">
            <v>laboratorio</v>
          </cell>
          <cell r="J5496" t="str">
            <v>bueno</v>
          </cell>
          <cell r="K5496" t="str">
            <v>probsi</v>
          </cell>
        </row>
        <row r="5497">
          <cell r="B5497" t="b">
            <v>1</v>
          </cell>
          <cell r="E5497" t="str">
            <v>Esperanza</v>
          </cell>
          <cell r="H5497" t="str">
            <v>laboratorio</v>
          </cell>
          <cell r="J5497" t="str">
            <v>bueno</v>
          </cell>
          <cell r="K5497" t="str">
            <v>probsi</v>
          </cell>
        </row>
        <row r="5498">
          <cell r="B5498" t="b">
            <v>1</v>
          </cell>
          <cell r="E5498" t="str">
            <v>Esperanza</v>
          </cell>
          <cell r="H5498" t="str">
            <v>laboratorio</v>
          </cell>
          <cell r="J5498" t="str">
            <v>bueno</v>
          </cell>
          <cell r="K5498" t="str">
            <v>probsi</v>
          </cell>
        </row>
        <row r="5499">
          <cell r="B5499" t="b">
            <v>1</v>
          </cell>
          <cell r="E5499" t="str">
            <v>Esperanza</v>
          </cell>
          <cell r="H5499" t="str">
            <v>laboratorio</v>
          </cell>
          <cell r="J5499" t="str">
            <v>bueno</v>
          </cell>
          <cell r="K5499" t="str">
            <v>probsi</v>
          </cell>
        </row>
        <row r="5500">
          <cell r="B5500" t="b">
            <v>1</v>
          </cell>
          <cell r="E5500" t="str">
            <v>Esperanza</v>
          </cell>
          <cell r="H5500" t="str">
            <v>laboratorio</v>
          </cell>
          <cell r="J5500" t="str">
            <v>bueno</v>
          </cell>
          <cell r="K5500" t="str">
            <v>probsi</v>
          </cell>
        </row>
        <row r="5501">
          <cell r="B5501" t="b">
            <v>1</v>
          </cell>
          <cell r="E5501" t="str">
            <v>Esperanza</v>
          </cell>
          <cell r="H5501" t="str">
            <v>salud_oral</v>
          </cell>
          <cell r="J5501" t="str">
            <v>bueno</v>
          </cell>
          <cell r="K5501" t="str">
            <v>probsi</v>
          </cell>
        </row>
        <row r="5502">
          <cell r="B5502" t="b">
            <v>1</v>
          </cell>
          <cell r="E5502" t="str">
            <v>Esperanza</v>
          </cell>
          <cell r="H5502" t="str">
            <v>salud_oral</v>
          </cell>
          <cell r="J5502" t="str">
            <v>bueno</v>
          </cell>
          <cell r="K5502" t="str">
            <v>probsi</v>
          </cell>
        </row>
        <row r="5503">
          <cell r="B5503" t="b">
            <v>1</v>
          </cell>
          <cell r="E5503" t="str">
            <v>Esperanza</v>
          </cell>
          <cell r="H5503" t="str">
            <v>salud_oral</v>
          </cell>
          <cell r="J5503" t="str">
            <v>bueno</v>
          </cell>
          <cell r="K5503" t="str">
            <v>probsi</v>
          </cell>
        </row>
        <row r="5504">
          <cell r="B5504" t="b">
            <v>1</v>
          </cell>
          <cell r="E5504" t="str">
            <v>Esperanza</v>
          </cell>
          <cell r="H5504" t="str">
            <v>salud_oral</v>
          </cell>
          <cell r="J5504" t="str">
            <v>bueno</v>
          </cell>
          <cell r="K5504" t="str">
            <v>probsi</v>
          </cell>
        </row>
        <row r="5505">
          <cell r="B5505" t="b">
            <v>1</v>
          </cell>
          <cell r="E5505" t="str">
            <v>Esperanza</v>
          </cell>
          <cell r="H5505" t="str">
            <v>salud_oral</v>
          </cell>
          <cell r="J5505" t="str">
            <v>bueno</v>
          </cell>
          <cell r="K5505" t="str">
            <v>probsi</v>
          </cell>
        </row>
        <row r="5506">
          <cell r="B5506" t="b">
            <v>1</v>
          </cell>
          <cell r="E5506" t="str">
            <v>Esperanza</v>
          </cell>
          <cell r="H5506" t="str">
            <v>salud_oral</v>
          </cell>
          <cell r="J5506" t="str">
            <v>bueno</v>
          </cell>
          <cell r="K5506" t="str">
            <v>probsi</v>
          </cell>
        </row>
        <row r="5507">
          <cell r="B5507" t="b">
            <v>1</v>
          </cell>
          <cell r="E5507" t="str">
            <v>Esperanza</v>
          </cell>
          <cell r="H5507" t="str">
            <v>salud_oral</v>
          </cell>
          <cell r="J5507" t="str">
            <v>bueno</v>
          </cell>
          <cell r="K5507" t="str">
            <v>probsi</v>
          </cell>
        </row>
        <row r="5508">
          <cell r="B5508" t="b">
            <v>1</v>
          </cell>
          <cell r="E5508" t="str">
            <v>Esperanza</v>
          </cell>
          <cell r="H5508" t="str">
            <v>salud_oral</v>
          </cell>
          <cell r="J5508" t="str">
            <v>bueno</v>
          </cell>
          <cell r="K5508" t="str">
            <v>probsi</v>
          </cell>
        </row>
        <row r="5509">
          <cell r="B5509" t="b">
            <v>1</v>
          </cell>
          <cell r="E5509" t="str">
            <v>Esperanza</v>
          </cell>
          <cell r="H5509" t="str">
            <v>consulta_externa</v>
          </cell>
          <cell r="J5509" t="str">
            <v>bueno</v>
          </cell>
          <cell r="K5509" t="str">
            <v>probsi</v>
          </cell>
        </row>
        <row r="5510">
          <cell r="B5510" t="b">
            <v>1</v>
          </cell>
          <cell r="E5510" t="str">
            <v>Esperanza</v>
          </cell>
          <cell r="H5510" t="str">
            <v>consulta_externa</v>
          </cell>
          <cell r="J5510" t="str">
            <v>bueno</v>
          </cell>
          <cell r="K5510" t="str">
            <v>probsi</v>
          </cell>
        </row>
        <row r="5511">
          <cell r="B5511" t="b">
            <v>1</v>
          </cell>
          <cell r="E5511" t="str">
            <v>Esperanza</v>
          </cell>
          <cell r="H5511" t="str">
            <v>consulta_externa</v>
          </cell>
          <cell r="J5511" t="str">
            <v>bueno</v>
          </cell>
          <cell r="K5511" t="str">
            <v>probsi</v>
          </cell>
        </row>
        <row r="5512">
          <cell r="B5512" t="b">
            <v>1</v>
          </cell>
          <cell r="E5512" t="str">
            <v>Esperanza</v>
          </cell>
          <cell r="H5512" t="str">
            <v>urgencia</v>
          </cell>
          <cell r="J5512" t="str">
            <v>bueno</v>
          </cell>
          <cell r="K5512" t="str">
            <v>probsi</v>
          </cell>
        </row>
        <row r="5513">
          <cell r="B5513" t="b">
            <v>1</v>
          </cell>
          <cell r="E5513" t="str">
            <v>Esperanza</v>
          </cell>
          <cell r="H5513" t="str">
            <v>urgencia</v>
          </cell>
          <cell r="J5513" t="str">
            <v>bueno</v>
          </cell>
          <cell r="K5513" t="str">
            <v>probsi</v>
          </cell>
        </row>
        <row r="5514">
          <cell r="B5514" t="b">
            <v>1</v>
          </cell>
          <cell r="E5514" t="str">
            <v>Esperanza</v>
          </cell>
          <cell r="H5514" t="str">
            <v>urgencia</v>
          </cell>
          <cell r="J5514" t="str">
            <v>bueno</v>
          </cell>
          <cell r="K5514" t="str">
            <v>probsi</v>
          </cell>
        </row>
        <row r="5515">
          <cell r="B5515" t="b">
            <v>1</v>
          </cell>
          <cell r="E5515" t="str">
            <v>Esperanza</v>
          </cell>
          <cell r="H5515" t="str">
            <v>urgencia</v>
          </cell>
          <cell r="J5515" t="str">
            <v>bueno</v>
          </cell>
          <cell r="K5515" t="str">
            <v>probsi</v>
          </cell>
        </row>
        <row r="5516">
          <cell r="B5516" t="b">
            <v>1</v>
          </cell>
          <cell r="E5516" t="str">
            <v>Esperanza</v>
          </cell>
          <cell r="H5516" t="str">
            <v>urgencia</v>
          </cell>
          <cell r="J5516" t="str">
            <v>bueno</v>
          </cell>
          <cell r="K5516" t="str">
            <v>probsi</v>
          </cell>
        </row>
        <row r="5517">
          <cell r="B5517" t="b">
            <v>1</v>
          </cell>
          <cell r="E5517" t="str">
            <v>Esperanza</v>
          </cell>
          <cell r="H5517" t="str">
            <v>urgencia</v>
          </cell>
          <cell r="J5517" t="str">
            <v>bueno</v>
          </cell>
          <cell r="K5517" t="str">
            <v>probsi</v>
          </cell>
        </row>
        <row r="5518">
          <cell r="B5518" t="b">
            <v>1</v>
          </cell>
          <cell r="E5518" t="str">
            <v>Esperanza</v>
          </cell>
          <cell r="H5518" t="str">
            <v>urgencia</v>
          </cell>
          <cell r="J5518" t="str">
            <v>bueno</v>
          </cell>
          <cell r="K5518" t="str">
            <v>probsi</v>
          </cell>
        </row>
        <row r="5519">
          <cell r="B5519" t="b">
            <v>1</v>
          </cell>
          <cell r="E5519" t="str">
            <v>Punta Canoa</v>
          </cell>
          <cell r="H5519" t="str">
            <v>consulta_externa</v>
          </cell>
          <cell r="J5519" t="str">
            <v>bueno</v>
          </cell>
          <cell r="K5519" t="str">
            <v>probsi</v>
          </cell>
        </row>
        <row r="5520">
          <cell r="B5520" t="b">
            <v>1</v>
          </cell>
          <cell r="E5520" t="str">
            <v>Punta Canoa</v>
          </cell>
          <cell r="H5520" t="str">
            <v>consulta_externa</v>
          </cell>
          <cell r="J5520" t="str">
            <v>bueno</v>
          </cell>
          <cell r="K5520" t="str">
            <v>probsi</v>
          </cell>
        </row>
        <row r="5521">
          <cell r="B5521" t="b">
            <v>1</v>
          </cell>
          <cell r="E5521" t="str">
            <v>Punta Canoa</v>
          </cell>
          <cell r="H5521" t="str">
            <v>consulta_externa</v>
          </cell>
          <cell r="J5521" t="str">
            <v>bueno</v>
          </cell>
          <cell r="K5521" t="str">
            <v>probsi</v>
          </cell>
        </row>
        <row r="5522">
          <cell r="B5522" t="b">
            <v>1</v>
          </cell>
          <cell r="E5522" t="str">
            <v>Punta Canoa</v>
          </cell>
          <cell r="H5522" t="str">
            <v>consulta_externa</v>
          </cell>
          <cell r="J5522" t="str">
            <v>bueno</v>
          </cell>
          <cell r="K5522" t="str">
            <v>probsi</v>
          </cell>
        </row>
        <row r="5523">
          <cell r="B5523" t="b">
            <v>1</v>
          </cell>
          <cell r="E5523" t="str">
            <v>Punta Canoa</v>
          </cell>
          <cell r="H5523" t="str">
            <v>salud_oral</v>
          </cell>
          <cell r="J5523" t="str">
            <v>bueno</v>
          </cell>
          <cell r="K5523" t="str">
            <v>probsi</v>
          </cell>
        </row>
        <row r="5524">
          <cell r="B5524" t="b">
            <v>1</v>
          </cell>
          <cell r="E5524" t="str">
            <v>Punta Canoa</v>
          </cell>
          <cell r="H5524" t="str">
            <v>salud_oral</v>
          </cell>
          <cell r="J5524" t="str">
            <v>bueno</v>
          </cell>
          <cell r="K5524" t="str">
            <v>probsi</v>
          </cell>
        </row>
        <row r="5525">
          <cell r="B5525" t="b">
            <v>1</v>
          </cell>
          <cell r="E5525" t="str">
            <v>Punta Canoa</v>
          </cell>
          <cell r="H5525" t="str">
            <v>salud_oral</v>
          </cell>
          <cell r="J5525" t="str">
            <v>bueno</v>
          </cell>
          <cell r="K5525" t="str">
            <v>probsi</v>
          </cell>
        </row>
        <row r="5526">
          <cell r="B5526" t="b">
            <v>1</v>
          </cell>
          <cell r="E5526" t="str">
            <v>Punta Canoa</v>
          </cell>
          <cell r="H5526" t="str">
            <v>salud_oral</v>
          </cell>
          <cell r="J5526" t="str">
            <v>bueno</v>
          </cell>
          <cell r="K5526" t="str">
            <v>probsi</v>
          </cell>
        </row>
        <row r="5527">
          <cell r="B5527" t="b">
            <v>1</v>
          </cell>
          <cell r="E5527" t="str">
            <v>Punta Canoa</v>
          </cell>
          <cell r="H5527" t="str">
            <v>consulta_externa</v>
          </cell>
          <cell r="J5527" t="str">
            <v>bueno</v>
          </cell>
          <cell r="K5527" t="str">
            <v>probsi</v>
          </cell>
        </row>
        <row r="5528">
          <cell r="B5528" t="b">
            <v>1</v>
          </cell>
          <cell r="E5528" t="str">
            <v>Punta Canoa</v>
          </cell>
          <cell r="H5528" t="str">
            <v>consulta_externa</v>
          </cell>
          <cell r="J5528" t="str">
            <v>bueno</v>
          </cell>
          <cell r="K5528" t="str">
            <v>probsi</v>
          </cell>
        </row>
        <row r="5529">
          <cell r="B5529" t="b">
            <v>1</v>
          </cell>
          <cell r="E5529" t="str">
            <v>Punta Canoa</v>
          </cell>
          <cell r="H5529" t="str">
            <v>salud_oral</v>
          </cell>
          <cell r="J5529" t="str">
            <v>bueno</v>
          </cell>
          <cell r="K5529" t="str">
            <v>probsi</v>
          </cell>
        </row>
        <row r="5530">
          <cell r="B5530" t="b">
            <v>1</v>
          </cell>
          <cell r="E5530" t="str">
            <v>Punta Canoa</v>
          </cell>
          <cell r="H5530" t="str">
            <v>salud_oral</v>
          </cell>
          <cell r="J5530" t="str">
            <v>bueno</v>
          </cell>
          <cell r="K5530" t="str">
            <v>probsi</v>
          </cell>
        </row>
        <row r="5531">
          <cell r="B5531" t="b">
            <v>1</v>
          </cell>
          <cell r="E5531" t="str">
            <v>Punta Canoa</v>
          </cell>
          <cell r="H5531" t="str">
            <v>salud_oral</v>
          </cell>
          <cell r="J5531" t="str">
            <v>bueno</v>
          </cell>
          <cell r="K5531" t="str">
            <v>probsi</v>
          </cell>
        </row>
        <row r="5532">
          <cell r="B5532" t="b">
            <v>1</v>
          </cell>
          <cell r="E5532" t="str">
            <v>Punta Canoa</v>
          </cell>
          <cell r="H5532" t="str">
            <v>salud_oral</v>
          </cell>
          <cell r="J5532" t="str">
            <v>bueno</v>
          </cell>
          <cell r="K5532" t="str">
            <v>probsi</v>
          </cell>
        </row>
        <row r="5533">
          <cell r="B5533" t="b">
            <v>0</v>
          </cell>
          <cell r="E5533" t="str">
            <v>Punta Canoa</v>
          </cell>
          <cell r="H5533" t="str">
            <v>laboratorio</v>
          </cell>
          <cell r="J5533" t="str">
            <v>regular</v>
          </cell>
          <cell r="K5533" t="str">
            <v>probsi</v>
          </cell>
        </row>
        <row r="5534">
          <cell r="B5534" t="b">
            <v>1</v>
          </cell>
          <cell r="E5534" t="str">
            <v>Punta Canoa</v>
          </cell>
          <cell r="H5534" t="str">
            <v>laboratorio</v>
          </cell>
          <cell r="J5534" t="str">
            <v>bueno</v>
          </cell>
          <cell r="K5534" t="str">
            <v>probsi</v>
          </cell>
        </row>
        <row r="5535">
          <cell r="B5535" t="b">
            <v>1</v>
          </cell>
          <cell r="E5535" t="str">
            <v>Punta Canoa</v>
          </cell>
          <cell r="H5535" t="str">
            <v>laboratorio</v>
          </cell>
          <cell r="J5535" t="str">
            <v>bueno</v>
          </cell>
          <cell r="K5535" t="str">
            <v>probsi</v>
          </cell>
        </row>
        <row r="5536">
          <cell r="B5536" t="b">
            <v>1</v>
          </cell>
          <cell r="E5536" t="str">
            <v>Nelson Mandela UPA</v>
          </cell>
          <cell r="H5536" t="str">
            <v>consulta_externa</v>
          </cell>
          <cell r="J5536" t="str">
            <v>bueno</v>
          </cell>
          <cell r="K5536" t="str">
            <v>defsi</v>
          </cell>
        </row>
        <row r="5537">
          <cell r="B5537" t="b">
            <v>1</v>
          </cell>
          <cell r="E5537" t="str">
            <v>Pasacaballos</v>
          </cell>
          <cell r="H5537" t="str">
            <v>salud_oral</v>
          </cell>
          <cell r="J5537" t="str">
            <v>bueno</v>
          </cell>
          <cell r="K5537" t="str">
            <v>probsi</v>
          </cell>
        </row>
        <row r="5538">
          <cell r="B5538" t="b">
            <v>1</v>
          </cell>
          <cell r="E5538" t="str">
            <v>Pasacaballos</v>
          </cell>
          <cell r="H5538" t="str">
            <v>salud_oral</v>
          </cell>
          <cell r="J5538" t="str">
            <v>bueno</v>
          </cell>
          <cell r="K5538" t="str">
            <v>probsi</v>
          </cell>
        </row>
        <row r="5539">
          <cell r="B5539" t="b">
            <v>1</v>
          </cell>
          <cell r="E5539" t="str">
            <v>Pasacaballos</v>
          </cell>
          <cell r="H5539" t="str">
            <v>salud_oral</v>
          </cell>
          <cell r="J5539" t="str">
            <v>bueno</v>
          </cell>
          <cell r="K5539" t="str">
            <v>probsi</v>
          </cell>
        </row>
        <row r="5540">
          <cell r="B5540" t="b">
            <v>1</v>
          </cell>
          <cell r="E5540" t="str">
            <v>Pasacaballos</v>
          </cell>
          <cell r="H5540" t="str">
            <v>salud_oral</v>
          </cell>
          <cell r="J5540" t="str">
            <v>bueno</v>
          </cell>
          <cell r="K5540" t="str">
            <v>probsi</v>
          </cell>
        </row>
        <row r="5541">
          <cell r="B5541" t="b">
            <v>0</v>
          </cell>
          <cell r="E5541" t="str">
            <v>Pasacaballos</v>
          </cell>
          <cell r="H5541" t="str">
            <v>consulta_externa</v>
          </cell>
          <cell r="J5541" t="str">
            <v>regular</v>
          </cell>
          <cell r="K5541" t="str">
            <v>probsi</v>
          </cell>
        </row>
        <row r="5542">
          <cell r="B5542" t="b">
            <v>0</v>
          </cell>
          <cell r="E5542" t="str">
            <v>Pasacaballos</v>
          </cell>
          <cell r="H5542" t="str">
            <v>consulta_externa</v>
          </cell>
          <cell r="J5542" t="str">
            <v>regular</v>
          </cell>
          <cell r="K5542" t="str">
            <v>probsi</v>
          </cell>
        </row>
        <row r="5543">
          <cell r="B5543" t="b">
            <v>0</v>
          </cell>
          <cell r="E5543" t="str">
            <v>Pasacaballos</v>
          </cell>
          <cell r="H5543" t="str">
            <v>consulta_externa</v>
          </cell>
          <cell r="J5543" t="str">
            <v>regular</v>
          </cell>
          <cell r="K5543" t="str">
            <v>probsi</v>
          </cell>
        </row>
        <row r="5544">
          <cell r="B5544" t="b">
            <v>1</v>
          </cell>
          <cell r="E5544" t="str">
            <v>Pasacaballos</v>
          </cell>
          <cell r="H5544" t="str">
            <v>consulta_externa</v>
          </cell>
          <cell r="J5544" t="str">
            <v>bueno</v>
          </cell>
          <cell r="K5544" t="str">
            <v>probsi</v>
          </cell>
        </row>
        <row r="5545">
          <cell r="B5545" t="b">
            <v>1</v>
          </cell>
          <cell r="E5545" t="str">
            <v>Pasacaballos</v>
          </cell>
          <cell r="H5545" t="str">
            <v>laboratorio</v>
          </cell>
          <cell r="J5545" t="str">
            <v>bueno</v>
          </cell>
          <cell r="K5545" t="str">
            <v>probsi</v>
          </cell>
        </row>
        <row r="5546">
          <cell r="B5546" t="b">
            <v>1</v>
          </cell>
          <cell r="E5546" t="str">
            <v>Pasacaballos</v>
          </cell>
          <cell r="H5546" t="str">
            <v>laboratorio</v>
          </cell>
          <cell r="J5546" t="str">
            <v>bueno</v>
          </cell>
          <cell r="K5546" t="str">
            <v>probsi</v>
          </cell>
        </row>
        <row r="5547">
          <cell r="B5547" t="b">
            <v>1</v>
          </cell>
          <cell r="E5547" t="str">
            <v>Pasacaballos</v>
          </cell>
          <cell r="H5547" t="str">
            <v>laboratorio</v>
          </cell>
          <cell r="J5547" t="str">
            <v>bueno</v>
          </cell>
          <cell r="K5547" t="str">
            <v>probsi</v>
          </cell>
        </row>
        <row r="5548">
          <cell r="B5548" t="b">
            <v>1</v>
          </cell>
          <cell r="E5548" t="str">
            <v>Pasacaballos</v>
          </cell>
          <cell r="H5548" t="str">
            <v>laboratorio</v>
          </cell>
          <cell r="J5548" t="str">
            <v>bueno</v>
          </cell>
          <cell r="K5548" t="str">
            <v>probsi</v>
          </cell>
        </row>
        <row r="5549">
          <cell r="B5549" t="b">
            <v>1</v>
          </cell>
          <cell r="E5549" t="str">
            <v>Pasacaballos</v>
          </cell>
          <cell r="H5549" t="str">
            <v>laboratorio</v>
          </cell>
          <cell r="J5549" t="str">
            <v>bueno</v>
          </cell>
          <cell r="K5549" t="str">
            <v>probsi</v>
          </cell>
        </row>
        <row r="5550">
          <cell r="B5550" t="b">
            <v>1</v>
          </cell>
          <cell r="E5550" t="str">
            <v>Pasacaballos</v>
          </cell>
          <cell r="H5550" t="str">
            <v>laboratorio</v>
          </cell>
          <cell r="J5550" t="str">
            <v>bueno</v>
          </cell>
          <cell r="K5550" t="str">
            <v>probsi</v>
          </cell>
        </row>
        <row r="5551">
          <cell r="B5551" t="b">
            <v>1</v>
          </cell>
          <cell r="E5551" t="str">
            <v>Pasacaballos</v>
          </cell>
          <cell r="H5551" t="str">
            <v>urgencia</v>
          </cell>
          <cell r="J5551" t="str">
            <v>bueno</v>
          </cell>
          <cell r="K5551" t="str">
            <v>probsi</v>
          </cell>
        </row>
        <row r="5552">
          <cell r="B5552" t="b">
            <v>1</v>
          </cell>
          <cell r="E5552" t="str">
            <v>Pasacaballos</v>
          </cell>
          <cell r="H5552" t="str">
            <v>urgencia</v>
          </cell>
          <cell r="J5552" t="str">
            <v>bueno</v>
          </cell>
          <cell r="K5552" t="str">
            <v>probsi</v>
          </cell>
        </row>
        <row r="5553">
          <cell r="B5553" t="b">
            <v>0</v>
          </cell>
          <cell r="E5553" t="str">
            <v>Pasacaballos</v>
          </cell>
          <cell r="H5553" t="str">
            <v>urgencia</v>
          </cell>
          <cell r="J5553" t="str">
            <v>regular</v>
          </cell>
          <cell r="K5553" t="str">
            <v>probsi</v>
          </cell>
        </row>
        <row r="5554">
          <cell r="B5554" t="b">
            <v>0</v>
          </cell>
          <cell r="E5554" t="str">
            <v>Pasacaballos</v>
          </cell>
          <cell r="H5554" t="str">
            <v>urgencia</v>
          </cell>
          <cell r="J5554" t="str">
            <v>regular</v>
          </cell>
          <cell r="K5554" t="str">
            <v>probsi</v>
          </cell>
        </row>
        <row r="5555">
          <cell r="B5555" t="b">
            <v>0</v>
          </cell>
          <cell r="E5555" t="str">
            <v>Pasacaballos</v>
          </cell>
          <cell r="H5555" t="str">
            <v>urgencia</v>
          </cell>
          <cell r="J5555" t="str">
            <v>regular</v>
          </cell>
          <cell r="K5555" t="str">
            <v>probsi</v>
          </cell>
        </row>
        <row r="5556">
          <cell r="B5556" t="b">
            <v>1</v>
          </cell>
          <cell r="E5556" t="str">
            <v>Pasacaballos</v>
          </cell>
          <cell r="H5556" t="str">
            <v>urgencia</v>
          </cell>
          <cell r="J5556" t="str">
            <v>bueno</v>
          </cell>
          <cell r="K5556" t="str">
            <v>probsi</v>
          </cell>
        </row>
        <row r="5557">
          <cell r="B5557" t="b">
            <v>0</v>
          </cell>
          <cell r="E5557" t="str">
            <v>Pasacaballos</v>
          </cell>
          <cell r="H5557" t="str">
            <v>urgencia</v>
          </cell>
          <cell r="J5557" t="str">
            <v>regular</v>
          </cell>
          <cell r="K5557" t="str">
            <v>probsi</v>
          </cell>
        </row>
        <row r="5558">
          <cell r="B5558" t="b">
            <v>1</v>
          </cell>
          <cell r="E5558" t="str">
            <v>Pasacaballos</v>
          </cell>
          <cell r="H5558" t="str">
            <v>urgencia</v>
          </cell>
          <cell r="J5558" t="str">
            <v>bueno</v>
          </cell>
          <cell r="K5558" t="str">
            <v>probsi</v>
          </cell>
        </row>
        <row r="5559">
          <cell r="B5559" t="b">
            <v>0</v>
          </cell>
          <cell r="E5559" t="str">
            <v>Pasacaballos</v>
          </cell>
          <cell r="H5559" t="str">
            <v>urgencia</v>
          </cell>
          <cell r="J5559" t="str">
            <v>regular</v>
          </cell>
          <cell r="K5559" t="str">
            <v>probno</v>
          </cell>
        </row>
        <row r="5560">
          <cell r="B5560" t="b">
            <v>1</v>
          </cell>
          <cell r="E5560" t="str">
            <v>Pasacaballos</v>
          </cell>
          <cell r="H5560" t="str">
            <v>urgencia</v>
          </cell>
          <cell r="J5560" t="str">
            <v>bueno</v>
          </cell>
          <cell r="K5560" t="str">
            <v>probsi</v>
          </cell>
        </row>
        <row r="5561">
          <cell r="B5561" t="b">
            <v>1</v>
          </cell>
          <cell r="E5561" t="str">
            <v>Pasacaballos</v>
          </cell>
          <cell r="H5561" t="str">
            <v>urgencia</v>
          </cell>
          <cell r="J5561" t="str">
            <v>bueno</v>
          </cell>
          <cell r="K5561" t="str">
            <v>probsi</v>
          </cell>
        </row>
        <row r="5562">
          <cell r="B5562" t="b">
            <v>1</v>
          </cell>
          <cell r="E5562" t="str">
            <v>Pasacaballos</v>
          </cell>
          <cell r="H5562" t="str">
            <v>urgencia</v>
          </cell>
          <cell r="J5562" t="str">
            <v>bueno</v>
          </cell>
          <cell r="K5562" t="str">
            <v>probsi</v>
          </cell>
        </row>
        <row r="5563">
          <cell r="B5563" t="b">
            <v>1</v>
          </cell>
          <cell r="E5563" t="str">
            <v>Libano</v>
          </cell>
          <cell r="H5563" t="str">
            <v>consulta_externa</v>
          </cell>
          <cell r="J5563" t="str">
            <v>bueno</v>
          </cell>
          <cell r="K5563" t="str">
            <v>defsi</v>
          </cell>
        </row>
        <row r="5564">
          <cell r="B5564" t="b">
            <v>1</v>
          </cell>
          <cell r="E5564" t="str">
            <v>Libano</v>
          </cell>
          <cell r="H5564" t="str">
            <v>salud_oral</v>
          </cell>
          <cell r="J5564" t="str">
            <v>bueno</v>
          </cell>
          <cell r="K5564" t="str">
            <v>defsi</v>
          </cell>
        </row>
        <row r="5565">
          <cell r="B5565" t="b">
            <v>1</v>
          </cell>
          <cell r="E5565" t="str">
            <v>Nelson Mandela UPA</v>
          </cell>
          <cell r="H5565" t="str">
            <v>urgencia</v>
          </cell>
          <cell r="J5565" t="str">
            <v>bueno</v>
          </cell>
          <cell r="K5565" t="str">
            <v>defsi</v>
          </cell>
        </row>
        <row r="5566">
          <cell r="B5566" t="b">
            <v>1</v>
          </cell>
          <cell r="E5566" t="str">
            <v>Libano</v>
          </cell>
          <cell r="H5566" t="str">
            <v>laboratorio</v>
          </cell>
          <cell r="J5566" t="str">
            <v>bueno</v>
          </cell>
          <cell r="K5566" t="str">
            <v>defsi</v>
          </cell>
        </row>
        <row r="5567">
          <cell r="B5567" t="b">
            <v>1</v>
          </cell>
          <cell r="E5567" t="str">
            <v>Libano</v>
          </cell>
          <cell r="H5567" t="str">
            <v>pediatria</v>
          </cell>
          <cell r="J5567" t="str">
            <v>bueno</v>
          </cell>
          <cell r="K5567" t="str">
            <v>defsi</v>
          </cell>
        </row>
        <row r="5568">
          <cell r="B5568" t="b">
            <v>1</v>
          </cell>
          <cell r="E5568" t="str">
            <v>Libano</v>
          </cell>
          <cell r="H5568" t="str">
            <v>consulta_externa</v>
          </cell>
          <cell r="J5568" t="str">
            <v>bueno</v>
          </cell>
          <cell r="K5568" t="str">
            <v>defsi</v>
          </cell>
        </row>
        <row r="5569">
          <cell r="B5569" t="b">
            <v>1</v>
          </cell>
          <cell r="E5569" t="str">
            <v>Libano</v>
          </cell>
          <cell r="H5569" t="str">
            <v>salud_oral</v>
          </cell>
          <cell r="J5569" t="str">
            <v>bueno</v>
          </cell>
          <cell r="K5569" t="str">
            <v>defsi</v>
          </cell>
        </row>
        <row r="5570">
          <cell r="B5570" t="b">
            <v>1</v>
          </cell>
          <cell r="E5570" t="str">
            <v>Libano</v>
          </cell>
          <cell r="H5570" t="str">
            <v>consulta_externa</v>
          </cell>
          <cell r="J5570" t="str">
            <v>bueno</v>
          </cell>
          <cell r="K5570" t="str">
            <v>defsi</v>
          </cell>
        </row>
        <row r="5571">
          <cell r="B5571" t="b">
            <v>1</v>
          </cell>
          <cell r="E5571" t="str">
            <v>Libano</v>
          </cell>
          <cell r="H5571" t="str">
            <v>salud_oral</v>
          </cell>
          <cell r="J5571" t="str">
            <v>bueno</v>
          </cell>
          <cell r="K5571" t="str">
            <v>defsi</v>
          </cell>
        </row>
        <row r="5572">
          <cell r="B5572" t="b">
            <v>1</v>
          </cell>
          <cell r="E5572" t="str">
            <v>Libano</v>
          </cell>
          <cell r="H5572" t="str">
            <v>laboratorio</v>
          </cell>
          <cell r="J5572" t="str">
            <v>bueno</v>
          </cell>
          <cell r="K5572" t="str">
            <v>defsi</v>
          </cell>
        </row>
        <row r="5573">
          <cell r="B5573" t="b">
            <v>1</v>
          </cell>
          <cell r="E5573" t="str">
            <v>Nelson Mandela UPA</v>
          </cell>
          <cell r="H5573" t="str">
            <v>urgencia</v>
          </cell>
          <cell r="J5573" t="str">
            <v>bueno</v>
          </cell>
          <cell r="K5573" t="str">
            <v>defsi</v>
          </cell>
        </row>
        <row r="5574">
          <cell r="B5574" t="b">
            <v>1</v>
          </cell>
          <cell r="E5574" t="str">
            <v>Nelson Mandela UPA</v>
          </cell>
          <cell r="H5574" t="str">
            <v>urgencia</v>
          </cell>
          <cell r="J5574" t="str">
            <v>bueno</v>
          </cell>
          <cell r="K5574" t="str">
            <v>defsi</v>
          </cell>
        </row>
        <row r="5575">
          <cell r="B5575" t="b">
            <v>0</v>
          </cell>
          <cell r="E5575" t="str">
            <v>Nelson Mandela UPA</v>
          </cell>
          <cell r="H5575" t="str">
            <v>urgencia</v>
          </cell>
          <cell r="J5575" t="str">
            <v>regular</v>
          </cell>
          <cell r="K5575" t="str">
            <v>defsi</v>
          </cell>
        </row>
        <row r="5576">
          <cell r="B5576" t="b">
            <v>1</v>
          </cell>
          <cell r="E5576" t="str">
            <v>Libano</v>
          </cell>
          <cell r="H5576" t="str">
            <v>pediatria</v>
          </cell>
          <cell r="J5576" t="str">
            <v>bueno</v>
          </cell>
          <cell r="K5576" t="str">
            <v>defsi</v>
          </cell>
        </row>
        <row r="5577">
          <cell r="B5577" t="b">
            <v>1</v>
          </cell>
          <cell r="E5577" t="str">
            <v>Nelson Mandela UPA</v>
          </cell>
          <cell r="H5577" t="str">
            <v>urgencia</v>
          </cell>
          <cell r="J5577" t="str">
            <v>bueno</v>
          </cell>
          <cell r="K5577" t="str">
            <v>defsi</v>
          </cell>
        </row>
        <row r="5578">
          <cell r="B5578" t="b">
            <v>1</v>
          </cell>
          <cell r="E5578" t="str">
            <v>Libano</v>
          </cell>
          <cell r="H5578" t="str">
            <v>consulta_externa</v>
          </cell>
          <cell r="J5578" t="str">
            <v>bueno</v>
          </cell>
          <cell r="K5578" t="str">
            <v>defsi</v>
          </cell>
        </row>
        <row r="5579">
          <cell r="B5579" t="b">
            <v>1</v>
          </cell>
          <cell r="E5579" t="str">
            <v>Nelson Mandela UPA</v>
          </cell>
          <cell r="H5579" t="str">
            <v>urgencia</v>
          </cell>
          <cell r="J5579" t="str">
            <v>bueno</v>
          </cell>
          <cell r="K5579" t="str">
            <v>defsi</v>
          </cell>
        </row>
        <row r="5580">
          <cell r="B5580" t="b">
            <v>1</v>
          </cell>
          <cell r="E5580" t="str">
            <v>Nelson Mandela UPA</v>
          </cell>
          <cell r="H5580" t="str">
            <v>urgencia</v>
          </cell>
          <cell r="J5580" t="str">
            <v>bueno</v>
          </cell>
          <cell r="K5580" t="str">
            <v>defsi</v>
          </cell>
        </row>
        <row r="5581">
          <cell r="B5581" t="b">
            <v>1</v>
          </cell>
          <cell r="E5581" t="str">
            <v>Nelson Mandela UPA</v>
          </cell>
          <cell r="H5581" t="str">
            <v>urgencia</v>
          </cell>
          <cell r="J5581" t="str">
            <v>bueno</v>
          </cell>
          <cell r="K5581" t="str">
            <v>defsi</v>
          </cell>
        </row>
        <row r="5582">
          <cell r="B5582" t="b">
            <v>0</v>
          </cell>
          <cell r="E5582" t="str">
            <v>Nelson Mandela UPA</v>
          </cell>
          <cell r="H5582" t="str">
            <v>urgencia</v>
          </cell>
          <cell r="J5582" t="str">
            <v>regular</v>
          </cell>
          <cell r="K5582" t="str">
            <v>defsi</v>
          </cell>
        </row>
        <row r="5583">
          <cell r="B5583" t="b">
            <v>1</v>
          </cell>
          <cell r="E5583" t="str">
            <v>Libano</v>
          </cell>
          <cell r="H5583" t="str">
            <v>salud_oral</v>
          </cell>
          <cell r="J5583" t="str">
            <v>bueno</v>
          </cell>
          <cell r="K5583" t="str">
            <v>defsi</v>
          </cell>
        </row>
        <row r="5584">
          <cell r="B5584" t="b">
            <v>1</v>
          </cell>
          <cell r="E5584" t="str">
            <v>Nelson Mandela UPA</v>
          </cell>
          <cell r="H5584" t="str">
            <v>urgencia</v>
          </cell>
          <cell r="J5584" t="str">
            <v>bueno</v>
          </cell>
          <cell r="K5584" t="str">
            <v>defsi</v>
          </cell>
        </row>
        <row r="5585">
          <cell r="B5585" t="b">
            <v>1</v>
          </cell>
          <cell r="E5585" t="str">
            <v>Libano</v>
          </cell>
          <cell r="H5585" t="str">
            <v>pediatria</v>
          </cell>
          <cell r="J5585" t="str">
            <v>bueno</v>
          </cell>
          <cell r="K5585" t="str">
            <v>defsi</v>
          </cell>
        </row>
        <row r="5586">
          <cell r="B5586" t="b">
            <v>0</v>
          </cell>
          <cell r="E5586" t="str">
            <v>Nelson Mandela UPA</v>
          </cell>
          <cell r="H5586" t="str">
            <v>urgencia</v>
          </cell>
          <cell r="J5586" t="str">
            <v>regular</v>
          </cell>
          <cell r="K5586" t="str">
            <v>probsi</v>
          </cell>
        </row>
        <row r="5587">
          <cell r="B5587" t="b">
            <v>0</v>
          </cell>
          <cell r="E5587" t="str">
            <v>Nelson Mandela UPA</v>
          </cell>
          <cell r="H5587" t="str">
            <v>urgencia</v>
          </cell>
          <cell r="J5587" t="str">
            <v>regular</v>
          </cell>
          <cell r="K5587" t="str">
            <v>probsi</v>
          </cell>
        </row>
        <row r="5588">
          <cell r="B5588" t="b">
            <v>0</v>
          </cell>
          <cell r="E5588" t="str">
            <v>Nelson Mandela UPA</v>
          </cell>
          <cell r="H5588" t="str">
            <v>urgencia</v>
          </cell>
          <cell r="J5588" t="str">
            <v>regular</v>
          </cell>
          <cell r="K5588" t="str">
            <v>probsi</v>
          </cell>
        </row>
        <row r="5589">
          <cell r="B5589" t="b">
            <v>1</v>
          </cell>
          <cell r="E5589" t="str">
            <v>Nelson Mandela UPA</v>
          </cell>
          <cell r="H5589" t="str">
            <v>urgencia</v>
          </cell>
          <cell r="J5589" t="str">
            <v>bueno</v>
          </cell>
          <cell r="K5589" t="str">
            <v>defsi</v>
          </cell>
        </row>
        <row r="5590">
          <cell r="B5590" t="b">
            <v>1</v>
          </cell>
          <cell r="E5590" t="str">
            <v>Nelson Mandela UPA</v>
          </cell>
          <cell r="H5590" t="str">
            <v>urgencia</v>
          </cell>
          <cell r="J5590" t="str">
            <v>bueno</v>
          </cell>
          <cell r="K5590" t="str">
            <v>defsi</v>
          </cell>
        </row>
        <row r="5591">
          <cell r="B5591" t="b">
            <v>0</v>
          </cell>
          <cell r="E5591" t="str">
            <v>Nelson Mandela UPA</v>
          </cell>
          <cell r="H5591" t="str">
            <v>urgencia</v>
          </cell>
          <cell r="J5591" t="str">
            <v>regular</v>
          </cell>
          <cell r="K5591" t="str">
            <v>defsi</v>
          </cell>
        </row>
        <row r="5592">
          <cell r="B5592" t="b">
            <v>1</v>
          </cell>
          <cell r="E5592" t="str">
            <v>Nelson Mandela UPA</v>
          </cell>
          <cell r="H5592" t="str">
            <v>urgencia</v>
          </cell>
          <cell r="J5592" t="str">
            <v>bueno</v>
          </cell>
          <cell r="K5592" t="str">
            <v>defsi</v>
          </cell>
        </row>
        <row r="5593">
          <cell r="B5593" t="b">
            <v>1</v>
          </cell>
          <cell r="E5593" t="str">
            <v>Nelson Mandela UPA</v>
          </cell>
          <cell r="H5593" t="str">
            <v>urgencia</v>
          </cell>
          <cell r="J5593" t="str">
            <v>bueno</v>
          </cell>
          <cell r="K5593" t="str">
            <v>defsi</v>
          </cell>
        </row>
        <row r="5594">
          <cell r="B5594" t="b">
            <v>1</v>
          </cell>
          <cell r="E5594" t="str">
            <v>Nelson Mandela UPA</v>
          </cell>
          <cell r="H5594" t="str">
            <v>urgencia</v>
          </cell>
          <cell r="J5594" t="str">
            <v>bueno</v>
          </cell>
          <cell r="K5594" t="str">
            <v>defsi</v>
          </cell>
        </row>
        <row r="5595">
          <cell r="B5595" t="b">
            <v>1</v>
          </cell>
          <cell r="E5595" t="str">
            <v>Nelson Mandela UPA</v>
          </cell>
          <cell r="H5595" t="str">
            <v>urgencia</v>
          </cell>
          <cell r="J5595" t="str">
            <v>bueno</v>
          </cell>
          <cell r="K5595" t="str">
            <v>defsi</v>
          </cell>
        </row>
        <row r="5596">
          <cell r="B5596" t="b">
            <v>1</v>
          </cell>
          <cell r="E5596" t="str">
            <v>Nelson Mandela UPA</v>
          </cell>
          <cell r="H5596" t="str">
            <v>consulta_externa</v>
          </cell>
          <cell r="J5596" t="str">
            <v>bueno</v>
          </cell>
          <cell r="K5596" t="str">
            <v>defsi</v>
          </cell>
        </row>
        <row r="5597">
          <cell r="B5597" t="b">
            <v>1</v>
          </cell>
          <cell r="E5597" t="str">
            <v>Nelson Mandela UPA</v>
          </cell>
          <cell r="H5597" t="str">
            <v>urgencia</v>
          </cell>
          <cell r="J5597" t="str">
            <v>bueno</v>
          </cell>
          <cell r="K5597" t="str">
            <v>defsi</v>
          </cell>
        </row>
        <row r="5598">
          <cell r="B5598" t="b">
            <v>1</v>
          </cell>
          <cell r="E5598" t="str">
            <v>Nelson Mandela UPA</v>
          </cell>
          <cell r="H5598" t="str">
            <v>urgencia</v>
          </cell>
          <cell r="J5598" t="str">
            <v>bueno</v>
          </cell>
          <cell r="K5598" t="str">
            <v>defsi</v>
          </cell>
        </row>
        <row r="5599">
          <cell r="B5599" t="b">
            <v>1</v>
          </cell>
          <cell r="E5599" t="str">
            <v>Isla del Rosario</v>
          </cell>
          <cell r="H5599" t="str">
            <v>consulta_externa</v>
          </cell>
          <cell r="J5599" t="str">
            <v>bueno</v>
          </cell>
          <cell r="K5599" t="str">
            <v>defsi</v>
          </cell>
        </row>
        <row r="5600">
          <cell r="B5600" t="b">
            <v>1</v>
          </cell>
          <cell r="E5600" t="str">
            <v>Isla del Rosario</v>
          </cell>
          <cell r="H5600" t="str">
            <v>salud_oral</v>
          </cell>
          <cell r="J5600" t="str">
            <v>bueno</v>
          </cell>
          <cell r="K5600" t="str">
            <v>defsi</v>
          </cell>
        </row>
        <row r="5601">
          <cell r="B5601" t="b">
            <v>1</v>
          </cell>
          <cell r="E5601" t="str">
            <v>Isla del Rosario</v>
          </cell>
          <cell r="H5601" t="str">
            <v>laboratorio</v>
          </cell>
          <cell r="J5601" t="str">
            <v>bueno</v>
          </cell>
          <cell r="K5601" t="str">
            <v>defsi</v>
          </cell>
        </row>
        <row r="5602">
          <cell r="B5602" t="b">
            <v>1</v>
          </cell>
          <cell r="E5602" t="str">
            <v>Isla del Rosario</v>
          </cell>
          <cell r="H5602" t="str">
            <v>consulta_externa</v>
          </cell>
          <cell r="J5602" t="str">
            <v>bueno</v>
          </cell>
          <cell r="K5602" t="str">
            <v>defsi</v>
          </cell>
        </row>
        <row r="5603">
          <cell r="B5603" t="b">
            <v>1</v>
          </cell>
          <cell r="E5603" t="str">
            <v>Isla del Rosario</v>
          </cell>
          <cell r="H5603" t="str">
            <v>salud_oral</v>
          </cell>
          <cell r="J5603" t="str">
            <v>bueno</v>
          </cell>
          <cell r="K5603" t="str">
            <v>defsi</v>
          </cell>
        </row>
        <row r="5604">
          <cell r="B5604" t="b">
            <v>1</v>
          </cell>
          <cell r="E5604" t="str">
            <v>Baru</v>
          </cell>
          <cell r="H5604" t="str">
            <v>consulta_externa</v>
          </cell>
          <cell r="J5604" t="str">
            <v>bueno</v>
          </cell>
          <cell r="K5604" t="str">
            <v>defsi</v>
          </cell>
        </row>
        <row r="5605">
          <cell r="B5605" t="b">
            <v>1</v>
          </cell>
          <cell r="E5605" t="str">
            <v>Isla del Rosario</v>
          </cell>
          <cell r="H5605" t="str">
            <v>laboratorio</v>
          </cell>
          <cell r="J5605" t="str">
            <v>bueno</v>
          </cell>
          <cell r="K5605" t="str">
            <v>defsi</v>
          </cell>
        </row>
        <row r="5606">
          <cell r="B5606" t="b">
            <v>1</v>
          </cell>
          <cell r="E5606" t="str">
            <v>Baru</v>
          </cell>
          <cell r="H5606" t="str">
            <v>laboratorio</v>
          </cell>
          <cell r="J5606" t="str">
            <v>bueno</v>
          </cell>
          <cell r="K5606" t="str">
            <v>defsi</v>
          </cell>
        </row>
        <row r="5607">
          <cell r="B5607" t="b">
            <v>1</v>
          </cell>
          <cell r="E5607" t="str">
            <v>Isla del Rosario</v>
          </cell>
          <cell r="H5607" t="str">
            <v>consulta_externa</v>
          </cell>
          <cell r="J5607" t="str">
            <v>bueno</v>
          </cell>
          <cell r="K5607" t="str">
            <v>defsi</v>
          </cell>
        </row>
        <row r="5608">
          <cell r="B5608" t="b">
            <v>1</v>
          </cell>
          <cell r="E5608" t="str">
            <v>Isla del Rosario</v>
          </cell>
          <cell r="H5608" t="str">
            <v>salud_oral</v>
          </cell>
          <cell r="J5608" t="str">
            <v>bueno</v>
          </cell>
          <cell r="K5608" t="str">
            <v>defsi</v>
          </cell>
        </row>
        <row r="5609">
          <cell r="B5609" t="b">
            <v>1</v>
          </cell>
          <cell r="E5609" t="str">
            <v>Baru</v>
          </cell>
          <cell r="H5609" t="str">
            <v>urgencia</v>
          </cell>
          <cell r="J5609" t="str">
            <v>bueno</v>
          </cell>
          <cell r="K5609" t="str">
            <v>defsi</v>
          </cell>
        </row>
        <row r="5610">
          <cell r="B5610" t="b">
            <v>1</v>
          </cell>
          <cell r="E5610" t="str">
            <v>Baru</v>
          </cell>
          <cell r="H5610" t="str">
            <v>urgencia</v>
          </cell>
          <cell r="J5610" t="str">
            <v>bueno</v>
          </cell>
          <cell r="K5610" t="str">
            <v>defsi</v>
          </cell>
        </row>
        <row r="5611">
          <cell r="B5611" t="b">
            <v>1</v>
          </cell>
          <cell r="E5611" t="str">
            <v>Isla del Rosario</v>
          </cell>
          <cell r="H5611" t="str">
            <v>laboratorio</v>
          </cell>
          <cell r="J5611" t="str">
            <v>bueno</v>
          </cell>
          <cell r="K5611" t="str">
            <v>defsi</v>
          </cell>
        </row>
        <row r="5612">
          <cell r="B5612" t="b">
            <v>1</v>
          </cell>
          <cell r="E5612" t="str">
            <v>Baru</v>
          </cell>
          <cell r="H5612" t="str">
            <v>laboratorio</v>
          </cell>
          <cell r="J5612" t="str">
            <v>bueno</v>
          </cell>
          <cell r="K5612" t="str">
            <v>defsi</v>
          </cell>
        </row>
        <row r="5613">
          <cell r="B5613" t="b">
            <v>1</v>
          </cell>
          <cell r="E5613" t="str">
            <v>Baru</v>
          </cell>
          <cell r="H5613" t="str">
            <v>laboratorio</v>
          </cell>
          <cell r="J5613" t="str">
            <v>bueno</v>
          </cell>
          <cell r="K5613" t="str">
            <v>defsi</v>
          </cell>
        </row>
        <row r="5614">
          <cell r="B5614" t="b">
            <v>1</v>
          </cell>
          <cell r="E5614" t="str">
            <v>Baru</v>
          </cell>
          <cell r="H5614" t="str">
            <v>consulta_externa</v>
          </cell>
          <cell r="J5614" t="str">
            <v>bueno</v>
          </cell>
          <cell r="K5614" t="str">
            <v>defsi</v>
          </cell>
        </row>
        <row r="5615">
          <cell r="B5615" t="b">
            <v>1</v>
          </cell>
          <cell r="E5615" t="str">
            <v>Baru</v>
          </cell>
          <cell r="H5615" t="str">
            <v>consulta_externa</v>
          </cell>
          <cell r="J5615" t="str">
            <v>bueno</v>
          </cell>
          <cell r="K5615" t="str">
            <v>defsi</v>
          </cell>
        </row>
        <row r="5616">
          <cell r="B5616" t="b">
            <v>1</v>
          </cell>
          <cell r="E5616" t="str">
            <v>Santa Ana</v>
          </cell>
          <cell r="H5616" t="str">
            <v>consulta_externa</v>
          </cell>
          <cell r="J5616" t="str">
            <v>bueno</v>
          </cell>
          <cell r="K5616" t="str">
            <v>defsi</v>
          </cell>
        </row>
        <row r="5617">
          <cell r="B5617" t="b">
            <v>0</v>
          </cell>
          <cell r="E5617" t="str">
            <v>Baru</v>
          </cell>
          <cell r="H5617" t="str">
            <v>consulta_externa</v>
          </cell>
          <cell r="J5617" t="str">
            <v>regular</v>
          </cell>
          <cell r="K5617" t="str">
            <v>probsi</v>
          </cell>
        </row>
        <row r="5618">
          <cell r="B5618" t="b">
            <v>1</v>
          </cell>
          <cell r="E5618" t="str">
            <v>Santa Ana</v>
          </cell>
          <cell r="H5618" t="str">
            <v>salud_oral</v>
          </cell>
          <cell r="J5618" t="str">
            <v>bueno</v>
          </cell>
          <cell r="K5618" t="str">
            <v>defsi</v>
          </cell>
        </row>
        <row r="5619">
          <cell r="B5619" t="b">
            <v>1</v>
          </cell>
          <cell r="E5619" t="str">
            <v>Baru</v>
          </cell>
          <cell r="H5619" t="str">
            <v>salud_oral</v>
          </cell>
          <cell r="J5619" t="str">
            <v>bueno</v>
          </cell>
          <cell r="K5619" t="str">
            <v>defsi</v>
          </cell>
        </row>
        <row r="5620">
          <cell r="B5620" t="b">
            <v>1</v>
          </cell>
          <cell r="E5620" t="str">
            <v>Santa Ana</v>
          </cell>
          <cell r="H5620" t="str">
            <v>laboratorio</v>
          </cell>
          <cell r="J5620" t="str">
            <v>bueno</v>
          </cell>
          <cell r="K5620" t="str">
            <v>defsi</v>
          </cell>
        </row>
        <row r="5621">
          <cell r="B5621" t="b">
            <v>1</v>
          </cell>
          <cell r="E5621" t="str">
            <v>Baru</v>
          </cell>
          <cell r="H5621" t="str">
            <v>salud_oral</v>
          </cell>
          <cell r="J5621" t="str">
            <v>bueno</v>
          </cell>
          <cell r="K5621" t="str">
            <v>defsi</v>
          </cell>
        </row>
        <row r="5622">
          <cell r="B5622" t="b">
            <v>1</v>
          </cell>
          <cell r="E5622" t="str">
            <v>Baru</v>
          </cell>
          <cell r="H5622" t="str">
            <v>consulta_externa</v>
          </cell>
          <cell r="J5622" t="str">
            <v>bueno</v>
          </cell>
          <cell r="K5622" t="str">
            <v>defsi</v>
          </cell>
        </row>
        <row r="5623">
          <cell r="B5623" t="b">
            <v>1</v>
          </cell>
          <cell r="E5623" t="str">
            <v>Baru</v>
          </cell>
          <cell r="H5623" t="str">
            <v>salud_oral</v>
          </cell>
          <cell r="J5623" t="str">
            <v>bueno</v>
          </cell>
          <cell r="K5623" t="str">
            <v>defsi</v>
          </cell>
        </row>
        <row r="5624">
          <cell r="B5624" t="b">
            <v>1</v>
          </cell>
          <cell r="E5624" t="str">
            <v>Santa Ana</v>
          </cell>
          <cell r="H5624" t="str">
            <v>consulta_externa</v>
          </cell>
          <cell r="J5624" t="str">
            <v>bueno</v>
          </cell>
          <cell r="K5624" t="str">
            <v>defsi</v>
          </cell>
        </row>
        <row r="5625">
          <cell r="B5625" t="b">
            <v>1</v>
          </cell>
          <cell r="E5625" t="str">
            <v>Baru</v>
          </cell>
          <cell r="H5625" t="str">
            <v>salud_oral</v>
          </cell>
          <cell r="J5625" t="str">
            <v>bueno</v>
          </cell>
          <cell r="K5625" t="str">
            <v>defsi</v>
          </cell>
        </row>
        <row r="5626">
          <cell r="B5626" t="b">
            <v>1</v>
          </cell>
          <cell r="E5626" t="str">
            <v>Santa Ana</v>
          </cell>
          <cell r="H5626" t="str">
            <v>salud_oral</v>
          </cell>
          <cell r="J5626" t="str">
            <v>bueno</v>
          </cell>
          <cell r="K5626" t="str">
            <v>defsi</v>
          </cell>
        </row>
        <row r="5627">
          <cell r="B5627" t="b">
            <v>1</v>
          </cell>
          <cell r="E5627" t="str">
            <v>Santa Ana</v>
          </cell>
          <cell r="H5627" t="str">
            <v>laboratorio</v>
          </cell>
          <cell r="J5627" t="str">
            <v>bueno</v>
          </cell>
          <cell r="K5627" t="str">
            <v>defsi</v>
          </cell>
        </row>
        <row r="5628">
          <cell r="B5628" t="b">
            <v>1</v>
          </cell>
          <cell r="E5628" t="str">
            <v>Baru</v>
          </cell>
          <cell r="H5628" t="str">
            <v>salud_oral</v>
          </cell>
          <cell r="J5628" t="str">
            <v>bueno</v>
          </cell>
          <cell r="K5628" t="str">
            <v>defsi</v>
          </cell>
        </row>
        <row r="5629">
          <cell r="B5629" t="b">
            <v>0</v>
          </cell>
          <cell r="E5629" t="str">
            <v>Baru</v>
          </cell>
          <cell r="H5629" t="str">
            <v>salud_oral</v>
          </cell>
          <cell r="J5629" t="str">
            <v>regular</v>
          </cell>
          <cell r="K5629" t="str">
            <v>defsi</v>
          </cell>
        </row>
        <row r="5630">
          <cell r="B5630" t="b">
            <v>1</v>
          </cell>
          <cell r="E5630" t="str">
            <v>Baru</v>
          </cell>
          <cell r="H5630" t="str">
            <v>consulta_externa</v>
          </cell>
          <cell r="J5630" t="str">
            <v>bueno</v>
          </cell>
          <cell r="K5630" t="str">
            <v>defsi</v>
          </cell>
        </row>
        <row r="5631">
          <cell r="B5631" t="b">
            <v>1</v>
          </cell>
          <cell r="E5631" t="str">
            <v>Baru</v>
          </cell>
          <cell r="H5631" t="str">
            <v>urgencia</v>
          </cell>
          <cell r="J5631" t="str">
            <v>bueno</v>
          </cell>
          <cell r="K5631" t="str">
            <v>defsi</v>
          </cell>
        </row>
        <row r="5632">
          <cell r="B5632" t="b">
            <v>1</v>
          </cell>
          <cell r="E5632" t="str">
            <v>Baru</v>
          </cell>
          <cell r="H5632" t="str">
            <v>urgencia</v>
          </cell>
          <cell r="J5632" t="str">
            <v>bueno</v>
          </cell>
          <cell r="K5632" t="str">
            <v>defsi</v>
          </cell>
        </row>
        <row r="5633">
          <cell r="B5633" t="b">
            <v>1</v>
          </cell>
          <cell r="E5633" t="str">
            <v>Santa Ana</v>
          </cell>
          <cell r="H5633" t="str">
            <v>urgencia</v>
          </cell>
          <cell r="J5633" t="str">
            <v>bueno</v>
          </cell>
          <cell r="K5633" t="str">
            <v>defsi</v>
          </cell>
        </row>
        <row r="5634">
          <cell r="B5634" t="b">
            <v>1</v>
          </cell>
          <cell r="E5634" t="str">
            <v>Santa Ana</v>
          </cell>
          <cell r="H5634" t="str">
            <v>consulta_externa</v>
          </cell>
          <cell r="J5634" t="str">
            <v>bueno</v>
          </cell>
          <cell r="K5634" t="str">
            <v>defsi</v>
          </cell>
        </row>
        <row r="5635">
          <cell r="B5635" t="b">
            <v>1</v>
          </cell>
          <cell r="E5635" t="str">
            <v>Santa Ana</v>
          </cell>
          <cell r="H5635" t="str">
            <v>salud_oral</v>
          </cell>
          <cell r="J5635" t="str">
            <v>bueno</v>
          </cell>
          <cell r="K5635" t="str">
            <v>defsi</v>
          </cell>
        </row>
        <row r="5636">
          <cell r="B5636" t="b">
            <v>1</v>
          </cell>
          <cell r="E5636" t="str">
            <v>Santa Ana</v>
          </cell>
          <cell r="H5636" t="str">
            <v>laboratorio</v>
          </cell>
          <cell r="J5636" t="str">
            <v>bueno</v>
          </cell>
          <cell r="K5636" t="str">
            <v>defsi</v>
          </cell>
        </row>
        <row r="5637">
          <cell r="B5637" t="b">
            <v>1</v>
          </cell>
          <cell r="E5637" t="str">
            <v>Santa Ana</v>
          </cell>
          <cell r="H5637" t="str">
            <v>laboratorio</v>
          </cell>
          <cell r="J5637" t="str">
            <v>bueno</v>
          </cell>
          <cell r="K5637" t="str">
            <v>defsi</v>
          </cell>
        </row>
        <row r="5638">
          <cell r="B5638" t="b">
            <v>1</v>
          </cell>
          <cell r="E5638" t="str">
            <v>Santa Ana</v>
          </cell>
          <cell r="H5638" t="str">
            <v>urgencia</v>
          </cell>
          <cell r="J5638" t="str">
            <v>bueno</v>
          </cell>
          <cell r="K5638" t="str">
            <v>defsi</v>
          </cell>
        </row>
        <row r="5639">
          <cell r="B5639" t="b">
            <v>1</v>
          </cell>
          <cell r="E5639" t="str">
            <v>Santa Ana</v>
          </cell>
          <cell r="H5639" t="str">
            <v>consulta_externa</v>
          </cell>
          <cell r="J5639" t="str">
            <v>bueno</v>
          </cell>
          <cell r="K5639" t="str">
            <v>defsi</v>
          </cell>
        </row>
        <row r="5640">
          <cell r="B5640" t="b">
            <v>1</v>
          </cell>
          <cell r="E5640" t="str">
            <v>Santa Ana</v>
          </cell>
          <cell r="H5640" t="str">
            <v>salud_oral</v>
          </cell>
          <cell r="J5640" t="str">
            <v>bueno</v>
          </cell>
          <cell r="K5640" t="str">
            <v>defsi</v>
          </cell>
        </row>
        <row r="5641">
          <cell r="B5641" t="b">
            <v>1</v>
          </cell>
          <cell r="E5641" t="str">
            <v>Santa Ana</v>
          </cell>
          <cell r="H5641" t="str">
            <v>laboratorio</v>
          </cell>
          <cell r="J5641" t="str">
            <v>bueno</v>
          </cell>
          <cell r="K5641" t="str">
            <v>defsi</v>
          </cell>
        </row>
        <row r="5642">
          <cell r="B5642" t="b">
            <v>1</v>
          </cell>
          <cell r="E5642" t="str">
            <v>Santa Ana</v>
          </cell>
          <cell r="H5642" t="str">
            <v>urgencia</v>
          </cell>
          <cell r="J5642" t="str">
            <v>bueno</v>
          </cell>
          <cell r="K5642" t="str">
            <v>defsi</v>
          </cell>
        </row>
        <row r="5643">
          <cell r="B5643" t="b">
            <v>1</v>
          </cell>
          <cell r="E5643" t="str">
            <v>Baru</v>
          </cell>
          <cell r="H5643" t="str">
            <v>urgencia</v>
          </cell>
          <cell r="J5643" t="str">
            <v>bueno</v>
          </cell>
          <cell r="K5643" t="str">
            <v>defsi</v>
          </cell>
        </row>
        <row r="5644">
          <cell r="B5644" t="b">
            <v>1</v>
          </cell>
          <cell r="E5644" t="str">
            <v>Baru</v>
          </cell>
          <cell r="H5644" t="str">
            <v>urgencia</v>
          </cell>
          <cell r="J5644" t="str">
            <v>bueno</v>
          </cell>
          <cell r="K5644" t="str">
            <v>defsi</v>
          </cell>
        </row>
        <row r="5645">
          <cell r="B5645" t="b">
            <v>1</v>
          </cell>
          <cell r="E5645" t="str">
            <v>Baru</v>
          </cell>
          <cell r="H5645" t="str">
            <v>salud_oral</v>
          </cell>
          <cell r="J5645" t="str">
            <v>bueno</v>
          </cell>
          <cell r="K5645" t="str">
            <v>defsi</v>
          </cell>
        </row>
        <row r="5646">
          <cell r="B5646" t="b">
            <v>1</v>
          </cell>
          <cell r="E5646" t="str">
            <v>Baru</v>
          </cell>
          <cell r="H5646" t="str">
            <v>laboratorio</v>
          </cell>
          <cell r="J5646" t="str">
            <v>bueno</v>
          </cell>
          <cell r="K5646" t="str">
            <v>defsi</v>
          </cell>
        </row>
        <row r="5647">
          <cell r="B5647" t="b">
            <v>1</v>
          </cell>
          <cell r="E5647" t="str">
            <v>Baru</v>
          </cell>
          <cell r="H5647" t="str">
            <v>laboratorio</v>
          </cell>
          <cell r="J5647" t="str">
            <v>bueno</v>
          </cell>
          <cell r="K5647" t="str">
            <v>defsi</v>
          </cell>
        </row>
        <row r="5648">
          <cell r="B5648" t="b">
            <v>1</v>
          </cell>
          <cell r="E5648" t="str">
            <v>Baru</v>
          </cell>
          <cell r="H5648" t="str">
            <v>laboratorio</v>
          </cell>
          <cell r="J5648" t="str">
            <v>bueno</v>
          </cell>
          <cell r="K5648" t="str">
            <v>defsi</v>
          </cell>
        </row>
        <row r="5649">
          <cell r="B5649" t="b">
            <v>1</v>
          </cell>
          <cell r="E5649" t="str">
            <v>Baru</v>
          </cell>
          <cell r="H5649" t="str">
            <v>laboratorio</v>
          </cell>
          <cell r="J5649" t="str">
            <v>bueno</v>
          </cell>
          <cell r="K5649" t="str">
            <v>defsi</v>
          </cell>
        </row>
        <row r="5650">
          <cell r="B5650" t="b">
            <v>0</v>
          </cell>
          <cell r="E5650" t="str">
            <v>Baru</v>
          </cell>
          <cell r="H5650" t="str">
            <v>urgencia</v>
          </cell>
          <cell r="J5650" t="str">
            <v>regular</v>
          </cell>
          <cell r="K5650" t="str">
            <v>probsi</v>
          </cell>
        </row>
        <row r="5651">
          <cell r="B5651" t="b">
            <v>0</v>
          </cell>
          <cell r="E5651" t="str">
            <v>Baru</v>
          </cell>
          <cell r="H5651" t="str">
            <v>consulta_externa</v>
          </cell>
          <cell r="J5651" t="str">
            <v>regular</v>
          </cell>
          <cell r="K5651" t="str">
            <v>probsi</v>
          </cell>
        </row>
        <row r="5652">
          <cell r="B5652" t="b">
            <v>1</v>
          </cell>
          <cell r="E5652" t="str">
            <v>Baru</v>
          </cell>
          <cell r="H5652" t="str">
            <v>urgencia</v>
          </cell>
          <cell r="J5652" t="str">
            <v>bueno</v>
          </cell>
          <cell r="K5652" t="str">
            <v>defsi</v>
          </cell>
        </row>
        <row r="5653">
          <cell r="B5653" t="b">
            <v>1</v>
          </cell>
          <cell r="E5653" t="str">
            <v>Baru</v>
          </cell>
          <cell r="H5653" t="str">
            <v>laboratorio</v>
          </cell>
          <cell r="J5653" t="str">
            <v>bueno</v>
          </cell>
          <cell r="K5653" t="str">
            <v>defsi</v>
          </cell>
        </row>
        <row r="5654">
          <cell r="B5654" t="b">
            <v>1</v>
          </cell>
          <cell r="E5654" t="str">
            <v>Baru</v>
          </cell>
          <cell r="H5654" t="str">
            <v>urgencia</v>
          </cell>
          <cell r="J5654" t="str">
            <v>bueno</v>
          </cell>
          <cell r="K5654" t="str">
            <v>defsi</v>
          </cell>
        </row>
        <row r="5655">
          <cell r="B5655" t="b">
            <v>1</v>
          </cell>
          <cell r="E5655" t="str">
            <v>Baru</v>
          </cell>
          <cell r="H5655" t="str">
            <v>urgencia</v>
          </cell>
          <cell r="J5655" t="str">
            <v>bueno</v>
          </cell>
          <cell r="K5655" t="str">
            <v>defsi</v>
          </cell>
        </row>
        <row r="5656">
          <cell r="B5656" t="b">
            <v>1</v>
          </cell>
          <cell r="E5656" t="str">
            <v>Baru</v>
          </cell>
          <cell r="H5656" t="str">
            <v>urgencia</v>
          </cell>
          <cell r="J5656" t="str">
            <v>bueno</v>
          </cell>
          <cell r="K5656" t="str">
            <v>defsi</v>
          </cell>
        </row>
        <row r="5657">
          <cell r="B5657" t="b">
            <v>0</v>
          </cell>
          <cell r="E5657" t="str">
            <v>Baru</v>
          </cell>
          <cell r="H5657" t="str">
            <v>urgencia</v>
          </cell>
          <cell r="J5657" t="str">
            <v>regular</v>
          </cell>
          <cell r="K5657" t="str">
            <v>defsi</v>
          </cell>
        </row>
        <row r="5658">
          <cell r="B5658" t="b">
            <v>1</v>
          </cell>
          <cell r="E5658" t="str">
            <v>Baru</v>
          </cell>
          <cell r="H5658" t="str">
            <v>salud_oral</v>
          </cell>
          <cell r="J5658" t="str">
            <v>bueno</v>
          </cell>
          <cell r="K5658" t="str">
            <v>defsi</v>
          </cell>
        </row>
        <row r="5659">
          <cell r="B5659" t="b">
            <v>1</v>
          </cell>
          <cell r="E5659" t="str">
            <v>Baru</v>
          </cell>
          <cell r="H5659" t="str">
            <v>salud_oral</v>
          </cell>
          <cell r="J5659" t="str">
            <v>bueno</v>
          </cell>
          <cell r="K5659" t="str">
            <v>defsi</v>
          </cell>
        </row>
        <row r="5660">
          <cell r="B5660" t="b">
            <v>1</v>
          </cell>
          <cell r="E5660" t="str">
            <v>Baru</v>
          </cell>
          <cell r="H5660" t="str">
            <v>salud_oral</v>
          </cell>
          <cell r="J5660" t="str">
            <v>bueno</v>
          </cell>
          <cell r="K5660" t="str">
            <v>defsi</v>
          </cell>
        </row>
        <row r="5661">
          <cell r="B5661" t="b">
            <v>1</v>
          </cell>
          <cell r="E5661" t="str">
            <v>Baru</v>
          </cell>
          <cell r="H5661" t="str">
            <v>urgencia</v>
          </cell>
          <cell r="J5661" t="str">
            <v>bueno</v>
          </cell>
          <cell r="K5661" t="str">
            <v>defsi</v>
          </cell>
        </row>
        <row r="5662">
          <cell r="B5662" t="b">
            <v>1</v>
          </cell>
          <cell r="E5662" t="str">
            <v>Baru</v>
          </cell>
          <cell r="H5662" t="str">
            <v>urgencia</v>
          </cell>
          <cell r="J5662" t="str">
            <v>bueno</v>
          </cell>
          <cell r="K5662" t="str">
            <v>defsi</v>
          </cell>
        </row>
        <row r="5663">
          <cell r="B5663" t="b">
            <v>0</v>
          </cell>
          <cell r="E5663" t="str">
            <v>Baru</v>
          </cell>
          <cell r="H5663" t="str">
            <v>urgencia</v>
          </cell>
          <cell r="J5663" t="str">
            <v>regular</v>
          </cell>
          <cell r="K5663" t="str">
            <v>defsi</v>
          </cell>
        </row>
        <row r="5664">
          <cell r="B5664" t="b">
            <v>1</v>
          </cell>
          <cell r="E5664" t="str">
            <v>Hospital Pozon</v>
          </cell>
          <cell r="H5664" t="str">
            <v>urgencia</v>
          </cell>
          <cell r="J5664" t="str">
            <v>muybueno</v>
          </cell>
          <cell r="K5664" t="str">
            <v>probsi</v>
          </cell>
        </row>
        <row r="5665">
          <cell r="B5665" t="b">
            <v>1</v>
          </cell>
          <cell r="E5665" t="str">
            <v>Hospital Pozon</v>
          </cell>
          <cell r="H5665" t="str">
            <v>urgencia</v>
          </cell>
          <cell r="J5665" t="str">
            <v>muybueno</v>
          </cell>
          <cell r="K5665" t="str">
            <v>probsi</v>
          </cell>
        </row>
        <row r="5666">
          <cell r="B5666" t="b">
            <v>1</v>
          </cell>
          <cell r="E5666" t="str">
            <v>Hospital Pozon</v>
          </cell>
          <cell r="H5666" t="str">
            <v>urgencia</v>
          </cell>
          <cell r="J5666" t="str">
            <v>muybueno</v>
          </cell>
          <cell r="K5666" t="str">
            <v>probsi</v>
          </cell>
        </row>
        <row r="5667">
          <cell r="B5667" t="b">
            <v>1</v>
          </cell>
          <cell r="E5667" t="str">
            <v>Hospital Pozon</v>
          </cell>
          <cell r="H5667" t="str">
            <v>urgencia</v>
          </cell>
          <cell r="J5667" t="str">
            <v>muybueno</v>
          </cell>
          <cell r="K5667" t="str">
            <v>probsi</v>
          </cell>
        </row>
        <row r="5668">
          <cell r="B5668" t="b">
            <v>1</v>
          </cell>
          <cell r="E5668" t="str">
            <v>Hospital Pozon</v>
          </cell>
          <cell r="H5668" t="str">
            <v>urgencia</v>
          </cell>
          <cell r="J5668" t="str">
            <v>muybueno</v>
          </cell>
          <cell r="K5668" t="str">
            <v>probsi</v>
          </cell>
        </row>
        <row r="5669">
          <cell r="B5669" t="b">
            <v>1</v>
          </cell>
          <cell r="E5669" t="str">
            <v>Hospital Pozon</v>
          </cell>
          <cell r="H5669" t="str">
            <v>urgencia</v>
          </cell>
          <cell r="J5669" t="str">
            <v>muybueno</v>
          </cell>
          <cell r="K5669" t="str">
            <v>probsi</v>
          </cell>
        </row>
        <row r="5670">
          <cell r="B5670" t="b">
            <v>1</v>
          </cell>
          <cell r="E5670" t="str">
            <v>Hospital Pozon</v>
          </cell>
          <cell r="H5670" t="str">
            <v>urgencia</v>
          </cell>
          <cell r="J5670" t="str">
            <v>muybueno</v>
          </cell>
          <cell r="K5670" t="str">
            <v>probsi</v>
          </cell>
        </row>
        <row r="5671">
          <cell r="B5671" t="b">
            <v>1</v>
          </cell>
          <cell r="E5671" t="str">
            <v>Isla Fuerte</v>
          </cell>
          <cell r="H5671" t="str">
            <v>salud_oral</v>
          </cell>
          <cell r="J5671" t="str">
            <v>bueno</v>
          </cell>
          <cell r="K5671" t="str">
            <v>probsi</v>
          </cell>
        </row>
        <row r="5672">
          <cell r="B5672" t="b">
            <v>1</v>
          </cell>
          <cell r="E5672" t="str">
            <v>Isla Fuerte</v>
          </cell>
          <cell r="H5672" t="str">
            <v>salud_oral</v>
          </cell>
          <cell r="J5672" t="str">
            <v>bueno</v>
          </cell>
          <cell r="K5672" t="str">
            <v>probsi</v>
          </cell>
        </row>
        <row r="5673">
          <cell r="B5673" t="b">
            <v>1</v>
          </cell>
          <cell r="E5673" t="str">
            <v>Hospital Pozon</v>
          </cell>
          <cell r="H5673" t="str">
            <v>consulta_externa</v>
          </cell>
          <cell r="J5673" t="str">
            <v>bueno</v>
          </cell>
          <cell r="K5673" t="str">
            <v>probsi</v>
          </cell>
        </row>
        <row r="5674">
          <cell r="B5674" t="b">
            <v>1</v>
          </cell>
          <cell r="E5674" t="str">
            <v>Hospital Pozon</v>
          </cell>
          <cell r="H5674" t="str">
            <v>consulta_externa</v>
          </cell>
          <cell r="J5674" t="str">
            <v>bueno</v>
          </cell>
          <cell r="K5674" t="str">
            <v>probsi</v>
          </cell>
        </row>
        <row r="5675">
          <cell r="B5675" t="b">
            <v>1</v>
          </cell>
          <cell r="E5675" t="str">
            <v>Isla Fuerte</v>
          </cell>
          <cell r="H5675" t="str">
            <v>consulta_externa</v>
          </cell>
          <cell r="J5675" t="str">
            <v>bueno</v>
          </cell>
          <cell r="K5675" t="str">
            <v>probsi</v>
          </cell>
        </row>
        <row r="5676">
          <cell r="B5676" t="b">
            <v>1</v>
          </cell>
          <cell r="E5676" t="str">
            <v>Hospital Pozon</v>
          </cell>
          <cell r="H5676" t="str">
            <v>consulta_externa</v>
          </cell>
          <cell r="J5676" t="str">
            <v>bueno</v>
          </cell>
          <cell r="K5676" t="str">
            <v>probsi</v>
          </cell>
        </row>
        <row r="5677">
          <cell r="B5677" t="b">
            <v>1</v>
          </cell>
          <cell r="E5677" t="str">
            <v>Isla Fuerte</v>
          </cell>
          <cell r="H5677" t="str">
            <v>consulta_externa</v>
          </cell>
          <cell r="J5677" t="str">
            <v>bueno</v>
          </cell>
          <cell r="K5677" t="str">
            <v>probsi</v>
          </cell>
        </row>
        <row r="5678">
          <cell r="B5678" t="b">
            <v>1</v>
          </cell>
          <cell r="E5678" t="str">
            <v>Isla Fuerte</v>
          </cell>
          <cell r="H5678" t="str">
            <v>consulta_externa</v>
          </cell>
          <cell r="J5678" t="str">
            <v>bueno</v>
          </cell>
          <cell r="K5678" t="str">
            <v>probsi</v>
          </cell>
        </row>
        <row r="5679">
          <cell r="B5679" t="b">
            <v>1</v>
          </cell>
          <cell r="E5679" t="str">
            <v>Isla Fuerte</v>
          </cell>
          <cell r="H5679" t="str">
            <v>consulta_externa</v>
          </cell>
          <cell r="J5679" t="str">
            <v>bueno</v>
          </cell>
          <cell r="K5679" t="str">
            <v>probsi</v>
          </cell>
        </row>
        <row r="5680">
          <cell r="B5680" t="b">
            <v>1</v>
          </cell>
          <cell r="E5680" t="str">
            <v>Isla Fuerte</v>
          </cell>
          <cell r="H5680" t="str">
            <v>consulta_externa</v>
          </cell>
          <cell r="J5680" t="str">
            <v>bueno</v>
          </cell>
          <cell r="K5680" t="str">
            <v>probsi</v>
          </cell>
        </row>
        <row r="5681">
          <cell r="B5681" t="b">
            <v>1</v>
          </cell>
          <cell r="E5681" t="str">
            <v>Hospital Pozon</v>
          </cell>
          <cell r="H5681" t="str">
            <v>consulta_externa</v>
          </cell>
          <cell r="J5681" t="str">
            <v>bueno</v>
          </cell>
          <cell r="K5681" t="str">
            <v>probsi</v>
          </cell>
        </row>
        <row r="5682">
          <cell r="B5682" t="b">
            <v>1</v>
          </cell>
          <cell r="E5682" t="str">
            <v>Isla Fuerte</v>
          </cell>
          <cell r="H5682" t="str">
            <v>laboratorio</v>
          </cell>
          <cell r="J5682" t="str">
            <v>bueno</v>
          </cell>
          <cell r="K5682" t="str">
            <v>probsi</v>
          </cell>
        </row>
        <row r="5683">
          <cell r="B5683" t="b">
            <v>1</v>
          </cell>
          <cell r="E5683" t="str">
            <v>Isla Fuerte</v>
          </cell>
          <cell r="H5683" t="str">
            <v>laboratorio</v>
          </cell>
          <cell r="J5683" t="str">
            <v>bueno</v>
          </cell>
          <cell r="K5683" t="str">
            <v>probsi</v>
          </cell>
        </row>
        <row r="5684">
          <cell r="B5684" t="b">
            <v>1</v>
          </cell>
          <cell r="E5684" t="str">
            <v>Isla Fuerte</v>
          </cell>
          <cell r="H5684" t="str">
            <v>laboratorio</v>
          </cell>
          <cell r="J5684" t="str">
            <v>bueno</v>
          </cell>
          <cell r="K5684" t="str">
            <v>probsi</v>
          </cell>
        </row>
        <row r="5685">
          <cell r="B5685" t="b">
            <v>1</v>
          </cell>
          <cell r="E5685" t="str">
            <v>Isla Fuerte</v>
          </cell>
          <cell r="H5685" t="str">
            <v>laboratorio</v>
          </cell>
          <cell r="J5685" t="str">
            <v>bueno</v>
          </cell>
          <cell r="K5685" t="str">
            <v>probsi</v>
          </cell>
        </row>
        <row r="5686">
          <cell r="B5686" t="b">
            <v>1</v>
          </cell>
          <cell r="E5686" t="str">
            <v>Hospital Pozon</v>
          </cell>
          <cell r="H5686" t="str">
            <v>consulta_externa</v>
          </cell>
          <cell r="J5686" t="str">
            <v>bueno</v>
          </cell>
          <cell r="K5686" t="str">
            <v>probsi</v>
          </cell>
        </row>
        <row r="5687">
          <cell r="B5687" t="b">
            <v>1</v>
          </cell>
          <cell r="E5687" t="str">
            <v>Isla Fuerte</v>
          </cell>
          <cell r="H5687" t="str">
            <v>laboratorio</v>
          </cell>
          <cell r="J5687" t="str">
            <v>bueno</v>
          </cell>
          <cell r="K5687" t="str">
            <v>probsi</v>
          </cell>
        </row>
        <row r="5688">
          <cell r="B5688" t="b">
            <v>1</v>
          </cell>
          <cell r="E5688" t="str">
            <v>Gaviotas</v>
          </cell>
          <cell r="H5688" t="str">
            <v>salud_oral</v>
          </cell>
          <cell r="J5688" t="str">
            <v>bueno</v>
          </cell>
          <cell r="K5688" t="str">
            <v>defsi</v>
          </cell>
        </row>
        <row r="5689">
          <cell r="B5689" t="b">
            <v>1</v>
          </cell>
          <cell r="E5689" t="str">
            <v>Gaviotas</v>
          </cell>
          <cell r="H5689" t="str">
            <v>salud_oral</v>
          </cell>
          <cell r="J5689" t="str">
            <v>bueno</v>
          </cell>
          <cell r="K5689" t="str">
            <v>defsi</v>
          </cell>
        </row>
        <row r="5690">
          <cell r="B5690" t="b">
            <v>1</v>
          </cell>
          <cell r="E5690" t="str">
            <v>Gaviotas</v>
          </cell>
          <cell r="H5690" t="str">
            <v>laboratorio</v>
          </cell>
          <cell r="J5690" t="str">
            <v>muybueno</v>
          </cell>
          <cell r="K5690" t="str">
            <v>defsi</v>
          </cell>
        </row>
        <row r="5691">
          <cell r="B5691" t="b">
            <v>1</v>
          </cell>
          <cell r="E5691" t="str">
            <v>Gaviotas</v>
          </cell>
          <cell r="H5691" t="str">
            <v>laboratorio</v>
          </cell>
          <cell r="J5691" t="str">
            <v>muybueno</v>
          </cell>
          <cell r="K5691" t="str">
            <v>defsi</v>
          </cell>
        </row>
        <row r="5692">
          <cell r="B5692" t="b">
            <v>1</v>
          </cell>
          <cell r="E5692" t="str">
            <v>Gaviotas</v>
          </cell>
          <cell r="H5692" t="str">
            <v>laboratorio</v>
          </cell>
          <cell r="J5692" t="str">
            <v>muybueno</v>
          </cell>
          <cell r="K5692" t="str">
            <v>defsi</v>
          </cell>
        </row>
        <row r="5693">
          <cell r="B5693" t="b">
            <v>1</v>
          </cell>
          <cell r="E5693" t="str">
            <v>Gaviotas</v>
          </cell>
          <cell r="H5693" t="str">
            <v>laboratorio</v>
          </cell>
          <cell r="J5693" t="str">
            <v>bueno</v>
          </cell>
          <cell r="K5693" t="str">
            <v>defsi</v>
          </cell>
        </row>
        <row r="5694">
          <cell r="B5694" t="b">
            <v>1</v>
          </cell>
          <cell r="E5694" t="str">
            <v>Gaviotas</v>
          </cell>
          <cell r="H5694" t="str">
            <v>salud_oral</v>
          </cell>
          <cell r="J5694" t="str">
            <v>bueno</v>
          </cell>
          <cell r="K5694" t="str">
            <v>defsi</v>
          </cell>
        </row>
        <row r="5695">
          <cell r="B5695" t="b">
            <v>1</v>
          </cell>
          <cell r="E5695" t="str">
            <v>Gaviotas</v>
          </cell>
          <cell r="H5695" t="str">
            <v>laboratorio</v>
          </cell>
          <cell r="J5695" t="str">
            <v>bueno</v>
          </cell>
          <cell r="K5695" t="str">
            <v>defsi</v>
          </cell>
        </row>
        <row r="5696">
          <cell r="B5696" t="b">
            <v>0</v>
          </cell>
          <cell r="E5696" t="str">
            <v>Gaviotas</v>
          </cell>
          <cell r="H5696" t="str">
            <v>consulta_externa</v>
          </cell>
          <cell r="J5696" t="str">
            <v>regular</v>
          </cell>
          <cell r="K5696" t="str">
            <v>defsi</v>
          </cell>
        </row>
        <row r="5697">
          <cell r="B5697" t="b">
            <v>1</v>
          </cell>
          <cell r="E5697" t="str">
            <v>Gaviotas</v>
          </cell>
          <cell r="H5697" t="str">
            <v>salud_oral</v>
          </cell>
          <cell r="J5697" t="str">
            <v>muybueno</v>
          </cell>
          <cell r="K5697" t="str">
            <v>defsi</v>
          </cell>
        </row>
        <row r="5698">
          <cell r="B5698" t="b">
            <v>1</v>
          </cell>
          <cell r="E5698" t="str">
            <v>Gaviotas</v>
          </cell>
          <cell r="H5698" t="str">
            <v>salud_oral</v>
          </cell>
          <cell r="J5698" t="str">
            <v>muybueno</v>
          </cell>
          <cell r="K5698" t="str">
            <v>defsi</v>
          </cell>
        </row>
        <row r="5699">
          <cell r="B5699" t="b">
            <v>1</v>
          </cell>
          <cell r="E5699" t="str">
            <v>Gaviotas</v>
          </cell>
          <cell r="H5699" t="str">
            <v>salud_oral</v>
          </cell>
          <cell r="J5699" t="str">
            <v>bueno</v>
          </cell>
          <cell r="K5699" t="str">
            <v>defsi</v>
          </cell>
        </row>
        <row r="5700">
          <cell r="B5700" t="b">
            <v>1</v>
          </cell>
          <cell r="E5700" t="str">
            <v>Gaviotas</v>
          </cell>
          <cell r="H5700" t="str">
            <v>salud_oral</v>
          </cell>
          <cell r="J5700" t="str">
            <v>bueno</v>
          </cell>
          <cell r="K5700" t="str">
            <v>defsi</v>
          </cell>
        </row>
        <row r="5701">
          <cell r="B5701" t="b">
            <v>1</v>
          </cell>
          <cell r="E5701" t="str">
            <v>Gaviotas</v>
          </cell>
          <cell r="H5701" t="str">
            <v>consulta_externa</v>
          </cell>
          <cell r="J5701" t="str">
            <v>bueno</v>
          </cell>
          <cell r="K5701" t="str">
            <v>defsi</v>
          </cell>
        </row>
        <row r="5702">
          <cell r="B5702" t="b">
            <v>1</v>
          </cell>
          <cell r="E5702" t="str">
            <v>Gaviotas</v>
          </cell>
          <cell r="H5702" t="str">
            <v>laboratorio</v>
          </cell>
          <cell r="J5702" t="str">
            <v>bueno</v>
          </cell>
          <cell r="K5702" t="str">
            <v>defsi</v>
          </cell>
        </row>
        <row r="5703">
          <cell r="B5703" t="b">
            <v>1</v>
          </cell>
          <cell r="E5703" t="str">
            <v>Gaviotas</v>
          </cell>
          <cell r="H5703" t="str">
            <v>laboratorio</v>
          </cell>
          <cell r="J5703" t="str">
            <v>bueno</v>
          </cell>
          <cell r="K5703" t="str">
            <v>defsi</v>
          </cell>
        </row>
        <row r="5704">
          <cell r="B5704" t="b">
            <v>1</v>
          </cell>
          <cell r="E5704" t="str">
            <v>Gaviotas</v>
          </cell>
          <cell r="H5704" t="str">
            <v>laboratorio</v>
          </cell>
          <cell r="J5704" t="str">
            <v>bueno</v>
          </cell>
          <cell r="K5704" t="str">
            <v>defsi</v>
          </cell>
        </row>
        <row r="5705">
          <cell r="B5705" t="b">
            <v>1</v>
          </cell>
          <cell r="E5705" t="str">
            <v>Bosque</v>
          </cell>
          <cell r="H5705" t="str">
            <v>consulta_externa</v>
          </cell>
          <cell r="J5705" t="str">
            <v>bueno</v>
          </cell>
          <cell r="K5705" t="str">
            <v>defsi</v>
          </cell>
        </row>
        <row r="5706">
          <cell r="B5706" t="b">
            <v>1</v>
          </cell>
          <cell r="E5706" t="str">
            <v>Bosque</v>
          </cell>
          <cell r="H5706" t="str">
            <v>salud_oral</v>
          </cell>
          <cell r="J5706" t="str">
            <v>bueno</v>
          </cell>
          <cell r="K5706" t="str">
            <v>defsi</v>
          </cell>
        </row>
        <row r="5707">
          <cell r="B5707" t="b">
            <v>1</v>
          </cell>
          <cell r="E5707" t="str">
            <v>Bosque</v>
          </cell>
          <cell r="H5707" t="str">
            <v>laboratorio</v>
          </cell>
          <cell r="J5707" t="str">
            <v>bueno</v>
          </cell>
          <cell r="K5707" t="str">
            <v>defsi</v>
          </cell>
        </row>
        <row r="5708">
          <cell r="B5708" t="b">
            <v>1</v>
          </cell>
          <cell r="E5708" t="str">
            <v>Bosque</v>
          </cell>
          <cell r="H5708" t="str">
            <v>consulta_externa</v>
          </cell>
          <cell r="J5708" t="str">
            <v>bueno</v>
          </cell>
          <cell r="K5708" t="str">
            <v>defsi</v>
          </cell>
        </row>
        <row r="5709">
          <cell r="B5709" t="b">
            <v>1</v>
          </cell>
          <cell r="E5709" t="str">
            <v>Bosque</v>
          </cell>
          <cell r="H5709" t="str">
            <v>salud_oral</v>
          </cell>
          <cell r="J5709" t="str">
            <v>bueno</v>
          </cell>
          <cell r="K5709" t="str">
            <v>defsi</v>
          </cell>
        </row>
        <row r="5710">
          <cell r="B5710" t="b">
            <v>1</v>
          </cell>
          <cell r="E5710" t="str">
            <v>Bosque</v>
          </cell>
          <cell r="H5710" t="str">
            <v>laboratorio</v>
          </cell>
          <cell r="J5710" t="str">
            <v>bueno</v>
          </cell>
          <cell r="K5710" t="str">
            <v>defsi</v>
          </cell>
        </row>
        <row r="5711">
          <cell r="B5711" t="b">
            <v>1</v>
          </cell>
          <cell r="E5711" t="str">
            <v>Bosque</v>
          </cell>
          <cell r="H5711" t="str">
            <v>consulta_externa</v>
          </cell>
          <cell r="J5711" t="str">
            <v>bueno</v>
          </cell>
          <cell r="K5711" t="str">
            <v>defsi</v>
          </cell>
        </row>
        <row r="5712">
          <cell r="B5712" t="b">
            <v>1</v>
          </cell>
          <cell r="E5712" t="str">
            <v>Bosque</v>
          </cell>
          <cell r="H5712" t="str">
            <v>salud_oral</v>
          </cell>
          <cell r="J5712" t="str">
            <v>bueno</v>
          </cell>
          <cell r="K5712" t="str">
            <v>defsi</v>
          </cell>
        </row>
        <row r="5713">
          <cell r="B5713" t="b">
            <v>1</v>
          </cell>
          <cell r="E5713" t="str">
            <v>Bosque</v>
          </cell>
          <cell r="H5713" t="str">
            <v>laboratorio</v>
          </cell>
          <cell r="J5713" t="str">
            <v>bueno</v>
          </cell>
          <cell r="K5713" t="str">
            <v>defsi</v>
          </cell>
        </row>
        <row r="5714">
          <cell r="B5714" t="b">
            <v>1</v>
          </cell>
          <cell r="E5714" t="str">
            <v>Bosque</v>
          </cell>
          <cell r="H5714" t="str">
            <v>consulta_externa</v>
          </cell>
          <cell r="J5714" t="str">
            <v>bueno</v>
          </cell>
          <cell r="K5714" t="str">
            <v>defsi</v>
          </cell>
        </row>
        <row r="5715">
          <cell r="B5715" t="b">
            <v>1</v>
          </cell>
          <cell r="E5715" t="str">
            <v>Bosque</v>
          </cell>
          <cell r="H5715" t="str">
            <v>salud_oral</v>
          </cell>
          <cell r="J5715" t="str">
            <v>bueno</v>
          </cell>
          <cell r="K5715" t="str">
            <v>defsi</v>
          </cell>
        </row>
        <row r="5716">
          <cell r="B5716" t="b">
            <v>1</v>
          </cell>
          <cell r="E5716" t="str">
            <v>Bosque</v>
          </cell>
          <cell r="H5716" t="str">
            <v>laboratorio</v>
          </cell>
          <cell r="J5716" t="str">
            <v>bueno</v>
          </cell>
          <cell r="K5716" t="str">
            <v>defsi</v>
          </cell>
        </row>
        <row r="5717">
          <cell r="B5717" t="b">
            <v>1</v>
          </cell>
          <cell r="E5717" t="str">
            <v>Bosque</v>
          </cell>
          <cell r="H5717" t="str">
            <v>consulta_externa</v>
          </cell>
          <cell r="J5717" t="str">
            <v>bueno</v>
          </cell>
          <cell r="K5717" t="str">
            <v>defsi</v>
          </cell>
        </row>
        <row r="5718">
          <cell r="B5718" t="b">
            <v>1</v>
          </cell>
          <cell r="E5718" t="str">
            <v>Bosque</v>
          </cell>
          <cell r="H5718" t="str">
            <v>salud_oral</v>
          </cell>
          <cell r="J5718" t="str">
            <v>bueno</v>
          </cell>
          <cell r="K5718" t="str">
            <v>defsi</v>
          </cell>
        </row>
        <row r="5719">
          <cell r="B5719" t="b">
            <v>1</v>
          </cell>
          <cell r="E5719" t="str">
            <v>Bosque</v>
          </cell>
          <cell r="H5719" t="str">
            <v>laboratorio</v>
          </cell>
          <cell r="J5719" t="str">
            <v>bueno</v>
          </cell>
          <cell r="K5719" t="str">
            <v>defsi</v>
          </cell>
        </row>
        <row r="5720">
          <cell r="B5720" t="b">
            <v>1</v>
          </cell>
          <cell r="E5720" t="str">
            <v>Bosque</v>
          </cell>
          <cell r="H5720" t="str">
            <v>consulta_externa</v>
          </cell>
          <cell r="J5720" t="str">
            <v>bueno</v>
          </cell>
          <cell r="K5720" t="str">
            <v>defsi</v>
          </cell>
        </row>
        <row r="5721">
          <cell r="B5721" t="b">
            <v>1</v>
          </cell>
          <cell r="E5721" t="str">
            <v>Bosque</v>
          </cell>
          <cell r="H5721" t="str">
            <v>salud_oral</v>
          </cell>
          <cell r="J5721" t="str">
            <v>bueno</v>
          </cell>
          <cell r="K5721" t="str">
            <v>defsi</v>
          </cell>
        </row>
        <row r="5722">
          <cell r="B5722" t="b">
            <v>1</v>
          </cell>
          <cell r="E5722" t="str">
            <v>Bosque</v>
          </cell>
          <cell r="H5722" t="str">
            <v>laboratorio</v>
          </cell>
          <cell r="J5722" t="str">
            <v>bueno</v>
          </cell>
          <cell r="K5722" t="str">
            <v>defsi</v>
          </cell>
        </row>
        <row r="5723">
          <cell r="B5723" t="b">
            <v>1</v>
          </cell>
          <cell r="E5723" t="str">
            <v>Isla del Rosario</v>
          </cell>
          <cell r="H5723" t="str">
            <v>consulta_externa</v>
          </cell>
          <cell r="J5723" t="str">
            <v>bueno</v>
          </cell>
          <cell r="K5723" t="str">
            <v>probsi</v>
          </cell>
        </row>
        <row r="5724">
          <cell r="B5724" t="b">
            <v>1</v>
          </cell>
          <cell r="E5724" t="str">
            <v>Isla del Rosario</v>
          </cell>
          <cell r="H5724" t="str">
            <v>consulta_externa</v>
          </cell>
          <cell r="J5724" t="str">
            <v>bueno</v>
          </cell>
          <cell r="K5724" t="str">
            <v>probsi</v>
          </cell>
        </row>
        <row r="5725">
          <cell r="B5725" t="b">
            <v>1</v>
          </cell>
          <cell r="E5725" t="str">
            <v>Isla del Rosario</v>
          </cell>
          <cell r="H5725" t="str">
            <v>consulta_externa</v>
          </cell>
          <cell r="J5725" t="str">
            <v>bueno</v>
          </cell>
          <cell r="K5725" t="str">
            <v>probsi</v>
          </cell>
        </row>
        <row r="5726">
          <cell r="B5726" t="b">
            <v>1</v>
          </cell>
          <cell r="E5726" t="str">
            <v>Isla del Rosario</v>
          </cell>
          <cell r="H5726" t="str">
            <v>consulta_externa</v>
          </cell>
          <cell r="J5726" t="str">
            <v>bueno</v>
          </cell>
          <cell r="K5726" t="str">
            <v>probsi</v>
          </cell>
        </row>
        <row r="5727">
          <cell r="B5727" t="b">
            <v>1</v>
          </cell>
          <cell r="E5727" t="str">
            <v>Isla del Rosario</v>
          </cell>
          <cell r="H5727" t="str">
            <v>consulta_externa</v>
          </cell>
          <cell r="J5727" t="str">
            <v>bueno</v>
          </cell>
          <cell r="K5727" t="str">
            <v>probsi</v>
          </cell>
        </row>
        <row r="5728">
          <cell r="B5728" t="b">
            <v>1</v>
          </cell>
          <cell r="E5728" t="str">
            <v>Isla del Rosario</v>
          </cell>
          <cell r="H5728" t="str">
            <v>consulta_externa</v>
          </cell>
          <cell r="J5728" t="str">
            <v>bueno</v>
          </cell>
          <cell r="K5728" t="str">
            <v>probsi</v>
          </cell>
        </row>
        <row r="5729">
          <cell r="B5729" t="b">
            <v>1</v>
          </cell>
          <cell r="E5729" t="str">
            <v>Isla del Rosario</v>
          </cell>
          <cell r="H5729" t="str">
            <v>consulta_externa</v>
          </cell>
          <cell r="J5729" t="str">
            <v>bueno</v>
          </cell>
          <cell r="K5729" t="str">
            <v>probsi</v>
          </cell>
        </row>
        <row r="5730">
          <cell r="B5730" t="b">
            <v>1</v>
          </cell>
          <cell r="E5730" t="str">
            <v>Isla del Rosario</v>
          </cell>
          <cell r="H5730" t="str">
            <v>consulta_externa</v>
          </cell>
          <cell r="J5730" t="str">
            <v>bueno</v>
          </cell>
          <cell r="K5730" t="str">
            <v>probsi</v>
          </cell>
        </row>
        <row r="5731">
          <cell r="B5731" t="b">
            <v>1</v>
          </cell>
          <cell r="E5731" t="str">
            <v>Isla del Rosario</v>
          </cell>
          <cell r="H5731" t="str">
            <v>consulta_externa</v>
          </cell>
          <cell r="J5731" t="str">
            <v>bueno</v>
          </cell>
          <cell r="K5731" t="str">
            <v>probsi</v>
          </cell>
        </row>
        <row r="5732">
          <cell r="B5732" t="b">
            <v>1</v>
          </cell>
          <cell r="E5732" t="str">
            <v>Isla del Rosario</v>
          </cell>
          <cell r="H5732" t="str">
            <v>salud_oral</v>
          </cell>
          <cell r="J5732" t="str">
            <v>bueno</v>
          </cell>
          <cell r="K5732" t="str">
            <v>probsi</v>
          </cell>
        </row>
        <row r="5733">
          <cell r="B5733" t="b">
            <v>1</v>
          </cell>
          <cell r="E5733" t="str">
            <v>Isla del Rosario</v>
          </cell>
          <cell r="H5733" t="str">
            <v>salud_oral</v>
          </cell>
          <cell r="J5733" t="str">
            <v>bueno</v>
          </cell>
          <cell r="K5733" t="str">
            <v>probsi</v>
          </cell>
        </row>
        <row r="5734">
          <cell r="B5734" t="b">
            <v>1</v>
          </cell>
          <cell r="E5734" t="str">
            <v>Isla del Rosario</v>
          </cell>
          <cell r="H5734" t="str">
            <v>salud_oral</v>
          </cell>
          <cell r="J5734" t="str">
            <v>bueno</v>
          </cell>
          <cell r="K5734" t="str">
            <v>probsi</v>
          </cell>
        </row>
        <row r="5735">
          <cell r="B5735" t="b">
            <v>1</v>
          </cell>
          <cell r="E5735" t="str">
            <v>Isla del Rosario</v>
          </cell>
          <cell r="H5735" t="str">
            <v>salud_oral</v>
          </cell>
          <cell r="J5735" t="str">
            <v>bueno</v>
          </cell>
          <cell r="K5735" t="str">
            <v>probsi</v>
          </cell>
        </row>
        <row r="5736">
          <cell r="B5736" t="b">
            <v>1</v>
          </cell>
          <cell r="E5736" t="str">
            <v>Bosque</v>
          </cell>
          <cell r="H5736" t="str">
            <v>consulta_externa</v>
          </cell>
          <cell r="J5736" t="str">
            <v>bueno</v>
          </cell>
          <cell r="K5736" t="str">
            <v>defsi</v>
          </cell>
        </row>
        <row r="5737">
          <cell r="B5737" t="b">
            <v>1</v>
          </cell>
          <cell r="E5737" t="str">
            <v>Isla del Rosario</v>
          </cell>
          <cell r="H5737" t="str">
            <v>laboratorio</v>
          </cell>
          <cell r="J5737" t="str">
            <v>bueno</v>
          </cell>
          <cell r="K5737" t="str">
            <v>probsi</v>
          </cell>
        </row>
        <row r="5738">
          <cell r="B5738" t="b">
            <v>1</v>
          </cell>
          <cell r="E5738" t="str">
            <v>Isla del Rosario</v>
          </cell>
          <cell r="H5738" t="str">
            <v>laboratorio</v>
          </cell>
          <cell r="J5738" t="str">
            <v>bueno</v>
          </cell>
          <cell r="K5738" t="str">
            <v>probsi</v>
          </cell>
        </row>
        <row r="5739">
          <cell r="B5739" t="b">
            <v>1</v>
          </cell>
          <cell r="E5739" t="str">
            <v>Isla del Rosario</v>
          </cell>
          <cell r="H5739" t="str">
            <v>laboratorio</v>
          </cell>
          <cell r="J5739" t="str">
            <v>bueno</v>
          </cell>
          <cell r="K5739" t="str">
            <v>probsi</v>
          </cell>
        </row>
        <row r="5740">
          <cell r="B5740" t="b">
            <v>1</v>
          </cell>
          <cell r="E5740" t="str">
            <v>Isla del Rosario</v>
          </cell>
          <cell r="H5740" t="str">
            <v>laboratorio</v>
          </cell>
          <cell r="J5740" t="str">
            <v>bueno</v>
          </cell>
          <cell r="K5740" t="str">
            <v>probsi</v>
          </cell>
        </row>
        <row r="5741">
          <cell r="B5741" t="b">
            <v>1</v>
          </cell>
          <cell r="E5741" t="str">
            <v>Isla del Rosario</v>
          </cell>
          <cell r="H5741" t="str">
            <v>laboratorio</v>
          </cell>
          <cell r="J5741" t="str">
            <v>bueno</v>
          </cell>
          <cell r="K5741" t="str">
            <v>probsi</v>
          </cell>
        </row>
        <row r="5742">
          <cell r="B5742" t="b">
            <v>1</v>
          </cell>
          <cell r="E5742" t="str">
            <v>Isla del Rosario</v>
          </cell>
          <cell r="H5742" t="str">
            <v>laboratorio</v>
          </cell>
          <cell r="J5742" t="str">
            <v>bueno</v>
          </cell>
          <cell r="K5742" t="str">
            <v>probsi</v>
          </cell>
        </row>
        <row r="5743">
          <cell r="B5743" t="b">
            <v>1</v>
          </cell>
          <cell r="E5743" t="str">
            <v>Isla del Rosario</v>
          </cell>
          <cell r="H5743" t="str">
            <v>laboratorio</v>
          </cell>
          <cell r="J5743" t="str">
            <v>bueno</v>
          </cell>
          <cell r="K5743" t="str">
            <v>probsi</v>
          </cell>
        </row>
        <row r="5744">
          <cell r="B5744" t="b">
            <v>1</v>
          </cell>
          <cell r="E5744" t="str">
            <v>Bosque</v>
          </cell>
          <cell r="H5744" t="str">
            <v>salud_oral</v>
          </cell>
          <cell r="J5744" t="str">
            <v>bueno</v>
          </cell>
          <cell r="K5744" t="str">
            <v>defsi</v>
          </cell>
        </row>
        <row r="5745">
          <cell r="B5745" t="b">
            <v>1</v>
          </cell>
          <cell r="E5745" t="str">
            <v>Bosque</v>
          </cell>
          <cell r="H5745" t="str">
            <v>laboratorio</v>
          </cell>
          <cell r="J5745" t="str">
            <v>bueno</v>
          </cell>
          <cell r="K5745" t="str">
            <v>defsi</v>
          </cell>
        </row>
        <row r="5746">
          <cell r="B5746" t="b">
            <v>1</v>
          </cell>
          <cell r="E5746" t="str">
            <v>Hospital Pozon</v>
          </cell>
          <cell r="H5746" t="str">
            <v>ecografias</v>
          </cell>
          <cell r="J5746" t="str">
            <v>bueno</v>
          </cell>
          <cell r="K5746" t="str">
            <v>defsi</v>
          </cell>
        </row>
        <row r="5747">
          <cell r="B5747" t="b">
            <v>1</v>
          </cell>
          <cell r="E5747" t="str">
            <v>Hospital Pozon</v>
          </cell>
          <cell r="H5747" t="str">
            <v>ecografias</v>
          </cell>
          <cell r="J5747" t="str">
            <v>bueno</v>
          </cell>
          <cell r="K5747" t="str">
            <v>defsi</v>
          </cell>
        </row>
        <row r="5748">
          <cell r="B5748" t="b">
            <v>1</v>
          </cell>
          <cell r="E5748" t="str">
            <v>Hospital Pozon</v>
          </cell>
          <cell r="H5748" t="str">
            <v>ecografias</v>
          </cell>
          <cell r="J5748" t="str">
            <v>bueno</v>
          </cell>
          <cell r="K5748" t="str">
            <v>defsi</v>
          </cell>
        </row>
        <row r="5749">
          <cell r="B5749" t="b">
            <v>1</v>
          </cell>
          <cell r="E5749" t="str">
            <v>Hospital Pozon</v>
          </cell>
          <cell r="H5749" t="str">
            <v>ecografias</v>
          </cell>
          <cell r="J5749" t="str">
            <v>bueno</v>
          </cell>
          <cell r="K5749" t="str">
            <v>defsi</v>
          </cell>
        </row>
        <row r="5750">
          <cell r="B5750" t="b">
            <v>1</v>
          </cell>
          <cell r="E5750" t="str">
            <v>Hospital Pozon</v>
          </cell>
          <cell r="H5750" t="str">
            <v>ecografias</v>
          </cell>
          <cell r="J5750" t="str">
            <v>bueno</v>
          </cell>
          <cell r="K5750" t="str">
            <v>defsi</v>
          </cell>
        </row>
        <row r="5751">
          <cell r="B5751" t="b">
            <v>1</v>
          </cell>
          <cell r="E5751" t="str">
            <v>Hospital Pozon</v>
          </cell>
          <cell r="H5751" t="str">
            <v>ecografias</v>
          </cell>
          <cell r="J5751" t="str">
            <v>bueno</v>
          </cell>
          <cell r="K5751" t="str">
            <v>defsi</v>
          </cell>
        </row>
        <row r="5752">
          <cell r="B5752" t="b">
            <v>1</v>
          </cell>
          <cell r="E5752" t="str">
            <v>Hospital Pozon</v>
          </cell>
          <cell r="H5752" t="str">
            <v>ecografias</v>
          </cell>
          <cell r="J5752" t="str">
            <v>bueno</v>
          </cell>
          <cell r="K5752" t="str">
            <v>defsi</v>
          </cell>
        </row>
        <row r="5753">
          <cell r="B5753" t="b">
            <v>1</v>
          </cell>
          <cell r="E5753" t="str">
            <v>Hospital Pozon</v>
          </cell>
          <cell r="H5753" t="str">
            <v>ecografias</v>
          </cell>
          <cell r="J5753" t="str">
            <v>bueno</v>
          </cell>
          <cell r="K5753" t="str">
            <v>defsi</v>
          </cell>
        </row>
        <row r="5754">
          <cell r="B5754" t="b">
            <v>1</v>
          </cell>
          <cell r="E5754" t="str">
            <v>Hospital Pozon</v>
          </cell>
          <cell r="H5754" t="str">
            <v>ecografias</v>
          </cell>
          <cell r="J5754" t="str">
            <v>bueno</v>
          </cell>
          <cell r="K5754" t="str">
            <v>defsi</v>
          </cell>
        </row>
        <row r="5755">
          <cell r="B5755" t="b">
            <v>1</v>
          </cell>
          <cell r="E5755" t="str">
            <v>Hospital Pozon</v>
          </cell>
          <cell r="H5755" t="str">
            <v>ecografias</v>
          </cell>
          <cell r="J5755" t="str">
            <v>bueno</v>
          </cell>
          <cell r="K5755" t="str">
            <v>defsi</v>
          </cell>
        </row>
        <row r="5756">
          <cell r="B5756" t="b">
            <v>1</v>
          </cell>
          <cell r="E5756" t="str">
            <v>Hospital Pozon</v>
          </cell>
          <cell r="H5756" t="str">
            <v>ecografias</v>
          </cell>
          <cell r="J5756" t="str">
            <v>bueno</v>
          </cell>
          <cell r="K5756" t="str">
            <v>defsi</v>
          </cell>
        </row>
        <row r="5757">
          <cell r="B5757" t="b">
            <v>1</v>
          </cell>
          <cell r="E5757" t="str">
            <v>Hospital Pozon</v>
          </cell>
          <cell r="H5757" t="str">
            <v>ecografias</v>
          </cell>
          <cell r="J5757" t="str">
            <v>bueno</v>
          </cell>
          <cell r="K5757" t="str">
            <v>defsi</v>
          </cell>
        </row>
        <row r="5758">
          <cell r="B5758" t="b">
            <v>1</v>
          </cell>
          <cell r="E5758" t="str">
            <v>Hospital Pozon</v>
          </cell>
          <cell r="H5758" t="str">
            <v>ecografias</v>
          </cell>
          <cell r="J5758" t="str">
            <v>bueno</v>
          </cell>
          <cell r="K5758" t="str">
            <v>defsi</v>
          </cell>
        </row>
        <row r="5759">
          <cell r="B5759" t="b">
            <v>1</v>
          </cell>
          <cell r="E5759" t="str">
            <v>Hospital Pozon</v>
          </cell>
          <cell r="H5759" t="str">
            <v>ecografias</v>
          </cell>
          <cell r="J5759" t="str">
            <v>bueno</v>
          </cell>
          <cell r="K5759" t="str">
            <v>defsi</v>
          </cell>
        </row>
        <row r="5760">
          <cell r="B5760" t="b">
            <v>1</v>
          </cell>
          <cell r="E5760" t="str">
            <v>Hospital Pozon</v>
          </cell>
          <cell r="H5760" t="str">
            <v>pediatria</v>
          </cell>
          <cell r="J5760" t="str">
            <v>bueno</v>
          </cell>
          <cell r="K5760" t="str">
            <v>defsi</v>
          </cell>
        </row>
        <row r="5761">
          <cell r="B5761" t="b">
            <v>1</v>
          </cell>
          <cell r="E5761" t="str">
            <v>Hospital Pozon</v>
          </cell>
          <cell r="H5761" t="str">
            <v>pediatria</v>
          </cell>
          <cell r="J5761" t="str">
            <v>bueno</v>
          </cell>
          <cell r="K5761" t="str">
            <v>defsi</v>
          </cell>
        </row>
        <row r="5762">
          <cell r="B5762" t="b">
            <v>1</v>
          </cell>
          <cell r="E5762" t="str">
            <v>Hospital Pozon</v>
          </cell>
          <cell r="H5762" t="str">
            <v>pediatria</v>
          </cell>
          <cell r="J5762" t="str">
            <v>bueno</v>
          </cell>
          <cell r="K5762" t="str">
            <v>defsi</v>
          </cell>
        </row>
        <row r="5763">
          <cell r="B5763" t="b">
            <v>1</v>
          </cell>
          <cell r="E5763" t="str">
            <v>Hospital Pozon</v>
          </cell>
          <cell r="H5763" t="str">
            <v>pediatria</v>
          </cell>
          <cell r="J5763" t="str">
            <v>bueno</v>
          </cell>
          <cell r="K5763" t="str">
            <v>defsi</v>
          </cell>
        </row>
        <row r="5764">
          <cell r="B5764" t="b">
            <v>1</v>
          </cell>
          <cell r="E5764" t="str">
            <v>Hospital Pozon</v>
          </cell>
          <cell r="H5764" t="str">
            <v>pediatria</v>
          </cell>
          <cell r="J5764" t="str">
            <v>bueno</v>
          </cell>
          <cell r="K5764" t="str">
            <v>defsi</v>
          </cell>
        </row>
        <row r="5765">
          <cell r="B5765" t="b">
            <v>1</v>
          </cell>
          <cell r="E5765" t="str">
            <v>Hospital Pozon</v>
          </cell>
          <cell r="H5765" t="str">
            <v>pediatria</v>
          </cell>
          <cell r="J5765" t="str">
            <v>bueno</v>
          </cell>
          <cell r="K5765" t="str">
            <v>defsi</v>
          </cell>
        </row>
        <row r="5766">
          <cell r="B5766" t="b">
            <v>1</v>
          </cell>
          <cell r="E5766" t="str">
            <v>Hospital Pozon</v>
          </cell>
          <cell r="H5766" t="str">
            <v>pediatria</v>
          </cell>
          <cell r="J5766" t="str">
            <v>bueno</v>
          </cell>
          <cell r="K5766" t="str">
            <v>defsi</v>
          </cell>
        </row>
        <row r="5767">
          <cell r="B5767" t="b">
            <v>1</v>
          </cell>
          <cell r="E5767" t="str">
            <v>Hospital Pozon</v>
          </cell>
          <cell r="H5767" t="str">
            <v>pediatria</v>
          </cell>
          <cell r="J5767" t="str">
            <v>bueno</v>
          </cell>
          <cell r="K5767" t="str">
            <v>defsi</v>
          </cell>
        </row>
        <row r="5768">
          <cell r="B5768" t="b">
            <v>1</v>
          </cell>
          <cell r="E5768" t="str">
            <v>Hospital Pozon</v>
          </cell>
          <cell r="H5768" t="str">
            <v>pediatria</v>
          </cell>
          <cell r="J5768" t="str">
            <v>bueno</v>
          </cell>
          <cell r="K5768" t="str">
            <v>defsi</v>
          </cell>
        </row>
        <row r="5769">
          <cell r="B5769" t="b">
            <v>1</v>
          </cell>
          <cell r="E5769" t="str">
            <v>Hospital Pozon</v>
          </cell>
          <cell r="H5769" t="str">
            <v>pediatria</v>
          </cell>
          <cell r="J5769" t="str">
            <v>bueno</v>
          </cell>
          <cell r="K5769" t="str">
            <v>defsi</v>
          </cell>
        </row>
        <row r="5770">
          <cell r="B5770" t="b">
            <v>1</v>
          </cell>
          <cell r="E5770" t="str">
            <v>Hospital Pozon</v>
          </cell>
          <cell r="H5770" t="str">
            <v>pediatria</v>
          </cell>
          <cell r="J5770" t="str">
            <v>bueno</v>
          </cell>
          <cell r="K5770" t="str">
            <v>defsi</v>
          </cell>
        </row>
        <row r="5771">
          <cell r="B5771" t="b">
            <v>1</v>
          </cell>
          <cell r="E5771" t="str">
            <v>Hospital Pozon</v>
          </cell>
          <cell r="H5771" t="str">
            <v>consulta_externa</v>
          </cell>
          <cell r="J5771" t="str">
            <v>bueno</v>
          </cell>
          <cell r="K5771" t="str">
            <v>defsi</v>
          </cell>
        </row>
        <row r="5772">
          <cell r="B5772" t="b">
            <v>1</v>
          </cell>
          <cell r="E5772" t="str">
            <v>Hospital Pozon</v>
          </cell>
          <cell r="H5772" t="str">
            <v>consulta_externa</v>
          </cell>
          <cell r="J5772" t="str">
            <v>bueno</v>
          </cell>
          <cell r="K5772" t="str">
            <v>defsi</v>
          </cell>
        </row>
        <row r="5773">
          <cell r="B5773" t="b">
            <v>1</v>
          </cell>
          <cell r="E5773" t="str">
            <v>Hospital Pozon</v>
          </cell>
          <cell r="H5773" t="str">
            <v>consulta_externa</v>
          </cell>
          <cell r="J5773" t="str">
            <v>bueno</v>
          </cell>
          <cell r="K5773" t="str">
            <v>defsi</v>
          </cell>
        </row>
        <row r="5774">
          <cell r="B5774" t="b">
            <v>1</v>
          </cell>
          <cell r="E5774" t="str">
            <v>Hospital Pozon</v>
          </cell>
          <cell r="H5774" t="str">
            <v>consulta_externa</v>
          </cell>
          <cell r="J5774" t="str">
            <v>bueno</v>
          </cell>
          <cell r="K5774" t="str">
            <v>defsi</v>
          </cell>
        </row>
        <row r="5775">
          <cell r="B5775" t="b">
            <v>1</v>
          </cell>
          <cell r="E5775" t="str">
            <v>Hospital Pozon</v>
          </cell>
          <cell r="H5775" t="str">
            <v>consulta_externa</v>
          </cell>
          <cell r="J5775" t="str">
            <v>bueno</v>
          </cell>
          <cell r="K5775" t="str">
            <v>defsi</v>
          </cell>
        </row>
        <row r="5776">
          <cell r="B5776" t="b">
            <v>1</v>
          </cell>
          <cell r="E5776" t="str">
            <v>Hospital Pozon</v>
          </cell>
          <cell r="H5776" t="str">
            <v>laboratorio</v>
          </cell>
          <cell r="J5776" t="str">
            <v>bueno</v>
          </cell>
          <cell r="K5776" t="str">
            <v>defsi</v>
          </cell>
        </row>
        <row r="5777">
          <cell r="B5777" t="b">
            <v>1</v>
          </cell>
          <cell r="E5777" t="str">
            <v>Hospital Pozon</v>
          </cell>
          <cell r="H5777" t="str">
            <v>laboratorio</v>
          </cell>
          <cell r="J5777" t="str">
            <v>bueno</v>
          </cell>
          <cell r="K5777" t="str">
            <v>defsi</v>
          </cell>
        </row>
        <row r="5778">
          <cell r="B5778" t="b">
            <v>1</v>
          </cell>
          <cell r="E5778" t="str">
            <v>Hospital Pozon</v>
          </cell>
          <cell r="H5778" t="str">
            <v>laboratorio</v>
          </cell>
          <cell r="J5778" t="str">
            <v>bueno</v>
          </cell>
          <cell r="K5778" t="str">
            <v>defsi</v>
          </cell>
        </row>
        <row r="5779">
          <cell r="B5779" t="b">
            <v>1</v>
          </cell>
          <cell r="E5779" t="str">
            <v>Hospital Pozon</v>
          </cell>
          <cell r="H5779" t="str">
            <v>salud_oral</v>
          </cell>
          <cell r="J5779" t="str">
            <v>bueno</v>
          </cell>
          <cell r="K5779" t="str">
            <v>defsi</v>
          </cell>
        </row>
        <row r="5780">
          <cell r="B5780" t="b">
            <v>1</v>
          </cell>
          <cell r="E5780" t="str">
            <v>Hospital Pozon</v>
          </cell>
          <cell r="H5780" t="str">
            <v>salud_oral</v>
          </cell>
          <cell r="J5780" t="str">
            <v>bueno</v>
          </cell>
          <cell r="K5780" t="str">
            <v>defsi</v>
          </cell>
        </row>
        <row r="5781">
          <cell r="B5781" t="b">
            <v>1</v>
          </cell>
          <cell r="E5781" t="str">
            <v>Hospital Pozon</v>
          </cell>
          <cell r="H5781" t="str">
            <v>salud_oral</v>
          </cell>
          <cell r="J5781" t="str">
            <v>bueno</v>
          </cell>
          <cell r="K5781" t="str">
            <v>defsi</v>
          </cell>
        </row>
        <row r="5782">
          <cell r="B5782" t="b">
            <v>1</v>
          </cell>
          <cell r="E5782" t="str">
            <v>Hospital Pozon</v>
          </cell>
          <cell r="H5782" t="str">
            <v>salud_oral</v>
          </cell>
          <cell r="J5782" t="str">
            <v>bueno</v>
          </cell>
          <cell r="K5782" t="str">
            <v>defsi</v>
          </cell>
        </row>
        <row r="5783">
          <cell r="B5783" t="b">
            <v>1</v>
          </cell>
          <cell r="E5783" t="str">
            <v>Hospital Pozon</v>
          </cell>
          <cell r="H5783" t="str">
            <v>salud_oral</v>
          </cell>
          <cell r="J5783" t="str">
            <v>bueno</v>
          </cell>
          <cell r="K5783" t="str">
            <v>defsi</v>
          </cell>
        </row>
        <row r="5784">
          <cell r="B5784" t="b">
            <v>1</v>
          </cell>
          <cell r="E5784" t="str">
            <v>Hospital Pozon</v>
          </cell>
          <cell r="H5784" t="str">
            <v>salud_oral</v>
          </cell>
          <cell r="J5784" t="str">
            <v>bueno</v>
          </cell>
          <cell r="K5784" t="str">
            <v>defsi</v>
          </cell>
        </row>
        <row r="5785">
          <cell r="B5785" t="b">
            <v>1</v>
          </cell>
          <cell r="E5785" t="str">
            <v>Hospital Pozon</v>
          </cell>
          <cell r="H5785" t="str">
            <v>consulta_externa</v>
          </cell>
          <cell r="J5785" t="str">
            <v>bueno</v>
          </cell>
          <cell r="K5785" t="str">
            <v>defsi</v>
          </cell>
        </row>
        <row r="5786">
          <cell r="B5786" t="b">
            <v>1</v>
          </cell>
          <cell r="E5786" t="str">
            <v>Hospital Pozon</v>
          </cell>
          <cell r="H5786" t="str">
            <v>consulta_externa</v>
          </cell>
          <cell r="J5786" t="str">
            <v>bueno</v>
          </cell>
          <cell r="K5786" t="str">
            <v>defsi</v>
          </cell>
        </row>
        <row r="5787">
          <cell r="B5787" t="b">
            <v>1</v>
          </cell>
          <cell r="E5787" t="str">
            <v>Hospital Pozon</v>
          </cell>
          <cell r="H5787" t="str">
            <v>consulta_externa</v>
          </cell>
          <cell r="J5787" t="str">
            <v>bueno</v>
          </cell>
          <cell r="K5787" t="str">
            <v>defsi</v>
          </cell>
        </row>
        <row r="5788">
          <cell r="B5788" t="b">
            <v>1</v>
          </cell>
          <cell r="E5788" t="str">
            <v>Hospital Pozon</v>
          </cell>
          <cell r="H5788" t="str">
            <v>consulta_externa</v>
          </cell>
          <cell r="J5788" t="str">
            <v>bueno</v>
          </cell>
          <cell r="K5788" t="str">
            <v>defsi</v>
          </cell>
        </row>
        <row r="5789">
          <cell r="B5789" t="b">
            <v>1</v>
          </cell>
          <cell r="E5789" t="str">
            <v>Hospital Pozon</v>
          </cell>
          <cell r="H5789" t="str">
            <v>consulta_externa</v>
          </cell>
          <cell r="J5789" t="str">
            <v>bueno</v>
          </cell>
          <cell r="K5789" t="str">
            <v>probsi</v>
          </cell>
        </row>
        <row r="5790">
          <cell r="B5790" t="b">
            <v>1</v>
          </cell>
          <cell r="E5790" t="str">
            <v>Hospital Pozon</v>
          </cell>
          <cell r="H5790" t="str">
            <v>consulta_externa</v>
          </cell>
          <cell r="J5790" t="str">
            <v>bueno</v>
          </cell>
          <cell r="K5790" t="str">
            <v>probsi</v>
          </cell>
        </row>
        <row r="5791">
          <cell r="B5791" t="b">
            <v>1</v>
          </cell>
          <cell r="E5791" t="str">
            <v>Hospital Pozon</v>
          </cell>
          <cell r="H5791" t="str">
            <v>rx</v>
          </cell>
          <cell r="J5791" t="str">
            <v>bueno</v>
          </cell>
          <cell r="K5791" t="str">
            <v>probsi</v>
          </cell>
        </row>
        <row r="5792">
          <cell r="B5792" t="b">
            <v>1</v>
          </cell>
          <cell r="E5792" t="str">
            <v>Hospital Pozon</v>
          </cell>
          <cell r="H5792" t="str">
            <v>rx</v>
          </cell>
          <cell r="J5792" t="str">
            <v>bueno</v>
          </cell>
          <cell r="K5792" t="str">
            <v>probsi</v>
          </cell>
        </row>
        <row r="5793">
          <cell r="B5793" t="b">
            <v>1</v>
          </cell>
          <cell r="E5793" t="str">
            <v>Hospital Pozon</v>
          </cell>
          <cell r="H5793" t="str">
            <v>rx</v>
          </cell>
          <cell r="J5793" t="str">
            <v>bueno</v>
          </cell>
          <cell r="K5793" t="str">
            <v>probsi</v>
          </cell>
        </row>
        <row r="5794">
          <cell r="B5794" t="b">
            <v>1</v>
          </cell>
          <cell r="E5794" t="str">
            <v>Hospital Pozon</v>
          </cell>
          <cell r="H5794" t="str">
            <v>rx</v>
          </cell>
          <cell r="J5794" t="str">
            <v>bueno</v>
          </cell>
          <cell r="K5794" t="str">
            <v>probsi</v>
          </cell>
        </row>
        <row r="5795">
          <cell r="B5795" t="b">
            <v>1</v>
          </cell>
          <cell r="E5795" t="str">
            <v>Hospital Pozon</v>
          </cell>
          <cell r="H5795" t="str">
            <v>rx</v>
          </cell>
          <cell r="J5795" t="str">
            <v>bueno</v>
          </cell>
          <cell r="K5795" t="str">
            <v>probsi</v>
          </cell>
        </row>
        <row r="5796">
          <cell r="B5796" t="b">
            <v>1</v>
          </cell>
          <cell r="E5796" t="str">
            <v>Hospital Pozon</v>
          </cell>
          <cell r="H5796" t="str">
            <v>rx</v>
          </cell>
          <cell r="J5796" t="str">
            <v>bueno</v>
          </cell>
          <cell r="K5796" t="str">
            <v>probsi</v>
          </cell>
        </row>
        <row r="5797">
          <cell r="B5797" t="b">
            <v>1</v>
          </cell>
          <cell r="E5797" t="str">
            <v>Hospital Pozon</v>
          </cell>
          <cell r="H5797" t="str">
            <v>rx</v>
          </cell>
          <cell r="J5797" t="str">
            <v>bueno</v>
          </cell>
          <cell r="K5797" t="str">
            <v>probsi</v>
          </cell>
        </row>
        <row r="5798">
          <cell r="B5798" t="b">
            <v>1</v>
          </cell>
          <cell r="E5798" t="str">
            <v>Hospital Pozon</v>
          </cell>
          <cell r="H5798" t="str">
            <v>rx</v>
          </cell>
          <cell r="J5798" t="str">
            <v>bueno</v>
          </cell>
          <cell r="K5798" t="str">
            <v>probsi</v>
          </cell>
        </row>
        <row r="5799">
          <cell r="B5799" t="b">
            <v>1</v>
          </cell>
          <cell r="E5799" t="str">
            <v>Hospital Pozon</v>
          </cell>
          <cell r="H5799" t="str">
            <v>rx</v>
          </cell>
          <cell r="J5799" t="str">
            <v>bueno</v>
          </cell>
          <cell r="K5799" t="str">
            <v>probsi</v>
          </cell>
        </row>
        <row r="5800">
          <cell r="B5800" t="b">
            <v>1</v>
          </cell>
          <cell r="E5800" t="str">
            <v>Hospital Pozon</v>
          </cell>
          <cell r="H5800" t="str">
            <v>rx</v>
          </cell>
          <cell r="J5800" t="str">
            <v>bueno</v>
          </cell>
          <cell r="K5800" t="str">
            <v>probsi</v>
          </cell>
        </row>
        <row r="5801">
          <cell r="B5801" t="b">
            <v>1</v>
          </cell>
          <cell r="E5801" t="str">
            <v>Hospital Pozon</v>
          </cell>
          <cell r="H5801" t="str">
            <v>rx</v>
          </cell>
          <cell r="J5801" t="str">
            <v>bueno</v>
          </cell>
          <cell r="K5801" t="str">
            <v>probsi</v>
          </cell>
        </row>
        <row r="5802">
          <cell r="B5802" t="b">
            <v>1</v>
          </cell>
          <cell r="E5802" t="str">
            <v>Gaviotas</v>
          </cell>
          <cell r="H5802" t="str">
            <v>consulta_externa</v>
          </cell>
          <cell r="J5802" t="str">
            <v>bueno</v>
          </cell>
          <cell r="K5802" t="str">
            <v>defsi</v>
          </cell>
        </row>
        <row r="5803">
          <cell r="B5803" t="b">
            <v>1</v>
          </cell>
          <cell r="E5803" t="str">
            <v>Hospital Pozon</v>
          </cell>
          <cell r="H5803" t="str">
            <v>rx</v>
          </cell>
          <cell r="J5803" t="str">
            <v>bueno</v>
          </cell>
          <cell r="K5803" t="str">
            <v>probsi</v>
          </cell>
        </row>
        <row r="5804">
          <cell r="B5804" t="b">
            <v>1</v>
          </cell>
          <cell r="E5804" t="str">
            <v>Gaviotas</v>
          </cell>
          <cell r="H5804" t="str">
            <v>laboratorio</v>
          </cell>
          <cell r="J5804" t="str">
            <v>bueno</v>
          </cell>
          <cell r="K5804" t="str">
            <v>defsi</v>
          </cell>
        </row>
        <row r="5805">
          <cell r="B5805" t="b">
            <v>1</v>
          </cell>
          <cell r="E5805" t="str">
            <v>Hospital Pozon</v>
          </cell>
          <cell r="H5805" t="str">
            <v>urgencia</v>
          </cell>
          <cell r="J5805" t="str">
            <v>bueno</v>
          </cell>
          <cell r="K5805" t="str">
            <v>probsi</v>
          </cell>
        </row>
        <row r="5806">
          <cell r="B5806" t="b">
            <v>1</v>
          </cell>
          <cell r="E5806" t="str">
            <v>Hospital Pozon</v>
          </cell>
          <cell r="H5806" t="str">
            <v>urgencia</v>
          </cell>
          <cell r="J5806" t="str">
            <v>bueno</v>
          </cell>
          <cell r="K5806" t="str">
            <v>probsi</v>
          </cell>
        </row>
        <row r="5807">
          <cell r="B5807" t="b">
            <v>1</v>
          </cell>
          <cell r="E5807" t="str">
            <v>Hospital Pozon</v>
          </cell>
          <cell r="H5807" t="str">
            <v>urgencia</v>
          </cell>
          <cell r="J5807" t="str">
            <v>bueno</v>
          </cell>
          <cell r="K5807" t="str">
            <v>probsi</v>
          </cell>
        </row>
        <row r="5808">
          <cell r="B5808" t="b">
            <v>1</v>
          </cell>
          <cell r="E5808" t="str">
            <v>Hospital Pozon</v>
          </cell>
          <cell r="H5808" t="str">
            <v>urgencia</v>
          </cell>
          <cell r="J5808" t="str">
            <v>bueno</v>
          </cell>
          <cell r="K5808" t="str">
            <v>probsi</v>
          </cell>
        </row>
        <row r="5809">
          <cell r="B5809" t="b">
            <v>1</v>
          </cell>
          <cell r="E5809" t="str">
            <v>Hospital Pozon</v>
          </cell>
          <cell r="H5809" t="str">
            <v>urgencia</v>
          </cell>
          <cell r="J5809" t="str">
            <v>bueno</v>
          </cell>
          <cell r="K5809" t="str">
            <v>probsi</v>
          </cell>
        </row>
        <row r="5810">
          <cell r="B5810" t="b">
            <v>1</v>
          </cell>
          <cell r="E5810" t="str">
            <v>Hospital Pozon</v>
          </cell>
          <cell r="H5810" t="str">
            <v>urgencia</v>
          </cell>
          <cell r="J5810" t="str">
            <v>bueno</v>
          </cell>
          <cell r="K5810" t="str">
            <v>probsi</v>
          </cell>
        </row>
        <row r="5811">
          <cell r="B5811" t="b">
            <v>1</v>
          </cell>
          <cell r="E5811" t="str">
            <v>Gaviotas</v>
          </cell>
          <cell r="H5811" t="str">
            <v>consulta_externa</v>
          </cell>
          <cell r="J5811" t="str">
            <v>bueno</v>
          </cell>
          <cell r="K5811" t="str">
            <v>defsi</v>
          </cell>
        </row>
        <row r="5812">
          <cell r="B5812" t="b">
            <v>1</v>
          </cell>
          <cell r="E5812" t="str">
            <v>Boquilla</v>
          </cell>
          <cell r="H5812" t="str">
            <v>urgencia</v>
          </cell>
          <cell r="J5812" t="str">
            <v>bueno</v>
          </cell>
          <cell r="K5812" t="str">
            <v>probsi</v>
          </cell>
        </row>
        <row r="5813">
          <cell r="B5813" t="b">
            <v>1</v>
          </cell>
          <cell r="E5813" t="str">
            <v>Boquilla</v>
          </cell>
          <cell r="H5813" t="str">
            <v>urgencia</v>
          </cell>
          <cell r="J5813" t="str">
            <v>bueno</v>
          </cell>
          <cell r="K5813" t="str">
            <v>probsi</v>
          </cell>
        </row>
        <row r="5814">
          <cell r="B5814" t="b">
            <v>1</v>
          </cell>
          <cell r="E5814" t="str">
            <v>Boquilla</v>
          </cell>
          <cell r="H5814" t="str">
            <v>urgencia</v>
          </cell>
          <cell r="J5814" t="str">
            <v>bueno</v>
          </cell>
          <cell r="K5814" t="str">
            <v>probsi</v>
          </cell>
        </row>
        <row r="5815">
          <cell r="B5815" t="b">
            <v>1</v>
          </cell>
          <cell r="E5815" t="str">
            <v>Boquilla</v>
          </cell>
          <cell r="H5815" t="str">
            <v>urgencia</v>
          </cell>
          <cell r="J5815" t="str">
            <v>bueno</v>
          </cell>
          <cell r="K5815" t="str">
            <v>probsi</v>
          </cell>
        </row>
        <row r="5816">
          <cell r="B5816" t="b">
            <v>1</v>
          </cell>
          <cell r="E5816" t="str">
            <v>Boquilla</v>
          </cell>
          <cell r="H5816" t="str">
            <v>urgencia</v>
          </cell>
          <cell r="J5816" t="str">
            <v>bueno</v>
          </cell>
          <cell r="K5816" t="str">
            <v>probsi</v>
          </cell>
        </row>
        <row r="5817">
          <cell r="B5817" t="b">
            <v>1</v>
          </cell>
          <cell r="E5817" t="str">
            <v>Boquilla</v>
          </cell>
          <cell r="H5817" t="str">
            <v>urgencia</v>
          </cell>
          <cell r="J5817" t="str">
            <v>bueno</v>
          </cell>
          <cell r="K5817" t="str">
            <v>probsi</v>
          </cell>
        </row>
        <row r="5818">
          <cell r="B5818" t="b">
            <v>1</v>
          </cell>
          <cell r="E5818" t="str">
            <v>Boquilla</v>
          </cell>
          <cell r="H5818" t="str">
            <v>urgencia</v>
          </cell>
          <cell r="J5818" t="str">
            <v>bueno</v>
          </cell>
          <cell r="K5818" t="str">
            <v>probsi</v>
          </cell>
        </row>
        <row r="5819">
          <cell r="B5819" t="b">
            <v>1</v>
          </cell>
          <cell r="E5819" t="str">
            <v>Boquilla</v>
          </cell>
          <cell r="H5819" t="str">
            <v>urgencia</v>
          </cell>
          <cell r="J5819" t="str">
            <v>bueno</v>
          </cell>
          <cell r="K5819" t="str">
            <v>probsi</v>
          </cell>
        </row>
        <row r="5820">
          <cell r="B5820" t="b">
            <v>1</v>
          </cell>
          <cell r="E5820" t="str">
            <v>Boquilla</v>
          </cell>
          <cell r="H5820" t="str">
            <v>urgencia</v>
          </cell>
          <cell r="J5820" t="str">
            <v>bueno</v>
          </cell>
          <cell r="K5820" t="str">
            <v>probsi</v>
          </cell>
        </row>
        <row r="5821">
          <cell r="B5821" t="b">
            <v>1</v>
          </cell>
          <cell r="E5821" t="str">
            <v>Boquilla</v>
          </cell>
          <cell r="H5821" t="str">
            <v>urgencia</v>
          </cell>
          <cell r="J5821" t="str">
            <v>bueno</v>
          </cell>
          <cell r="K5821" t="str">
            <v>probsi</v>
          </cell>
        </row>
        <row r="5822">
          <cell r="B5822" t="b">
            <v>1</v>
          </cell>
          <cell r="E5822" t="str">
            <v>Boquilla</v>
          </cell>
          <cell r="H5822" t="str">
            <v>urgencia</v>
          </cell>
          <cell r="J5822" t="str">
            <v>bueno</v>
          </cell>
          <cell r="K5822" t="str">
            <v>probsi</v>
          </cell>
        </row>
        <row r="5823">
          <cell r="B5823" t="b">
            <v>1</v>
          </cell>
          <cell r="E5823" t="str">
            <v>Boquilla</v>
          </cell>
          <cell r="H5823" t="str">
            <v>urgencia</v>
          </cell>
          <cell r="J5823" t="str">
            <v>bueno</v>
          </cell>
          <cell r="K5823" t="str">
            <v>probsi</v>
          </cell>
        </row>
        <row r="5824">
          <cell r="B5824" t="b">
            <v>1</v>
          </cell>
          <cell r="E5824" t="str">
            <v>Boquilla</v>
          </cell>
          <cell r="H5824" t="str">
            <v>urgencia</v>
          </cell>
          <cell r="J5824" t="str">
            <v>bueno</v>
          </cell>
          <cell r="K5824" t="str">
            <v>probsi</v>
          </cell>
        </row>
        <row r="5825">
          <cell r="B5825" t="b">
            <v>1</v>
          </cell>
          <cell r="E5825" t="str">
            <v>Baru</v>
          </cell>
          <cell r="H5825" t="str">
            <v>salud_oral</v>
          </cell>
          <cell r="J5825" t="str">
            <v>bueno</v>
          </cell>
          <cell r="K5825" t="str">
            <v>defsi</v>
          </cell>
        </row>
        <row r="5826">
          <cell r="B5826" t="b">
            <v>1</v>
          </cell>
          <cell r="E5826" t="str">
            <v>Baru</v>
          </cell>
          <cell r="H5826" t="str">
            <v>salud_oral</v>
          </cell>
          <cell r="J5826" t="str">
            <v>bueno</v>
          </cell>
          <cell r="K5826" t="str">
            <v>defsi</v>
          </cell>
        </row>
        <row r="5827">
          <cell r="B5827" t="b">
            <v>1</v>
          </cell>
          <cell r="E5827" t="str">
            <v>Bicentenario</v>
          </cell>
          <cell r="H5827" t="str">
            <v>urgencia</v>
          </cell>
          <cell r="J5827" t="str">
            <v>bueno</v>
          </cell>
          <cell r="K5827" t="str">
            <v>probsi</v>
          </cell>
        </row>
        <row r="5828">
          <cell r="B5828" t="b">
            <v>1</v>
          </cell>
          <cell r="E5828" t="str">
            <v>Baru</v>
          </cell>
          <cell r="H5828" t="str">
            <v>salud_oral</v>
          </cell>
          <cell r="J5828" t="str">
            <v>bueno</v>
          </cell>
          <cell r="K5828" t="str">
            <v>defsi</v>
          </cell>
        </row>
        <row r="5829">
          <cell r="B5829" t="b">
            <v>1</v>
          </cell>
          <cell r="E5829" t="str">
            <v>Bicentenario</v>
          </cell>
          <cell r="H5829" t="str">
            <v>urgencia</v>
          </cell>
          <cell r="J5829" t="str">
            <v>bueno</v>
          </cell>
          <cell r="K5829" t="str">
            <v>probsi</v>
          </cell>
        </row>
        <row r="5830">
          <cell r="B5830" t="b">
            <v>1</v>
          </cell>
          <cell r="E5830" t="str">
            <v>Bicentenario</v>
          </cell>
          <cell r="H5830" t="str">
            <v>urgencia</v>
          </cell>
          <cell r="J5830" t="str">
            <v>bueno</v>
          </cell>
          <cell r="K5830" t="str">
            <v>probsi</v>
          </cell>
        </row>
        <row r="5831">
          <cell r="B5831" t="b">
            <v>1</v>
          </cell>
          <cell r="E5831" t="str">
            <v>Bicentenario</v>
          </cell>
          <cell r="H5831" t="str">
            <v>urgencia</v>
          </cell>
          <cell r="J5831" t="str">
            <v>bueno</v>
          </cell>
          <cell r="K5831" t="str">
            <v>probsi</v>
          </cell>
        </row>
        <row r="5832">
          <cell r="B5832" t="b">
            <v>0</v>
          </cell>
          <cell r="E5832" t="str">
            <v>Baru</v>
          </cell>
          <cell r="H5832" t="str">
            <v>salud_oral</v>
          </cell>
          <cell r="J5832" t="str">
            <v>regular</v>
          </cell>
          <cell r="K5832" t="str">
            <v>probno</v>
          </cell>
        </row>
        <row r="5833">
          <cell r="B5833" t="b">
            <v>1</v>
          </cell>
          <cell r="E5833" t="str">
            <v>Baru</v>
          </cell>
          <cell r="H5833" t="str">
            <v>consulta_externa</v>
          </cell>
          <cell r="J5833" t="str">
            <v>bueno</v>
          </cell>
          <cell r="K5833" t="str">
            <v>defsi</v>
          </cell>
        </row>
        <row r="5834">
          <cell r="B5834" t="b">
            <v>1</v>
          </cell>
          <cell r="E5834" t="str">
            <v>Baru</v>
          </cell>
          <cell r="H5834" t="str">
            <v>salud_oral</v>
          </cell>
          <cell r="J5834" t="str">
            <v>bueno</v>
          </cell>
          <cell r="K5834" t="str">
            <v>defsi</v>
          </cell>
        </row>
        <row r="5835">
          <cell r="B5835" t="b">
            <v>1</v>
          </cell>
          <cell r="E5835" t="str">
            <v>Baru</v>
          </cell>
          <cell r="H5835" t="str">
            <v>laboratorio</v>
          </cell>
          <cell r="J5835" t="str">
            <v>bueno</v>
          </cell>
          <cell r="K5835" t="str">
            <v>defsi</v>
          </cell>
        </row>
        <row r="5836">
          <cell r="B5836" t="b">
            <v>0</v>
          </cell>
          <cell r="E5836" t="str">
            <v>Baru</v>
          </cell>
          <cell r="H5836" t="str">
            <v>laboratorio</v>
          </cell>
          <cell r="J5836" t="str">
            <v>regular</v>
          </cell>
          <cell r="K5836" t="str">
            <v>defsi</v>
          </cell>
        </row>
        <row r="5837">
          <cell r="B5837" t="b">
            <v>0</v>
          </cell>
          <cell r="E5837" t="str">
            <v>Baru</v>
          </cell>
          <cell r="H5837" t="str">
            <v>consulta_externa</v>
          </cell>
          <cell r="J5837" t="str">
            <v>regular</v>
          </cell>
          <cell r="K5837" t="str">
            <v>defsi</v>
          </cell>
        </row>
        <row r="5838">
          <cell r="B5838" t="b">
            <v>1</v>
          </cell>
          <cell r="E5838" t="str">
            <v>Baru</v>
          </cell>
          <cell r="H5838" t="str">
            <v>laboratorio</v>
          </cell>
          <cell r="J5838" t="str">
            <v>bueno</v>
          </cell>
          <cell r="K5838" t="str">
            <v>defsi</v>
          </cell>
        </row>
        <row r="5839">
          <cell r="B5839" t="b">
            <v>0</v>
          </cell>
          <cell r="E5839" t="str">
            <v>Baru</v>
          </cell>
          <cell r="H5839" t="str">
            <v>laboratorio</v>
          </cell>
          <cell r="J5839" t="str">
            <v>regular</v>
          </cell>
          <cell r="K5839" t="str">
            <v>defsi</v>
          </cell>
        </row>
        <row r="5840">
          <cell r="B5840" t="b">
            <v>1</v>
          </cell>
          <cell r="E5840" t="str">
            <v>Baru</v>
          </cell>
          <cell r="H5840" t="str">
            <v>laboratorio</v>
          </cell>
          <cell r="J5840" t="str">
            <v>bueno</v>
          </cell>
          <cell r="K5840" t="str">
            <v>defsi</v>
          </cell>
        </row>
        <row r="5841">
          <cell r="B5841" t="b">
            <v>1</v>
          </cell>
          <cell r="E5841" t="str">
            <v>Baru</v>
          </cell>
          <cell r="H5841" t="str">
            <v>laboratorio</v>
          </cell>
          <cell r="J5841" t="str">
            <v>bueno</v>
          </cell>
          <cell r="K5841" t="str">
            <v>defsi</v>
          </cell>
        </row>
        <row r="5842">
          <cell r="B5842" t="b">
            <v>1</v>
          </cell>
          <cell r="E5842" t="str">
            <v>Baru</v>
          </cell>
          <cell r="H5842" t="str">
            <v>laboratorio</v>
          </cell>
          <cell r="J5842" t="str">
            <v>bueno</v>
          </cell>
          <cell r="K5842" t="str">
            <v>defsi</v>
          </cell>
        </row>
        <row r="5843">
          <cell r="B5843" t="b">
            <v>1</v>
          </cell>
          <cell r="E5843" t="str">
            <v>Candelaria</v>
          </cell>
          <cell r="H5843" t="str">
            <v>consulta_externa</v>
          </cell>
          <cell r="J5843" t="str">
            <v>bueno</v>
          </cell>
          <cell r="K5843" t="str">
            <v>probsi</v>
          </cell>
        </row>
        <row r="5844">
          <cell r="B5844" t="b">
            <v>1</v>
          </cell>
          <cell r="E5844" t="str">
            <v>Candelaria</v>
          </cell>
          <cell r="H5844" t="str">
            <v>consulta_externa</v>
          </cell>
          <cell r="J5844" t="str">
            <v>bueno</v>
          </cell>
          <cell r="K5844" t="str">
            <v>probsi</v>
          </cell>
        </row>
        <row r="5845">
          <cell r="B5845" t="b">
            <v>1</v>
          </cell>
          <cell r="E5845" t="str">
            <v>Candelaria</v>
          </cell>
          <cell r="H5845" t="str">
            <v>consulta_externa</v>
          </cell>
          <cell r="J5845" t="str">
            <v>bueno</v>
          </cell>
          <cell r="K5845" t="str">
            <v>probsi</v>
          </cell>
        </row>
        <row r="5846">
          <cell r="B5846" t="b">
            <v>1</v>
          </cell>
          <cell r="E5846" t="str">
            <v>Candelaria</v>
          </cell>
          <cell r="H5846" t="str">
            <v>salud_oral</v>
          </cell>
          <cell r="J5846" t="str">
            <v>bueno</v>
          </cell>
          <cell r="K5846" t="str">
            <v>probsi</v>
          </cell>
        </row>
        <row r="5847">
          <cell r="B5847" t="b">
            <v>1</v>
          </cell>
          <cell r="E5847" t="str">
            <v>Candelaria</v>
          </cell>
          <cell r="H5847" t="str">
            <v>salud_oral</v>
          </cell>
          <cell r="J5847" t="str">
            <v>bueno</v>
          </cell>
          <cell r="K5847" t="str">
            <v>probsi</v>
          </cell>
        </row>
        <row r="5848">
          <cell r="B5848" t="b">
            <v>1</v>
          </cell>
          <cell r="E5848" t="str">
            <v>Candelaria</v>
          </cell>
          <cell r="H5848" t="str">
            <v>salud_oral</v>
          </cell>
          <cell r="J5848" t="str">
            <v>bueno</v>
          </cell>
          <cell r="K5848" t="str">
            <v>probsi</v>
          </cell>
        </row>
        <row r="5849">
          <cell r="B5849" t="b">
            <v>1</v>
          </cell>
          <cell r="E5849" t="str">
            <v>Candelaria</v>
          </cell>
          <cell r="H5849" t="str">
            <v>laboratorio</v>
          </cell>
          <cell r="J5849" t="str">
            <v>bueno</v>
          </cell>
          <cell r="K5849" t="str">
            <v>probsi</v>
          </cell>
        </row>
        <row r="5850">
          <cell r="B5850" t="b">
            <v>1</v>
          </cell>
          <cell r="E5850" t="str">
            <v>Candelaria</v>
          </cell>
          <cell r="H5850" t="str">
            <v>laboratorio</v>
          </cell>
          <cell r="J5850" t="str">
            <v>bueno</v>
          </cell>
          <cell r="K5850" t="str">
            <v>probsi</v>
          </cell>
        </row>
        <row r="5851">
          <cell r="B5851" t="b">
            <v>1</v>
          </cell>
          <cell r="E5851" t="str">
            <v>Candelaria</v>
          </cell>
          <cell r="H5851" t="str">
            <v>laboratorio</v>
          </cell>
          <cell r="J5851" t="str">
            <v>bueno</v>
          </cell>
          <cell r="K5851" t="str">
            <v>probsi</v>
          </cell>
        </row>
        <row r="5852">
          <cell r="B5852" t="b">
            <v>1</v>
          </cell>
          <cell r="E5852" t="str">
            <v>Candelaria</v>
          </cell>
          <cell r="H5852" t="str">
            <v>laboratorio</v>
          </cell>
          <cell r="J5852" t="str">
            <v>bueno</v>
          </cell>
          <cell r="K5852" t="str">
            <v>probsi</v>
          </cell>
        </row>
        <row r="5853">
          <cell r="B5853" t="b">
            <v>1</v>
          </cell>
          <cell r="E5853" t="str">
            <v>Candelaria</v>
          </cell>
          <cell r="H5853" t="str">
            <v>laboratorio</v>
          </cell>
          <cell r="J5853" t="str">
            <v>bueno</v>
          </cell>
          <cell r="K5853" t="str">
            <v>probsi</v>
          </cell>
        </row>
        <row r="5854">
          <cell r="B5854" t="b">
            <v>0</v>
          </cell>
          <cell r="E5854" t="str">
            <v>Candelaria</v>
          </cell>
          <cell r="H5854" t="str">
            <v>laboratorio</v>
          </cell>
          <cell r="J5854" t="str">
            <v>regular</v>
          </cell>
          <cell r="K5854" t="str">
            <v>probsi</v>
          </cell>
        </row>
        <row r="5855">
          <cell r="B5855" t="b">
            <v>0</v>
          </cell>
          <cell r="E5855" t="str">
            <v>Candelaria</v>
          </cell>
          <cell r="H5855" t="str">
            <v>laboratorio</v>
          </cell>
          <cell r="J5855" t="str">
            <v>regular</v>
          </cell>
          <cell r="K5855" t="str">
            <v>probsi</v>
          </cell>
        </row>
        <row r="5856">
          <cell r="B5856" t="b">
            <v>0</v>
          </cell>
          <cell r="E5856" t="str">
            <v>Candelaria</v>
          </cell>
          <cell r="H5856" t="str">
            <v>urgencia</v>
          </cell>
          <cell r="J5856" t="str">
            <v>regular</v>
          </cell>
          <cell r="K5856" t="str">
            <v>probsi</v>
          </cell>
        </row>
        <row r="5857">
          <cell r="B5857" t="b">
            <v>0</v>
          </cell>
          <cell r="E5857" t="str">
            <v>Candelaria</v>
          </cell>
          <cell r="H5857" t="str">
            <v>urgencia</v>
          </cell>
          <cell r="J5857" t="str">
            <v>regular</v>
          </cell>
          <cell r="K5857" t="str">
            <v>probsi</v>
          </cell>
        </row>
        <row r="5858">
          <cell r="B5858" t="b">
            <v>1</v>
          </cell>
          <cell r="E5858" t="str">
            <v>Candelaria</v>
          </cell>
          <cell r="H5858" t="str">
            <v>urgencia</v>
          </cell>
          <cell r="J5858" t="str">
            <v>bueno</v>
          </cell>
          <cell r="K5858" t="str">
            <v>probsi</v>
          </cell>
        </row>
        <row r="5859">
          <cell r="B5859" t="b">
            <v>1</v>
          </cell>
          <cell r="E5859" t="str">
            <v>Candelaria</v>
          </cell>
          <cell r="H5859" t="str">
            <v>urgencia</v>
          </cell>
          <cell r="J5859" t="str">
            <v>bueno</v>
          </cell>
          <cell r="K5859" t="str">
            <v>probsi</v>
          </cell>
        </row>
        <row r="5860">
          <cell r="B5860" t="b">
            <v>1</v>
          </cell>
          <cell r="E5860" t="str">
            <v>Candelaria</v>
          </cell>
          <cell r="H5860" t="str">
            <v>urgencia</v>
          </cell>
          <cell r="J5860" t="str">
            <v>bueno</v>
          </cell>
          <cell r="K5860" t="str">
            <v>probsi</v>
          </cell>
        </row>
        <row r="5861">
          <cell r="B5861" t="b">
            <v>0</v>
          </cell>
          <cell r="E5861" t="str">
            <v>Candelaria</v>
          </cell>
          <cell r="H5861" t="str">
            <v>urgencia</v>
          </cell>
          <cell r="J5861" t="str">
            <v>regular</v>
          </cell>
          <cell r="K5861" t="str">
            <v>probsi</v>
          </cell>
        </row>
        <row r="5862">
          <cell r="B5862" t="b">
            <v>0</v>
          </cell>
          <cell r="E5862" t="str">
            <v>Candelaria</v>
          </cell>
          <cell r="H5862" t="str">
            <v>urgencia</v>
          </cell>
          <cell r="J5862" t="str">
            <v>regular</v>
          </cell>
          <cell r="K5862" t="str">
            <v>probsi</v>
          </cell>
        </row>
        <row r="5863">
          <cell r="B5863" t="b">
            <v>0</v>
          </cell>
          <cell r="E5863" t="str">
            <v>Candelaria</v>
          </cell>
          <cell r="H5863" t="str">
            <v>urgencia</v>
          </cell>
          <cell r="J5863" t="str">
            <v>regular</v>
          </cell>
          <cell r="K5863" t="str">
            <v>probsi</v>
          </cell>
        </row>
        <row r="5864">
          <cell r="B5864" t="b">
            <v>1</v>
          </cell>
          <cell r="E5864" t="str">
            <v>Candelaria</v>
          </cell>
          <cell r="H5864" t="str">
            <v>urgencia</v>
          </cell>
          <cell r="J5864" t="str">
            <v>bueno</v>
          </cell>
          <cell r="K5864" t="str">
            <v>probsi</v>
          </cell>
        </row>
        <row r="5865">
          <cell r="B5865" t="b">
            <v>1</v>
          </cell>
          <cell r="E5865" t="str">
            <v>Candelaria</v>
          </cell>
          <cell r="H5865" t="str">
            <v>urgencia</v>
          </cell>
          <cell r="J5865" t="str">
            <v>bueno</v>
          </cell>
          <cell r="K5865" t="str">
            <v>probsi</v>
          </cell>
        </row>
        <row r="5866">
          <cell r="B5866" t="b">
            <v>0</v>
          </cell>
          <cell r="E5866" t="str">
            <v>Candelaria</v>
          </cell>
          <cell r="H5866" t="str">
            <v>electros</v>
          </cell>
          <cell r="J5866" t="str">
            <v>regular</v>
          </cell>
          <cell r="K5866" t="str">
            <v>probsi</v>
          </cell>
        </row>
        <row r="5867">
          <cell r="B5867" t="b">
            <v>0</v>
          </cell>
          <cell r="E5867" t="str">
            <v>Candelaria</v>
          </cell>
          <cell r="H5867" t="str">
            <v>electros</v>
          </cell>
          <cell r="J5867" t="str">
            <v>regular</v>
          </cell>
          <cell r="K5867" t="str">
            <v>probsi</v>
          </cell>
        </row>
        <row r="5868">
          <cell r="B5868" t="b">
            <v>1</v>
          </cell>
          <cell r="E5868" t="str">
            <v>Candelaria</v>
          </cell>
          <cell r="H5868" t="str">
            <v>electros</v>
          </cell>
          <cell r="J5868" t="str">
            <v>bueno</v>
          </cell>
          <cell r="K5868" t="str">
            <v>probsi</v>
          </cell>
        </row>
        <row r="5869">
          <cell r="B5869" t="b">
            <v>1</v>
          </cell>
          <cell r="E5869" t="str">
            <v>Candelaria</v>
          </cell>
          <cell r="H5869" t="str">
            <v>electros</v>
          </cell>
          <cell r="J5869" t="str">
            <v>bueno</v>
          </cell>
          <cell r="K5869" t="str">
            <v>probsi</v>
          </cell>
        </row>
        <row r="5870">
          <cell r="B5870" t="b">
            <v>1</v>
          </cell>
          <cell r="E5870" t="str">
            <v>Candelaria</v>
          </cell>
          <cell r="H5870" t="str">
            <v>electros</v>
          </cell>
          <cell r="J5870" t="str">
            <v>bueno</v>
          </cell>
          <cell r="K5870" t="str">
            <v>probsi</v>
          </cell>
        </row>
        <row r="5871">
          <cell r="B5871" t="b">
            <v>1</v>
          </cell>
          <cell r="E5871" t="str">
            <v>Candelaria</v>
          </cell>
          <cell r="H5871" t="str">
            <v>electros</v>
          </cell>
          <cell r="J5871" t="str">
            <v>bueno</v>
          </cell>
          <cell r="K5871" t="str">
            <v>probsi</v>
          </cell>
        </row>
        <row r="5872">
          <cell r="B5872" t="b">
            <v>1</v>
          </cell>
          <cell r="E5872" t="str">
            <v>Candelaria</v>
          </cell>
          <cell r="H5872" t="str">
            <v>electros</v>
          </cell>
          <cell r="J5872" t="str">
            <v>bueno</v>
          </cell>
          <cell r="K5872" t="str">
            <v>probsi</v>
          </cell>
        </row>
        <row r="5873">
          <cell r="B5873" t="b">
            <v>1</v>
          </cell>
          <cell r="E5873" t="str">
            <v>Candelaria</v>
          </cell>
          <cell r="H5873" t="str">
            <v>electros</v>
          </cell>
          <cell r="J5873" t="str">
            <v>bueno</v>
          </cell>
          <cell r="K5873" t="str">
            <v>probsi</v>
          </cell>
        </row>
        <row r="5874">
          <cell r="B5874" t="b">
            <v>1</v>
          </cell>
          <cell r="E5874" t="str">
            <v>Candelaria</v>
          </cell>
          <cell r="H5874" t="str">
            <v>electros</v>
          </cell>
          <cell r="J5874" t="str">
            <v>bueno</v>
          </cell>
          <cell r="K5874" t="str">
            <v>probsi</v>
          </cell>
        </row>
        <row r="5875">
          <cell r="B5875" t="b">
            <v>1</v>
          </cell>
          <cell r="E5875" t="str">
            <v>Candelaria</v>
          </cell>
          <cell r="H5875" t="str">
            <v>electros</v>
          </cell>
          <cell r="J5875" t="str">
            <v>bueno</v>
          </cell>
          <cell r="K5875" t="str">
            <v>probsi</v>
          </cell>
        </row>
        <row r="5876">
          <cell r="B5876" t="b">
            <v>0</v>
          </cell>
          <cell r="E5876" t="str">
            <v>Candelaria</v>
          </cell>
          <cell r="H5876" t="str">
            <v>urgencia</v>
          </cell>
          <cell r="J5876" t="str">
            <v>regular</v>
          </cell>
          <cell r="K5876" t="str">
            <v>probsi</v>
          </cell>
        </row>
        <row r="5877">
          <cell r="B5877" t="b">
            <v>0</v>
          </cell>
          <cell r="E5877" t="str">
            <v>Candelaria</v>
          </cell>
          <cell r="H5877" t="str">
            <v>urgencia</v>
          </cell>
          <cell r="J5877" t="str">
            <v>regular</v>
          </cell>
          <cell r="K5877" t="str">
            <v>probsi</v>
          </cell>
        </row>
        <row r="5878">
          <cell r="B5878" t="b">
            <v>1</v>
          </cell>
          <cell r="E5878" t="str">
            <v>Candelaria</v>
          </cell>
          <cell r="H5878" t="str">
            <v>urgencia</v>
          </cell>
          <cell r="J5878" t="str">
            <v>bueno</v>
          </cell>
          <cell r="K5878" t="str">
            <v>probsi</v>
          </cell>
        </row>
        <row r="5879">
          <cell r="B5879" t="b">
            <v>1</v>
          </cell>
          <cell r="E5879" t="str">
            <v>Candelaria</v>
          </cell>
          <cell r="H5879" t="str">
            <v>urgencia</v>
          </cell>
          <cell r="J5879" t="str">
            <v>bueno</v>
          </cell>
          <cell r="K5879" t="str">
            <v>probsi</v>
          </cell>
        </row>
        <row r="5880">
          <cell r="B5880" t="b">
            <v>0</v>
          </cell>
          <cell r="E5880" t="str">
            <v>Candelaria</v>
          </cell>
          <cell r="H5880" t="str">
            <v>urgencia</v>
          </cell>
          <cell r="J5880" t="str">
            <v>regular</v>
          </cell>
          <cell r="K5880" t="str">
            <v>probsi</v>
          </cell>
        </row>
        <row r="5881">
          <cell r="B5881" t="b">
            <v>0</v>
          </cell>
          <cell r="E5881" t="str">
            <v>Candelaria</v>
          </cell>
          <cell r="H5881" t="str">
            <v>urgencia</v>
          </cell>
          <cell r="J5881" t="str">
            <v>regular</v>
          </cell>
          <cell r="K5881" t="str">
            <v>probsi</v>
          </cell>
        </row>
        <row r="5882">
          <cell r="B5882" t="b">
            <v>1</v>
          </cell>
          <cell r="E5882" t="str">
            <v>Candelaria</v>
          </cell>
          <cell r="H5882" t="str">
            <v>urgencia</v>
          </cell>
          <cell r="J5882" t="str">
            <v>bueno</v>
          </cell>
          <cell r="K5882" t="str">
            <v>probsi</v>
          </cell>
        </row>
        <row r="5883">
          <cell r="B5883" t="b">
            <v>1</v>
          </cell>
          <cell r="E5883" t="str">
            <v>Candelaria</v>
          </cell>
          <cell r="H5883" t="str">
            <v>urgencia</v>
          </cell>
          <cell r="J5883" t="str">
            <v>bueno</v>
          </cell>
          <cell r="K5883" t="str">
            <v>probsi</v>
          </cell>
        </row>
        <row r="5884">
          <cell r="B5884" t="b">
            <v>1</v>
          </cell>
          <cell r="E5884" t="str">
            <v>Candelaria</v>
          </cell>
          <cell r="H5884" t="str">
            <v>urgencia</v>
          </cell>
          <cell r="J5884" t="str">
            <v>bueno</v>
          </cell>
          <cell r="K5884" t="str">
            <v>probsi</v>
          </cell>
        </row>
        <row r="5885">
          <cell r="B5885" t="b">
            <v>0</v>
          </cell>
          <cell r="E5885" t="str">
            <v>Candelaria</v>
          </cell>
          <cell r="H5885" t="str">
            <v>urgencia</v>
          </cell>
          <cell r="J5885" t="str">
            <v>malo</v>
          </cell>
          <cell r="K5885" t="str">
            <v>probno</v>
          </cell>
        </row>
        <row r="5886">
          <cell r="B5886" t="b">
            <v>1</v>
          </cell>
          <cell r="E5886" t="str">
            <v>Baru</v>
          </cell>
          <cell r="H5886" t="str">
            <v>laboratorio</v>
          </cell>
          <cell r="J5886" t="str">
            <v>bueno</v>
          </cell>
          <cell r="K5886" t="str">
            <v>defsi</v>
          </cell>
        </row>
        <row r="5887">
          <cell r="B5887" t="b">
            <v>1</v>
          </cell>
          <cell r="E5887" t="str">
            <v>Baru</v>
          </cell>
          <cell r="H5887" t="str">
            <v>laboratorio</v>
          </cell>
          <cell r="J5887" t="str">
            <v>bueno</v>
          </cell>
          <cell r="K5887" t="str">
            <v>defsi</v>
          </cell>
        </row>
        <row r="5888">
          <cell r="B5888" t="b">
            <v>1</v>
          </cell>
          <cell r="E5888" t="str">
            <v>Baru</v>
          </cell>
          <cell r="H5888" t="str">
            <v>laboratorio</v>
          </cell>
          <cell r="J5888" t="str">
            <v>bueno</v>
          </cell>
          <cell r="K5888" t="str">
            <v>defsi</v>
          </cell>
        </row>
        <row r="5889">
          <cell r="B5889" t="b">
            <v>1</v>
          </cell>
          <cell r="E5889" t="str">
            <v>Baru</v>
          </cell>
          <cell r="H5889" t="str">
            <v>laboratorio</v>
          </cell>
          <cell r="J5889" t="str">
            <v>bueno</v>
          </cell>
          <cell r="K5889" t="str">
            <v>defsi</v>
          </cell>
        </row>
        <row r="5890">
          <cell r="B5890" t="b">
            <v>1</v>
          </cell>
          <cell r="E5890" t="str">
            <v>Baru</v>
          </cell>
          <cell r="H5890" t="str">
            <v>laboratorio</v>
          </cell>
          <cell r="J5890" t="str">
            <v>bueno</v>
          </cell>
          <cell r="K5890" t="str">
            <v>defsi</v>
          </cell>
        </row>
        <row r="5891">
          <cell r="B5891" t="b">
            <v>1</v>
          </cell>
          <cell r="E5891" t="str">
            <v>Baru</v>
          </cell>
          <cell r="H5891" t="str">
            <v>consulta_externa</v>
          </cell>
          <cell r="J5891" t="str">
            <v>bueno</v>
          </cell>
          <cell r="K5891" t="str">
            <v>defsi</v>
          </cell>
        </row>
        <row r="5892">
          <cell r="B5892" t="b">
            <v>1</v>
          </cell>
          <cell r="E5892" t="str">
            <v>Baru</v>
          </cell>
          <cell r="H5892" t="str">
            <v>consulta_externa</v>
          </cell>
          <cell r="J5892" t="str">
            <v>bueno</v>
          </cell>
          <cell r="K5892" t="str">
            <v>defsi</v>
          </cell>
        </row>
        <row r="5893">
          <cell r="B5893" t="b">
            <v>1</v>
          </cell>
          <cell r="E5893" t="str">
            <v>Baru</v>
          </cell>
          <cell r="H5893" t="str">
            <v>laboratorio</v>
          </cell>
          <cell r="J5893" t="str">
            <v>bueno</v>
          </cell>
          <cell r="K5893" t="str">
            <v>defsi</v>
          </cell>
        </row>
        <row r="5894">
          <cell r="B5894" t="b">
            <v>1</v>
          </cell>
          <cell r="E5894" t="str">
            <v>Baru</v>
          </cell>
          <cell r="H5894" t="str">
            <v>laboratorio</v>
          </cell>
          <cell r="J5894" t="str">
            <v>bueno</v>
          </cell>
          <cell r="K5894" t="str">
            <v>defsi</v>
          </cell>
        </row>
        <row r="5895">
          <cell r="B5895" t="b">
            <v>1</v>
          </cell>
          <cell r="E5895" t="str">
            <v>Baru</v>
          </cell>
          <cell r="H5895" t="str">
            <v>salud_oral</v>
          </cell>
          <cell r="J5895" t="str">
            <v>bueno</v>
          </cell>
          <cell r="K5895" t="str">
            <v>defsi</v>
          </cell>
        </row>
        <row r="5896">
          <cell r="B5896" t="b">
            <v>1</v>
          </cell>
          <cell r="E5896" t="str">
            <v>Baru</v>
          </cell>
          <cell r="H5896" t="str">
            <v>consulta_externa</v>
          </cell>
          <cell r="J5896" t="str">
            <v>bueno</v>
          </cell>
          <cell r="K5896" t="str">
            <v>defsi</v>
          </cell>
        </row>
        <row r="5897">
          <cell r="B5897" t="b">
            <v>1</v>
          </cell>
          <cell r="E5897" t="str">
            <v>Baru</v>
          </cell>
          <cell r="H5897" t="str">
            <v>laboratorio</v>
          </cell>
          <cell r="J5897" t="str">
            <v>bueno</v>
          </cell>
          <cell r="K5897" t="str">
            <v>defsi</v>
          </cell>
        </row>
        <row r="5898">
          <cell r="B5898" t="b">
            <v>1</v>
          </cell>
          <cell r="E5898" t="str">
            <v>Baru</v>
          </cell>
          <cell r="H5898" t="str">
            <v>laboratorio</v>
          </cell>
          <cell r="J5898" t="str">
            <v>bueno</v>
          </cell>
          <cell r="K5898" t="str">
            <v>defsi</v>
          </cell>
        </row>
        <row r="5899">
          <cell r="B5899" t="b">
            <v>1</v>
          </cell>
          <cell r="E5899" t="str">
            <v>Baru</v>
          </cell>
          <cell r="H5899" t="str">
            <v>laboratorio</v>
          </cell>
          <cell r="J5899" t="str">
            <v>bueno</v>
          </cell>
          <cell r="K5899" t="str">
            <v>defsi</v>
          </cell>
        </row>
        <row r="5900">
          <cell r="B5900" t="b">
            <v>1</v>
          </cell>
          <cell r="E5900" t="str">
            <v>Baru</v>
          </cell>
          <cell r="H5900" t="str">
            <v>laboratorio</v>
          </cell>
          <cell r="J5900" t="str">
            <v>bueno</v>
          </cell>
          <cell r="K5900" t="str">
            <v>defsi</v>
          </cell>
        </row>
        <row r="5901">
          <cell r="B5901" t="b">
            <v>0</v>
          </cell>
          <cell r="E5901" t="str">
            <v>Baru</v>
          </cell>
          <cell r="H5901" t="str">
            <v>laboratorio</v>
          </cell>
          <cell r="J5901" t="str">
            <v>regular</v>
          </cell>
          <cell r="K5901" t="str">
            <v>defsi</v>
          </cell>
        </row>
        <row r="5902">
          <cell r="B5902" t="b">
            <v>1</v>
          </cell>
          <cell r="E5902" t="str">
            <v>Baru</v>
          </cell>
          <cell r="H5902" t="str">
            <v>laboratorio</v>
          </cell>
          <cell r="J5902" t="str">
            <v>bueno</v>
          </cell>
          <cell r="K5902" t="str">
            <v>defsi</v>
          </cell>
        </row>
        <row r="5903">
          <cell r="B5903" t="b">
            <v>1</v>
          </cell>
          <cell r="E5903" t="str">
            <v>Baru</v>
          </cell>
          <cell r="H5903" t="str">
            <v>urgencia</v>
          </cell>
          <cell r="J5903" t="str">
            <v>bueno</v>
          </cell>
          <cell r="K5903" t="str">
            <v>defsi</v>
          </cell>
        </row>
        <row r="5904">
          <cell r="B5904" t="b">
            <v>1</v>
          </cell>
          <cell r="E5904" t="str">
            <v>Baru</v>
          </cell>
          <cell r="H5904" t="str">
            <v>urgencia</v>
          </cell>
          <cell r="J5904" t="str">
            <v>bueno</v>
          </cell>
          <cell r="K5904" t="str">
            <v>defsi</v>
          </cell>
        </row>
        <row r="5905">
          <cell r="B5905" t="b">
            <v>1</v>
          </cell>
          <cell r="E5905" t="str">
            <v>Baru</v>
          </cell>
          <cell r="H5905" t="str">
            <v>urgencia</v>
          </cell>
          <cell r="J5905" t="str">
            <v>bueno</v>
          </cell>
          <cell r="K5905" t="str">
            <v>defsi</v>
          </cell>
        </row>
        <row r="5906">
          <cell r="B5906" t="b">
            <v>1</v>
          </cell>
          <cell r="E5906" t="str">
            <v>Baru</v>
          </cell>
          <cell r="H5906" t="str">
            <v>urgencia</v>
          </cell>
          <cell r="J5906" t="str">
            <v>bueno</v>
          </cell>
          <cell r="K5906" t="str">
            <v>defsi</v>
          </cell>
        </row>
        <row r="5907">
          <cell r="B5907" t="b">
            <v>1</v>
          </cell>
          <cell r="E5907" t="str">
            <v>Baru</v>
          </cell>
          <cell r="H5907" t="str">
            <v>urgencia</v>
          </cell>
          <cell r="J5907" t="str">
            <v>bueno</v>
          </cell>
          <cell r="K5907" t="str">
            <v>defsi</v>
          </cell>
        </row>
        <row r="5908">
          <cell r="B5908" t="b">
            <v>1</v>
          </cell>
          <cell r="E5908" t="str">
            <v>Baru</v>
          </cell>
          <cell r="H5908" t="str">
            <v>consulta_externa</v>
          </cell>
          <cell r="J5908" t="str">
            <v>bueno</v>
          </cell>
          <cell r="K5908" t="str">
            <v>defsi</v>
          </cell>
        </row>
        <row r="5909">
          <cell r="B5909" t="b">
            <v>1</v>
          </cell>
          <cell r="E5909" t="str">
            <v>Baru</v>
          </cell>
          <cell r="H5909" t="str">
            <v>laboratorio</v>
          </cell>
          <cell r="J5909" t="str">
            <v>bueno</v>
          </cell>
          <cell r="K5909" t="str">
            <v>defsi</v>
          </cell>
        </row>
        <row r="5910">
          <cell r="B5910" t="b">
            <v>1</v>
          </cell>
          <cell r="E5910" t="str">
            <v>Baru</v>
          </cell>
          <cell r="H5910" t="str">
            <v>consulta_externa</v>
          </cell>
          <cell r="J5910" t="str">
            <v>bueno</v>
          </cell>
          <cell r="K5910" t="str">
            <v>defsi</v>
          </cell>
        </row>
        <row r="5911">
          <cell r="B5911" t="b">
            <v>0</v>
          </cell>
          <cell r="E5911" t="str">
            <v>Baru</v>
          </cell>
          <cell r="H5911" t="str">
            <v>urgencia</v>
          </cell>
          <cell r="J5911" t="str">
            <v>regular</v>
          </cell>
          <cell r="K5911" t="str">
            <v>probsi</v>
          </cell>
        </row>
        <row r="5912">
          <cell r="B5912" t="b">
            <v>0</v>
          </cell>
          <cell r="E5912" t="str">
            <v>Baru</v>
          </cell>
          <cell r="H5912" t="str">
            <v>urgencia</v>
          </cell>
          <cell r="J5912" t="str">
            <v>regular</v>
          </cell>
          <cell r="K5912" t="str">
            <v>probsi</v>
          </cell>
        </row>
        <row r="5913">
          <cell r="B5913" t="b">
            <v>1</v>
          </cell>
          <cell r="E5913" t="str">
            <v>Baru</v>
          </cell>
          <cell r="H5913" t="str">
            <v>urgencia</v>
          </cell>
          <cell r="J5913" t="str">
            <v>bueno</v>
          </cell>
          <cell r="K5913" t="str">
            <v>defsi</v>
          </cell>
        </row>
        <row r="5914">
          <cell r="B5914" t="b">
            <v>1</v>
          </cell>
          <cell r="E5914" t="str">
            <v>Baru</v>
          </cell>
          <cell r="H5914" t="str">
            <v>consulta_externa</v>
          </cell>
          <cell r="J5914" t="str">
            <v>bueno</v>
          </cell>
          <cell r="K5914" t="str">
            <v>defsi</v>
          </cell>
        </row>
        <row r="5915">
          <cell r="B5915" t="b">
            <v>1</v>
          </cell>
          <cell r="E5915" t="str">
            <v>Baru</v>
          </cell>
          <cell r="H5915" t="str">
            <v>urgencia</v>
          </cell>
          <cell r="J5915" t="str">
            <v>bueno</v>
          </cell>
          <cell r="K5915" t="str">
            <v>defsi</v>
          </cell>
        </row>
        <row r="5916">
          <cell r="B5916" t="b">
            <v>1</v>
          </cell>
          <cell r="E5916" t="str">
            <v>Baru</v>
          </cell>
          <cell r="H5916" t="str">
            <v>urgencia</v>
          </cell>
          <cell r="J5916" t="str">
            <v>bueno</v>
          </cell>
          <cell r="K5916" t="str">
            <v>defsi</v>
          </cell>
        </row>
        <row r="5917">
          <cell r="B5917" t="b">
            <v>1</v>
          </cell>
          <cell r="E5917" t="str">
            <v>Baru</v>
          </cell>
          <cell r="H5917" t="str">
            <v>urgencia</v>
          </cell>
          <cell r="J5917" t="str">
            <v>bueno</v>
          </cell>
          <cell r="K5917" t="str">
            <v>defsi</v>
          </cell>
        </row>
        <row r="5918">
          <cell r="B5918" t="b">
            <v>1</v>
          </cell>
          <cell r="E5918" t="str">
            <v>Baru</v>
          </cell>
          <cell r="H5918" t="str">
            <v>laboratorio</v>
          </cell>
          <cell r="J5918" t="str">
            <v>bueno</v>
          </cell>
          <cell r="K5918" t="str">
            <v>defsi</v>
          </cell>
        </row>
        <row r="5919">
          <cell r="B5919" t="b">
            <v>1</v>
          </cell>
          <cell r="E5919" t="str">
            <v>Baru</v>
          </cell>
          <cell r="H5919" t="str">
            <v>salud_oral</v>
          </cell>
          <cell r="J5919" t="str">
            <v>bueno</v>
          </cell>
          <cell r="K5919" t="str">
            <v>defsi</v>
          </cell>
        </row>
        <row r="5920">
          <cell r="B5920" t="b">
            <v>1</v>
          </cell>
          <cell r="E5920" t="str">
            <v>Baru</v>
          </cell>
          <cell r="H5920" t="str">
            <v>salud_oral</v>
          </cell>
          <cell r="J5920" t="str">
            <v>bueno</v>
          </cell>
          <cell r="K5920" t="str">
            <v>defsi</v>
          </cell>
        </row>
        <row r="5921">
          <cell r="B5921" t="b">
            <v>1</v>
          </cell>
          <cell r="E5921" t="str">
            <v>Baru</v>
          </cell>
          <cell r="H5921" t="str">
            <v>salud_oral</v>
          </cell>
          <cell r="J5921" t="str">
            <v>bueno</v>
          </cell>
          <cell r="K5921" t="str">
            <v>defsi</v>
          </cell>
        </row>
        <row r="5922">
          <cell r="B5922" t="b">
            <v>1</v>
          </cell>
          <cell r="E5922" t="str">
            <v>Baru</v>
          </cell>
          <cell r="H5922" t="str">
            <v>consulta_externa</v>
          </cell>
          <cell r="J5922" t="str">
            <v>bueno</v>
          </cell>
          <cell r="K5922" t="str">
            <v>defsi</v>
          </cell>
        </row>
        <row r="5923">
          <cell r="B5923" t="b">
            <v>1</v>
          </cell>
          <cell r="E5923" t="str">
            <v>Baru</v>
          </cell>
          <cell r="H5923" t="str">
            <v>salud_oral</v>
          </cell>
          <cell r="J5923" t="str">
            <v>bueno</v>
          </cell>
          <cell r="K5923" t="str">
            <v>defsi</v>
          </cell>
        </row>
        <row r="5924">
          <cell r="B5924" t="b">
            <v>1</v>
          </cell>
          <cell r="E5924" t="str">
            <v>Baru</v>
          </cell>
          <cell r="H5924" t="str">
            <v>urgencia</v>
          </cell>
          <cell r="J5924" t="str">
            <v>bueno</v>
          </cell>
          <cell r="K5924" t="str">
            <v>defsi</v>
          </cell>
        </row>
        <row r="5925">
          <cell r="B5925" t="b">
            <v>1</v>
          </cell>
          <cell r="E5925" t="str">
            <v>Baru</v>
          </cell>
          <cell r="H5925" t="str">
            <v>urgencia</v>
          </cell>
          <cell r="J5925" t="str">
            <v>bueno</v>
          </cell>
          <cell r="K5925" t="str">
            <v>defsi</v>
          </cell>
        </row>
        <row r="5926">
          <cell r="B5926" t="b">
            <v>0</v>
          </cell>
          <cell r="E5926" t="str">
            <v>Baru</v>
          </cell>
          <cell r="H5926" t="str">
            <v>urgencia</v>
          </cell>
          <cell r="J5926" t="str">
            <v>regular</v>
          </cell>
          <cell r="K5926" t="str">
            <v>defsi</v>
          </cell>
        </row>
        <row r="5927">
          <cell r="B5927" t="b">
            <v>0</v>
          </cell>
          <cell r="E5927" t="str">
            <v>Baru</v>
          </cell>
          <cell r="H5927" t="str">
            <v>urgencia</v>
          </cell>
          <cell r="J5927" t="str">
            <v>regular</v>
          </cell>
          <cell r="K5927" t="str">
            <v>defsi</v>
          </cell>
        </row>
        <row r="5928">
          <cell r="B5928" t="b">
            <v>1</v>
          </cell>
          <cell r="E5928" t="str">
            <v>Baru</v>
          </cell>
          <cell r="H5928" t="str">
            <v>salud_oral</v>
          </cell>
          <cell r="J5928" t="str">
            <v>bueno</v>
          </cell>
          <cell r="K5928" t="str">
            <v>defsi</v>
          </cell>
        </row>
        <row r="5929">
          <cell r="B5929" t="b">
            <v>0</v>
          </cell>
          <cell r="E5929" t="str">
            <v>Baru</v>
          </cell>
          <cell r="H5929" t="str">
            <v>salud_oral</v>
          </cell>
          <cell r="J5929" t="str">
            <v>regular</v>
          </cell>
          <cell r="K5929" t="str">
            <v>defsi</v>
          </cell>
        </row>
        <row r="5930">
          <cell r="B5930" t="b">
            <v>0</v>
          </cell>
          <cell r="E5930" t="str">
            <v>Baru</v>
          </cell>
          <cell r="H5930" t="str">
            <v>salud_oral</v>
          </cell>
          <cell r="J5930" t="str">
            <v>regular</v>
          </cell>
          <cell r="K5930" t="str">
            <v>defsi</v>
          </cell>
        </row>
        <row r="5931">
          <cell r="B5931" t="b">
            <v>1</v>
          </cell>
          <cell r="E5931" t="str">
            <v>Baru</v>
          </cell>
          <cell r="H5931" t="str">
            <v>salud_oral</v>
          </cell>
          <cell r="J5931" t="str">
            <v>muybueno</v>
          </cell>
          <cell r="K5931" t="str">
            <v>defsi</v>
          </cell>
        </row>
        <row r="5932">
          <cell r="B5932" t="b">
            <v>1</v>
          </cell>
          <cell r="E5932" t="str">
            <v>Baru</v>
          </cell>
          <cell r="H5932" t="str">
            <v>consulta_externa</v>
          </cell>
          <cell r="J5932" t="str">
            <v>bueno</v>
          </cell>
          <cell r="K5932" t="str">
            <v>defsi</v>
          </cell>
        </row>
        <row r="5933">
          <cell r="B5933" t="b">
            <v>1</v>
          </cell>
          <cell r="E5933" t="str">
            <v>Baru</v>
          </cell>
          <cell r="H5933" t="str">
            <v>urgencia</v>
          </cell>
          <cell r="J5933" t="str">
            <v>bueno</v>
          </cell>
          <cell r="K5933" t="str">
            <v>defsi</v>
          </cell>
        </row>
        <row r="5934">
          <cell r="B5934" t="b">
            <v>1</v>
          </cell>
          <cell r="E5934" t="str">
            <v>Baru</v>
          </cell>
          <cell r="H5934" t="str">
            <v>urgencia</v>
          </cell>
          <cell r="J5934" t="str">
            <v>bueno</v>
          </cell>
          <cell r="K5934" t="str">
            <v>defsi</v>
          </cell>
        </row>
        <row r="5935">
          <cell r="B5935" t="b">
            <v>1</v>
          </cell>
          <cell r="E5935" t="str">
            <v>Baru</v>
          </cell>
          <cell r="H5935" t="str">
            <v>urgencia</v>
          </cell>
          <cell r="J5935" t="str">
            <v>bueno</v>
          </cell>
          <cell r="K5935" t="str">
            <v>defsi</v>
          </cell>
        </row>
        <row r="5936">
          <cell r="B5936" t="b">
            <v>0</v>
          </cell>
          <cell r="E5936" t="str">
            <v>Baru</v>
          </cell>
          <cell r="H5936" t="str">
            <v>urgencia</v>
          </cell>
          <cell r="J5936" t="str">
            <v>regular</v>
          </cell>
          <cell r="K5936" t="str">
            <v>probsi</v>
          </cell>
        </row>
        <row r="5937">
          <cell r="B5937" t="b">
            <v>1</v>
          </cell>
          <cell r="E5937" t="str">
            <v>Arroz Barato</v>
          </cell>
          <cell r="H5937" t="str">
            <v>urgencia</v>
          </cell>
          <cell r="J5937" t="str">
            <v>bueno</v>
          </cell>
          <cell r="K5937" t="str">
            <v>probsi</v>
          </cell>
        </row>
        <row r="5938">
          <cell r="B5938" t="b">
            <v>1</v>
          </cell>
          <cell r="E5938" t="str">
            <v>Arroz Barato</v>
          </cell>
          <cell r="H5938" t="str">
            <v>urgencia</v>
          </cell>
          <cell r="J5938" t="str">
            <v>bueno</v>
          </cell>
          <cell r="K5938" t="str">
            <v>probsi</v>
          </cell>
        </row>
        <row r="5939">
          <cell r="B5939" t="b">
            <v>1</v>
          </cell>
          <cell r="E5939" t="str">
            <v>Arroz Barato</v>
          </cell>
          <cell r="H5939" t="str">
            <v>urgencia</v>
          </cell>
          <cell r="J5939" t="str">
            <v>bueno</v>
          </cell>
          <cell r="K5939" t="str">
            <v>probsi</v>
          </cell>
        </row>
        <row r="5940">
          <cell r="B5940" t="b">
            <v>1</v>
          </cell>
          <cell r="E5940" t="str">
            <v>Arroz Barato</v>
          </cell>
          <cell r="H5940" t="str">
            <v>urgencia</v>
          </cell>
          <cell r="J5940" t="str">
            <v>bueno</v>
          </cell>
          <cell r="K5940" t="str">
            <v>probsi</v>
          </cell>
        </row>
        <row r="5941">
          <cell r="B5941" t="b">
            <v>1</v>
          </cell>
          <cell r="E5941" t="str">
            <v>Arroz Barato</v>
          </cell>
          <cell r="H5941" t="str">
            <v>urgencia</v>
          </cell>
          <cell r="J5941" t="str">
            <v>bueno</v>
          </cell>
          <cell r="K5941" t="str">
            <v>probsi</v>
          </cell>
        </row>
        <row r="5942">
          <cell r="B5942" t="b">
            <v>0</v>
          </cell>
          <cell r="E5942" t="str">
            <v>Arroz Barato</v>
          </cell>
          <cell r="H5942" t="str">
            <v>urgencia</v>
          </cell>
          <cell r="J5942" t="str">
            <v>regular</v>
          </cell>
          <cell r="K5942" t="str">
            <v>probsi</v>
          </cell>
        </row>
        <row r="5943">
          <cell r="B5943" t="b">
            <v>0</v>
          </cell>
          <cell r="E5943" t="str">
            <v>Arroz Barato</v>
          </cell>
          <cell r="H5943" t="str">
            <v>urgencia</v>
          </cell>
          <cell r="J5943" t="str">
            <v>regular</v>
          </cell>
          <cell r="K5943" t="str">
            <v>probsi</v>
          </cell>
        </row>
        <row r="5944">
          <cell r="B5944" t="b">
            <v>1</v>
          </cell>
          <cell r="E5944" t="str">
            <v>Arroz Barato</v>
          </cell>
          <cell r="H5944" t="str">
            <v>urgencia</v>
          </cell>
          <cell r="J5944" t="str">
            <v>bueno</v>
          </cell>
          <cell r="K5944" t="str">
            <v>probsi</v>
          </cell>
        </row>
        <row r="5945">
          <cell r="B5945" t="b">
            <v>1</v>
          </cell>
          <cell r="E5945" t="str">
            <v>Arroz Barato</v>
          </cell>
          <cell r="H5945" t="str">
            <v>urgencia</v>
          </cell>
          <cell r="J5945" t="str">
            <v>bueno</v>
          </cell>
          <cell r="K5945" t="str">
            <v>probsi</v>
          </cell>
        </row>
        <row r="5946">
          <cell r="B5946" t="b">
            <v>1</v>
          </cell>
          <cell r="E5946" t="str">
            <v>Arroz Barato</v>
          </cell>
          <cell r="H5946" t="str">
            <v>urgencia</v>
          </cell>
          <cell r="J5946" t="str">
            <v>bueno</v>
          </cell>
          <cell r="K5946" t="str">
            <v>probsi</v>
          </cell>
        </row>
        <row r="5947">
          <cell r="B5947" t="b">
            <v>1</v>
          </cell>
          <cell r="E5947" t="str">
            <v>Arroyo Grande</v>
          </cell>
          <cell r="H5947" t="str">
            <v>consulta_externa</v>
          </cell>
          <cell r="J5947" t="str">
            <v>bueno</v>
          </cell>
          <cell r="K5947" t="str">
            <v>defsi</v>
          </cell>
        </row>
        <row r="5948">
          <cell r="B5948" t="b">
            <v>1</v>
          </cell>
          <cell r="E5948" t="str">
            <v>Arroyo Grande</v>
          </cell>
          <cell r="H5948" t="str">
            <v>laboratorio</v>
          </cell>
          <cell r="J5948" t="str">
            <v>bueno</v>
          </cell>
          <cell r="K5948" t="str">
            <v>defsi</v>
          </cell>
        </row>
        <row r="5949">
          <cell r="B5949" t="b">
            <v>1</v>
          </cell>
          <cell r="E5949" t="str">
            <v>Arroyo Grande</v>
          </cell>
          <cell r="H5949" t="str">
            <v>laboratorio</v>
          </cell>
          <cell r="J5949" t="str">
            <v>bueno</v>
          </cell>
          <cell r="K5949" t="str">
            <v>defsi</v>
          </cell>
        </row>
        <row r="5950">
          <cell r="B5950" t="b">
            <v>1</v>
          </cell>
          <cell r="E5950" t="str">
            <v>Arroyo Grande</v>
          </cell>
          <cell r="H5950" t="str">
            <v>consulta_externa</v>
          </cell>
          <cell r="J5950" t="str">
            <v>bueno</v>
          </cell>
          <cell r="K5950" t="str">
            <v>defsi</v>
          </cell>
        </row>
        <row r="5951">
          <cell r="B5951" t="b">
            <v>1</v>
          </cell>
          <cell r="E5951" t="str">
            <v>Puerto Rey</v>
          </cell>
          <cell r="H5951" t="str">
            <v>consulta_externa</v>
          </cell>
          <cell r="J5951" t="str">
            <v>bueno</v>
          </cell>
          <cell r="K5951" t="str">
            <v>defsi</v>
          </cell>
        </row>
        <row r="5952">
          <cell r="B5952" t="b">
            <v>1</v>
          </cell>
          <cell r="E5952" t="str">
            <v>Puerto Rey</v>
          </cell>
          <cell r="H5952" t="str">
            <v>salud_oral</v>
          </cell>
          <cell r="J5952" t="str">
            <v>bueno</v>
          </cell>
          <cell r="K5952" t="str">
            <v>defsi</v>
          </cell>
        </row>
        <row r="5953">
          <cell r="B5953" t="b">
            <v>1</v>
          </cell>
          <cell r="E5953" t="str">
            <v>Puerto Rey</v>
          </cell>
          <cell r="H5953" t="str">
            <v>laboratorio</v>
          </cell>
          <cell r="J5953" t="str">
            <v>bueno</v>
          </cell>
          <cell r="K5953" t="str">
            <v>defsi</v>
          </cell>
        </row>
        <row r="5954">
          <cell r="B5954" t="b">
            <v>1</v>
          </cell>
          <cell r="E5954" t="str">
            <v>Puerto Rey</v>
          </cell>
          <cell r="H5954" t="str">
            <v>consulta_externa</v>
          </cell>
          <cell r="J5954" t="str">
            <v>bueno</v>
          </cell>
          <cell r="K5954" t="str">
            <v>defsi</v>
          </cell>
        </row>
        <row r="5955">
          <cell r="B5955" t="b">
            <v>1</v>
          </cell>
          <cell r="E5955" t="str">
            <v>Puerto Rey</v>
          </cell>
          <cell r="H5955" t="str">
            <v>salud_oral</v>
          </cell>
          <cell r="J5955" t="str">
            <v>bueno</v>
          </cell>
          <cell r="K5955" t="str">
            <v>defsi</v>
          </cell>
        </row>
        <row r="5956">
          <cell r="B5956" t="b">
            <v>1</v>
          </cell>
          <cell r="E5956" t="str">
            <v>Puerto Rey</v>
          </cell>
          <cell r="H5956" t="str">
            <v>laboratorio</v>
          </cell>
          <cell r="J5956" t="str">
            <v>bueno</v>
          </cell>
          <cell r="K5956" t="str">
            <v>defsi</v>
          </cell>
        </row>
        <row r="5957">
          <cell r="B5957" t="b">
            <v>1</v>
          </cell>
          <cell r="E5957" t="str">
            <v>Manzanillo</v>
          </cell>
          <cell r="H5957" t="str">
            <v>consulta_externa</v>
          </cell>
          <cell r="J5957" t="str">
            <v>bueno</v>
          </cell>
          <cell r="K5957" t="str">
            <v>probsi</v>
          </cell>
        </row>
        <row r="5958">
          <cell r="B5958" t="b">
            <v>1</v>
          </cell>
          <cell r="E5958" t="str">
            <v>Manzanillo</v>
          </cell>
          <cell r="H5958" t="str">
            <v>consulta_externa</v>
          </cell>
          <cell r="J5958" t="str">
            <v>bueno</v>
          </cell>
          <cell r="K5958" t="str">
            <v>probsi</v>
          </cell>
        </row>
        <row r="5959">
          <cell r="B5959" t="b">
            <v>1</v>
          </cell>
          <cell r="E5959" t="str">
            <v>Manzanillo</v>
          </cell>
          <cell r="H5959" t="str">
            <v>laboratorio</v>
          </cell>
          <cell r="J5959" t="str">
            <v>bueno</v>
          </cell>
          <cell r="K5959" t="str">
            <v>probsi</v>
          </cell>
        </row>
        <row r="5960">
          <cell r="B5960" t="b">
            <v>1</v>
          </cell>
          <cell r="E5960" t="str">
            <v>Manzanillo</v>
          </cell>
          <cell r="H5960" t="str">
            <v>laboratorio</v>
          </cell>
          <cell r="J5960" t="str">
            <v>bueno</v>
          </cell>
          <cell r="K5960" t="str">
            <v>probsi</v>
          </cell>
        </row>
        <row r="5961">
          <cell r="B5961" t="b">
            <v>1</v>
          </cell>
          <cell r="E5961" t="str">
            <v>Manzanillo</v>
          </cell>
          <cell r="H5961" t="str">
            <v>laboratorio</v>
          </cell>
          <cell r="J5961" t="str">
            <v>bueno</v>
          </cell>
          <cell r="K5961" t="str">
            <v>probsi</v>
          </cell>
        </row>
        <row r="5962">
          <cell r="B5962" t="b">
            <v>1</v>
          </cell>
          <cell r="E5962" t="str">
            <v>Manzanillo</v>
          </cell>
          <cell r="H5962" t="str">
            <v>laboratorio</v>
          </cell>
          <cell r="J5962" t="str">
            <v>bueno</v>
          </cell>
          <cell r="K5962" t="str">
            <v>probsi</v>
          </cell>
        </row>
        <row r="5963">
          <cell r="B5963" t="b">
            <v>1</v>
          </cell>
          <cell r="E5963" t="str">
            <v>Manzanillo</v>
          </cell>
          <cell r="H5963" t="str">
            <v>laboratorio</v>
          </cell>
          <cell r="J5963" t="str">
            <v>bueno</v>
          </cell>
          <cell r="K5963" t="str">
            <v>probsi</v>
          </cell>
        </row>
        <row r="5964">
          <cell r="B5964" t="b">
            <v>1</v>
          </cell>
          <cell r="E5964" t="str">
            <v>Manzanillo</v>
          </cell>
          <cell r="H5964" t="str">
            <v>laboratorio</v>
          </cell>
          <cell r="J5964" t="str">
            <v>bueno</v>
          </cell>
          <cell r="K5964" t="str">
            <v>probsi</v>
          </cell>
        </row>
        <row r="5965">
          <cell r="B5965" t="b">
            <v>1</v>
          </cell>
          <cell r="E5965" t="str">
            <v>Manzanillo</v>
          </cell>
          <cell r="H5965" t="str">
            <v>laboratorio</v>
          </cell>
          <cell r="J5965" t="str">
            <v>bueno</v>
          </cell>
          <cell r="K5965" t="str">
            <v>probsi</v>
          </cell>
        </row>
        <row r="5966">
          <cell r="B5966" t="b">
            <v>1</v>
          </cell>
          <cell r="E5966" t="str">
            <v>Manzanillo</v>
          </cell>
          <cell r="H5966" t="str">
            <v>laboratorio</v>
          </cell>
          <cell r="J5966" t="str">
            <v>bueno</v>
          </cell>
          <cell r="K5966" t="str">
            <v>probsi</v>
          </cell>
        </row>
        <row r="5967">
          <cell r="B5967" t="b">
            <v>1</v>
          </cell>
          <cell r="E5967" t="str">
            <v>Manzanillo</v>
          </cell>
          <cell r="H5967" t="str">
            <v>consulta_externa</v>
          </cell>
          <cell r="J5967" t="str">
            <v>bueno</v>
          </cell>
          <cell r="K5967" t="str">
            <v>probsi</v>
          </cell>
        </row>
        <row r="5968">
          <cell r="B5968" t="b">
            <v>1</v>
          </cell>
          <cell r="E5968" t="str">
            <v>Manzanillo</v>
          </cell>
          <cell r="H5968" t="str">
            <v>consulta_externa</v>
          </cell>
          <cell r="J5968" t="str">
            <v>bueno</v>
          </cell>
          <cell r="K5968" t="str">
            <v>probsi</v>
          </cell>
        </row>
        <row r="5969">
          <cell r="B5969" t="b">
            <v>1</v>
          </cell>
          <cell r="E5969" t="str">
            <v>Manzanillo</v>
          </cell>
          <cell r="H5969" t="str">
            <v>consulta_externa</v>
          </cell>
          <cell r="J5969" t="str">
            <v>bueno</v>
          </cell>
          <cell r="K5969" t="str">
            <v>probsi</v>
          </cell>
        </row>
        <row r="5970">
          <cell r="B5970" t="b">
            <v>1</v>
          </cell>
          <cell r="E5970" t="str">
            <v>Puerto Rey</v>
          </cell>
          <cell r="H5970" t="str">
            <v>consulta_externa</v>
          </cell>
          <cell r="J5970" t="str">
            <v>bueno</v>
          </cell>
          <cell r="K5970" t="str">
            <v>defsi</v>
          </cell>
        </row>
        <row r="5971">
          <cell r="B5971" t="b">
            <v>1</v>
          </cell>
          <cell r="E5971" t="str">
            <v>Manzanillo</v>
          </cell>
          <cell r="H5971" t="str">
            <v>salud_oral</v>
          </cell>
          <cell r="J5971" t="str">
            <v>bueno</v>
          </cell>
          <cell r="K5971" t="str">
            <v>probsi</v>
          </cell>
        </row>
        <row r="5972">
          <cell r="B5972" t="b">
            <v>1</v>
          </cell>
          <cell r="E5972" t="str">
            <v>Manzanillo</v>
          </cell>
          <cell r="H5972" t="str">
            <v>salud_oral</v>
          </cell>
          <cell r="J5972" t="str">
            <v>bueno</v>
          </cell>
          <cell r="K5972" t="str">
            <v>probsi</v>
          </cell>
        </row>
        <row r="5973">
          <cell r="B5973" t="b">
            <v>1</v>
          </cell>
          <cell r="E5973" t="str">
            <v>Manzanillo</v>
          </cell>
          <cell r="H5973" t="str">
            <v>salud_oral</v>
          </cell>
          <cell r="J5973" t="str">
            <v>bueno</v>
          </cell>
          <cell r="K5973" t="str">
            <v>probsi</v>
          </cell>
        </row>
        <row r="5974">
          <cell r="B5974" t="b">
            <v>1</v>
          </cell>
          <cell r="E5974" t="str">
            <v>Manzanillo</v>
          </cell>
          <cell r="H5974" t="str">
            <v>salud_oral</v>
          </cell>
          <cell r="J5974" t="str">
            <v>bueno</v>
          </cell>
          <cell r="K5974" t="str">
            <v>probsi</v>
          </cell>
        </row>
        <row r="5975">
          <cell r="B5975" t="b">
            <v>1</v>
          </cell>
          <cell r="E5975" t="str">
            <v>Puerto Rey</v>
          </cell>
          <cell r="H5975" t="str">
            <v>laboratorio</v>
          </cell>
          <cell r="J5975" t="str">
            <v>bueno</v>
          </cell>
          <cell r="K5975" t="str">
            <v>defsi</v>
          </cell>
        </row>
        <row r="5976">
          <cell r="B5976" t="b">
            <v>1</v>
          </cell>
          <cell r="E5976" t="str">
            <v>Manzanillo</v>
          </cell>
          <cell r="H5976" t="str">
            <v>salud_oral</v>
          </cell>
          <cell r="J5976" t="str">
            <v>bueno</v>
          </cell>
          <cell r="K5976" t="str">
            <v>probsi</v>
          </cell>
        </row>
        <row r="5977">
          <cell r="B5977" t="b">
            <v>1</v>
          </cell>
          <cell r="E5977" t="str">
            <v>Manzanillo</v>
          </cell>
          <cell r="H5977" t="str">
            <v>salud_oral</v>
          </cell>
          <cell r="J5977" t="str">
            <v>bueno</v>
          </cell>
          <cell r="K5977" t="str">
            <v>probsi</v>
          </cell>
        </row>
        <row r="5978">
          <cell r="B5978" t="b">
            <v>1</v>
          </cell>
          <cell r="E5978" t="str">
            <v>Manzanillo</v>
          </cell>
          <cell r="H5978" t="str">
            <v>consulta_externa</v>
          </cell>
          <cell r="J5978" t="str">
            <v>bueno</v>
          </cell>
          <cell r="K5978" t="str">
            <v>probsi</v>
          </cell>
        </row>
        <row r="5979">
          <cell r="B5979" t="b">
            <v>1</v>
          </cell>
          <cell r="E5979" t="str">
            <v>Manzanillo</v>
          </cell>
          <cell r="H5979" t="str">
            <v>consulta_externa</v>
          </cell>
          <cell r="J5979" t="str">
            <v>bueno</v>
          </cell>
          <cell r="K5979" t="str">
            <v>probsi</v>
          </cell>
        </row>
        <row r="5980">
          <cell r="B5980" t="b">
            <v>1</v>
          </cell>
          <cell r="E5980" t="str">
            <v>Manzanillo</v>
          </cell>
          <cell r="H5980" t="str">
            <v>consulta_externa</v>
          </cell>
          <cell r="J5980" t="str">
            <v>bueno</v>
          </cell>
          <cell r="K5980" t="str">
            <v>probsi</v>
          </cell>
        </row>
        <row r="5981">
          <cell r="B5981" t="b">
            <v>1</v>
          </cell>
          <cell r="E5981" t="str">
            <v>Puerto Rey</v>
          </cell>
          <cell r="H5981" t="str">
            <v>salud_oral</v>
          </cell>
          <cell r="J5981" t="str">
            <v>bueno</v>
          </cell>
          <cell r="K5981" t="str">
            <v>defsi</v>
          </cell>
        </row>
        <row r="5982">
          <cell r="B5982" t="b">
            <v>1</v>
          </cell>
          <cell r="E5982" t="str">
            <v>Manzanillo</v>
          </cell>
          <cell r="H5982" t="str">
            <v>consulta_externa</v>
          </cell>
          <cell r="J5982" t="str">
            <v>bueno</v>
          </cell>
          <cell r="K5982" t="str">
            <v>probsi</v>
          </cell>
        </row>
        <row r="5983">
          <cell r="B5983" t="b">
            <v>1</v>
          </cell>
          <cell r="E5983" t="str">
            <v>Manzanillo</v>
          </cell>
          <cell r="H5983" t="str">
            <v>consulta_externa</v>
          </cell>
          <cell r="J5983" t="str">
            <v>bueno</v>
          </cell>
          <cell r="K5983" t="str">
            <v>probsi</v>
          </cell>
        </row>
        <row r="5984">
          <cell r="B5984" t="b">
            <v>1</v>
          </cell>
          <cell r="E5984" t="str">
            <v>Manzanillo</v>
          </cell>
          <cell r="H5984" t="str">
            <v>consulta_externa</v>
          </cell>
          <cell r="J5984" t="str">
            <v>bueno</v>
          </cell>
          <cell r="K5984" t="str">
            <v>probsi</v>
          </cell>
        </row>
        <row r="5985">
          <cell r="B5985" t="b">
            <v>1</v>
          </cell>
          <cell r="E5985" t="str">
            <v>Manzanillo</v>
          </cell>
          <cell r="H5985" t="str">
            <v>consulta_externa</v>
          </cell>
          <cell r="J5985" t="str">
            <v>bueno</v>
          </cell>
          <cell r="K5985" t="str">
            <v>probsi</v>
          </cell>
        </row>
        <row r="5986">
          <cell r="B5986" t="b">
            <v>1</v>
          </cell>
          <cell r="E5986" t="str">
            <v>Manzanillo</v>
          </cell>
          <cell r="H5986" t="str">
            <v>consulta_externa</v>
          </cell>
          <cell r="J5986" t="str">
            <v>bueno</v>
          </cell>
          <cell r="K5986" t="str">
            <v>probsi</v>
          </cell>
        </row>
        <row r="5987">
          <cell r="B5987" t="b">
            <v>1</v>
          </cell>
          <cell r="E5987" t="str">
            <v>Manzanillo</v>
          </cell>
          <cell r="H5987" t="str">
            <v>consulta_externa</v>
          </cell>
          <cell r="J5987" t="str">
            <v>bueno</v>
          </cell>
          <cell r="K5987" t="str">
            <v>probsi</v>
          </cell>
        </row>
        <row r="5988">
          <cell r="B5988" t="b">
            <v>1</v>
          </cell>
          <cell r="E5988" t="str">
            <v>Manzanillo</v>
          </cell>
          <cell r="H5988" t="str">
            <v>consulta_externa</v>
          </cell>
          <cell r="J5988" t="str">
            <v>bueno</v>
          </cell>
          <cell r="K5988" t="str">
            <v>probsi</v>
          </cell>
        </row>
        <row r="5989">
          <cell r="B5989" t="b">
            <v>1</v>
          </cell>
          <cell r="E5989" t="str">
            <v>Puerto Rey</v>
          </cell>
          <cell r="H5989" t="str">
            <v>consulta_externa</v>
          </cell>
          <cell r="J5989" t="str">
            <v>bueno</v>
          </cell>
          <cell r="K5989" t="str">
            <v>defsi</v>
          </cell>
        </row>
        <row r="5990">
          <cell r="B5990" t="b">
            <v>1</v>
          </cell>
          <cell r="E5990" t="str">
            <v>Manzanillo</v>
          </cell>
          <cell r="H5990" t="str">
            <v>laboratorio</v>
          </cell>
          <cell r="J5990" t="str">
            <v>bueno</v>
          </cell>
          <cell r="K5990" t="str">
            <v>probsi</v>
          </cell>
        </row>
        <row r="5991">
          <cell r="B5991" t="b">
            <v>1</v>
          </cell>
          <cell r="E5991" t="str">
            <v>Manzanillo</v>
          </cell>
          <cell r="H5991" t="str">
            <v>laboratorio</v>
          </cell>
          <cell r="J5991" t="str">
            <v>bueno</v>
          </cell>
          <cell r="K5991" t="str">
            <v>probsi</v>
          </cell>
        </row>
        <row r="5992">
          <cell r="B5992" t="b">
            <v>1</v>
          </cell>
          <cell r="E5992" t="str">
            <v>Puerto Rey</v>
          </cell>
          <cell r="H5992" t="str">
            <v>salud_oral</v>
          </cell>
          <cell r="J5992" t="str">
            <v>bueno</v>
          </cell>
          <cell r="K5992" t="str">
            <v>defsi</v>
          </cell>
        </row>
        <row r="5993">
          <cell r="B5993" t="b">
            <v>1</v>
          </cell>
          <cell r="E5993" t="str">
            <v>Manzanillo</v>
          </cell>
          <cell r="H5993" t="str">
            <v>laboratorio</v>
          </cell>
          <cell r="J5993" t="str">
            <v>bueno</v>
          </cell>
          <cell r="K5993" t="str">
            <v>probsi</v>
          </cell>
        </row>
        <row r="5994">
          <cell r="B5994" t="b">
            <v>1</v>
          </cell>
          <cell r="E5994" t="str">
            <v>Puerto Rey</v>
          </cell>
          <cell r="H5994" t="str">
            <v>laboratorio</v>
          </cell>
          <cell r="J5994" t="str">
            <v>bueno</v>
          </cell>
          <cell r="K5994" t="str">
            <v>defsi</v>
          </cell>
        </row>
        <row r="5995">
          <cell r="B5995" t="b">
            <v>1</v>
          </cell>
          <cell r="E5995" t="str">
            <v>Manzanillo</v>
          </cell>
          <cell r="H5995" t="str">
            <v>laboratorio</v>
          </cell>
          <cell r="J5995" t="str">
            <v>bueno</v>
          </cell>
          <cell r="K5995" t="str">
            <v>probsi</v>
          </cell>
        </row>
        <row r="5996">
          <cell r="B5996" t="b">
            <v>1</v>
          </cell>
          <cell r="E5996" t="str">
            <v>Manzanillo</v>
          </cell>
          <cell r="H5996" t="str">
            <v>laboratorio</v>
          </cell>
          <cell r="J5996" t="str">
            <v>bueno</v>
          </cell>
          <cell r="K5996" t="str">
            <v>probsi</v>
          </cell>
        </row>
        <row r="5997">
          <cell r="B5997" t="b">
            <v>1</v>
          </cell>
          <cell r="E5997" t="str">
            <v>Puerto Rey</v>
          </cell>
          <cell r="H5997" t="str">
            <v>consulta_externa</v>
          </cell>
          <cell r="J5997" t="str">
            <v>bueno</v>
          </cell>
          <cell r="K5997" t="str">
            <v>defsi</v>
          </cell>
        </row>
        <row r="5998">
          <cell r="B5998" t="b">
            <v>1</v>
          </cell>
          <cell r="E5998" t="str">
            <v>Manzanillo</v>
          </cell>
          <cell r="H5998" t="str">
            <v>laboratorio</v>
          </cell>
          <cell r="J5998" t="str">
            <v>bueno</v>
          </cell>
          <cell r="K5998" t="str">
            <v>probsi</v>
          </cell>
        </row>
        <row r="5999">
          <cell r="B5999" t="b">
            <v>1</v>
          </cell>
          <cell r="E5999" t="str">
            <v>Puerto Rey</v>
          </cell>
          <cell r="H5999" t="str">
            <v>salud_oral</v>
          </cell>
          <cell r="J5999" t="str">
            <v>bueno</v>
          </cell>
          <cell r="K5999" t="str">
            <v>defsi</v>
          </cell>
        </row>
        <row r="6000">
          <cell r="B6000" t="b">
            <v>1</v>
          </cell>
          <cell r="E6000" t="str">
            <v>Manzanillo</v>
          </cell>
          <cell r="H6000" t="str">
            <v>laboratorio</v>
          </cell>
          <cell r="J6000" t="str">
            <v>bueno</v>
          </cell>
          <cell r="K6000" t="str">
            <v>probsi</v>
          </cell>
        </row>
        <row r="6001">
          <cell r="B6001" t="b">
            <v>1</v>
          </cell>
          <cell r="E6001" t="str">
            <v>Manzanillo</v>
          </cell>
          <cell r="H6001" t="str">
            <v>laboratorio</v>
          </cell>
          <cell r="J6001" t="str">
            <v>bueno</v>
          </cell>
          <cell r="K6001" t="str">
            <v>probsi</v>
          </cell>
        </row>
        <row r="6002">
          <cell r="B6002" t="b">
            <v>1</v>
          </cell>
          <cell r="E6002" t="str">
            <v>Puerto Rey</v>
          </cell>
          <cell r="H6002" t="str">
            <v>laboratorio</v>
          </cell>
          <cell r="J6002" t="str">
            <v>bueno</v>
          </cell>
          <cell r="K6002" t="str">
            <v>defsi</v>
          </cell>
        </row>
        <row r="6003">
          <cell r="B6003" t="b">
            <v>1</v>
          </cell>
          <cell r="E6003" t="str">
            <v>Manzanillo</v>
          </cell>
          <cell r="H6003" t="str">
            <v>consulta_externa</v>
          </cell>
          <cell r="J6003" t="str">
            <v>bueno</v>
          </cell>
          <cell r="K6003" t="str">
            <v>probsi</v>
          </cell>
        </row>
        <row r="6004">
          <cell r="B6004" t="b">
            <v>1</v>
          </cell>
          <cell r="E6004" t="str">
            <v>Manzanillo</v>
          </cell>
          <cell r="H6004" t="str">
            <v>consulta_externa</v>
          </cell>
          <cell r="J6004" t="str">
            <v>bueno</v>
          </cell>
          <cell r="K6004" t="str">
            <v>probsi</v>
          </cell>
        </row>
        <row r="6005">
          <cell r="B6005" t="b">
            <v>1</v>
          </cell>
          <cell r="E6005" t="str">
            <v>Manzanillo</v>
          </cell>
          <cell r="H6005" t="str">
            <v>consulta_externa</v>
          </cell>
          <cell r="J6005" t="str">
            <v>bueno</v>
          </cell>
          <cell r="K6005" t="str">
            <v>probsi</v>
          </cell>
        </row>
        <row r="6006">
          <cell r="B6006" t="b">
            <v>1</v>
          </cell>
          <cell r="E6006" t="str">
            <v>Bocachica</v>
          </cell>
          <cell r="H6006" t="str">
            <v>consulta_externa</v>
          </cell>
          <cell r="J6006" t="str">
            <v>bueno</v>
          </cell>
          <cell r="K6006" t="str">
            <v>probsi</v>
          </cell>
        </row>
        <row r="6007">
          <cell r="B6007" t="b">
            <v>1</v>
          </cell>
          <cell r="E6007" t="str">
            <v>Bocachica</v>
          </cell>
          <cell r="H6007" t="str">
            <v>consulta_externa</v>
          </cell>
          <cell r="J6007" t="str">
            <v>bueno</v>
          </cell>
          <cell r="K6007" t="str">
            <v>probsi</v>
          </cell>
        </row>
        <row r="6008">
          <cell r="B6008" t="b">
            <v>1</v>
          </cell>
          <cell r="E6008" t="str">
            <v>Bocachica</v>
          </cell>
          <cell r="H6008" t="str">
            <v>consulta_externa</v>
          </cell>
          <cell r="J6008" t="str">
            <v>bueno</v>
          </cell>
          <cell r="K6008" t="str">
            <v>probsi</v>
          </cell>
        </row>
        <row r="6009">
          <cell r="B6009" t="b">
            <v>1</v>
          </cell>
          <cell r="E6009" t="str">
            <v>Bocachica</v>
          </cell>
          <cell r="H6009" t="str">
            <v>consulta_externa</v>
          </cell>
          <cell r="J6009" t="str">
            <v>bueno</v>
          </cell>
          <cell r="K6009" t="str">
            <v>probsi</v>
          </cell>
        </row>
        <row r="6010">
          <cell r="B6010" t="b">
            <v>1</v>
          </cell>
          <cell r="E6010" t="str">
            <v>Bocachica</v>
          </cell>
          <cell r="H6010" t="str">
            <v>consulta_externa</v>
          </cell>
          <cell r="J6010" t="str">
            <v>bueno</v>
          </cell>
          <cell r="K6010" t="str">
            <v>probsi</v>
          </cell>
        </row>
        <row r="6011">
          <cell r="B6011" t="b">
            <v>1</v>
          </cell>
          <cell r="E6011" t="str">
            <v>Bocachica</v>
          </cell>
          <cell r="H6011" t="str">
            <v>urgencia</v>
          </cell>
          <cell r="J6011" t="str">
            <v>bueno</v>
          </cell>
          <cell r="K6011" t="str">
            <v>probsi</v>
          </cell>
        </row>
        <row r="6012">
          <cell r="B6012" t="b">
            <v>1</v>
          </cell>
          <cell r="E6012" t="str">
            <v>Bocachica</v>
          </cell>
          <cell r="H6012" t="str">
            <v>urgencia</v>
          </cell>
          <cell r="J6012" t="str">
            <v>bueno</v>
          </cell>
          <cell r="K6012" t="str">
            <v>probsi</v>
          </cell>
        </row>
        <row r="6013">
          <cell r="B6013" t="b">
            <v>1</v>
          </cell>
          <cell r="E6013" t="str">
            <v>Bocachica</v>
          </cell>
          <cell r="H6013" t="str">
            <v>urgencia</v>
          </cell>
          <cell r="J6013" t="str">
            <v>bueno</v>
          </cell>
          <cell r="K6013" t="str">
            <v>probsi</v>
          </cell>
        </row>
        <row r="6014">
          <cell r="B6014" t="b">
            <v>1</v>
          </cell>
          <cell r="E6014" t="str">
            <v>Bocachica</v>
          </cell>
          <cell r="H6014" t="str">
            <v>urgencia</v>
          </cell>
          <cell r="J6014" t="str">
            <v>bueno</v>
          </cell>
          <cell r="K6014" t="str">
            <v>probsi</v>
          </cell>
        </row>
        <row r="6015">
          <cell r="B6015" t="b">
            <v>1</v>
          </cell>
          <cell r="E6015" t="str">
            <v>Puerto Rey</v>
          </cell>
          <cell r="H6015" t="str">
            <v>consulta_externa</v>
          </cell>
          <cell r="J6015" t="str">
            <v>bueno</v>
          </cell>
          <cell r="K6015" t="str">
            <v>defsi</v>
          </cell>
        </row>
        <row r="6016">
          <cell r="B6016" t="b">
            <v>1</v>
          </cell>
          <cell r="E6016" t="str">
            <v>Puerto Rey</v>
          </cell>
          <cell r="H6016" t="str">
            <v>salud_oral</v>
          </cell>
          <cell r="J6016" t="str">
            <v>bueno</v>
          </cell>
          <cell r="K6016" t="str">
            <v>defsi</v>
          </cell>
        </row>
        <row r="6017">
          <cell r="B6017" t="b">
            <v>1</v>
          </cell>
          <cell r="E6017" t="str">
            <v>Puerto Rey</v>
          </cell>
          <cell r="H6017" t="str">
            <v>laboratorio</v>
          </cell>
          <cell r="J6017" t="str">
            <v>bueno</v>
          </cell>
          <cell r="K6017" t="str">
            <v>defsi</v>
          </cell>
        </row>
        <row r="6018">
          <cell r="B6018" t="b">
            <v>1</v>
          </cell>
          <cell r="E6018" t="str">
            <v>Puerto Rey</v>
          </cell>
          <cell r="H6018" t="str">
            <v>consulta_externa</v>
          </cell>
          <cell r="J6018" t="str">
            <v>bueno</v>
          </cell>
          <cell r="K6018" t="str">
            <v>defsi</v>
          </cell>
        </row>
        <row r="6019">
          <cell r="B6019" t="b">
            <v>1</v>
          </cell>
          <cell r="E6019" t="str">
            <v>Cano de Oro</v>
          </cell>
          <cell r="H6019" t="str">
            <v>consulta_externa</v>
          </cell>
          <cell r="J6019" t="str">
            <v>bueno</v>
          </cell>
          <cell r="K6019" t="str">
            <v>probsi</v>
          </cell>
        </row>
        <row r="6020">
          <cell r="B6020" t="b">
            <v>1</v>
          </cell>
          <cell r="E6020" t="str">
            <v>Cano de Oro</v>
          </cell>
          <cell r="H6020" t="str">
            <v>consulta_externa</v>
          </cell>
          <cell r="J6020" t="str">
            <v>bueno</v>
          </cell>
          <cell r="K6020" t="str">
            <v>probsi</v>
          </cell>
        </row>
        <row r="6021">
          <cell r="B6021" t="b">
            <v>1</v>
          </cell>
          <cell r="E6021" t="str">
            <v>Puerto Rey</v>
          </cell>
          <cell r="H6021" t="str">
            <v>salud_oral</v>
          </cell>
          <cell r="J6021" t="str">
            <v>bueno</v>
          </cell>
          <cell r="K6021" t="str">
            <v>defsi</v>
          </cell>
        </row>
        <row r="6022">
          <cell r="B6022" t="b">
            <v>1</v>
          </cell>
          <cell r="E6022" t="str">
            <v>Cano de Oro</v>
          </cell>
          <cell r="H6022" t="str">
            <v>consulta_externa</v>
          </cell>
          <cell r="J6022" t="str">
            <v>bueno</v>
          </cell>
          <cell r="K6022" t="str">
            <v>probsi</v>
          </cell>
        </row>
        <row r="6023">
          <cell r="B6023" t="b">
            <v>1</v>
          </cell>
          <cell r="E6023" t="str">
            <v>Cano de Oro</v>
          </cell>
          <cell r="H6023" t="str">
            <v>consulta_externa</v>
          </cell>
          <cell r="J6023" t="str">
            <v>bueno</v>
          </cell>
          <cell r="K6023" t="str">
            <v>probsi</v>
          </cell>
        </row>
        <row r="6024">
          <cell r="B6024" t="b">
            <v>1</v>
          </cell>
          <cell r="E6024" t="str">
            <v>Cano de Oro</v>
          </cell>
          <cell r="H6024" t="str">
            <v>consulta_externa</v>
          </cell>
          <cell r="J6024" t="str">
            <v>bueno</v>
          </cell>
          <cell r="K6024" t="str">
            <v>probsi</v>
          </cell>
        </row>
        <row r="6025">
          <cell r="B6025" t="b">
            <v>1</v>
          </cell>
          <cell r="E6025" t="str">
            <v>Cano de Oro</v>
          </cell>
          <cell r="H6025" t="str">
            <v>consulta_externa</v>
          </cell>
          <cell r="J6025" t="str">
            <v>bueno</v>
          </cell>
          <cell r="K6025" t="str">
            <v>probsi</v>
          </cell>
        </row>
        <row r="6026">
          <cell r="B6026" t="b">
            <v>1</v>
          </cell>
          <cell r="E6026" t="str">
            <v>Puerto Rey</v>
          </cell>
          <cell r="H6026" t="str">
            <v>laboratorio</v>
          </cell>
          <cell r="J6026" t="str">
            <v>bueno</v>
          </cell>
          <cell r="K6026" t="str">
            <v>defsi</v>
          </cell>
        </row>
        <row r="6027">
          <cell r="B6027" t="b">
            <v>1</v>
          </cell>
          <cell r="E6027" t="str">
            <v>Cano de Oro</v>
          </cell>
          <cell r="H6027" t="str">
            <v>consulta_externa</v>
          </cell>
          <cell r="J6027" t="str">
            <v>bueno</v>
          </cell>
          <cell r="K6027" t="str">
            <v>probsi</v>
          </cell>
        </row>
        <row r="6028">
          <cell r="B6028" t="b">
            <v>1</v>
          </cell>
          <cell r="E6028" t="str">
            <v>Cano de Oro</v>
          </cell>
          <cell r="H6028" t="str">
            <v>consulta_externa</v>
          </cell>
          <cell r="J6028" t="str">
            <v>bueno</v>
          </cell>
          <cell r="K6028" t="str">
            <v>probsi</v>
          </cell>
        </row>
        <row r="6029">
          <cell r="B6029" t="b">
            <v>1</v>
          </cell>
          <cell r="E6029" t="str">
            <v>Cano de Oro</v>
          </cell>
          <cell r="H6029" t="str">
            <v>laboratorio</v>
          </cell>
          <cell r="J6029" t="str">
            <v>bueno</v>
          </cell>
          <cell r="K6029" t="str">
            <v>probsi</v>
          </cell>
        </row>
        <row r="6030">
          <cell r="B6030" t="b">
            <v>1</v>
          </cell>
          <cell r="E6030" t="str">
            <v>Cano de Oro</v>
          </cell>
          <cell r="H6030" t="str">
            <v>laboratorio</v>
          </cell>
          <cell r="J6030" t="str">
            <v>bueno</v>
          </cell>
          <cell r="K6030" t="str">
            <v>probsi</v>
          </cell>
        </row>
        <row r="6031">
          <cell r="B6031" t="b">
            <v>1</v>
          </cell>
          <cell r="E6031" t="str">
            <v>Cano de Oro</v>
          </cell>
          <cell r="H6031" t="str">
            <v>laboratorio</v>
          </cell>
          <cell r="J6031" t="str">
            <v>bueno</v>
          </cell>
          <cell r="K6031" t="str">
            <v>probsi</v>
          </cell>
        </row>
        <row r="6032">
          <cell r="B6032" t="b">
            <v>1</v>
          </cell>
          <cell r="E6032" t="str">
            <v>Cano de Oro</v>
          </cell>
          <cell r="H6032" t="str">
            <v>laboratorio</v>
          </cell>
          <cell r="J6032" t="str">
            <v>bueno</v>
          </cell>
          <cell r="K6032" t="str">
            <v>probsi</v>
          </cell>
        </row>
        <row r="6033">
          <cell r="B6033" t="b">
            <v>1</v>
          </cell>
          <cell r="E6033" t="str">
            <v>Cano de Oro</v>
          </cell>
          <cell r="H6033" t="str">
            <v>laboratorio</v>
          </cell>
          <cell r="J6033" t="str">
            <v>bueno</v>
          </cell>
          <cell r="K6033" t="str">
            <v>probsi</v>
          </cell>
        </row>
        <row r="6034">
          <cell r="B6034" t="b">
            <v>1</v>
          </cell>
          <cell r="E6034" t="str">
            <v>Cano de Oro</v>
          </cell>
          <cell r="H6034" t="str">
            <v>laboratorio</v>
          </cell>
          <cell r="J6034" t="str">
            <v>bueno</v>
          </cell>
          <cell r="K6034" t="str">
            <v>probsi</v>
          </cell>
        </row>
        <row r="6035">
          <cell r="B6035" t="b">
            <v>1</v>
          </cell>
          <cell r="E6035" t="str">
            <v>Cano de Oro</v>
          </cell>
          <cell r="H6035" t="str">
            <v>laboratorio</v>
          </cell>
          <cell r="J6035" t="str">
            <v>bueno</v>
          </cell>
          <cell r="K6035" t="str">
            <v>probsi</v>
          </cell>
        </row>
        <row r="6036">
          <cell r="B6036" t="b">
            <v>1</v>
          </cell>
          <cell r="E6036" t="str">
            <v>Cano de Oro</v>
          </cell>
          <cell r="H6036" t="str">
            <v>laboratorio</v>
          </cell>
          <cell r="J6036" t="str">
            <v>bueno</v>
          </cell>
          <cell r="K6036" t="str">
            <v>probsi</v>
          </cell>
        </row>
        <row r="6037">
          <cell r="B6037" t="b">
            <v>1</v>
          </cell>
          <cell r="E6037" t="str">
            <v>Cano de Oro</v>
          </cell>
          <cell r="H6037" t="str">
            <v>laboratorio</v>
          </cell>
          <cell r="J6037" t="str">
            <v>bueno</v>
          </cell>
          <cell r="K6037" t="str">
            <v>probsi</v>
          </cell>
        </row>
        <row r="6038">
          <cell r="B6038" t="b">
            <v>1</v>
          </cell>
          <cell r="E6038" t="str">
            <v>Cano de Oro</v>
          </cell>
          <cell r="H6038" t="str">
            <v>laboratorio</v>
          </cell>
          <cell r="J6038" t="str">
            <v>bueno</v>
          </cell>
          <cell r="K6038" t="str">
            <v>probsi</v>
          </cell>
        </row>
        <row r="6039">
          <cell r="B6039" t="b">
            <v>1</v>
          </cell>
          <cell r="E6039" t="str">
            <v>Cano de Oro</v>
          </cell>
          <cell r="H6039" t="str">
            <v>laboratorio</v>
          </cell>
          <cell r="J6039" t="str">
            <v>bueno</v>
          </cell>
          <cell r="K6039" t="str">
            <v>probsi</v>
          </cell>
        </row>
        <row r="6040">
          <cell r="B6040" t="b">
            <v>1</v>
          </cell>
          <cell r="E6040" t="str">
            <v>Cano de Oro</v>
          </cell>
          <cell r="H6040" t="str">
            <v>salud_oral</v>
          </cell>
          <cell r="J6040" t="str">
            <v>bueno</v>
          </cell>
          <cell r="K6040" t="str">
            <v>probsi</v>
          </cell>
        </row>
        <row r="6041">
          <cell r="B6041" t="b">
            <v>1</v>
          </cell>
          <cell r="E6041" t="str">
            <v>Cano de Oro</v>
          </cell>
          <cell r="H6041" t="str">
            <v>salud_oral</v>
          </cell>
          <cell r="J6041" t="str">
            <v>bueno</v>
          </cell>
          <cell r="K6041" t="str">
            <v>probsi</v>
          </cell>
        </row>
        <row r="6042">
          <cell r="B6042" t="b">
            <v>1</v>
          </cell>
          <cell r="E6042" t="str">
            <v>Cano de Oro</v>
          </cell>
          <cell r="H6042" t="str">
            <v>salud_oral</v>
          </cell>
          <cell r="J6042" t="str">
            <v>bueno</v>
          </cell>
          <cell r="K6042" t="str">
            <v>probsi</v>
          </cell>
        </row>
        <row r="6043">
          <cell r="B6043" t="b">
            <v>1</v>
          </cell>
          <cell r="E6043" t="str">
            <v>Cano de Oro</v>
          </cell>
          <cell r="H6043" t="str">
            <v>salud_oral</v>
          </cell>
          <cell r="J6043" t="str">
            <v>bueno</v>
          </cell>
          <cell r="K6043" t="str">
            <v>probsi</v>
          </cell>
        </row>
        <row r="6044">
          <cell r="B6044" t="b">
            <v>1</v>
          </cell>
          <cell r="E6044" t="str">
            <v>Cano de Oro</v>
          </cell>
          <cell r="H6044" t="str">
            <v>salud_oral</v>
          </cell>
          <cell r="J6044" t="str">
            <v>bueno</v>
          </cell>
          <cell r="K6044" t="str">
            <v>probsi</v>
          </cell>
        </row>
        <row r="6045">
          <cell r="B6045" t="b">
            <v>1</v>
          </cell>
          <cell r="E6045" t="str">
            <v>Cano de Oro</v>
          </cell>
          <cell r="H6045" t="str">
            <v>salud_oral</v>
          </cell>
          <cell r="J6045" t="str">
            <v>bueno</v>
          </cell>
          <cell r="K6045" t="str">
            <v>probsi</v>
          </cell>
        </row>
        <row r="6046">
          <cell r="B6046" t="b">
            <v>1</v>
          </cell>
          <cell r="E6046" t="str">
            <v>Cano de Oro</v>
          </cell>
          <cell r="H6046" t="str">
            <v>salud_oral</v>
          </cell>
          <cell r="J6046" t="str">
            <v>bueno</v>
          </cell>
          <cell r="K6046" t="str">
            <v>probsi</v>
          </cell>
        </row>
        <row r="6047">
          <cell r="B6047" t="b">
            <v>1</v>
          </cell>
          <cell r="E6047" t="str">
            <v>Puerto Rey</v>
          </cell>
          <cell r="H6047" t="str">
            <v>consulta_externa</v>
          </cell>
          <cell r="J6047" t="str">
            <v>bueno</v>
          </cell>
          <cell r="K6047" t="str">
            <v>defsi</v>
          </cell>
        </row>
        <row r="6048">
          <cell r="B6048" t="b">
            <v>1</v>
          </cell>
          <cell r="E6048" t="str">
            <v>Puerto Rey</v>
          </cell>
          <cell r="H6048" t="str">
            <v>salud_oral</v>
          </cell>
          <cell r="J6048" t="str">
            <v>bueno</v>
          </cell>
          <cell r="K6048" t="str">
            <v>defsi</v>
          </cell>
        </row>
        <row r="6049">
          <cell r="B6049" t="b">
            <v>1</v>
          </cell>
          <cell r="E6049" t="str">
            <v>Puerto Rey</v>
          </cell>
          <cell r="H6049" t="str">
            <v>laboratorio</v>
          </cell>
          <cell r="J6049" t="str">
            <v>bueno</v>
          </cell>
          <cell r="K6049" t="str">
            <v>defsi</v>
          </cell>
        </row>
        <row r="6050">
          <cell r="B6050" t="b">
            <v>1</v>
          </cell>
          <cell r="E6050" t="str">
            <v>Puerto Rey</v>
          </cell>
          <cell r="H6050" t="str">
            <v>consulta_externa</v>
          </cell>
          <cell r="J6050" t="str">
            <v>bueno</v>
          </cell>
          <cell r="K6050" t="str">
            <v>defsi</v>
          </cell>
        </row>
        <row r="6051">
          <cell r="B6051" t="b">
            <v>1</v>
          </cell>
          <cell r="E6051" t="str">
            <v>Puerto Rey</v>
          </cell>
          <cell r="H6051" t="str">
            <v>salud_oral</v>
          </cell>
          <cell r="J6051" t="str">
            <v>bueno</v>
          </cell>
          <cell r="K6051" t="str">
            <v>defsi</v>
          </cell>
        </row>
        <row r="6052">
          <cell r="B6052" t="b">
            <v>1</v>
          </cell>
          <cell r="E6052" t="str">
            <v>Puerto Rey</v>
          </cell>
          <cell r="H6052" t="str">
            <v>laboratorio</v>
          </cell>
          <cell r="J6052" t="str">
            <v>bueno</v>
          </cell>
          <cell r="K6052" t="str">
            <v>defsi</v>
          </cell>
        </row>
        <row r="6053">
          <cell r="B6053" t="b">
            <v>1</v>
          </cell>
          <cell r="E6053" t="str">
            <v>Puerto Rey</v>
          </cell>
          <cell r="H6053" t="str">
            <v>consulta_externa</v>
          </cell>
          <cell r="J6053" t="str">
            <v>bueno</v>
          </cell>
          <cell r="K6053" t="str">
            <v>defsi</v>
          </cell>
        </row>
        <row r="6054">
          <cell r="B6054" t="b">
            <v>1</v>
          </cell>
          <cell r="E6054" t="str">
            <v>Arroyo Grande</v>
          </cell>
          <cell r="H6054" t="str">
            <v>consulta_externa</v>
          </cell>
          <cell r="J6054" t="str">
            <v>bueno</v>
          </cell>
          <cell r="K6054" t="str">
            <v>defsi</v>
          </cell>
        </row>
        <row r="6055">
          <cell r="B6055" t="b">
            <v>1</v>
          </cell>
          <cell r="E6055" t="str">
            <v>Arroyo Grande</v>
          </cell>
          <cell r="H6055" t="str">
            <v>consulta_externa</v>
          </cell>
          <cell r="J6055" t="str">
            <v>bueno</v>
          </cell>
          <cell r="K6055" t="str">
            <v>defsi</v>
          </cell>
        </row>
        <row r="6056">
          <cell r="B6056" t="b">
            <v>1</v>
          </cell>
          <cell r="E6056" t="str">
            <v>Arroyo Grande</v>
          </cell>
          <cell r="H6056" t="str">
            <v>laboratorio</v>
          </cell>
          <cell r="J6056" t="str">
            <v>bueno</v>
          </cell>
          <cell r="K6056" t="str">
            <v>defsi</v>
          </cell>
        </row>
        <row r="6057">
          <cell r="B6057" t="b">
            <v>1</v>
          </cell>
          <cell r="E6057" t="str">
            <v>Arroyo Grande</v>
          </cell>
          <cell r="H6057" t="str">
            <v>laboratorio</v>
          </cell>
          <cell r="J6057" t="str">
            <v>bueno</v>
          </cell>
          <cell r="K6057" t="str">
            <v>defsi</v>
          </cell>
        </row>
        <row r="6058">
          <cell r="B6058" t="b">
            <v>1</v>
          </cell>
          <cell r="E6058" t="str">
            <v>Arroyo Grande</v>
          </cell>
          <cell r="H6058" t="str">
            <v>salud_oral</v>
          </cell>
          <cell r="J6058" t="str">
            <v>bueno</v>
          </cell>
          <cell r="K6058" t="str">
            <v>defsi</v>
          </cell>
        </row>
        <row r="6059">
          <cell r="B6059" t="b">
            <v>1</v>
          </cell>
          <cell r="E6059" t="str">
            <v>Cano de Oro</v>
          </cell>
          <cell r="H6059" t="str">
            <v>consulta_externa</v>
          </cell>
          <cell r="J6059" t="str">
            <v>bueno</v>
          </cell>
          <cell r="K6059" t="str">
            <v>probsi</v>
          </cell>
        </row>
        <row r="6060">
          <cell r="B6060" t="b">
            <v>1</v>
          </cell>
          <cell r="E6060" t="str">
            <v>Cano de Oro</v>
          </cell>
          <cell r="H6060" t="str">
            <v>consulta_externa</v>
          </cell>
          <cell r="J6060" t="str">
            <v>bueno</v>
          </cell>
          <cell r="K6060" t="str">
            <v>probsi</v>
          </cell>
        </row>
        <row r="6061">
          <cell r="B6061" t="b">
            <v>1</v>
          </cell>
          <cell r="E6061" t="str">
            <v>Cano de Oro</v>
          </cell>
          <cell r="H6061" t="str">
            <v>salud_oral</v>
          </cell>
          <cell r="J6061" t="str">
            <v>bueno</v>
          </cell>
          <cell r="K6061" t="str">
            <v>probsi</v>
          </cell>
        </row>
        <row r="6062">
          <cell r="B6062" t="b">
            <v>0</v>
          </cell>
          <cell r="E6062" t="str">
            <v>Arroyo Grande</v>
          </cell>
          <cell r="H6062" t="str">
            <v>salud_oral</v>
          </cell>
          <cell r="J6062" t="str">
            <v>regular</v>
          </cell>
          <cell r="K6062" t="str">
            <v>defsi</v>
          </cell>
        </row>
        <row r="6063">
          <cell r="B6063" t="b">
            <v>1</v>
          </cell>
          <cell r="E6063" t="str">
            <v>Arroyo Grande</v>
          </cell>
          <cell r="H6063" t="str">
            <v>consulta_externa</v>
          </cell>
          <cell r="J6063" t="str">
            <v>bueno</v>
          </cell>
          <cell r="K6063" t="str">
            <v>defsi</v>
          </cell>
        </row>
        <row r="6064">
          <cell r="B6064" t="b">
            <v>1</v>
          </cell>
          <cell r="E6064" t="str">
            <v>Arroyo Grande</v>
          </cell>
          <cell r="H6064" t="str">
            <v>consulta_externa</v>
          </cell>
          <cell r="J6064" t="str">
            <v>bueno</v>
          </cell>
          <cell r="K6064" t="str">
            <v>defsi</v>
          </cell>
        </row>
        <row r="6065">
          <cell r="B6065" t="b">
            <v>1</v>
          </cell>
          <cell r="E6065" t="str">
            <v>Arroyo Grande</v>
          </cell>
          <cell r="H6065" t="str">
            <v>laboratorio</v>
          </cell>
          <cell r="J6065" t="str">
            <v>bueno</v>
          </cell>
          <cell r="K6065" t="str">
            <v>defsi</v>
          </cell>
        </row>
        <row r="6066">
          <cell r="B6066" t="b">
            <v>1</v>
          </cell>
          <cell r="E6066" t="str">
            <v>Cano de Oro</v>
          </cell>
          <cell r="H6066" t="str">
            <v>consulta_externa</v>
          </cell>
          <cell r="J6066" t="str">
            <v>bueno</v>
          </cell>
          <cell r="K6066" t="str">
            <v>probsi</v>
          </cell>
        </row>
        <row r="6067">
          <cell r="B6067" t="b">
            <v>1</v>
          </cell>
          <cell r="E6067" t="str">
            <v>Cano de Oro</v>
          </cell>
          <cell r="H6067" t="str">
            <v>consulta_externa</v>
          </cell>
          <cell r="J6067" t="str">
            <v>bueno</v>
          </cell>
          <cell r="K6067" t="str">
            <v>probsi</v>
          </cell>
        </row>
        <row r="6068">
          <cell r="B6068" t="b">
            <v>1</v>
          </cell>
          <cell r="E6068" t="str">
            <v>Cano de Oro</v>
          </cell>
          <cell r="H6068" t="str">
            <v>laboratorio</v>
          </cell>
          <cell r="J6068" t="str">
            <v>bueno</v>
          </cell>
          <cell r="K6068" t="str">
            <v>probsi</v>
          </cell>
        </row>
        <row r="6069">
          <cell r="B6069" t="b">
            <v>1</v>
          </cell>
          <cell r="E6069" t="str">
            <v>Arroyo Grande</v>
          </cell>
          <cell r="H6069" t="str">
            <v>laboratorio</v>
          </cell>
          <cell r="J6069" t="str">
            <v>bueno</v>
          </cell>
          <cell r="K6069" t="str">
            <v>defsi</v>
          </cell>
        </row>
        <row r="6070">
          <cell r="B6070" t="b">
            <v>1</v>
          </cell>
          <cell r="E6070" t="str">
            <v>Cano de Oro</v>
          </cell>
          <cell r="H6070" t="str">
            <v>laboratorio</v>
          </cell>
          <cell r="J6070" t="str">
            <v>bueno</v>
          </cell>
          <cell r="K6070" t="str">
            <v>probsi</v>
          </cell>
        </row>
        <row r="6071">
          <cell r="B6071" t="b">
            <v>1</v>
          </cell>
          <cell r="E6071" t="str">
            <v>Cano de Oro</v>
          </cell>
          <cell r="H6071" t="str">
            <v>laboratorio</v>
          </cell>
          <cell r="J6071" t="str">
            <v>bueno</v>
          </cell>
          <cell r="K6071" t="str">
            <v>probsi</v>
          </cell>
        </row>
        <row r="6072">
          <cell r="B6072" t="b">
            <v>1</v>
          </cell>
          <cell r="E6072" t="str">
            <v>Cano de Oro</v>
          </cell>
          <cell r="H6072" t="str">
            <v>laboratorio</v>
          </cell>
          <cell r="J6072" t="str">
            <v>bueno</v>
          </cell>
          <cell r="K6072" t="str">
            <v>probsi</v>
          </cell>
        </row>
        <row r="6073">
          <cell r="B6073" t="b">
            <v>1</v>
          </cell>
          <cell r="E6073" t="str">
            <v>Cano de Oro</v>
          </cell>
          <cell r="H6073" t="str">
            <v>laboratorio</v>
          </cell>
          <cell r="J6073" t="str">
            <v>bueno</v>
          </cell>
          <cell r="K6073" t="str">
            <v>probsi</v>
          </cell>
        </row>
        <row r="6074">
          <cell r="B6074" t="b">
            <v>1</v>
          </cell>
          <cell r="E6074" t="str">
            <v>Cano de Oro</v>
          </cell>
          <cell r="H6074" t="str">
            <v>laboratorio</v>
          </cell>
          <cell r="J6074" t="str">
            <v>bueno</v>
          </cell>
          <cell r="K6074" t="str">
            <v>probsi</v>
          </cell>
        </row>
        <row r="6075">
          <cell r="B6075" t="b">
            <v>1</v>
          </cell>
          <cell r="E6075" t="str">
            <v>Arroyo Grande</v>
          </cell>
          <cell r="H6075" t="str">
            <v>laboratorio</v>
          </cell>
          <cell r="J6075" t="str">
            <v>bueno</v>
          </cell>
          <cell r="K6075" t="str">
            <v>defsi</v>
          </cell>
        </row>
        <row r="6076">
          <cell r="B6076" t="b">
            <v>1</v>
          </cell>
          <cell r="E6076" t="str">
            <v>Cano de Oro</v>
          </cell>
          <cell r="H6076" t="str">
            <v>laboratorio</v>
          </cell>
          <cell r="J6076" t="str">
            <v>bueno</v>
          </cell>
          <cell r="K6076" t="str">
            <v>probsi</v>
          </cell>
        </row>
        <row r="6077">
          <cell r="B6077" t="b">
            <v>1</v>
          </cell>
          <cell r="E6077" t="str">
            <v>Cano de Oro</v>
          </cell>
          <cell r="H6077" t="str">
            <v>consulta_externa</v>
          </cell>
          <cell r="J6077" t="str">
            <v>bueno</v>
          </cell>
          <cell r="K6077" t="str">
            <v>probsi</v>
          </cell>
        </row>
        <row r="6078">
          <cell r="B6078" t="b">
            <v>1</v>
          </cell>
          <cell r="E6078" t="str">
            <v>Cano de Oro</v>
          </cell>
          <cell r="H6078" t="str">
            <v>consulta_externa</v>
          </cell>
          <cell r="J6078" t="str">
            <v>bueno</v>
          </cell>
          <cell r="K6078" t="str">
            <v>probsi</v>
          </cell>
        </row>
        <row r="6079">
          <cell r="B6079" t="b">
            <v>1</v>
          </cell>
          <cell r="E6079" t="str">
            <v>Cano de Oro</v>
          </cell>
          <cell r="H6079" t="str">
            <v>consulta_externa</v>
          </cell>
          <cell r="J6079" t="str">
            <v>bueno</v>
          </cell>
          <cell r="K6079" t="str">
            <v>probsi</v>
          </cell>
        </row>
        <row r="6080">
          <cell r="B6080" t="b">
            <v>1</v>
          </cell>
          <cell r="E6080" t="str">
            <v>Arroyo Grande</v>
          </cell>
          <cell r="H6080" t="str">
            <v>consulta_externa</v>
          </cell>
          <cell r="J6080" t="str">
            <v>bueno</v>
          </cell>
          <cell r="K6080" t="str">
            <v>defsi</v>
          </cell>
        </row>
        <row r="6081">
          <cell r="B6081" t="b">
            <v>1</v>
          </cell>
          <cell r="E6081" t="str">
            <v>Arroyo Grande</v>
          </cell>
          <cell r="H6081" t="str">
            <v>consulta_externa</v>
          </cell>
          <cell r="J6081" t="str">
            <v>bueno</v>
          </cell>
          <cell r="K6081" t="str">
            <v>defsi</v>
          </cell>
        </row>
        <row r="6082">
          <cell r="B6082" t="b">
            <v>1</v>
          </cell>
          <cell r="E6082" t="str">
            <v>Arroyo Grande</v>
          </cell>
          <cell r="H6082" t="str">
            <v>salud_oral</v>
          </cell>
          <cell r="J6082" t="str">
            <v>bueno</v>
          </cell>
          <cell r="K6082" t="str">
            <v>defsi</v>
          </cell>
        </row>
        <row r="6083">
          <cell r="B6083" t="b">
            <v>1</v>
          </cell>
          <cell r="E6083" t="str">
            <v>Cano de Oro</v>
          </cell>
          <cell r="H6083" t="str">
            <v>consulta_externa</v>
          </cell>
          <cell r="J6083" t="str">
            <v>bueno</v>
          </cell>
          <cell r="K6083" t="str">
            <v>probsi</v>
          </cell>
        </row>
        <row r="6084">
          <cell r="B6084" t="b">
            <v>1</v>
          </cell>
          <cell r="E6084" t="str">
            <v>Cano de Oro</v>
          </cell>
          <cell r="H6084" t="str">
            <v>consulta_externa</v>
          </cell>
          <cell r="J6084" t="str">
            <v>bueno</v>
          </cell>
          <cell r="K6084" t="str">
            <v>probsi</v>
          </cell>
        </row>
        <row r="6085">
          <cell r="B6085" t="b">
            <v>1</v>
          </cell>
          <cell r="E6085" t="str">
            <v>Cano de Oro</v>
          </cell>
          <cell r="H6085" t="str">
            <v>consulta_externa</v>
          </cell>
          <cell r="J6085" t="str">
            <v>bueno</v>
          </cell>
          <cell r="K6085" t="str">
            <v>probsi</v>
          </cell>
        </row>
        <row r="6086">
          <cell r="B6086" t="b">
            <v>1</v>
          </cell>
          <cell r="E6086" t="str">
            <v>Cano de Oro</v>
          </cell>
          <cell r="H6086" t="str">
            <v>laboratorio</v>
          </cell>
          <cell r="J6086" t="str">
            <v>bueno</v>
          </cell>
          <cell r="K6086" t="str">
            <v>probsi</v>
          </cell>
        </row>
        <row r="6087">
          <cell r="B6087" t="b">
            <v>1</v>
          </cell>
          <cell r="E6087" t="str">
            <v>Cano de Oro</v>
          </cell>
          <cell r="H6087" t="str">
            <v>laboratorio</v>
          </cell>
          <cell r="J6087" t="str">
            <v>bueno</v>
          </cell>
          <cell r="K6087" t="str">
            <v>probsi</v>
          </cell>
        </row>
        <row r="6088">
          <cell r="B6088" t="b">
            <v>1</v>
          </cell>
          <cell r="E6088" t="str">
            <v>Cano de Oro</v>
          </cell>
          <cell r="H6088" t="str">
            <v>laboratorio</v>
          </cell>
          <cell r="J6088" t="str">
            <v>bueno</v>
          </cell>
          <cell r="K6088" t="str">
            <v>probsi</v>
          </cell>
        </row>
        <row r="6089">
          <cell r="B6089" t="b">
            <v>1</v>
          </cell>
          <cell r="E6089" t="str">
            <v>Arroyo Grande</v>
          </cell>
          <cell r="H6089" t="str">
            <v>salud_oral</v>
          </cell>
          <cell r="J6089" t="str">
            <v>bueno</v>
          </cell>
          <cell r="K6089" t="str">
            <v>defsi</v>
          </cell>
        </row>
        <row r="6090">
          <cell r="B6090" t="b">
            <v>1</v>
          </cell>
          <cell r="E6090" t="str">
            <v>Arroyo Grande</v>
          </cell>
          <cell r="H6090" t="str">
            <v>salud_oral</v>
          </cell>
          <cell r="J6090" t="str">
            <v>bueno</v>
          </cell>
          <cell r="K6090" t="str">
            <v>defsi</v>
          </cell>
        </row>
        <row r="6091">
          <cell r="B6091" t="b">
            <v>1</v>
          </cell>
          <cell r="E6091" t="str">
            <v>Arroyo Grande</v>
          </cell>
          <cell r="H6091" t="str">
            <v>salud_oral</v>
          </cell>
          <cell r="J6091" t="str">
            <v>bueno</v>
          </cell>
          <cell r="K6091" t="str">
            <v>defsi</v>
          </cell>
        </row>
        <row r="6092">
          <cell r="B6092" t="b">
            <v>1</v>
          </cell>
          <cell r="E6092" t="str">
            <v>Boquilla</v>
          </cell>
          <cell r="H6092" t="str">
            <v>consulta_externa</v>
          </cell>
          <cell r="J6092" t="str">
            <v>bueno</v>
          </cell>
          <cell r="K6092" t="str">
            <v>probno</v>
          </cell>
        </row>
        <row r="6093">
          <cell r="B6093" t="b">
            <v>1</v>
          </cell>
          <cell r="E6093" t="str">
            <v>Boquilla</v>
          </cell>
          <cell r="H6093" t="str">
            <v>consulta_externa</v>
          </cell>
          <cell r="J6093" t="str">
            <v>bueno</v>
          </cell>
          <cell r="K6093" t="str">
            <v>probno</v>
          </cell>
        </row>
        <row r="6094">
          <cell r="B6094" t="b">
            <v>1</v>
          </cell>
          <cell r="E6094" t="str">
            <v>Boquilla</v>
          </cell>
          <cell r="H6094" t="str">
            <v>consulta_externa</v>
          </cell>
          <cell r="J6094" t="str">
            <v>bueno</v>
          </cell>
          <cell r="K6094" t="str">
            <v>probno</v>
          </cell>
        </row>
        <row r="6095">
          <cell r="B6095" t="b">
            <v>1</v>
          </cell>
          <cell r="E6095" t="str">
            <v>Boquilla</v>
          </cell>
          <cell r="H6095" t="str">
            <v>consulta_externa</v>
          </cell>
          <cell r="J6095" t="str">
            <v>bueno</v>
          </cell>
          <cell r="K6095" t="str">
            <v>probno</v>
          </cell>
        </row>
        <row r="6096">
          <cell r="B6096" t="b">
            <v>1</v>
          </cell>
          <cell r="E6096" t="str">
            <v>Boquilla</v>
          </cell>
          <cell r="H6096" t="str">
            <v>consulta_externa</v>
          </cell>
          <cell r="J6096" t="str">
            <v>bueno</v>
          </cell>
          <cell r="K6096" t="str">
            <v>probno</v>
          </cell>
        </row>
        <row r="6097">
          <cell r="B6097" t="b">
            <v>1</v>
          </cell>
          <cell r="E6097" t="str">
            <v>Boquilla</v>
          </cell>
          <cell r="H6097" t="str">
            <v>consulta_externa</v>
          </cell>
          <cell r="J6097" t="str">
            <v>bueno</v>
          </cell>
          <cell r="K6097" t="str">
            <v>probno</v>
          </cell>
        </row>
        <row r="6098">
          <cell r="B6098" t="b">
            <v>1</v>
          </cell>
          <cell r="E6098" t="str">
            <v>Boquilla</v>
          </cell>
          <cell r="H6098" t="str">
            <v>consulta_externa</v>
          </cell>
          <cell r="J6098" t="str">
            <v>bueno</v>
          </cell>
          <cell r="K6098" t="str">
            <v>probno</v>
          </cell>
        </row>
        <row r="6099">
          <cell r="B6099" t="b">
            <v>1</v>
          </cell>
          <cell r="E6099" t="str">
            <v>Boquilla</v>
          </cell>
          <cell r="H6099" t="str">
            <v>consulta_externa</v>
          </cell>
          <cell r="J6099" t="str">
            <v>bueno</v>
          </cell>
          <cell r="K6099" t="str">
            <v>probno</v>
          </cell>
        </row>
        <row r="6100">
          <cell r="B6100" t="b">
            <v>1</v>
          </cell>
          <cell r="E6100" t="str">
            <v>Boquilla</v>
          </cell>
          <cell r="H6100" t="str">
            <v>laboratorio</v>
          </cell>
          <cell r="J6100" t="str">
            <v>bueno</v>
          </cell>
          <cell r="K6100" t="str">
            <v>probno</v>
          </cell>
        </row>
        <row r="6101">
          <cell r="B6101" t="b">
            <v>1</v>
          </cell>
          <cell r="E6101" t="str">
            <v>Boquilla</v>
          </cell>
          <cell r="H6101" t="str">
            <v>laboratorio</v>
          </cell>
          <cell r="J6101" t="str">
            <v>bueno</v>
          </cell>
          <cell r="K6101" t="str">
            <v>probno</v>
          </cell>
        </row>
        <row r="6102">
          <cell r="B6102" t="b">
            <v>1</v>
          </cell>
          <cell r="E6102" t="str">
            <v>Arroyo Grande</v>
          </cell>
          <cell r="H6102" t="str">
            <v>consulta_externa</v>
          </cell>
          <cell r="J6102" t="str">
            <v>bueno</v>
          </cell>
          <cell r="K6102" t="str">
            <v>defsi</v>
          </cell>
        </row>
        <row r="6103">
          <cell r="B6103" t="b">
            <v>1</v>
          </cell>
          <cell r="E6103" t="str">
            <v>Cano de Oro</v>
          </cell>
          <cell r="H6103" t="str">
            <v>salud_oral</v>
          </cell>
          <cell r="J6103" t="str">
            <v>bueno</v>
          </cell>
          <cell r="K6103" t="str">
            <v>probsi</v>
          </cell>
        </row>
        <row r="6104">
          <cell r="B6104" t="b">
            <v>1</v>
          </cell>
          <cell r="E6104" t="str">
            <v>Cano de Oro</v>
          </cell>
          <cell r="H6104" t="str">
            <v>salud_oral</v>
          </cell>
          <cell r="J6104" t="str">
            <v>bueno</v>
          </cell>
          <cell r="K6104" t="str">
            <v>probsi</v>
          </cell>
        </row>
        <row r="6105">
          <cell r="B6105" t="b">
            <v>1</v>
          </cell>
          <cell r="E6105" t="str">
            <v>Cano de Oro</v>
          </cell>
          <cell r="H6105" t="str">
            <v>salud_oral</v>
          </cell>
          <cell r="J6105" t="str">
            <v>bueno</v>
          </cell>
          <cell r="K6105" t="str">
            <v>probsi</v>
          </cell>
        </row>
        <row r="6106">
          <cell r="B6106" t="b">
            <v>1</v>
          </cell>
          <cell r="E6106" t="str">
            <v>Boquilla</v>
          </cell>
          <cell r="H6106" t="str">
            <v>laboratorio</v>
          </cell>
          <cell r="J6106" t="str">
            <v>bueno</v>
          </cell>
          <cell r="K6106" t="str">
            <v>probno</v>
          </cell>
        </row>
        <row r="6107">
          <cell r="B6107" t="b">
            <v>1</v>
          </cell>
          <cell r="E6107" t="str">
            <v>Boquilla</v>
          </cell>
          <cell r="H6107" t="str">
            <v>laboratorio</v>
          </cell>
          <cell r="J6107" t="str">
            <v>bueno</v>
          </cell>
          <cell r="K6107" t="str">
            <v>probsi</v>
          </cell>
        </row>
        <row r="6108">
          <cell r="B6108" t="b">
            <v>1</v>
          </cell>
          <cell r="E6108" t="str">
            <v>Boquilla</v>
          </cell>
          <cell r="H6108" t="str">
            <v>laboratorio</v>
          </cell>
          <cell r="J6108" t="str">
            <v>bueno</v>
          </cell>
          <cell r="K6108" t="str">
            <v>probsi</v>
          </cell>
        </row>
        <row r="6109">
          <cell r="B6109" t="b">
            <v>1</v>
          </cell>
          <cell r="E6109" t="str">
            <v>Boquilla</v>
          </cell>
          <cell r="H6109" t="str">
            <v>laboratorio</v>
          </cell>
          <cell r="J6109" t="str">
            <v>bueno</v>
          </cell>
          <cell r="K6109" t="str">
            <v>probsi</v>
          </cell>
        </row>
        <row r="6110">
          <cell r="B6110" t="b">
            <v>1</v>
          </cell>
          <cell r="E6110" t="str">
            <v>Boquilla</v>
          </cell>
          <cell r="H6110" t="str">
            <v>laboratorio</v>
          </cell>
          <cell r="J6110" t="str">
            <v>bueno</v>
          </cell>
          <cell r="K6110" t="str">
            <v>probsi</v>
          </cell>
        </row>
        <row r="6111">
          <cell r="B6111" t="b">
            <v>1</v>
          </cell>
          <cell r="E6111" t="str">
            <v>Boquilla</v>
          </cell>
          <cell r="H6111" t="str">
            <v>consulta_externa</v>
          </cell>
          <cell r="J6111" t="str">
            <v>bueno</v>
          </cell>
          <cell r="K6111" t="str">
            <v>probsi</v>
          </cell>
        </row>
        <row r="6112">
          <cell r="B6112" t="b">
            <v>1</v>
          </cell>
          <cell r="E6112" t="str">
            <v>Boquilla</v>
          </cell>
          <cell r="H6112" t="str">
            <v>consulta_externa</v>
          </cell>
          <cell r="J6112" t="str">
            <v>bueno</v>
          </cell>
          <cell r="K6112" t="str">
            <v>probsi</v>
          </cell>
        </row>
        <row r="6113">
          <cell r="B6113" t="b">
            <v>1</v>
          </cell>
          <cell r="E6113" t="str">
            <v>Boquilla</v>
          </cell>
          <cell r="H6113" t="str">
            <v>consulta_externa</v>
          </cell>
          <cell r="J6113" t="str">
            <v>bueno</v>
          </cell>
          <cell r="K6113" t="str">
            <v>probsi</v>
          </cell>
        </row>
        <row r="6114">
          <cell r="B6114" t="b">
            <v>1</v>
          </cell>
          <cell r="E6114" t="str">
            <v>Boquilla</v>
          </cell>
          <cell r="H6114" t="str">
            <v>consulta_externa</v>
          </cell>
          <cell r="J6114" t="str">
            <v>bueno</v>
          </cell>
          <cell r="K6114" t="str">
            <v>probsi</v>
          </cell>
        </row>
        <row r="6115">
          <cell r="B6115" t="b">
            <v>1</v>
          </cell>
          <cell r="E6115" t="str">
            <v>Boquilla</v>
          </cell>
          <cell r="H6115" t="str">
            <v>consulta_externa</v>
          </cell>
          <cell r="J6115" t="str">
            <v>bueno</v>
          </cell>
          <cell r="K6115" t="str">
            <v>probsi</v>
          </cell>
        </row>
        <row r="6116">
          <cell r="B6116" t="b">
            <v>1</v>
          </cell>
          <cell r="E6116" t="str">
            <v>Boquilla</v>
          </cell>
          <cell r="H6116" t="str">
            <v>consulta_externa</v>
          </cell>
          <cell r="J6116" t="str">
            <v>bueno</v>
          </cell>
          <cell r="K6116" t="str">
            <v>probsi</v>
          </cell>
        </row>
        <row r="6117">
          <cell r="B6117" t="b">
            <v>1</v>
          </cell>
          <cell r="E6117" t="str">
            <v>Boquilla</v>
          </cell>
          <cell r="H6117" t="str">
            <v>consulta_externa</v>
          </cell>
          <cell r="J6117" t="str">
            <v>bueno</v>
          </cell>
          <cell r="K6117" t="str">
            <v>probsi</v>
          </cell>
        </row>
        <row r="6118">
          <cell r="B6118" t="b">
            <v>1</v>
          </cell>
          <cell r="E6118" t="str">
            <v>Boquilla</v>
          </cell>
          <cell r="H6118" t="str">
            <v>salud_oral</v>
          </cell>
          <cell r="J6118" t="str">
            <v>bueno</v>
          </cell>
          <cell r="K6118" t="str">
            <v>probsi</v>
          </cell>
        </row>
        <row r="6119">
          <cell r="B6119" t="b">
            <v>1</v>
          </cell>
          <cell r="E6119" t="str">
            <v>Boquilla</v>
          </cell>
          <cell r="H6119" t="str">
            <v>salud_oral</v>
          </cell>
          <cell r="J6119" t="str">
            <v>bueno</v>
          </cell>
          <cell r="K6119" t="str">
            <v>probsi</v>
          </cell>
        </row>
        <row r="6120">
          <cell r="B6120" t="b">
            <v>1</v>
          </cell>
          <cell r="E6120" t="str">
            <v>Boquilla</v>
          </cell>
          <cell r="H6120" t="str">
            <v>salud_oral</v>
          </cell>
          <cell r="J6120" t="str">
            <v>bueno</v>
          </cell>
          <cell r="K6120" t="str">
            <v>probsi</v>
          </cell>
        </row>
        <row r="6121">
          <cell r="B6121" t="b">
            <v>1</v>
          </cell>
          <cell r="E6121" t="str">
            <v>Boquilla</v>
          </cell>
          <cell r="H6121" t="str">
            <v>salud_oral</v>
          </cell>
          <cell r="J6121" t="str">
            <v>bueno</v>
          </cell>
          <cell r="K6121" t="str">
            <v>probsi</v>
          </cell>
        </row>
        <row r="6122">
          <cell r="B6122" t="b">
            <v>1</v>
          </cell>
          <cell r="E6122" t="str">
            <v>Boquilla</v>
          </cell>
          <cell r="H6122" t="str">
            <v>salud_oral</v>
          </cell>
          <cell r="J6122" t="str">
            <v>bueno</v>
          </cell>
          <cell r="K6122" t="str">
            <v>probsi</v>
          </cell>
        </row>
        <row r="6123">
          <cell r="B6123" t="b">
            <v>1</v>
          </cell>
          <cell r="E6123" t="str">
            <v>Boquilla</v>
          </cell>
          <cell r="H6123" t="str">
            <v>salud_oral</v>
          </cell>
          <cell r="J6123" t="str">
            <v>bueno</v>
          </cell>
          <cell r="K6123" t="str">
            <v>probsi</v>
          </cell>
        </row>
        <row r="6124">
          <cell r="B6124" t="b">
            <v>1</v>
          </cell>
          <cell r="E6124" t="str">
            <v>Boquilla</v>
          </cell>
          <cell r="H6124" t="str">
            <v>consulta_externa</v>
          </cell>
          <cell r="J6124" t="str">
            <v>bueno</v>
          </cell>
          <cell r="K6124" t="str">
            <v>probsi</v>
          </cell>
        </row>
        <row r="6125">
          <cell r="B6125" t="b">
            <v>1</v>
          </cell>
          <cell r="E6125" t="str">
            <v>Boquilla</v>
          </cell>
          <cell r="H6125" t="str">
            <v>consulta_externa</v>
          </cell>
          <cell r="J6125" t="str">
            <v>bueno</v>
          </cell>
          <cell r="K6125" t="str">
            <v>probsi</v>
          </cell>
        </row>
        <row r="6126">
          <cell r="B6126" t="b">
            <v>1</v>
          </cell>
          <cell r="E6126" t="str">
            <v>Boquilla</v>
          </cell>
          <cell r="H6126" t="str">
            <v>consulta_externa</v>
          </cell>
          <cell r="J6126" t="str">
            <v>bueno</v>
          </cell>
          <cell r="K6126" t="str">
            <v>probsi</v>
          </cell>
        </row>
        <row r="6127">
          <cell r="B6127" t="b">
            <v>1</v>
          </cell>
          <cell r="E6127" t="str">
            <v>Boquilla</v>
          </cell>
          <cell r="H6127" t="str">
            <v>consulta_externa</v>
          </cell>
          <cell r="J6127" t="str">
            <v>bueno</v>
          </cell>
          <cell r="K6127" t="str">
            <v>probsi</v>
          </cell>
        </row>
        <row r="6128">
          <cell r="B6128" t="b">
            <v>1</v>
          </cell>
          <cell r="E6128" t="str">
            <v>Boquilla</v>
          </cell>
          <cell r="H6128" t="str">
            <v>consulta_externa</v>
          </cell>
          <cell r="J6128" t="str">
            <v>bueno</v>
          </cell>
          <cell r="K6128" t="str">
            <v>probsi</v>
          </cell>
        </row>
        <row r="6129">
          <cell r="B6129" t="b">
            <v>1</v>
          </cell>
          <cell r="E6129" t="str">
            <v>Boquilla</v>
          </cell>
          <cell r="H6129" t="str">
            <v>consulta_externa</v>
          </cell>
          <cell r="J6129" t="str">
            <v>bueno</v>
          </cell>
          <cell r="K6129" t="str">
            <v>probsi</v>
          </cell>
        </row>
        <row r="6130">
          <cell r="B6130" t="b">
            <v>1</v>
          </cell>
          <cell r="E6130" t="str">
            <v>Boquilla</v>
          </cell>
          <cell r="H6130" t="str">
            <v>consulta_externa</v>
          </cell>
          <cell r="J6130" t="str">
            <v>bueno</v>
          </cell>
          <cell r="K6130" t="str">
            <v>probsi</v>
          </cell>
        </row>
        <row r="6131">
          <cell r="B6131" t="b">
            <v>1</v>
          </cell>
          <cell r="E6131" t="str">
            <v>Esperanza</v>
          </cell>
          <cell r="H6131" t="str">
            <v>consulta_externa</v>
          </cell>
          <cell r="J6131" t="str">
            <v>bueno</v>
          </cell>
          <cell r="K6131" t="str">
            <v>probsi</v>
          </cell>
        </row>
        <row r="6132">
          <cell r="B6132" t="b">
            <v>1</v>
          </cell>
          <cell r="E6132" t="str">
            <v>Esperanza</v>
          </cell>
          <cell r="H6132" t="str">
            <v>consulta_externa</v>
          </cell>
          <cell r="J6132" t="str">
            <v>bueno</v>
          </cell>
          <cell r="K6132" t="str">
            <v>probsi</v>
          </cell>
        </row>
        <row r="6133">
          <cell r="B6133" t="b">
            <v>1</v>
          </cell>
          <cell r="E6133" t="str">
            <v>Esperanza</v>
          </cell>
          <cell r="H6133" t="str">
            <v>consulta_externa</v>
          </cell>
          <cell r="J6133" t="str">
            <v>bueno</v>
          </cell>
          <cell r="K6133" t="str">
            <v>probsi</v>
          </cell>
        </row>
        <row r="6134">
          <cell r="B6134" t="b">
            <v>1</v>
          </cell>
          <cell r="E6134" t="str">
            <v>Esperanza</v>
          </cell>
          <cell r="H6134" t="str">
            <v>consulta_externa</v>
          </cell>
          <cell r="J6134" t="str">
            <v>bueno</v>
          </cell>
          <cell r="K6134" t="str">
            <v>probsi</v>
          </cell>
        </row>
        <row r="6135">
          <cell r="B6135" t="b">
            <v>1</v>
          </cell>
          <cell r="E6135" t="str">
            <v>Esperanza</v>
          </cell>
          <cell r="H6135" t="str">
            <v>consulta_externa</v>
          </cell>
          <cell r="J6135" t="str">
            <v>bueno</v>
          </cell>
          <cell r="K6135" t="str">
            <v>probsi</v>
          </cell>
        </row>
        <row r="6136">
          <cell r="B6136" t="b">
            <v>1</v>
          </cell>
          <cell r="E6136" t="str">
            <v>Esperanza</v>
          </cell>
          <cell r="H6136" t="str">
            <v>consulta_externa</v>
          </cell>
          <cell r="J6136" t="str">
            <v>bueno</v>
          </cell>
          <cell r="K6136" t="str">
            <v>probsi</v>
          </cell>
        </row>
        <row r="6137">
          <cell r="B6137" t="b">
            <v>1</v>
          </cell>
          <cell r="E6137" t="str">
            <v>Esperanza</v>
          </cell>
          <cell r="H6137" t="str">
            <v>consulta_externa</v>
          </cell>
          <cell r="J6137" t="str">
            <v>bueno</v>
          </cell>
          <cell r="K6137" t="str">
            <v>probsi</v>
          </cell>
        </row>
        <row r="6138">
          <cell r="B6138" t="b">
            <v>1</v>
          </cell>
          <cell r="E6138" t="str">
            <v>Esperanza</v>
          </cell>
          <cell r="H6138" t="str">
            <v>consulta_externa</v>
          </cell>
          <cell r="J6138" t="str">
            <v>bueno</v>
          </cell>
          <cell r="K6138" t="str">
            <v>probsi</v>
          </cell>
        </row>
        <row r="6139">
          <cell r="B6139" t="b">
            <v>1</v>
          </cell>
          <cell r="E6139" t="str">
            <v>Esperanza</v>
          </cell>
          <cell r="H6139" t="str">
            <v>consulta_externa</v>
          </cell>
          <cell r="J6139" t="str">
            <v>bueno</v>
          </cell>
          <cell r="K6139" t="str">
            <v>probsi</v>
          </cell>
        </row>
        <row r="6140">
          <cell r="B6140" t="b">
            <v>1</v>
          </cell>
          <cell r="E6140" t="str">
            <v>Esperanza</v>
          </cell>
          <cell r="H6140" t="str">
            <v>consulta_externa</v>
          </cell>
          <cell r="J6140" t="str">
            <v>bueno</v>
          </cell>
          <cell r="K6140" t="str">
            <v>probsi</v>
          </cell>
        </row>
        <row r="6141">
          <cell r="B6141" t="b">
            <v>1</v>
          </cell>
          <cell r="E6141" t="str">
            <v>Esperanza</v>
          </cell>
          <cell r="H6141" t="str">
            <v>consulta_externa</v>
          </cell>
          <cell r="J6141" t="str">
            <v>bueno</v>
          </cell>
          <cell r="K6141" t="str">
            <v>probsi</v>
          </cell>
        </row>
        <row r="6142">
          <cell r="B6142" t="b">
            <v>1</v>
          </cell>
          <cell r="E6142" t="str">
            <v>Esperanza</v>
          </cell>
          <cell r="H6142" t="str">
            <v>consulta_externa</v>
          </cell>
          <cell r="J6142" t="str">
            <v>bueno</v>
          </cell>
          <cell r="K6142" t="str">
            <v>probsi</v>
          </cell>
        </row>
        <row r="6143">
          <cell r="B6143" t="b">
            <v>1</v>
          </cell>
          <cell r="E6143" t="str">
            <v>Esperanza</v>
          </cell>
          <cell r="H6143" t="str">
            <v>consulta_externa</v>
          </cell>
          <cell r="J6143" t="str">
            <v>bueno</v>
          </cell>
          <cell r="K6143" t="str">
            <v>probsi</v>
          </cell>
        </row>
        <row r="6144">
          <cell r="B6144" t="b">
            <v>1</v>
          </cell>
          <cell r="E6144" t="str">
            <v>Esperanza</v>
          </cell>
          <cell r="H6144" t="str">
            <v>urgencia</v>
          </cell>
          <cell r="J6144" t="str">
            <v>bueno</v>
          </cell>
          <cell r="K6144" t="str">
            <v>probsi</v>
          </cell>
        </row>
        <row r="6145">
          <cell r="B6145" t="b">
            <v>1</v>
          </cell>
          <cell r="E6145" t="str">
            <v>Esperanza</v>
          </cell>
          <cell r="H6145" t="str">
            <v>urgencia</v>
          </cell>
          <cell r="J6145" t="str">
            <v>bueno</v>
          </cell>
          <cell r="K6145" t="str">
            <v>probsi</v>
          </cell>
        </row>
        <row r="6146">
          <cell r="B6146" t="b">
            <v>1</v>
          </cell>
          <cell r="E6146" t="str">
            <v>Esperanza</v>
          </cell>
          <cell r="H6146" t="str">
            <v>urgencia</v>
          </cell>
          <cell r="J6146" t="str">
            <v>bueno</v>
          </cell>
          <cell r="K6146" t="str">
            <v>probsi</v>
          </cell>
        </row>
        <row r="6147">
          <cell r="B6147" t="b">
            <v>1</v>
          </cell>
          <cell r="E6147" t="str">
            <v>Esperanza</v>
          </cell>
          <cell r="H6147" t="str">
            <v>urgencia</v>
          </cell>
          <cell r="J6147" t="str">
            <v>bueno</v>
          </cell>
          <cell r="K6147" t="str">
            <v>probsi</v>
          </cell>
        </row>
        <row r="6148">
          <cell r="B6148" t="b">
            <v>1</v>
          </cell>
          <cell r="E6148" t="str">
            <v>Esperanza</v>
          </cell>
          <cell r="H6148" t="str">
            <v>urgencia</v>
          </cell>
          <cell r="J6148" t="str">
            <v>bueno</v>
          </cell>
          <cell r="K6148" t="str">
            <v>probsi</v>
          </cell>
        </row>
        <row r="6149">
          <cell r="B6149" t="b">
            <v>1</v>
          </cell>
          <cell r="E6149" t="str">
            <v>Arroyo Grande</v>
          </cell>
          <cell r="H6149" t="str">
            <v>salud_oral</v>
          </cell>
          <cell r="J6149" t="str">
            <v>bueno</v>
          </cell>
          <cell r="K6149" t="str">
            <v>defsi</v>
          </cell>
        </row>
        <row r="6150">
          <cell r="B6150" t="b">
            <v>1</v>
          </cell>
          <cell r="E6150" t="str">
            <v>Arroyo Grande</v>
          </cell>
          <cell r="H6150" t="str">
            <v>salud_oral</v>
          </cell>
          <cell r="J6150" t="str">
            <v>bueno</v>
          </cell>
          <cell r="K6150" t="str">
            <v>defsi</v>
          </cell>
        </row>
        <row r="6151">
          <cell r="B6151" t="b">
            <v>1</v>
          </cell>
          <cell r="E6151" t="str">
            <v>Arroyo Grande</v>
          </cell>
          <cell r="H6151" t="str">
            <v>salud_oral</v>
          </cell>
          <cell r="J6151" t="str">
            <v>bueno</v>
          </cell>
          <cell r="K6151" t="str">
            <v>defsi</v>
          </cell>
        </row>
        <row r="6152">
          <cell r="B6152" t="b">
            <v>1</v>
          </cell>
          <cell r="E6152" t="str">
            <v>Arroyo Grande</v>
          </cell>
          <cell r="H6152" t="str">
            <v>salud_oral</v>
          </cell>
          <cell r="J6152" t="str">
            <v>bueno</v>
          </cell>
          <cell r="K6152" t="str">
            <v>defsi</v>
          </cell>
        </row>
        <row r="6153">
          <cell r="B6153" t="b">
            <v>1</v>
          </cell>
          <cell r="E6153" t="str">
            <v>Esperanza</v>
          </cell>
          <cell r="H6153" t="str">
            <v>consulta_externa</v>
          </cell>
          <cell r="J6153" t="str">
            <v>bueno</v>
          </cell>
          <cell r="K6153" t="str">
            <v>probsi</v>
          </cell>
        </row>
        <row r="6154">
          <cell r="B6154" t="b">
            <v>1</v>
          </cell>
          <cell r="E6154" t="str">
            <v>Esperanza</v>
          </cell>
          <cell r="H6154" t="str">
            <v>consulta_externa</v>
          </cell>
          <cell r="J6154" t="str">
            <v>bueno</v>
          </cell>
          <cell r="K6154" t="str">
            <v>probsi</v>
          </cell>
        </row>
        <row r="6155">
          <cell r="B6155" t="b">
            <v>1</v>
          </cell>
          <cell r="E6155" t="str">
            <v>Esperanza</v>
          </cell>
          <cell r="H6155" t="str">
            <v>consulta_externa</v>
          </cell>
          <cell r="J6155" t="str">
            <v>bueno</v>
          </cell>
          <cell r="K6155" t="str">
            <v>probsi</v>
          </cell>
        </row>
        <row r="6156">
          <cell r="B6156" t="b">
            <v>1</v>
          </cell>
          <cell r="E6156" t="str">
            <v>Esperanza</v>
          </cell>
          <cell r="H6156" t="str">
            <v>consulta_externa</v>
          </cell>
          <cell r="J6156" t="str">
            <v>bueno</v>
          </cell>
          <cell r="K6156" t="str">
            <v>probsi</v>
          </cell>
        </row>
        <row r="6157">
          <cell r="B6157" t="b">
            <v>1</v>
          </cell>
          <cell r="E6157" t="str">
            <v>Esperanza</v>
          </cell>
          <cell r="H6157" t="str">
            <v>consulta_externa</v>
          </cell>
          <cell r="J6157" t="str">
            <v>bueno</v>
          </cell>
          <cell r="K6157" t="str">
            <v>probsi</v>
          </cell>
        </row>
        <row r="6158">
          <cell r="B6158" t="b">
            <v>1</v>
          </cell>
          <cell r="E6158" t="str">
            <v>Esperanza</v>
          </cell>
          <cell r="H6158" t="str">
            <v>laboratorio</v>
          </cell>
          <cell r="J6158" t="str">
            <v>bueno</v>
          </cell>
          <cell r="K6158" t="str">
            <v>probsi</v>
          </cell>
        </row>
        <row r="6159">
          <cell r="B6159" t="b">
            <v>1</v>
          </cell>
          <cell r="E6159" t="str">
            <v>Esperanza</v>
          </cell>
          <cell r="H6159" t="str">
            <v>laboratorio</v>
          </cell>
          <cell r="J6159" t="str">
            <v>bueno</v>
          </cell>
          <cell r="K6159" t="str">
            <v>probsi</v>
          </cell>
        </row>
        <row r="6160">
          <cell r="B6160" t="b">
            <v>1</v>
          </cell>
          <cell r="E6160" t="str">
            <v>Esperanza</v>
          </cell>
          <cell r="H6160" t="str">
            <v>laboratorio</v>
          </cell>
          <cell r="J6160" t="str">
            <v>bueno</v>
          </cell>
          <cell r="K6160" t="str">
            <v>probsi</v>
          </cell>
        </row>
        <row r="6161">
          <cell r="B6161" t="b">
            <v>1</v>
          </cell>
          <cell r="E6161" t="str">
            <v>Esperanza</v>
          </cell>
          <cell r="H6161" t="str">
            <v>laboratorio</v>
          </cell>
          <cell r="J6161" t="str">
            <v>bueno</v>
          </cell>
          <cell r="K6161" t="str">
            <v>probsi</v>
          </cell>
        </row>
        <row r="6162">
          <cell r="B6162" t="b">
            <v>1</v>
          </cell>
          <cell r="E6162" t="str">
            <v>Esperanza</v>
          </cell>
          <cell r="H6162" t="str">
            <v>salud_oral</v>
          </cell>
          <cell r="J6162" t="str">
            <v>bueno</v>
          </cell>
          <cell r="K6162" t="str">
            <v>probsi</v>
          </cell>
        </row>
        <row r="6163">
          <cell r="B6163" t="b">
            <v>1</v>
          </cell>
          <cell r="E6163" t="str">
            <v>Bocachica</v>
          </cell>
          <cell r="H6163" t="str">
            <v>consulta_externa</v>
          </cell>
          <cell r="J6163" t="str">
            <v>muybueno</v>
          </cell>
          <cell r="K6163" t="str">
            <v>probsi</v>
          </cell>
        </row>
        <row r="6164">
          <cell r="B6164" t="b">
            <v>1</v>
          </cell>
          <cell r="E6164" t="str">
            <v>Bocachica</v>
          </cell>
          <cell r="H6164" t="str">
            <v>consulta_externa</v>
          </cell>
          <cell r="J6164" t="str">
            <v>muybueno</v>
          </cell>
          <cell r="K6164" t="str">
            <v>probsi</v>
          </cell>
        </row>
        <row r="6165">
          <cell r="B6165" t="b">
            <v>1</v>
          </cell>
          <cell r="E6165" t="str">
            <v>Bocachica</v>
          </cell>
          <cell r="H6165" t="str">
            <v>consulta_externa</v>
          </cell>
          <cell r="J6165" t="str">
            <v>muybueno</v>
          </cell>
          <cell r="K6165" t="str">
            <v>probsi</v>
          </cell>
        </row>
        <row r="6166">
          <cell r="B6166" t="b">
            <v>1</v>
          </cell>
          <cell r="E6166" t="str">
            <v>Bocachica</v>
          </cell>
          <cell r="H6166" t="str">
            <v>consulta_externa</v>
          </cell>
          <cell r="J6166" t="str">
            <v>muybueno</v>
          </cell>
          <cell r="K6166" t="str">
            <v>probsi</v>
          </cell>
        </row>
        <row r="6167">
          <cell r="B6167" t="b">
            <v>1</v>
          </cell>
          <cell r="E6167" t="str">
            <v>Bocachica</v>
          </cell>
          <cell r="H6167" t="str">
            <v>consulta_externa</v>
          </cell>
          <cell r="J6167" t="str">
            <v>muybueno</v>
          </cell>
          <cell r="K6167" t="str">
            <v>probsi</v>
          </cell>
        </row>
        <row r="6168">
          <cell r="B6168" t="b">
            <v>1</v>
          </cell>
          <cell r="E6168" t="str">
            <v>Bocachica</v>
          </cell>
          <cell r="H6168" t="str">
            <v>consulta_externa</v>
          </cell>
          <cell r="J6168" t="str">
            <v>muybueno</v>
          </cell>
          <cell r="K6168" t="str">
            <v>probsi</v>
          </cell>
        </row>
        <row r="6169">
          <cell r="B6169" t="b">
            <v>1</v>
          </cell>
          <cell r="E6169" t="str">
            <v>Bocachica</v>
          </cell>
          <cell r="H6169" t="str">
            <v>consulta_externa</v>
          </cell>
          <cell r="J6169" t="str">
            <v>muybueno</v>
          </cell>
          <cell r="K6169" t="str">
            <v>probsi</v>
          </cell>
        </row>
        <row r="6170">
          <cell r="B6170" t="b">
            <v>1</v>
          </cell>
          <cell r="E6170" t="str">
            <v>Bocachica</v>
          </cell>
          <cell r="H6170" t="str">
            <v>consulta_externa</v>
          </cell>
          <cell r="J6170" t="str">
            <v>muybueno</v>
          </cell>
          <cell r="K6170" t="str">
            <v>probsi</v>
          </cell>
        </row>
        <row r="6171">
          <cell r="B6171" t="b">
            <v>1</v>
          </cell>
          <cell r="E6171" t="str">
            <v>Bocachica</v>
          </cell>
          <cell r="H6171" t="str">
            <v>consulta_externa</v>
          </cell>
          <cell r="J6171" t="str">
            <v>muybueno</v>
          </cell>
          <cell r="K6171" t="str">
            <v>probsi</v>
          </cell>
        </row>
        <row r="6172">
          <cell r="B6172" t="b">
            <v>1</v>
          </cell>
          <cell r="E6172" t="str">
            <v>Bocachica</v>
          </cell>
          <cell r="H6172" t="str">
            <v>consulta_externa</v>
          </cell>
          <cell r="J6172" t="str">
            <v>muybueno</v>
          </cell>
          <cell r="K6172" t="str">
            <v>probsi</v>
          </cell>
        </row>
        <row r="6173">
          <cell r="B6173" t="b">
            <v>1</v>
          </cell>
          <cell r="E6173" t="str">
            <v>Bocachica</v>
          </cell>
          <cell r="H6173" t="str">
            <v>consulta_externa</v>
          </cell>
          <cell r="J6173" t="str">
            <v>muybueno</v>
          </cell>
          <cell r="K6173" t="str">
            <v>probsi</v>
          </cell>
        </row>
        <row r="6174">
          <cell r="B6174" t="b">
            <v>1</v>
          </cell>
          <cell r="E6174" t="str">
            <v>Bocachica</v>
          </cell>
          <cell r="H6174" t="str">
            <v>laboratorio</v>
          </cell>
          <cell r="J6174" t="str">
            <v>muybueno</v>
          </cell>
          <cell r="K6174" t="str">
            <v>probsi</v>
          </cell>
        </row>
        <row r="6175">
          <cell r="B6175" t="b">
            <v>1</v>
          </cell>
          <cell r="E6175" t="str">
            <v>Bocachica</v>
          </cell>
          <cell r="H6175" t="str">
            <v>laboratorio</v>
          </cell>
          <cell r="J6175" t="str">
            <v>muybueno</v>
          </cell>
          <cell r="K6175" t="str">
            <v>probsi</v>
          </cell>
        </row>
        <row r="6176">
          <cell r="B6176" t="b">
            <v>1</v>
          </cell>
          <cell r="E6176" t="str">
            <v>Bocachica</v>
          </cell>
          <cell r="H6176" t="str">
            <v>laboratorio</v>
          </cell>
          <cell r="J6176" t="str">
            <v>muybueno</v>
          </cell>
          <cell r="K6176" t="str">
            <v>probsi</v>
          </cell>
        </row>
        <row r="6177">
          <cell r="B6177" t="b">
            <v>1</v>
          </cell>
          <cell r="E6177" t="str">
            <v>Arroyo Grande</v>
          </cell>
          <cell r="H6177" t="str">
            <v>laboratorio</v>
          </cell>
          <cell r="J6177" t="str">
            <v>bueno</v>
          </cell>
          <cell r="K6177" t="str">
            <v>defsi</v>
          </cell>
        </row>
        <row r="6178">
          <cell r="B6178" t="b">
            <v>1</v>
          </cell>
          <cell r="E6178" t="str">
            <v>Arroyo Grande</v>
          </cell>
          <cell r="H6178" t="str">
            <v>laboratorio</v>
          </cell>
          <cell r="J6178" t="str">
            <v>bueno</v>
          </cell>
          <cell r="K6178" t="str">
            <v>defsi</v>
          </cell>
        </row>
        <row r="6179">
          <cell r="B6179" t="b">
            <v>1</v>
          </cell>
          <cell r="E6179" t="str">
            <v>Arroyo Grande</v>
          </cell>
          <cell r="H6179" t="str">
            <v>laboratorio</v>
          </cell>
          <cell r="J6179" t="str">
            <v>bueno</v>
          </cell>
          <cell r="K6179" t="str">
            <v>defsi</v>
          </cell>
        </row>
        <row r="6180">
          <cell r="B6180" t="b">
            <v>1</v>
          </cell>
          <cell r="E6180" t="str">
            <v>Arroyo Grande</v>
          </cell>
          <cell r="H6180" t="str">
            <v>consulta_externa</v>
          </cell>
          <cell r="J6180" t="str">
            <v>bueno</v>
          </cell>
          <cell r="K6180" t="str">
            <v>defsi</v>
          </cell>
        </row>
        <row r="6181">
          <cell r="B6181" t="b">
            <v>1</v>
          </cell>
          <cell r="E6181" t="str">
            <v>Arroyo Grande</v>
          </cell>
          <cell r="H6181" t="str">
            <v>consulta_externa</v>
          </cell>
          <cell r="J6181" t="str">
            <v>bueno</v>
          </cell>
          <cell r="K6181" t="str">
            <v>defsi</v>
          </cell>
        </row>
        <row r="6182">
          <cell r="B6182" t="b">
            <v>1</v>
          </cell>
          <cell r="E6182" t="str">
            <v>Arroyo Grande</v>
          </cell>
          <cell r="H6182" t="str">
            <v>laboratorio</v>
          </cell>
          <cell r="J6182" t="str">
            <v>bueno</v>
          </cell>
          <cell r="K6182" t="str">
            <v>defsi</v>
          </cell>
        </row>
        <row r="6183">
          <cell r="B6183" t="b">
            <v>1</v>
          </cell>
          <cell r="E6183" t="str">
            <v>Esperanza</v>
          </cell>
          <cell r="H6183" t="str">
            <v>consulta_externa</v>
          </cell>
          <cell r="J6183" t="str">
            <v>bueno</v>
          </cell>
          <cell r="K6183" t="str">
            <v>probsi</v>
          </cell>
        </row>
        <row r="6184">
          <cell r="B6184" t="b">
            <v>1</v>
          </cell>
          <cell r="E6184" t="str">
            <v>Esperanza</v>
          </cell>
          <cell r="H6184" t="str">
            <v>consulta_externa</v>
          </cell>
          <cell r="J6184" t="str">
            <v>bueno</v>
          </cell>
          <cell r="K6184" t="str">
            <v>probsi</v>
          </cell>
        </row>
        <row r="6185">
          <cell r="B6185" t="b">
            <v>1</v>
          </cell>
          <cell r="E6185" t="str">
            <v>Arroyo Grande</v>
          </cell>
          <cell r="H6185" t="str">
            <v>consulta_externa</v>
          </cell>
          <cell r="J6185" t="str">
            <v>bueno</v>
          </cell>
          <cell r="K6185" t="str">
            <v>defsi</v>
          </cell>
        </row>
        <row r="6186">
          <cell r="B6186" t="b">
            <v>1</v>
          </cell>
          <cell r="E6186" t="str">
            <v>Esperanza</v>
          </cell>
          <cell r="H6186" t="str">
            <v>consulta_externa</v>
          </cell>
          <cell r="J6186" t="str">
            <v>bueno</v>
          </cell>
          <cell r="K6186" t="str">
            <v>probsi</v>
          </cell>
        </row>
        <row r="6187">
          <cell r="B6187" t="b">
            <v>1</v>
          </cell>
          <cell r="E6187" t="str">
            <v>Arroyo Grande</v>
          </cell>
          <cell r="H6187" t="str">
            <v>salud_oral</v>
          </cell>
          <cell r="J6187" t="str">
            <v>bueno</v>
          </cell>
          <cell r="K6187" t="str">
            <v>defsi</v>
          </cell>
        </row>
        <row r="6188">
          <cell r="B6188" t="b">
            <v>1</v>
          </cell>
          <cell r="E6188" t="str">
            <v>Arroyo Grande</v>
          </cell>
          <cell r="H6188" t="str">
            <v>salud_oral</v>
          </cell>
          <cell r="J6188" t="str">
            <v>bueno</v>
          </cell>
          <cell r="K6188" t="str">
            <v>defsi</v>
          </cell>
        </row>
        <row r="6189">
          <cell r="B6189" t="b">
            <v>1</v>
          </cell>
          <cell r="E6189" t="str">
            <v>Bocachica</v>
          </cell>
          <cell r="H6189" t="str">
            <v>consulta_externa</v>
          </cell>
          <cell r="J6189" t="str">
            <v>bueno</v>
          </cell>
          <cell r="K6189" t="str">
            <v>probsi</v>
          </cell>
        </row>
        <row r="6190">
          <cell r="B6190" t="b">
            <v>1</v>
          </cell>
          <cell r="E6190" t="str">
            <v>Bocachica</v>
          </cell>
          <cell r="H6190" t="str">
            <v>consulta_externa</v>
          </cell>
          <cell r="J6190" t="str">
            <v>bueno</v>
          </cell>
          <cell r="K6190" t="str">
            <v>probsi</v>
          </cell>
        </row>
        <row r="6191">
          <cell r="B6191" t="b">
            <v>1</v>
          </cell>
          <cell r="E6191" t="str">
            <v>Bocachica</v>
          </cell>
          <cell r="H6191" t="str">
            <v>consulta_externa</v>
          </cell>
          <cell r="J6191" t="str">
            <v>bueno</v>
          </cell>
          <cell r="K6191" t="str">
            <v>probsi</v>
          </cell>
        </row>
        <row r="6192">
          <cell r="B6192" t="b">
            <v>1</v>
          </cell>
          <cell r="E6192" t="str">
            <v>Bocachica</v>
          </cell>
          <cell r="H6192" t="str">
            <v>consulta_externa</v>
          </cell>
          <cell r="J6192" t="str">
            <v>bueno</v>
          </cell>
          <cell r="K6192" t="str">
            <v>probsi</v>
          </cell>
        </row>
        <row r="6193">
          <cell r="B6193" t="b">
            <v>1</v>
          </cell>
          <cell r="E6193" t="str">
            <v>Bocachica</v>
          </cell>
          <cell r="H6193" t="str">
            <v>consulta_externa</v>
          </cell>
          <cell r="J6193" t="str">
            <v>bueno</v>
          </cell>
          <cell r="K6193" t="str">
            <v>probsi</v>
          </cell>
        </row>
        <row r="6194">
          <cell r="B6194" t="b">
            <v>1</v>
          </cell>
          <cell r="E6194" t="str">
            <v>Bocachica</v>
          </cell>
          <cell r="H6194" t="str">
            <v>consulta_externa</v>
          </cell>
          <cell r="J6194" t="str">
            <v>bueno</v>
          </cell>
          <cell r="K6194" t="str">
            <v>probsi</v>
          </cell>
        </row>
        <row r="6195">
          <cell r="B6195" t="b">
            <v>1</v>
          </cell>
          <cell r="E6195" t="str">
            <v>Bocachica</v>
          </cell>
          <cell r="H6195" t="str">
            <v>consulta_externa</v>
          </cell>
          <cell r="J6195" t="str">
            <v>bueno</v>
          </cell>
          <cell r="K6195" t="str">
            <v>probsi</v>
          </cell>
        </row>
        <row r="6196">
          <cell r="B6196" t="b">
            <v>1</v>
          </cell>
          <cell r="E6196" t="str">
            <v>Bocachica</v>
          </cell>
          <cell r="H6196" t="str">
            <v>consulta_externa</v>
          </cell>
          <cell r="J6196" t="str">
            <v>bueno</v>
          </cell>
          <cell r="K6196" t="str">
            <v>probsi</v>
          </cell>
        </row>
        <row r="6197">
          <cell r="B6197" t="b">
            <v>1</v>
          </cell>
          <cell r="E6197" t="str">
            <v>Bocachica</v>
          </cell>
          <cell r="H6197" t="str">
            <v>consulta_externa</v>
          </cell>
          <cell r="J6197" t="str">
            <v>bueno</v>
          </cell>
          <cell r="K6197" t="str">
            <v>probsi</v>
          </cell>
        </row>
        <row r="6198">
          <cell r="B6198" t="b">
            <v>1</v>
          </cell>
          <cell r="E6198" t="str">
            <v>Bocachica</v>
          </cell>
          <cell r="H6198" t="str">
            <v>consulta_externa</v>
          </cell>
          <cell r="J6198" t="str">
            <v>bueno</v>
          </cell>
          <cell r="K6198" t="str">
            <v>probsi</v>
          </cell>
        </row>
        <row r="6199">
          <cell r="B6199" t="b">
            <v>1</v>
          </cell>
          <cell r="E6199" t="str">
            <v>Arroyo Grande</v>
          </cell>
          <cell r="H6199" t="str">
            <v>salud_oral</v>
          </cell>
          <cell r="J6199" t="str">
            <v>bueno</v>
          </cell>
          <cell r="K6199" t="str">
            <v>defsi</v>
          </cell>
        </row>
        <row r="6200">
          <cell r="B6200" t="b">
            <v>1</v>
          </cell>
          <cell r="E6200" t="str">
            <v>Bocachica</v>
          </cell>
          <cell r="H6200" t="str">
            <v>consulta_externa</v>
          </cell>
          <cell r="J6200" t="str">
            <v>bueno</v>
          </cell>
          <cell r="K6200" t="str">
            <v>probsi</v>
          </cell>
        </row>
        <row r="6201">
          <cell r="B6201" t="b">
            <v>1</v>
          </cell>
          <cell r="E6201" t="str">
            <v>Bocachica</v>
          </cell>
          <cell r="H6201" t="str">
            <v>consulta_externa</v>
          </cell>
          <cell r="J6201" t="str">
            <v>bueno</v>
          </cell>
          <cell r="K6201" t="str">
            <v>probsi</v>
          </cell>
        </row>
        <row r="6202">
          <cell r="B6202" t="b">
            <v>1</v>
          </cell>
          <cell r="E6202" t="str">
            <v>Bocachica</v>
          </cell>
          <cell r="H6202" t="str">
            <v>consulta_externa</v>
          </cell>
          <cell r="J6202" t="str">
            <v>bueno</v>
          </cell>
          <cell r="K6202" t="str">
            <v>probsi</v>
          </cell>
        </row>
        <row r="6203">
          <cell r="B6203" t="b">
            <v>1</v>
          </cell>
          <cell r="E6203" t="str">
            <v>Bocachica</v>
          </cell>
          <cell r="H6203" t="str">
            <v>laboratorio</v>
          </cell>
          <cell r="J6203" t="str">
            <v>bueno</v>
          </cell>
          <cell r="K6203" t="str">
            <v>probsi</v>
          </cell>
        </row>
        <row r="6204">
          <cell r="B6204" t="b">
            <v>1</v>
          </cell>
          <cell r="E6204" t="str">
            <v>Bocachica</v>
          </cell>
          <cell r="H6204" t="str">
            <v>laboratorio</v>
          </cell>
          <cell r="J6204" t="str">
            <v>bueno</v>
          </cell>
          <cell r="K6204" t="str">
            <v>probsi</v>
          </cell>
        </row>
        <row r="6205">
          <cell r="B6205" t="b">
            <v>1</v>
          </cell>
          <cell r="E6205" t="str">
            <v>Bocachica</v>
          </cell>
          <cell r="H6205" t="str">
            <v>laboratorio</v>
          </cell>
          <cell r="J6205" t="str">
            <v>bueno</v>
          </cell>
          <cell r="K6205" t="str">
            <v>probsi</v>
          </cell>
        </row>
        <row r="6206">
          <cell r="B6206" t="b">
            <v>1</v>
          </cell>
          <cell r="E6206" t="str">
            <v>Arroyo Grande</v>
          </cell>
          <cell r="H6206" t="str">
            <v>consulta_externa</v>
          </cell>
          <cell r="J6206" t="str">
            <v>bueno</v>
          </cell>
          <cell r="K6206" t="str">
            <v>defsi</v>
          </cell>
        </row>
        <row r="6207">
          <cell r="B6207" t="b">
            <v>1</v>
          </cell>
          <cell r="E6207" t="str">
            <v>Bocachica</v>
          </cell>
          <cell r="H6207" t="str">
            <v>laboratorio</v>
          </cell>
          <cell r="J6207" t="str">
            <v>bueno</v>
          </cell>
          <cell r="K6207" t="str">
            <v>probsi</v>
          </cell>
        </row>
        <row r="6208">
          <cell r="B6208" t="b">
            <v>1</v>
          </cell>
          <cell r="E6208" t="str">
            <v>Bocachica</v>
          </cell>
          <cell r="H6208" t="str">
            <v>laboratorio</v>
          </cell>
          <cell r="J6208" t="str">
            <v>bueno</v>
          </cell>
          <cell r="K6208" t="str">
            <v>probsi</v>
          </cell>
        </row>
        <row r="6209">
          <cell r="B6209" t="b">
            <v>1</v>
          </cell>
          <cell r="E6209" t="str">
            <v>Arroyo Grande</v>
          </cell>
          <cell r="H6209" t="str">
            <v>laboratorio</v>
          </cell>
          <cell r="J6209" t="str">
            <v>bueno</v>
          </cell>
          <cell r="K6209" t="str">
            <v>defsi</v>
          </cell>
        </row>
        <row r="6210">
          <cell r="B6210" t="b">
            <v>1</v>
          </cell>
          <cell r="E6210" t="str">
            <v>Arroyo Grande</v>
          </cell>
          <cell r="H6210" t="str">
            <v>laboratorio</v>
          </cell>
          <cell r="J6210" t="str">
            <v>bueno</v>
          </cell>
          <cell r="K6210" t="str">
            <v>defsi</v>
          </cell>
        </row>
        <row r="6211">
          <cell r="B6211" t="b">
            <v>1</v>
          </cell>
          <cell r="E6211" t="str">
            <v>Arroyo Grande</v>
          </cell>
          <cell r="H6211" t="str">
            <v>consulta_externa</v>
          </cell>
          <cell r="J6211" t="str">
            <v>bueno</v>
          </cell>
          <cell r="K6211" t="str">
            <v>defsi</v>
          </cell>
        </row>
        <row r="6212">
          <cell r="B6212" t="b">
            <v>1</v>
          </cell>
          <cell r="E6212" t="str">
            <v>Arroyo Grande</v>
          </cell>
          <cell r="H6212" t="str">
            <v>consulta_externa</v>
          </cell>
          <cell r="J6212" t="str">
            <v>bueno</v>
          </cell>
          <cell r="K6212" t="str">
            <v>defsi</v>
          </cell>
        </row>
        <row r="6213">
          <cell r="B6213" t="b">
            <v>1</v>
          </cell>
          <cell r="E6213" t="str">
            <v>Arroyo Grande</v>
          </cell>
          <cell r="H6213" t="str">
            <v>salud_oral</v>
          </cell>
          <cell r="J6213" t="str">
            <v>bueno</v>
          </cell>
          <cell r="K6213" t="str">
            <v>defsi</v>
          </cell>
        </row>
        <row r="6214">
          <cell r="B6214" t="b">
            <v>1</v>
          </cell>
          <cell r="E6214" t="str">
            <v>Arroyo Grande</v>
          </cell>
          <cell r="H6214" t="str">
            <v>consulta_externa</v>
          </cell>
          <cell r="J6214" t="str">
            <v>bueno</v>
          </cell>
          <cell r="K6214" t="str">
            <v>defsi</v>
          </cell>
        </row>
        <row r="6215">
          <cell r="B6215" t="b">
            <v>1</v>
          </cell>
          <cell r="E6215" t="str">
            <v>Arroyo Grande</v>
          </cell>
          <cell r="H6215" t="str">
            <v>laboratorio</v>
          </cell>
          <cell r="J6215" t="str">
            <v>bueno</v>
          </cell>
          <cell r="K6215" t="str">
            <v>defsi</v>
          </cell>
        </row>
        <row r="6216">
          <cell r="B6216" t="b">
            <v>1</v>
          </cell>
          <cell r="E6216" t="str">
            <v>Arroyo Grande</v>
          </cell>
          <cell r="H6216" t="str">
            <v>salud_oral</v>
          </cell>
          <cell r="J6216" t="str">
            <v>bueno</v>
          </cell>
          <cell r="K6216" t="str">
            <v>defsi</v>
          </cell>
        </row>
        <row r="6217">
          <cell r="B6217" t="b">
            <v>1</v>
          </cell>
          <cell r="E6217" t="str">
            <v>Arroyo Grande</v>
          </cell>
          <cell r="H6217" t="str">
            <v>salud_oral</v>
          </cell>
          <cell r="J6217" t="str">
            <v>bueno</v>
          </cell>
          <cell r="K6217" t="str">
            <v>defsi</v>
          </cell>
        </row>
        <row r="6218">
          <cell r="B6218" t="b">
            <v>1</v>
          </cell>
          <cell r="E6218" t="str">
            <v>Arroyo Grande</v>
          </cell>
          <cell r="H6218" t="str">
            <v>consulta_externa</v>
          </cell>
          <cell r="J6218" t="str">
            <v>bueno</v>
          </cell>
          <cell r="K6218" t="str">
            <v>defsi</v>
          </cell>
        </row>
        <row r="6219">
          <cell r="B6219" t="b">
            <v>1</v>
          </cell>
          <cell r="E6219" t="str">
            <v>Arroyo Grande</v>
          </cell>
          <cell r="H6219" t="str">
            <v>salud_oral</v>
          </cell>
          <cell r="J6219" t="str">
            <v>bueno</v>
          </cell>
          <cell r="K6219" t="str">
            <v>defsi</v>
          </cell>
        </row>
        <row r="6220">
          <cell r="B6220" t="b">
            <v>1</v>
          </cell>
          <cell r="E6220" t="str">
            <v>Arroyo Grande</v>
          </cell>
          <cell r="H6220" t="str">
            <v>laboratorio</v>
          </cell>
          <cell r="J6220" t="str">
            <v>bueno</v>
          </cell>
          <cell r="K6220" t="str">
            <v>defsi</v>
          </cell>
        </row>
        <row r="6221">
          <cell r="B6221" t="b">
            <v>1</v>
          </cell>
          <cell r="E6221" t="str">
            <v>Arroyo Grande</v>
          </cell>
          <cell r="H6221" t="str">
            <v>consulta_externa</v>
          </cell>
          <cell r="J6221" t="str">
            <v>bueno</v>
          </cell>
          <cell r="K6221" t="str">
            <v>defsi</v>
          </cell>
        </row>
        <row r="6222">
          <cell r="B6222" t="b">
            <v>1</v>
          </cell>
          <cell r="E6222" t="str">
            <v>Arroyo Grande</v>
          </cell>
          <cell r="H6222" t="str">
            <v>consulta_externa</v>
          </cell>
          <cell r="J6222" t="str">
            <v>bueno</v>
          </cell>
          <cell r="K6222" t="str">
            <v>defsi</v>
          </cell>
        </row>
        <row r="6223">
          <cell r="B6223" t="b">
            <v>1</v>
          </cell>
          <cell r="E6223" t="str">
            <v>Arroyo Grande</v>
          </cell>
          <cell r="H6223" t="str">
            <v>laboratorio</v>
          </cell>
          <cell r="J6223" t="str">
            <v>bueno</v>
          </cell>
          <cell r="K6223" t="str">
            <v>defsi</v>
          </cell>
        </row>
        <row r="6224">
          <cell r="B6224" t="b">
            <v>1</v>
          </cell>
          <cell r="E6224" t="str">
            <v>Arroyo Grande</v>
          </cell>
          <cell r="H6224" t="str">
            <v>laboratorio</v>
          </cell>
          <cell r="J6224" t="str">
            <v>bueno</v>
          </cell>
          <cell r="K6224" t="str">
            <v>defsi</v>
          </cell>
        </row>
        <row r="6225">
          <cell r="B6225" t="b">
            <v>0</v>
          </cell>
          <cell r="E6225" t="str">
            <v>Arroyo Grande</v>
          </cell>
          <cell r="H6225" t="str">
            <v>laboratorio</v>
          </cell>
          <cell r="J6225" t="str">
            <v>regular</v>
          </cell>
          <cell r="K6225" t="str">
            <v>defsi</v>
          </cell>
        </row>
        <row r="6226">
          <cell r="B6226" t="b">
            <v>0</v>
          </cell>
          <cell r="E6226" t="str">
            <v>Arroyo Grande</v>
          </cell>
          <cell r="H6226" t="str">
            <v>consulta_externa</v>
          </cell>
          <cell r="J6226" t="str">
            <v>regular</v>
          </cell>
          <cell r="K6226" t="str">
            <v>defsi</v>
          </cell>
        </row>
        <row r="6227">
          <cell r="B6227" t="b">
            <v>0</v>
          </cell>
          <cell r="E6227" t="str">
            <v>Arroyo Grande</v>
          </cell>
          <cell r="H6227" t="str">
            <v>salud_oral</v>
          </cell>
          <cell r="J6227" t="str">
            <v>regular</v>
          </cell>
          <cell r="K6227" t="str">
            <v>defsi</v>
          </cell>
        </row>
        <row r="6228">
          <cell r="B6228" t="b">
            <v>1</v>
          </cell>
          <cell r="E6228" t="str">
            <v>Arroyo Grande</v>
          </cell>
          <cell r="H6228" t="str">
            <v>laboratorio</v>
          </cell>
          <cell r="J6228" t="str">
            <v>bueno</v>
          </cell>
          <cell r="K6228" t="str">
            <v>defsi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atisfaccionServicio"/>
      <sheetName val="SatisfaccionEPS"/>
      <sheetName val="N. GLOBAL"/>
      <sheetName val="RECOMENDARIA IPS"/>
      <sheetName val="INF DEBERES Y D"/>
      <sheetName val="DEBERES Y DERECHOS"/>
      <sheetName val="InfCualitativ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J1" t="str">
            <v>COMO CALIFICARIA SU SATISFACCION CON RESPECTO A LOS SERVICIOS RECIBIDOS DE LA INSTITUCIÓN</v>
          </cell>
          <cell r="K1" t="str">
            <v>RECOMENDARIA A SUS FAMILIARES Y AMIGOS LA ESE HLCI</v>
          </cell>
        </row>
        <row r="3">
          <cell r="B3" t="str">
            <v>puntaje</v>
          </cell>
          <cell r="E3" t="str">
            <v>centrosalud</v>
          </cell>
          <cell r="H3" t="str">
            <v>servicio</v>
          </cell>
          <cell r="J3" t="str">
            <v>pregunta1</v>
          </cell>
          <cell r="K3" t="str">
            <v>pregunta2</v>
          </cell>
        </row>
        <row r="4">
          <cell r="B4" t="b">
            <v>1</v>
          </cell>
          <cell r="E4" t="str">
            <v>Foco Rojo</v>
          </cell>
          <cell r="H4" t="str">
            <v>consulta_externa</v>
          </cell>
          <cell r="J4" t="str">
            <v>bueno</v>
          </cell>
          <cell r="K4" t="str">
            <v>defsi</v>
          </cell>
        </row>
        <row r="5">
          <cell r="B5" t="b">
            <v>1</v>
          </cell>
          <cell r="E5" t="str">
            <v>Foco Rojo</v>
          </cell>
          <cell r="H5" t="str">
            <v>salud_oral</v>
          </cell>
          <cell r="J5" t="str">
            <v>bueno</v>
          </cell>
          <cell r="K5" t="str">
            <v>defsi</v>
          </cell>
        </row>
        <row r="6">
          <cell r="B6" t="b">
            <v>1</v>
          </cell>
          <cell r="E6" t="str">
            <v>Foco Rojo</v>
          </cell>
          <cell r="H6" t="str">
            <v>laboratorio</v>
          </cell>
          <cell r="J6" t="str">
            <v>bueno</v>
          </cell>
          <cell r="K6" t="str">
            <v>defsi</v>
          </cell>
        </row>
        <row r="7">
          <cell r="B7" t="b">
            <v>1</v>
          </cell>
          <cell r="E7" t="str">
            <v>Foco Rojo</v>
          </cell>
          <cell r="H7" t="str">
            <v>consulta_externa</v>
          </cell>
          <cell r="J7" t="str">
            <v>bueno</v>
          </cell>
          <cell r="K7" t="str">
            <v>defsi</v>
          </cell>
        </row>
        <row r="8">
          <cell r="B8" t="b">
            <v>1</v>
          </cell>
          <cell r="E8" t="str">
            <v>Foco Rojo</v>
          </cell>
          <cell r="H8" t="str">
            <v>salud_oral</v>
          </cell>
          <cell r="J8" t="str">
            <v>bueno</v>
          </cell>
          <cell r="K8" t="str">
            <v>defsi</v>
          </cell>
        </row>
        <row r="9">
          <cell r="B9" t="b">
            <v>1</v>
          </cell>
          <cell r="E9" t="str">
            <v>Foco Rojo</v>
          </cell>
          <cell r="H9" t="str">
            <v>laboratorio</v>
          </cell>
          <cell r="J9" t="str">
            <v>bueno</v>
          </cell>
          <cell r="K9" t="str">
            <v>defsi</v>
          </cell>
        </row>
        <row r="10">
          <cell r="B10" t="b">
            <v>1</v>
          </cell>
          <cell r="E10" t="str">
            <v>Foco Rojo</v>
          </cell>
          <cell r="H10" t="str">
            <v>laboratorio</v>
          </cell>
          <cell r="J10" t="str">
            <v>bueno</v>
          </cell>
          <cell r="K10" t="str">
            <v>defsi</v>
          </cell>
        </row>
        <row r="11">
          <cell r="B11" t="b">
            <v>1</v>
          </cell>
          <cell r="E11" t="str">
            <v>Foco Rojo</v>
          </cell>
          <cell r="H11" t="str">
            <v>salud_oral</v>
          </cell>
          <cell r="J11" t="str">
            <v>bueno</v>
          </cell>
          <cell r="K11" t="str">
            <v>defsi</v>
          </cell>
        </row>
        <row r="12">
          <cell r="B12" t="b">
            <v>1</v>
          </cell>
          <cell r="E12" t="str">
            <v>Foco Rojo</v>
          </cell>
          <cell r="H12" t="str">
            <v>laboratorio</v>
          </cell>
          <cell r="J12" t="str">
            <v>bueno</v>
          </cell>
          <cell r="K12" t="str">
            <v>defsi</v>
          </cell>
        </row>
        <row r="13">
          <cell r="B13" t="b">
            <v>1</v>
          </cell>
          <cell r="E13" t="str">
            <v>Foco Rojo</v>
          </cell>
          <cell r="H13" t="str">
            <v>consulta_externa</v>
          </cell>
          <cell r="J13" t="str">
            <v>bueno</v>
          </cell>
          <cell r="K13" t="str">
            <v>defsi</v>
          </cell>
        </row>
        <row r="14">
          <cell r="B14" t="b">
            <v>1</v>
          </cell>
          <cell r="E14" t="str">
            <v>Foco Rojo</v>
          </cell>
          <cell r="H14" t="str">
            <v>salud_oral</v>
          </cell>
          <cell r="J14" t="str">
            <v>bueno</v>
          </cell>
          <cell r="K14" t="str">
            <v>defsi</v>
          </cell>
        </row>
        <row r="15">
          <cell r="B15" t="b">
            <v>1</v>
          </cell>
          <cell r="E15" t="str">
            <v>Foco Rojo</v>
          </cell>
          <cell r="H15" t="str">
            <v>laboratorio</v>
          </cell>
          <cell r="J15" t="str">
            <v>bueno</v>
          </cell>
          <cell r="K15" t="str">
            <v>defsi</v>
          </cell>
        </row>
        <row r="16">
          <cell r="B16" t="b">
            <v>1</v>
          </cell>
          <cell r="E16" t="str">
            <v>Foco Rojo</v>
          </cell>
          <cell r="H16" t="str">
            <v>consulta_externa</v>
          </cell>
          <cell r="J16" t="str">
            <v>bueno</v>
          </cell>
          <cell r="K16" t="str">
            <v>defsi</v>
          </cell>
        </row>
        <row r="17">
          <cell r="B17" t="b">
            <v>1</v>
          </cell>
          <cell r="E17" t="str">
            <v>Foco Rojo</v>
          </cell>
          <cell r="H17" t="str">
            <v>salud_oral</v>
          </cell>
          <cell r="J17" t="str">
            <v>bueno</v>
          </cell>
          <cell r="K17" t="str">
            <v>defsi</v>
          </cell>
        </row>
        <row r="18">
          <cell r="B18" t="b">
            <v>1</v>
          </cell>
          <cell r="E18" t="str">
            <v>Foco Rojo</v>
          </cell>
          <cell r="H18" t="str">
            <v>laboratorio</v>
          </cell>
          <cell r="J18" t="str">
            <v>bueno</v>
          </cell>
          <cell r="K18" t="str">
            <v>defsi</v>
          </cell>
        </row>
        <row r="19">
          <cell r="B19" t="b">
            <v>1</v>
          </cell>
          <cell r="E19" t="str">
            <v>Bicentenario</v>
          </cell>
          <cell r="H19" t="str">
            <v>consulta_externa</v>
          </cell>
          <cell r="J19" t="str">
            <v>bueno</v>
          </cell>
          <cell r="K19" t="str">
            <v>probsi</v>
          </cell>
        </row>
        <row r="20">
          <cell r="B20" t="b">
            <v>1</v>
          </cell>
          <cell r="E20" t="str">
            <v>Bicentenario</v>
          </cell>
          <cell r="H20" t="str">
            <v>salud_oral</v>
          </cell>
          <cell r="J20" t="str">
            <v>bueno</v>
          </cell>
          <cell r="K20" t="str">
            <v>probsi</v>
          </cell>
        </row>
        <row r="21">
          <cell r="B21" t="b">
            <v>1</v>
          </cell>
          <cell r="E21" t="str">
            <v>Bicentenario</v>
          </cell>
          <cell r="H21" t="str">
            <v>laboratorio</v>
          </cell>
          <cell r="J21" t="str">
            <v>bueno</v>
          </cell>
          <cell r="K21" t="str">
            <v>probsi</v>
          </cell>
        </row>
        <row r="22">
          <cell r="B22" t="b">
            <v>1</v>
          </cell>
          <cell r="E22" t="str">
            <v>Bicentenario</v>
          </cell>
          <cell r="H22" t="str">
            <v>urgencia</v>
          </cell>
          <cell r="J22" t="str">
            <v>bueno</v>
          </cell>
          <cell r="K22" t="str">
            <v>probsi</v>
          </cell>
        </row>
        <row r="23">
          <cell r="B23" t="b">
            <v>1</v>
          </cell>
          <cell r="E23" t="str">
            <v>Bicentenario</v>
          </cell>
          <cell r="H23" t="str">
            <v>consulta_externa</v>
          </cell>
          <cell r="J23" t="str">
            <v>bueno</v>
          </cell>
          <cell r="K23" t="str">
            <v>probsi</v>
          </cell>
        </row>
        <row r="24">
          <cell r="B24" t="b">
            <v>1</v>
          </cell>
          <cell r="E24" t="str">
            <v>Bicentenario</v>
          </cell>
          <cell r="H24" t="str">
            <v>salud_oral</v>
          </cell>
          <cell r="J24" t="str">
            <v>bueno</v>
          </cell>
          <cell r="K24" t="str">
            <v>probsi</v>
          </cell>
        </row>
        <row r="25">
          <cell r="B25" t="b">
            <v>1</v>
          </cell>
          <cell r="E25" t="str">
            <v>Bicentenario</v>
          </cell>
          <cell r="H25" t="str">
            <v>laboratorio</v>
          </cell>
          <cell r="J25" t="str">
            <v>bueno</v>
          </cell>
          <cell r="K25" t="str">
            <v>probsi</v>
          </cell>
        </row>
        <row r="26">
          <cell r="B26" t="b">
            <v>1</v>
          </cell>
          <cell r="E26" t="str">
            <v>Bicentenario</v>
          </cell>
          <cell r="H26" t="str">
            <v>consulta_externa</v>
          </cell>
          <cell r="J26" t="str">
            <v>bueno</v>
          </cell>
          <cell r="K26" t="str">
            <v>probsi</v>
          </cell>
        </row>
        <row r="27">
          <cell r="B27" t="b">
            <v>1</v>
          </cell>
          <cell r="E27" t="str">
            <v>Bicentenario</v>
          </cell>
          <cell r="H27" t="str">
            <v>urgencia</v>
          </cell>
          <cell r="J27" t="str">
            <v>bueno</v>
          </cell>
          <cell r="K27" t="str">
            <v>probsi</v>
          </cell>
        </row>
        <row r="28">
          <cell r="B28" t="b">
            <v>0</v>
          </cell>
          <cell r="E28" t="str">
            <v>Bicentenario</v>
          </cell>
          <cell r="H28" t="str">
            <v>consulta_externa</v>
          </cell>
          <cell r="J28" t="str">
            <v>regular</v>
          </cell>
          <cell r="K28" t="str">
            <v>probsi</v>
          </cell>
        </row>
        <row r="29">
          <cell r="B29" t="b">
            <v>1</v>
          </cell>
          <cell r="E29" t="str">
            <v>Bicentenario</v>
          </cell>
          <cell r="H29" t="str">
            <v>salud_oral</v>
          </cell>
          <cell r="J29" t="str">
            <v>bueno</v>
          </cell>
          <cell r="K29" t="str">
            <v>probsi</v>
          </cell>
        </row>
        <row r="30">
          <cell r="B30" t="b">
            <v>1</v>
          </cell>
          <cell r="E30" t="str">
            <v>Bicentenario</v>
          </cell>
          <cell r="H30" t="str">
            <v>rx</v>
          </cell>
          <cell r="J30" t="str">
            <v>bueno</v>
          </cell>
          <cell r="K30" t="str">
            <v>probsi</v>
          </cell>
        </row>
        <row r="31">
          <cell r="B31" t="b">
            <v>1</v>
          </cell>
          <cell r="E31" t="str">
            <v>Bicentenario</v>
          </cell>
          <cell r="H31" t="str">
            <v>rx</v>
          </cell>
          <cell r="J31" t="str">
            <v>bueno</v>
          </cell>
          <cell r="K31" t="str">
            <v>probsi</v>
          </cell>
        </row>
        <row r="32">
          <cell r="B32" t="b">
            <v>1</v>
          </cell>
          <cell r="E32" t="str">
            <v>Bicentenario</v>
          </cell>
          <cell r="H32" t="str">
            <v>consulta_externa</v>
          </cell>
          <cell r="J32" t="str">
            <v>muybueno</v>
          </cell>
          <cell r="K32" t="str">
            <v>probsi</v>
          </cell>
        </row>
        <row r="33">
          <cell r="B33" t="b">
            <v>1</v>
          </cell>
          <cell r="E33" t="str">
            <v>Bicentenario</v>
          </cell>
          <cell r="H33" t="str">
            <v>salud_oral</v>
          </cell>
          <cell r="J33" t="str">
            <v>bueno</v>
          </cell>
          <cell r="K33" t="str">
            <v>probsi</v>
          </cell>
        </row>
        <row r="34">
          <cell r="B34" t="b">
            <v>1</v>
          </cell>
          <cell r="E34" t="str">
            <v>Bicentenario</v>
          </cell>
          <cell r="H34" t="str">
            <v>laboratorio</v>
          </cell>
          <cell r="J34" t="str">
            <v>bueno</v>
          </cell>
          <cell r="K34" t="str">
            <v>probsi</v>
          </cell>
        </row>
        <row r="35">
          <cell r="B35" t="b">
            <v>1</v>
          </cell>
          <cell r="E35" t="str">
            <v>Bicentenario</v>
          </cell>
          <cell r="H35" t="str">
            <v>consulta_externa</v>
          </cell>
          <cell r="J35" t="str">
            <v>bueno</v>
          </cell>
          <cell r="K35" t="str">
            <v>probsi</v>
          </cell>
        </row>
        <row r="36">
          <cell r="B36" t="b">
            <v>1</v>
          </cell>
          <cell r="E36" t="str">
            <v>Bicentenario</v>
          </cell>
          <cell r="H36" t="str">
            <v>salud_oral</v>
          </cell>
          <cell r="J36" t="str">
            <v>bueno</v>
          </cell>
          <cell r="K36" t="str">
            <v>probsi</v>
          </cell>
        </row>
        <row r="37">
          <cell r="B37" t="b">
            <v>1</v>
          </cell>
          <cell r="E37" t="str">
            <v>Bicentenario</v>
          </cell>
          <cell r="H37" t="str">
            <v>laboratorio</v>
          </cell>
          <cell r="J37" t="str">
            <v>bueno</v>
          </cell>
          <cell r="K37" t="str">
            <v>probsi</v>
          </cell>
        </row>
        <row r="38">
          <cell r="B38" t="b">
            <v>1</v>
          </cell>
          <cell r="E38" t="str">
            <v>Bicentenario</v>
          </cell>
          <cell r="H38" t="str">
            <v>consulta_externa</v>
          </cell>
          <cell r="J38" t="str">
            <v>bueno</v>
          </cell>
          <cell r="K38" t="str">
            <v>probsi</v>
          </cell>
        </row>
        <row r="39">
          <cell r="B39" t="b">
            <v>1</v>
          </cell>
          <cell r="E39" t="str">
            <v>Bicentenario</v>
          </cell>
          <cell r="H39" t="str">
            <v>salud_oral</v>
          </cell>
          <cell r="J39" t="str">
            <v>bueno</v>
          </cell>
          <cell r="K39" t="str">
            <v>probsi</v>
          </cell>
        </row>
        <row r="40">
          <cell r="B40" t="b">
            <v>1</v>
          </cell>
          <cell r="E40" t="str">
            <v>Bicentenario</v>
          </cell>
          <cell r="H40" t="str">
            <v>salud_oral</v>
          </cell>
          <cell r="J40" t="str">
            <v>bueno</v>
          </cell>
          <cell r="K40" t="str">
            <v>probsi</v>
          </cell>
        </row>
        <row r="41">
          <cell r="B41" t="b">
            <v>1</v>
          </cell>
          <cell r="E41" t="str">
            <v>Bicentenario</v>
          </cell>
          <cell r="H41" t="str">
            <v>salud_oral</v>
          </cell>
          <cell r="J41" t="str">
            <v>bueno</v>
          </cell>
          <cell r="K41" t="str">
            <v>probno</v>
          </cell>
        </row>
        <row r="42">
          <cell r="B42" t="b">
            <v>0</v>
          </cell>
          <cell r="E42" t="str">
            <v>Bicentenario</v>
          </cell>
          <cell r="H42" t="str">
            <v>consulta_externa</v>
          </cell>
          <cell r="J42" t="str">
            <v>regular</v>
          </cell>
          <cell r="K42" t="str">
            <v>probsi</v>
          </cell>
        </row>
        <row r="43">
          <cell r="B43" t="b">
            <v>1</v>
          </cell>
          <cell r="E43" t="str">
            <v>Foco Rojo</v>
          </cell>
          <cell r="H43" t="str">
            <v>consulta_externa</v>
          </cell>
          <cell r="J43" t="str">
            <v>bueno</v>
          </cell>
          <cell r="K43" t="str">
            <v>defsi</v>
          </cell>
        </row>
        <row r="44">
          <cell r="B44" t="b">
            <v>1</v>
          </cell>
          <cell r="E44" t="str">
            <v>Foco Rojo</v>
          </cell>
          <cell r="H44" t="str">
            <v>salud_oral</v>
          </cell>
          <cell r="J44" t="str">
            <v>bueno</v>
          </cell>
          <cell r="K44" t="str">
            <v>defsi</v>
          </cell>
        </row>
        <row r="45">
          <cell r="B45" t="b">
            <v>1</v>
          </cell>
          <cell r="E45" t="str">
            <v>Foco Rojo</v>
          </cell>
          <cell r="H45" t="str">
            <v>laboratorio</v>
          </cell>
          <cell r="J45" t="str">
            <v>bueno</v>
          </cell>
          <cell r="K45" t="str">
            <v>defsi</v>
          </cell>
        </row>
        <row r="46">
          <cell r="B46" t="b">
            <v>1</v>
          </cell>
          <cell r="E46" t="str">
            <v>Bicentenario</v>
          </cell>
          <cell r="H46" t="str">
            <v>consulta_externa</v>
          </cell>
          <cell r="J46" t="str">
            <v>bueno</v>
          </cell>
          <cell r="K46" t="str">
            <v>probsi</v>
          </cell>
        </row>
        <row r="47">
          <cell r="B47" t="b">
            <v>1</v>
          </cell>
          <cell r="E47" t="str">
            <v>Bicentenario</v>
          </cell>
          <cell r="H47" t="str">
            <v>laboratorio</v>
          </cell>
          <cell r="J47" t="str">
            <v>bueno</v>
          </cell>
          <cell r="K47" t="str">
            <v>probsi</v>
          </cell>
        </row>
        <row r="48">
          <cell r="B48" t="b">
            <v>1</v>
          </cell>
          <cell r="E48" t="str">
            <v>Bicentenario</v>
          </cell>
          <cell r="H48" t="str">
            <v>laboratorio</v>
          </cell>
          <cell r="J48" t="str">
            <v>bueno</v>
          </cell>
          <cell r="K48" t="str">
            <v>probsi</v>
          </cell>
        </row>
        <row r="49">
          <cell r="B49" t="b">
            <v>1</v>
          </cell>
          <cell r="E49" t="str">
            <v>Foco Rojo</v>
          </cell>
          <cell r="H49" t="str">
            <v>consulta_externa</v>
          </cell>
          <cell r="J49" t="str">
            <v>bueno</v>
          </cell>
          <cell r="K49" t="str">
            <v>defsi</v>
          </cell>
        </row>
        <row r="50">
          <cell r="B50" t="b">
            <v>1</v>
          </cell>
          <cell r="E50" t="str">
            <v>Foco Rojo</v>
          </cell>
          <cell r="H50" t="str">
            <v>salud_oral</v>
          </cell>
          <cell r="J50" t="str">
            <v>bueno</v>
          </cell>
          <cell r="K50" t="str">
            <v>defsi</v>
          </cell>
        </row>
        <row r="51">
          <cell r="B51" t="b">
            <v>1</v>
          </cell>
          <cell r="E51" t="str">
            <v>Bicentenario</v>
          </cell>
          <cell r="H51" t="str">
            <v>consulta_externa</v>
          </cell>
          <cell r="J51" t="str">
            <v>bueno</v>
          </cell>
          <cell r="K51" t="str">
            <v>probsi</v>
          </cell>
        </row>
        <row r="52">
          <cell r="B52" t="b">
            <v>1</v>
          </cell>
          <cell r="E52" t="str">
            <v>Foco Rojo</v>
          </cell>
          <cell r="H52" t="str">
            <v>laboratorio</v>
          </cell>
          <cell r="J52" t="str">
            <v>bueno</v>
          </cell>
          <cell r="K52" t="str">
            <v>defsi</v>
          </cell>
        </row>
        <row r="53">
          <cell r="B53" t="b">
            <v>1</v>
          </cell>
          <cell r="E53" t="str">
            <v>Bicentenario</v>
          </cell>
          <cell r="H53" t="str">
            <v>rx</v>
          </cell>
          <cell r="J53" t="str">
            <v>bueno</v>
          </cell>
          <cell r="K53" t="str">
            <v>probsi</v>
          </cell>
        </row>
        <row r="54">
          <cell r="B54" t="b">
            <v>0</v>
          </cell>
          <cell r="E54" t="str">
            <v>Bicentenario</v>
          </cell>
          <cell r="H54" t="str">
            <v>consulta_externa</v>
          </cell>
          <cell r="J54" t="str">
            <v>regular</v>
          </cell>
          <cell r="K54" t="str">
            <v>probsi</v>
          </cell>
        </row>
        <row r="55">
          <cell r="B55" t="b">
            <v>0</v>
          </cell>
          <cell r="E55" t="str">
            <v>Bicentenario</v>
          </cell>
          <cell r="H55" t="str">
            <v>consulta_externa</v>
          </cell>
          <cell r="J55" t="str">
            <v>regular</v>
          </cell>
          <cell r="K55" t="str">
            <v>probsi</v>
          </cell>
        </row>
        <row r="56">
          <cell r="B56" t="b">
            <v>0</v>
          </cell>
          <cell r="E56" t="str">
            <v>Bicentenario</v>
          </cell>
          <cell r="H56" t="str">
            <v>urgencia</v>
          </cell>
          <cell r="J56" t="str">
            <v>regular</v>
          </cell>
          <cell r="K56" t="str">
            <v>probsi</v>
          </cell>
        </row>
        <row r="57">
          <cell r="B57" t="b">
            <v>0</v>
          </cell>
          <cell r="E57" t="str">
            <v>Bicentenario</v>
          </cell>
          <cell r="H57" t="str">
            <v>rx</v>
          </cell>
          <cell r="J57" t="str">
            <v>regular</v>
          </cell>
          <cell r="K57" t="str">
            <v>probsi</v>
          </cell>
        </row>
        <row r="58">
          <cell r="B58" t="b">
            <v>0</v>
          </cell>
          <cell r="E58" t="str">
            <v>Bicentenario</v>
          </cell>
          <cell r="H58" t="str">
            <v>salud_oral</v>
          </cell>
          <cell r="J58" t="str">
            <v>regular</v>
          </cell>
          <cell r="K58" t="str">
            <v>probsi</v>
          </cell>
        </row>
        <row r="59">
          <cell r="B59" t="b">
            <v>0</v>
          </cell>
          <cell r="E59" t="str">
            <v>Bicentenario</v>
          </cell>
          <cell r="H59" t="str">
            <v>laboratorio</v>
          </cell>
          <cell r="J59" t="str">
            <v>regular</v>
          </cell>
          <cell r="K59" t="str">
            <v>probsi</v>
          </cell>
        </row>
        <row r="60">
          <cell r="B60" t="b">
            <v>0</v>
          </cell>
          <cell r="E60" t="str">
            <v>Bicentenario</v>
          </cell>
          <cell r="H60" t="str">
            <v>laboratorio</v>
          </cell>
          <cell r="J60" t="str">
            <v>regular</v>
          </cell>
          <cell r="K60" t="str">
            <v>probsi</v>
          </cell>
        </row>
        <row r="61">
          <cell r="B61" t="b">
            <v>1</v>
          </cell>
          <cell r="E61" t="str">
            <v>Bicentenario</v>
          </cell>
          <cell r="H61" t="str">
            <v>laboratorio</v>
          </cell>
          <cell r="J61" t="str">
            <v>bueno</v>
          </cell>
          <cell r="K61" t="str">
            <v>probsi</v>
          </cell>
        </row>
        <row r="62">
          <cell r="B62" t="b">
            <v>0</v>
          </cell>
          <cell r="E62" t="str">
            <v>Bicentenario</v>
          </cell>
          <cell r="H62" t="str">
            <v>rx</v>
          </cell>
          <cell r="J62" t="str">
            <v>regular</v>
          </cell>
          <cell r="K62" t="str">
            <v>probsi</v>
          </cell>
        </row>
        <row r="63">
          <cell r="B63" t="b">
            <v>1</v>
          </cell>
          <cell r="E63" t="str">
            <v>Bicentenario</v>
          </cell>
          <cell r="H63" t="str">
            <v>rx</v>
          </cell>
          <cell r="J63" t="str">
            <v>bueno</v>
          </cell>
          <cell r="K63" t="str">
            <v>probsi</v>
          </cell>
        </row>
        <row r="64">
          <cell r="B64" t="b">
            <v>0</v>
          </cell>
          <cell r="E64" t="str">
            <v>Bicentenario</v>
          </cell>
          <cell r="H64" t="str">
            <v>rx</v>
          </cell>
          <cell r="J64" t="str">
            <v>regular</v>
          </cell>
          <cell r="K64" t="str">
            <v>probsi</v>
          </cell>
        </row>
        <row r="65">
          <cell r="B65" t="b">
            <v>0</v>
          </cell>
          <cell r="E65" t="str">
            <v>Bicentenario</v>
          </cell>
          <cell r="H65" t="str">
            <v>urgencia</v>
          </cell>
          <cell r="J65" t="str">
            <v>regular</v>
          </cell>
          <cell r="K65" t="str">
            <v>probsi</v>
          </cell>
        </row>
        <row r="66">
          <cell r="B66" t="b">
            <v>1</v>
          </cell>
          <cell r="E66" t="str">
            <v>Bicentenario</v>
          </cell>
          <cell r="H66" t="str">
            <v>urgencia</v>
          </cell>
          <cell r="J66" t="str">
            <v>bueno</v>
          </cell>
          <cell r="K66" t="str">
            <v>probsi</v>
          </cell>
        </row>
        <row r="67">
          <cell r="B67" t="b">
            <v>1</v>
          </cell>
          <cell r="E67" t="str">
            <v>Blasdelezo</v>
          </cell>
          <cell r="H67" t="str">
            <v>consulta_externa</v>
          </cell>
          <cell r="J67" t="str">
            <v>bueno</v>
          </cell>
          <cell r="K67" t="str">
            <v>defsi</v>
          </cell>
        </row>
        <row r="68">
          <cell r="B68" t="b">
            <v>1</v>
          </cell>
          <cell r="E68" t="str">
            <v>Blasdelezo</v>
          </cell>
          <cell r="H68" t="str">
            <v>laboratorio</v>
          </cell>
          <cell r="J68" t="str">
            <v>bueno</v>
          </cell>
          <cell r="K68" t="str">
            <v>defsi</v>
          </cell>
        </row>
        <row r="69">
          <cell r="B69" t="b">
            <v>1</v>
          </cell>
          <cell r="E69" t="str">
            <v>Blasdelezo</v>
          </cell>
          <cell r="H69" t="str">
            <v>laboratorio</v>
          </cell>
          <cell r="J69" t="str">
            <v>bueno</v>
          </cell>
          <cell r="K69" t="str">
            <v>defsi</v>
          </cell>
        </row>
        <row r="70">
          <cell r="B70" t="b">
            <v>0</v>
          </cell>
          <cell r="E70" t="str">
            <v>Blasdelezo</v>
          </cell>
          <cell r="H70" t="str">
            <v>consulta_externa</v>
          </cell>
          <cell r="J70" t="str">
            <v>regular</v>
          </cell>
          <cell r="K70" t="str">
            <v>defsi</v>
          </cell>
        </row>
        <row r="71">
          <cell r="B71" t="b">
            <v>1</v>
          </cell>
          <cell r="E71" t="str">
            <v>Blasdelezo</v>
          </cell>
          <cell r="H71" t="str">
            <v>consulta_externa</v>
          </cell>
          <cell r="J71" t="str">
            <v>bueno</v>
          </cell>
          <cell r="K71" t="str">
            <v>defsi</v>
          </cell>
        </row>
        <row r="72">
          <cell r="B72" t="b">
            <v>1</v>
          </cell>
          <cell r="E72" t="str">
            <v>Blasdelezo</v>
          </cell>
          <cell r="H72" t="str">
            <v>laboratorio</v>
          </cell>
          <cell r="J72" t="str">
            <v>bueno</v>
          </cell>
          <cell r="K72" t="str">
            <v>defsi</v>
          </cell>
        </row>
        <row r="73">
          <cell r="B73" t="b">
            <v>1</v>
          </cell>
          <cell r="E73" t="str">
            <v>Blasdelezo</v>
          </cell>
          <cell r="H73" t="str">
            <v>laboratorio</v>
          </cell>
          <cell r="J73" t="str">
            <v>bueno</v>
          </cell>
          <cell r="K73" t="str">
            <v>defsi</v>
          </cell>
        </row>
        <row r="74">
          <cell r="B74" t="b">
            <v>1</v>
          </cell>
          <cell r="E74" t="str">
            <v>Blasdelezo</v>
          </cell>
          <cell r="H74" t="str">
            <v>laboratorio</v>
          </cell>
          <cell r="J74" t="str">
            <v>bueno</v>
          </cell>
          <cell r="K74" t="str">
            <v>defsi</v>
          </cell>
        </row>
        <row r="75">
          <cell r="B75" t="b">
            <v>1</v>
          </cell>
          <cell r="E75" t="str">
            <v>Blasdelezo</v>
          </cell>
          <cell r="H75" t="str">
            <v>consulta_externa</v>
          </cell>
          <cell r="J75" t="str">
            <v>bueno</v>
          </cell>
          <cell r="K75" t="str">
            <v>defsi</v>
          </cell>
        </row>
        <row r="76">
          <cell r="B76" t="b">
            <v>1</v>
          </cell>
          <cell r="E76" t="str">
            <v>Blasdelezo</v>
          </cell>
          <cell r="H76" t="str">
            <v>consulta_externa</v>
          </cell>
          <cell r="J76" t="str">
            <v>bueno</v>
          </cell>
          <cell r="K76" t="str">
            <v>defsi</v>
          </cell>
        </row>
        <row r="77">
          <cell r="B77" t="b">
            <v>1</v>
          </cell>
          <cell r="E77" t="str">
            <v>Blasdelezo</v>
          </cell>
          <cell r="H77" t="str">
            <v>consulta_externa</v>
          </cell>
          <cell r="J77" t="str">
            <v>bueno</v>
          </cell>
          <cell r="K77" t="str">
            <v>defsi</v>
          </cell>
        </row>
        <row r="78">
          <cell r="B78" t="b">
            <v>1</v>
          </cell>
          <cell r="E78" t="str">
            <v>Blasdelezo</v>
          </cell>
          <cell r="H78" t="str">
            <v>laboratorio</v>
          </cell>
          <cell r="J78" t="str">
            <v>bueno</v>
          </cell>
          <cell r="K78" t="str">
            <v>defsi</v>
          </cell>
        </row>
        <row r="79">
          <cell r="B79" t="b">
            <v>1</v>
          </cell>
          <cell r="E79" t="str">
            <v>Blasdelezo</v>
          </cell>
          <cell r="H79" t="str">
            <v>consulta_externa</v>
          </cell>
          <cell r="J79" t="str">
            <v>bueno</v>
          </cell>
          <cell r="K79" t="str">
            <v>defsi</v>
          </cell>
        </row>
        <row r="80">
          <cell r="B80" t="b">
            <v>1</v>
          </cell>
          <cell r="E80" t="str">
            <v>Blasdelezo</v>
          </cell>
          <cell r="H80" t="str">
            <v>consulta_externa</v>
          </cell>
          <cell r="J80" t="str">
            <v>bueno</v>
          </cell>
          <cell r="K80" t="str">
            <v>defsi</v>
          </cell>
        </row>
        <row r="81">
          <cell r="B81" t="b">
            <v>1</v>
          </cell>
          <cell r="E81" t="str">
            <v>Foco Rojo</v>
          </cell>
          <cell r="H81" t="str">
            <v>consulta_externa</v>
          </cell>
          <cell r="J81" t="str">
            <v>bueno</v>
          </cell>
          <cell r="K81" t="str">
            <v>defsi</v>
          </cell>
        </row>
        <row r="82">
          <cell r="B82" t="b">
            <v>1</v>
          </cell>
          <cell r="E82" t="str">
            <v>Foco Rojo</v>
          </cell>
          <cell r="H82" t="str">
            <v>salud_oral</v>
          </cell>
          <cell r="J82" t="str">
            <v>bueno</v>
          </cell>
          <cell r="K82" t="str">
            <v>defsi</v>
          </cell>
        </row>
        <row r="83">
          <cell r="B83" t="b">
            <v>1</v>
          </cell>
          <cell r="E83" t="str">
            <v>Foco Rojo</v>
          </cell>
          <cell r="H83" t="str">
            <v>laboratorio</v>
          </cell>
          <cell r="J83" t="str">
            <v>bueno</v>
          </cell>
          <cell r="K83" t="str">
            <v>defsi</v>
          </cell>
        </row>
        <row r="84">
          <cell r="B84" t="b">
            <v>1</v>
          </cell>
          <cell r="E84" t="str">
            <v>Foco Rojo</v>
          </cell>
          <cell r="H84" t="str">
            <v>consulta_externa</v>
          </cell>
          <cell r="J84" t="str">
            <v>bueno</v>
          </cell>
          <cell r="K84" t="str">
            <v>defsi</v>
          </cell>
        </row>
        <row r="85">
          <cell r="B85" t="b">
            <v>1</v>
          </cell>
          <cell r="E85" t="str">
            <v>Foco Rojo</v>
          </cell>
          <cell r="H85" t="str">
            <v>salud_oral</v>
          </cell>
          <cell r="J85" t="str">
            <v>bueno</v>
          </cell>
          <cell r="K85" t="str">
            <v>defsi</v>
          </cell>
        </row>
        <row r="86">
          <cell r="B86" t="b">
            <v>1</v>
          </cell>
          <cell r="E86" t="str">
            <v>Foco Rojo</v>
          </cell>
          <cell r="H86" t="str">
            <v>laboratorio</v>
          </cell>
          <cell r="J86" t="str">
            <v>bueno</v>
          </cell>
          <cell r="K86" t="str">
            <v>defsi</v>
          </cell>
        </row>
        <row r="87">
          <cell r="B87" t="b">
            <v>1</v>
          </cell>
          <cell r="E87" t="str">
            <v>Foco Rojo</v>
          </cell>
          <cell r="H87" t="str">
            <v>consulta_externa</v>
          </cell>
          <cell r="J87" t="str">
            <v>bueno</v>
          </cell>
          <cell r="K87" t="str">
            <v>defsi</v>
          </cell>
        </row>
        <row r="88">
          <cell r="B88" t="b">
            <v>1</v>
          </cell>
          <cell r="E88" t="str">
            <v>Foco Rojo</v>
          </cell>
          <cell r="H88" t="str">
            <v>salud_oral</v>
          </cell>
          <cell r="J88" t="str">
            <v>bueno</v>
          </cell>
          <cell r="K88" t="str">
            <v>defsi</v>
          </cell>
        </row>
        <row r="89">
          <cell r="B89" t="b">
            <v>1</v>
          </cell>
          <cell r="E89" t="str">
            <v>Foco Rojo</v>
          </cell>
          <cell r="H89" t="str">
            <v>laboratorio</v>
          </cell>
          <cell r="J89" t="str">
            <v>bueno</v>
          </cell>
          <cell r="K89" t="str">
            <v>defsi</v>
          </cell>
        </row>
        <row r="90">
          <cell r="B90" t="b">
            <v>1</v>
          </cell>
          <cell r="E90" t="str">
            <v>Bayunca</v>
          </cell>
          <cell r="H90" t="str">
            <v>consulta_externa</v>
          </cell>
          <cell r="J90" t="str">
            <v>bueno</v>
          </cell>
          <cell r="K90" t="str">
            <v>defsi</v>
          </cell>
        </row>
        <row r="91">
          <cell r="B91" t="b">
            <v>1</v>
          </cell>
          <cell r="E91" t="str">
            <v>Bayunca</v>
          </cell>
          <cell r="H91" t="str">
            <v>salud_oral</v>
          </cell>
          <cell r="J91" t="str">
            <v>bueno</v>
          </cell>
          <cell r="K91" t="str">
            <v>defsi</v>
          </cell>
        </row>
        <row r="92">
          <cell r="B92" t="b">
            <v>1</v>
          </cell>
          <cell r="E92" t="str">
            <v>Bayunca</v>
          </cell>
          <cell r="H92" t="str">
            <v>laboratorio</v>
          </cell>
          <cell r="J92" t="str">
            <v>bueno</v>
          </cell>
          <cell r="K92" t="str">
            <v>defsi</v>
          </cell>
        </row>
        <row r="93">
          <cell r="B93" t="b">
            <v>1</v>
          </cell>
          <cell r="E93" t="str">
            <v>Bayunca</v>
          </cell>
          <cell r="H93" t="str">
            <v>urgencia</v>
          </cell>
          <cell r="J93" t="str">
            <v>bueno</v>
          </cell>
          <cell r="K93" t="str">
            <v>defsi</v>
          </cell>
        </row>
        <row r="94">
          <cell r="B94" t="b">
            <v>1</v>
          </cell>
          <cell r="E94" t="str">
            <v>Canapote</v>
          </cell>
          <cell r="H94" t="str">
            <v>consulta_externa</v>
          </cell>
          <cell r="J94" t="str">
            <v>bueno</v>
          </cell>
          <cell r="K94" t="str">
            <v>probsi</v>
          </cell>
        </row>
        <row r="95">
          <cell r="B95" t="b">
            <v>1</v>
          </cell>
          <cell r="E95" t="str">
            <v>Bayunca</v>
          </cell>
          <cell r="H95" t="str">
            <v>consulta_externa</v>
          </cell>
          <cell r="J95" t="str">
            <v>bueno</v>
          </cell>
          <cell r="K95" t="str">
            <v>defsi</v>
          </cell>
        </row>
        <row r="96">
          <cell r="B96" t="b">
            <v>1</v>
          </cell>
          <cell r="E96" t="str">
            <v>Bayunca</v>
          </cell>
          <cell r="H96" t="str">
            <v>salud_oral</v>
          </cell>
          <cell r="J96" t="str">
            <v>bueno</v>
          </cell>
          <cell r="K96" t="str">
            <v>defsi</v>
          </cell>
        </row>
        <row r="97">
          <cell r="B97" t="b">
            <v>1</v>
          </cell>
          <cell r="E97" t="str">
            <v>Canapote</v>
          </cell>
          <cell r="H97" t="str">
            <v>laboratorio</v>
          </cell>
          <cell r="J97" t="str">
            <v>bueno</v>
          </cell>
          <cell r="K97" t="str">
            <v>probsi</v>
          </cell>
        </row>
        <row r="98">
          <cell r="B98" t="b">
            <v>1</v>
          </cell>
          <cell r="E98" t="str">
            <v>Canapote</v>
          </cell>
          <cell r="H98" t="str">
            <v>consulta_externa</v>
          </cell>
          <cell r="J98" t="str">
            <v>bueno</v>
          </cell>
          <cell r="K98" t="str">
            <v>probsi</v>
          </cell>
        </row>
        <row r="99">
          <cell r="B99" t="b">
            <v>1</v>
          </cell>
          <cell r="E99" t="str">
            <v>Bayunca</v>
          </cell>
          <cell r="H99" t="str">
            <v>laboratorio</v>
          </cell>
          <cell r="J99" t="str">
            <v>bueno</v>
          </cell>
          <cell r="K99" t="str">
            <v>defsi</v>
          </cell>
        </row>
        <row r="100">
          <cell r="B100" t="b">
            <v>1</v>
          </cell>
          <cell r="E100" t="str">
            <v>Canapote</v>
          </cell>
          <cell r="H100" t="str">
            <v>salud_oral</v>
          </cell>
          <cell r="J100" t="str">
            <v>bueno</v>
          </cell>
          <cell r="K100" t="str">
            <v>probsi</v>
          </cell>
        </row>
        <row r="101">
          <cell r="B101" t="b">
            <v>1</v>
          </cell>
          <cell r="E101" t="str">
            <v>Bayunca</v>
          </cell>
          <cell r="H101" t="str">
            <v>urgencia</v>
          </cell>
          <cell r="J101" t="str">
            <v>bueno</v>
          </cell>
          <cell r="K101" t="str">
            <v>defsi</v>
          </cell>
        </row>
        <row r="102">
          <cell r="B102" t="b">
            <v>1</v>
          </cell>
          <cell r="E102" t="str">
            <v>Canapote</v>
          </cell>
          <cell r="H102" t="str">
            <v>consulta_externa</v>
          </cell>
          <cell r="J102" t="str">
            <v>bueno</v>
          </cell>
          <cell r="K102" t="str">
            <v>probsi</v>
          </cell>
        </row>
        <row r="103">
          <cell r="B103" t="b">
            <v>1</v>
          </cell>
          <cell r="E103" t="str">
            <v>Canapote</v>
          </cell>
          <cell r="H103" t="str">
            <v>salud_oral</v>
          </cell>
          <cell r="J103" t="str">
            <v>bueno</v>
          </cell>
          <cell r="K103" t="str">
            <v>probsi</v>
          </cell>
        </row>
        <row r="104">
          <cell r="B104" t="b">
            <v>1</v>
          </cell>
          <cell r="E104" t="str">
            <v>Canapote</v>
          </cell>
          <cell r="H104" t="str">
            <v>laboratorio</v>
          </cell>
          <cell r="J104" t="str">
            <v>bueno</v>
          </cell>
          <cell r="K104" t="str">
            <v>probsi</v>
          </cell>
        </row>
        <row r="105">
          <cell r="B105" t="b">
            <v>1</v>
          </cell>
          <cell r="E105" t="str">
            <v>Bayunca</v>
          </cell>
          <cell r="H105" t="str">
            <v>consulta_externa</v>
          </cell>
          <cell r="J105" t="str">
            <v>bueno</v>
          </cell>
          <cell r="K105" t="str">
            <v>defsi</v>
          </cell>
        </row>
        <row r="106">
          <cell r="B106" t="b">
            <v>1</v>
          </cell>
          <cell r="E106" t="str">
            <v>Bayunca</v>
          </cell>
          <cell r="H106" t="str">
            <v>salud_oral</v>
          </cell>
          <cell r="J106" t="str">
            <v>bueno</v>
          </cell>
          <cell r="K106" t="str">
            <v>defsi</v>
          </cell>
        </row>
        <row r="107">
          <cell r="B107" t="b">
            <v>1</v>
          </cell>
          <cell r="E107" t="str">
            <v>Bayunca</v>
          </cell>
          <cell r="H107" t="str">
            <v>laboratorio</v>
          </cell>
          <cell r="J107" t="str">
            <v>bueno</v>
          </cell>
          <cell r="K107" t="str">
            <v>defsi</v>
          </cell>
        </row>
        <row r="108">
          <cell r="B108" t="b">
            <v>1</v>
          </cell>
          <cell r="E108" t="str">
            <v>Bayunca</v>
          </cell>
          <cell r="H108" t="str">
            <v>urgencia</v>
          </cell>
          <cell r="J108" t="str">
            <v>bueno</v>
          </cell>
          <cell r="K108" t="str">
            <v>defsi</v>
          </cell>
        </row>
        <row r="109">
          <cell r="B109" t="b">
            <v>1</v>
          </cell>
          <cell r="E109" t="str">
            <v>Canapote</v>
          </cell>
          <cell r="H109" t="str">
            <v>consulta_externa</v>
          </cell>
          <cell r="J109" t="str">
            <v>bueno</v>
          </cell>
          <cell r="K109" t="str">
            <v>probsi</v>
          </cell>
        </row>
        <row r="110">
          <cell r="B110" t="b">
            <v>1</v>
          </cell>
          <cell r="E110" t="str">
            <v>Canapote</v>
          </cell>
          <cell r="H110" t="str">
            <v>salud_oral</v>
          </cell>
          <cell r="J110" t="str">
            <v>bueno</v>
          </cell>
          <cell r="K110" t="str">
            <v>probsi</v>
          </cell>
        </row>
        <row r="111">
          <cell r="B111" t="b">
            <v>0</v>
          </cell>
          <cell r="E111" t="str">
            <v>Canapote</v>
          </cell>
          <cell r="H111" t="str">
            <v>laboratorio</v>
          </cell>
          <cell r="J111" t="str">
            <v>regular</v>
          </cell>
          <cell r="K111" t="str">
            <v>probsi</v>
          </cell>
        </row>
        <row r="112">
          <cell r="B112" t="b">
            <v>1</v>
          </cell>
          <cell r="E112" t="str">
            <v>Canapote</v>
          </cell>
          <cell r="H112" t="str">
            <v>consulta_externa</v>
          </cell>
          <cell r="J112" t="str">
            <v>muybueno</v>
          </cell>
          <cell r="K112" t="str">
            <v>probsi</v>
          </cell>
        </row>
        <row r="113">
          <cell r="B113" t="b">
            <v>1</v>
          </cell>
          <cell r="E113" t="str">
            <v>Canapote</v>
          </cell>
          <cell r="H113" t="str">
            <v>laboratorio</v>
          </cell>
          <cell r="J113" t="str">
            <v>bueno</v>
          </cell>
          <cell r="K113" t="str">
            <v>probsi</v>
          </cell>
        </row>
        <row r="114">
          <cell r="B114" t="b">
            <v>1</v>
          </cell>
          <cell r="E114" t="str">
            <v>Canapote</v>
          </cell>
          <cell r="H114" t="str">
            <v>laboratorio</v>
          </cell>
          <cell r="J114" t="str">
            <v>bueno</v>
          </cell>
          <cell r="K114" t="str">
            <v>probsi</v>
          </cell>
        </row>
        <row r="115">
          <cell r="B115" t="b">
            <v>1</v>
          </cell>
          <cell r="E115" t="str">
            <v>Canapote</v>
          </cell>
          <cell r="H115" t="str">
            <v>consulta_externa</v>
          </cell>
          <cell r="J115" t="str">
            <v>bueno</v>
          </cell>
          <cell r="K115" t="str">
            <v>probsi</v>
          </cell>
        </row>
        <row r="116">
          <cell r="B116" t="b">
            <v>1</v>
          </cell>
          <cell r="E116" t="str">
            <v>Bayunca</v>
          </cell>
          <cell r="H116" t="str">
            <v>consulta_externa</v>
          </cell>
          <cell r="J116" t="str">
            <v>bueno</v>
          </cell>
          <cell r="K116" t="str">
            <v>defsi</v>
          </cell>
        </row>
        <row r="117">
          <cell r="B117" t="b">
            <v>1</v>
          </cell>
          <cell r="E117" t="str">
            <v>Canapote</v>
          </cell>
          <cell r="H117" t="str">
            <v>salud_oral</v>
          </cell>
          <cell r="J117" t="str">
            <v>bueno</v>
          </cell>
          <cell r="K117" t="str">
            <v>probsi</v>
          </cell>
        </row>
        <row r="118">
          <cell r="B118" t="b">
            <v>1</v>
          </cell>
          <cell r="E118" t="str">
            <v>Canapote</v>
          </cell>
          <cell r="H118" t="str">
            <v>laboratorio</v>
          </cell>
          <cell r="J118" t="str">
            <v>bueno</v>
          </cell>
          <cell r="K118" t="str">
            <v>probsi</v>
          </cell>
        </row>
        <row r="119">
          <cell r="B119" t="b">
            <v>1</v>
          </cell>
          <cell r="E119" t="str">
            <v>Canapote</v>
          </cell>
          <cell r="H119" t="str">
            <v>consulta_externa</v>
          </cell>
          <cell r="J119" t="str">
            <v>bueno</v>
          </cell>
          <cell r="K119" t="str">
            <v>probsi</v>
          </cell>
        </row>
        <row r="120">
          <cell r="B120" t="b">
            <v>1</v>
          </cell>
          <cell r="E120" t="str">
            <v>Canapote</v>
          </cell>
          <cell r="H120" t="str">
            <v>laboratorio</v>
          </cell>
          <cell r="J120" t="str">
            <v>bueno</v>
          </cell>
          <cell r="K120" t="str">
            <v>probsi</v>
          </cell>
        </row>
        <row r="121">
          <cell r="B121" t="b">
            <v>1</v>
          </cell>
          <cell r="E121" t="str">
            <v>Bayunca</v>
          </cell>
          <cell r="H121" t="str">
            <v>salud_oral</v>
          </cell>
          <cell r="J121" t="str">
            <v>bueno</v>
          </cell>
          <cell r="K121" t="str">
            <v>defsi</v>
          </cell>
        </row>
        <row r="122">
          <cell r="B122" t="b">
            <v>1</v>
          </cell>
          <cell r="E122" t="str">
            <v>Bayunca</v>
          </cell>
          <cell r="H122" t="str">
            <v>laboratorio</v>
          </cell>
          <cell r="J122" t="str">
            <v>bueno</v>
          </cell>
          <cell r="K122" t="str">
            <v>defsi</v>
          </cell>
        </row>
        <row r="123">
          <cell r="B123" t="b">
            <v>1</v>
          </cell>
          <cell r="E123" t="str">
            <v>Bayunca</v>
          </cell>
          <cell r="H123" t="str">
            <v>urgencia</v>
          </cell>
          <cell r="J123" t="str">
            <v>bueno</v>
          </cell>
          <cell r="K123" t="str">
            <v>defsi</v>
          </cell>
        </row>
        <row r="124">
          <cell r="B124" t="b">
            <v>1</v>
          </cell>
          <cell r="E124" t="str">
            <v>Bayunca</v>
          </cell>
          <cell r="H124" t="str">
            <v>consulta_externa</v>
          </cell>
          <cell r="J124" t="str">
            <v>bueno</v>
          </cell>
          <cell r="K124" t="str">
            <v>defsi</v>
          </cell>
        </row>
        <row r="125">
          <cell r="B125" t="b">
            <v>1</v>
          </cell>
          <cell r="E125" t="str">
            <v>Bayunca</v>
          </cell>
          <cell r="H125" t="str">
            <v>salud_oral</v>
          </cell>
          <cell r="J125" t="str">
            <v>bueno</v>
          </cell>
          <cell r="K125" t="str">
            <v>defsi</v>
          </cell>
        </row>
        <row r="126">
          <cell r="B126" t="b">
            <v>1</v>
          </cell>
          <cell r="E126" t="str">
            <v>Bayunca</v>
          </cell>
          <cell r="H126" t="str">
            <v>laboratorio</v>
          </cell>
          <cell r="J126" t="str">
            <v>bueno</v>
          </cell>
          <cell r="K126" t="str">
            <v>defsi</v>
          </cell>
        </row>
        <row r="127">
          <cell r="B127" t="b">
            <v>1</v>
          </cell>
          <cell r="E127" t="str">
            <v>Bayunca</v>
          </cell>
          <cell r="H127" t="str">
            <v>urgencia</v>
          </cell>
          <cell r="J127" t="str">
            <v>bueno</v>
          </cell>
          <cell r="K127" t="str">
            <v>defsi</v>
          </cell>
        </row>
        <row r="128">
          <cell r="B128" t="b">
            <v>1</v>
          </cell>
          <cell r="E128" t="str">
            <v>Canapote</v>
          </cell>
          <cell r="H128" t="str">
            <v>consulta_externa</v>
          </cell>
          <cell r="J128" t="str">
            <v>bueno</v>
          </cell>
          <cell r="K128" t="str">
            <v>probsi</v>
          </cell>
        </row>
        <row r="129">
          <cell r="B129" t="b">
            <v>1</v>
          </cell>
          <cell r="E129" t="str">
            <v>Canapote</v>
          </cell>
          <cell r="H129" t="str">
            <v>laboratorio</v>
          </cell>
          <cell r="J129" t="str">
            <v>bueno</v>
          </cell>
          <cell r="K129" t="str">
            <v>probsi</v>
          </cell>
        </row>
        <row r="130">
          <cell r="B130" t="b">
            <v>1</v>
          </cell>
          <cell r="E130" t="str">
            <v>Canapote</v>
          </cell>
          <cell r="H130" t="str">
            <v>consulta_externa</v>
          </cell>
          <cell r="J130" t="str">
            <v>bueno</v>
          </cell>
          <cell r="K130" t="str">
            <v>probsi</v>
          </cell>
        </row>
        <row r="131">
          <cell r="B131" t="b">
            <v>1</v>
          </cell>
          <cell r="E131" t="str">
            <v>Canapote</v>
          </cell>
          <cell r="H131" t="str">
            <v>laboratorio</v>
          </cell>
          <cell r="J131" t="str">
            <v>bueno</v>
          </cell>
          <cell r="K131" t="str">
            <v>probsi</v>
          </cell>
        </row>
        <row r="132">
          <cell r="B132" t="b">
            <v>1</v>
          </cell>
          <cell r="E132" t="str">
            <v>Canapote</v>
          </cell>
          <cell r="H132" t="str">
            <v>consulta_externa</v>
          </cell>
          <cell r="J132" t="str">
            <v>bueno</v>
          </cell>
          <cell r="K132" t="str">
            <v>probsi</v>
          </cell>
        </row>
        <row r="133">
          <cell r="B133" t="b">
            <v>1</v>
          </cell>
          <cell r="E133" t="str">
            <v>Canapote</v>
          </cell>
          <cell r="H133" t="str">
            <v>salud_oral</v>
          </cell>
          <cell r="J133" t="str">
            <v>bueno</v>
          </cell>
          <cell r="K133" t="str">
            <v>probsi</v>
          </cell>
        </row>
        <row r="134">
          <cell r="B134" t="b">
            <v>1</v>
          </cell>
          <cell r="E134" t="str">
            <v>Canapote</v>
          </cell>
          <cell r="H134" t="str">
            <v>consulta_externa</v>
          </cell>
          <cell r="J134" t="str">
            <v>bueno</v>
          </cell>
          <cell r="K134" t="str">
            <v>probsi</v>
          </cell>
        </row>
        <row r="135">
          <cell r="B135" t="b">
            <v>0</v>
          </cell>
          <cell r="E135" t="str">
            <v>Canapote</v>
          </cell>
          <cell r="H135" t="str">
            <v>laboratorio</v>
          </cell>
          <cell r="J135" t="str">
            <v>regular</v>
          </cell>
          <cell r="K135" t="str">
            <v>probsi</v>
          </cell>
        </row>
        <row r="136">
          <cell r="B136" t="b">
            <v>1</v>
          </cell>
          <cell r="E136" t="str">
            <v>Bayunca</v>
          </cell>
          <cell r="H136" t="str">
            <v>consulta_externa</v>
          </cell>
          <cell r="J136" t="str">
            <v>bueno</v>
          </cell>
          <cell r="K136" t="str">
            <v>defsi</v>
          </cell>
        </row>
        <row r="137">
          <cell r="B137" t="b">
            <v>1</v>
          </cell>
          <cell r="E137" t="str">
            <v>Bayunca</v>
          </cell>
          <cell r="H137" t="str">
            <v>salud_oral</v>
          </cell>
          <cell r="J137" t="str">
            <v>bueno</v>
          </cell>
          <cell r="K137" t="str">
            <v>defsi</v>
          </cell>
        </row>
        <row r="138">
          <cell r="B138" t="b">
            <v>1</v>
          </cell>
          <cell r="E138" t="str">
            <v>Bayunca</v>
          </cell>
          <cell r="H138" t="str">
            <v>laboratorio</v>
          </cell>
          <cell r="J138" t="str">
            <v>bueno</v>
          </cell>
          <cell r="K138" t="str">
            <v>defsi</v>
          </cell>
        </row>
        <row r="139">
          <cell r="B139" t="b">
            <v>1</v>
          </cell>
          <cell r="E139" t="str">
            <v>Bayunca</v>
          </cell>
          <cell r="H139" t="str">
            <v>urgencia</v>
          </cell>
          <cell r="J139" t="str">
            <v>bueno</v>
          </cell>
          <cell r="K139" t="str">
            <v>defsi</v>
          </cell>
        </row>
        <row r="140">
          <cell r="B140" t="b">
            <v>1</v>
          </cell>
          <cell r="E140" t="str">
            <v>Bayunca</v>
          </cell>
          <cell r="H140" t="str">
            <v>consulta_externa</v>
          </cell>
          <cell r="J140" t="str">
            <v>bueno</v>
          </cell>
          <cell r="K140" t="str">
            <v>defsi</v>
          </cell>
        </row>
        <row r="141">
          <cell r="B141" t="b">
            <v>1</v>
          </cell>
          <cell r="E141" t="str">
            <v>Bayunca</v>
          </cell>
          <cell r="H141" t="str">
            <v>salud_oral</v>
          </cell>
          <cell r="J141" t="str">
            <v>bueno</v>
          </cell>
          <cell r="K141" t="str">
            <v>defsi</v>
          </cell>
        </row>
        <row r="142">
          <cell r="B142" t="b">
            <v>1</v>
          </cell>
          <cell r="E142" t="str">
            <v>Bayunca</v>
          </cell>
          <cell r="H142" t="str">
            <v>laboratorio</v>
          </cell>
          <cell r="J142" t="str">
            <v>bueno</v>
          </cell>
          <cell r="K142" t="str">
            <v>defsi</v>
          </cell>
        </row>
        <row r="143">
          <cell r="B143" t="b">
            <v>1</v>
          </cell>
          <cell r="E143" t="str">
            <v>Canapote</v>
          </cell>
          <cell r="H143" t="str">
            <v>consulta_externa</v>
          </cell>
          <cell r="J143" t="str">
            <v>bueno</v>
          </cell>
          <cell r="K143" t="str">
            <v>probsi</v>
          </cell>
        </row>
        <row r="144">
          <cell r="B144" t="b">
            <v>1</v>
          </cell>
          <cell r="E144" t="str">
            <v>Canapote</v>
          </cell>
          <cell r="H144" t="str">
            <v>salud_oral</v>
          </cell>
          <cell r="J144" t="str">
            <v>bueno</v>
          </cell>
          <cell r="K144" t="str">
            <v>probsi</v>
          </cell>
        </row>
        <row r="145">
          <cell r="B145" t="b">
            <v>1</v>
          </cell>
          <cell r="E145" t="str">
            <v>Canapote</v>
          </cell>
          <cell r="H145" t="str">
            <v>laboratorio</v>
          </cell>
          <cell r="J145" t="str">
            <v>bueno</v>
          </cell>
          <cell r="K145" t="str">
            <v>probsi</v>
          </cell>
        </row>
        <row r="146">
          <cell r="B146" t="b">
            <v>1</v>
          </cell>
          <cell r="E146" t="str">
            <v>Bayunca</v>
          </cell>
          <cell r="H146" t="str">
            <v>urgencia</v>
          </cell>
          <cell r="J146" t="str">
            <v>bueno</v>
          </cell>
          <cell r="K146" t="str">
            <v>defsi</v>
          </cell>
        </row>
        <row r="147">
          <cell r="B147" t="b">
            <v>1</v>
          </cell>
          <cell r="E147" t="str">
            <v>Canapote</v>
          </cell>
          <cell r="H147" t="str">
            <v>consulta_externa</v>
          </cell>
          <cell r="J147" t="str">
            <v>bueno</v>
          </cell>
          <cell r="K147" t="str">
            <v>probsi</v>
          </cell>
        </row>
        <row r="148">
          <cell r="B148" t="b">
            <v>1</v>
          </cell>
          <cell r="E148" t="str">
            <v>Canapote</v>
          </cell>
          <cell r="H148" t="str">
            <v>salud_oral</v>
          </cell>
          <cell r="J148" t="str">
            <v>bueno</v>
          </cell>
          <cell r="K148" t="str">
            <v>probsi</v>
          </cell>
        </row>
        <row r="149">
          <cell r="B149" t="b">
            <v>1</v>
          </cell>
          <cell r="E149" t="str">
            <v>Bayunca</v>
          </cell>
          <cell r="H149" t="str">
            <v>consulta_externa</v>
          </cell>
          <cell r="J149" t="str">
            <v>bueno</v>
          </cell>
          <cell r="K149" t="str">
            <v>defsi</v>
          </cell>
        </row>
        <row r="150">
          <cell r="B150" t="b">
            <v>1</v>
          </cell>
          <cell r="E150" t="str">
            <v>Bayunca</v>
          </cell>
          <cell r="H150" t="str">
            <v>salud_oral</v>
          </cell>
          <cell r="J150" t="str">
            <v>bueno</v>
          </cell>
          <cell r="K150" t="str">
            <v>defsi</v>
          </cell>
        </row>
        <row r="151">
          <cell r="B151" t="b">
            <v>1</v>
          </cell>
          <cell r="E151" t="str">
            <v>Bayunca</v>
          </cell>
          <cell r="H151" t="str">
            <v>laboratorio</v>
          </cell>
          <cell r="J151" t="str">
            <v>bueno</v>
          </cell>
          <cell r="K151" t="str">
            <v>defsi</v>
          </cell>
        </row>
        <row r="152">
          <cell r="B152" t="b">
            <v>1</v>
          </cell>
          <cell r="E152" t="str">
            <v>Bayunca</v>
          </cell>
          <cell r="H152" t="str">
            <v>urgencia</v>
          </cell>
          <cell r="J152" t="str">
            <v>bueno</v>
          </cell>
          <cell r="K152" t="str">
            <v>defsi</v>
          </cell>
        </row>
        <row r="153">
          <cell r="B153" t="b">
            <v>1</v>
          </cell>
          <cell r="E153" t="str">
            <v>Bayunca</v>
          </cell>
          <cell r="H153" t="str">
            <v>consulta_externa</v>
          </cell>
          <cell r="J153" t="str">
            <v>bueno</v>
          </cell>
          <cell r="K153" t="str">
            <v>defsi</v>
          </cell>
        </row>
        <row r="154">
          <cell r="B154" t="b">
            <v>1</v>
          </cell>
          <cell r="E154" t="str">
            <v>Bayunca</v>
          </cell>
          <cell r="H154" t="str">
            <v>salud_oral</v>
          </cell>
          <cell r="J154" t="str">
            <v>bueno</v>
          </cell>
          <cell r="K154" t="str">
            <v>defsi</v>
          </cell>
        </row>
        <row r="155">
          <cell r="B155" t="b">
            <v>1</v>
          </cell>
          <cell r="E155" t="str">
            <v>Bayunca</v>
          </cell>
          <cell r="H155" t="str">
            <v>laboratorio</v>
          </cell>
          <cell r="J155" t="str">
            <v>bueno</v>
          </cell>
          <cell r="K155" t="str">
            <v>defsi</v>
          </cell>
        </row>
        <row r="156">
          <cell r="B156" t="b">
            <v>1</v>
          </cell>
          <cell r="E156" t="str">
            <v>Bayunca</v>
          </cell>
          <cell r="H156" t="str">
            <v>urgencia</v>
          </cell>
          <cell r="J156" t="str">
            <v>bueno</v>
          </cell>
          <cell r="K156" t="str">
            <v>defsi</v>
          </cell>
        </row>
        <row r="157">
          <cell r="B157" t="b">
            <v>1</v>
          </cell>
          <cell r="E157" t="str">
            <v>Canapote</v>
          </cell>
          <cell r="H157" t="str">
            <v>salud_oral</v>
          </cell>
          <cell r="J157" t="str">
            <v>bueno</v>
          </cell>
          <cell r="K157" t="str">
            <v>probsi</v>
          </cell>
        </row>
        <row r="158">
          <cell r="B158" t="b">
            <v>1</v>
          </cell>
          <cell r="E158" t="str">
            <v>Canapote</v>
          </cell>
          <cell r="H158" t="str">
            <v>salud_oral</v>
          </cell>
          <cell r="J158" t="str">
            <v>bueno</v>
          </cell>
          <cell r="K158" t="str">
            <v>probsi</v>
          </cell>
        </row>
        <row r="159">
          <cell r="B159" t="b">
            <v>1</v>
          </cell>
          <cell r="E159" t="str">
            <v>Nuevo Porvenir</v>
          </cell>
          <cell r="H159" t="str">
            <v>consulta_externa</v>
          </cell>
          <cell r="J159" t="str">
            <v>bueno</v>
          </cell>
          <cell r="K159" t="str">
            <v>probsi</v>
          </cell>
        </row>
        <row r="160">
          <cell r="B160" t="b">
            <v>1</v>
          </cell>
          <cell r="E160" t="str">
            <v>Nuevo Porvenir</v>
          </cell>
          <cell r="H160" t="str">
            <v>consulta_externa</v>
          </cell>
          <cell r="J160" t="str">
            <v>bueno</v>
          </cell>
          <cell r="K160" t="str">
            <v>probsi</v>
          </cell>
        </row>
        <row r="161">
          <cell r="B161" t="b">
            <v>1</v>
          </cell>
          <cell r="E161" t="str">
            <v>Nuevo Porvenir</v>
          </cell>
          <cell r="H161" t="str">
            <v>consulta_externa</v>
          </cell>
          <cell r="J161" t="str">
            <v>bueno</v>
          </cell>
          <cell r="K161" t="str">
            <v>probsi</v>
          </cell>
        </row>
        <row r="162">
          <cell r="B162" t="b">
            <v>1</v>
          </cell>
          <cell r="E162" t="str">
            <v>Nuevo Porvenir</v>
          </cell>
          <cell r="H162" t="str">
            <v>consulta_externa</v>
          </cell>
          <cell r="J162" t="str">
            <v>bueno</v>
          </cell>
          <cell r="K162" t="str">
            <v>probsi</v>
          </cell>
        </row>
        <row r="163">
          <cell r="B163" t="b">
            <v>1</v>
          </cell>
          <cell r="E163" t="str">
            <v>Nuevo Porvenir</v>
          </cell>
          <cell r="H163" t="str">
            <v>laboratorio</v>
          </cell>
          <cell r="J163" t="str">
            <v>bueno</v>
          </cell>
          <cell r="K163" t="str">
            <v>probsi</v>
          </cell>
        </row>
        <row r="164">
          <cell r="B164" t="b">
            <v>1</v>
          </cell>
          <cell r="E164" t="str">
            <v>Nuevo Porvenir</v>
          </cell>
          <cell r="H164" t="str">
            <v>laboratorio</v>
          </cell>
          <cell r="J164" t="str">
            <v>bueno</v>
          </cell>
          <cell r="K164" t="str">
            <v>probsi</v>
          </cell>
        </row>
        <row r="165">
          <cell r="B165" t="b">
            <v>1</v>
          </cell>
          <cell r="E165" t="str">
            <v>Nuevo Porvenir</v>
          </cell>
          <cell r="H165" t="str">
            <v>salud_oral</v>
          </cell>
          <cell r="J165" t="str">
            <v>bueno</v>
          </cell>
          <cell r="K165" t="str">
            <v>probsi</v>
          </cell>
        </row>
        <row r="166">
          <cell r="B166" t="b">
            <v>1</v>
          </cell>
          <cell r="E166" t="str">
            <v>Nuevo Porvenir</v>
          </cell>
          <cell r="H166" t="str">
            <v>salud_oral</v>
          </cell>
          <cell r="J166" t="str">
            <v>bueno</v>
          </cell>
          <cell r="K166" t="str">
            <v>probsi</v>
          </cell>
        </row>
        <row r="167">
          <cell r="B167" t="b">
            <v>1</v>
          </cell>
          <cell r="E167" t="str">
            <v>Nuevo Porvenir</v>
          </cell>
          <cell r="H167" t="str">
            <v>salud_oral</v>
          </cell>
          <cell r="J167" t="str">
            <v>bueno</v>
          </cell>
          <cell r="K167" t="str">
            <v>probsi</v>
          </cell>
        </row>
        <row r="168">
          <cell r="B168" t="b">
            <v>1</v>
          </cell>
          <cell r="E168" t="str">
            <v>Nuevo Porvenir</v>
          </cell>
          <cell r="H168" t="str">
            <v>salud_oral</v>
          </cell>
          <cell r="J168" t="str">
            <v>bueno</v>
          </cell>
          <cell r="K168" t="str">
            <v>probsi</v>
          </cell>
        </row>
        <row r="169">
          <cell r="B169" t="b">
            <v>1</v>
          </cell>
          <cell r="E169" t="str">
            <v>Nuevo Porvenir</v>
          </cell>
          <cell r="H169" t="str">
            <v>consulta_externa</v>
          </cell>
          <cell r="J169" t="str">
            <v>bueno</v>
          </cell>
          <cell r="K169" t="str">
            <v>probsi</v>
          </cell>
        </row>
        <row r="170">
          <cell r="B170" t="b">
            <v>1</v>
          </cell>
          <cell r="E170" t="str">
            <v>Nuevo Porvenir</v>
          </cell>
          <cell r="H170" t="str">
            <v>consulta_externa</v>
          </cell>
          <cell r="J170" t="str">
            <v>bueno</v>
          </cell>
          <cell r="K170" t="str">
            <v>probsi</v>
          </cell>
        </row>
        <row r="171">
          <cell r="B171" t="b">
            <v>1</v>
          </cell>
          <cell r="E171" t="str">
            <v>Nuevo Porvenir</v>
          </cell>
          <cell r="H171" t="str">
            <v>consulta_externa</v>
          </cell>
          <cell r="J171" t="str">
            <v>bueno</v>
          </cell>
          <cell r="K171" t="str">
            <v>probsi</v>
          </cell>
        </row>
        <row r="172">
          <cell r="B172" t="b">
            <v>1</v>
          </cell>
          <cell r="E172" t="str">
            <v>Nuevo Porvenir</v>
          </cell>
          <cell r="H172" t="str">
            <v>consulta_externa</v>
          </cell>
          <cell r="J172" t="str">
            <v>bueno</v>
          </cell>
          <cell r="K172" t="str">
            <v>probsi</v>
          </cell>
        </row>
        <row r="173">
          <cell r="B173" t="b">
            <v>1</v>
          </cell>
          <cell r="E173" t="str">
            <v>Nuevo Porvenir</v>
          </cell>
          <cell r="H173" t="str">
            <v>consulta_externa</v>
          </cell>
          <cell r="J173" t="str">
            <v>bueno</v>
          </cell>
          <cell r="K173" t="str">
            <v>probsi</v>
          </cell>
        </row>
        <row r="174">
          <cell r="B174" t="b">
            <v>1</v>
          </cell>
          <cell r="E174" t="str">
            <v>Nuevo Porvenir</v>
          </cell>
          <cell r="H174" t="str">
            <v>laboratorio</v>
          </cell>
          <cell r="J174" t="str">
            <v>bueno</v>
          </cell>
          <cell r="K174" t="str">
            <v>probsi</v>
          </cell>
        </row>
        <row r="175">
          <cell r="B175" t="b">
            <v>1</v>
          </cell>
          <cell r="E175" t="str">
            <v>Nuevo Porvenir</v>
          </cell>
          <cell r="H175" t="str">
            <v>laboratorio</v>
          </cell>
          <cell r="J175" t="str">
            <v>bueno</v>
          </cell>
          <cell r="K175" t="str">
            <v>probsi</v>
          </cell>
        </row>
        <row r="176">
          <cell r="B176" t="b">
            <v>1</v>
          </cell>
          <cell r="E176" t="str">
            <v>Nuevo Porvenir</v>
          </cell>
          <cell r="H176" t="str">
            <v>salud_oral</v>
          </cell>
          <cell r="J176" t="str">
            <v>bueno</v>
          </cell>
          <cell r="K176" t="str">
            <v>probsi</v>
          </cell>
        </row>
        <row r="177">
          <cell r="B177" t="b">
            <v>1</v>
          </cell>
          <cell r="E177" t="str">
            <v>Nuevo Porvenir</v>
          </cell>
          <cell r="H177" t="str">
            <v>salud_oral</v>
          </cell>
          <cell r="J177" t="str">
            <v>bueno</v>
          </cell>
          <cell r="K177" t="str">
            <v>probsi</v>
          </cell>
        </row>
        <row r="178">
          <cell r="B178" t="b">
            <v>1</v>
          </cell>
          <cell r="E178" t="str">
            <v>Nuevo Porvenir</v>
          </cell>
          <cell r="H178" t="str">
            <v>consulta_externa</v>
          </cell>
          <cell r="J178" t="str">
            <v>bueno</v>
          </cell>
          <cell r="K178" t="str">
            <v>probsi</v>
          </cell>
        </row>
        <row r="179">
          <cell r="B179" t="b">
            <v>1</v>
          </cell>
          <cell r="E179" t="str">
            <v>Nuevo Porvenir</v>
          </cell>
          <cell r="H179" t="str">
            <v>consulta_externa</v>
          </cell>
          <cell r="J179" t="str">
            <v>bueno</v>
          </cell>
          <cell r="K179" t="str">
            <v>probsi</v>
          </cell>
        </row>
        <row r="180">
          <cell r="B180" t="b">
            <v>1</v>
          </cell>
          <cell r="E180" t="str">
            <v>Nuevo Porvenir</v>
          </cell>
          <cell r="H180" t="str">
            <v>consulta_externa</v>
          </cell>
          <cell r="J180" t="str">
            <v>bueno</v>
          </cell>
          <cell r="K180" t="str">
            <v>probsi</v>
          </cell>
        </row>
        <row r="181">
          <cell r="B181" t="b">
            <v>1</v>
          </cell>
          <cell r="E181" t="str">
            <v>Nuevo Porvenir</v>
          </cell>
          <cell r="H181" t="str">
            <v>consulta_externa</v>
          </cell>
          <cell r="J181" t="str">
            <v>bueno</v>
          </cell>
          <cell r="K181" t="str">
            <v>probsi</v>
          </cell>
        </row>
        <row r="182">
          <cell r="B182" t="b">
            <v>1</v>
          </cell>
          <cell r="E182" t="str">
            <v>Nuevo Porvenir</v>
          </cell>
          <cell r="H182" t="str">
            <v>consulta_externa</v>
          </cell>
          <cell r="J182" t="str">
            <v>bueno</v>
          </cell>
          <cell r="K182" t="str">
            <v>probsi</v>
          </cell>
        </row>
        <row r="183">
          <cell r="B183" t="b">
            <v>1</v>
          </cell>
          <cell r="E183" t="str">
            <v>Nuevo Porvenir</v>
          </cell>
          <cell r="H183" t="str">
            <v>consulta_externa</v>
          </cell>
          <cell r="J183" t="str">
            <v>bueno</v>
          </cell>
          <cell r="K183" t="str">
            <v>probsi</v>
          </cell>
        </row>
        <row r="184">
          <cell r="B184" t="b">
            <v>1</v>
          </cell>
          <cell r="E184" t="str">
            <v>Nuevo Porvenir</v>
          </cell>
          <cell r="H184" t="str">
            <v>consulta_externa</v>
          </cell>
          <cell r="J184" t="str">
            <v>bueno</v>
          </cell>
          <cell r="K184" t="str">
            <v>probsi</v>
          </cell>
        </row>
        <row r="185">
          <cell r="B185" t="b">
            <v>1</v>
          </cell>
          <cell r="E185" t="str">
            <v>Nuevo Porvenir</v>
          </cell>
          <cell r="H185" t="str">
            <v>consulta_externa</v>
          </cell>
          <cell r="J185" t="str">
            <v>bueno</v>
          </cell>
          <cell r="K185" t="str">
            <v>probsi</v>
          </cell>
        </row>
        <row r="186">
          <cell r="B186" t="b">
            <v>1</v>
          </cell>
          <cell r="E186" t="str">
            <v>Nuevo Porvenir</v>
          </cell>
          <cell r="H186" t="str">
            <v>consulta_externa</v>
          </cell>
          <cell r="J186" t="str">
            <v>bueno</v>
          </cell>
          <cell r="K186" t="str">
            <v>probsi</v>
          </cell>
        </row>
        <row r="187">
          <cell r="B187" t="b">
            <v>1</v>
          </cell>
          <cell r="E187" t="str">
            <v>Nuevo Porvenir</v>
          </cell>
          <cell r="H187" t="str">
            <v>consulta_externa</v>
          </cell>
          <cell r="J187" t="str">
            <v>bueno</v>
          </cell>
          <cell r="K187" t="str">
            <v>probsi</v>
          </cell>
        </row>
        <row r="188">
          <cell r="B188" t="b">
            <v>1</v>
          </cell>
          <cell r="E188" t="str">
            <v>Nuevo Porvenir</v>
          </cell>
          <cell r="H188" t="str">
            <v>consulta_externa</v>
          </cell>
          <cell r="J188" t="str">
            <v>bueno</v>
          </cell>
          <cell r="K188" t="str">
            <v>probsi</v>
          </cell>
        </row>
        <row r="189">
          <cell r="B189" t="b">
            <v>1</v>
          </cell>
          <cell r="E189" t="str">
            <v>Nuevo Porvenir</v>
          </cell>
          <cell r="H189" t="str">
            <v>consulta_externa</v>
          </cell>
          <cell r="J189" t="str">
            <v>bueno</v>
          </cell>
          <cell r="K189" t="str">
            <v>probsi</v>
          </cell>
        </row>
        <row r="190">
          <cell r="B190" t="b">
            <v>1</v>
          </cell>
          <cell r="E190" t="str">
            <v>Nuevo Porvenir</v>
          </cell>
          <cell r="H190" t="str">
            <v>consulta_externa</v>
          </cell>
          <cell r="J190" t="str">
            <v>bueno</v>
          </cell>
          <cell r="K190" t="str">
            <v>probsi</v>
          </cell>
        </row>
        <row r="191">
          <cell r="B191" t="b">
            <v>1</v>
          </cell>
          <cell r="E191" t="str">
            <v>Nuevo Porvenir</v>
          </cell>
          <cell r="H191" t="str">
            <v>laboratorio</v>
          </cell>
          <cell r="J191" t="str">
            <v>bueno</v>
          </cell>
          <cell r="K191" t="str">
            <v>probsi</v>
          </cell>
        </row>
        <row r="192">
          <cell r="B192" t="b">
            <v>1</v>
          </cell>
          <cell r="E192" t="str">
            <v>Daniel Lemaitre</v>
          </cell>
          <cell r="H192" t="str">
            <v>consulta_externa</v>
          </cell>
          <cell r="J192" t="str">
            <v>bueno</v>
          </cell>
          <cell r="K192" t="str">
            <v>probsi</v>
          </cell>
        </row>
        <row r="193">
          <cell r="B193" t="b">
            <v>1</v>
          </cell>
          <cell r="E193" t="str">
            <v>Nuevo Porvenir</v>
          </cell>
          <cell r="H193" t="str">
            <v>laboratorio</v>
          </cell>
          <cell r="J193" t="str">
            <v>bueno</v>
          </cell>
          <cell r="K193" t="str">
            <v>probsi</v>
          </cell>
        </row>
        <row r="194">
          <cell r="B194" t="b">
            <v>1</v>
          </cell>
          <cell r="E194" t="str">
            <v>Nuevo Porvenir</v>
          </cell>
          <cell r="H194" t="str">
            <v>laboratorio</v>
          </cell>
          <cell r="J194" t="str">
            <v>bueno</v>
          </cell>
          <cell r="K194" t="str">
            <v>probsi</v>
          </cell>
        </row>
        <row r="195">
          <cell r="B195" t="b">
            <v>1</v>
          </cell>
          <cell r="E195" t="str">
            <v>Nuevo Porvenir</v>
          </cell>
          <cell r="H195" t="str">
            <v>laboratorio</v>
          </cell>
          <cell r="J195" t="str">
            <v>bueno</v>
          </cell>
          <cell r="K195" t="str">
            <v>probsi</v>
          </cell>
        </row>
        <row r="196">
          <cell r="B196" t="b">
            <v>1</v>
          </cell>
          <cell r="E196" t="str">
            <v>Daniel Lemaitre</v>
          </cell>
          <cell r="H196" t="str">
            <v>salud_oral</v>
          </cell>
          <cell r="J196" t="str">
            <v>bueno</v>
          </cell>
          <cell r="K196" t="str">
            <v>probsi</v>
          </cell>
        </row>
        <row r="197">
          <cell r="B197" t="b">
            <v>1</v>
          </cell>
          <cell r="E197" t="str">
            <v>Daniel Lemaitre</v>
          </cell>
          <cell r="H197" t="str">
            <v>consulta_externa</v>
          </cell>
          <cell r="J197" t="str">
            <v>bueno</v>
          </cell>
          <cell r="K197" t="str">
            <v>probsi</v>
          </cell>
        </row>
        <row r="198">
          <cell r="B198" t="b">
            <v>1</v>
          </cell>
          <cell r="E198" t="str">
            <v>Daniel Lemaitre</v>
          </cell>
          <cell r="H198" t="str">
            <v>laboratorio</v>
          </cell>
          <cell r="J198" t="str">
            <v>bueno</v>
          </cell>
          <cell r="K198" t="str">
            <v>probsi</v>
          </cell>
        </row>
        <row r="199">
          <cell r="B199" t="b">
            <v>1</v>
          </cell>
          <cell r="E199" t="str">
            <v>Daniel Lemaitre</v>
          </cell>
          <cell r="H199" t="str">
            <v>laboratorio</v>
          </cell>
          <cell r="J199" t="str">
            <v>bueno</v>
          </cell>
          <cell r="K199" t="str">
            <v>probsi</v>
          </cell>
        </row>
        <row r="200">
          <cell r="B200" t="b">
            <v>1</v>
          </cell>
          <cell r="E200" t="str">
            <v>Daniel Lemaitre</v>
          </cell>
          <cell r="H200" t="str">
            <v>consulta_externa</v>
          </cell>
          <cell r="J200" t="str">
            <v>bueno</v>
          </cell>
          <cell r="K200" t="str">
            <v>probsi</v>
          </cell>
        </row>
        <row r="201">
          <cell r="B201" t="b">
            <v>1</v>
          </cell>
          <cell r="E201" t="str">
            <v>Daniel Lemaitre</v>
          </cell>
          <cell r="H201" t="str">
            <v>laboratorio</v>
          </cell>
          <cell r="J201" t="str">
            <v>bueno</v>
          </cell>
          <cell r="K201" t="str">
            <v>probsi</v>
          </cell>
        </row>
        <row r="202">
          <cell r="B202" t="b">
            <v>1</v>
          </cell>
          <cell r="E202" t="str">
            <v>Daniel Lemaitre</v>
          </cell>
          <cell r="H202" t="str">
            <v>salud_oral</v>
          </cell>
          <cell r="J202" t="str">
            <v>bueno</v>
          </cell>
          <cell r="K202" t="str">
            <v>probsi</v>
          </cell>
        </row>
        <row r="203">
          <cell r="B203" t="b">
            <v>1</v>
          </cell>
          <cell r="E203" t="str">
            <v>Bayunca</v>
          </cell>
          <cell r="H203" t="str">
            <v>consulta_externa</v>
          </cell>
          <cell r="J203" t="str">
            <v>bueno</v>
          </cell>
          <cell r="K203" t="str">
            <v>defsi</v>
          </cell>
        </row>
        <row r="204">
          <cell r="B204" t="b">
            <v>1</v>
          </cell>
          <cell r="E204" t="str">
            <v>Bayunca</v>
          </cell>
          <cell r="H204" t="str">
            <v>salud_oral</v>
          </cell>
          <cell r="J204" t="str">
            <v>bueno</v>
          </cell>
          <cell r="K204" t="str">
            <v>defsi</v>
          </cell>
        </row>
        <row r="205">
          <cell r="B205" t="b">
            <v>1</v>
          </cell>
          <cell r="E205" t="str">
            <v>Daniel Lemaitre</v>
          </cell>
          <cell r="H205" t="str">
            <v>consulta_externa</v>
          </cell>
          <cell r="J205" t="str">
            <v>bueno</v>
          </cell>
          <cell r="K205" t="str">
            <v>probsi</v>
          </cell>
        </row>
        <row r="206">
          <cell r="B206" t="b">
            <v>1</v>
          </cell>
          <cell r="E206" t="str">
            <v>Bayunca</v>
          </cell>
          <cell r="H206" t="str">
            <v>laboratorio</v>
          </cell>
          <cell r="J206" t="str">
            <v>bueno</v>
          </cell>
          <cell r="K206" t="str">
            <v>defsi</v>
          </cell>
        </row>
        <row r="207">
          <cell r="B207" t="b">
            <v>1</v>
          </cell>
          <cell r="E207" t="str">
            <v>Bayunca</v>
          </cell>
          <cell r="H207" t="str">
            <v>urgencia</v>
          </cell>
          <cell r="J207" t="str">
            <v>bueno</v>
          </cell>
          <cell r="K207" t="str">
            <v>defsi</v>
          </cell>
        </row>
        <row r="208">
          <cell r="B208" t="b">
            <v>1</v>
          </cell>
          <cell r="E208" t="str">
            <v>Bayunca</v>
          </cell>
          <cell r="H208" t="str">
            <v>consulta_externa</v>
          </cell>
          <cell r="J208" t="str">
            <v>bueno</v>
          </cell>
          <cell r="K208" t="str">
            <v>defsi</v>
          </cell>
        </row>
        <row r="209">
          <cell r="B209" t="b">
            <v>1</v>
          </cell>
          <cell r="E209" t="str">
            <v>Bayunca</v>
          </cell>
          <cell r="H209" t="str">
            <v>salud_oral</v>
          </cell>
          <cell r="J209" t="str">
            <v>bueno</v>
          </cell>
          <cell r="K209" t="str">
            <v>defsi</v>
          </cell>
        </row>
        <row r="210">
          <cell r="B210" t="b">
            <v>1</v>
          </cell>
          <cell r="E210" t="str">
            <v>Bayunca</v>
          </cell>
          <cell r="H210" t="str">
            <v>laboratorio</v>
          </cell>
          <cell r="J210" t="str">
            <v>bueno</v>
          </cell>
          <cell r="K210" t="str">
            <v>defsi</v>
          </cell>
        </row>
        <row r="211">
          <cell r="B211" t="b">
            <v>1</v>
          </cell>
          <cell r="E211" t="str">
            <v>Daniel Lemaitre</v>
          </cell>
          <cell r="H211" t="str">
            <v>consulta_externa</v>
          </cell>
          <cell r="J211" t="str">
            <v>bueno</v>
          </cell>
          <cell r="K211" t="str">
            <v>probsi</v>
          </cell>
        </row>
        <row r="212">
          <cell r="B212" t="b">
            <v>1</v>
          </cell>
          <cell r="E212" t="str">
            <v>Bayunca</v>
          </cell>
          <cell r="H212" t="str">
            <v>urgencia</v>
          </cell>
          <cell r="J212" t="str">
            <v>bueno</v>
          </cell>
          <cell r="K212" t="str">
            <v>defsi</v>
          </cell>
        </row>
        <row r="213">
          <cell r="B213" t="b">
            <v>1</v>
          </cell>
          <cell r="E213" t="str">
            <v>Daniel Lemaitre</v>
          </cell>
          <cell r="H213" t="str">
            <v>salud_oral</v>
          </cell>
          <cell r="J213" t="str">
            <v>bueno</v>
          </cell>
          <cell r="K213" t="str">
            <v>probsi</v>
          </cell>
        </row>
        <row r="214">
          <cell r="B214" t="b">
            <v>1</v>
          </cell>
          <cell r="E214" t="str">
            <v>Daniel Lemaitre</v>
          </cell>
          <cell r="H214" t="str">
            <v>laboratorio</v>
          </cell>
          <cell r="J214" t="str">
            <v>bueno</v>
          </cell>
          <cell r="K214" t="str">
            <v>probsi</v>
          </cell>
        </row>
        <row r="215">
          <cell r="B215" t="b">
            <v>1</v>
          </cell>
          <cell r="E215" t="str">
            <v>Bayunca</v>
          </cell>
          <cell r="H215" t="str">
            <v>consulta_externa</v>
          </cell>
          <cell r="J215" t="str">
            <v>bueno</v>
          </cell>
          <cell r="K215" t="str">
            <v>defsi</v>
          </cell>
        </row>
        <row r="216">
          <cell r="B216" t="b">
            <v>1</v>
          </cell>
          <cell r="E216" t="str">
            <v>Bayunca</v>
          </cell>
          <cell r="H216" t="str">
            <v>salud_oral</v>
          </cell>
          <cell r="J216" t="str">
            <v>bueno</v>
          </cell>
          <cell r="K216" t="str">
            <v>defsi</v>
          </cell>
        </row>
        <row r="217">
          <cell r="B217" t="b">
            <v>1</v>
          </cell>
          <cell r="E217" t="str">
            <v>Bayunca</v>
          </cell>
          <cell r="H217" t="str">
            <v>laboratorio</v>
          </cell>
          <cell r="J217" t="str">
            <v>bueno</v>
          </cell>
          <cell r="K217" t="str">
            <v>defsi</v>
          </cell>
        </row>
        <row r="218">
          <cell r="B218" t="b">
            <v>1</v>
          </cell>
          <cell r="E218" t="str">
            <v>Daniel Lemaitre</v>
          </cell>
          <cell r="H218" t="str">
            <v>consulta_externa</v>
          </cell>
          <cell r="J218" t="str">
            <v>bueno</v>
          </cell>
          <cell r="K218" t="str">
            <v>probsi</v>
          </cell>
        </row>
        <row r="219">
          <cell r="B219" t="b">
            <v>1</v>
          </cell>
          <cell r="E219" t="str">
            <v>Bayunca</v>
          </cell>
          <cell r="H219" t="str">
            <v>urgencia</v>
          </cell>
          <cell r="J219" t="str">
            <v>bueno</v>
          </cell>
          <cell r="K219" t="str">
            <v>defsi</v>
          </cell>
        </row>
        <row r="220">
          <cell r="B220" t="b">
            <v>1</v>
          </cell>
          <cell r="E220" t="str">
            <v>Bayunca</v>
          </cell>
          <cell r="H220" t="str">
            <v>consulta_externa</v>
          </cell>
          <cell r="J220" t="str">
            <v>bueno</v>
          </cell>
          <cell r="K220" t="str">
            <v>defsi</v>
          </cell>
        </row>
        <row r="221">
          <cell r="B221" t="b">
            <v>1</v>
          </cell>
          <cell r="E221" t="str">
            <v>Bayunca</v>
          </cell>
          <cell r="H221" t="str">
            <v>salud_oral</v>
          </cell>
          <cell r="J221" t="str">
            <v>bueno</v>
          </cell>
          <cell r="K221" t="str">
            <v>defsi</v>
          </cell>
        </row>
        <row r="222">
          <cell r="B222" t="b">
            <v>1</v>
          </cell>
          <cell r="E222" t="str">
            <v>Bayunca</v>
          </cell>
          <cell r="H222" t="str">
            <v>laboratorio</v>
          </cell>
          <cell r="J222" t="str">
            <v>bueno</v>
          </cell>
          <cell r="K222" t="str">
            <v>defsi</v>
          </cell>
        </row>
        <row r="223">
          <cell r="B223" t="b">
            <v>1</v>
          </cell>
          <cell r="E223" t="str">
            <v>Bayunca</v>
          </cell>
          <cell r="H223" t="str">
            <v>urgencia</v>
          </cell>
          <cell r="J223" t="str">
            <v>bueno</v>
          </cell>
          <cell r="K223" t="str">
            <v>defsi</v>
          </cell>
        </row>
        <row r="224">
          <cell r="B224" t="b">
            <v>1</v>
          </cell>
          <cell r="E224" t="str">
            <v>Daniel Lemaitre</v>
          </cell>
          <cell r="H224" t="str">
            <v>consulta_externa</v>
          </cell>
          <cell r="J224" t="str">
            <v>bueno</v>
          </cell>
          <cell r="K224" t="str">
            <v>probsi</v>
          </cell>
        </row>
        <row r="225">
          <cell r="B225" t="b">
            <v>1</v>
          </cell>
          <cell r="E225" t="str">
            <v>Daniel Lemaitre</v>
          </cell>
          <cell r="H225" t="str">
            <v>consulta_externa</v>
          </cell>
          <cell r="J225" t="str">
            <v>bueno</v>
          </cell>
          <cell r="K225" t="str">
            <v>probsi</v>
          </cell>
        </row>
        <row r="226">
          <cell r="B226" t="b">
            <v>1</v>
          </cell>
          <cell r="E226" t="str">
            <v>Daniel Lemaitre</v>
          </cell>
          <cell r="H226" t="str">
            <v>consulta_externa</v>
          </cell>
          <cell r="J226" t="str">
            <v>bueno</v>
          </cell>
          <cell r="K226" t="str">
            <v>probsi</v>
          </cell>
        </row>
        <row r="227">
          <cell r="B227" t="b">
            <v>1</v>
          </cell>
          <cell r="E227" t="str">
            <v>Daniel Lemaitre</v>
          </cell>
          <cell r="H227" t="str">
            <v>consulta_externa</v>
          </cell>
          <cell r="J227" t="str">
            <v>bueno</v>
          </cell>
          <cell r="K227" t="str">
            <v>probsi</v>
          </cell>
        </row>
        <row r="228">
          <cell r="B228" t="b">
            <v>1</v>
          </cell>
          <cell r="E228" t="str">
            <v>Daniel Lemaitre</v>
          </cell>
          <cell r="H228" t="str">
            <v>consulta_externa</v>
          </cell>
          <cell r="J228" t="str">
            <v>bueno</v>
          </cell>
          <cell r="K228" t="str">
            <v>probsi</v>
          </cell>
        </row>
        <row r="229">
          <cell r="B229" t="b">
            <v>1</v>
          </cell>
          <cell r="E229" t="str">
            <v>Daniel Lemaitre</v>
          </cell>
          <cell r="H229" t="str">
            <v>consulta_externa</v>
          </cell>
          <cell r="J229" t="str">
            <v>bueno</v>
          </cell>
          <cell r="K229" t="str">
            <v>probsi</v>
          </cell>
        </row>
        <row r="230">
          <cell r="B230" t="b">
            <v>1</v>
          </cell>
          <cell r="E230" t="str">
            <v>Los Cerros</v>
          </cell>
          <cell r="H230" t="str">
            <v>consulta_externa</v>
          </cell>
          <cell r="J230" t="str">
            <v>muybueno</v>
          </cell>
          <cell r="K230" t="str">
            <v>defsi</v>
          </cell>
        </row>
        <row r="231">
          <cell r="B231" t="b">
            <v>1</v>
          </cell>
          <cell r="E231" t="str">
            <v>Los Cerros</v>
          </cell>
          <cell r="H231" t="str">
            <v>laboratorio</v>
          </cell>
          <cell r="J231" t="str">
            <v>bueno</v>
          </cell>
          <cell r="K231" t="str">
            <v>defsi</v>
          </cell>
        </row>
        <row r="232">
          <cell r="B232" t="b">
            <v>1</v>
          </cell>
          <cell r="E232" t="str">
            <v>Daniel Lemaitre</v>
          </cell>
          <cell r="H232" t="str">
            <v>salud_oral</v>
          </cell>
          <cell r="J232" t="str">
            <v>bueno</v>
          </cell>
          <cell r="K232" t="str">
            <v>probsi</v>
          </cell>
        </row>
        <row r="233">
          <cell r="B233" t="b">
            <v>1</v>
          </cell>
          <cell r="E233" t="str">
            <v>Daniel Lemaitre</v>
          </cell>
          <cell r="H233" t="str">
            <v>salud_oral</v>
          </cell>
          <cell r="J233" t="str">
            <v>bueno</v>
          </cell>
          <cell r="K233" t="str">
            <v>probsi</v>
          </cell>
        </row>
        <row r="234">
          <cell r="B234" t="b">
            <v>1</v>
          </cell>
          <cell r="E234" t="str">
            <v>Los Cerros</v>
          </cell>
          <cell r="H234" t="str">
            <v>laboratorio</v>
          </cell>
          <cell r="J234" t="str">
            <v>bueno</v>
          </cell>
          <cell r="K234" t="str">
            <v>defsi</v>
          </cell>
        </row>
        <row r="235">
          <cell r="B235" t="b">
            <v>1</v>
          </cell>
          <cell r="E235" t="str">
            <v>Daniel Lemaitre</v>
          </cell>
          <cell r="H235" t="str">
            <v>salud_oral</v>
          </cell>
          <cell r="J235" t="str">
            <v>bueno</v>
          </cell>
          <cell r="K235" t="str">
            <v>probsi</v>
          </cell>
        </row>
        <row r="236">
          <cell r="B236" t="b">
            <v>1</v>
          </cell>
          <cell r="E236" t="str">
            <v>Daniel Lemaitre</v>
          </cell>
          <cell r="H236" t="str">
            <v>salud_oral</v>
          </cell>
          <cell r="J236" t="str">
            <v>bueno</v>
          </cell>
          <cell r="K236" t="str">
            <v>probsi</v>
          </cell>
        </row>
        <row r="237">
          <cell r="B237" t="b">
            <v>1</v>
          </cell>
          <cell r="E237" t="str">
            <v>Los Cerros</v>
          </cell>
          <cell r="H237" t="str">
            <v>consulta_externa</v>
          </cell>
          <cell r="J237" t="str">
            <v>muybueno</v>
          </cell>
          <cell r="K237" t="str">
            <v>defsi</v>
          </cell>
        </row>
        <row r="238">
          <cell r="B238" t="b">
            <v>1</v>
          </cell>
          <cell r="E238" t="str">
            <v>Los Cerros</v>
          </cell>
          <cell r="H238" t="str">
            <v>consulta_externa</v>
          </cell>
          <cell r="J238" t="str">
            <v>bueno</v>
          </cell>
          <cell r="K238" t="str">
            <v>defsi</v>
          </cell>
        </row>
        <row r="239">
          <cell r="B239" t="b">
            <v>1</v>
          </cell>
          <cell r="E239" t="str">
            <v>Los Cerros</v>
          </cell>
          <cell r="H239" t="str">
            <v>laboratorio</v>
          </cell>
          <cell r="J239" t="str">
            <v>bueno</v>
          </cell>
          <cell r="K239" t="str">
            <v>defsi</v>
          </cell>
        </row>
        <row r="240">
          <cell r="B240" t="b">
            <v>1</v>
          </cell>
          <cell r="E240" t="str">
            <v>Los Cerros</v>
          </cell>
          <cell r="H240" t="str">
            <v>laboratorio</v>
          </cell>
          <cell r="J240" t="str">
            <v>bueno</v>
          </cell>
          <cell r="K240" t="str">
            <v>defsi</v>
          </cell>
        </row>
        <row r="241">
          <cell r="B241" t="b">
            <v>1</v>
          </cell>
          <cell r="E241" t="str">
            <v>Los Cerros</v>
          </cell>
          <cell r="H241" t="str">
            <v>consulta_externa</v>
          </cell>
          <cell r="J241" t="str">
            <v>bueno</v>
          </cell>
          <cell r="K241" t="str">
            <v>defsi</v>
          </cell>
        </row>
        <row r="242">
          <cell r="B242" t="b">
            <v>1</v>
          </cell>
          <cell r="E242" t="str">
            <v>Los Cerros</v>
          </cell>
          <cell r="H242" t="str">
            <v>laboratorio</v>
          </cell>
          <cell r="J242" t="str">
            <v>bueno</v>
          </cell>
          <cell r="K242" t="str">
            <v>defsi</v>
          </cell>
        </row>
        <row r="243">
          <cell r="B243" t="b">
            <v>1</v>
          </cell>
          <cell r="E243" t="str">
            <v>Los Cerros</v>
          </cell>
          <cell r="H243" t="str">
            <v>laboratorio</v>
          </cell>
          <cell r="J243" t="str">
            <v>bueno</v>
          </cell>
          <cell r="K243" t="str">
            <v>defsi</v>
          </cell>
        </row>
        <row r="244">
          <cell r="B244" t="b">
            <v>1</v>
          </cell>
          <cell r="E244" t="str">
            <v>Los Cerros</v>
          </cell>
          <cell r="H244" t="str">
            <v>laboratorio</v>
          </cell>
          <cell r="J244" t="str">
            <v>bueno</v>
          </cell>
          <cell r="K244" t="str">
            <v>defsi</v>
          </cell>
        </row>
        <row r="245">
          <cell r="B245" t="b">
            <v>1</v>
          </cell>
          <cell r="E245" t="str">
            <v>Los Cerros</v>
          </cell>
          <cell r="H245" t="str">
            <v>consulta_externa</v>
          </cell>
          <cell r="J245" t="str">
            <v>bueno</v>
          </cell>
          <cell r="K245" t="str">
            <v>defsi</v>
          </cell>
        </row>
        <row r="246">
          <cell r="B246" t="b">
            <v>1</v>
          </cell>
          <cell r="E246" t="str">
            <v>Los Cerros</v>
          </cell>
          <cell r="H246" t="str">
            <v>salud_oral</v>
          </cell>
          <cell r="J246" t="str">
            <v>bueno</v>
          </cell>
          <cell r="K246" t="str">
            <v>defsi</v>
          </cell>
        </row>
        <row r="247">
          <cell r="B247" t="b">
            <v>1</v>
          </cell>
          <cell r="E247" t="str">
            <v>Daniel Lemaitre</v>
          </cell>
          <cell r="H247" t="str">
            <v>consulta_externa</v>
          </cell>
          <cell r="J247" t="str">
            <v>bueno</v>
          </cell>
          <cell r="K247" t="str">
            <v>probsi</v>
          </cell>
        </row>
        <row r="248">
          <cell r="B248" t="b">
            <v>1</v>
          </cell>
          <cell r="E248" t="str">
            <v>Daniel Lemaitre</v>
          </cell>
          <cell r="H248" t="str">
            <v>salud_oral</v>
          </cell>
          <cell r="J248" t="str">
            <v>bueno</v>
          </cell>
          <cell r="K248" t="str">
            <v>probsi</v>
          </cell>
        </row>
        <row r="249">
          <cell r="B249" t="b">
            <v>0</v>
          </cell>
          <cell r="E249" t="str">
            <v>Daniel Lemaitre</v>
          </cell>
          <cell r="H249" t="str">
            <v>salud_oral</v>
          </cell>
          <cell r="J249" t="str">
            <v>regular</v>
          </cell>
          <cell r="K249" t="str">
            <v>probsi</v>
          </cell>
        </row>
        <row r="250">
          <cell r="B250" t="b">
            <v>1</v>
          </cell>
          <cell r="E250" t="str">
            <v>Los Cerros</v>
          </cell>
          <cell r="H250" t="str">
            <v>laboratorio</v>
          </cell>
          <cell r="J250" t="str">
            <v>bueno</v>
          </cell>
          <cell r="K250" t="str">
            <v>defsi</v>
          </cell>
        </row>
        <row r="251">
          <cell r="B251" t="b">
            <v>1</v>
          </cell>
          <cell r="E251" t="str">
            <v>Los Cerros</v>
          </cell>
          <cell r="H251" t="str">
            <v>laboratorio</v>
          </cell>
          <cell r="J251" t="str">
            <v>bueno</v>
          </cell>
          <cell r="K251" t="str">
            <v>defsi</v>
          </cell>
        </row>
        <row r="252">
          <cell r="B252" t="b">
            <v>1</v>
          </cell>
          <cell r="E252" t="str">
            <v>Los Cerros</v>
          </cell>
          <cell r="H252" t="str">
            <v>laboratorio</v>
          </cell>
          <cell r="J252" t="str">
            <v>bueno</v>
          </cell>
          <cell r="K252" t="str">
            <v>defsi</v>
          </cell>
        </row>
        <row r="253">
          <cell r="B253" t="b">
            <v>1</v>
          </cell>
          <cell r="E253" t="str">
            <v>Los Cerros</v>
          </cell>
          <cell r="H253" t="str">
            <v>laboratorio</v>
          </cell>
          <cell r="J253" t="str">
            <v>bueno</v>
          </cell>
          <cell r="K253" t="str">
            <v>defsi</v>
          </cell>
        </row>
        <row r="254">
          <cell r="B254" t="b">
            <v>1</v>
          </cell>
          <cell r="E254" t="str">
            <v>Los Cerros</v>
          </cell>
          <cell r="H254" t="str">
            <v>laboratorio</v>
          </cell>
          <cell r="J254" t="str">
            <v>bueno</v>
          </cell>
          <cell r="K254" t="str">
            <v>defsi</v>
          </cell>
        </row>
        <row r="255">
          <cell r="B255" t="b">
            <v>1</v>
          </cell>
          <cell r="E255" t="str">
            <v>Los Cerros</v>
          </cell>
          <cell r="H255" t="str">
            <v>laboratorio</v>
          </cell>
          <cell r="J255" t="str">
            <v>bueno</v>
          </cell>
          <cell r="K255" t="str">
            <v>defsi</v>
          </cell>
        </row>
        <row r="256">
          <cell r="B256" t="b">
            <v>1</v>
          </cell>
          <cell r="E256" t="str">
            <v>Los Cerros</v>
          </cell>
          <cell r="H256" t="str">
            <v>consulta_externa</v>
          </cell>
          <cell r="J256" t="str">
            <v>bueno</v>
          </cell>
          <cell r="K256" t="str">
            <v>defsi</v>
          </cell>
        </row>
        <row r="257">
          <cell r="B257" t="b">
            <v>1</v>
          </cell>
          <cell r="E257" t="str">
            <v>Los Cerros</v>
          </cell>
          <cell r="H257" t="str">
            <v>consulta_externa</v>
          </cell>
          <cell r="J257" t="str">
            <v>muybueno</v>
          </cell>
          <cell r="K257" t="str">
            <v>defsi</v>
          </cell>
        </row>
        <row r="258">
          <cell r="B258" t="b">
            <v>1</v>
          </cell>
          <cell r="E258" t="str">
            <v>Los Cerros</v>
          </cell>
          <cell r="H258" t="str">
            <v>consulta_externa</v>
          </cell>
          <cell r="J258" t="str">
            <v>muybueno</v>
          </cell>
          <cell r="K258" t="str">
            <v>defsi</v>
          </cell>
        </row>
        <row r="259">
          <cell r="B259" t="b">
            <v>1</v>
          </cell>
          <cell r="E259" t="str">
            <v>Los Cerros</v>
          </cell>
          <cell r="H259" t="str">
            <v>consulta_externa</v>
          </cell>
          <cell r="J259" t="str">
            <v>muybueno</v>
          </cell>
          <cell r="K259" t="str">
            <v>defsi</v>
          </cell>
        </row>
        <row r="260">
          <cell r="B260" t="b">
            <v>1</v>
          </cell>
          <cell r="E260" t="str">
            <v>Los Cerros</v>
          </cell>
          <cell r="H260" t="str">
            <v>medicina_interna</v>
          </cell>
          <cell r="J260" t="str">
            <v>bueno</v>
          </cell>
          <cell r="K260" t="str">
            <v>defsi</v>
          </cell>
        </row>
        <row r="261">
          <cell r="B261" t="b">
            <v>1</v>
          </cell>
          <cell r="E261" t="str">
            <v>Los Cerros</v>
          </cell>
          <cell r="H261" t="str">
            <v>salud_oral</v>
          </cell>
          <cell r="J261" t="str">
            <v>bueno</v>
          </cell>
          <cell r="K261" t="str">
            <v>defsi</v>
          </cell>
        </row>
        <row r="262">
          <cell r="B262" t="b">
            <v>1</v>
          </cell>
          <cell r="E262" t="str">
            <v>Los Cerros</v>
          </cell>
          <cell r="H262" t="str">
            <v>salud_oral</v>
          </cell>
          <cell r="J262" t="str">
            <v>bueno</v>
          </cell>
          <cell r="K262" t="str">
            <v>defsi</v>
          </cell>
        </row>
        <row r="263">
          <cell r="B263" t="b">
            <v>1</v>
          </cell>
          <cell r="E263" t="str">
            <v>Los Cerros</v>
          </cell>
          <cell r="H263" t="str">
            <v>salud_oral</v>
          </cell>
          <cell r="J263" t="str">
            <v>bueno</v>
          </cell>
          <cell r="K263" t="str">
            <v>defsi</v>
          </cell>
        </row>
        <row r="264">
          <cell r="B264" t="b">
            <v>1</v>
          </cell>
          <cell r="E264" t="str">
            <v>Los Cerros</v>
          </cell>
          <cell r="H264" t="str">
            <v>pediatria</v>
          </cell>
          <cell r="J264" t="str">
            <v>bueno</v>
          </cell>
          <cell r="K264" t="str">
            <v>defsi</v>
          </cell>
        </row>
        <row r="265">
          <cell r="B265" t="b">
            <v>1</v>
          </cell>
          <cell r="E265" t="str">
            <v>Los Cerros</v>
          </cell>
          <cell r="H265" t="str">
            <v>pediatria</v>
          </cell>
          <cell r="J265" t="str">
            <v>bueno</v>
          </cell>
          <cell r="K265" t="str">
            <v>defsi</v>
          </cell>
        </row>
        <row r="266">
          <cell r="B266" t="b">
            <v>1</v>
          </cell>
          <cell r="E266" t="str">
            <v>Daniel Lemaitre</v>
          </cell>
          <cell r="H266" t="str">
            <v>laboratorio</v>
          </cell>
          <cell r="J266" t="str">
            <v>bueno</v>
          </cell>
          <cell r="K266" t="str">
            <v>probsi</v>
          </cell>
        </row>
        <row r="267">
          <cell r="B267" t="b">
            <v>1</v>
          </cell>
          <cell r="E267" t="str">
            <v>Daniel Lemaitre</v>
          </cell>
          <cell r="H267" t="str">
            <v>laboratorio</v>
          </cell>
          <cell r="J267" t="str">
            <v>bueno</v>
          </cell>
          <cell r="K267" t="str">
            <v>probsi</v>
          </cell>
        </row>
        <row r="268">
          <cell r="B268" t="b">
            <v>1</v>
          </cell>
          <cell r="E268" t="str">
            <v>Daniel Lemaitre</v>
          </cell>
          <cell r="H268" t="str">
            <v>salud_oral</v>
          </cell>
          <cell r="J268" t="str">
            <v>bueno</v>
          </cell>
          <cell r="K268" t="str">
            <v>probsi</v>
          </cell>
        </row>
        <row r="269">
          <cell r="B269" t="b">
            <v>1</v>
          </cell>
          <cell r="E269" t="str">
            <v>Los Cerros</v>
          </cell>
          <cell r="H269" t="str">
            <v>pediatria</v>
          </cell>
          <cell r="J269" t="str">
            <v>bueno</v>
          </cell>
          <cell r="K269" t="str">
            <v>defsi</v>
          </cell>
        </row>
        <row r="270">
          <cell r="B270" t="b">
            <v>1</v>
          </cell>
          <cell r="E270" t="str">
            <v>Daniel Lemaitre</v>
          </cell>
          <cell r="H270" t="str">
            <v>salud_oral</v>
          </cell>
          <cell r="J270" t="str">
            <v>bueno</v>
          </cell>
          <cell r="K270" t="str">
            <v>probsi</v>
          </cell>
        </row>
        <row r="271">
          <cell r="B271" t="b">
            <v>1</v>
          </cell>
          <cell r="E271" t="str">
            <v>Los Cerros</v>
          </cell>
          <cell r="H271" t="str">
            <v>salud_oral</v>
          </cell>
          <cell r="J271" t="str">
            <v>muybueno</v>
          </cell>
          <cell r="K271" t="str">
            <v>defsi</v>
          </cell>
        </row>
        <row r="272">
          <cell r="B272" t="b">
            <v>1</v>
          </cell>
          <cell r="E272" t="str">
            <v>Daniel Lemaitre</v>
          </cell>
          <cell r="H272" t="str">
            <v>laboratorio</v>
          </cell>
          <cell r="J272" t="str">
            <v>bueno</v>
          </cell>
          <cell r="K272" t="str">
            <v>probsi</v>
          </cell>
        </row>
        <row r="273">
          <cell r="B273" t="b">
            <v>1</v>
          </cell>
          <cell r="E273" t="str">
            <v>Los Cerros</v>
          </cell>
          <cell r="H273" t="str">
            <v>ginecologia</v>
          </cell>
          <cell r="J273" t="str">
            <v>muybueno</v>
          </cell>
          <cell r="K273" t="str">
            <v>defsi</v>
          </cell>
        </row>
        <row r="274">
          <cell r="B274" t="b">
            <v>1</v>
          </cell>
          <cell r="E274" t="str">
            <v>Daniel Lemaitre</v>
          </cell>
          <cell r="H274" t="str">
            <v>consulta_externa</v>
          </cell>
          <cell r="J274" t="str">
            <v>bueno</v>
          </cell>
          <cell r="K274" t="str">
            <v>probsi</v>
          </cell>
        </row>
        <row r="275">
          <cell r="B275" t="b">
            <v>1</v>
          </cell>
          <cell r="E275" t="str">
            <v>Daniel Lemaitre</v>
          </cell>
          <cell r="H275" t="str">
            <v>salud_oral</v>
          </cell>
          <cell r="J275" t="str">
            <v>bueno</v>
          </cell>
          <cell r="K275" t="str">
            <v>probsi</v>
          </cell>
        </row>
        <row r="276">
          <cell r="B276" t="b">
            <v>1</v>
          </cell>
          <cell r="E276" t="str">
            <v>Daniel Lemaitre</v>
          </cell>
          <cell r="H276" t="str">
            <v>laboratorio</v>
          </cell>
          <cell r="J276" t="str">
            <v>bueno</v>
          </cell>
          <cell r="K276" t="str">
            <v>probsi</v>
          </cell>
        </row>
        <row r="277">
          <cell r="B277" t="b">
            <v>1</v>
          </cell>
          <cell r="E277" t="str">
            <v>Los Cerros</v>
          </cell>
          <cell r="H277" t="str">
            <v>electros</v>
          </cell>
          <cell r="J277" t="str">
            <v>bueno</v>
          </cell>
          <cell r="K277" t="str">
            <v>defsi</v>
          </cell>
        </row>
        <row r="278">
          <cell r="B278" t="b">
            <v>1</v>
          </cell>
          <cell r="E278" t="str">
            <v>Daniel Lemaitre</v>
          </cell>
          <cell r="H278" t="str">
            <v>salud_oral</v>
          </cell>
          <cell r="J278" t="str">
            <v>bueno</v>
          </cell>
          <cell r="K278" t="str">
            <v>probsi</v>
          </cell>
        </row>
        <row r="279">
          <cell r="B279" t="b">
            <v>1</v>
          </cell>
          <cell r="E279" t="str">
            <v>Los Cerros</v>
          </cell>
          <cell r="H279" t="str">
            <v>electros</v>
          </cell>
          <cell r="J279" t="str">
            <v>bueno</v>
          </cell>
          <cell r="K279" t="str">
            <v>defsi</v>
          </cell>
        </row>
        <row r="280">
          <cell r="B280" t="b">
            <v>1</v>
          </cell>
          <cell r="E280" t="str">
            <v>Los Cerros</v>
          </cell>
          <cell r="H280" t="str">
            <v>salud_oral</v>
          </cell>
          <cell r="J280" t="str">
            <v>bueno</v>
          </cell>
          <cell r="K280" t="str">
            <v>defsi</v>
          </cell>
        </row>
        <row r="281">
          <cell r="B281" t="b">
            <v>1</v>
          </cell>
          <cell r="E281" t="str">
            <v>Los Cerros</v>
          </cell>
          <cell r="H281" t="str">
            <v>salud_oral</v>
          </cell>
          <cell r="J281" t="str">
            <v>bueno</v>
          </cell>
          <cell r="K281" t="str">
            <v>defsi</v>
          </cell>
        </row>
        <row r="282">
          <cell r="B282" t="b">
            <v>1</v>
          </cell>
          <cell r="E282" t="str">
            <v>Los Cerros</v>
          </cell>
          <cell r="H282" t="str">
            <v>salud_oral</v>
          </cell>
          <cell r="J282" t="str">
            <v>bueno</v>
          </cell>
          <cell r="K282" t="str">
            <v>defsi</v>
          </cell>
        </row>
        <row r="283">
          <cell r="B283" t="b">
            <v>1</v>
          </cell>
          <cell r="E283" t="str">
            <v>Los Cerros</v>
          </cell>
          <cell r="H283" t="str">
            <v>electros</v>
          </cell>
          <cell r="J283" t="str">
            <v>bueno</v>
          </cell>
          <cell r="K283" t="str">
            <v>defsi</v>
          </cell>
        </row>
        <row r="284">
          <cell r="B284" t="b">
            <v>1</v>
          </cell>
          <cell r="E284" t="str">
            <v>Los Cerros</v>
          </cell>
          <cell r="H284" t="str">
            <v>electros</v>
          </cell>
          <cell r="J284" t="str">
            <v>bueno</v>
          </cell>
          <cell r="K284" t="str">
            <v>defsi</v>
          </cell>
        </row>
        <row r="285">
          <cell r="B285" t="b">
            <v>0</v>
          </cell>
          <cell r="E285" t="str">
            <v>Los Cerros</v>
          </cell>
          <cell r="H285" t="str">
            <v>electros</v>
          </cell>
          <cell r="J285" t="str">
            <v>regular</v>
          </cell>
          <cell r="K285" t="str">
            <v>defsi</v>
          </cell>
        </row>
        <row r="286">
          <cell r="B286" t="b">
            <v>0</v>
          </cell>
          <cell r="E286" t="str">
            <v>Los Cerros</v>
          </cell>
          <cell r="H286" t="str">
            <v>electros</v>
          </cell>
          <cell r="J286" t="str">
            <v>regular</v>
          </cell>
          <cell r="K286" t="str">
            <v>defsi</v>
          </cell>
        </row>
        <row r="287">
          <cell r="B287" t="b">
            <v>1</v>
          </cell>
          <cell r="E287" t="str">
            <v>Los Cerros</v>
          </cell>
          <cell r="H287" t="str">
            <v>electros</v>
          </cell>
          <cell r="J287" t="str">
            <v>bueno</v>
          </cell>
          <cell r="K287" t="str">
            <v>defsi</v>
          </cell>
        </row>
        <row r="288">
          <cell r="B288" t="b">
            <v>1</v>
          </cell>
          <cell r="E288" t="str">
            <v>Los Cerros</v>
          </cell>
          <cell r="H288" t="str">
            <v>electros</v>
          </cell>
          <cell r="J288" t="str">
            <v>bueno</v>
          </cell>
          <cell r="K288" t="str">
            <v>defsi</v>
          </cell>
        </row>
        <row r="289">
          <cell r="B289" t="b">
            <v>1</v>
          </cell>
          <cell r="E289" t="str">
            <v>Los Cerros</v>
          </cell>
          <cell r="H289" t="str">
            <v>medicina_interna</v>
          </cell>
          <cell r="J289" t="str">
            <v>bueno</v>
          </cell>
          <cell r="K289" t="str">
            <v>defsi</v>
          </cell>
        </row>
        <row r="290">
          <cell r="B290" t="b">
            <v>1</v>
          </cell>
          <cell r="E290" t="str">
            <v>Los Cerros</v>
          </cell>
          <cell r="H290" t="str">
            <v>electros</v>
          </cell>
          <cell r="J290" t="str">
            <v>bueno</v>
          </cell>
          <cell r="K290" t="str">
            <v>defsi</v>
          </cell>
        </row>
        <row r="291">
          <cell r="B291" t="b">
            <v>1</v>
          </cell>
          <cell r="E291" t="str">
            <v>Los Cerros</v>
          </cell>
          <cell r="H291" t="str">
            <v>electros</v>
          </cell>
          <cell r="J291" t="str">
            <v>bueno</v>
          </cell>
          <cell r="K291" t="str">
            <v>defsi</v>
          </cell>
        </row>
        <row r="292">
          <cell r="B292" t="b">
            <v>1</v>
          </cell>
          <cell r="E292" t="str">
            <v>Fredonia</v>
          </cell>
          <cell r="H292" t="str">
            <v>consulta_externa</v>
          </cell>
          <cell r="J292" t="str">
            <v>bueno</v>
          </cell>
          <cell r="K292" t="str">
            <v>probsi</v>
          </cell>
        </row>
        <row r="293">
          <cell r="B293" t="b">
            <v>1</v>
          </cell>
          <cell r="E293" t="str">
            <v>Fredonia</v>
          </cell>
          <cell r="H293" t="str">
            <v>consulta_externa</v>
          </cell>
          <cell r="J293" t="str">
            <v>bueno</v>
          </cell>
          <cell r="K293" t="str">
            <v>probsi</v>
          </cell>
        </row>
        <row r="294">
          <cell r="B294" t="b">
            <v>1</v>
          </cell>
          <cell r="E294" t="str">
            <v>Fredonia</v>
          </cell>
          <cell r="H294" t="str">
            <v>consulta_externa</v>
          </cell>
          <cell r="J294" t="str">
            <v>bueno</v>
          </cell>
          <cell r="K294" t="str">
            <v>probsi</v>
          </cell>
        </row>
        <row r="295">
          <cell r="B295" t="b">
            <v>1</v>
          </cell>
          <cell r="E295" t="str">
            <v>Fredonia</v>
          </cell>
          <cell r="H295" t="str">
            <v>consulta_externa</v>
          </cell>
          <cell r="J295" t="str">
            <v>bueno</v>
          </cell>
          <cell r="K295" t="str">
            <v>probsi</v>
          </cell>
        </row>
        <row r="296">
          <cell r="B296" t="b">
            <v>1</v>
          </cell>
          <cell r="E296" t="str">
            <v>Fredonia</v>
          </cell>
          <cell r="H296" t="str">
            <v>consulta_externa</v>
          </cell>
          <cell r="J296" t="str">
            <v>bueno</v>
          </cell>
          <cell r="K296" t="str">
            <v>probsi</v>
          </cell>
        </row>
        <row r="297">
          <cell r="B297" t="b">
            <v>1</v>
          </cell>
          <cell r="E297" t="str">
            <v>Fredonia</v>
          </cell>
          <cell r="H297" t="str">
            <v>consulta_externa</v>
          </cell>
          <cell r="J297" t="str">
            <v>bueno</v>
          </cell>
          <cell r="K297" t="str">
            <v>probsi</v>
          </cell>
        </row>
        <row r="298">
          <cell r="B298" t="b">
            <v>1</v>
          </cell>
          <cell r="E298" t="str">
            <v>Los Cerros</v>
          </cell>
          <cell r="H298" t="str">
            <v>consulta_externa</v>
          </cell>
          <cell r="J298" t="str">
            <v>bueno</v>
          </cell>
          <cell r="K298" t="str">
            <v>defsi</v>
          </cell>
        </row>
        <row r="299">
          <cell r="B299" t="b">
            <v>1</v>
          </cell>
          <cell r="E299" t="str">
            <v>Fredonia</v>
          </cell>
          <cell r="H299" t="str">
            <v>laboratorio</v>
          </cell>
          <cell r="J299" t="str">
            <v>bueno</v>
          </cell>
          <cell r="K299" t="str">
            <v>probsi</v>
          </cell>
        </row>
        <row r="300">
          <cell r="B300" t="b">
            <v>1</v>
          </cell>
          <cell r="E300" t="str">
            <v>Fredonia</v>
          </cell>
          <cell r="H300" t="str">
            <v>laboratorio</v>
          </cell>
          <cell r="J300" t="str">
            <v>bueno</v>
          </cell>
          <cell r="K300" t="str">
            <v>probsi</v>
          </cell>
        </row>
        <row r="301">
          <cell r="B301" t="b">
            <v>1</v>
          </cell>
          <cell r="E301" t="str">
            <v>Fredonia</v>
          </cell>
          <cell r="H301" t="str">
            <v>laboratorio</v>
          </cell>
          <cell r="J301" t="str">
            <v>bueno</v>
          </cell>
          <cell r="K301" t="str">
            <v>probsi</v>
          </cell>
        </row>
        <row r="302">
          <cell r="B302" t="b">
            <v>1</v>
          </cell>
          <cell r="E302" t="str">
            <v>Fredonia</v>
          </cell>
          <cell r="H302" t="str">
            <v>laboratorio</v>
          </cell>
          <cell r="J302" t="str">
            <v>bueno</v>
          </cell>
          <cell r="K302" t="str">
            <v>probsi</v>
          </cell>
        </row>
        <row r="303">
          <cell r="B303" t="b">
            <v>1</v>
          </cell>
          <cell r="E303" t="str">
            <v>Fredonia</v>
          </cell>
          <cell r="H303" t="str">
            <v>salud_oral</v>
          </cell>
          <cell r="J303" t="str">
            <v>bueno</v>
          </cell>
          <cell r="K303" t="str">
            <v>probsi</v>
          </cell>
        </row>
        <row r="304">
          <cell r="B304" t="b">
            <v>1</v>
          </cell>
          <cell r="E304" t="str">
            <v>Los Cerros</v>
          </cell>
          <cell r="H304" t="str">
            <v>consulta_externa</v>
          </cell>
          <cell r="J304" t="str">
            <v>bueno</v>
          </cell>
          <cell r="K304" t="str">
            <v>defsi</v>
          </cell>
        </row>
        <row r="305">
          <cell r="B305" t="b">
            <v>1</v>
          </cell>
          <cell r="E305" t="str">
            <v>Fredonia</v>
          </cell>
          <cell r="H305" t="str">
            <v>salud_oral</v>
          </cell>
          <cell r="J305" t="str">
            <v>bueno</v>
          </cell>
          <cell r="K305" t="str">
            <v>probsi</v>
          </cell>
        </row>
        <row r="306">
          <cell r="B306" t="b">
            <v>1</v>
          </cell>
          <cell r="E306" t="str">
            <v>Fredonia</v>
          </cell>
          <cell r="H306" t="str">
            <v>salud_oral</v>
          </cell>
          <cell r="J306" t="str">
            <v>bueno</v>
          </cell>
          <cell r="K306" t="str">
            <v>probsi</v>
          </cell>
        </row>
        <row r="307">
          <cell r="B307" t="b">
            <v>1</v>
          </cell>
          <cell r="E307" t="str">
            <v>Fredonia</v>
          </cell>
          <cell r="H307" t="str">
            <v>salud_oral</v>
          </cell>
          <cell r="J307" t="str">
            <v>bueno</v>
          </cell>
          <cell r="K307" t="str">
            <v>probsi</v>
          </cell>
        </row>
        <row r="308">
          <cell r="B308" t="b">
            <v>1</v>
          </cell>
          <cell r="E308" t="str">
            <v>Fredonia</v>
          </cell>
          <cell r="H308" t="str">
            <v>salud_oral</v>
          </cell>
          <cell r="J308" t="str">
            <v>bueno</v>
          </cell>
          <cell r="K308" t="str">
            <v>probsi</v>
          </cell>
        </row>
        <row r="309">
          <cell r="B309" t="b">
            <v>1</v>
          </cell>
          <cell r="E309" t="str">
            <v>Fredonia</v>
          </cell>
          <cell r="H309" t="str">
            <v>salud_oral</v>
          </cell>
          <cell r="J309" t="str">
            <v>bueno</v>
          </cell>
          <cell r="K309" t="str">
            <v>probsi</v>
          </cell>
        </row>
        <row r="310">
          <cell r="B310" t="b">
            <v>1</v>
          </cell>
          <cell r="E310" t="str">
            <v>Fredonia</v>
          </cell>
          <cell r="H310" t="str">
            <v>consulta_externa</v>
          </cell>
          <cell r="J310" t="str">
            <v>bueno</v>
          </cell>
          <cell r="K310" t="str">
            <v>probsi</v>
          </cell>
        </row>
        <row r="311">
          <cell r="B311" t="b">
            <v>1</v>
          </cell>
          <cell r="E311" t="str">
            <v>Fredonia</v>
          </cell>
          <cell r="H311" t="str">
            <v>consulta_externa</v>
          </cell>
          <cell r="J311" t="str">
            <v>bueno</v>
          </cell>
          <cell r="K311" t="str">
            <v>probsi</v>
          </cell>
        </row>
        <row r="312">
          <cell r="B312" t="b">
            <v>1</v>
          </cell>
          <cell r="E312" t="str">
            <v>Los Cerros</v>
          </cell>
          <cell r="H312" t="str">
            <v>consulta_externa</v>
          </cell>
          <cell r="J312" t="str">
            <v>bueno</v>
          </cell>
          <cell r="K312" t="str">
            <v>defsi</v>
          </cell>
        </row>
        <row r="313">
          <cell r="B313" t="b">
            <v>1</v>
          </cell>
          <cell r="E313" t="str">
            <v>Los Cerros</v>
          </cell>
          <cell r="H313" t="str">
            <v>salud_oral</v>
          </cell>
          <cell r="J313" t="str">
            <v>bueno</v>
          </cell>
          <cell r="K313" t="str">
            <v>defsi</v>
          </cell>
        </row>
        <row r="314">
          <cell r="B314" t="b">
            <v>1</v>
          </cell>
          <cell r="E314" t="str">
            <v>Fredonia</v>
          </cell>
          <cell r="H314" t="str">
            <v>consulta_externa</v>
          </cell>
          <cell r="J314" t="str">
            <v>bueno</v>
          </cell>
          <cell r="K314" t="str">
            <v>probsi</v>
          </cell>
        </row>
        <row r="315">
          <cell r="B315" t="b">
            <v>1</v>
          </cell>
          <cell r="E315" t="str">
            <v>Fredonia</v>
          </cell>
          <cell r="H315" t="str">
            <v>consulta_externa</v>
          </cell>
          <cell r="J315" t="str">
            <v>bueno</v>
          </cell>
          <cell r="K315" t="str">
            <v>probsi</v>
          </cell>
        </row>
        <row r="316">
          <cell r="B316" t="b">
            <v>1</v>
          </cell>
          <cell r="E316" t="str">
            <v>Fredonia</v>
          </cell>
          <cell r="H316" t="str">
            <v>consulta_externa</v>
          </cell>
          <cell r="J316" t="str">
            <v>bueno</v>
          </cell>
          <cell r="K316" t="str">
            <v>probsi</v>
          </cell>
        </row>
        <row r="317">
          <cell r="B317" t="b">
            <v>1</v>
          </cell>
          <cell r="E317" t="str">
            <v>Fredonia</v>
          </cell>
          <cell r="H317" t="str">
            <v>consulta_externa</v>
          </cell>
          <cell r="J317" t="str">
            <v>bueno</v>
          </cell>
          <cell r="K317" t="str">
            <v>probsi</v>
          </cell>
        </row>
        <row r="318">
          <cell r="B318" t="b">
            <v>1</v>
          </cell>
          <cell r="E318" t="str">
            <v>Fredonia</v>
          </cell>
          <cell r="H318" t="str">
            <v>consulta_externa</v>
          </cell>
          <cell r="J318" t="str">
            <v>bueno</v>
          </cell>
          <cell r="K318" t="str">
            <v>probsi</v>
          </cell>
        </row>
        <row r="319">
          <cell r="B319" t="b">
            <v>1</v>
          </cell>
          <cell r="E319" t="str">
            <v>Los Cerros</v>
          </cell>
          <cell r="H319" t="str">
            <v>medicina_interna</v>
          </cell>
          <cell r="J319" t="str">
            <v>bueno</v>
          </cell>
          <cell r="K319" t="str">
            <v>defsi</v>
          </cell>
        </row>
        <row r="320">
          <cell r="B320" t="b">
            <v>1</v>
          </cell>
          <cell r="E320" t="str">
            <v>Los Cerros</v>
          </cell>
          <cell r="H320" t="str">
            <v>consulta_externa</v>
          </cell>
          <cell r="J320" t="str">
            <v>bueno</v>
          </cell>
          <cell r="K320" t="str">
            <v>defsi</v>
          </cell>
        </row>
        <row r="321">
          <cell r="B321" t="b">
            <v>1</v>
          </cell>
          <cell r="E321" t="str">
            <v>Los Cerros</v>
          </cell>
          <cell r="H321" t="str">
            <v>salud_oral</v>
          </cell>
          <cell r="J321" t="str">
            <v>bueno</v>
          </cell>
          <cell r="K321" t="str">
            <v>defsi</v>
          </cell>
        </row>
        <row r="322">
          <cell r="B322" t="b">
            <v>1</v>
          </cell>
          <cell r="E322" t="str">
            <v>Los Cerros</v>
          </cell>
          <cell r="H322" t="str">
            <v>salud_oral</v>
          </cell>
          <cell r="J322" t="str">
            <v>bueno</v>
          </cell>
          <cell r="K322" t="str">
            <v>defsi</v>
          </cell>
        </row>
        <row r="323">
          <cell r="B323" t="b">
            <v>1</v>
          </cell>
          <cell r="E323" t="str">
            <v>Bayunca</v>
          </cell>
          <cell r="H323" t="str">
            <v>consulta_externa</v>
          </cell>
          <cell r="J323" t="str">
            <v>bueno</v>
          </cell>
          <cell r="K323" t="str">
            <v>defsi</v>
          </cell>
        </row>
        <row r="324">
          <cell r="B324" t="b">
            <v>1</v>
          </cell>
          <cell r="E324" t="str">
            <v>Bayunca</v>
          </cell>
          <cell r="H324" t="str">
            <v>salud_oral</v>
          </cell>
          <cell r="J324" t="str">
            <v>bueno</v>
          </cell>
          <cell r="K324" t="str">
            <v>defsi</v>
          </cell>
        </row>
        <row r="325">
          <cell r="B325" t="b">
            <v>1</v>
          </cell>
          <cell r="E325" t="str">
            <v>Bayunca</v>
          </cell>
          <cell r="H325" t="str">
            <v>laboratorio</v>
          </cell>
          <cell r="J325" t="str">
            <v>bueno</v>
          </cell>
          <cell r="K325" t="str">
            <v>defsi</v>
          </cell>
        </row>
        <row r="326">
          <cell r="B326" t="b">
            <v>1</v>
          </cell>
          <cell r="E326" t="str">
            <v>Bayunca</v>
          </cell>
          <cell r="H326" t="str">
            <v>urgencia</v>
          </cell>
          <cell r="J326" t="str">
            <v>bueno</v>
          </cell>
          <cell r="K326" t="str">
            <v>defsi</v>
          </cell>
        </row>
        <row r="327">
          <cell r="B327" t="b">
            <v>1</v>
          </cell>
          <cell r="E327" t="str">
            <v>Los Cerros</v>
          </cell>
          <cell r="H327" t="str">
            <v>electros</v>
          </cell>
          <cell r="J327" t="str">
            <v>bueno</v>
          </cell>
          <cell r="K327" t="str">
            <v>defsi</v>
          </cell>
        </row>
        <row r="328">
          <cell r="B328" t="b">
            <v>1</v>
          </cell>
          <cell r="E328" t="str">
            <v>Los Cerros</v>
          </cell>
          <cell r="H328" t="str">
            <v>medicina_interna</v>
          </cell>
          <cell r="J328" t="str">
            <v>bueno</v>
          </cell>
          <cell r="K328" t="str">
            <v>defsi</v>
          </cell>
        </row>
        <row r="329">
          <cell r="B329" t="b">
            <v>1</v>
          </cell>
          <cell r="E329" t="str">
            <v>Los Cerros</v>
          </cell>
          <cell r="H329" t="str">
            <v>medicina_interna</v>
          </cell>
          <cell r="J329" t="str">
            <v>bueno</v>
          </cell>
          <cell r="K329" t="str">
            <v>defsi</v>
          </cell>
        </row>
        <row r="330">
          <cell r="B330" t="b">
            <v>1</v>
          </cell>
          <cell r="E330" t="str">
            <v>Los Cerros</v>
          </cell>
          <cell r="H330" t="str">
            <v>medicina_interna</v>
          </cell>
          <cell r="J330" t="str">
            <v>bueno</v>
          </cell>
          <cell r="K330" t="str">
            <v>defsi</v>
          </cell>
        </row>
        <row r="331">
          <cell r="B331" t="b">
            <v>1</v>
          </cell>
          <cell r="E331" t="str">
            <v>Los Cerros</v>
          </cell>
          <cell r="H331" t="str">
            <v>pediatria</v>
          </cell>
          <cell r="J331" t="str">
            <v>muybueno</v>
          </cell>
          <cell r="K331" t="str">
            <v>defsi</v>
          </cell>
        </row>
        <row r="332">
          <cell r="B332" t="b">
            <v>0</v>
          </cell>
          <cell r="E332" t="str">
            <v>Daniel Lemaitre</v>
          </cell>
          <cell r="H332" t="str">
            <v>laboratorio</v>
          </cell>
          <cell r="J332" t="str">
            <v>regular</v>
          </cell>
          <cell r="K332" t="str">
            <v>probsi</v>
          </cell>
        </row>
        <row r="333">
          <cell r="B333" t="b">
            <v>1</v>
          </cell>
          <cell r="E333" t="str">
            <v>Los Cerros</v>
          </cell>
          <cell r="H333" t="str">
            <v>pediatria</v>
          </cell>
          <cell r="J333" t="str">
            <v>bueno</v>
          </cell>
          <cell r="K333" t="str">
            <v>defsi</v>
          </cell>
        </row>
        <row r="334">
          <cell r="B334" t="b">
            <v>1</v>
          </cell>
          <cell r="E334" t="str">
            <v>Daniel Lemaitre</v>
          </cell>
          <cell r="H334" t="str">
            <v>laboratorio</v>
          </cell>
          <cell r="J334" t="str">
            <v>bueno</v>
          </cell>
          <cell r="K334" t="str">
            <v>probsi</v>
          </cell>
        </row>
        <row r="335">
          <cell r="B335" t="b">
            <v>0</v>
          </cell>
          <cell r="E335" t="str">
            <v>Los Cerros</v>
          </cell>
          <cell r="H335" t="str">
            <v>medicina_interna</v>
          </cell>
          <cell r="J335" t="str">
            <v>regular</v>
          </cell>
          <cell r="K335" t="str">
            <v>defsi</v>
          </cell>
        </row>
        <row r="336">
          <cell r="B336" t="b">
            <v>1</v>
          </cell>
          <cell r="E336" t="str">
            <v>Daniel Lemaitre</v>
          </cell>
          <cell r="H336" t="str">
            <v>laboratorio</v>
          </cell>
          <cell r="J336" t="str">
            <v>bueno</v>
          </cell>
          <cell r="K336" t="str">
            <v>probsi</v>
          </cell>
        </row>
        <row r="337">
          <cell r="B337" t="b">
            <v>1</v>
          </cell>
          <cell r="E337" t="str">
            <v>Los Cerros</v>
          </cell>
          <cell r="H337" t="str">
            <v>electros</v>
          </cell>
          <cell r="J337" t="str">
            <v>bueno</v>
          </cell>
          <cell r="K337" t="str">
            <v>defsi</v>
          </cell>
        </row>
        <row r="338">
          <cell r="B338" t="b">
            <v>1</v>
          </cell>
          <cell r="E338" t="str">
            <v>Los Cerros</v>
          </cell>
          <cell r="H338" t="str">
            <v>ginecologia</v>
          </cell>
          <cell r="J338" t="str">
            <v>bueno</v>
          </cell>
          <cell r="K338" t="str">
            <v>defsi</v>
          </cell>
        </row>
        <row r="339">
          <cell r="B339" t="b">
            <v>1</v>
          </cell>
          <cell r="E339" t="str">
            <v>Los Cerros</v>
          </cell>
          <cell r="H339" t="str">
            <v>electros</v>
          </cell>
          <cell r="J339" t="str">
            <v>bueno</v>
          </cell>
          <cell r="K339" t="str">
            <v>defsi</v>
          </cell>
        </row>
        <row r="340">
          <cell r="B340" t="b">
            <v>1</v>
          </cell>
          <cell r="E340" t="str">
            <v>Los Cerros</v>
          </cell>
          <cell r="H340" t="str">
            <v>ginecologia</v>
          </cell>
          <cell r="J340" t="str">
            <v>bueno</v>
          </cell>
          <cell r="K340" t="str">
            <v>defsi</v>
          </cell>
        </row>
        <row r="341">
          <cell r="B341" t="b">
            <v>1</v>
          </cell>
          <cell r="E341" t="str">
            <v>Los Cerros</v>
          </cell>
          <cell r="H341" t="str">
            <v>ginecologia</v>
          </cell>
          <cell r="J341" t="str">
            <v>bueno</v>
          </cell>
          <cell r="K341" t="str">
            <v>defsi</v>
          </cell>
        </row>
        <row r="342">
          <cell r="B342" t="b">
            <v>1</v>
          </cell>
          <cell r="E342" t="str">
            <v>Los Cerros</v>
          </cell>
          <cell r="H342" t="str">
            <v>ginecologia</v>
          </cell>
          <cell r="J342" t="str">
            <v>bueno</v>
          </cell>
          <cell r="K342" t="str">
            <v>defsi</v>
          </cell>
        </row>
        <row r="343">
          <cell r="B343" t="b">
            <v>1</v>
          </cell>
          <cell r="E343" t="str">
            <v>Los Cerros</v>
          </cell>
          <cell r="H343" t="str">
            <v>pediatria</v>
          </cell>
          <cell r="J343" t="str">
            <v>muybueno</v>
          </cell>
          <cell r="K343" t="str">
            <v>defsi</v>
          </cell>
        </row>
        <row r="344">
          <cell r="B344" t="b">
            <v>1</v>
          </cell>
          <cell r="E344" t="str">
            <v>Los Cerros</v>
          </cell>
          <cell r="H344" t="str">
            <v>pediatria</v>
          </cell>
          <cell r="J344" t="str">
            <v>muybueno</v>
          </cell>
          <cell r="K344" t="str">
            <v>defsi</v>
          </cell>
        </row>
        <row r="345">
          <cell r="B345" t="b">
            <v>1</v>
          </cell>
          <cell r="E345" t="str">
            <v>Los Cerros</v>
          </cell>
          <cell r="H345" t="str">
            <v>medicina_interna</v>
          </cell>
          <cell r="J345" t="str">
            <v>bueno</v>
          </cell>
          <cell r="K345" t="str">
            <v>defsi</v>
          </cell>
        </row>
        <row r="346">
          <cell r="B346" t="b">
            <v>1</v>
          </cell>
          <cell r="E346" t="str">
            <v>Los Cerros</v>
          </cell>
          <cell r="H346" t="str">
            <v>salud_oral</v>
          </cell>
          <cell r="J346" t="str">
            <v>bueno</v>
          </cell>
          <cell r="K346" t="str">
            <v>defsi</v>
          </cell>
        </row>
        <row r="347">
          <cell r="B347" t="b">
            <v>1</v>
          </cell>
          <cell r="E347" t="str">
            <v>Blasdelezo</v>
          </cell>
          <cell r="H347" t="str">
            <v>laboratorio</v>
          </cell>
          <cell r="J347" t="str">
            <v>bueno</v>
          </cell>
          <cell r="K347" t="str">
            <v>defsi</v>
          </cell>
        </row>
        <row r="348">
          <cell r="B348" t="b">
            <v>1</v>
          </cell>
          <cell r="E348" t="str">
            <v>Blasdelezo</v>
          </cell>
          <cell r="H348" t="str">
            <v>laboratorio</v>
          </cell>
          <cell r="J348" t="str">
            <v>bueno</v>
          </cell>
          <cell r="K348" t="str">
            <v>defsi</v>
          </cell>
        </row>
        <row r="349">
          <cell r="B349" t="b">
            <v>1</v>
          </cell>
          <cell r="E349" t="str">
            <v>Blasdelezo</v>
          </cell>
          <cell r="H349" t="str">
            <v>laboratorio</v>
          </cell>
          <cell r="J349" t="str">
            <v>bueno</v>
          </cell>
          <cell r="K349" t="str">
            <v>defsi</v>
          </cell>
        </row>
        <row r="350">
          <cell r="B350" t="b">
            <v>1</v>
          </cell>
          <cell r="E350" t="str">
            <v>Blasdelezo</v>
          </cell>
          <cell r="H350" t="str">
            <v>consulta_externa</v>
          </cell>
          <cell r="J350" t="str">
            <v>bueno</v>
          </cell>
          <cell r="K350" t="str">
            <v>defsi</v>
          </cell>
        </row>
        <row r="351">
          <cell r="B351" t="b">
            <v>1</v>
          </cell>
          <cell r="E351" t="str">
            <v>Blasdelezo</v>
          </cell>
          <cell r="H351" t="str">
            <v>urgencia</v>
          </cell>
          <cell r="J351" t="str">
            <v>bueno</v>
          </cell>
          <cell r="K351" t="str">
            <v>defsi</v>
          </cell>
        </row>
        <row r="352">
          <cell r="B352" t="b">
            <v>0</v>
          </cell>
          <cell r="E352" t="str">
            <v>Blasdelezo</v>
          </cell>
          <cell r="H352" t="str">
            <v>urgencia</v>
          </cell>
          <cell r="J352" t="str">
            <v>regular</v>
          </cell>
          <cell r="K352" t="str">
            <v>defsi</v>
          </cell>
        </row>
        <row r="353">
          <cell r="B353" t="b">
            <v>1</v>
          </cell>
          <cell r="E353" t="str">
            <v>Blasdelezo</v>
          </cell>
          <cell r="H353" t="str">
            <v>consulta_externa</v>
          </cell>
          <cell r="J353" t="str">
            <v>bueno</v>
          </cell>
          <cell r="K353" t="str">
            <v>defsi</v>
          </cell>
        </row>
        <row r="354">
          <cell r="B354" t="b">
            <v>1</v>
          </cell>
          <cell r="E354" t="str">
            <v>Blasdelezo</v>
          </cell>
          <cell r="H354" t="str">
            <v>urgencia</v>
          </cell>
          <cell r="J354" t="str">
            <v>bueno</v>
          </cell>
          <cell r="K354" t="str">
            <v>defsi</v>
          </cell>
        </row>
        <row r="355">
          <cell r="B355" t="b">
            <v>1</v>
          </cell>
          <cell r="E355" t="str">
            <v>Blasdelezo</v>
          </cell>
          <cell r="H355" t="str">
            <v>urgencia</v>
          </cell>
          <cell r="J355" t="str">
            <v>bueno</v>
          </cell>
          <cell r="K355" t="str">
            <v>defsi</v>
          </cell>
        </row>
        <row r="356">
          <cell r="B356" t="b">
            <v>1</v>
          </cell>
          <cell r="E356" t="str">
            <v>Blasdelezo</v>
          </cell>
          <cell r="H356" t="str">
            <v>urgencia</v>
          </cell>
          <cell r="J356" t="str">
            <v>bueno</v>
          </cell>
          <cell r="K356" t="str">
            <v>defsi</v>
          </cell>
        </row>
        <row r="357">
          <cell r="B357" t="b">
            <v>1</v>
          </cell>
          <cell r="E357" t="str">
            <v>Blasdelezo</v>
          </cell>
          <cell r="H357" t="str">
            <v>salud_oral</v>
          </cell>
          <cell r="J357" t="str">
            <v>bueno</v>
          </cell>
          <cell r="K357" t="str">
            <v>defsi</v>
          </cell>
        </row>
        <row r="358">
          <cell r="B358" t="b">
            <v>1</v>
          </cell>
          <cell r="E358" t="str">
            <v>San Pedro y Libertad</v>
          </cell>
          <cell r="H358" t="str">
            <v>consulta_externa</v>
          </cell>
          <cell r="J358" t="str">
            <v>bueno</v>
          </cell>
          <cell r="K358" t="str">
            <v>probsi</v>
          </cell>
        </row>
        <row r="359">
          <cell r="B359" t="b">
            <v>1</v>
          </cell>
          <cell r="E359" t="str">
            <v>San Pedro y Libertad</v>
          </cell>
          <cell r="H359" t="str">
            <v>salud_oral</v>
          </cell>
          <cell r="J359" t="str">
            <v>bueno</v>
          </cell>
          <cell r="K359" t="str">
            <v>probsi</v>
          </cell>
        </row>
        <row r="360">
          <cell r="B360" t="b">
            <v>1</v>
          </cell>
          <cell r="E360" t="str">
            <v>San Pedro y Libertad</v>
          </cell>
          <cell r="H360" t="str">
            <v>consulta_externa</v>
          </cell>
          <cell r="J360" t="str">
            <v>bueno</v>
          </cell>
          <cell r="K360" t="str">
            <v>probsi</v>
          </cell>
        </row>
        <row r="361">
          <cell r="B361" t="b">
            <v>1</v>
          </cell>
          <cell r="E361" t="str">
            <v>San Pedro y Libertad</v>
          </cell>
          <cell r="H361" t="str">
            <v>laboratorio</v>
          </cell>
          <cell r="J361" t="str">
            <v>bueno</v>
          </cell>
          <cell r="K361" t="str">
            <v>probsi</v>
          </cell>
        </row>
        <row r="362">
          <cell r="B362" t="b">
            <v>1</v>
          </cell>
          <cell r="E362" t="str">
            <v>Blasdelezo</v>
          </cell>
          <cell r="H362" t="str">
            <v>salud_oral</v>
          </cell>
          <cell r="J362" t="str">
            <v>bueno</v>
          </cell>
          <cell r="K362" t="str">
            <v>defsi</v>
          </cell>
        </row>
        <row r="363">
          <cell r="B363" t="b">
            <v>1</v>
          </cell>
          <cell r="E363" t="str">
            <v>Blasdelezo</v>
          </cell>
          <cell r="H363" t="str">
            <v>medicina_interna</v>
          </cell>
          <cell r="J363" t="str">
            <v>bueno</v>
          </cell>
          <cell r="K363" t="str">
            <v>defsi</v>
          </cell>
        </row>
        <row r="364">
          <cell r="B364" t="b">
            <v>1</v>
          </cell>
          <cell r="E364" t="str">
            <v>San Pedro y Libertad</v>
          </cell>
          <cell r="H364" t="str">
            <v>consulta_externa</v>
          </cell>
          <cell r="J364" t="str">
            <v>bueno</v>
          </cell>
          <cell r="K364" t="str">
            <v>probsi</v>
          </cell>
        </row>
        <row r="365">
          <cell r="B365" t="b">
            <v>1</v>
          </cell>
          <cell r="E365" t="str">
            <v>San Pedro y Libertad</v>
          </cell>
          <cell r="H365" t="str">
            <v>laboratorio</v>
          </cell>
          <cell r="J365" t="str">
            <v>bueno</v>
          </cell>
          <cell r="K365" t="str">
            <v>probsi</v>
          </cell>
        </row>
        <row r="366">
          <cell r="B366" t="b">
            <v>1</v>
          </cell>
          <cell r="E366" t="str">
            <v>Blasdelezo</v>
          </cell>
          <cell r="H366" t="str">
            <v>medicina_interna</v>
          </cell>
          <cell r="J366" t="str">
            <v>muybueno</v>
          </cell>
          <cell r="K366" t="str">
            <v>defsi</v>
          </cell>
        </row>
        <row r="367">
          <cell r="B367" t="b">
            <v>1</v>
          </cell>
          <cell r="E367" t="str">
            <v>San Pedro y Libertad</v>
          </cell>
          <cell r="H367" t="str">
            <v>consulta_externa</v>
          </cell>
          <cell r="J367" t="str">
            <v>bueno</v>
          </cell>
          <cell r="K367" t="str">
            <v>probsi</v>
          </cell>
        </row>
        <row r="368">
          <cell r="B368" t="b">
            <v>1</v>
          </cell>
          <cell r="E368" t="str">
            <v>San Pedro y Libertad</v>
          </cell>
          <cell r="H368" t="str">
            <v>salud_oral</v>
          </cell>
          <cell r="J368" t="str">
            <v>bueno</v>
          </cell>
          <cell r="K368" t="str">
            <v>probsi</v>
          </cell>
        </row>
        <row r="369">
          <cell r="B369" t="b">
            <v>1</v>
          </cell>
          <cell r="E369" t="str">
            <v>Blasdelezo</v>
          </cell>
          <cell r="H369" t="str">
            <v>laboratorio</v>
          </cell>
          <cell r="J369" t="str">
            <v>bueno</v>
          </cell>
          <cell r="K369" t="str">
            <v>defsi</v>
          </cell>
        </row>
        <row r="370">
          <cell r="B370" t="b">
            <v>1</v>
          </cell>
          <cell r="E370" t="str">
            <v>San Pedro y Libertad</v>
          </cell>
          <cell r="H370" t="str">
            <v>laboratorio</v>
          </cell>
          <cell r="J370" t="str">
            <v>bueno</v>
          </cell>
          <cell r="K370" t="str">
            <v>probsi</v>
          </cell>
        </row>
        <row r="371">
          <cell r="B371" t="b">
            <v>1</v>
          </cell>
          <cell r="E371" t="str">
            <v>San Pedro y Libertad</v>
          </cell>
          <cell r="H371" t="str">
            <v>consulta_externa</v>
          </cell>
          <cell r="J371" t="str">
            <v>bueno</v>
          </cell>
          <cell r="K371" t="str">
            <v>probsi</v>
          </cell>
        </row>
        <row r="372">
          <cell r="B372" t="b">
            <v>0</v>
          </cell>
          <cell r="E372" t="str">
            <v>San Pedro y Libertad</v>
          </cell>
          <cell r="H372" t="str">
            <v>laboratorio</v>
          </cell>
          <cell r="J372" t="str">
            <v>regular</v>
          </cell>
          <cell r="K372" t="str">
            <v>probsi</v>
          </cell>
        </row>
        <row r="373">
          <cell r="B373" t="b">
            <v>1</v>
          </cell>
          <cell r="E373" t="str">
            <v>San Pedro y Libertad</v>
          </cell>
          <cell r="H373" t="str">
            <v>consulta_externa</v>
          </cell>
          <cell r="J373" t="str">
            <v>bueno</v>
          </cell>
          <cell r="K373" t="str">
            <v>probsi</v>
          </cell>
        </row>
        <row r="374">
          <cell r="B374" t="b">
            <v>1</v>
          </cell>
          <cell r="E374" t="str">
            <v>San Pedro y Libertad</v>
          </cell>
          <cell r="H374" t="str">
            <v>salud_oral</v>
          </cell>
          <cell r="J374" t="str">
            <v>bueno</v>
          </cell>
          <cell r="K374" t="str">
            <v>probsi</v>
          </cell>
        </row>
        <row r="375">
          <cell r="B375" t="b">
            <v>0</v>
          </cell>
          <cell r="E375" t="str">
            <v>San Pedro y Libertad</v>
          </cell>
          <cell r="H375" t="str">
            <v>consulta_externa</v>
          </cell>
          <cell r="J375" t="str">
            <v>regular</v>
          </cell>
          <cell r="K375" t="str">
            <v>probsi</v>
          </cell>
        </row>
        <row r="376">
          <cell r="B376" t="b">
            <v>0</v>
          </cell>
          <cell r="E376" t="str">
            <v>San Pedro y Libertad</v>
          </cell>
          <cell r="H376" t="str">
            <v>consulta_externa</v>
          </cell>
          <cell r="J376" t="str">
            <v>regular</v>
          </cell>
          <cell r="K376" t="str">
            <v>probsi</v>
          </cell>
        </row>
        <row r="377">
          <cell r="B377" t="b">
            <v>0</v>
          </cell>
          <cell r="E377" t="str">
            <v>San Pedro y Libertad</v>
          </cell>
          <cell r="H377" t="str">
            <v>laboratorio</v>
          </cell>
          <cell r="J377" t="str">
            <v>malo</v>
          </cell>
          <cell r="K377" t="str">
            <v>probno</v>
          </cell>
        </row>
        <row r="378">
          <cell r="B378" t="b">
            <v>1</v>
          </cell>
          <cell r="E378" t="str">
            <v>San Pedro y Libertad</v>
          </cell>
          <cell r="H378" t="str">
            <v>consulta_externa</v>
          </cell>
          <cell r="J378" t="str">
            <v>bueno</v>
          </cell>
          <cell r="K378" t="str">
            <v>probsi</v>
          </cell>
        </row>
        <row r="379">
          <cell r="B379" t="b">
            <v>1</v>
          </cell>
          <cell r="E379" t="str">
            <v>San Pedro y Libertad</v>
          </cell>
          <cell r="H379" t="str">
            <v>salud_oral</v>
          </cell>
          <cell r="J379" t="str">
            <v>bueno</v>
          </cell>
          <cell r="K379" t="str">
            <v>probsi</v>
          </cell>
        </row>
        <row r="380">
          <cell r="B380" t="b">
            <v>1</v>
          </cell>
          <cell r="E380" t="str">
            <v>San Pedro y Libertad</v>
          </cell>
          <cell r="H380" t="str">
            <v>laboratorio</v>
          </cell>
          <cell r="J380" t="str">
            <v>bueno</v>
          </cell>
          <cell r="K380" t="str">
            <v>probsi</v>
          </cell>
        </row>
        <row r="381">
          <cell r="B381" t="b">
            <v>0</v>
          </cell>
          <cell r="E381" t="str">
            <v>San Pedro y Libertad</v>
          </cell>
          <cell r="H381" t="str">
            <v>consulta_externa</v>
          </cell>
          <cell r="J381" t="str">
            <v>regular</v>
          </cell>
          <cell r="K381" t="str">
            <v>probsi</v>
          </cell>
        </row>
        <row r="382">
          <cell r="B382" t="b">
            <v>0</v>
          </cell>
          <cell r="E382" t="str">
            <v>San Pedro y Libertad</v>
          </cell>
          <cell r="H382" t="str">
            <v>consulta_externa</v>
          </cell>
          <cell r="J382" t="str">
            <v>regular</v>
          </cell>
          <cell r="K382" t="str">
            <v>probsi</v>
          </cell>
        </row>
        <row r="383">
          <cell r="B383" t="b">
            <v>0</v>
          </cell>
          <cell r="E383" t="str">
            <v>San Pedro y Libertad</v>
          </cell>
          <cell r="H383" t="str">
            <v>laboratorio</v>
          </cell>
          <cell r="J383" t="str">
            <v>regular</v>
          </cell>
          <cell r="K383" t="str">
            <v>probsi</v>
          </cell>
        </row>
        <row r="384">
          <cell r="B384" t="b">
            <v>0</v>
          </cell>
          <cell r="E384" t="str">
            <v>San Pedro y Libertad</v>
          </cell>
          <cell r="H384" t="str">
            <v>laboratorio</v>
          </cell>
          <cell r="J384" t="str">
            <v>regular</v>
          </cell>
          <cell r="K384" t="str">
            <v>probsi</v>
          </cell>
        </row>
        <row r="385">
          <cell r="B385" t="b">
            <v>0</v>
          </cell>
          <cell r="E385" t="str">
            <v>San Pedro y Libertad</v>
          </cell>
          <cell r="H385" t="str">
            <v>laboratorio</v>
          </cell>
          <cell r="J385" t="str">
            <v>regular</v>
          </cell>
          <cell r="K385" t="str">
            <v>probsi</v>
          </cell>
        </row>
        <row r="386">
          <cell r="B386" t="b">
            <v>1</v>
          </cell>
          <cell r="E386" t="str">
            <v>San Pedro y Libertad</v>
          </cell>
          <cell r="H386" t="str">
            <v>salud_oral</v>
          </cell>
          <cell r="J386" t="str">
            <v>bueno</v>
          </cell>
          <cell r="K386" t="str">
            <v>probsi</v>
          </cell>
        </row>
        <row r="387">
          <cell r="B387" t="b">
            <v>1</v>
          </cell>
          <cell r="E387" t="str">
            <v>San Pedro y Libertad</v>
          </cell>
          <cell r="H387" t="str">
            <v>salud_oral</v>
          </cell>
          <cell r="J387" t="str">
            <v>bueno</v>
          </cell>
          <cell r="K387" t="str">
            <v>probsi</v>
          </cell>
        </row>
        <row r="388">
          <cell r="B388" t="b">
            <v>1</v>
          </cell>
          <cell r="E388" t="str">
            <v>San Francisco I</v>
          </cell>
          <cell r="H388" t="str">
            <v>consulta_externa</v>
          </cell>
          <cell r="J388" t="str">
            <v>bueno</v>
          </cell>
          <cell r="K388" t="str">
            <v>probsi</v>
          </cell>
        </row>
        <row r="389">
          <cell r="B389" t="b">
            <v>1</v>
          </cell>
          <cell r="E389" t="str">
            <v>San Francisco I</v>
          </cell>
          <cell r="H389" t="str">
            <v>salud_oral</v>
          </cell>
          <cell r="J389" t="str">
            <v>bueno</v>
          </cell>
          <cell r="K389" t="str">
            <v>probsi</v>
          </cell>
        </row>
        <row r="390">
          <cell r="B390" t="b">
            <v>1</v>
          </cell>
          <cell r="E390" t="str">
            <v>San Francisco I</v>
          </cell>
          <cell r="H390" t="str">
            <v>laboratorio</v>
          </cell>
          <cell r="J390" t="str">
            <v>bueno</v>
          </cell>
          <cell r="K390" t="str">
            <v>probsi</v>
          </cell>
        </row>
        <row r="391">
          <cell r="B391" t="b">
            <v>1</v>
          </cell>
          <cell r="E391" t="str">
            <v>San Francisco I</v>
          </cell>
          <cell r="H391" t="str">
            <v>consulta_externa</v>
          </cell>
          <cell r="J391" t="str">
            <v>bueno</v>
          </cell>
          <cell r="K391" t="str">
            <v>probsi</v>
          </cell>
        </row>
        <row r="392">
          <cell r="B392" t="b">
            <v>1</v>
          </cell>
          <cell r="E392" t="str">
            <v>San Francisco I</v>
          </cell>
          <cell r="H392" t="str">
            <v>salud_oral</v>
          </cell>
          <cell r="J392" t="str">
            <v>bueno</v>
          </cell>
          <cell r="K392" t="str">
            <v>probsi</v>
          </cell>
        </row>
        <row r="393">
          <cell r="B393" t="b">
            <v>1</v>
          </cell>
          <cell r="E393" t="str">
            <v>San Francisco I</v>
          </cell>
          <cell r="H393" t="str">
            <v>laboratorio</v>
          </cell>
          <cell r="J393" t="str">
            <v>bueno</v>
          </cell>
          <cell r="K393" t="str">
            <v>probsi</v>
          </cell>
        </row>
        <row r="394">
          <cell r="B394" t="b">
            <v>1</v>
          </cell>
          <cell r="E394" t="str">
            <v>San Francisco I</v>
          </cell>
          <cell r="H394" t="str">
            <v>consulta_externa</v>
          </cell>
          <cell r="J394" t="str">
            <v>bueno</v>
          </cell>
          <cell r="K394" t="str">
            <v>probsi</v>
          </cell>
        </row>
        <row r="395">
          <cell r="B395" t="b">
            <v>1</v>
          </cell>
          <cell r="E395" t="str">
            <v>San Francisco I</v>
          </cell>
          <cell r="H395" t="str">
            <v>salud_oral</v>
          </cell>
          <cell r="J395" t="str">
            <v>bueno</v>
          </cell>
          <cell r="K395" t="str">
            <v>probsi</v>
          </cell>
        </row>
        <row r="396">
          <cell r="B396" t="b">
            <v>1</v>
          </cell>
          <cell r="E396" t="str">
            <v>San Francisco I</v>
          </cell>
          <cell r="H396" t="str">
            <v>laboratorio</v>
          </cell>
          <cell r="J396" t="str">
            <v>bueno</v>
          </cell>
          <cell r="K396" t="str">
            <v>probsi</v>
          </cell>
        </row>
        <row r="397">
          <cell r="B397" t="b">
            <v>1</v>
          </cell>
          <cell r="E397" t="str">
            <v>San Francisco I</v>
          </cell>
          <cell r="H397" t="str">
            <v>consulta_externa</v>
          </cell>
          <cell r="J397" t="str">
            <v>bueno</v>
          </cell>
          <cell r="K397" t="str">
            <v>probsi</v>
          </cell>
        </row>
        <row r="398">
          <cell r="B398" t="b">
            <v>1</v>
          </cell>
          <cell r="E398" t="str">
            <v>San Francisco I</v>
          </cell>
          <cell r="H398" t="str">
            <v>laboratorio</v>
          </cell>
          <cell r="J398" t="str">
            <v>bueno</v>
          </cell>
          <cell r="K398" t="str">
            <v>probsi</v>
          </cell>
        </row>
        <row r="399">
          <cell r="B399" t="b">
            <v>1</v>
          </cell>
          <cell r="E399" t="str">
            <v>San Francisco I</v>
          </cell>
          <cell r="H399" t="str">
            <v>consulta_externa</v>
          </cell>
          <cell r="J399" t="str">
            <v>muybueno</v>
          </cell>
          <cell r="K399" t="str">
            <v>probsi</v>
          </cell>
        </row>
        <row r="400">
          <cell r="B400" t="b">
            <v>1</v>
          </cell>
          <cell r="E400" t="str">
            <v>San Francisco I</v>
          </cell>
          <cell r="H400" t="str">
            <v>salud_oral</v>
          </cell>
          <cell r="J400" t="str">
            <v>bueno</v>
          </cell>
          <cell r="K400" t="str">
            <v>probsi</v>
          </cell>
        </row>
        <row r="401">
          <cell r="B401" t="b">
            <v>1</v>
          </cell>
          <cell r="E401" t="str">
            <v>San Francisco I</v>
          </cell>
          <cell r="H401" t="str">
            <v>laboratorio</v>
          </cell>
          <cell r="J401" t="str">
            <v>bueno</v>
          </cell>
          <cell r="K401" t="str">
            <v>probsi</v>
          </cell>
        </row>
        <row r="402">
          <cell r="B402" t="b">
            <v>1</v>
          </cell>
          <cell r="E402" t="str">
            <v>San Francisco I</v>
          </cell>
          <cell r="H402" t="str">
            <v>consulta_externa</v>
          </cell>
          <cell r="J402" t="str">
            <v>bueno</v>
          </cell>
          <cell r="K402" t="str">
            <v>probsi</v>
          </cell>
        </row>
        <row r="403">
          <cell r="B403" t="b">
            <v>1</v>
          </cell>
          <cell r="E403" t="str">
            <v>San Francisco I</v>
          </cell>
          <cell r="H403" t="str">
            <v>salud_oral</v>
          </cell>
          <cell r="J403" t="str">
            <v>bueno</v>
          </cell>
          <cell r="K403" t="str">
            <v>probsi</v>
          </cell>
        </row>
        <row r="404">
          <cell r="B404" t="b">
            <v>1</v>
          </cell>
          <cell r="E404" t="str">
            <v>San Francisco I</v>
          </cell>
          <cell r="H404" t="str">
            <v>laboratorio</v>
          </cell>
          <cell r="J404" t="str">
            <v>bueno</v>
          </cell>
          <cell r="K404" t="str">
            <v>probsi</v>
          </cell>
        </row>
        <row r="405">
          <cell r="B405" t="b">
            <v>1</v>
          </cell>
          <cell r="E405" t="str">
            <v>Gaviotas</v>
          </cell>
          <cell r="H405" t="str">
            <v>consulta_externa</v>
          </cell>
          <cell r="J405" t="str">
            <v>bueno</v>
          </cell>
          <cell r="K405" t="str">
            <v>probsi</v>
          </cell>
        </row>
        <row r="406">
          <cell r="B406" t="b">
            <v>1</v>
          </cell>
          <cell r="E406" t="str">
            <v>Gaviotas</v>
          </cell>
          <cell r="H406" t="str">
            <v>consulta_externa</v>
          </cell>
          <cell r="J406" t="str">
            <v>bueno</v>
          </cell>
          <cell r="K406" t="str">
            <v>probsi</v>
          </cell>
        </row>
        <row r="407">
          <cell r="B407" t="b">
            <v>1</v>
          </cell>
          <cell r="E407" t="str">
            <v>Gaviotas</v>
          </cell>
          <cell r="H407" t="str">
            <v>consulta_externa</v>
          </cell>
          <cell r="J407" t="str">
            <v>bueno</v>
          </cell>
          <cell r="K407" t="str">
            <v>probsi</v>
          </cell>
        </row>
        <row r="408">
          <cell r="B408" t="b">
            <v>1</v>
          </cell>
          <cell r="E408" t="str">
            <v>Gaviotas</v>
          </cell>
          <cell r="H408" t="str">
            <v>laboratorio</v>
          </cell>
          <cell r="J408" t="str">
            <v>bueno</v>
          </cell>
          <cell r="K408" t="str">
            <v>probsi</v>
          </cell>
        </row>
        <row r="409">
          <cell r="B409" t="b">
            <v>1</v>
          </cell>
          <cell r="E409" t="str">
            <v>Gaviotas</v>
          </cell>
          <cell r="H409" t="str">
            <v>laboratorio</v>
          </cell>
          <cell r="J409" t="str">
            <v>bueno</v>
          </cell>
          <cell r="K409" t="str">
            <v>probsi</v>
          </cell>
        </row>
        <row r="410">
          <cell r="B410" t="b">
            <v>1</v>
          </cell>
          <cell r="E410" t="str">
            <v>Gaviotas</v>
          </cell>
          <cell r="H410" t="str">
            <v>laboratorio</v>
          </cell>
          <cell r="J410" t="str">
            <v>bueno</v>
          </cell>
          <cell r="K410" t="str">
            <v>probsi</v>
          </cell>
        </row>
        <row r="411">
          <cell r="B411" t="b">
            <v>1</v>
          </cell>
          <cell r="E411" t="str">
            <v>Gaviotas</v>
          </cell>
          <cell r="H411" t="str">
            <v>laboratorio</v>
          </cell>
          <cell r="J411" t="str">
            <v>bueno</v>
          </cell>
          <cell r="K411" t="str">
            <v>probsi</v>
          </cell>
        </row>
        <row r="412">
          <cell r="B412" t="b">
            <v>1</v>
          </cell>
          <cell r="E412" t="str">
            <v>Gaviotas</v>
          </cell>
          <cell r="H412" t="str">
            <v>laboratorio</v>
          </cell>
          <cell r="J412" t="str">
            <v>bueno</v>
          </cell>
          <cell r="K412" t="str">
            <v>probsi</v>
          </cell>
        </row>
        <row r="413">
          <cell r="B413" t="b">
            <v>1</v>
          </cell>
          <cell r="E413" t="str">
            <v>Gaviotas</v>
          </cell>
          <cell r="H413" t="str">
            <v>laboratorio</v>
          </cell>
          <cell r="J413" t="str">
            <v>bueno</v>
          </cell>
          <cell r="K413" t="str">
            <v>probsi</v>
          </cell>
        </row>
        <row r="414">
          <cell r="B414" t="b">
            <v>1</v>
          </cell>
          <cell r="E414" t="str">
            <v>Gaviotas</v>
          </cell>
          <cell r="H414" t="str">
            <v>consulta_externa</v>
          </cell>
          <cell r="J414" t="str">
            <v>bueno</v>
          </cell>
          <cell r="K414" t="str">
            <v>probsi</v>
          </cell>
        </row>
        <row r="415">
          <cell r="B415" t="b">
            <v>1</v>
          </cell>
          <cell r="E415" t="str">
            <v>Gaviotas</v>
          </cell>
          <cell r="H415" t="str">
            <v>consulta_externa</v>
          </cell>
          <cell r="J415" t="str">
            <v>bueno</v>
          </cell>
          <cell r="K415" t="str">
            <v>probsi</v>
          </cell>
        </row>
        <row r="416">
          <cell r="B416" t="b">
            <v>1</v>
          </cell>
          <cell r="E416" t="str">
            <v>San Francisco I</v>
          </cell>
          <cell r="H416" t="str">
            <v>consulta_externa</v>
          </cell>
          <cell r="J416" t="str">
            <v>bueno</v>
          </cell>
          <cell r="K416" t="str">
            <v>probsi</v>
          </cell>
        </row>
        <row r="417">
          <cell r="B417" t="b">
            <v>1</v>
          </cell>
          <cell r="E417" t="str">
            <v>San Francisco I</v>
          </cell>
          <cell r="H417" t="str">
            <v>salud_oral</v>
          </cell>
          <cell r="J417" t="str">
            <v>bueno</v>
          </cell>
          <cell r="K417" t="str">
            <v>probsi</v>
          </cell>
        </row>
        <row r="418">
          <cell r="B418" t="b">
            <v>1</v>
          </cell>
          <cell r="E418" t="str">
            <v>San Francisco I</v>
          </cell>
          <cell r="H418" t="str">
            <v>laboratorio</v>
          </cell>
          <cell r="J418" t="str">
            <v>bueno</v>
          </cell>
          <cell r="K418" t="str">
            <v>probsi</v>
          </cell>
        </row>
        <row r="419">
          <cell r="B419" t="b">
            <v>1</v>
          </cell>
          <cell r="E419" t="str">
            <v>Gaviotas</v>
          </cell>
          <cell r="H419" t="str">
            <v>consulta_externa</v>
          </cell>
          <cell r="J419" t="str">
            <v>bueno</v>
          </cell>
          <cell r="K419" t="str">
            <v>probsi</v>
          </cell>
        </row>
        <row r="420">
          <cell r="B420" t="b">
            <v>1</v>
          </cell>
          <cell r="E420" t="str">
            <v>Gaviotas</v>
          </cell>
          <cell r="H420" t="str">
            <v>consulta_externa</v>
          </cell>
          <cell r="J420" t="str">
            <v>bueno</v>
          </cell>
          <cell r="K420" t="str">
            <v>probsi</v>
          </cell>
        </row>
        <row r="421">
          <cell r="B421" t="b">
            <v>1</v>
          </cell>
          <cell r="E421" t="str">
            <v>Gaviotas</v>
          </cell>
          <cell r="H421" t="str">
            <v>consulta_externa</v>
          </cell>
          <cell r="J421" t="str">
            <v>bueno</v>
          </cell>
          <cell r="K421" t="str">
            <v>probsi</v>
          </cell>
        </row>
        <row r="422">
          <cell r="B422" t="b">
            <v>1</v>
          </cell>
          <cell r="E422" t="str">
            <v>Gaviotas</v>
          </cell>
          <cell r="H422" t="str">
            <v>laboratorio</v>
          </cell>
          <cell r="J422" t="str">
            <v>bueno</v>
          </cell>
          <cell r="K422" t="str">
            <v>probsi</v>
          </cell>
        </row>
        <row r="423">
          <cell r="B423" t="b">
            <v>1</v>
          </cell>
          <cell r="E423" t="str">
            <v>San Francisco I</v>
          </cell>
          <cell r="H423" t="str">
            <v>consulta_externa</v>
          </cell>
          <cell r="J423" t="str">
            <v>bueno</v>
          </cell>
          <cell r="K423" t="str">
            <v>probsi</v>
          </cell>
        </row>
        <row r="424">
          <cell r="B424" t="b">
            <v>1</v>
          </cell>
          <cell r="E424" t="str">
            <v>Gaviotas</v>
          </cell>
          <cell r="H424" t="str">
            <v>consulta_externa</v>
          </cell>
          <cell r="J424" t="str">
            <v>bueno</v>
          </cell>
          <cell r="K424" t="str">
            <v>probsi</v>
          </cell>
        </row>
        <row r="425">
          <cell r="B425" t="b">
            <v>1</v>
          </cell>
          <cell r="E425" t="str">
            <v>Gaviotas</v>
          </cell>
          <cell r="H425" t="str">
            <v>consulta_externa</v>
          </cell>
          <cell r="J425" t="str">
            <v>bueno</v>
          </cell>
          <cell r="K425" t="str">
            <v>probsi</v>
          </cell>
        </row>
        <row r="426">
          <cell r="B426" t="b">
            <v>1</v>
          </cell>
          <cell r="E426" t="str">
            <v>Gaviotas</v>
          </cell>
          <cell r="H426" t="str">
            <v>laboratorio</v>
          </cell>
          <cell r="J426" t="str">
            <v>bueno</v>
          </cell>
          <cell r="K426" t="str">
            <v>probsi</v>
          </cell>
        </row>
        <row r="427">
          <cell r="B427" t="b">
            <v>1</v>
          </cell>
          <cell r="E427" t="str">
            <v>Fredonia</v>
          </cell>
          <cell r="H427" t="str">
            <v>consulta_externa</v>
          </cell>
          <cell r="J427" t="str">
            <v>bueno</v>
          </cell>
          <cell r="K427" t="str">
            <v>probsi</v>
          </cell>
        </row>
        <row r="428">
          <cell r="B428" t="b">
            <v>1</v>
          </cell>
          <cell r="E428" t="str">
            <v>Fredonia</v>
          </cell>
          <cell r="H428" t="str">
            <v>consulta_externa</v>
          </cell>
          <cell r="J428" t="str">
            <v>bueno</v>
          </cell>
          <cell r="K428" t="str">
            <v>probsi</v>
          </cell>
        </row>
        <row r="429">
          <cell r="B429" t="b">
            <v>1</v>
          </cell>
          <cell r="E429" t="str">
            <v>Fredonia</v>
          </cell>
          <cell r="H429" t="str">
            <v>consulta_externa</v>
          </cell>
          <cell r="J429" t="str">
            <v>bueno</v>
          </cell>
          <cell r="K429" t="str">
            <v>probsi</v>
          </cell>
        </row>
        <row r="430">
          <cell r="B430" t="b">
            <v>1</v>
          </cell>
          <cell r="E430" t="str">
            <v>San Francisco I</v>
          </cell>
          <cell r="H430" t="str">
            <v>consulta_externa</v>
          </cell>
          <cell r="J430" t="str">
            <v>bueno</v>
          </cell>
          <cell r="K430" t="str">
            <v>probsi</v>
          </cell>
        </row>
        <row r="431">
          <cell r="B431" t="b">
            <v>1</v>
          </cell>
          <cell r="E431" t="str">
            <v>San Francisco I</v>
          </cell>
          <cell r="H431" t="str">
            <v>salud_oral</v>
          </cell>
          <cell r="J431" t="str">
            <v>bueno</v>
          </cell>
          <cell r="K431" t="str">
            <v>probsi</v>
          </cell>
        </row>
        <row r="432">
          <cell r="B432" t="b">
            <v>1</v>
          </cell>
          <cell r="E432" t="str">
            <v>Fredonia</v>
          </cell>
          <cell r="H432" t="str">
            <v>consulta_externa</v>
          </cell>
          <cell r="J432" t="str">
            <v>bueno</v>
          </cell>
          <cell r="K432" t="str">
            <v>probsi</v>
          </cell>
        </row>
        <row r="433">
          <cell r="B433" t="b">
            <v>1</v>
          </cell>
          <cell r="E433" t="str">
            <v>Fredonia</v>
          </cell>
          <cell r="H433" t="str">
            <v>consulta_externa</v>
          </cell>
          <cell r="J433" t="str">
            <v>bueno</v>
          </cell>
          <cell r="K433" t="str">
            <v>probsi</v>
          </cell>
        </row>
        <row r="434">
          <cell r="B434" t="b">
            <v>1</v>
          </cell>
          <cell r="E434" t="str">
            <v>Fredonia</v>
          </cell>
          <cell r="H434" t="str">
            <v>consulta_externa</v>
          </cell>
          <cell r="J434" t="str">
            <v>bueno</v>
          </cell>
          <cell r="K434" t="str">
            <v>probsi</v>
          </cell>
        </row>
        <row r="435">
          <cell r="B435" t="b">
            <v>1</v>
          </cell>
          <cell r="E435" t="str">
            <v>Fredonia</v>
          </cell>
          <cell r="H435" t="str">
            <v>laboratorio</v>
          </cell>
          <cell r="J435" t="str">
            <v>bueno</v>
          </cell>
          <cell r="K435" t="str">
            <v>probsi</v>
          </cell>
        </row>
        <row r="436">
          <cell r="B436" t="b">
            <v>1</v>
          </cell>
          <cell r="E436" t="str">
            <v>Fredonia</v>
          </cell>
          <cell r="H436" t="str">
            <v>laboratorio</v>
          </cell>
          <cell r="J436" t="str">
            <v>bueno</v>
          </cell>
          <cell r="K436" t="str">
            <v>probsi</v>
          </cell>
        </row>
        <row r="437">
          <cell r="B437" t="b">
            <v>1</v>
          </cell>
          <cell r="E437" t="str">
            <v>Fredonia</v>
          </cell>
          <cell r="H437" t="str">
            <v>laboratorio</v>
          </cell>
          <cell r="J437" t="str">
            <v>bueno</v>
          </cell>
          <cell r="K437" t="str">
            <v>probsi</v>
          </cell>
        </row>
        <row r="438">
          <cell r="B438" t="b">
            <v>1</v>
          </cell>
          <cell r="E438" t="str">
            <v>Fredonia</v>
          </cell>
          <cell r="H438" t="str">
            <v>salud_oral</v>
          </cell>
          <cell r="J438" t="str">
            <v>bueno</v>
          </cell>
          <cell r="K438" t="str">
            <v>probsi</v>
          </cell>
        </row>
        <row r="439">
          <cell r="B439" t="b">
            <v>1</v>
          </cell>
          <cell r="E439" t="str">
            <v>Fredonia</v>
          </cell>
          <cell r="H439" t="str">
            <v>salud_oral</v>
          </cell>
          <cell r="J439" t="str">
            <v>bueno</v>
          </cell>
          <cell r="K439" t="str">
            <v>probsi</v>
          </cell>
        </row>
        <row r="440">
          <cell r="B440" t="b">
            <v>1</v>
          </cell>
          <cell r="E440" t="str">
            <v>Fredonia</v>
          </cell>
          <cell r="H440" t="str">
            <v>salud_oral</v>
          </cell>
          <cell r="J440" t="str">
            <v>bueno</v>
          </cell>
          <cell r="K440" t="str">
            <v>probsi</v>
          </cell>
        </row>
        <row r="441">
          <cell r="B441" t="b">
            <v>1</v>
          </cell>
          <cell r="E441" t="str">
            <v>San Francisco I</v>
          </cell>
          <cell r="H441" t="str">
            <v>consulta_externa</v>
          </cell>
          <cell r="J441" t="str">
            <v>bueno</v>
          </cell>
          <cell r="K441" t="str">
            <v>probsi</v>
          </cell>
        </row>
        <row r="442">
          <cell r="B442" t="b">
            <v>1</v>
          </cell>
          <cell r="E442" t="str">
            <v>San Francisco I</v>
          </cell>
          <cell r="H442" t="str">
            <v>salud_oral</v>
          </cell>
          <cell r="J442" t="str">
            <v>bueno</v>
          </cell>
          <cell r="K442" t="str">
            <v>probsi</v>
          </cell>
        </row>
        <row r="443">
          <cell r="B443" t="b">
            <v>1</v>
          </cell>
          <cell r="E443" t="str">
            <v>San Francisco I</v>
          </cell>
          <cell r="H443" t="str">
            <v>consulta_externa</v>
          </cell>
          <cell r="J443" t="str">
            <v>bueno</v>
          </cell>
          <cell r="K443" t="str">
            <v>probsi</v>
          </cell>
        </row>
        <row r="444">
          <cell r="B444" t="b">
            <v>1</v>
          </cell>
          <cell r="E444" t="str">
            <v>San Francisco I</v>
          </cell>
          <cell r="H444" t="str">
            <v>salud_oral</v>
          </cell>
          <cell r="J444" t="str">
            <v>bueno</v>
          </cell>
          <cell r="K444" t="str">
            <v>probsi</v>
          </cell>
        </row>
        <row r="445">
          <cell r="B445" t="b">
            <v>1</v>
          </cell>
          <cell r="E445" t="str">
            <v>San Francisco I</v>
          </cell>
          <cell r="H445" t="str">
            <v>laboratorio</v>
          </cell>
          <cell r="J445" t="str">
            <v>bueno</v>
          </cell>
          <cell r="K445" t="str">
            <v>probsi</v>
          </cell>
        </row>
        <row r="446">
          <cell r="B446" t="b">
            <v>1</v>
          </cell>
          <cell r="E446" t="str">
            <v>Gaviotas</v>
          </cell>
          <cell r="H446" t="str">
            <v>salud_oral</v>
          </cell>
          <cell r="J446" t="str">
            <v>bueno</v>
          </cell>
          <cell r="K446" t="str">
            <v>probsi</v>
          </cell>
        </row>
        <row r="447">
          <cell r="B447" t="b">
            <v>1</v>
          </cell>
          <cell r="E447" t="str">
            <v>Gaviotas</v>
          </cell>
          <cell r="H447" t="str">
            <v>salud_oral</v>
          </cell>
          <cell r="J447" t="str">
            <v>bueno</v>
          </cell>
          <cell r="K447" t="str">
            <v>probsi</v>
          </cell>
        </row>
        <row r="448">
          <cell r="B448" t="b">
            <v>1</v>
          </cell>
          <cell r="E448" t="str">
            <v>Gaviotas</v>
          </cell>
          <cell r="H448" t="str">
            <v>salud_oral</v>
          </cell>
          <cell r="J448" t="str">
            <v>bueno</v>
          </cell>
          <cell r="K448" t="str">
            <v>probsi</v>
          </cell>
        </row>
        <row r="449">
          <cell r="B449" t="b">
            <v>1</v>
          </cell>
          <cell r="E449" t="str">
            <v>Gaviotas</v>
          </cell>
          <cell r="H449" t="str">
            <v>salud_oral</v>
          </cell>
          <cell r="J449" t="str">
            <v>bueno</v>
          </cell>
          <cell r="K449" t="str">
            <v>probsi</v>
          </cell>
        </row>
        <row r="450">
          <cell r="B450" t="b">
            <v>1</v>
          </cell>
          <cell r="E450" t="str">
            <v>Gaviotas</v>
          </cell>
          <cell r="H450" t="str">
            <v>salud_oral</v>
          </cell>
          <cell r="J450" t="str">
            <v>bueno</v>
          </cell>
          <cell r="K450" t="str">
            <v>probsi</v>
          </cell>
        </row>
        <row r="451">
          <cell r="B451" t="b">
            <v>1</v>
          </cell>
          <cell r="E451" t="str">
            <v>Gaviotas</v>
          </cell>
          <cell r="H451" t="str">
            <v>salud_oral</v>
          </cell>
          <cell r="J451" t="str">
            <v>bueno</v>
          </cell>
          <cell r="K451" t="str">
            <v>probsi</v>
          </cell>
        </row>
        <row r="452">
          <cell r="B452" t="b">
            <v>1</v>
          </cell>
          <cell r="E452" t="str">
            <v>Gaviotas</v>
          </cell>
          <cell r="H452" t="str">
            <v>salud_oral</v>
          </cell>
          <cell r="J452" t="str">
            <v>bueno</v>
          </cell>
          <cell r="K452" t="str">
            <v>probsi</v>
          </cell>
        </row>
        <row r="453">
          <cell r="B453" t="b">
            <v>1</v>
          </cell>
          <cell r="E453" t="str">
            <v>Gaviotas</v>
          </cell>
          <cell r="H453" t="str">
            <v>consulta_externa</v>
          </cell>
          <cell r="J453" t="str">
            <v>bueno</v>
          </cell>
          <cell r="K453" t="str">
            <v>probsi</v>
          </cell>
        </row>
        <row r="454">
          <cell r="B454" t="b">
            <v>1</v>
          </cell>
          <cell r="E454" t="str">
            <v>Gaviotas</v>
          </cell>
          <cell r="H454" t="str">
            <v>laboratorio</v>
          </cell>
          <cell r="J454" t="str">
            <v>bueno</v>
          </cell>
          <cell r="K454" t="str">
            <v>probsi</v>
          </cell>
        </row>
        <row r="455">
          <cell r="B455" t="b">
            <v>1</v>
          </cell>
          <cell r="E455" t="str">
            <v>Gaviotas</v>
          </cell>
          <cell r="H455" t="str">
            <v>laboratorio</v>
          </cell>
          <cell r="J455" t="str">
            <v>bueno</v>
          </cell>
          <cell r="K455" t="str">
            <v>probsi</v>
          </cell>
        </row>
        <row r="456">
          <cell r="B456" t="b">
            <v>1</v>
          </cell>
          <cell r="E456" t="str">
            <v>Gaviotas</v>
          </cell>
          <cell r="H456" t="str">
            <v>laboratorio</v>
          </cell>
          <cell r="J456" t="str">
            <v>bueno</v>
          </cell>
          <cell r="K456" t="str">
            <v>probsi</v>
          </cell>
        </row>
        <row r="457">
          <cell r="B457" t="b">
            <v>1</v>
          </cell>
          <cell r="E457" t="str">
            <v>Gaviotas</v>
          </cell>
          <cell r="H457" t="str">
            <v>consulta_externa</v>
          </cell>
          <cell r="J457" t="str">
            <v>bueno</v>
          </cell>
          <cell r="K457" t="str">
            <v>probsi</v>
          </cell>
        </row>
        <row r="458">
          <cell r="B458" t="b">
            <v>1</v>
          </cell>
          <cell r="E458" t="str">
            <v>Gaviotas</v>
          </cell>
          <cell r="H458" t="str">
            <v>consulta_externa</v>
          </cell>
          <cell r="J458" t="str">
            <v>bueno</v>
          </cell>
          <cell r="K458" t="str">
            <v>probsi</v>
          </cell>
        </row>
        <row r="459">
          <cell r="B459" t="b">
            <v>1</v>
          </cell>
          <cell r="E459" t="str">
            <v>San Francisco I</v>
          </cell>
          <cell r="H459" t="str">
            <v>consulta_externa</v>
          </cell>
          <cell r="J459" t="str">
            <v>bueno</v>
          </cell>
          <cell r="K459" t="str">
            <v>probsi</v>
          </cell>
        </row>
        <row r="460">
          <cell r="B460" t="b">
            <v>1</v>
          </cell>
          <cell r="E460" t="str">
            <v>San Francisco I</v>
          </cell>
          <cell r="H460" t="str">
            <v>salud_oral</v>
          </cell>
          <cell r="J460" t="str">
            <v>bueno</v>
          </cell>
          <cell r="K460" t="str">
            <v>probsi</v>
          </cell>
        </row>
        <row r="461">
          <cell r="B461" t="b">
            <v>1</v>
          </cell>
          <cell r="E461" t="str">
            <v>San Francisco I</v>
          </cell>
          <cell r="H461" t="str">
            <v>salud_oral</v>
          </cell>
          <cell r="J461" t="str">
            <v>bueno</v>
          </cell>
          <cell r="K461" t="str">
            <v>probsi</v>
          </cell>
        </row>
        <row r="462">
          <cell r="B462" t="b">
            <v>1</v>
          </cell>
          <cell r="E462" t="str">
            <v>Gaviotas</v>
          </cell>
          <cell r="H462" t="str">
            <v>consulta_externa</v>
          </cell>
          <cell r="J462" t="str">
            <v>bueno</v>
          </cell>
          <cell r="K462" t="str">
            <v>probsi</v>
          </cell>
        </row>
        <row r="463">
          <cell r="B463" t="b">
            <v>1</v>
          </cell>
          <cell r="E463" t="str">
            <v>Gaviotas</v>
          </cell>
          <cell r="H463" t="str">
            <v>consulta_externa</v>
          </cell>
          <cell r="J463" t="str">
            <v>bueno</v>
          </cell>
          <cell r="K463" t="str">
            <v>probsi</v>
          </cell>
        </row>
        <row r="464">
          <cell r="B464" t="b">
            <v>1</v>
          </cell>
          <cell r="E464" t="str">
            <v>Gaviotas</v>
          </cell>
          <cell r="H464" t="str">
            <v>consulta_externa</v>
          </cell>
          <cell r="J464" t="str">
            <v>bueno</v>
          </cell>
          <cell r="K464" t="str">
            <v>probsi</v>
          </cell>
        </row>
        <row r="465">
          <cell r="B465" t="b">
            <v>1</v>
          </cell>
          <cell r="E465" t="str">
            <v>Gaviotas</v>
          </cell>
          <cell r="H465" t="str">
            <v>consulta_externa</v>
          </cell>
          <cell r="J465" t="str">
            <v>bueno</v>
          </cell>
          <cell r="K465" t="str">
            <v>probsi</v>
          </cell>
        </row>
        <row r="466">
          <cell r="B466" t="b">
            <v>1</v>
          </cell>
          <cell r="E466" t="str">
            <v>Gaviotas</v>
          </cell>
          <cell r="H466" t="str">
            <v>laboratorio</v>
          </cell>
          <cell r="J466" t="str">
            <v>bueno</v>
          </cell>
          <cell r="K466" t="str">
            <v>probsi</v>
          </cell>
        </row>
        <row r="467">
          <cell r="B467" t="b">
            <v>1</v>
          </cell>
          <cell r="E467" t="str">
            <v>Gaviotas</v>
          </cell>
          <cell r="H467" t="str">
            <v>laboratorio</v>
          </cell>
          <cell r="J467" t="str">
            <v>bueno</v>
          </cell>
          <cell r="K467" t="str">
            <v>probsi</v>
          </cell>
        </row>
        <row r="468">
          <cell r="B468" t="b">
            <v>1</v>
          </cell>
          <cell r="E468" t="str">
            <v>Gaviotas</v>
          </cell>
          <cell r="H468" t="str">
            <v>salud_oral</v>
          </cell>
          <cell r="J468" t="str">
            <v>bueno</v>
          </cell>
          <cell r="K468" t="str">
            <v>probsi</v>
          </cell>
        </row>
        <row r="469">
          <cell r="B469" t="b">
            <v>1</v>
          </cell>
          <cell r="E469" t="str">
            <v>Gaviotas</v>
          </cell>
          <cell r="H469" t="str">
            <v>salud_oral</v>
          </cell>
          <cell r="J469" t="str">
            <v>bueno</v>
          </cell>
          <cell r="K469" t="str">
            <v>probsi</v>
          </cell>
        </row>
        <row r="470">
          <cell r="B470" t="b">
            <v>1</v>
          </cell>
          <cell r="E470" t="str">
            <v>Libano</v>
          </cell>
          <cell r="H470" t="str">
            <v>consulta_externa</v>
          </cell>
          <cell r="J470" t="str">
            <v>muybueno</v>
          </cell>
          <cell r="K470" t="str">
            <v>defsi</v>
          </cell>
        </row>
        <row r="471">
          <cell r="B471" t="b">
            <v>1</v>
          </cell>
          <cell r="E471" t="str">
            <v>Libano</v>
          </cell>
          <cell r="H471" t="str">
            <v>consulta_externa</v>
          </cell>
          <cell r="J471" t="str">
            <v>bueno</v>
          </cell>
          <cell r="K471" t="str">
            <v>defsi</v>
          </cell>
        </row>
        <row r="472">
          <cell r="B472" t="b">
            <v>1</v>
          </cell>
          <cell r="E472" t="str">
            <v>Libano</v>
          </cell>
          <cell r="H472" t="str">
            <v>laboratorio</v>
          </cell>
          <cell r="J472" t="str">
            <v>bueno</v>
          </cell>
          <cell r="K472" t="str">
            <v>defsi</v>
          </cell>
        </row>
        <row r="473">
          <cell r="B473" t="b">
            <v>1</v>
          </cell>
          <cell r="E473" t="str">
            <v>Libano</v>
          </cell>
          <cell r="H473" t="str">
            <v>laboratorio</v>
          </cell>
          <cell r="J473" t="str">
            <v>bueno</v>
          </cell>
          <cell r="K473" t="str">
            <v>defsi</v>
          </cell>
        </row>
        <row r="474">
          <cell r="B474" t="b">
            <v>1</v>
          </cell>
          <cell r="E474" t="str">
            <v>Libano</v>
          </cell>
          <cell r="H474" t="str">
            <v>consulta_externa</v>
          </cell>
          <cell r="J474" t="str">
            <v>bueno</v>
          </cell>
          <cell r="K474" t="str">
            <v>defsi</v>
          </cell>
        </row>
        <row r="475">
          <cell r="B475" t="b">
            <v>1</v>
          </cell>
          <cell r="E475" t="str">
            <v>Libano</v>
          </cell>
          <cell r="H475" t="str">
            <v>laboratorio</v>
          </cell>
          <cell r="J475" t="str">
            <v>bueno</v>
          </cell>
          <cell r="K475" t="str">
            <v>defsi</v>
          </cell>
        </row>
        <row r="476">
          <cell r="B476" t="b">
            <v>1</v>
          </cell>
          <cell r="E476" t="str">
            <v>Libano</v>
          </cell>
          <cell r="H476" t="str">
            <v>consulta_externa</v>
          </cell>
          <cell r="J476" t="str">
            <v>bueno</v>
          </cell>
          <cell r="K476" t="str">
            <v>defsi</v>
          </cell>
        </row>
        <row r="477">
          <cell r="B477" t="b">
            <v>1</v>
          </cell>
          <cell r="E477" t="str">
            <v>Libano</v>
          </cell>
          <cell r="H477" t="str">
            <v>laboratorio</v>
          </cell>
          <cell r="J477" t="str">
            <v>bueno</v>
          </cell>
          <cell r="K477" t="str">
            <v>defsi</v>
          </cell>
        </row>
        <row r="478">
          <cell r="B478" t="b">
            <v>1</v>
          </cell>
          <cell r="E478" t="str">
            <v>Libano</v>
          </cell>
          <cell r="H478" t="str">
            <v>consulta_externa</v>
          </cell>
          <cell r="J478" t="str">
            <v>bueno</v>
          </cell>
          <cell r="K478" t="str">
            <v>defsi</v>
          </cell>
        </row>
        <row r="479">
          <cell r="B479" t="b">
            <v>1</v>
          </cell>
          <cell r="E479" t="str">
            <v>Libano</v>
          </cell>
          <cell r="H479" t="str">
            <v>laboratorio</v>
          </cell>
          <cell r="J479" t="str">
            <v>bueno</v>
          </cell>
          <cell r="K479" t="str">
            <v>defsi</v>
          </cell>
        </row>
        <row r="480">
          <cell r="B480" t="b">
            <v>1</v>
          </cell>
          <cell r="E480" t="str">
            <v>Libano</v>
          </cell>
          <cell r="H480" t="str">
            <v>laboratorio</v>
          </cell>
          <cell r="J480" t="str">
            <v>bueno</v>
          </cell>
          <cell r="K480" t="str">
            <v>defsi</v>
          </cell>
        </row>
        <row r="481">
          <cell r="B481" t="b">
            <v>1</v>
          </cell>
          <cell r="E481" t="str">
            <v>Libano</v>
          </cell>
          <cell r="H481" t="str">
            <v>consulta_externa</v>
          </cell>
          <cell r="J481" t="str">
            <v>bueno</v>
          </cell>
          <cell r="K481" t="str">
            <v>defsi</v>
          </cell>
        </row>
        <row r="482">
          <cell r="B482" t="b">
            <v>1</v>
          </cell>
          <cell r="E482" t="str">
            <v>Libano</v>
          </cell>
          <cell r="H482" t="str">
            <v>salud_oral</v>
          </cell>
          <cell r="J482" t="str">
            <v>bueno</v>
          </cell>
          <cell r="K482" t="str">
            <v>defsi</v>
          </cell>
        </row>
        <row r="483">
          <cell r="B483" t="b">
            <v>1</v>
          </cell>
          <cell r="E483" t="str">
            <v>Libano</v>
          </cell>
          <cell r="H483" t="str">
            <v>consulta_externa</v>
          </cell>
          <cell r="J483" t="str">
            <v>bueno</v>
          </cell>
          <cell r="K483" t="str">
            <v>defsi</v>
          </cell>
        </row>
        <row r="484">
          <cell r="B484" t="b">
            <v>1</v>
          </cell>
          <cell r="E484" t="str">
            <v>Libano</v>
          </cell>
          <cell r="H484" t="str">
            <v>salud_oral</v>
          </cell>
          <cell r="J484" t="str">
            <v>bueno</v>
          </cell>
          <cell r="K484" t="str">
            <v>defsi</v>
          </cell>
        </row>
        <row r="485">
          <cell r="B485" t="b">
            <v>1</v>
          </cell>
          <cell r="E485" t="str">
            <v>Libano</v>
          </cell>
          <cell r="H485" t="str">
            <v>salud_oral</v>
          </cell>
          <cell r="J485" t="str">
            <v>bueno</v>
          </cell>
          <cell r="K485" t="str">
            <v>defsi</v>
          </cell>
        </row>
        <row r="486">
          <cell r="B486" t="b">
            <v>1</v>
          </cell>
          <cell r="E486" t="str">
            <v>Libano</v>
          </cell>
          <cell r="H486" t="str">
            <v>salud_oral</v>
          </cell>
          <cell r="J486" t="str">
            <v>muybueno</v>
          </cell>
          <cell r="K486" t="str">
            <v>defsi</v>
          </cell>
        </row>
        <row r="487">
          <cell r="B487" t="b">
            <v>1</v>
          </cell>
          <cell r="E487" t="str">
            <v>Libano</v>
          </cell>
          <cell r="H487" t="str">
            <v>consulta_externa</v>
          </cell>
          <cell r="J487" t="str">
            <v>bueno</v>
          </cell>
          <cell r="K487" t="str">
            <v>defsi</v>
          </cell>
        </row>
        <row r="488">
          <cell r="B488" t="b">
            <v>1</v>
          </cell>
          <cell r="E488" t="str">
            <v>Libano</v>
          </cell>
          <cell r="H488" t="str">
            <v>laboratorio</v>
          </cell>
          <cell r="J488" t="str">
            <v>bueno</v>
          </cell>
          <cell r="K488" t="str">
            <v>defsi</v>
          </cell>
        </row>
        <row r="489">
          <cell r="B489" t="b">
            <v>1</v>
          </cell>
          <cell r="E489" t="str">
            <v>Libano</v>
          </cell>
          <cell r="H489" t="str">
            <v>consulta_externa</v>
          </cell>
          <cell r="J489" t="str">
            <v>bueno</v>
          </cell>
          <cell r="K489" t="str">
            <v>defsi</v>
          </cell>
        </row>
        <row r="490">
          <cell r="B490" t="b">
            <v>1</v>
          </cell>
          <cell r="E490" t="str">
            <v>Esperanza</v>
          </cell>
          <cell r="H490" t="str">
            <v>consulta_externa</v>
          </cell>
          <cell r="J490" t="str">
            <v>bueno</v>
          </cell>
          <cell r="K490" t="str">
            <v>probsi</v>
          </cell>
        </row>
        <row r="491">
          <cell r="B491" t="b">
            <v>1</v>
          </cell>
          <cell r="E491" t="str">
            <v>Esperanza</v>
          </cell>
          <cell r="H491" t="str">
            <v>consulta_externa</v>
          </cell>
          <cell r="J491" t="str">
            <v>bueno</v>
          </cell>
          <cell r="K491" t="str">
            <v>probsi</v>
          </cell>
        </row>
        <row r="492">
          <cell r="B492" t="b">
            <v>1</v>
          </cell>
          <cell r="E492" t="str">
            <v>Esperanza</v>
          </cell>
          <cell r="H492" t="str">
            <v>consulta_externa</v>
          </cell>
          <cell r="J492" t="str">
            <v>bueno</v>
          </cell>
          <cell r="K492" t="str">
            <v>probsi</v>
          </cell>
        </row>
        <row r="493">
          <cell r="B493" t="b">
            <v>1</v>
          </cell>
          <cell r="E493" t="str">
            <v>Esperanza</v>
          </cell>
          <cell r="H493" t="str">
            <v>consulta_externa</v>
          </cell>
          <cell r="J493" t="str">
            <v>bueno</v>
          </cell>
          <cell r="K493" t="str">
            <v>probsi</v>
          </cell>
        </row>
        <row r="494">
          <cell r="B494" t="b">
            <v>1</v>
          </cell>
          <cell r="E494" t="str">
            <v>Libano</v>
          </cell>
          <cell r="H494" t="str">
            <v>laboratorio</v>
          </cell>
          <cell r="J494" t="str">
            <v>bueno</v>
          </cell>
          <cell r="K494" t="str">
            <v>defsi</v>
          </cell>
        </row>
        <row r="495">
          <cell r="B495" t="b">
            <v>1</v>
          </cell>
          <cell r="E495" t="str">
            <v>Esperanza</v>
          </cell>
          <cell r="H495" t="str">
            <v>salud_oral</v>
          </cell>
          <cell r="J495" t="str">
            <v>bueno</v>
          </cell>
          <cell r="K495" t="str">
            <v>probsi</v>
          </cell>
        </row>
        <row r="496">
          <cell r="B496" t="b">
            <v>1</v>
          </cell>
          <cell r="E496" t="str">
            <v>Esperanza</v>
          </cell>
          <cell r="H496" t="str">
            <v>salud_oral</v>
          </cell>
          <cell r="J496" t="str">
            <v>bueno</v>
          </cell>
          <cell r="K496" t="str">
            <v>probsi</v>
          </cell>
        </row>
        <row r="497">
          <cell r="B497" t="b">
            <v>1</v>
          </cell>
          <cell r="E497" t="str">
            <v>Esperanza</v>
          </cell>
          <cell r="H497" t="str">
            <v>salud_oral</v>
          </cell>
          <cell r="J497" t="str">
            <v>bueno</v>
          </cell>
          <cell r="K497" t="str">
            <v>probsi</v>
          </cell>
        </row>
        <row r="498">
          <cell r="B498" t="b">
            <v>1</v>
          </cell>
          <cell r="E498" t="str">
            <v>Esperanza</v>
          </cell>
          <cell r="H498" t="str">
            <v>salud_oral</v>
          </cell>
          <cell r="J498" t="str">
            <v>bueno</v>
          </cell>
          <cell r="K498" t="str">
            <v>probsi</v>
          </cell>
        </row>
        <row r="499">
          <cell r="B499" t="b">
            <v>0</v>
          </cell>
          <cell r="E499" t="str">
            <v>Esperanza</v>
          </cell>
          <cell r="H499" t="str">
            <v>laboratorio</v>
          </cell>
          <cell r="J499" t="str">
            <v>regular</v>
          </cell>
          <cell r="K499" t="str">
            <v>probsi</v>
          </cell>
        </row>
        <row r="500">
          <cell r="B500" t="b">
            <v>0</v>
          </cell>
          <cell r="E500" t="str">
            <v>Esperanza</v>
          </cell>
          <cell r="H500" t="str">
            <v>laboratorio</v>
          </cell>
          <cell r="J500" t="str">
            <v>regular</v>
          </cell>
          <cell r="K500" t="str">
            <v>probsi</v>
          </cell>
        </row>
        <row r="501">
          <cell r="B501" t="b">
            <v>1</v>
          </cell>
          <cell r="E501" t="str">
            <v>Libano</v>
          </cell>
          <cell r="H501" t="str">
            <v>salud_oral</v>
          </cell>
          <cell r="J501" t="str">
            <v>bueno</v>
          </cell>
          <cell r="K501" t="str">
            <v>defsi</v>
          </cell>
        </row>
        <row r="502">
          <cell r="B502" t="b">
            <v>1</v>
          </cell>
          <cell r="E502" t="str">
            <v>Esperanza</v>
          </cell>
          <cell r="H502" t="str">
            <v>laboratorio</v>
          </cell>
          <cell r="J502" t="str">
            <v>bueno</v>
          </cell>
          <cell r="K502" t="str">
            <v>probsi</v>
          </cell>
        </row>
        <row r="503">
          <cell r="B503" t="b">
            <v>1</v>
          </cell>
          <cell r="E503" t="str">
            <v>Esperanza</v>
          </cell>
          <cell r="H503" t="str">
            <v>laboratorio</v>
          </cell>
          <cell r="J503" t="str">
            <v>bueno</v>
          </cell>
          <cell r="K503" t="str">
            <v>probsi</v>
          </cell>
        </row>
        <row r="504">
          <cell r="B504" t="b">
            <v>1</v>
          </cell>
          <cell r="E504" t="str">
            <v>Esperanza</v>
          </cell>
          <cell r="H504" t="str">
            <v>laboratorio</v>
          </cell>
          <cell r="J504" t="str">
            <v>bueno</v>
          </cell>
          <cell r="K504" t="str">
            <v>probsi</v>
          </cell>
        </row>
        <row r="505">
          <cell r="B505" t="b">
            <v>1</v>
          </cell>
          <cell r="E505" t="str">
            <v>Libano</v>
          </cell>
          <cell r="H505" t="str">
            <v>laboratorio</v>
          </cell>
          <cell r="J505" t="str">
            <v>bueno</v>
          </cell>
          <cell r="K505" t="str">
            <v>defsi</v>
          </cell>
        </row>
        <row r="506">
          <cell r="B506" t="b">
            <v>1</v>
          </cell>
          <cell r="E506" t="str">
            <v>Libano</v>
          </cell>
          <cell r="H506" t="str">
            <v>laboratorio</v>
          </cell>
          <cell r="J506" t="str">
            <v>bueno</v>
          </cell>
          <cell r="K506" t="str">
            <v>defsi</v>
          </cell>
        </row>
        <row r="507">
          <cell r="B507" t="b">
            <v>1</v>
          </cell>
          <cell r="E507" t="str">
            <v>Libano</v>
          </cell>
          <cell r="H507" t="str">
            <v>laboratorio</v>
          </cell>
          <cell r="J507" t="str">
            <v>bueno</v>
          </cell>
          <cell r="K507" t="str">
            <v>defsi</v>
          </cell>
        </row>
        <row r="508">
          <cell r="B508" t="b">
            <v>0</v>
          </cell>
          <cell r="E508" t="str">
            <v>Libano</v>
          </cell>
          <cell r="H508" t="str">
            <v>consulta_externa</v>
          </cell>
          <cell r="J508" t="str">
            <v>regular</v>
          </cell>
          <cell r="K508" t="str">
            <v>defsi</v>
          </cell>
        </row>
        <row r="509">
          <cell r="B509" t="b">
            <v>1</v>
          </cell>
          <cell r="E509" t="str">
            <v>Libano</v>
          </cell>
          <cell r="H509" t="str">
            <v>consulta_externa</v>
          </cell>
          <cell r="J509" t="str">
            <v>bueno</v>
          </cell>
          <cell r="K509" t="str">
            <v>defsi</v>
          </cell>
        </row>
        <row r="510">
          <cell r="B510" t="b">
            <v>1</v>
          </cell>
          <cell r="E510" t="str">
            <v>Libano</v>
          </cell>
          <cell r="H510" t="str">
            <v>salud_oral</v>
          </cell>
          <cell r="J510" t="str">
            <v>bueno</v>
          </cell>
          <cell r="K510" t="str">
            <v>defsi</v>
          </cell>
        </row>
        <row r="511">
          <cell r="B511" t="b">
            <v>1</v>
          </cell>
          <cell r="E511" t="str">
            <v>Libano</v>
          </cell>
          <cell r="H511" t="str">
            <v>salud_oral</v>
          </cell>
          <cell r="J511" t="str">
            <v>bueno</v>
          </cell>
          <cell r="K511" t="str">
            <v>defsi</v>
          </cell>
        </row>
        <row r="512">
          <cell r="B512" t="b">
            <v>0</v>
          </cell>
          <cell r="E512" t="str">
            <v>Libano</v>
          </cell>
          <cell r="H512" t="str">
            <v>salud_oral</v>
          </cell>
          <cell r="J512" t="str">
            <v>regular</v>
          </cell>
          <cell r="K512" t="str">
            <v>defsi</v>
          </cell>
        </row>
        <row r="513">
          <cell r="B513" t="b">
            <v>0</v>
          </cell>
          <cell r="E513" t="str">
            <v>Esperanza</v>
          </cell>
          <cell r="H513" t="str">
            <v>consulta_externa</v>
          </cell>
          <cell r="J513" t="str">
            <v>regular</v>
          </cell>
          <cell r="K513" t="str">
            <v>probsi</v>
          </cell>
        </row>
        <row r="514">
          <cell r="B514" t="b">
            <v>1</v>
          </cell>
          <cell r="E514" t="str">
            <v>Libano</v>
          </cell>
          <cell r="H514" t="str">
            <v>consulta_externa</v>
          </cell>
          <cell r="J514" t="str">
            <v>bueno</v>
          </cell>
          <cell r="K514" t="str">
            <v>defsi</v>
          </cell>
        </row>
        <row r="515">
          <cell r="B515" t="b">
            <v>0</v>
          </cell>
          <cell r="E515" t="str">
            <v>Esperanza</v>
          </cell>
          <cell r="H515" t="str">
            <v>urgencia</v>
          </cell>
          <cell r="J515" t="str">
            <v>regular</v>
          </cell>
          <cell r="K515" t="str">
            <v>probsi</v>
          </cell>
        </row>
        <row r="516">
          <cell r="B516" t="b">
            <v>1</v>
          </cell>
          <cell r="E516" t="str">
            <v>Libano</v>
          </cell>
          <cell r="H516" t="str">
            <v>ginecologia</v>
          </cell>
          <cell r="J516" t="str">
            <v>bueno</v>
          </cell>
          <cell r="K516" t="str">
            <v>defsi</v>
          </cell>
        </row>
        <row r="517">
          <cell r="B517" t="b">
            <v>1</v>
          </cell>
          <cell r="E517" t="str">
            <v>Libano</v>
          </cell>
          <cell r="H517" t="str">
            <v>pediatria</v>
          </cell>
          <cell r="J517" t="str">
            <v>bueno</v>
          </cell>
          <cell r="K517" t="str">
            <v>defsi</v>
          </cell>
        </row>
        <row r="518">
          <cell r="B518" t="b">
            <v>1</v>
          </cell>
          <cell r="E518" t="str">
            <v>Libano</v>
          </cell>
          <cell r="H518" t="str">
            <v>pediatria</v>
          </cell>
          <cell r="J518" t="str">
            <v>bueno</v>
          </cell>
          <cell r="K518" t="str">
            <v>defsi</v>
          </cell>
        </row>
        <row r="519">
          <cell r="B519" t="b">
            <v>1</v>
          </cell>
          <cell r="E519" t="str">
            <v>Esperanza</v>
          </cell>
          <cell r="H519" t="str">
            <v>consulta_externa</v>
          </cell>
          <cell r="J519" t="str">
            <v>bueno</v>
          </cell>
          <cell r="K519" t="str">
            <v>probsi</v>
          </cell>
        </row>
        <row r="520">
          <cell r="B520" t="b">
            <v>1</v>
          </cell>
          <cell r="E520" t="str">
            <v>Esperanza</v>
          </cell>
          <cell r="H520" t="str">
            <v>urgencia</v>
          </cell>
          <cell r="J520" t="str">
            <v>bueno</v>
          </cell>
          <cell r="K520" t="str">
            <v>probsi</v>
          </cell>
        </row>
        <row r="521">
          <cell r="B521" t="b">
            <v>1</v>
          </cell>
          <cell r="E521" t="str">
            <v>Esperanza</v>
          </cell>
          <cell r="H521" t="str">
            <v>urgencia</v>
          </cell>
          <cell r="J521" t="str">
            <v>bueno</v>
          </cell>
          <cell r="K521" t="str">
            <v>probsi</v>
          </cell>
        </row>
        <row r="522">
          <cell r="B522" t="b">
            <v>1</v>
          </cell>
          <cell r="E522" t="str">
            <v>Esperanza</v>
          </cell>
          <cell r="H522" t="str">
            <v>consulta_externa</v>
          </cell>
          <cell r="J522" t="str">
            <v>bueno</v>
          </cell>
          <cell r="K522" t="str">
            <v>probsi</v>
          </cell>
        </row>
        <row r="523">
          <cell r="B523" t="b">
            <v>1</v>
          </cell>
          <cell r="E523" t="str">
            <v>Esperanza</v>
          </cell>
          <cell r="H523" t="str">
            <v>consulta_externa</v>
          </cell>
          <cell r="J523" t="str">
            <v>bueno</v>
          </cell>
          <cell r="K523" t="str">
            <v>probsi</v>
          </cell>
        </row>
        <row r="524">
          <cell r="B524" t="b">
            <v>1</v>
          </cell>
          <cell r="E524" t="str">
            <v>Esperanza</v>
          </cell>
          <cell r="H524" t="str">
            <v>consulta_externa</v>
          </cell>
          <cell r="J524" t="str">
            <v>bueno</v>
          </cell>
          <cell r="K524" t="str">
            <v>probsi</v>
          </cell>
        </row>
        <row r="525">
          <cell r="B525" t="b">
            <v>0</v>
          </cell>
          <cell r="E525" t="str">
            <v>Esperanza</v>
          </cell>
          <cell r="H525" t="str">
            <v>consulta_externa</v>
          </cell>
          <cell r="J525" t="str">
            <v>regular</v>
          </cell>
          <cell r="K525" t="str">
            <v>probsi</v>
          </cell>
        </row>
        <row r="526">
          <cell r="B526" t="b">
            <v>0</v>
          </cell>
          <cell r="E526" t="str">
            <v>Esperanza</v>
          </cell>
          <cell r="H526" t="str">
            <v>laboratorio</v>
          </cell>
          <cell r="J526" t="str">
            <v>regular</v>
          </cell>
          <cell r="K526" t="str">
            <v>probsi</v>
          </cell>
        </row>
        <row r="527">
          <cell r="B527" t="b">
            <v>1</v>
          </cell>
          <cell r="E527" t="str">
            <v>Esperanza</v>
          </cell>
          <cell r="H527" t="str">
            <v>urgencia</v>
          </cell>
          <cell r="J527" t="str">
            <v>bueno</v>
          </cell>
          <cell r="K527" t="str">
            <v>probsi</v>
          </cell>
        </row>
        <row r="528">
          <cell r="B528" t="b">
            <v>1</v>
          </cell>
          <cell r="E528" t="str">
            <v>Esperanza</v>
          </cell>
          <cell r="H528" t="str">
            <v>consulta_externa</v>
          </cell>
          <cell r="J528" t="str">
            <v>bueno</v>
          </cell>
          <cell r="K528" t="str">
            <v>probsi</v>
          </cell>
        </row>
        <row r="529">
          <cell r="B529" t="b">
            <v>1</v>
          </cell>
          <cell r="E529" t="str">
            <v>Esperanza</v>
          </cell>
          <cell r="H529" t="str">
            <v>laboratorio</v>
          </cell>
          <cell r="J529" t="str">
            <v>bueno</v>
          </cell>
          <cell r="K529" t="str">
            <v>probsi</v>
          </cell>
        </row>
        <row r="530">
          <cell r="B530" t="b">
            <v>0</v>
          </cell>
          <cell r="E530" t="str">
            <v>Esperanza</v>
          </cell>
          <cell r="H530" t="str">
            <v>electros</v>
          </cell>
          <cell r="J530" t="str">
            <v>regular</v>
          </cell>
          <cell r="K530" t="str">
            <v>probsi</v>
          </cell>
        </row>
        <row r="531">
          <cell r="B531" t="b">
            <v>1</v>
          </cell>
          <cell r="E531" t="str">
            <v>Libano</v>
          </cell>
          <cell r="H531" t="str">
            <v>consulta_externa</v>
          </cell>
          <cell r="J531" t="str">
            <v>bueno</v>
          </cell>
          <cell r="K531" t="str">
            <v>defsi</v>
          </cell>
        </row>
        <row r="532">
          <cell r="B532" t="b">
            <v>1</v>
          </cell>
          <cell r="E532" t="str">
            <v>Libano</v>
          </cell>
          <cell r="H532" t="str">
            <v>pediatria</v>
          </cell>
          <cell r="J532" t="str">
            <v>bueno</v>
          </cell>
          <cell r="K532" t="str">
            <v>defsi</v>
          </cell>
        </row>
        <row r="533">
          <cell r="B533" t="b">
            <v>1</v>
          </cell>
          <cell r="E533" t="str">
            <v>Libano</v>
          </cell>
          <cell r="H533" t="str">
            <v>pediatria</v>
          </cell>
          <cell r="J533" t="str">
            <v>muybueno</v>
          </cell>
          <cell r="K533" t="str">
            <v>defsi</v>
          </cell>
        </row>
        <row r="534">
          <cell r="B534" t="b">
            <v>1</v>
          </cell>
          <cell r="E534" t="str">
            <v>Libano</v>
          </cell>
          <cell r="H534" t="str">
            <v>pediatria</v>
          </cell>
          <cell r="J534" t="str">
            <v>bueno</v>
          </cell>
          <cell r="K534" t="str">
            <v>defsi</v>
          </cell>
        </row>
        <row r="535">
          <cell r="B535" t="b">
            <v>1</v>
          </cell>
          <cell r="E535" t="str">
            <v>Libano</v>
          </cell>
          <cell r="H535" t="str">
            <v>ginecologia</v>
          </cell>
          <cell r="J535" t="str">
            <v>bueno</v>
          </cell>
          <cell r="K535" t="str">
            <v>defsi</v>
          </cell>
        </row>
        <row r="536">
          <cell r="B536" t="b">
            <v>1</v>
          </cell>
          <cell r="E536" t="str">
            <v>Libano</v>
          </cell>
          <cell r="H536" t="str">
            <v>ginecologia</v>
          </cell>
          <cell r="J536" t="str">
            <v>bueno</v>
          </cell>
          <cell r="K536" t="str">
            <v>defsi</v>
          </cell>
        </row>
        <row r="537">
          <cell r="B537" t="b">
            <v>1</v>
          </cell>
          <cell r="E537" t="str">
            <v>Libano</v>
          </cell>
          <cell r="H537" t="str">
            <v>ginecologia</v>
          </cell>
          <cell r="J537" t="str">
            <v>bueno</v>
          </cell>
          <cell r="K537" t="str">
            <v>defsi</v>
          </cell>
        </row>
        <row r="538">
          <cell r="B538" t="b">
            <v>1</v>
          </cell>
          <cell r="E538" t="str">
            <v>Libano</v>
          </cell>
          <cell r="H538" t="str">
            <v>pediatria</v>
          </cell>
          <cell r="J538" t="str">
            <v>muybueno</v>
          </cell>
          <cell r="K538" t="str">
            <v>defsi</v>
          </cell>
        </row>
        <row r="539">
          <cell r="B539" t="b">
            <v>1</v>
          </cell>
          <cell r="E539" t="str">
            <v>Libano</v>
          </cell>
          <cell r="H539" t="str">
            <v>salud_oral</v>
          </cell>
          <cell r="J539" t="str">
            <v>bueno</v>
          </cell>
          <cell r="K539" t="str">
            <v>defsi</v>
          </cell>
        </row>
        <row r="540">
          <cell r="B540" t="b">
            <v>1</v>
          </cell>
          <cell r="E540" t="str">
            <v>Libano</v>
          </cell>
          <cell r="H540" t="str">
            <v>ginecologia</v>
          </cell>
          <cell r="J540" t="str">
            <v>bueno</v>
          </cell>
          <cell r="K540" t="str">
            <v>defsi</v>
          </cell>
        </row>
        <row r="541">
          <cell r="B541" t="b">
            <v>1</v>
          </cell>
          <cell r="E541" t="str">
            <v>Libano</v>
          </cell>
          <cell r="H541" t="str">
            <v>ginecologia</v>
          </cell>
          <cell r="J541" t="str">
            <v>bueno</v>
          </cell>
          <cell r="K541" t="str">
            <v>defsi</v>
          </cell>
        </row>
        <row r="542">
          <cell r="B542" t="b">
            <v>1</v>
          </cell>
          <cell r="E542" t="str">
            <v>Libano</v>
          </cell>
          <cell r="H542" t="str">
            <v>salud_oral</v>
          </cell>
          <cell r="J542" t="str">
            <v>bueno</v>
          </cell>
          <cell r="K542" t="str">
            <v>defsi</v>
          </cell>
        </row>
        <row r="543">
          <cell r="B543" t="b">
            <v>1</v>
          </cell>
          <cell r="E543" t="str">
            <v>Esperanza</v>
          </cell>
          <cell r="H543" t="str">
            <v>salud_oral</v>
          </cell>
          <cell r="J543" t="str">
            <v>bueno</v>
          </cell>
          <cell r="K543" t="str">
            <v>probsi</v>
          </cell>
        </row>
        <row r="544">
          <cell r="B544" t="b">
            <v>1</v>
          </cell>
          <cell r="E544" t="str">
            <v>Esperanza</v>
          </cell>
          <cell r="H544" t="str">
            <v>salud_oral</v>
          </cell>
          <cell r="J544" t="str">
            <v>bueno</v>
          </cell>
          <cell r="K544" t="str">
            <v>probsi</v>
          </cell>
        </row>
        <row r="545">
          <cell r="B545" t="b">
            <v>1</v>
          </cell>
          <cell r="E545" t="str">
            <v>Esperanza</v>
          </cell>
          <cell r="H545" t="str">
            <v>salud_oral</v>
          </cell>
          <cell r="J545" t="str">
            <v>bueno</v>
          </cell>
          <cell r="K545" t="str">
            <v>probsi</v>
          </cell>
        </row>
        <row r="546">
          <cell r="B546" t="b">
            <v>0</v>
          </cell>
          <cell r="E546" t="str">
            <v>Esperanza</v>
          </cell>
          <cell r="H546" t="str">
            <v>laboratorio</v>
          </cell>
          <cell r="J546" t="str">
            <v>regular</v>
          </cell>
          <cell r="K546" t="str">
            <v>probsi</v>
          </cell>
        </row>
        <row r="547">
          <cell r="B547" t="b">
            <v>0</v>
          </cell>
          <cell r="E547" t="str">
            <v>Esperanza</v>
          </cell>
          <cell r="H547" t="str">
            <v>laboratorio</v>
          </cell>
          <cell r="J547" t="str">
            <v>regular</v>
          </cell>
          <cell r="K547" t="str">
            <v>probsi</v>
          </cell>
        </row>
        <row r="548">
          <cell r="B548" t="b">
            <v>0</v>
          </cell>
          <cell r="E548" t="str">
            <v>Esperanza</v>
          </cell>
          <cell r="H548" t="str">
            <v>laboratorio</v>
          </cell>
          <cell r="J548" t="str">
            <v>regular</v>
          </cell>
          <cell r="K548" t="str">
            <v>probsi</v>
          </cell>
        </row>
        <row r="549">
          <cell r="B549" t="b">
            <v>1</v>
          </cell>
          <cell r="E549" t="str">
            <v>Esperanza</v>
          </cell>
          <cell r="H549" t="str">
            <v>laboratorio</v>
          </cell>
          <cell r="J549" t="str">
            <v>bueno</v>
          </cell>
          <cell r="K549" t="str">
            <v>probsi</v>
          </cell>
        </row>
        <row r="550">
          <cell r="B550" t="b">
            <v>1</v>
          </cell>
          <cell r="E550" t="str">
            <v>Esperanza</v>
          </cell>
          <cell r="H550" t="str">
            <v>laboratorio</v>
          </cell>
          <cell r="J550" t="str">
            <v>bueno</v>
          </cell>
          <cell r="K550" t="str">
            <v>probsi</v>
          </cell>
        </row>
        <row r="551">
          <cell r="B551" t="b">
            <v>1</v>
          </cell>
          <cell r="E551" t="str">
            <v>Esperanza</v>
          </cell>
          <cell r="H551" t="str">
            <v>urgencia</v>
          </cell>
          <cell r="J551" t="str">
            <v>bueno</v>
          </cell>
          <cell r="K551" t="str">
            <v>probsi</v>
          </cell>
        </row>
        <row r="552">
          <cell r="B552" t="b">
            <v>1</v>
          </cell>
          <cell r="E552" t="str">
            <v>Esperanza</v>
          </cell>
          <cell r="H552" t="str">
            <v>urgencia</v>
          </cell>
          <cell r="J552" t="str">
            <v>bueno</v>
          </cell>
          <cell r="K552" t="str">
            <v>probsi</v>
          </cell>
        </row>
        <row r="553">
          <cell r="B553" t="b">
            <v>0</v>
          </cell>
          <cell r="E553" t="str">
            <v>Esperanza</v>
          </cell>
          <cell r="H553" t="str">
            <v>urgencia</v>
          </cell>
          <cell r="J553" t="str">
            <v>regular</v>
          </cell>
          <cell r="K553" t="str">
            <v>probsi</v>
          </cell>
        </row>
        <row r="554">
          <cell r="B554" t="b">
            <v>1</v>
          </cell>
          <cell r="E554" t="str">
            <v>Esperanza</v>
          </cell>
          <cell r="H554" t="str">
            <v>electros</v>
          </cell>
          <cell r="J554" t="str">
            <v>bueno</v>
          </cell>
          <cell r="K554" t="str">
            <v>probsi</v>
          </cell>
        </row>
        <row r="555">
          <cell r="B555" t="b">
            <v>1</v>
          </cell>
          <cell r="E555" t="str">
            <v>Esperanza</v>
          </cell>
          <cell r="H555" t="str">
            <v>electros</v>
          </cell>
          <cell r="J555" t="str">
            <v>bueno</v>
          </cell>
          <cell r="K555" t="str">
            <v>probsi</v>
          </cell>
        </row>
        <row r="556">
          <cell r="B556" t="b">
            <v>1</v>
          </cell>
          <cell r="E556" t="str">
            <v>Esperanza</v>
          </cell>
          <cell r="H556" t="str">
            <v>electros</v>
          </cell>
          <cell r="J556" t="str">
            <v>bueno</v>
          </cell>
          <cell r="K556" t="str">
            <v>probsi</v>
          </cell>
        </row>
        <row r="557">
          <cell r="B557" t="b">
            <v>1</v>
          </cell>
          <cell r="E557" t="str">
            <v>San Vicente de Paul</v>
          </cell>
          <cell r="H557" t="str">
            <v>consulta_externa</v>
          </cell>
          <cell r="J557" t="str">
            <v>bueno</v>
          </cell>
          <cell r="K557" t="str">
            <v>defsi</v>
          </cell>
        </row>
        <row r="558">
          <cell r="B558" t="b">
            <v>1</v>
          </cell>
          <cell r="E558" t="str">
            <v>San Vicente de Paul</v>
          </cell>
          <cell r="H558" t="str">
            <v>consulta_externa</v>
          </cell>
          <cell r="J558" t="str">
            <v>bueno</v>
          </cell>
          <cell r="K558" t="str">
            <v>defsi</v>
          </cell>
        </row>
        <row r="559">
          <cell r="B559" t="b">
            <v>1</v>
          </cell>
          <cell r="E559" t="str">
            <v>San Vicente de Paul</v>
          </cell>
          <cell r="H559" t="str">
            <v>salud_oral</v>
          </cell>
          <cell r="J559" t="str">
            <v>bueno</v>
          </cell>
          <cell r="K559" t="str">
            <v>defsi</v>
          </cell>
        </row>
        <row r="560">
          <cell r="B560" t="b">
            <v>1</v>
          </cell>
          <cell r="E560" t="str">
            <v>San Vicente de Paul</v>
          </cell>
          <cell r="H560" t="str">
            <v>salud_oral</v>
          </cell>
          <cell r="J560" t="str">
            <v>bueno</v>
          </cell>
          <cell r="K560" t="str">
            <v>defsi</v>
          </cell>
        </row>
        <row r="561">
          <cell r="B561" t="b">
            <v>1</v>
          </cell>
          <cell r="E561" t="str">
            <v>San Vicente de Paul</v>
          </cell>
          <cell r="H561" t="str">
            <v>salud_oral</v>
          </cell>
          <cell r="J561" t="str">
            <v>bueno</v>
          </cell>
          <cell r="K561" t="str">
            <v>defsi</v>
          </cell>
        </row>
        <row r="562">
          <cell r="B562" t="b">
            <v>1</v>
          </cell>
          <cell r="E562" t="str">
            <v>San Vicente de Paul</v>
          </cell>
          <cell r="H562" t="str">
            <v>consulta_externa</v>
          </cell>
          <cell r="J562" t="str">
            <v>bueno</v>
          </cell>
          <cell r="K562" t="str">
            <v>defsi</v>
          </cell>
        </row>
        <row r="563">
          <cell r="B563" t="b">
            <v>1</v>
          </cell>
          <cell r="E563" t="str">
            <v>San Vicente de Paul</v>
          </cell>
          <cell r="H563" t="str">
            <v>laboratorio</v>
          </cell>
          <cell r="J563" t="str">
            <v>bueno</v>
          </cell>
          <cell r="K563" t="str">
            <v>defsi</v>
          </cell>
        </row>
        <row r="564">
          <cell r="B564" t="b">
            <v>1</v>
          </cell>
          <cell r="E564" t="str">
            <v>San Vicente de Paul</v>
          </cell>
          <cell r="H564" t="str">
            <v>salud_oral</v>
          </cell>
          <cell r="J564" t="str">
            <v>bueno</v>
          </cell>
          <cell r="K564" t="str">
            <v>defsi</v>
          </cell>
        </row>
        <row r="565">
          <cell r="B565" t="b">
            <v>1</v>
          </cell>
          <cell r="E565" t="str">
            <v>San Vicente de Paul</v>
          </cell>
          <cell r="H565" t="str">
            <v>salud_oral</v>
          </cell>
          <cell r="J565" t="str">
            <v>bueno</v>
          </cell>
          <cell r="K565" t="str">
            <v>defsi</v>
          </cell>
        </row>
        <row r="566">
          <cell r="B566" t="b">
            <v>1</v>
          </cell>
          <cell r="E566" t="str">
            <v>San Vicente de Paul</v>
          </cell>
          <cell r="H566" t="str">
            <v>consulta_externa</v>
          </cell>
          <cell r="J566" t="str">
            <v>bueno</v>
          </cell>
          <cell r="K566" t="str">
            <v>defsi</v>
          </cell>
        </row>
        <row r="567">
          <cell r="B567" t="b">
            <v>0</v>
          </cell>
          <cell r="E567" t="str">
            <v>San Vicente de Paul</v>
          </cell>
          <cell r="H567" t="str">
            <v>consulta_externa</v>
          </cell>
          <cell r="J567" t="str">
            <v>regular</v>
          </cell>
          <cell r="K567" t="str">
            <v>defsi</v>
          </cell>
        </row>
        <row r="568">
          <cell r="B568" t="b">
            <v>0</v>
          </cell>
          <cell r="E568" t="str">
            <v>San Vicente de Paul</v>
          </cell>
          <cell r="H568" t="str">
            <v>consulta_externa</v>
          </cell>
          <cell r="J568" t="str">
            <v>regular</v>
          </cell>
          <cell r="K568" t="str">
            <v>defsi</v>
          </cell>
        </row>
        <row r="569">
          <cell r="B569" t="b">
            <v>1</v>
          </cell>
          <cell r="E569" t="str">
            <v>San Vicente de Paul</v>
          </cell>
          <cell r="H569" t="str">
            <v>salud_oral</v>
          </cell>
          <cell r="J569" t="str">
            <v>bueno</v>
          </cell>
          <cell r="K569" t="str">
            <v>defsi</v>
          </cell>
        </row>
        <row r="570">
          <cell r="B570" t="b">
            <v>1</v>
          </cell>
          <cell r="E570" t="str">
            <v>San Vicente de Paul</v>
          </cell>
          <cell r="H570" t="str">
            <v>salud_oral</v>
          </cell>
          <cell r="J570" t="str">
            <v>bueno</v>
          </cell>
          <cell r="K570" t="str">
            <v>defsi</v>
          </cell>
        </row>
        <row r="571">
          <cell r="B571" t="b">
            <v>0</v>
          </cell>
          <cell r="E571" t="str">
            <v>San Vicente de Paul</v>
          </cell>
          <cell r="H571" t="str">
            <v>salud_oral</v>
          </cell>
          <cell r="J571" t="str">
            <v>regular</v>
          </cell>
          <cell r="K571" t="str">
            <v>defsi</v>
          </cell>
        </row>
        <row r="572">
          <cell r="B572" t="b">
            <v>0</v>
          </cell>
          <cell r="E572" t="str">
            <v>San Vicente de Paul</v>
          </cell>
          <cell r="H572" t="str">
            <v>consulta_externa</v>
          </cell>
          <cell r="J572" t="str">
            <v>regular</v>
          </cell>
          <cell r="K572" t="str">
            <v>probsi</v>
          </cell>
        </row>
        <row r="573">
          <cell r="B573" t="b">
            <v>1</v>
          </cell>
          <cell r="E573" t="str">
            <v>San Vicente de Paul</v>
          </cell>
          <cell r="H573" t="str">
            <v>salud_oral</v>
          </cell>
          <cell r="J573" t="str">
            <v>bueno</v>
          </cell>
          <cell r="K573" t="str">
            <v>defsi</v>
          </cell>
        </row>
        <row r="574">
          <cell r="B574" t="b">
            <v>1</v>
          </cell>
          <cell r="E574" t="str">
            <v>San Vicente de Paul</v>
          </cell>
          <cell r="H574" t="str">
            <v>consulta_externa</v>
          </cell>
          <cell r="J574" t="str">
            <v>bueno</v>
          </cell>
          <cell r="K574" t="str">
            <v>defsi</v>
          </cell>
        </row>
        <row r="575">
          <cell r="B575" t="b">
            <v>1</v>
          </cell>
          <cell r="E575" t="str">
            <v>San Vicente de Paul</v>
          </cell>
          <cell r="H575" t="str">
            <v>laboratorio</v>
          </cell>
          <cell r="J575" t="str">
            <v>bueno</v>
          </cell>
          <cell r="K575" t="str">
            <v>defsi</v>
          </cell>
        </row>
        <row r="576">
          <cell r="B576" t="b">
            <v>1</v>
          </cell>
          <cell r="E576" t="str">
            <v>San Vicente de Paul</v>
          </cell>
          <cell r="H576" t="str">
            <v>laboratorio</v>
          </cell>
          <cell r="J576" t="str">
            <v>bueno</v>
          </cell>
          <cell r="K576" t="str">
            <v>defsi</v>
          </cell>
        </row>
        <row r="577">
          <cell r="B577" t="b">
            <v>1</v>
          </cell>
          <cell r="E577" t="str">
            <v>San Vicente de Paul</v>
          </cell>
          <cell r="H577" t="str">
            <v>laboratorio</v>
          </cell>
          <cell r="J577" t="str">
            <v>bueno</v>
          </cell>
          <cell r="K577" t="str">
            <v>defsi</v>
          </cell>
        </row>
        <row r="578">
          <cell r="B578" t="b">
            <v>1</v>
          </cell>
          <cell r="E578" t="str">
            <v>San Vicente de Paul</v>
          </cell>
          <cell r="H578" t="str">
            <v>laboratorio</v>
          </cell>
          <cell r="J578" t="str">
            <v>bueno</v>
          </cell>
          <cell r="K578" t="str">
            <v>defsi</v>
          </cell>
        </row>
        <row r="579">
          <cell r="B579" t="b">
            <v>1</v>
          </cell>
          <cell r="E579" t="str">
            <v>San Vicente de Paul</v>
          </cell>
          <cell r="H579" t="str">
            <v>consulta_externa</v>
          </cell>
          <cell r="J579" t="str">
            <v>bueno</v>
          </cell>
          <cell r="K579" t="str">
            <v>defsi</v>
          </cell>
        </row>
        <row r="580">
          <cell r="B580" t="b">
            <v>1</v>
          </cell>
          <cell r="E580" t="str">
            <v>San Vicente de Paul</v>
          </cell>
          <cell r="H580" t="str">
            <v>consulta_externa</v>
          </cell>
          <cell r="J580" t="str">
            <v>bueno</v>
          </cell>
          <cell r="K580" t="str">
            <v>defsi</v>
          </cell>
        </row>
        <row r="581">
          <cell r="B581" t="b">
            <v>1</v>
          </cell>
          <cell r="E581" t="str">
            <v>San Vicente de Paul</v>
          </cell>
          <cell r="H581" t="str">
            <v>salud_oral</v>
          </cell>
          <cell r="J581" t="str">
            <v>bueno</v>
          </cell>
          <cell r="K581" t="str">
            <v>defsi</v>
          </cell>
        </row>
        <row r="582">
          <cell r="B582" t="b">
            <v>1</v>
          </cell>
          <cell r="E582" t="str">
            <v>San Vicente de Paul</v>
          </cell>
          <cell r="H582" t="str">
            <v>salud_oral</v>
          </cell>
          <cell r="J582" t="str">
            <v>bueno</v>
          </cell>
          <cell r="K582" t="str">
            <v>defsi</v>
          </cell>
        </row>
        <row r="583">
          <cell r="B583" t="b">
            <v>1</v>
          </cell>
          <cell r="E583" t="str">
            <v>San Vicente de Paul</v>
          </cell>
          <cell r="H583" t="str">
            <v>salud_oral</v>
          </cell>
          <cell r="J583" t="str">
            <v>bueno</v>
          </cell>
          <cell r="K583" t="str">
            <v>defsi</v>
          </cell>
        </row>
        <row r="584">
          <cell r="B584" t="b">
            <v>1</v>
          </cell>
          <cell r="E584" t="str">
            <v>San Vicente de Paul</v>
          </cell>
          <cell r="H584" t="str">
            <v>laboratorio</v>
          </cell>
          <cell r="J584" t="str">
            <v>bueno</v>
          </cell>
          <cell r="K584" t="str">
            <v>defsi</v>
          </cell>
        </row>
        <row r="585">
          <cell r="B585" t="b">
            <v>1</v>
          </cell>
          <cell r="E585" t="str">
            <v>San Vicente de Paul</v>
          </cell>
          <cell r="H585" t="str">
            <v>consulta_externa</v>
          </cell>
          <cell r="J585" t="str">
            <v>bueno</v>
          </cell>
          <cell r="K585" t="str">
            <v>defsi</v>
          </cell>
        </row>
        <row r="586">
          <cell r="B586" t="b">
            <v>1</v>
          </cell>
          <cell r="E586" t="str">
            <v>San Vicente de Paul</v>
          </cell>
          <cell r="H586" t="str">
            <v>consulta_externa</v>
          </cell>
          <cell r="J586" t="str">
            <v>bueno</v>
          </cell>
          <cell r="K586" t="str">
            <v>defsi</v>
          </cell>
        </row>
        <row r="587">
          <cell r="B587" t="b">
            <v>1</v>
          </cell>
          <cell r="E587" t="str">
            <v>San Vicente de Paul</v>
          </cell>
          <cell r="H587" t="str">
            <v>laboratorio</v>
          </cell>
          <cell r="J587" t="str">
            <v>bueno</v>
          </cell>
          <cell r="K587" t="str">
            <v>defsi</v>
          </cell>
        </row>
        <row r="588">
          <cell r="B588" t="b">
            <v>1</v>
          </cell>
          <cell r="E588" t="str">
            <v>San Vicente de Paul</v>
          </cell>
          <cell r="H588" t="str">
            <v>laboratorio</v>
          </cell>
          <cell r="J588" t="str">
            <v>bueno</v>
          </cell>
          <cell r="K588" t="str">
            <v>defsi</v>
          </cell>
        </row>
        <row r="589">
          <cell r="B589" t="b">
            <v>1</v>
          </cell>
          <cell r="E589" t="str">
            <v>San Vicente de Paul</v>
          </cell>
          <cell r="H589" t="str">
            <v>laboratorio</v>
          </cell>
          <cell r="J589" t="str">
            <v>bueno</v>
          </cell>
          <cell r="K589" t="str">
            <v>defsi</v>
          </cell>
        </row>
        <row r="590">
          <cell r="B590" t="b">
            <v>1</v>
          </cell>
          <cell r="E590" t="str">
            <v>Arroyo de las Canoas</v>
          </cell>
          <cell r="H590" t="str">
            <v>consulta_externa</v>
          </cell>
          <cell r="J590" t="str">
            <v>bueno</v>
          </cell>
          <cell r="K590" t="str">
            <v>probsi</v>
          </cell>
        </row>
        <row r="591">
          <cell r="B591" t="b">
            <v>1</v>
          </cell>
          <cell r="E591" t="str">
            <v>Arroyo de las Canoas</v>
          </cell>
          <cell r="H591" t="str">
            <v>consulta_externa</v>
          </cell>
          <cell r="J591" t="str">
            <v>bueno</v>
          </cell>
          <cell r="K591" t="str">
            <v>probsi</v>
          </cell>
        </row>
        <row r="592">
          <cell r="B592" t="b">
            <v>1</v>
          </cell>
          <cell r="E592" t="str">
            <v>Arroyo de las Canoas</v>
          </cell>
          <cell r="H592" t="str">
            <v>laboratorio</v>
          </cell>
          <cell r="J592" t="str">
            <v>bueno</v>
          </cell>
          <cell r="K592" t="str">
            <v>probsi</v>
          </cell>
        </row>
        <row r="593">
          <cell r="B593" t="b">
            <v>1</v>
          </cell>
          <cell r="E593" t="str">
            <v>Arroyo de las Canoas</v>
          </cell>
          <cell r="H593" t="str">
            <v>laboratorio</v>
          </cell>
          <cell r="J593" t="str">
            <v>bueno</v>
          </cell>
          <cell r="K593" t="str">
            <v>probsi</v>
          </cell>
        </row>
        <row r="594">
          <cell r="B594" t="b">
            <v>1</v>
          </cell>
          <cell r="E594" t="str">
            <v>Arroyo de Piedra</v>
          </cell>
          <cell r="H594" t="str">
            <v>laboratorio</v>
          </cell>
          <cell r="J594" t="str">
            <v>bueno</v>
          </cell>
          <cell r="K594" t="str">
            <v>probsi</v>
          </cell>
        </row>
        <row r="595">
          <cell r="B595" t="b">
            <v>1</v>
          </cell>
          <cell r="E595" t="str">
            <v>Arroyo de Piedra</v>
          </cell>
          <cell r="H595" t="str">
            <v>laboratorio</v>
          </cell>
          <cell r="J595" t="str">
            <v>bueno</v>
          </cell>
          <cell r="K595" t="str">
            <v>probsi</v>
          </cell>
        </row>
        <row r="596">
          <cell r="B596" t="b">
            <v>1</v>
          </cell>
          <cell r="E596" t="str">
            <v>Arroyo de Piedra</v>
          </cell>
          <cell r="H596" t="str">
            <v>consulta_externa</v>
          </cell>
          <cell r="J596" t="str">
            <v>bueno</v>
          </cell>
          <cell r="K596" t="str">
            <v>probsi</v>
          </cell>
        </row>
        <row r="597">
          <cell r="B597" t="b">
            <v>1</v>
          </cell>
          <cell r="E597" t="str">
            <v>Arroyo de Piedra</v>
          </cell>
          <cell r="H597" t="str">
            <v>consulta_externa</v>
          </cell>
          <cell r="J597" t="str">
            <v>bueno</v>
          </cell>
          <cell r="K597" t="str">
            <v>probsi</v>
          </cell>
        </row>
        <row r="598">
          <cell r="B598" t="b">
            <v>1</v>
          </cell>
          <cell r="E598" t="str">
            <v>Arroyo de Piedra</v>
          </cell>
          <cell r="H598" t="str">
            <v>salud_oral</v>
          </cell>
          <cell r="J598" t="str">
            <v>bueno</v>
          </cell>
          <cell r="K598" t="str">
            <v>probsi</v>
          </cell>
        </row>
        <row r="599">
          <cell r="B599" t="b">
            <v>1</v>
          </cell>
          <cell r="E599" t="str">
            <v>Arroyo de Piedra</v>
          </cell>
          <cell r="H599" t="str">
            <v>salud_oral</v>
          </cell>
          <cell r="J599" t="str">
            <v>bueno</v>
          </cell>
          <cell r="K599" t="str">
            <v>probsi</v>
          </cell>
        </row>
        <row r="600">
          <cell r="B600" t="b">
            <v>1</v>
          </cell>
          <cell r="E600" t="str">
            <v>Arroyo de Piedra</v>
          </cell>
          <cell r="H600" t="str">
            <v>salud_oral</v>
          </cell>
          <cell r="J600" t="str">
            <v>bueno</v>
          </cell>
          <cell r="K600" t="str">
            <v>probsi</v>
          </cell>
        </row>
        <row r="601">
          <cell r="B601" t="b">
            <v>1</v>
          </cell>
          <cell r="E601" t="str">
            <v>Arroyo de Piedra</v>
          </cell>
          <cell r="H601" t="str">
            <v>salud_oral</v>
          </cell>
          <cell r="J601" t="str">
            <v>bueno</v>
          </cell>
          <cell r="K601" t="str">
            <v>probsi</v>
          </cell>
        </row>
        <row r="602">
          <cell r="B602" t="b">
            <v>1</v>
          </cell>
          <cell r="E602" t="str">
            <v>Arroyo de Piedra</v>
          </cell>
          <cell r="H602" t="str">
            <v>consulta_externa</v>
          </cell>
          <cell r="J602" t="str">
            <v>bueno</v>
          </cell>
          <cell r="K602" t="str">
            <v>probsi</v>
          </cell>
        </row>
        <row r="603">
          <cell r="B603" t="b">
            <v>1</v>
          </cell>
          <cell r="E603" t="str">
            <v>Arroyo de Piedra</v>
          </cell>
          <cell r="H603" t="str">
            <v>consulta_externa</v>
          </cell>
          <cell r="J603" t="str">
            <v>bueno</v>
          </cell>
          <cell r="K603" t="str">
            <v>probsi</v>
          </cell>
        </row>
        <row r="604">
          <cell r="B604" t="b">
            <v>1</v>
          </cell>
          <cell r="E604" t="str">
            <v>Arroyo de Piedra</v>
          </cell>
          <cell r="H604" t="str">
            <v>consulta_externa</v>
          </cell>
          <cell r="J604" t="str">
            <v>bueno</v>
          </cell>
          <cell r="K604" t="str">
            <v>probsi</v>
          </cell>
        </row>
        <row r="605">
          <cell r="B605" t="b">
            <v>1</v>
          </cell>
          <cell r="E605" t="str">
            <v>Arroyo de Piedra</v>
          </cell>
          <cell r="H605" t="str">
            <v>consulta_externa</v>
          </cell>
          <cell r="J605" t="str">
            <v>bueno</v>
          </cell>
          <cell r="K605" t="str">
            <v>probsi</v>
          </cell>
        </row>
        <row r="606">
          <cell r="B606" t="b">
            <v>1</v>
          </cell>
          <cell r="E606" t="str">
            <v>Arroyo de Piedra</v>
          </cell>
          <cell r="H606" t="str">
            <v>laboratorio</v>
          </cell>
          <cell r="J606" t="str">
            <v>bueno</v>
          </cell>
          <cell r="K606" t="str">
            <v>probsi</v>
          </cell>
        </row>
        <row r="607">
          <cell r="B607" t="b">
            <v>1</v>
          </cell>
          <cell r="E607" t="str">
            <v>Arroyo de Piedra</v>
          </cell>
          <cell r="H607" t="str">
            <v>laboratorio</v>
          </cell>
          <cell r="J607" t="str">
            <v>bueno</v>
          </cell>
          <cell r="K607" t="str">
            <v>probsi</v>
          </cell>
        </row>
        <row r="608">
          <cell r="B608" t="b">
            <v>1</v>
          </cell>
          <cell r="E608" t="str">
            <v>Arroyo de Piedra</v>
          </cell>
          <cell r="H608" t="str">
            <v>salud_oral</v>
          </cell>
          <cell r="J608" t="str">
            <v>bueno</v>
          </cell>
          <cell r="K608" t="str">
            <v>probsi</v>
          </cell>
        </row>
        <row r="609">
          <cell r="B609" t="b">
            <v>1</v>
          </cell>
          <cell r="E609" t="str">
            <v>Arroyo de Piedra</v>
          </cell>
          <cell r="H609" t="str">
            <v>salud_oral</v>
          </cell>
          <cell r="J609" t="str">
            <v>bueno</v>
          </cell>
          <cell r="K609" t="str">
            <v>probsi</v>
          </cell>
        </row>
        <row r="610">
          <cell r="B610" t="b">
            <v>1</v>
          </cell>
          <cell r="E610" t="str">
            <v>Arroyo de Piedra</v>
          </cell>
          <cell r="H610" t="str">
            <v>salud_oral</v>
          </cell>
          <cell r="J610" t="str">
            <v>bueno</v>
          </cell>
          <cell r="K610" t="str">
            <v>probsi</v>
          </cell>
        </row>
        <row r="611">
          <cell r="B611" t="b">
            <v>1</v>
          </cell>
          <cell r="E611" t="str">
            <v>Arroyo de Piedra</v>
          </cell>
          <cell r="H611" t="str">
            <v>salud_oral</v>
          </cell>
          <cell r="J611" t="str">
            <v>bueno</v>
          </cell>
          <cell r="K611" t="str">
            <v>probsi</v>
          </cell>
        </row>
        <row r="612">
          <cell r="B612" t="b">
            <v>1</v>
          </cell>
          <cell r="E612" t="str">
            <v>Arroyo de Piedra</v>
          </cell>
          <cell r="H612" t="str">
            <v>salud_oral</v>
          </cell>
          <cell r="J612" t="str">
            <v>bueno</v>
          </cell>
          <cell r="K612" t="str">
            <v>probsi</v>
          </cell>
        </row>
        <row r="613">
          <cell r="B613" t="b">
            <v>1</v>
          </cell>
          <cell r="E613" t="str">
            <v>Arroyo de Piedra</v>
          </cell>
          <cell r="H613" t="str">
            <v>consulta_externa</v>
          </cell>
          <cell r="J613" t="str">
            <v>bueno</v>
          </cell>
          <cell r="K613" t="str">
            <v>probsi</v>
          </cell>
        </row>
        <row r="614">
          <cell r="B614" t="b">
            <v>1</v>
          </cell>
          <cell r="E614" t="str">
            <v>Arroyo de Piedra</v>
          </cell>
          <cell r="H614" t="str">
            <v>consulta_externa</v>
          </cell>
          <cell r="J614" t="str">
            <v>bueno</v>
          </cell>
          <cell r="K614" t="str">
            <v>probsi</v>
          </cell>
        </row>
        <row r="615">
          <cell r="B615" t="b">
            <v>1</v>
          </cell>
          <cell r="E615" t="str">
            <v>Arroyo de Piedra</v>
          </cell>
          <cell r="H615" t="str">
            <v>consulta_externa</v>
          </cell>
          <cell r="J615" t="str">
            <v>bueno</v>
          </cell>
          <cell r="K615" t="str">
            <v>probsi</v>
          </cell>
        </row>
        <row r="616">
          <cell r="B616" t="b">
            <v>1</v>
          </cell>
          <cell r="E616" t="str">
            <v>Arroyo de Piedra</v>
          </cell>
          <cell r="H616" t="str">
            <v>salud_oral</v>
          </cell>
          <cell r="J616" t="str">
            <v>bueno</v>
          </cell>
          <cell r="K616" t="str">
            <v>probsi</v>
          </cell>
        </row>
        <row r="617">
          <cell r="B617" t="b">
            <v>1</v>
          </cell>
          <cell r="E617" t="str">
            <v>Arroyo de Piedra</v>
          </cell>
          <cell r="H617" t="str">
            <v>salud_oral</v>
          </cell>
          <cell r="J617" t="str">
            <v>bueno</v>
          </cell>
          <cell r="K617" t="str">
            <v>probsi</v>
          </cell>
        </row>
        <row r="618">
          <cell r="B618" t="b">
            <v>1</v>
          </cell>
          <cell r="E618" t="str">
            <v>Arroyo de Piedra</v>
          </cell>
          <cell r="H618" t="str">
            <v>salud_oral</v>
          </cell>
          <cell r="J618" t="str">
            <v>bueno</v>
          </cell>
          <cell r="K618" t="str">
            <v>probsi</v>
          </cell>
        </row>
        <row r="619">
          <cell r="B619" t="b">
            <v>1</v>
          </cell>
          <cell r="E619" t="str">
            <v>Arroyo de Piedra</v>
          </cell>
          <cell r="H619" t="str">
            <v>salud_oral</v>
          </cell>
          <cell r="J619" t="str">
            <v>bueno</v>
          </cell>
          <cell r="K619" t="str">
            <v>probsi</v>
          </cell>
        </row>
        <row r="620">
          <cell r="B620" t="b">
            <v>1</v>
          </cell>
          <cell r="E620" t="str">
            <v>Arroyo de Piedra</v>
          </cell>
          <cell r="H620" t="str">
            <v>laboratorio</v>
          </cell>
          <cell r="J620" t="str">
            <v>bueno</v>
          </cell>
          <cell r="K620" t="str">
            <v>probsi</v>
          </cell>
        </row>
        <row r="621">
          <cell r="B621" t="b">
            <v>1</v>
          </cell>
          <cell r="E621" t="str">
            <v>Bosque</v>
          </cell>
          <cell r="H621" t="str">
            <v>consulta_externa</v>
          </cell>
          <cell r="J621" t="str">
            <v>muybueno</v>
          </cell>
          <cell r="K621" t="str">
            <v>defsi</v>
          </cell>
        </row>
        <row r="622">
          <cell r="B622" t="b">
            <v>1</v>
          </cell>
          <cell r="E622" t="str">
            <v>Bosque</v>
          </cell>
          <cell r="H622" t="str">
            <v>salud_oral</v>
          </cell>
          <cell r="J622" t="str">
            <v>muybueno</v>
          </cell>
          <cell r="K622" t="str">
            <v>defsi</v>
          </cell>
        </row>
        <row r="623">
          <cell r="B623" t="b">
            <v>1</v>
          </cell>
          <cell r="E623" t="str">
            <v>Bosque</v>
          </cell>
          <cell r="H623" t="str">
            <v>salud_oral</v>
          </cell>
          <cell r="J623" t="str">
            <v>bueno</v>
          </cell>
          <cell r="K623" t="str">
            <v>defsi</v>
          </cell>
        </row>
        <row r="624">
          <cell r="B624" t="b">
            <v>1</v>
          </cell>
          <cell r="E624" t="str">
            <v>Bosque</v>
          </cell>
          <cell r="H624" t="str">
            <v>consulta_externa</v>
          </cell>
          <cell r="J624" t="str">
            <v>bueno</v>
          </cell>
          <cell r="K624" t="str">
            <v>defsi</v>
          </cell>
        </row>
        <row r="625">
          <cell r="B625" t="b">
            <v>1</v>
          </cell>
          <cell r="E625" t="str">
            <v>Bosque</v>
          </cell>
          <cell r="H625" t="str">
            <v>laboratorio</v>
          </cell>
          <cell r="J625" t="str">
            <v>bueno</v>
          </cell>
          <cell r="K625" t="str">
            <v>defsi</v>
          </cell>
        </row>
        <row r="626">
          <cell r="B626" t="b">
            <v>1</v>
          </cell>
          <cell r="E626" t="str">
            <v>Bosque</v>
          </cell>
          <cell r="H626" t="str">
            <v>consulta_externa</v>
          </cell>
          <cell r="J626" t="str">
            <v>bueno</v>
          </cell>
          <cell r="K626" t="str">
            <v>defsi</v>
          </cell>
        </row>
        <row r="627">
          <cell r="B627" t="b">
            <v>1</v>
          </cell>
          <cell r="E627" t="str">
            <v>Bosque</v>
          </cell>
          <cell r="H627" t="str">
            <v>consulta_externa</v>
          </cell>
          <cell r="J627" t="str">
            <v>bueno</v>
          </cell>
          <cell r="K627" t="str">
            <v>defsi</v>
          </cell>
        </row>
        <row r="628">
          <cell r="B628" t="b">
            <v>1</v>
          </cell>
          <cell r="E628" t="str">
            <v>Bosque</v>
          </cell>
          <cell r="H628" t="str">
            <v>laboratorio</v>
          </cell>
          <cell r="J628" t="str">
            <v>bueno</v>
          </cell>
          <cell r="K628" t="str">
            <v>defsi</v>
          </cell>
        </row>
        <row r="629">
          <cell r="B629" t="b">
            <v>1</v>
          </cell>
          <cell r="E629" t="str">
            <v>Bosque</v>
          </cell>
          <cell r="H629" t="str">
            <v>consulta_externa</v>
          </cell>
          <cell r="J629" t="str">
            <v>bueno</v>
          </cell>
          <cell r="K629" t="str">
            <v>defsi</v>
          </cell>
        </row>
        <row r="630">
          <cell r="B630" t="b">
            <v>1</v>
          </cell>
          <cell r="E630" t="str">
            <v>Bosque</v>
          </cell>
          <cell r="H630" t="str">
            <v>salud_oral</v>
          </cell>
          <cell r="J630" t="str">
            <v>bueno</v>
          </cell>
          <cell r="K630" t="str">
            <v>defsi</v>
          </cell>
        </row>
        <row r="631">
          <cell r="B631" t="b">
            <v>1</v>
          </cell>
          <cell r="E631" t="str">
            <v>Bosque</v>
          </cell>
          <cell r="H631" t="str">
            <v>salud_oral</v>
          </cell>
          <cell r="J631" t="str">
            <v>bueno</v>
          </cell>
          <cell r="K631" t="str">
            <v>defsi</v>
          </cell>
        </row>
        <row r="632">
          <cell r="B632" t="b">
            <v>1</v>
          </cell>
          <cell r="E632" t="str">
            <v>Bosque</v>
          </cell>
          <cell r="H632" t="str">
            <v>consulta_externa</v>
          </cell>
          <cell r="J632" t="str">
            <v>bueno</v>
          </cell>
          <cell r="K632" t="str">
            <v>defsi</v>
          </cell>
        </row>
        <row r="633">
          <cell r="B633" t="b">
            <v>1</v>
          </cell>
          <cell r="E633" t="str">
            <v>Bosque</v>
          </cell>
          <cell r="H633" t="str">
            <v>salud_oral</v>
          </cell>
          <cell r="J633" t="str">
            <v>bueno</v>
          </cell>
          <cell r="K633" t="str">
            <v>defsi</v>
          </cell>
        </row>
        <row r="634">
          <cell r="B634" t="b">
            <v>1</v>
          </cell>
          <cell r="E634" t="str">
            <v>Bosque</v>
          </cell>
          <cell r="H634" t="str">
            <v>consulta_externa</v>
          </cell>
          <cell r="J634" t="str">
            <v>bueno</v>
          </cell>
          <cell r="K634" t="str">
            <v>defsi</v>
          </cell>
        </row>
        <row r="635">
          <cell r="B635" t="b">
            <v>1</v>
          </cell>
          <cell r="E635" t="str">
            <v>Bosque</v>
          </cell>
          <cell r="H635" t="str">
            <v>salud_oral</v>
          </cell>
          <cell r="J635" t="str">
            <v>bueno</v>
          </cell>
          <cell r="K635" t="str">
            <v>defsi</v>
          </cell>
        </row>
        <row r="636">
          <cell r="B636" t="b">
            <v>1</v>
          </cell>
          <cell r="E636" t="str">
            <v>Bosque</v>
          </cell>
          <cell r="H636" t="str">
            <v>consulta_externa</v>
          </cell>
          <cell r="J636" t="str">
            <v>bueno</v>
          </cell>
          <cell r="K636" t="str">
            <v>defsi</v>
          </cell>
        </row>
        <row r="637">
          <cell r="B637" t="b">
            <v>1</v>
          </cell>
          <cell r="E637" t="str">
            <v>Pozon</v>
          </cell>
          <cell r="H637" t="str">
            <v>consulta_externa</v>
          </cell>
          <cell r="J637" t="str">
            <v>bueno</v>
          </cell>
          <cell r="K637" t="str">
            <v>probsi</v>
          </cell>
        </row>
        <row r="638">
          <cell r="B638" t="b">
            <v>1</v>
          </cell>
          <cell r="E638" t="str">
            <v>Pozon</v>
          </cell>
          <cell r="H638" t="str">
            <v>laboratorio</v>
          </cell>
          <cell r="J638" t="str">
            <v>bueno</v>
          </cell>
          <cell r="K638" t="str">
            <v>probsi</v>
          </cell>
        </row>
        <row r="639">
          <cell r="B639" t="b">
            <v>1</v>
          </cell>
          <cell r="E639" t="str">
            <v>Pozon</v>
          </cell>
          <cell r="H639" t="str">
            <v>consulta_externa</v>
          </cell>
          <cell r="J639" t="str">
            <v>bueno</v>
          </cell>
          <cell r="K639" t="str">
            <v>probsi</v>
          </cell>
        </row>
        <row r="640">
          <cell r="B640" t="b">
            <v>1</v>
          </cell>
          <cell r="E640" t="str">
            <v>Pozon</v>
          </cell>
          <cell r="H640" t="str">
            <v>salud_oral</v>
          </cell>
          <cell r="J640" t="str">
            <v>bueno</v>
          </cell>
          <cell r="K640" t="str">
            <v>probsi</v>
          </cell>
        </row>
        <row r="641">
          <cell r="B641" t="b">
            <v>1</v>
          </cell>
          <cell r="E641" t="str">
            <v>Pozon</v>
          </cell>
          <cell r="H641" t="str">
            <v>consulta_externa</v>
          </cell>
          <cell r="J641" t="str">
            <v>bueno</v>
          </cell>
          <cell r="K641" t="str">
            <v>probsi</v>
          </cell>
        </row>
        <row r="642">
          <cell r="B642" t="b">
            <v>1</v>
          </cell>
          <cell r="E642" t="str">
            <v>Pozon</v>
          </cell>
          <cell r="H642" t="str">
            <v>salud_oral</v>
          </cell>
          <cell r="J642" t="str">
            <v>bueno</v>
          </cell>
          <cell r="K642" t="str">
            <v>probsi</v>
          </cell>
        </row>
        <row r="643">
          <cell r="B643" t="b">
            <v>0</v>
          </cell>
          <cell r="E643" t="str">
            <v>Pozon</v>
          </cell>
          <cell r="H643" t="str">
            <v>consulta_externa</v>
          </cell>
          <cell r="J643" t="str">
            <v>regular</v>
          </cell>
          <cell r="K643" t="str">
            <v>probsi</v>
          </cell>
        </row>
        <row r="644">
          <cell r="B644" t="b">
            <v>0</v>
          </cell>
          <cell r="E644" t="str">
            <v>Pozon</v>
          </cell>
          <cell r="H644" t="str">
            <v>consulta_externa</v>
          </cell>
          <cell r="J644" t="str">
            <v>regular</v>
          </cell>
          <cell r="K644" t="str">
            <v>probsi</v>
          </cell>
        </row>
        <row r="645">
          <cell r="B645" t="b">
            <v>0</v>
          </cell>
          <cell r="E645" t="str">
            <v>Pozon</v>
          </cell>
          <cell r="H645" t="str">
            <v>laboratorio</v>
          </cell>
          <cell r="J645" t="str">
            <v>regular</v>
          </cell>
          <cell r="K645" t="str">
            <v>probsi</v>
          </cell>
        </row>
        <row r="646">
          <cell r="B646" t="b">
            <v>1</v>
          </cell>
          <cell r="E646" t="str">
            <v>Pozon</v>
          </cell>
          <cell r="H646" t="str">
            <v>consulta_externa</v>
          </cell>
          <cell r="J646" t="str">
            <v>bueno</v>
          </cell>
          <cell r="K646" t="str">
            <v>probsi</v>
          </cell>
        </row>
        <row r="647">
          <cell r="B647" t="b">
            <v>1</v>
          </cell>
          <cell r="E647" t="str">
            <v>Pozon</v>
          </cell>
          <cell r="H647" t="str">
            <v>consulta_externa</v>
          </cell>
          <cell r="J647" t="str">
            <v>bueno</v>
          </cell>
          <cell r="K647" t="str">
            <v>probsi</v>
          </cell>
        </row>
        <row r="648">
          <cell r="B648" t="b">
            <v>1</v>
          </cell>
          <cell r="E648" t="str">
            <v>Bosque</v>
          </cell>
          <cell r="H648" t="str">
            <v>consulta_externa</v>
          </cell>
          <cell r="J648" t="str">
            <v>bueno</v>
          </cell>
          <cell r="K648" t="str">
            <v>defsi</v>
          </cell>
        </row>
        <row r="649">
          <cell r="B649" t="b">
            <v>1</v>
          </cell>
          <cell r="E649" t="str">
            <v>Bosque</v>
          </cell>
          <cell r="H649" t="str">
            <v>consulta_externa</v>
          </cell>
          <cell r="J649" t="str">
            <v>bueno</v>
          </cell>
          <cell r="K649" t="str">
            <v>defsi</v>
          </cell>
        </row>
        <row r="650">
          <cell r="B650" t="b">
            <v>1</v>
          </cell>
          <cell r="E650" t="str">
            <v>Bosque</v>
          </cell>
          <cell r="H650" t="str">
            <v>consulta_externa</v>
          </cell>
          <cell r="J650" t="str">
            <v>bueno</v>
          </cell>
          <cell r="K650" t="str">
            <v>defsi</v>
          </cell>
        </row>
        <row r="651">
          <cell r="B651" t="b">
            <v>1</v>
          </cell>
          <cell r="E651" t="str">
            <v>Bosque</v>
          </cell>
          <cell r="H651" t="str">
            <v>laboratorio</v>
          </cell>
          <cell r="J651" t="str">
            <v>bueno</v>
          </cell>
          <cell r="K651" t="str">
            <v>defsi</v>
          </cell>
        </row>
        <row r="652">
          <cell r="B652" t="b">
            <v>1</v>
          </cell>
          <cell r="E652" t="str">
            <v>Bosque</v>
          </cell>
          <cell r="H652" t="str">
            <v>laboratorio</v>
          </cell>
          <cell r="J652" t="str">
            <v>bueno</v>
          </cell>
          <cell r="K652" t="str">
            <v>defsi</v>
          </cell>
        </row>
        <row r="653">
          <cell r="B653" t="b">
            <v>1</v>
          </cell>
          <cell r="E653" t="str">
            <v>Bosque</v>
          </cell>
          <cell r="H653" t="str">
            <v>laboratorio</v>
          </cell>
          <cell r="J653" t="str">
            <v>bueno</v>
          </cell>
          <cell r="K653" t="str">
            <v>defsi</v>
          </cell>
        </row>
        <row r="654">
          <cell r="B654" t="b">
            <v>1</v>
          </cell>
          <cell r="E654" t="str">
            <v>Bosque</v>
          </cell>
          <cell r="H654" t="str">
            <v>consulta_externa</v>
          </cell>
          <cell r="J654" t="str">
            <v>bueno</v>
          </cell>
          <cell r="K654" t="str">
            <v>defsi</v>
          </cell>
        </row>
        <row r="655">
          <cell r="B655" t="b">
            <v>1</v>
          </cell>
          <cell r="E655" t="str">
            <v>Pozon</v>
          </cell>
          <cell r="H655" t="str">
            <v>salud_oral</v>
          </cell>
          <cell r="J655" t="str">
            <v>bueno</v>
          </cell>
          <cell r="K655" t="str">
            <v>probsi</v>
          </cell>
        </row>
        <row r="656">
          <cell r="B656" t="b">
            <v>1</v>
          </cell>
          <cell r="E656" t="str">
            <v>Pozon</v>
          </cell>
          <cell r="H656" t="str">
            <v>consulta_externa</v>
          </cell>
          <cell r="J656" t="str">
            <v>bueno</v>
          </cell>
          <cell r="K656" t="str">
            <v>probsi</v>
          </cell>
        </row>
        <row r="657">
          <cell r="B657" t="b">
            <v>1</v>
          </cell>
          <cell r="E657" t="str">
            <v>Bosque</v>
          </cell>
          <cell r="H657" t="str">
            <v>salud_oral</v>
          </cell>
          <cell r="J657" t="str">
            <v>bueno</v>
          </cell>
          <cell r="K657" t="str">
            <v>defsi</v>
          </cell>
        </row>
        <row r="658">
          <cell r="B658" t="b">
            <v>1</v>
          </cell>
          <cell r="E658" t="str">
            <v>Bosque</v>
          </cell>
          <cell r="H658" t="str">
            <v>consulta_externa</v>
          </cell>
          <cell r="J658" t="str">
            <v>bueno</v>
          </cell>
          <cell r="K658" t="str">
            <v>defsi</v>
          </cell>
        </row>
        <row r="659">
          <cell r="B659" t="b">
            <v>1</v>
          </cell>
          <cell r="E659" t="str">
            <v>Pozon</v>
          </cell>
          <cell r="H659" t="str">
            <v>consulta_externa</v>
          </cell>
          <cell r="J659" t="str">
            <v>bueno</v>
          </cell>
          <cell r="K659" t="str">
            <v>probsi</v>
          </cell>
        </row>
        <row r="660">
          <cell r="B660" t="b">
            <v>1</v>
          </cell>
          <cell r="E660" t="str">
            <v>Pozon</v>
          </cell>
          <cell r="H660" t="str">
            <v>laboratorio</v>
          </cell>
          <cell r="J660" t="str">
            <v>bueno</v>
          </cell>
          <cell r="K660" t="str">
            <v>probsi</v>
          </cell>
        </row>
        <row r="661">
          <cell r="B661" t="b">
            <v>1</v>
          </cell>
          <cell r="E661" t="str">
            <v>Pozon</v>
          </cell>
          <cell r="H661" t="str">
            <v>consulta_externa</v>
          </cell>
          <cell r="J661" t="str">
            <v>bueno</v>
          </cell>
          <cell r="K661" t="str">
            <v>probsi</v>
          </cell>
        </row>
        <row r="662">
          <cell r="B662" t="b">
            <v>1</v>
          </cell>
          <cell r="E662" t="str">
            <v>Pozon</v>
          </cell>
          <cell r="H662" t="str">
            <v>salud_oral</v>
          </cell>
          <cell r="J662" t="str">
            <v>bueno</v>
          </cell>
          <cell r="K662" t="str">
            <v>probsi</v>
          </cell>
        </row>
        <row r="663">
          <cell r="B663" t="b">
            <v>1</v>
          </cell>
          <cell r="E663" t="str">
            <v>Bosque</v>
          </cell>
          <cell r="H663" t="str">
            <v>laboratorio</v>
          </cell>
          <cell r="J663" t="str">
            <v>bueno</v>
          </cell>
          <cell r="K663" t="str">
            <v>defsi</v>
          </cell>
        </row>
        <row r="664">
          <cell r="B664" t="b">
            <v>1</v>
          </cell>
          <cell r="E664" t="str">
            <v>Bosque</v>
          </cell>
          <cell r="H664" t="str">
            <v>laboratorio</v>
          </cell>
          <cell r="J664" t="str">
            <v>bueno</v>
          </cell>
          <cell r="K664" t="str">
            <v>defsi</v>
          </cell>
        </row>
        <row r="665">
          <cell r="B665" t="b">
            <v>1</v>
          </cell>
          <cell r="E665" t="str">
            <v>Bosque</v>
          </cell>
          <cell r="H665" t="str">
            <v>salud_oral</v>
          </cell>
          <cell r="J665" t="str">
            <v>bueno</v>
          </cell>
          <cell r="K665" t="str">
            <v>defsi</v>
          </cell>
        </row>
        <row r="666">
          <cell r="B666" t="b">
            <v>1</v>
          </cell>
          <cell r="E666" t="str">
            <v>Bosque</v>
          </cell>
          <cell r="H666" t="str">
            <v>salud_oral</v>
          </cell>
          <cell r="J666" t="str">
            <v>bueno</v>
          </cell>
          <cell r="K666" t="str">
            <v>defsi</v>
          </cell>
        </row>
        <row r="667">
          <cell r="B667" t="b">
            <v>1</v>
          </cell>
          <cell r="E667" t="str">
            <v>Bosque</v>
          </cell>
          <cell r="H667" t="str">
            <v>laboratorio</v>
          </cell>
          <cell r="J667" t="str">
            <v>bueno</v>
          </cell>
          <cell r="K667" t="str">
            <v>defsi</v>
          </cell>
        </row>
        <row r="668">
          <cell r="B668" t="b">
            <v>1</v>
          </cell>
          <cell r="E668" t="str">
            <v>Bosque</v>
          </cell>
          <cell r="H668" t="str">
            <v>laboratorio</v>
          </cell>
          <cell r="J668" t="str">
            <v>bueno</v>
          </cell>
          <cell r="K668" t="str">
            <v>defsi</v>
          </cell>
        </row>
        <row r="669">
          <cell r="B669" t="b">
            <v>1</v>
          </cell>
          <cell r="E669" t="str">
            <v>Bosque</v>
          </cell>
          <cell r="H669" t="str">
            <v>laboratorio</v>
          </cell>
          <cell r="J669" t="str">
            <v>bueno</v>
          </cell>
          <cell r="K669" t="str">
            <v>defsi</v>
          </cell>
        </row>
        <row r="670">
          <cell r="B670" t="b">
            <v>1</v>
          </cell>
          <cell r="E670" t="str">
            <v>Pozon</v>
          </cell>
          <cell r="H670" t="str">
            <v>salud_oral</v>
          </cell>
          <cell r="J670" t="str">
            <v>bueno</v>
          </cell>
          <cell r="K670" t="str">
            <v>probsi</v>
          </cell>
        </row>
        <row r="671">
          <cell r="B671" t="b">
            <v>1</v>
          </cell>
          <cell r="E671" t="str">
            <v>Pozon</v>
          </cell>
          <cell r="H671" t="str">
            <v>salud_oral</v>
          </cell>
          <cell r="J671" t="str">
            <v>bueno</v>
          </cell>
          <cell r="K671" t="str">
            <v>probsi</v>
          </cell>
        </row>
        <row r="672">
          <cell r="B672" t="b">
            <v>1</v>
          </cell>
          <cell r="E672" t="str">
            <v>Pozon</v>
          </cell>
          <cell r="H672" t="str">
            <v>salud_oral</v>
          </cell>
          <cell r="J672" t="str">
            <v>bueno</v>
          </cell>
          <cell r="K672" t="str">
            <v>probsi</v>
          </cell>
        </row>
        <row r="673">
          <cell r="B673" t="b">
            <v>1</v>
          </cell>
          <cell r="E673" t="str">
            <v>Pozon</v>
          </cell>
          <cell r="H673" t="str">
            <v>salud_oral</v>
          </cell>
          <cell r="J673" t="str">
            <v>bueno</v>
          </cell>
          <cell r="K673" t="str">
            <v>probsi</v>
          </cell>
        </row>
        <row r="674">
          <cell r="B674" t="b">
            <v>1</v>
          </cell>
          <cell r="E674" t="str">
            <v>Pozon</v>
          </cell>
          <cell r="H674" t="str">
            <v>salud_oral</v>
          </cell>
          <cell r="J674" t="str">
            <v>bueno</v>
          </cell>
          <cell r="K674" t="str">
            <v>probsi</v>
          </cell>
        </row>
        <row r="675">
          <cell r="B675" t="b">
            <v>1</v>
          </cell>
          <cell r="E675" t="str">
            <v>Pozon</v>
          </cell>
          <cell r="H675" t="str">
            <v>salud_oral</v>
          </cell>
          <cell r="J675" t="str">
            <v>bueno</v>
          </cell>
          <cell r="K675" t="str">
            <v>probsi</v>
          </cell>
        </row>
        <row r="676">
          <cell r="B676" t="b">
            <v>1</v>
          </cell>
          <cell r="E676" t="str">
            <v>Pozon</v>
          </cell>
          <cell r="H676" t="str">
            <v>salud_oral</v>
          </cell>
          <cell r="J676" t="str">
            <v>bueno</v>
          </cell>
          <cell r="K676" t="str">
            <v>probsi</v>
          </cell>
        </row>
        <row r="677">
          <cell r="B677" t="b">
            <v>1</v>
          </cell>
          <cell r="E677" t="str">
            <v>Pozon</v>
          </cell>
          <cell r="H677" t="str">
            <v>laboratorio</v>
          </cell>
          <cell r="J677" t="str">
            <v>bueno</v>
          </cell>
          <cell r="K677" t="str">
            <v>probsi</v>
          </cell>
        </row>
        <row r="678">
          <cell r="B678" t="b">
            <v>1</v>
          </cell>
          <cell r="E678" t="str">
            <v>Pozon</v>
          </cell>
          <cell r="H678" t="str">
            <v>laboratorio</v>
          </cell>
          <cell r="J678" t="str">
            <v>bueno</v>
          </cell>
          <cell r="K678" t="str">
            <v>probsi</v>
          </cell>
        </row>
        <row r="679">
          <cell r="B679" t="b">
            <v>1</v>
          </cell>
          <cell r="E679" t="str">
            <v>Pozon</v>
          </cell>
          <cell r="H679" t="str">
            <v>laboratorio</v>
          </cell>
          <cell r="J679" t="str">
            <v>bueno</v>
          </cell>
          <cell r="K679" t="str">
            <v>probsi</v>
          </cell>
        </row>
        <row r="680">
          <cell r="B680" t="b">
            <v>1</v>
          </cell>
          <cell r="E680" t="str">
            <v>Pozon</v>
          </cell>
          <cell r="H680" t="str">
            <v>laboratorio</v>
          </cell>
          <cell r="J680" t="str">
            <v>bueno</v>
          </cell>
          <cell r="K680" t="str">
            <v>probsi</v>
          </cell>
        </row>
        <row r="681">
          <cell r="B681" t="b">
            <v>1</v>
          </cell>
          <cell r="E681" t="str">
            <v>Pozon</v>
          </cell>
          <cell r="H681" t="str">
            <v>laboratorio</v>
          </cell>
          <cell r="J681" t="str">
            <v>bueno</v>
          </cell>
          <cell r="K681" t="str">
            <v>probsi</v>
          </cell>
        </row>
        <row r="682">
          <cell r="B682" t="b">
            <v>1</v>
          </cell>
          <cell r="E682" t="str">
            <v>Pozon</v>
          </cell>
          <cell r="H682" t="str">
            <v>laboratorio</v>
          </cell>
          <cell r="J682" t="str">
            <v>bueno</v>
          </cell>
          <cell r="K682" t="str">
            <v>probsi</v>
          </cell>
        </row>
        <row r="683">
          <cell r="B683" t="b">
            <v>1</v>
          </cell>
          <cell r="E683" t="str">
            <v>Pozon</v>
          </cell>
          <cell r="H683" t="str">
            <v>salud_oral</v>
          </cell>
          <cell r="J683" t="str">
            <v>bueno</v>
          </cell>
          <cell r="K683" t="str">
            <v>probsi</v>
          </cell>
        </row>
        <row r="684">
          <cell r="B684" t="b">
            <v>0</v>
          </cell>
          <cell r="E684" t="str">
            <v>Boquilla</v>
          </cell>
          <cell r="H684" t="str">
            <v>consulta_externa</v>
          </cell>
          <cell r="J684" t="str">
            <v>malo</v>
          </cell>
          <cell r="K684" t="str">
            <v>probno</v>
          </cell>
        </row>
        <row r="685">
          <cell r="B685" t="b">
            <v>0</v>
          </cell>
          <cell r="E685" t="str">
            <v>Boquilla</v>
          </cell>
          <cell r="H685" t="str">
            <v>consulta_externa</v>
          </cell>
          <cell r="J685" t="str">
            <v>regular</v>
          </cell>
          <cell r="K685" t="str">
            <v>probsi</v>
          </cell>
        </row>
        <row r="686">
          <cell r="B686" t="b">
            <v>1</v>
          </cell>
          <cell r="E686" t="str">
            <v>Boquilla</v>
          </cell>
          <cell r="H686" t="str">
            <v>consulta_externa</v>
          </cell>
          <cell r="J686" t="str">
            <v>bueno</v>
          </cell>
          <cell r="K686" t="str">
            <v>probsi</v>
          </cell>
        </row>
        <row r="687">
          <cell r="B687" t="b">
            <v>1</v>
          </cell>
          <cell r="E687" t="str">
            <v>Boquilla</v>
          </cell>
          <cell r="H687" t="str">
            <v>salud_oral</v>
          </cell>
          <cell r="J687" t="str">
            <v>bueno</v>
          </cell>
          <cell r="K687" t="str">
            <v>probsi</v>
          </cell>
        </row>
        <row r="688">
          <cell r="B688" t="b">
            <v>1</v>
          </cell>
          <cell r="E688" t="str">
            <v>Boquilla</v>
          </cell>
          <cell r="H688" t="str">
            <v>laboratorio</v>
          </cell>
          <cell r="J688" t="str">
            <v>bueno</v>
          </cell>
          <cell r="K688" t="str">
            <v>probsi</v>
          </cell>
        </row>
        <row r="689">
          <cell r="B689" t="b">
            <v>0</v>
          </cell>
          <cell r="E689" t="str">
            <v>Boquilla</v>
          </cell>
          <cell r="H689" t="str">
            <v>consulta_externa</v>
          </cell>
          <cell r="J689" t="str">
            <v>regular</v>
          </cell>
          <cell r="K689" t="str">
            <v>probsi</v>
          </cell>
        </row>
        <row r="690">
          <cell r="B690" t="b">
            <v>0</v>
          </cell>
          <cell r="E690" t="str">
            <v>Boquilla</v>
          </cell>
          <cell r="H690" t="str">
            <v>salud_oral</v>
          </cell>
          <cell r="J690" t="str">
            <v>regular</v>
          </cell>
          <cell r="K690" t="str">
            <v>probsi</v>
          </cell>
        </row>
        <row r="691">
          <cell r="B691" t="b">
            <v>1</v>
          </cell>
          <cell r="E691" t="str">
            <v>Boquilla</v>
          </cell>
          <cell r="H691" t="str">
            <v>consulta_externa</v>
          </cell>
          <cell r="J691" t="str">
            <v>bueno</v>
          </cell>
          <cell r="K691" t="str">
            <v>probsi</v>
          </cell>
        </row>
        <row r="692">
          <cell r="B692" t="b">
            <v>1</v>
          </cell>
          <cell r="E692" t="str">
            <v>Boquilla</v>
          </cell>
          <cell r="H692" t="str">
            <v>laboratorio</v>
          </cell>
          <cell r="J692" t="str">
            <v>bueno</v>
          </cell>
          <cell r="K692" t="str">
            <v>probsi</v>
          </cell>
        </row>
        <row r="693">
          <cell r="B693" t="b">
            <v>1</v>
          </cell>
          <cell r="E693" t="str">
            <v>Boquilla</v>
          </cell>
          <cell r="H693" t="str">
            <v>consulta_externa</v>
          </cell>
          <cell r="J693" t="str">
            <v>bueno</v>
          </cell>
          <cell r="K693" t="str">
            <v>probsi</v>
          </cell>
        </row>
        <row r="694">
          <cell r="B694" t="b">
            <v>1</v>
          </cell>
          <cell r="E694" t="str">
            <v>Boquilla</v>
          </cell>
          <cell r="H694" t="str">
            <v>salud_oral</v>
          </cell>
          <cell r="J694" t="str">
            <v>bueno</v>
          </cell>
          <cell r="K694" t="str">
            <v>probsi</v>
          </cell>
        </row>
        <row r="695">
          <cell r="B695" t="b">
            <v>1</v>
          </cell>
          <cell r="E695" t="str">
            <v>Boquilla</v>
          </cell>
          <cell r="H695" t="str">
            <v>salud_oral</v>
          </cell>
          <cell r="J695" t="str">
            <v>bueno</v>
          </cell>
          <cell r="K695" t="str">
            <v>probsi</v>
          </cell>
        </row>
        <row r="696">
          <cell r="B696" t="b">
            <v>1</v>
          </cell>
          <cell r="E696" t="str">
            <v>Boquilla</v>
          </cell>
          <cell r="H696" t="str">
            <v>consulta_externa</v>
          </cell>
          <cell r="J696" t="str">
            <v>bueno</v>
          </cell>
          <cell r="K696" t="str">
            <v>probsi</v>
          </cell>
        </row>
        <row r="697">
          <cell r="B697" t="b">
            <v>1</v>
          </cell>
          <cell r="E697" t="str">
            <v>Boquilla</v>
          </cell>
          <cell r="H697" t="str">
            <v>consulta_externa</v>
          </cell>
          <cell r="J697" t="str">
            <v>bueno</v>
          </cell>
          <cell r="K697" t="str">
            <v>probsi</v>
          </cell>
        </row>
        <row r="698">
          <cell r="B698" t="b">
            <v>1</v>
          </cell>
          <cell r="E698" t="str">
            <v>Boquilla</v>
          </cell>
          <cell r="H698" t="str">
            <v>consulta_externa</v>
          </cell>
          <cell r="J698" t="str">
            <v>bueno</v>
          </cell>
          <cell r="K698" t="str">
            <v>probsi</v>
          </cell>
        </row>
        <row r="699">
          <cell r="B699" t="b">
            <v>1</v>
          </cell>
          <cell r="E699" t="str">
            <v>Boquilla</v>
          </cell>
          <cell r="H699" t="str">
            <v>laboratorio</v>
          </cell>
          <cell r="J699" t="str">
            <v>bueno</v>
          </cell>
          <cell r="K699" t="str">
            <v>probsi</v>
          </cell>
        </row>
        <row r="700">
          <cell r="B700" t="b">
            <v>1</v>
          </cell>
          <cell r="E700" t="str">
            <v>Boquilla</v>
          </cell>
          <cell r="H700" t="str">
            <v>consulta_externa</v>
          </cell>
          <cell r="J700" t="str">
            <v>bueno</v>
          </cell>
          <cell r="K700" t="str">
            <v>probsi</v>
          </cell>
        </row>
        <row r="701">
          <cell r="B701" t="b">
            <v>0</v>
          </cell>
          <cell r="E701" t="str">
            <v>Boquilla</v>
          </cell>
          <cell r="H701" t="str">
            <v>consulta_externa</v>
          </cell>
          <cell r="J701" t="str">
            <v>regular</v>
          </cell>
          <cell r="K701" t="str">
            <v>probsi</v>
          </cell>
        </row>
        <row r="702">
          <cell r="B702" t="b">
            <v>1</v>
          </cell>
          <cell r="E702" t="str">
            <v>Boquilla</v>
          </cell>
          <cell r="H702" t="str">
            <v>consulta_externa</v>
          </cell>
          <cell r="J702" t="str">
            <v>bueno</v>
          </cell>
          <cell r="K702" t="str">
            <v>probsi</v>
          </cell>
        </row>
        <row r="703">
          <cell r="B703" t="b">
            <v>1</v>
          </cell>
          <cell r="E703" t="str">
            <v>Boquilla</v>
          </cell>
          <cell r="H703" t="str">
            <v>consulta_externa</v>
          </cell>
          <cell r="J703" t="str">
            <v>bueno</v>
          </cell>
          <cell r="K703" t="str">
            <v>probsi</v>
          </cell>
        </row>
        <row r="704">
          <cell r="B704" t="b">
            <v>1</v>
          </cell>
          <cell r="E704" t="str">
            <v>Boquilla</v>
          </cell>
          <cell r="H704" t="str">
            <v>salud_oral</v>
          </cell>
          <cell r="J704" t="str">
            <v>bueno</v>
          </cell>
          <cell r="K704" t="str">
            <v>probsi</v>
          </cell>
        </row>
        <row r="705">
          <cell r="B705" t="b">
            <v>1</v>
          </cell>
          <cell r="E705" t="str">
            <v>Boquilla</v>
          </cell>
          <cell r="H705" t="str">
            <v>salud_oral</v>
          </cell>
          <cell r="J705" t="str">
            <v>bueno</v>
          </cell>
          <cell r="K705" t="str">
            <v>probsi</v>
          </cell>
        </row>
        <row r="706">
          <cell r="B706" t="b">
            <v>0</v>
          </cell>
          <cell r="E706" t="str">
            <v>Boquilla</v>
          </cell>
          <cell r="H706" t="str">
            <v>laboratorio</v>
          </cell>
          <cell r="J706" t="str">
            <v>regular</v>
          </cell>
          <cell r="K706" t="str">
            <v>probsi</v>
          </cell>
        </row>
        <row r="707">
          <cell r="B707" t="b">
            <v>0</v>
          </cell>
          <cell r="E707" t="str">
            <v>Boquilla</v>
          </cell>
          <cell r="H707" t="str">
            <v>laboratorio</v>
          </cell>
          <cell r="J707" t="str">
            <v>regular</v>
          </cell>
          <cell r="K707" t="str">
            <v>probsi</v>
          </cell>
        </row>
        <row r="708">
          <cell r="B708" t="b">
            <v>0</v>
          </cell>
          <cell r="E708" t="str">
            <v>Boquilla</v>
          </cell>
          <cell r="H708" t="str">
            <v>laboratorio</v>
          </cell>
          <cell r="J708" t="str">
            <v>regular</v>
          </cell>
          <cell r="K708" t="str">
            <v>probsi</v>
          </cell>
        </row>
        <row r="709">
          <cell r="B709" t="b">
            <v>0</v>
          </cell>
          <cell r="E709" t="str">
            <v>Boquilla</v>
          </cell>
          <cell r="H709" t="str">
            <v>consulta_externa</v>
          </cell>
          <cell r="J709" t="str">
            <v>regular</v>
          </cell>
          <cell r="K709" t="str">
            <v>probsi</v>
          </cell>
        </row>
        <row r="710">
          <cell r="B710" t="b">
            <v>1</v>
          </cell>
          <cell r="E710" t="str">
            <v>Boquilla</v>
          </cell>
          <cell r="H710" t="str">
            <v>salud_oral</v>
          </cell>
          <cell r="J710" t="str">
            <v>bueno</v>
          </cell>
          <cell r="K710" t="str">
            <v>probsi</v>
          </cell>
        </row>
        <row r="711">
          <cell r="B711" t="b">
            <v>1</v>
          </cell>
          <cell r="E711" t="str">
            <v>Boquilla</v>
          </cell>
          <cell r="H711" t="str">
            <v>salud_oral</v>
          </cell>
          <cell r="J711" t="str">
            <v>bueno</v>
          </cell>
          <cell r="K711" t="str">
            <v>probsi</v>
          </cell>
        </row>
        <row r="712">
          <cell r="B712" t="b">
            <v>1</v>
          </cell>
          <cell r="E712" t="str">
            <v>Boquilla</v>
          </cell>
          <cell r="H712" t="str">
            <v>urgencia</v>
          </cell>
          <cell r="J712" t="str">
            <v>bueno</v>
          </cell>
          <cell r="K712" t="str">
            <v>probsi</v>
          </cell>
        </row>
        <row r="713">
          <cell r="B713" t="b">
            <v>1</v>
          </cell>
          <cell r="E713" t="str">
            <v>Boquilla</v>
          </cell>
          <cell r="H713" t="str">
            <v>salud_oral</v>
          </cell>
          <cell r="J713" t="str">
            <v>bueno</v>
          </cell>
          <cell r="K713" t="str">
            <v>probsi</v>
          </cell>
        </row>
        <row r="714">
          <cell r="B714" t="b">
            <v>1</v>
          </cell>
          <cell r="E714" t="str">
            <v>Boquilla</v>
          </cell>
          <cell r="H714" t="str">
            <v>laboratorio</v>
          </cell>
          <cell r="J714" t="str">
            <v>bueno</v>
          </cell>
          <cell r="K714" t="str">
            <v>probsi</v>
          </cell>
        </row>
        <row r="715">
          <cell r="B715" t="b">
            <v>1</v>
          </cell>
          <cell r="E715" t="str">
            <v>Boquilla</v>
          </cell>
          <cell r="H715" t="str">
            <v>laboratorio</v>
          </cell>
          <cell r="J715" t="str">
            <v>bueno</v>
          </cell>
          <cell r="K715" t="str">
            <v>probsi</v>
          </cell>
        </row>
        <row r="716">
          <cell r="B716" t="b">
            <v>0</v>
          </cell>
          <cell r="E716" t="str">
            <v>Boquilla</v>
          </cell>
          <cell r="H716" t="str">
            <v>laboratorio</v>
          </cell>
          <cell r="J716" t="str">
            <v>regular</v>
          </cell>
          <cell r="K716" t="str">
            <v>probsi</v>
          </cell>
        </row>
        <row r="717">
          <cell r="B717" t="b">
            <v>1</v>
          </cell>
          <cell r="E717" t="str">
            <v>Boquilla</v>
          </cell>
          <cell r="H717" t="str">
            <v>laboratorio</v>
          </cell>
          <cell r="J717" t="str">
            <v>bueno</v>
          </cell>
          <cell r="K717" t="str">
            <v>probsi</v>
          </cell>
        </row>
        <row r="718">
          <cell r="B718" t="b">
            <v>1</v>
          </cell>
          <cell r="E718" t="str">
            <v>Boquilla</v>
          </cell>
          <cell r="H718" t="str">
            <v>laboratorio</v>
          </cell>
          <cell r="J718" t="str">
            <v>bueno</v>
          </cell>
          <cell r="K718" t="str">
            <v>probsi</v>
          </cell>
        </row>
        <row r="719">
          <cell r="B719" t="b">
            <v>1</v>
          </cell>
          <cell r="E719" t="str">
            <v>Boquilla</v>
          </cell>
          <cell r="H719" t="str">
            <v>laboratorio</v>
          </cell>
          <cell r="J719" t="str">
            <v>bueno</v>
          </cell>
          <cell r="K719" t="str">
            <v>probsi</v>
          </cell>
        </row>
        <row r="720">
          <cell r="B720" t="b">
            <v>1</v>
          </cell>
          <cell r="E720" t="str">
            <v>Boquilla</v>
          </cell>
          <cell r="H720" t="str">
            <v>salud_oral</v>
          </cell>
          <cell r="J720" t="str">
            <v>bueno</v>
          </cell>
          <cell r="K720" t="str">
            <v>probsi</v>
          </cell>
        </row>
        <row r="721">
          <cell r="B721" t="b">
            <v>1</v>
          </cell>
          <cell r="E721" t="str">
            <v>Boquilla</v>
          </cell>
          <cell r="H721" t="str">
            <v>salud_oral</v>
          </cell>
          <cell r="J721" t="str">
            <v>bueno</v>
          </cell>
          <cell r="K721" t="str">
            <v>probsi</v>
          </cell>
        </row>
        <row r="722">
          <cell r="B722" t="b">
            <v>1</v>
          </cell>
          <cell r="E722" t="str">
            <v>Boquilla</v>
          </cell>
          <cell r="H722" t="str">
            <v>salud_oral</v>
          </cell>
          <cell r="J722" t="str">
            <v>bueno</v>
          </cell>
          <cell r="K722" t="str">
            <v>probsi</v>
          </cell>
        </row>
        <row r="723">
          <cell r="B723" t="b">
            <v>0</v>
          </cell>
          <cell r="E723" t="str">
            <v>Boquilla</v>
          </cell>
          <cell r="H723" t="str">
            <v>urgencia</v>
          </cell>
          <cell r="J723" t="str">
            <v>regular</v>
          </cell>
          <cell r="K723" t="str">
            <v>probsi</v>
          </cell>
        </row>
        <row r="724">
          <cell r="B724" t="b">
            <v>0</v>
          </cell>
          <cell r="E724" t="str">
            <v>Boquilla</v>
          </cell>
          <cell r="H724" t="str">
            <v>urgencia</v>
          </cell>
          <cell r="J724" t="str">
            <v>regular</v>
          </cell>
          <cell r="K724" t="str">
            <v>probsi</v>
          </cell>
        </row>
        <row r="725">
          <cell r="B725" t="b">
            <v>1</v>
          </cell>
          <cell r="E725" t="str">
            <v>Boquilla</v>
          </cell>
          <cell r="H725" t="str">
            <v>urgencia</v>
          </cell>
          <cell r="J725" t="str">
            <v>bueno</v>
          </cell>
          <cell r="K725" t="str">
            <v>probsi</v>
          </cell>
        </row>
        <row r="726">
          <cell r="B726" t="b">
            <v>1</v>
          </cell>
          <cell r="E726" t="str">
            <v>Boquilla</v>
          </cell>
          <cell r="H726" t="str">
            <v>urgencia</v>
          </cell>
          <cell r="J726" t="str">
            <v>bueno</v>
          </cell>
          <cell r="K726" t="str">
            <v>probsi</v>
          </cell>
        </row>
        <row r="727">
          <cell r="B727" t="b">
            <v>1</v>
          </cell>
          <cell r="E727" t="str">
            <v>Boquilla</v>
          </cell>
          <cell r="H727" t="str">
            <v>urgencia</v>
          </cell>
          <cell r="J727" t="str">
            <v>bueno</v>
          </cell>
          <cell r="K727" t="str">
            <v>probsi</v>
          </cell>
        </row>
        <row r="728">
          <cell r="B728" t="b">
            <v>1</v>
          </cell>
          <cell r="E728" t="str">
            <v>Boquilla</v>
          </cell>
          <cell r="H728" t="str">
            <v>urgencia</v>
          </cell>
          <cell r="J728" t="str">
            <v>bueno</v>
          </cell>
          <cell r="K728" t="str">
            <v>probsi</v>
          </cell>
        </row>
        <row r="729">
          <cell r="B729" t="b">
            <v>1</v>
          </cell>
          <cell r="E729" t="str">
            <v>Nuevo Porvenir</v>
          </cell>
          <cell r="H729" t="str">
            <v>consulta_externa</v>
          </cell>
          <cell r="J729" t="str">
            <v>bueno</v>
          </cell>
          <cell r="K729" t="str">
            <v>probsi</v>
          </cell>
        </row>
        <row r="730">
          <cell r="B730" t="b">
            <v>1</v>
          </cell>
          <cell r="E730" t="str">
            <v>Nuevo Porvenir</v>
          </cell>
          <cell r="H730" t="str">
            <v>laboratorio</v>
          </cell>
          <cell r="J730" t="str">
            <v>bueno</v>
          </cell>
          <cell r="K730" t="str">
            <v>probsi</v>
          </cell>
        </row>
        <row r="731">
          <cell r="B731" t="b">
            <v>1</v>
          </cell>
          <cell r="E731" t="str">
            <v>Nuevo Porvenir</v>
          </cell>
          <cell r="H731" t="str">
            <v>consulta_externa</v>
          </cell>
          <cell r="J731" t="str">
            <v>bueno</v>
          </cell>
          <cell r="K731" t="str">
            <v>probsi</v>
          </cell>
        </row>
        <row r="732">
          <cell r="B732" t="b">
            <v>1</v>
          </cell>
          <cell r="E732" t="str">
            <v>Nuevo Porvenir</v>
          </cell>
          <cell r="H732" t="str">
            <v>consulta_externa</v>
          </cell>
          <cell r="J732" t="str">
            <v>bueno</v>
          </cell>
          <cell r="K732" t="str">
            <v>probsi</v>
          </cell>
        </row>
        <row r="733">
          <cell r="B733" t="b">
            <v>1</v>
          </cell>
          <cell r="E733" t="str">
            <v>Nuevo Porvenir</v>
          </cell>
          <cell r="H733" t="str">
            <v>consulta_externa</v>
          </cell>
          <cell r="J733" t="str">
            <v>bueno</v>
          </cell>
          <cell r="K733" t="str">
            <v>probsi</v>
          </cell>
        </row>
        <row r="734">
          <cell r="B734" t="b">
            <v>1</v>
          </cell>
          <cell r="E734" t="str">
            <v>Nuevo Porvenir</v>
          </cell>
          <cell r="H734" t="str">
            <v>consulta_externa</v>
          </cell>
          <cell r="J734" t="str">
            <v>bueno</v>
          </cell>
          <cell r="K734" t="str">
            <v>probsi</v>
          </cell>
        </row>
        <row r="735">
          <cell r="B735" t="b">
            <v>1</v>
          </cell>
          <cell r="E735" t="str">
            <v>Nuevo Porvenir</v>
          </cell>
          <cell r="H735" t="str">
            <v>laboratorio</v>
          </cell>
          <cell r="J735" t="str">
            <v>bueno</v>
          </cell>
          <cell r="K735" t="str">
            <v>probsi</v>
          </cell>
        </row>
        <row r="736">
          <cell r="B736" t="b">
            <v>1</v>
          </cell>
          <cell r="E736" t="str">
            <v>Nuevo Porvenir</v>
          </cell>
          <cell r="H736" t="str">
            <v>laboratorio</v>
          </cell>
          <cell r="J736" t="str">
            <v>bueno</v>
          </cell>
          <cell r="K736" t="str">
            <v>probsi</v>
          </cell>
        </row>
        <row r="737">
          <cell r="B737" t="b">
            <v>1</v>
          </cell>
          <cell r="E737" t="str">
            <v>Nuevo Porvenir</v>
          </cell>
          <cell r="H737" t="str">
            <v>laboratorio</v>
          </cell>
          <cell r="J737" t="str">
            <v>bueno</v>
          </cell>
          <cell r="K737" t="str">
            <v>probsi</v>
          </cell>
        </row>
        <row r="738">
          <cell r="B738" t="b">
            <v>1</v>
          </cell>
          <cell r="E738" t="str">
            <v>Nuevo Porvenir</v>
          </cell>
          <cell r="H738" t="str">
            <v>consulta_externa</v>
          </cell>
          <cell r="J738" t="str">
            <v>bueno</v>
          </cell>
          <cell r="K738" t="str">
            <v>probsi</v>
          </cell>
        </row>
        <row r="739">
          <cell r="B739" t="b">
            <v>1</v>
          </cell>
          <cell r="E739" t="str">
            <v>Nuevo Porvenir</v>
          </cell>
          <cell r="H739" t="str">
            <v>consulta_externa</v>
          </cell>
          <cell r="J739" t="str">
            <v>bueno</v>
          </cell>
          <cell r="K739" t="str">
            <v>probsi</v>
          </cell>
        </row>
        <row r="740">
          <cell r="B740" t="b">
            <v>1</v>
          </cell>
          <cell r="E740" t="str">
            <v>Nuevo Porvenir</v>
          </cell>
          <cell r="H740" t="str">
            <v>laboratorio</v>
          </cell>
          <cell r="J740" t="str">
            <v>bueno</v>
          </cell>
          <cell r="K740" t="str">
            <v>probsi</v>
          </cell>
        </row>
        <row r="741">
          <cell r="B741" t="b">
            <v>1</v>
          </cell>
          <cell r="E741" t="str">
            <v>Nuevo Porvenir</v>
          </cell>
          <cell r="H741" t="str">
            <v>laboratorio</v>
          </cell>
          <cell r="J741" t="str">
            <v>bueno</v>
          </cell>
          <cell r="K741" t="str">
            <v>probsi</v>
          </cell>
        </row>
        <row r="742">
          <cell r="B742" t="b">
            <v>1</v>
          </cell>
          <cell r="E742" t="str">
            <v>Nuevo Porvenir</v>
          </cell>
          <cell r="H742" t="str">
            <v>laboratorio</v>
          </cell>
          <cell r="J742" t="str">
            <v>bueno</v>
          </cell>
          <cell r="K742" t="str">
            <v>probsi</v>
          </cell>
        </row>
        <row r="743">
          <cell r="B743" t="b">
            <v>1</v>
          </cell>
          <cell r="E743" t="str">
            <v>Nuevo Porvenir</v>
          </cell>
          <cell r="H743" t="str">
            <v>salud_oral</v>
          </cell>
          <cell r="J743" t="str">
            <v>bueno</v>
          </cell>
          <cell r="K743" t="str">
            <v>probsi</v>
          </cell>
        </row>
        <row r="744">
          <cell r="B744" t="b">
            <v>1</v>
          </cell>
          <cell r="E744" t="str">
            <v>Nuevo Porvenir</v>
          </cell>
          <cell r="H744" t="str">
            <v>salud_oral</v>
          </cell>
          <cell r="J744" t="str">
            <v>bueno</v>
          </cell>
          <cell r="K744" t="str">
            <v>probsi</v>
          </cell>
        </row>
        <row r="745">
          <cell r="B745" t="b">
            <v>1</v>
          </cell>
          <cell r="E745" t="str">
            <v>Nuevo Porvenir</v>
          </cell>
          <cell r="H745" t="str">
            <v>salud_oral</v>
          </cell>
          <cell r="J745" t="str">
            <v>bueno</v>
          </cell>
          <cell r="K745" t="str">
            <v>probsi</v>
          </cell>
        </row>
        <row r="746">
          <cell r="B746" t="b">
            <v>1</v>
          </cell>
          <cell r="E746" t="str">
            <v>Nuevo Porvenir</v>
          </cell>
          <cell r="H746" t="str">
            <v>laboratorio</v>
          </cell>
          <cell r="J746" t="str">
            <v>bueno</v>
          </cell>
          <cell r="K746" t="str">
            <v>probsi</v>
          </cell>
        </row>
        <row r="747">
          <cell r="B747" t="b">
            <v>1</v>
          </cell>
          <cell r="E747" t="str">
            <v>Nuevo Porvenir</v>
          </cell>
          <cell r="H747" t="str">
            <v>laboratorio</v>
          </cell>
          <cell r="J747" t="str">
            <v>bueno</v>
          </cell>
          <cell r="K747" t="str">
            <v>probsi</v>
          </cell>
        </row>
        <row r="748">
          <cell r="B748" t="b">
            <v>1</v>
          </cell>
          <cell r="E748" t="str">
            <v>Nuevo Porvenir</v>
          </cell>
          <cell r="H748" t="str">
            <v>laboratorio</v>
          </cell>
          <cell r="J748" t="str">
            <v>bueno</v>
          </cell>
          <cell r="K748" t="str">
            <v>probsi</v>
          </cell>
        </row>
        <row r="749">
          <cell r="B749" t="b">
            <v>1</v>
          </cell>
          <cell r="E749" t="str">
            <v>Nuevo Porvenir</v>
          </cell>
          <cell r="H749" t="str">
            <v>laboratorio</v>
          </cell>
          <cell r="J749" t="str">
            <v>bueno</v>
          </cell>
          <cell r="K749" t="str">
            <v>probsi</v>
          </cell>
        </row>
        <row r="750">
          <cell r="B750" t="b">
            <v>1</v>
          </cell>
          <cell r="E750" t="str">
            <v>Nuevo Porvenir</v>
          </cell>
          <cell r="H750" t="str">
            <v>consulta_externa</v>
          </cell>
          <cell r="J750" t="str">
            <v>bueno</v>
          </cell>
          <cell r="K750" t="str">
            <v>probsi</v>
          </cell>
        </row>
        <row r="751">
          <cell r="B751" t="b">
            <v>1</v>
          </cell>
          <cell r="E751" t="str">
            <v>Nuevo Porvenir</v>
          </cell>
          <cell r="H751" t="str">
            <v>consulta_externa</v>
          </cell>
          <cell r="J751" t="str">
            <v>bueno</v>
          </cell>
          <cell r="K751" t="str">
            <v>probsi</v>
          </cell>
        </row>
        <row r="752">
          <cell r="B752" t="b">
            <v>1</v>
          </cell>
          <cell r="E752" t="str">
            <v>Daniel Lemaitre</v>
          </cell>
          <cell r="H752" t="str">
            <v>consulta_externa</v>
          </cell>
          <cell r="J752" t="str">
            <v>bueno</v>
          </cell>
          <cell r="K752" t="str">
            <v>probsi</v>
          </cell>
        </row>
        <row r="753">
          <cell r="B753" t="b">
            <v>1</v>
          </cell>
          <cell r="E753" t="str">
            <v>Daniel Lemaitre</v>
          </cell>
          <cell r="H753" t="str">
            <v>laboratorio</v>
          </cell>
          <cell r="J753" t="str">
            <v>bueno</v>
          </cell>
          <cell r="K753" t="str">
            <v>probsi</v>
          </cell>
        </row>
        <row r="754">
          <cell r="B754" t="b">
            <v>0</v>
          </cell>
          <cell r="E754" t="str">
            <v>Daniel Lemaitre</v>
          </cell>
          <cell r="H754" t="str">
            <v>consulta_externa</v>
          </cell>
          <cell r="J754" t="str">
            <v>regular</v>
          </cell>
          <cell r="K754" t="str">
            <v>probsi</v>
          </cell>
        </row>
        <row r="755">
          <cell r="B755" t="b">
            <v>1</v>
          </cell>
          <cell r="E755" t="str">
            <v>Nuevo Porvenir</v>
          </cell>
          <cell r="H755" t="str">
            <v>laboratorio</v>
          </cell>
          <cell r="J755" t="str">
            <v>bueno</v>
          </cell>
          <cell r="K755" t="str">
            <v>probsi</v>
          </cell>
        </row>
        <row r="756">
          <cell r="B756" t="b">
            <v>1</v>
          </cell>
          <cell r="E756" t="str">
            <v>Nuevo Porvenir</v>
          </cell>
          <cell r="H756" t="str">
            <v>salud_oral</v>
          </cell>
          <cell r="J756" t="str">
            <v>bueno</v>
          </cell>
          <cell r="K756" t="str">
            <v>probsi</v>
          </cell>
        </row>
        <row r="757">
          <cell r="B757" t="b">
            <v>0</v>
          </cell>
          <cell r="E757" t="str">
            <v>Daniel Lemaitre</v>
          </cell>
          <cell r="H757" t="str">
            <v>laboratorio</v>
          </cell>
          <cell r="J757" t="str">
            <v>regular</v>
          </cell>
          <cell r="K757" t="str">
            <v>probsi</v>
          </cell>
        </row>
        <row r="758">
          <cell r="B758" t="b">
            <v>1</v>
          </cell>
          <cell r="E758" t="str">
            <v>Nuevo Porvenir</v>
          </cell>
          <cell r="H758" t="str">
            <v>salud_oral</v>
          </cell>
          <cell r="J758" t="str">
            <v>bueno</v>
          </cell>
          <cell r="K758" t="str">
            <v>probsi</v>
          </cell>
        </row>
        <row r="759">
          <cell r="B759" t="b">
            <v>1</v>
          </cell>
          <cell r="E759" t="str">
            <v>Nuevo Porvenir</v>
          </cell>
          <cell r="H759" t="str">
            <v>consulta_externa</v>
          </cell>
          <cell r="J759" t="str">
            <v>bueno</v>
          </cell>
          <cell r="K759" t="str">
            <v>probsi</v>
          </cell>
        </row>
        <row r="760">
          <cell r="B760" t="b">
            <v>1</v>
          </cell>
          <cell r="E760" t="str">
            <v>Nuevo Porvenir</v>
          </cell>
          <cell r="H760" t="str">
            <v>consulta_externa</v>
          </cell>
          <cell r="J760" t="str">
            <v>bueno</v>
          </cell>
          <cell r="K760" t="str">
            <v>probsi</v>
          </cell>
        </row>
        <row r="761">
          <cell r="B761" t="b">
            <v>1</v>
          </cell>
          <cell r="E761" t="str">
            <v>Nuevo Porvenir</v>
          </cell>
          <cell r="H761" t="str">
            <v>consulta_externa</v>
          </cell>
          <cell r="J761" t="str">
            <v>bueno</v>
          </cell>
          <cell r="K761" t="str">
            <v>probsi</v>
          </cell>
        </row>
        <row r="762">
          <cell r="B762" t="b">
            <v>1</v>
          </cell>
          <cell r="E762" t="str">
            <v>Daniel Lemaitre</v>
          </cell>
          <cell r="H762" t="str">
            <v>laboratorio</v>
          </cell>
          <cell r="J762" t="str">
            <v>bueno</v>
          </cell>
          <cell r="K762" t="str">
            <v>probsi</v>
          </cell>
        </row>
        <row r="763">
          <cell r="B763" t="b">
            <v>1</v>
          </cell>
          <cell r="E763" t="str">
            <v>Daniel Lemaitre</v>
          </cell>
          <cell r="H763" t="str">
            <v>salud_oral</v>
          </cell>
          <cell r="J763" t="str">
            <v>bueno</v>
          </cell>
          <cell r="K763" t="str">
            <v>probsi</v>
          </cell>
        </row>
        <row r="764">
          <cell r="B764" t="b">
            <v>1</v>
          </cell>
          <cell r="E764" t="str">
            <v>Daniel Lemaitre</v>
          </cell>
          <cell r="H764" t="str">
            <v>consulta_externa</v>
          </cell>
          <cell r="J764" t="str">
            <v>bueno</v>
          </cell>
          <cell r="K764" t="str">
            <v>probsi</v>
          </cell>
        </row>
        <row r="765">
          <cell r="B765" t="b">
            <v>1</v>
          </cell>
          <cell r="E765" t="str">
            <v>Daniel Lemaitre</v>
          </cell>
          <cell r="H765" t="str">
            <v>consulta_externa</v>
          </cell>
          <cell r="J765" t="str">
            <v>bueno</v>
          </cell>
          <cell r="K765" t="str">
            <v>probsi</v>
          </cell>
        </row>
        <row r="766">
          <cell r="B766" t="b">
            <v>1</v>
          </cell>
          <cell r="E766" t="str">
            <v>Daniel Lemaitre</v>
          </cell>
          <cell r="H766" t="str">
            <v>salud_oral</v>
          </cell>
          <cell r="J766" t="str">
            <v>bueno</v>
          </cell>
          <cell r="K766" t="str">
            <v>probsi</v>
          </cell>
        </row>
        <row r="767">
          <cell r="B767" t="b">
            <v>0</v>
          </cell>
          <cell r="E767" t="str">
            <v>Daniel Lemaitre</v>
          </cell>
          <cell r="H767" t="str">
            <v>salud_oral</v>
          </cell>
          <cell r="J767" t="str">
            <v>regular</v>
          </cell>
          <cell r="K767" t="str">
            <v>probsi</v>
          </cell>
        </row>
        <row r="768">
          <cell r="B768" t="b">
            <v>1</v>
          </cell>
          <cell r="E768" t="str">
            <v>Daniel Lemaitre</v>
          </cell>
          <cell r="H768" t="str">
            <v>consulta_externa</v>
          </cell>
          <cell r="J768" t="str">
            <v>muybueno</v>
          </cell>
          <cell r="K768" t="str">
            <v>probsi</v>
          </cell>
        </row>
        <row r="769">
          <cell r="B769" t="b">
            <v>1</v>
          </cell>
          <cell r="E769" t="str">
            <v>Daniel Lemaitre</v>
          </cell>
          <cell r="H769" t="str">
            <v>salud_oral</v>
          </cell>
          <cell r="J769" t="str">
            <v>bueno</v>
          </cell>
          <cell r="K769" t="str">
            <v>probsi</v>
          </cell>
        </row>
        <row r="770">
          <cell r="B770" t="b">
            <v>1</v>
          </cell>
          <cell r="E770" t="str">
            <v>Daniel Lemaitre</v>
          </cell>
          <cell r="H770" t="str">
            <v>laboratorio</v>
          </cell>
          <cell r="J770" t="str">
            <v>bueno</v>
          </cell>
          <cell r="K770" t="str">
            <v>probsi</v>
          </cell>
        </row>
        <row r="771">
          <cell r="B771" t="b">
            <v>1</v>
          </cell>
          <cell r="E771" t="str">
            <v>Arroz Barato</v>
          </cell>
          <cell r="H771" t="str">
            <v>consulta_externa</v>
          </cell>
          <cell r="J771" t="str">
            <v>bueno</v>
          </cell>
          <cell r="K771" t="str">
            <v>defsi</v>
          </cell>
        </row>
        <row r="772">
          <cell r="B772" t="b">
            <v>1</v>
          </cell>
          <cell r="E772" t="str">
            <v>Arroz Barato</v>
          </cell>
          <cell r="H772" t="str">
            <v>salud_oral</v>
          </cell>
          <cell r="J772" t="str">
            <v>bueno</v>
          </cell>
          <cell r="K772" t="str">
            <v>defsi</v>
          </cell>
        </row>
        <row r="773">
          <cell r="B773" t="b">
            <v>1</v>
          </cell>
          <cell r="E773" t="str">
            <v>Arroz Barato</v>
          </cell>
          <cell r="H773" t="str">
            <v>laboratorio</v>
          </cell>
          <cell r="J773" t="str">
            <v>bueno</v>
          </cell>
          <cell r="K773" t="str">
            <v>defsi</v>
          </cell>
        </row>
        <row r="774">
          <cell r="B774" t="b">
            <v>1</v>
          </cell>
          <cell r="E774" t="str">
            <v>Arroz Barato</v>
          </cell>
          <cell r="H774" t="str">
            <v>urgencia</v>
          </cell>
          <cell r="J774" t="str">
            <v>bueno</v>
          </cell>
          <cell r="K774" t="str">
            <v>defsi</v>
          </cell>
        </row>
        <row r="775">
          <cell r="B775" t="b">
            <v>1</v>
          </cell>
          <cell r="E775" t="str">
            <v>Daniel Lemaitre</v>
          </cell>
          <cell r="H775" t="str">
            <v>consulta_externa</v>
          </cell>
          <cell r="J775" t="str">
            <v>bueno</v>
          </cell>
          <cell r="K775" t="str">
            <v>probsi</v>
          </cell>
        </row>
        <row r="776">
          <cell r="B776" t="b">
            <v>1</v>
          </cell>
          <cell r="E776" t="str">
            <v>Daniel Lemaitre</v>
          </cell>
          <cell r="H776" t="str">
            <v>laboratorio</v>
          </cell>
          <cell r="J776" t="str">
            <v>bueno</v>
          </cell>
          <cell r="K776" t="str">
            <v>probsi</v>
          </cell>
        </row>
        <row r="777">
          <cell r="B777" t="b">
            <v>1</v>
          </cell>
          <cell r="E777" t="str">
            <v>Arroz Barato</v>
          </cell>
          <cell r="H777" t="str">
            <v>ecografias</v>
          </cell>
          <cell r="J777" t="str">
            <v>bueno</v>
          </cell>
          <cell r="K777" t="str">
            <v>defsi</v>
          </cell>
        </row>
        <row r="778">
          <cell r="B778" t="b">
            <v>1</v>
          </cell>
          <cell r="E778" t="str">
            <v>Nuevo Porvenir</v>
          </cell>
          <cell r="H778" t="str">
            <v>consulta_externa</v>
          </cell>
          <cell r="J778" t="str">
            <v>bueno</v>
          </cell>
          <cell r="K778" t="str">
            <v>probsi</v>
          </cell>
        </row>
        <row r="779">
          <cell r="B779" t="b">
            <v>1</v>
          </cell>
          <cell r="E779" t="str">
            <v>Nuevo Porvenir</v>
          </cell>
          <cell r="H779" t="str">
            <v>laboratorio</v>
          </cell>
          <cell r="J779" t="str">
            <v>bueno</v>
          </cell>
          <cell r="K779" t="str">
            <v>probsi</v>
          </cell>
        </row>
        <row r="780">
          <cell r="B780" t="b">
            <v>1</v>
          </cell>
          <cell r="E780" t="str">
            <v>Nuevo Porvenir</v>
          </cell>
          <cell r="H780" t="str">
            <v>laboratorio</v>
          </cell>
          <cell r="J780" t="str">
            <v>bueno</v>
          </cell>
          <cell r="K780" t="str">
            <v>probsi</v>
          </cell>
        </row>
        <row r="781">
          <cell r="B781" t="b">
            <v>1</v>
          </cell>
          <cell r="E781" t="str">
            <v>Nuevo Porvenir</v>
          </cell>
          <cell r="H781" t="str">
            <v>laboratorio</v>
          </cell>
          <cell r="J781" t="str">
            <v>bueno</v>
          </cell>
          <cell r="K781" t="str">
            <v>probsi</v>
          </cell>
        </row>
        <row r="782">
          <cell r="B782" t="b">
            <v>1</v>
          </cell>
          <cell r="E782" t="str">
            <v>Arroz Barato</v>
          </cell>
          <cell r="H782" t="str">
            <v>consulta_externa</v>
          </cell>
          <cell r="J782" t="str">
            <v>bueno</v>
          </cell>
          <cell r="K782" t="str">
            <v>defsi</v>
          </cell>
        </row>
        <row r="783">
          <cell r="B783" t="b">
            <v>1</v>
          </cell>
          <cell r="E783" t="str">
            <v>Nuevo Porvenir</v>
          </cell>
          <cell r="H783" t="str">
            <v>consulta_externa</v>
          </cell>
          <cell r="J783" t="str">
            <v>bueno</v>
          </cell>
          <cell r="K783" t="str">
            <v>probsi</v>
          </cell>
        </row>
        <row r="784">
          <cell r="B784" t="b">
            <v>1</v>
          </cell>
          <cell r="E784" t="str">
            <v>Nuevo Porvenir</v>
          </cell>
          <cell r="H784" t="str">
            <v>consulta_externa</v>
          </cell>
          <cell r="J784" t="str">
            <v>bueno</v>
          </cell>
          <cell r="K784" t="str">
            <v>probsi</v>
          </cell>
        </row>
        <row r="785">
          <cell r="B785" t="b">
            <v>1</v>
          </cell>
          <cell r="E785" t="str">
            <v>Arroz Barato</v>
          </cell>
          <cell r="H785" t="str">
            <v>salud_oral</v>
          </cell>
          <cell r="J785" t="str">
            <v>bueno</v>
          </cell>
          <cell r="K785" t="str">
            <v>defsi</v>
          </cell>
        </row>
        <row r="786">
          <cell r="B786" t="b">
            <v>1</v>
          </cell>
          <cell r="E786" t="str">
            <v>Arroz Barato</v>
          </cell>
          <cell r="H786" t="str">
            <v>laboratorio</v>
          </cell>
          <cell r="J786" t="str">
            <v>bueno</v>
          </cell>
          <cell r="K786" t="str">
            <v>defsi</v>
          </cell>
        </row>
        <row r="787">
          <cell r="B787" t="b">
            <v>1</v>
          </cell>
          <cell r="E787" t="str">
            <v>Arroz Barato</v>
          </cell>
          <cell r="H787" t="str">
            <v>urgencia</v>
          </cell>
          <cell r="J787" t="str">
            <v>bueno</v>
          </cell>
          <cell r="K787" t="str">
            <v>defsi</v>
          </cell>
        </row>
        <row r="788">
          <cell r="B788" t="b">
            <v>1</v>
          </cell>
          <cell r="E788" t="str">
            <v>Arroz Barato</v>
          </cell>
          <cell r="H788" t="str">
            <v>ecografias</v>
          </cell>
          <cell r="J788" t="str">
            <v>bueno</v>
          </cell>
          <cell r="K788" t="str">
            <v>defsi</v>
          </cell>
        </row>
        <row r="789">
          <cell r="B789" t="b">
            <v>1</v>
          </cell>
          <cell r="E789" t="str">
            <v>Arroz Barato</v>
          </cell>
          <cell r="H789" t="str">
            <v>consulta_externa</v>
          </cell>
          <cell r="J789" t="str">
            <v>bueno</v>
          </cell>
          <cell r="K789" t="str">
            <v>defsi</v>
          </cell>
        </row>
        <row r="790">
          <cell r="B790" t="b">
            <v>1</v>
          </cell>
          <cell r="E790" t="str">
            <v>Arroz Barato</v>
          </cell>
          <cell r="H790" t="str">
            <v>salud_oral</v>
          </cell>
          <cell r="J790" t="str">
            <v>bueno</v>
          </cell>
          <cell r="K790" t="str">
            <v>defsi</v>
          </cell>
        </row>
        <row r="791">
          <cell r="B791" t="b">
            <v>1</v>
          </cell>
          <cell r="E791" t="str">
            <v>Arroz Barato</v>
          </cell>
          <cell r="H791" t="str">
            <v>laboratorio</v>
          </cell>
          <cell r="J791" t="str">
            <v>bueno</v>
          </cell>
          <cell r="K791" t="str">
            <v>defsi</v>
          </cell>
        </row>
        <row r="792">
          <cell r="B792" t="b">
            <v>1</v>
          </cell>
          <cell r="E792" t="str">
            <v>Arroz Barato</v>
          </cell>
          <cell r="H792" t="str">
            <v>urgencia</v>
          </cell>
          <cell r="J792" t="str">
            <v>bueno</v>
          </cell>
          <cell r="K792" t="str">
            <v>defsi</v>
          </cell>
        </row>
        <row r="793">
          <cell r="B793" t="b">
            <v>1</v>
          </cell>
          <cell r="E793" t="str">
            <v>Daniel Lemaitre</v>
          </cell>
          <cell r="H793" t="str">
            <v>consulta_externa</v>
          </cell>
          <cell r="J793" t="str">
            <v>bueno</v>
          </cell>
          <cell r="K793" t="str">
            <v>probsi</v>
          </cell>
        </row>
        <row r="794">
          <cell r="B794" t="b">
            <v>1</v>
          </cell>
          <cell r="E794" t="str">
            <v>Arroz Barato</v>
          </cell>
          <cell r="H794" t="str">
            <v>ecografias</v>
          </cell>
          <cell r="J794" t="str">
            <v>bueno</v>
          </cell>
          <cell r="K794" t="str">
            <v>defsi</v>
          </cell>
        </row>
        <row r="795">
          <cell r="B795" t="b">
            <v>1</v>
          </cell>
          <cell r="E795" t="str">
            <v>Daniel Lemaitre</v>
          </cell>
          <cell r="H795" t="str">
            <v>laboratorio</v>
          </cell>
          <cell r="J795" t="str">
            <v>bueno</v>
          </cell>
          <cell r="K795" t="str">
            <v>probsi</v>
          </cell>
        </row>
        <row r="796">
          <cell r="B796" t="b">
            <v>1</v>
          </cell>
          <cell r="E796" t="str">
            <v>Los Cerros</v>
          </cell>
          <cell r="H796" t="str">
            <v>laboratorio</v>
          </cell>
          <cell r="J796" t="str">
            <v>bueno</v>
          </cell>
          <cell r="K796" t="str">
            <v>defsi</v>
          </cell>
        </row>
        <row r="797">
          <cell r="B797" t="b">
            <v>1</v>
          </cell>
          <cell r="E797" t="str">
            <v>Arroz Barato</v>
          </cell>
          <cell r="H797" t="str">
            <v>consulta_externa</v>
          </cell>
          <cell r="J797" t="str">
            <v>bueno</v>
          </cell>
          <cell r="K797" t="str">
            <v>defsi</v>
          </cell>
        </row>
        <row r="798">
          <cell r="B798" t="b">
            <v>1</v>
          </cell>
          <cell r="E798" t="str">
            <v>Arroz Barato</v>
          </cell>
          <cell r="H798" t="str">
            <v>salud_oral</v>
          </cell>
          <cell r="J798" t="str">
            <v>bueno</v>
          </cell>
          <cell r="K798" t="str">
            <v>defsi</v>
          </cell>
        </row>
        <row r="799">
          <cell r="B799" t="b">
            <v>1</v>
          </cell>
          <cell r="E799" t="str">
            <v>Arroz Barato</v>
          </cell>
          <cell r="H799" t="str">
            <v>laboratorio</v>
          </cell>
          <cell r="J799" t="str">
            <v>bueno</v>
          </cell>
          <cell r="K799" t="str">
            <v>defsi</v>
          </cell>
        </row>
        <row r="800">
          <cell r="B800" t="b">
            <v>1</v>
          </cell>
          <cell r="E800" t="str">
            <v>Arroz Barato</v>
          </cell>
          <cell r="H800" t="str">
            <v>urgencia</v>
          </cell>
          <cell r="J800" t="str">
            <v>bueno</v>
          </cell>
          <cell r="K800" t="str">
            <v>defsi</v>
          </cell>
        </row>
        <row r="801">
          <cell r="B801" t="b">
            <v>1</v>
          </cell>
          <cell r="E801" t="str">
            <v>Arroz Barato</v>
          </cell>
          <cell r="H801" t="str">
            <v>ecografias</v>
          </cell>
          <cell r="J801" t="str">
            <v>bueno</v>
          </cell>
          <cell r="K801" t="str">
            <v>defsi</v>
          </cell>
        </row>
        <row r="802">
          <cell r="B802" t="b">
            <v>1</v>
          </cell>
          <cell r="E802" t="str">
            <v>Los Cerros</v>
          </cell>
          <cell r="H802" t="str">
            <v>ginecologia</v>
          </cell>
          <cell r="J802" t="str">
            <v>muybueno</v>
          </cell>
          <cell r="K802" t="str">
            <v>defsi</v>
          </cell>
        </row>
        <row r="803">
          <cell r="B803" t="b">
            <v>1</v>
          </cell>
          <cell r="E803" t="str">
            <v>Los Cerros</v>
          </cell>
          <cell r="H803" t="str">
            <v>laboratorio</v>
          </cell>
          <cell r="J803" t="str">
            <v>muybueno</v>
          </cell>
          <cell r="K803" t="str">
            <v>defsi</v>
          </cell>
        </row>
        <row r="804">
          <cell r="B804" t="b">
            <v>1</v>
          </cell>
          <cell r="E804" t="str">
            <v>Los Cerros</v>
          </cell>
          <cell r="H804" t="str">
            <v>consulta_externa</v>
          </cell>
          <cell r="J804" t="str">
            <v>muybueno</v>
          </cell>
          <cell r="K804" t="str">
            <v>defsi</v>
          </cell>
        </row>
        <row r="805">
          <cell r="B805" t="b">
            <v>1</v>
          </cell>
          <cell r="E805" t="str">
            <v>Arroz Barato</v>
          </cell>
          <cell r="H805" t="str">
            <v>consulta_externa</v>
          </cell>
          <cell r="J805" t="str">
            <v>bueno</v>
          </cell>
          <cell r="K805" t="str">
            <v>defsi</v>
          </cell>
        </row>
        <row r="806">
          <cell r="B806" t="b">
            <v>1</v>
          </cell>
          <cell r="E806" t="str">
            <v>Los Cerros</v>
          </cell>
          <cell r="H806" t="str">
            <v>consulta_externa</v>
          </cell>
          <cell r="J806" t="str">
            <v>muybueno</v>
          </cell>
          <cell r="K806" t="str">
            <v>defsi</v>
          </cell>
        </row>
        <row r="807">
          <cell r="B807" t="b">
            <v>1</v>
          </cell>
          <cell r="E807" t="str">
            <v>Arroz Barato</v>
          </cell>
          <cell r="H807" t="str">
            <v>consulta_externa</v>
          </cell>
          <cell r="J807" t="str">
            <v>bueno</v>
          </cell>
          <cell r="K807" t="str">
            <v>defsi</v>
          </cell>
        </row>
        <row r="808">
          <cell r="B808" t="b">
            <v>1</v>
          </cell>
          <cell r="E808" t="str">
            <v>Los Cerros</v>
          </cell>
          <cell r="H808" t="str">
            <v>consulta_externa</v>
          </cell>
          <cell r="J808" t="str">
            <v>muybueno</v>
          </cell>
          <cell r="K808" t="str">
            <v>defsi</v>
          </cell>
        </row>
        <row r="809">
          <cell r="B809" t="b">
            <v>1</v>
          </cell>
          <cell r="E809" t="str">
            <v>Arroz Barato</v>
          </cell>
          <cell r="H809" t="str">
            <v>salud_oral</v>
          </cell>
          <cell r="J809" t="str">
            <v>bueno</v>
          </cell>
          <cell r="K809" t="str">
            <v>defsi</v>
          </cell>
        </row>
        <row r="810">
          <cell r="B810" t="b">
            <v>1</v>
          </cell>
          <cell r="E810" t="str">
            <v>Arroz Barato</v>
          </cell>
          <cell r="H810" t="str">
            <v>laboratorio</v>
          </cell>
          <cell r="J810" t="str">
            <v>bueno</v>
          </cell>
          <cell r="K810" t="str">
            <v>defsi</v>
          </cell>
        </row>
        <row r="811">
          <cell r="B811" t="b">
            <v>1</v>
          </cell>
          <cell r="E811" t="str">
            <v>Los Cerros</v>
          </cell>
          <cell r="H811" t="str">
            <v>pediatria</v>
          </cell>
          <cell r="J811" t="str">
            <v>bueno</v>
          </cell>
          <cell r="K811" t="str">
            <v>defsi</v>
          </cell>
        </row>
        <row r="812">
          <cell r="B812" t="b">
            <v>1</v>
          </cell>
          <cell r="E812" t="str">
            <v>Arroz Barato</v>
          </cell>
          <cell r="H812" t="str">
            <v>urgencia</v>
          </cell>
          <cell r="J812" t="str">
            <v>bueno</v>
          </cell>
          <cell r="K812" t="str">
            <v>defsi</v>
          </cell>
        </row>
        <row r="813">
          <cell r="B813" t="b">
            <v>1</v>
          </cell>
          <cell r="E813" t="str">
            <v>Los Cerros</v>
          </cell>
          <cell r="H813" t="str">
            <v>laboratorio</v>
          </cell>
          <cell r="J813" t="str">
            <v>bueno</v>
          </cell>
          <cell r="K813" t="str">
            <v>defsi</v>
          </cell>
        </row>
        <row r="814">
          <cell r="B814" t="b">
            <v>1</v>
          </cell>
          <cell r="E814" t="str">
            <v>Los Cerros</v>
          </cell>
          <cell r="H814" t="str">
            <v>laboratorio</v>
          </cell>
          <cell r="J814" t="str">
            <v>muybueno</v>
          </cell>
          <cell r="K814" t="str">
            <v>defsi</v>
          </cell>
        </row>
        <row r="815">
          <cell r="B815" t="b">
            <v>1</v>
          </cell>
          <cell r="E815" t="str">
            <v>Arroz Barato</v>
          </cell>
          <cell r="H815" t="str">
            <v>ecografias</v>
          </cell>
          <cell r="J815" t="str">
            <v>bueno</v>
          </cell>
          <cell r="K815" t="str">
            <v>defsi</v>
          </cell>
        </row>
        <row r="816">
          <cell r="B816" t="b">
            <v>1</v>
          </cell>
          <cell r="E816" t="str">
            <v>Los Cerros</v>
          </cell>
          <cell r="H816" t="str">
            <v>pediatria</v>
          </cell>
          <cell r="J816" t="str">
            <v>bueno</v>
          </cell>
          <cell r="K816" t="str">
            <v>defsi</v>
          </cell>
        </row>
        <row r="817">
          <cell r="B817" t="b">
            <v>1</v>
          </cell>
          <cell r="E817" t="str">
            <v>Los Cerros</v>
          </cell>
          <cell r="H817" t="str">
            <v>pediatria</v>
          </cell>
          <cell r="J817" t="str">
            <v>bueno</v>
          </cell>
          <cell r="K817" t="str">
            <v>defsi</v>
          </cell>
        </row>
        <row r="818">
          <cell r="B818" t="b">
            <v>1</v>
          </cell>
          <cell r="E818" t="str">
            <v>Los Cerros</v>
          </cell>
          <cell r="H818" t="str">
            <v>consulta_externa</v>
          </cell>
          <cell r="J818" t="str">
            <v>bueno</v>
          </cell>
          <cell r="K818" t="str">
            <v>defsi</v>
          </cell>
        </row>
        <row r="819">
          <cell r="B819" t="b">
            <v>1</v>
          </cell>
          <cell r="E819" t="str">
            <v>Los Cerros</v>
          </cell>
          <cell r="H819" t="str">
            <v>consulta_externa</v>
          </cell>
          <cell r="J819" t="str">
            <v>bueno</v>
          </cell>
          <cell r="K819" t="str">
            <v>defsi</v>
          </cell>
        </row>
        <row r="820">
          <cell r="B820" t="b">
            <v>1</v>
          </cell>
          <cell r="E820" t="str">
            <v>Daniel Lemaitre</v>
          </cell>
          <cell r="H820" t="str">
            <v>consulta_externa</v>
          </cell>
          <cell r="J820" t="str">
            <v>bueno</v>
          </cell>
          <cell r="K820" t="str">
            <v>probsi</v>
          </cell>
        </row>
        <row r="821">
          <cell r="B821" t="b">
            <v>1</v>
          </cell>
          <cell r="E821" t="str">
            <v>Daniel Lemaitre</v>
          </cell>
          <cell r="H821" t="str">
            <v>salud_oral</v>
          </cell>
          <cell r="J821" t="str">
            <v>bueno</v>
          </cell>
          <cell r="K821" t="str">
            <v>probsi</v>
          </cell>
        </row>
        <row r="822">
          <cell r="B822" t="b">
            <v>1</v>
          </cell>
          <cell r="E822" t="str">
            <v>Daniel Lemaitre</v>
          </cell>
          <cell r="H822" t="str">
            <v>laboratorio</v>
          </cell>
          <cell r="J822" t="str">
            <v>bueno</v>
          </cell>
          <cell r="K822" t="str">
            <v>probsi</v>
          </cell>
        </row>
        <row r="823">
          <cell r="B823" t="b">
            <v>1</v>
          </cell>
          <cell r="E823" t="str">
            <v>Los Cerros</v>
          </cell>
          <cell r="H823" t="str">
            <v>salud_oral</v>
          </cell>
          <cell r="J823" t="str">
            <v>bueno</v>
          </cell>
          <cell r="K823" t="str">
            <v>defsi</v>
          </cell>
        </row>
        <row r="824">
          <cell r="B824" t="b">
            <v>1</v>
          </cell>
          <cell r="E824" t="str">
            <v>Daniel Lemaitre</v>
          </cell>
          <cell r="H824" t="str">
            <v>salud_oral</v>
          </cell>
          <cell r="J824" t="str">
            <v>bueno</v>
          </cell>
          <cell r="K824" t="str">
            <v>probsi</v>
          </cell>
        </row>
        <row r="825">
          <cell r="B825" t="b">
            <v>1</v>
          </cell>
          <cell r="E825" t="str">
            <v>Daniel Lemaitre</v>
          </cell>
          <cell r="H825" t="str">
            <v>salud_oral</v>
          </cell>
          <cell r="J825" t="str">
            <v>bueno</v>
          </cell>
          <cell r="K825" t="str">
            <v>probsi</v>
          </cell>
        </row>
        <row r="826">
          <cell r="B826" t="b">
            <v>1</v>
          </cell>
          <cell r="E826" t="str">
            <v>Daniel Lemaitre</v>
          </cell>
          <cell r="H826" t="str">
            <v>laboratorio</v>
          </cell>
          <cell r="J826" t="str">
            <v>bueno</v>
          </cell>
          <cell r="K826" t="str">
            <v>probsi</v>
          </cell>
        </row>
        <row r="827">
          <cell r="B827" t="b">
            <v>1</v>
          </cell>
          <cell r="E827" t="str">
            <v>Daniel Lemaitre</v>
          </cell>
          <cell r="H827" t="str">
            <v>laboratorio</v>
          </cell>
          <cell r="J827" t="str">
            <v>bueno</v>
          </cell>
          <cell r="K827" t="str">
            <v>probsi</v>
          </cell>
        </row>
        <row r="828">
          <cell r="B828" t="b">
            <v>1</v>
          </cell>
          <cell r="E828" t="str">
            <v>Daniel Lemaitre</v>
          </cell>
          <cell r="H828" t="str">
            <v>consulta_externa</v>
          </cell>
          <cell r="J828" t="str">
            <v>bueno</v>
          </cell>
          <cell r="K828" t="str">
            <v>probsi</v>
          </cell>
        </row>
        <row r="829">
          <cell r="B829" t="b">
            <v>1</v>
          </cell>
          <cell r="E829" t="str">
            <v>Daniel Lemaitre</v>
          </cell>
          <cell r="H829" t="str">
            <v>consulta_externa</v>
          </cell>
          <cell r="J829" t="str">
            <v>bueno</v>
          </cell>
          <cell r="K829" t="str">
            <v>probsi</v>
          </cell>
        </row>
        <row r="830">
          <cell r="B830" t="b">
            <v>1</v>
          </cell>
          <cell r="E830" t="str">
            <v>Los Cerros</v>
          </cell>
          <cell r="H830" t="str">
            <v>laboratorio</v>
          </cell>
          <cell r="J830" t="str">
            <v>bueno</v>
          </cell>
          <cell r="K830" t="str">
            <v>defsi</v>
          </cell>
        </row>
        <row r="831">
          <cell r="B831" t="b">
            <v>1</v>
          </cell>
          <cell r="E831" t="str">
            <v>Los Cerros</v>
          </cell>
          <cell r="H831" t="str">
            <v>laboratorio</v>
          </cell>
          <cell r="J831" t="str">
            <v>bueno</v>
          </cell>
          <cell r="K831" t="str">
            <v>defsi</v>
          </cell>
        </row>
        <row r="832">
          <cell r="B832" t="b">
            <v>1</v>
          </cell>
          <cell r="E832" t="str">
            <v>Los Cerros</v>
          </cell>
          <cell r="H832" t="str">
            <v>laboratorio</v>
          </cell>
          <cell r="J832" t="str">
            <v>muybueno</v>
          </cell>
          <cell r="K832" t="str">
            <v>defsi</v>
          </cell>
        </row>
        <row r="833">
          <cell r="B833" t="b">
            <v>1</v>
          </cell>
          <cell r="E833" t="str">
            <v>Los Cerros</v>
          </cell>
          <cell r="H833" t="str">
            <v>salud_oral</v>
          </cell>
          <cell r="J833" t="str">
            <v>bueno</v>
          </cell>
          <cell r="K833" t="str">
            <v>defsi</v>
          </cell>
        </row>
        <row r="834">
          <cell r="B834" t="b">
            <v>1</v>
          </cell>
          <cell r="E834" t="str">
            <v>Los Cerros</v>
          </cell>
          <cell r="H834" t="str">
            <v>laboratorio</v>
          </cell>
          <cell r="J834" t="str">
            <v>bueno</v>
          </cell>
          <cell r="K834" t="str">
            <v>defsi</v>
          </cell>
        </row>
        <row r="835">
          <cell r="B835" t="b">
            <v>1</v>
          </cell>
          <cell r="E835" t="str">
            <v>Los Cerros</v>
          </cell>
          <cell r="H835" t="str">
            <v>laboratorio</v>
          </cell>
          <cell r="J835" t="str">
            <v>bueno</v>
          </cell>
          <cell r="K835" t="str">
            <v>defsi</v>
          </cell>
        </row>
        <row r="836">
          <cell r="B836" t="b">
            <v>1</v>
          </cell>
          <cell r="E836" t="str">
            <v>Los Cerros</v>
          </cell>
          <cell r="H836" t="str">
            <v>consulta_externa</v>
          </cell>
          <cell r="J836" t="str">
            <v>bueno</v>
          </cell>
          <cell r="K836" t="str">
            <v>defsi</v>
          </cell>
        </row>
        <row r="837">
          <cell r="B837" t="b">
            <v>1</v>
          </cell>
          <cell r="E837" t="str">
            <v>Los Cerros</v>
          </cell>
          <cell r="H837" t="str">
            <v>consulta_externa</v>
          </cell>
          <cell r="J837" t="str">
            <v>bueno</v>
          </cell>
          <cell r="K837" t="str">
            <v>defsi</v>
          </cell>
        </row>
        <row r="838">
          <cell r="B838" t="b">
            <v>1</v>
          </cell>
          <cell r="E838" t="str">
            <v>Los Cerros</v>
          </cell>
          <cell r="H838" t="str">
            <v>pediatria</v>
          </cell>
          <cell r="J838" t="str">
            <v>muybueno</v>
          </cell>
          <cell r="K838" t="str">
            <v>defsi</v>
          </cell>
        </row>
        <row r="839">
          <cell r="B839" t="b">
            <v>1</v>
          </cell>
          <cell r="E839" t="str">
            <v>Los Cerros</v>
          </cell>
          <cell r="H839" t="str">
            <v>pediatria</v>
          </cell>
          <cell r="J839" t="str">
            <v>bueno</v>
          </cell>
          <cell r="K839" t="str">
            <v>defsi</v>
          </cell>
        </row>
        <row r="840">
          <cell r="B840" t="b">
            <v>1</v>
          </cell>
          <cell r="E840" t="str">
            <v>Los Cerros</v>
          </cell>
          <cell r="H840" t="str">
            <v>ginecologia</v>
          </cell>
          <cell r="J840" t="str">
            <v>bueno</v>
          </cell>
          <cell r="K840" t="str">
            <v>defsi</v>
          </cell>
        </row>
        <row r="841">
          <cell r="B841" t="b">
            <v>1</v>
          </cell>
          <cell r="E841" t="str">
            <v>Los Cerros</v>
          </cell>
          <cell r="H841" t="str">
            <v>ginecologia</v>
          </cell>
          <cell r="J841" t="str">
            <v>bueno</v>
          </cell>
          <cell r="K841" t="str">
            <v>defsi</v>
          </cell>
        </row>
        <row r="842">
          <cell r="B842" t="b">
            <v>1</v>
          </cell>
          <cell r="E842" t="str">
            <v>Los Cerros</v>
          </cell>
          <cell r="H842" t="str">
            <v>ginecologia</v>
          </cell>
          <cell r="J842" t="str">
            <v>bueno</v>
          </cell>
          <cell r="K842" t="str">
            <v>defsi</v>
          </cell>
        </row>
        <row r="843">
          <cell r="B843" t="b">
            <v>1</v>
          </cell>
          <cell r="E843" t="str">
            <v>Canapote</v>
          </cell>
          <cell r="H843" t="str">
            <v>consulta_externa</v>
          </cell>
          <cell r="J843" t="str">
            <v>bueno</v>
          </cell>
          <cell r="K843" t="str">
            <v>probsi</v>
          </cell>
        </row>
        <row r="844">
          <cell r="B844" t="b">
            <v>1</v>
          </cell>
          <cell r="E844" t="str">
            <v>Canapote</v>
          </cell>
          <cell r="H844" t="str">
            <v>salud_oral</v>
          </cell>
          <cell r="J844" t="str">
            <v>bueno</v>
          </cell>
          <cell r="K844" t="str">
            <v>probsi</v>
          </cell>
        </row>
        <row r="845">
          <cell r="B845" t="b">
            <v>1</v>
          </cell>
          <cell r="E845" t="str">
            <v>Canapote</v>
          </cell>
          <cell r="H845" t="str">
            <v>laboratorio</v>
          </cell>
          <cell r="J845" t="str">
            <v>bueno</v>
          </cell>
          <cell r="K845" t="str">
            <v>probsi</v>
          </cell>
        </row>
        <row r="846">
          <cell r="B846" t="b">
            <v>1</v>
          </cell>
          <cell r="E846" t="str">
            <v>Canapote</v>
          </cell>
          <cell r="H846" t="str">
            <v>consulta_externa</v>
          </cell>
          <cell r="J846" t="str">
            <v>bueno</v>
          </cell>
          <cell r="K846" t="str">
            <v>probsi</v>
          </cell>
        </row>
        <row r="847">
          <cell r="B847" t="b">
            <v>1</v>
          </cell>
          <cell r="E847" t="str">
            <v>Canapote</v>
          </cell>
          <cell r="H847" t="str">
            <v>laboratorio</v>
          </cell>
          <cell r="J847" t="str">
            <v>bueno</v>
          </cell>
          <cell r="K847" t="str">
            <v>probsi</v>
          </cell>
        </row>
        <row r="848">
          <cell r="B848" t="b">
            <v>1</v>
          </cell>
          <cell r="E848" t="str">
            <v>Canapote</v>
          </cell>
          <cell r="H848" t="str">
            <v>consulta_externa</v>
          </cell>
          <cell r="J848" t="str">
            <v>bueno</v>
          </cell>
          <cell r="K848" t="str">
            <v>probsi</v>
          </cell>
        </row>
        <row r="849">
          <cell r="B849" t="b">
            <v>1</v>
          </cell>
          <cell r="E849" t="str">
            <v>Canapote</v>
          </cell>
          <cell r="H849" t="str">
            <v>consulta_externa</v>
          </cell>
          <cell r="J849" t="str">
            <v>bueno</v>
          </cell>
          <cell r="K849" t="str">
            <v>probsi</v>
          </cell>
        </row>
        <row r="850">
          <cell r="B850" t="b">
            <v>1</v>
          </cell>
          <cell r="E850" t="str">
            <v>Los Cerros</v>
          </cell>
          <cell r="H850" t="str">
            <v>consulta_externa</v>
          </cell>
          <cell r="J850" t="str">
            <v>bueno</v>
          </cell>
          <cell r="K850" t="str">
            <v>defsi</v>
          </cell>
        </row>
        <row r="851">
          <cell r="B851" t="b">
            <v>1</v>
          </cell>
          <cell r="E851" t="str">
            <v>Los Cerros</v>
          </cell>
          <cell r="H851" t="str">
            <v>consulta_externa</v>
          </cell>
          <cell r="J851" t="str">
            <v>bueno</v>
          </cell>
          <cell r="K851" t="str">
            <v>defsi</v>
          </cell>
        </row>
        <row r="852">
          <cell r="B852" t="b">
            <v>1</v>
          </cell>
          <cell r="E852" t="str">
            <v>Canapote</v>
          </cell>
          <cell r="H852" t="str">
            <v>consulta_externa</v>
          </cell>
          <cell r="J852" t="str">
            <v>bueno</v>
          </cell>
          <cell r="K852" t="str">
            <v>probsi</v>
          </cell>
        </row>
        <row r="853">
          <cell r="B853" t="b">
            <v>1</v>
          </cell>
          <cell r="E853" t="str">
            <v>Los Cerros</v>
          </cell>
          <cell r="H853" t="str">
            <v>consulta_externa</v>
          </cell>
          <cell r="J853" t="str">
            <v>bueno</v>
          </cell>
          <cell r="K853" t="str">
            <v>defsi</v>
          </cell>
        </row>
        <row r="854">
          <cell r="B854" t="b">
            <v>1</v>
          </cell>
          <cell r="E854" t="str">
            <v>Los Cerros</v>
          </cell>
          <cell r="H854" t="str">
            <v>consulta_externa</v>
          </cell>
          <cell r="J854" t="str">
            <v>bueno</v>
          </cell>
          <cell r="K854" t="str">
            <v>defsi</v>
          </cell>
        </row>
        <row r="855">
          <cell r="B855" t="b">
            <v>1</v>
          </cell>
          <cell r="E855" t="str">
            <v>Canapote</v>
          </cell>
          <cell r="H855" t="str">
            <v>consulta_externa</v>
          </cell>
          <cell r="J855" t="str">
            <v>bueno</v>
          </cell>
          <cell r="K855" t="str">
            <v>probsi</v>
          </cell>
        </row>
        <row r="856">
          <cell r="B856" t="b">
            <v>1</v>
          </cell>
          <cell r="E856" t="str">
            <v>Canapote</v>
          </cell>
          <cell r="H856" t="str">
            <v>salud_oral</v>
          </cell>
          <cell r="J856" t="str">
            <v>bueno</v>
          </cell>
          <cell r="K856" t="str">
            <v>probsi</v>
          </cell>
        </row>
        <row r="857">
          <cell r="B857" t="b">
            <v>1</v>
          </cell>
          <cell r="E857" t="str">
            <v>Canapote</v>
          </cell>
          <cell r="H857" t="str">
            <v>laboratorio</v>
          </cell>
          <cell r="J857" t="str">
            <v>bueno</v>
          </cell>
          <cell r="K857" t="str">
            <v>probsi</v>
          </cell>
        </row>
        <row r="858">
          <cell r="B858" t="b">
            <v>1</v>
          </cell>
          <cell r="E858" t="str">
            <v>Canapote</v>
          </cell>
          <cell r="H858" t="str">
            <v>consulta_externa</v>
          </cell>
          <cell r="J858" t="str">
            <v>bueno</v>
          </cell>
          <cell r="K858" t="str">
            <v>probsi</v>
          </cell>
        </row>
        <row r="859">
          <cell r="B859" t="b">
            <v>1</v>
          </cell>
          <cell r="E859" t="str">
            <v>Fredonia</v>
          </cell>
          <cell r="H859" t="str">
            <v>consulta_externa</v>
          </cell>
          <cell r="J859" t="str">
            <v>bueno</v>
          </cell>
          <cell r="K859" t="str">
            <v>probsi</v>
          </cell>
        </row>
        <row r="860">
          <cell r="B860" t="b">
            <v>1</v>
          </cell>
          <cell r="E860" t="str">
            <v>Fredonia</v>
          </cell>
          <cell r="H860" t="str">
            <v>consulta_externa</v>
          </cell>
          <cell r="J860" t="str">
            <v>bueno</v>
          </cell>
          <cell r="K860" t="str">
            <v>probsi</v>
          </cell>
        </row>
        <row r="861">
          <cell r="B861" t="b">
            <v>1</v>
          </cell>
          <cell r="E861" t="str">
            <v>Fredonia</v>
          </cell>
          <cell r="H861" t="str">
            <v>consulta_externa</v>
          </cell>
          <cell r="J861" t="str">
            <v>bueno</v>
          </cell>
          <cell r="K861" t="str">
            <v>probsi</v>
          </cell>
        </row>
        <row r="862">
          <cell r="B862" t="b">
            <v>1</v>
          </cell>
          <cell r="E862" t="str">
            <v>Fredonia</v>
          </cell>
          <cell r="H862" t="str">
            <v>consulta_externa</v>
          </cell>
          <cell r="J862" t="str">
            <v>bueno</v>
          </cell>
          <cell r="K862" t="str">
            <v>probsi</v>
          </cell>
        </row>
        <row r="863">
          <cell r="B863" t="b">
            <v>1</v>
          </cell>
          <cell r="E863" t="str">
            <v>Fredonia</v>
          </cell>
          <cell r="H863" t="str">
            <v>consulta_externa</v>
          </cell>
          <cell r="J863" t="str">
            <v>bueno</v>
          </cell>
          <cell r="K863" t="str">
            <v>probsi</v>
          </cell>
        </row>
        <row r="864">
          <cell r="B864" t="b">
            <v>1</v>
          </cell>
          <cell r="E864" t="str">
            <v>Canapote</v>
          </cell>
          <cell r="H864" t="str">
            <v>consulta_externa</v>
          </cell>
          <cell r="J864" t="str">
            <v>bueno</v>
          </cell>
          <cell r="K864" t="str">
            <v>probsi</v>
          </cell>
        </row>
        <row r="865">
          <cell r="B865" t="b">
            <v>1</v>
          </cell>
          <cell r="E865" t="str">
            <v>Fredonia</v>
          </cell>
          <cell r="H865" t="str">
            <v>consulta_externa</v>
          </cell>
          <cell r="J865" t="str">
            <v>bueno</v>
          </cell>
          <cell r="K865" t="str">
            <v>probsi</v>
          </cell>
        </row>
        <row r="866">
          <cell r="B866" t="b">
            <v>1</v>
          </cell>
          <cell r="E866" t="str">
            <v>Fredonia</v>
          </cell>
          <cell r="H866" t="str">
            <v>consulta_externa</v>
          </cell>
          <cell r="J866" t="str">
            <v>bueno</v>
          </cell>
          <cell r="K866" t="str">
            <v>probsi</v>
          </cell>
        </row>
        <row r="867">
          <cell r="B867" t="b">
            <v>1</v>
          </cell>
          <cell r="E867" t="str">
            <v>Fredonia</v>
          </cell>
          <cell r="H867" t="str">
            <v>consulta_externa</v>
          </cell>
          <cell r="J867" t="str">
            <v>bueno</v>
          </cell>
          <cell r="K867" t="str">
            <v>probsi</v>
          </cell>
        </row>
        <row r="868">
          <cell r="B868" t="b">
            <v>1</v>
          </cell>
          <cell r="E868" t="str">
            <v>Fredonia</v>
          </cell>
          <cell r="H868" t="str">
            <v>consulta_externa</v>
          </cell>
          <cell r="J868" t="str">
            <v>bueno</v>
          </cell>
          <cell r="K868" t="str">
            <v>probsi</v>
          </cell>
        </row>
        <row r="869">
          <cell r="B869" t="b">
            <v>1</v>
          </cell>
          <cell r="E869" t="str">
            <v>Fredonia</v>
          </cell>
          <cell r="H869" t="str">
            <v>consulta_externa</v>
          </cell>
          <cell r="J869" t="str">
            <v>bueno</v>
          </cell>
          <cell r="K869" t="str">
            <v>probsi</v>
          </cell>
        </row>
        <row r="870">
          <cell r="B870" t="b">
            <v>1</v>
          </cell>
          <cell r="E870" t="str">
            <v>Arroz Barato</v>
          </cell>
          <cell r="H870" t="str">
            <v>consulta_externa</v>
          </cell>
          <cell r="J870" t="str">
            <v>bueno</v>
          </cell>
          <cell r="K870" t="str">
            <v>defsi</v>
          </cell>
        </row>
        <row r="871">
          <cell r="B871" t="b">
            <v>1</v>
          </cell>
          <cell r="E871" t="str">
            <v>Fredonia</v>
          </cell>
          <cell r="H871" t="str">
            <v>laboratorio</v>
          </cell>
          <cell r="J871" t="str">
            <v>bueno</v>
          </cell>
          <cell r="K871" t="str">
            <v>probsi</v>
          </cell>
        </row>
        <row r="872">
          <cell r="B872" t="b">
            <v>1</v>
          </cell>
          <cell r="E872" t="str">
            <v>Fredonia</v>
          </cell>
          <cell r="H872" t="str">
            <v>laboratorio</v>
          </cell>
          <cell r="J872" t="str">
            <v>bueno</v>
          </cell>
          <cell r="K872" t="str">
            <v>probsi</v>
          </cell>
        </row>
        <row r="873">
          <cell r="B873" t="b">
            <v>1</v>
          </cell>
          <cell r="E873" t="str">
            <v>Fredonia</v>
          </cell>
          <cell r="H873" t="str">
            <v>salud_oral</v>
          </cell>
          <cell r="J873" t="str">
            <v>bueno</v>
          </cell>
          <cell r="K873" t="str">
            <v>probsi</v>
          </cell>
        </row>
        <row r="874">
          <cell r="B874" t="b">
            <v>1</v>
          </cell>
          <cell r="E874" t="str">
            <v>Fredonia</v>
          </cell>
          <cell r="H874" t="str">
            <v>salud_oral</v>
          </cell>
          <cell r="J874" t="str">
            <v>bueno</v>
          </cell>
          <cell r="K874" t="str">
            <v>probsi</v>
          </cell>
        </row>
        <row r="875">
          <cell r="B875" t="b">
            <v>1</v>
          </cell>
          <cell r="E875" t="str">
            <v>Arroz Barato</v>
          </cell>
          <cell r="H875" t="str">
            <v>salud_oral</v>
          </cell>
          <cell r="J875" t="str">
            <v>bueno</v>
          </cell>
          <cell r="K875" t="str">
            <v>defsi</v>
          </cell>
        </row>
        <row r="876">
          <cell r="B876" t="b">
            <v>1</v>
          </cell>
          <cell r="E876" t="str">
            <v>Canapote</v>
          </cell>
          <cell r="H876" t="str">
            <v>consulta_externa</v>
          </cell>
          <cell r="J876" t="str">
            <v>bueno</v>
          </cell>
          <cell r="K876" t="str">
            <v>probsi</v>
          </cell>
        </row>
        <row r="877">
          <cell r="B877" t="b">
            <v>1</v>
          </cell>
          <cell r="E877" t="str">
            <v>Arroz Barato</v>
          </cell>
          <cell r="H877" t="str">
            <v>laboratorio</v>
          </cell>
          <cell r="J877" t="str">
            <v>bueno</v>
          </cell>
          <cell r="K877" t="str">
            <v>defsi</v>
          </cell>
        </row>
        <row r="878">
          <cell r="B878" t="b">
            <v>1</v>
          </cell>
          <cell r="E878" t="str">
            <v>Canapote</v>
          </cell>
          <cell r="H878" t="str">
            <v>salud_oral</v>
          </cell>
          <cell r="J878" t="str">
            <v>bueno</v>
          </cell>
          <cell r="K878" t="str">
            <v>probsi</v>
          </cell>
        </row>
        <row r="879">
          <cell r="B879" t="b">
            <v>1</v>
          </cell>
          <cell r="E879" t="str">
            <v>Arroz Barato</v>
          </cell>
          <cell r="H879" t="str">
            <v>urgencia</v>
          </cell>
          <cell r="J879" t="str">
            <v>bueno</v>
          </cell>
          <cell r="K879" t="str">
            <v>defsi</v>
          </cell>
        </row>
        <row r="880">
          <cell r="B880" t="b">
            <v>1</v>
          </cell>
          <cell r="E880" t="str">
            <v>Canapote</v>
          </cell>
          <cell r="H880" t="str">
            <v>laboratorio</v>
          </cell>
          <cell r="J880" t="str">
            <v>bueno</v>
          </cell>
          <cell r="K880" t="str">
            <v>probsi</v>
          </cell>
        </row>
        <row r="881">
          <cell r="B881" t="b">
            <v>1</v>
          </cell>
          <cell r="E881" t="str">
            <v>Fredonia</v>
          </cell>
          <cell r="H881" t="str">
            <v>consulta_externa</v>
          </cell>
          <cell r="J881" t="str">
            <v>bueno</v>
          </cell>
          <cell r="K881" t="str">
            <v>probsi</v>
          </cell>
        </row>
        <row r="882">
          <cell r="B882" t="b">
            <v>1</v>
          </cell>
          <cell r="E882" t="str">
            <v>Canapote</v>
          </cell>
          <cell r="H882" t="str">
            <v>laboratorio</v>
          </cell>
          <cell r="J882" t="str">
            <v>bueno</v>
          </cell>
          <cell r="K882" t="str">
            <v>probsi</v>
          </cell>
        </row>
        <row r="883">
          <cell r="B883" t="b">
            <v>1</v>
          </cell>
          <cell r="E883" t="str">
            <v>Arroz Barato</v>
          </cell>
          <cell r="H883" t="str">
            <v>ecografias</v>
          </cell>
          <cell r="J883" t="str">
            <v>bueno</v>
          </cell>
          <cell r="K883" t="str">
            <v>defsi</v>
          </cell>
        </row>
        <row r="884">
          <cell r="B884" t="b">
            <v>1</v>
          </cell>
          <cell r="E884" t="str">
            <v>Arroz Barato</v>
          </cell>
          <cell r="H884" t="str">
            <v>consulta_externa</v>
          </cell>
          <cell r="J884" t="str">
            <v>bueno</v>
          </cell>
          <cell r="K884" t="str">
            <v>defsi</v>
          </cell>
        </row>
        <row r="885">
          <cell r="B885" t="b">
            <v>1</v>
          </cell>
          <cell r="E885" t="str">
            <v>Fredonia</v>
          </cell>
          <cell r="H885" t="str">
            <v>consulta_externa</v>
          </cell>
          <cell r="J885" t="str">
            <v>bueno</v>
          </cell>
          <cell r="K885" t="str">
            <v>probsi</v>
          </cell>
        </row>
        <row r="886">
          <cell r="B886" t="b">
            <v>1</v>
          </cell>
          <cell r="E886" t="str">
            <v>Arroz Barato</v>
          </cell>
          <cell r="H886" t="str">
            <v>salud_oral</v>
          </cell>
          <cell r="J886" t="str">
            <v>bueno</v>
          </cell>
          <cell r="K886" t="str">
            <v>defsi</v>
          </cell>
        </row>
        <row r="887">
          <cell r="B887" t="b">
            <v>1</v>
          </cell>
          <cell r="E887" t="str">
            <v>Arroz Barato</v>
          </cell>
          <cell r="H887" t="str">
            <v>laboratorio</v>
          </cell>
          <cell r="J887" t="str">
            <v>bueno</v>
          </cell>
          <cell r="K887" t="str">
            <v>defsi</v>
          </cell>
        </row>
        <row r="888">
          <cell r="B888" t="b">
            <v>1</v>
          </cell>
          <cell r="E888" t="str">
            <v>Arroz Barato</v>
          </cell>
          <cell r="H888" t="str">
            <v>urgencia</v>
          </cell>
          <cell r="J888" t="str">
            <v>bueno</v>
          </cell>
          <cell r="K888" t="str">
            <v>defsi</v>
          </cell>
        </row>
        <row r="889">
          <cell r="B889" t="b">
            <v>1</v>
          </cell>
          <cell r="E889" t="str">
            <v>Arroz Barato</v>
          </cell>
          <cell r="H889" t="str">
            <v>ecografias</v>
          </cell>
          <cell r="J889" t="str">
            <v>bueno</v>
          </cell>
          <cell r="K889" t="str">
            <v>defsi</v>
          </cell>
        </row>
        <row r="890">
          <cell r="B890" t="b">
            <v>1</v>
          </cell>
          <cell r="E890" t="str">
            <v>Canapote</v>
          </cell>
          <cell r="H890" t="str">
            <v>consulta_externa</v>
          </cell>
          <cell r="J890" t="str">
            <v>bueno</v>
          </cell>
          <cell r="K890" t="str">
            <v>probsi</v>
          </cell>
        </row>
        <row r="891">
          <cell r="B891" t="b">
            <v>1</v>
          </cell>
          <cell r="E891" t="str">
            <v>Canapote</v>
          </cell>
          <cell r="H891" t="str">
            <v>consulta_externa</v>
          </cell>
          <cell r="J891" t="str">
            <v>bueno</v>
          </cell>
          <cell r="K891" t="str">
            <v>probsi</v>
          </cell>
        </row>
        <row r="892">
          <cell r="B892" t="b">
            <v>1</v>
          </cell>
          <cell r="E892" t="str">
            <v>Canapote</v>
          </cell>
          <cell r="H892" t="str">
            <v>salud_oral</v>
          </cell>
          <cell r="J892" t="str">
            <v>bueno</v>
          </cell>
          <cell r="K892" t="str">
            <v>probsi</v>
          </cell>
        </row>
        <row r="893">
          <cell r="B893" t="b">
            <v>1</v>
          </cell>
          <cell r="E893" t="str">
            <v>Canapote</v>
          </cell>
          <cell r="H893" t="str">
            <v>laboratorio</v>
          </cell>
          <cell r="J893" t="str">
            <v>bueno</v>
          </cell>
          <cell r="K893" t="str">
            <v>probsi</v>
          </cell>
        </row>
        <row r="894">
          <cell r="B894" t="b">
            <v>1</v>
          </cell>
          <cell r="E894" t="str">
            <v>Fredonia</v>
          </cell>
          <cell r="H894" t="str">
            <v>salud_oral</v>
          </cell>
          <cell r="J894" t="str">
            <v>bueno</v>
          </cell>
          <cell r="K894" t="str">
            <v>probsi</v>
          </cell>
        </row>
        <row r="895">
          <cell r="B895" t="b">
            <v>1</v>
          </cell>
          <cell r="E895" t="str">
            <v>Canapote</v>
          </cell>
          <cell r="H895" t="str">
            <v>salud_oral</v>
          </cell>
          <cell r="J895" t="str">
            <v>bueno</v>
          </cell>
          <cell r="K895" t="str">
            <v>probsi</v>
          </cell>
        </row>
        <row r="896">
          <cell r="B896" t="b">
            <v>1</v>
          </cell>
          <cell r="E896" t="str">
            <v>Canapote</v>
          </cell>
          <cell r="H896" t="str">
            <v>laboratorio</v>
          </cell>
          <cell r="J896" t="str">
            <v>bueno</v>
          </cell>
          <cell r="K896" t="str">
            <v>probsi</v>
          </cell>
        </row>
        <row r="897">
          <cell r="B897" t="b">
            <v>1</v>
          </cell>
          <cell r="E897" t="str">
            <v>Canapote</v>
          </cell>
          <cell r="H897" t="str">
            <v>laboratorio</v>
          </cell>
          <cell r="J897" t="str">
            <v>bueno</v>
          </cell>
          <cell r="K897" t="str">
            <v>probsi</v>
          </cell>
        </row>
        <row r="898">
          <cell r="B898" t="b">
            <v>1</v>
          </cell>
          <cell r="E898" t="str">
            <v>Canapote</v>
          </cell>
          <cell r="H898" t="str">
            <v>consulta_externa</v>
          </cell>
          <cell r="J898" t="str">
            <v>bueno</v>
          </cell>
          <cell r="K898" t="str">
            <v>probsi</v>
          </cell>
        </row>
        <row r="899">
          <cell r="B899" t="b">
            <v>1</v>
          </cell>
          <cell r="E899" t="str">
            <v>Canapote</v>
          </cell>
          <cell r="H899" t="str">
            <v>salud_oral</v>
          </cell>
          <cell r="J899" t="str">
            <v>bueno</v>
          </cell>
          <cell r="K899" t="str">
            <v>probsi</v>
          </cell>
        </row>
        <row r="900">
          <cell r="B900" t="b">
            <v>1</v>
          </cell>
          <cell r="E900" t="str">
            <v>Canapote</v>
          </cell>
          <cell r="H900" t="str">
            <v>laboratorio</v>
          </cell>
          <cell r="J900" t="str">
            <v>bueno</v>
          </cell>
          <cell r="K900" t="str">
            <v>probsi</v>
          </cell>
        </row>
        <row r="901">
          <cell r="B901" t="b">
            <v>1</v>
          </cell>
          <cell r="E901" t="str">
            <v>Arroz Barato</v>
          </cell>
          <cell r="H901" t="str">
            <v>consulta_externa</v>
          </cell>
          <cell r="J901" t="str">
            <v>bueno</v>
          </cell>
          <cell r="K901" t="str">
            <v>defsi</v>
          </cell>
        </row>
        <row r="902">
          <cell r="B902" t="b">
            <v>1</v>
          </cell>
          <cell r="E902" t="str">
            <v>Arroz Barato</v>
          </cell>
          <cell r="H902" t="str">
            <v>salud_oral</v>
          </cell>
          <cell r="J902" t="str">
            <v>bueno</v>
          </cell>
          <cell r="K902" t="str">
            <v>defsi</v>
          </cell>
        </row>
        <row r="903">
          <cell r="B903" t="b">
            <v>1</v>
          </cell>
          <cell r="E903" t="str">
            <v>Arroz Barato</v>
          </cell>
          <cell r="H903" t="str">
            <v>laboratorio</v>
          </cell>
          <cell r="J903" t="str">
            <v>bueno</v>
          </cell>
          <cell r="K903" t="str">
            <v>defsi</v>
          </cell>
        </row>
        <row r="904">
          <cell r="B904" t="b">
            <v>1</v>
          </cell>
          <cell r="E904" t="str">
            <v>Arroz Barato</v>
          </cell>
          <cell r="H904" t="str">
            <v>urgencia</v>
          </cell>
          <cell r="J904" t="str">
            <v>bueno</v>
          </cell>
          <cell r="K904" t="str">
            <v>defsi</v>
          </cell>
        </row>
        <row r="905">
          <cell r="B905" t="b">
            <v>1</v>
          </cell>
          <cell r="E905" t="str">
            <v>Arroz Barato</v>
          </cell>
          <cell r="H905" t="str">
            <v>ecografias</v>
          </cell>
          <cell r="J905" t="str">
            <v>bueno</v>
          </cell>
          <cell r="K905" t="str">
            <v>defsi</v>
          </cell>
        </row>
        <row r="906">
          <cell r="B906" t="b">
            <v>1</v>
          </cell>
          <cell r="E906" t="str">
            <v>Arroz Barato</v>
          </cell>
          <cell r="H906" t="str">
            <v>consulta_externa</v>
          </cell>
          <cell r="J906" t="str">
            <v>bueno</v>
          </cell>
          <cell r="K906" t="str">
            <v>defsi</v>
          </cell>
        </row>
        <row r="907">
          <cell r="B907" t="b">
            <v>1</v>
          </cell>
          <cell r="E907" t="str">
            <v>Arroz Barato</v>
          </cell>
          <cell r="H907" t="str">
            <v>salud_oral</v>
          </cell>
          <cell r="J907" t="str">
            <v>bueno</v>
          </cell>
          <cell r="K907" t="str">
            <v>defsi</v>
          </cell>
        </row>
        <row r="908">
          <cell r="B908" t="b">
            <v>1</v>
          </cell>
          <cell r="E908" t="str">
            <v>Arroz Barato</v>
          </cell>
          <cell r="H908" t="str">
            <v>laboratorio</v>
          </cell>
          <cell r="J908" t="str">
            <v>bueno</v>
          </cell>
          <cell r="K908" t="str">
            <v>defsi</v>
          </cell>
        </row>
        <row r="909">
          <cell r="B909" t="b">
            <v>1</v>
          </cell>
          <cell r="E909" t="str">
            <v>Arroz Barato</v>
          </cell>
          <cell r="H909" t="str">
            <v>urgencia</v>
          </cell>
          <cell r="J909" t="str">
            <v>bueno</v>
          </cell>
          <cell r="K909" t="str">
            <v>defsi</v>
          </cell>
        </row>
        <row r="910">
          <cell r="B910" t="b">
            <v>1</v>
          </cell>
          <cell r="E910" t="str">
            <v>Arroz Barato</v>
          </cell>
          <cell r="H910" t="str">
            <v>ecografias</v>
          </cell>
          <cell r="J910" t="str">
            <v>bueno</v>
          </cell>
          <cell r="K910" t="str">
            <v>defsi</v>
          </cell>
        </row>
        <row r="911">
          <cell r="B911" t="b">
            <v>1</v>
          </cell>
          <cell r="E911" t="str">
            <v>Arroz Barato</v>
          </cell>
          <cell r="H911" t="str">
            <v>consulta_externa</v>
          </cell>
          <cell r="J911" t="str">
            <v>bueno</v>
          </cell>
          <cell r="K911" t="str">
            <v>defsi</v>
          </cell>
        </row>
        <row r="912">
          <cell r="B912" t="b">
            <v>1</v>
          </cell>
          <cell r="E912" t="str">
            <v>Arroz Barato</v>
          </cell>
          <cell r="H912" t="str">
            <v>salud_oral</v>
          </cell>
          <cell r="J912" t="str">
            <v>bueno</v>
          </cell>
          <cell r="K912" t="str">
            <v>defsi</v>
          </cell>
        </row>
        <row r="913">
          <cell r="B913" t="b">
            <v>1</v>
          </cell>
          <cell r="E913" t="str">
            <v>Arroz Barato</v>
          </cell>
          <cell r="H913" t="str">
            <v>laboratorio</v>
          </cell>
          <cell r="J913" t="str">
            <v>bueno</v>
          </cell>
          <cell r="K913" t="str">
            <v>defsi</v>
          </cell>
        </row>
        <row r="914">
          <cell r="B914" t="b">
            <v>1</v>
          </cell>
          <cell r="E914" t="str">
            <v>Arroz Barato</v>
          </cell>
          <cell r="H914" t="str">
            <v>urgencia</v>
          </cell>
          <cell r="J914" t="str">
            <v>bueno</v>
          </cell>
          <cell r="K914" t="str">
            <v>defsi</v>
          </cell>
        </row>
        <row r="915">
          <cell r="B915" t="b">
            <v>1</v>
          </cell>
          <cell r="E915" t="str">
            <v>Fredonia</v>
          </cell>
          <cell r="H915" t="str">
            <v>consulta_externa</v>
          </cell>
          <cell r="J915" t="str">
            <v>bueno</v>
          </cell>
          <cell r="K915" t="str">
            <v>probsi</v>
          </cell>
        </row>
        <row r="916">
          <cell r="B916" t="b">
            <v>1</v>
          </cell>
          <cell r="E916" t="str">
            <v>Fredonia</v>
          </cell>
          <cell r="H916" t="str">
            <v>consulta_externa</v>
          </cell>
          <cell r="J916" t="str">
            <v>bueno</v>
          </cell>
          <cell r="K916" t="str">
            <v>probsi</v>
          </cell>
        </row>
        <row r="917">
          <cell r="B917" t="b">
            <v>1</v>
          </cell>
          <cell r="E917" t="str">
            <v>Fredonia</v>
          </cell>
          <cell r="H917" t="str">
            <v>consulta_externa</v>
          </cell>
          <cell r="J917" t="str">
            <v>bueno</v>
          </cell>
          <cell r="K917" t="str">
            <v>probsi</v>
          </cell>
        </row>
        <row r="918">
          <cell r="B918" t="b">
            <v>1</v>
          </cell>
          <cell r="E918" t="str">
            <v>Fredonia</v>
          </cell>
          <cell r="H918" t="str">
            <v>consulta_externa</v>
          </cell>
          <cell r="J918" t="str">
            <v>bueno</v>
          </cell>
          <cell r="K918" t="str">
            <v>probsi</v>
          </cell>
        </row>
        <row r="919">
          <cell r="B919" t="b">
            <v>1</v>
          </cell>
          <cell r="E919" t="str">
            <v>Fredonia</v>
          </cell>
          <cell r="H919" t="str">
            <v>consulta_externa</v>
          </cell>
          <cell r="J919" t="str">
            <v>bueno</v>
          </cell>
          <cell r="K919" t="str">
            <v>probsi</v>
          </cell>
        </row>
        <row r="920">
          <cell r="B920" t="b">
            <v>1</v>
          </cell>
          <cell r="E920" t="str">
            <v>Fredonia</v>
          </cell>
          <cell r="H920" t="str">
            <v>consulta_externa</v>
          </cell>
          <cell r="J920" t="str">
            <v>bueno</v>
          </cell>
          <cell r="K920" t="str">
            <v>probsi</v>
          </cell>
        </row>
        <row r="921">
          <cell r="B921" t="b">
            <v>1</v>
          </cell>
          <cell r="E921" t="str">
            <v>Fredonia</v>
          </cell>
          <cell r="H921" t="str">
            <v>consulta_externa</v>
          </cell>
          <cell r="J921" t="str">
            <v>bueno</v>
          </cell>
          <cell r="K921" t="str">
            <v>probsi</v>
          </cell>
        </row>
        <row r="922">
          <cell r="B922" t="b">
            <v>1</v>
          </cell>
          <cell r="E922" t="str">
            <v>Fredonia</v>
          </cell>
          <cell r="H922" t="str">
            <v>laboratorio</v>
          </cell>
          <cell r="J922" t="str">
            <v>bueno</v>
          </cell>
          <cell r="K922" t="str">
            <v>probsi</v>
          </cell>
        </row>
        <row r="923">
          <cell r="B923" t="b">
            <v>1</v>
          </cell>
          <cell r="E923" t="str">
            <v>Fredonia</v>
          </cell>
          <cell r="H923" t="str">
            <v>laboratorio</v>
          </cell>
          <cell r="J923" t="str">
            <v>bueno</v>
          </cell>
          <cell r="K923" t="str">
            <v>probsi</v>
          </cell>
        </row>
        <row r="924">
          <cell r="B924" t="b">
            <v>1</v>
          </cell>
          <cell r="E924" t="str">
            <v>Fredonia</v>
          </cell>
          <cell r="H924" t="str">
            <v>laboratorio</v>
          </cell>
          <cell r="J924" t="str">
            <v>bueno</v>
          </cell>
          <cell r="K924" t="str">
            <v>probsi</v>
          </cell>
        </row>
        <row r="925">
          <cell r="B925" t="b">
            <v>1</v>
          </cell>
          <cell r="E925" t="str">
            <v>Fredonia</v>
          </cell>
          <cell r="H925" t="str">
            <v>salud_oral</v>
          </cell>
          <cell r="J925" t="str">
            <v>bueno</v>
          </cell>
          <cell r="K925" t="str">
            <v>probsi</v>
          </cell>
        </row>
        <row r="926">
          <cell r="B926" t="b">
            <v>1</v>
          </cell>
          <cell r="E926" t="str">
            <v>Fredonia</v>
          </cell>
          <cell r="H926" t="str">
            <v>salud_oral</v>
          </cell>
          <cell r="J926" t="str">
            <v>bueno</v>
          </cell>
          <cell r="K926" t="str">
            <v>probsi</v>
          </cell>
        </row>
        <row r="927">
          <cell r="B927" t="b">
            <v>1</v>
          </cell>
          <cell r="E927" t="str">
            <v>Canapote</v>
          </cell>
          <cell r="H927" t="str">
            <v>salud_oral</v>
          </cell>
          <cell r="J927" t="str">
            <v>bueno</v>
          </cell>
          <cell r="K927" t="str">
            <v>probsi</v>
          </cell>
        </row>
        <row r="928">
          <cell r="B928" t="b">
            <v>1</v>
          </cell>
          <cell r="E928" t="str">
            <v>Arroz Barato</v>
          </cell>
          <cell r="H928" t="str">
            <v>consulta_externa</v>
          </cell>
          <cell r="J928" t="str">
            <v>bueno</v>
          </cell>
          <cell r="K928" t="str">
            <v>defsi</v>
          </cell>
        </row>
        <row r="929">
          <cell r="B929" t="b">
            <v>1</v>
          </cell>
          <cell r="E929" t="str">
            <v>Fredonia</v>
          </cell>
          <cell r="H929" t="str">
            <v>salud_oral</v>
          </cell>
          <cell r="J929" t="str">
            <v>bueno</v>
          </cell>
          <cell r="K929" t="str">
            <v>probsi</v>
          </cell>
        </row>
        <row r="930">
          <cell r="B930" t="b">
            <v>1</v>
          </cell>
          <cell r="E930" t="str">
            <v>Fredonia</v>
          </cell>
          <cell r="H930" t="str">
            <v>salud_oral</v>
          </cell>
          <cell r="J930" t="str">
            <v>bueno</v>
          </cell>
          <cell r="K930" t="str">
            <v>probsi</v>
          </cell>
        </row>
        <row r="931">
          <cell r="B931" t="b">
            <v>1</v>
          </cell>
          <cell r="E931" t="str">
            <v>Fredonia</v>
          </cell>
          <cell r="H931" t="str">
            <v>salud_oral</v>
          </cell>
          <cell r="J931" t="str">
            <v>bueno</v>
          </cell>
          <cell r="K931" t="str">
            <v>probsi</v>
          </cell>
        </row>
        <row r="932">
          <cell r="B932" t="b">
            <v>1</v>
          </cell>
          <cell r="E932" t="str">
            <v>Fredonia</v>
          </cell>
          <cell r="H932" t="str">
            <v>salud_oral</v>
          </cell>
          <cell r="J932" t="str">
            <v>bueno</v>
          </cell>
          <cell r="K932" t="str">
            <v>probsi</v>
          </cell>
        </row>
        <row r="933">
          <cell r="B933" t="b">
            <v>1</v>
          </cell>
          <cell r="E933" t="str">
            <v>Fredonia</v>
          </cell>
          <cell r="H933" t="str">
            <v>salud_oral</v>
          </cell>
          <cell r="J933" t="str">
            <v>bueno</v>
          </cell>
          <cell r="K933" t="str">
            <v>probsi</v>
          </cell>
        </row>
        <row r="934">
          <cell r="B934" t="b">
            <v>1</v>
          </cell>
          <cell r="E934" t="str">
            <v>Arroz Barato</v>
          </cell>
          <cell r="H934" t="str">
            <v>salud_oral</v>
          </cell>
          <cell r="J934" t="str">
            <v>bueno</v>
          </cell>
          <cell r="K934" t="str">
            <v>defsi</v>
          </cell>
        </row>
        <row r="935">
          <cell r="B935" t="b">
            <v>1</v>
          </cell>
          <cell r="E935" t="str">
            <v>Arroz Barato</v>
          </cell>
          <cell r="H935" t="str">
            <v>laboratorio</v>
          </cell>
          <cell r="J935" t="str">
            <v>bueno</v>
          </cell>
          <cell r="K935" t="str">
            <v>defsi</v>
          </cell>
        </row>
        <row r="936">
          <cell r="B936" t="b">
            <v>1</v>
          </cell>
          <cell r="E936" t="str">
            <v>Arroz Barato</v>
          </cell>
          <cell r="H936" t="str">
            <v>urgencia</v>
          </cell>
          <cell r="J936" t="str">
            <v>bueno</v>
          </cell>
          <cell r="K936" t="str">
            <v>defsi</v>
          </cell>
        </row>
        <row r="937">
          <cell r="B937" t="b">
            <v>1</v>
          </cell>
          <cell r="E937" t="str">
            <v>Arroz Barato</v>
          </cell>
          <cell r="H937" t="str">
            <v>consulta_externa</v>
          </cell>
          <cell r="J937" t="str">
            <v>bueno</v>
          </cell>
          <cell r="K937" t="str">
            <v>defsi</v>
          </cell>
        </row>
        <row r="938">
          <cell r="B938" t="b">
            <v>1</v>
          </cell>
          <cell r="E938" t="str">
            <v>Arroz Barato</v>
          </cell>
          <cell r="H938" t="str">
            <v>salud_oral</v>
          </cell>
          <cell r="J938" t="str">
            <v>bueno</v>
          </cell>
          <cell r="K938" t="str">
            <v>defsi</v>
          </cell>
        </row>
        <row r="939">
          <cell r="B939" t="b">
            <v>1</v>
          </cell>
          <cell r="E939" t="str">
            <v>Los Cerros</v>
          </cell>
          <cell r="H939" t="str">
            <v>salud_oral</v>
          </cell>
          <cell r="J939" t="str">
            <v>bueno</v>
          </cell>
          <cell r="K939" t="str">
            <v>defsi</v>
          </cell>
        </row>
        <row r="940">
          <cell r="B940" t="b">
            <v>1</v>
          </cell>
          <cell r="E940" t="str">
            <v>Los Cerros</v>
          </cell>
          <cell r="H940" t="str">
            <v>salud_oral</v>
          </cell>
          <cell r="J940" t="str">
            <v>bueno</v>
          </cell>
          <cell r="K940" t="str">
            <v>defsi</v>
          </cell>
        </row>
        <row r="941">
          <cell r="B941" t="b">
            <v>1</v>
          </cell>
          <cell r="E941" t="str">
            <v>Los Cerros</v>
          </cell>
          <cell r="H941" t="str">
            <v>salud_oral</v>
          </cell>
          <cell r="J941" t="str">
            <v>bueno</v>
          </cell>
          <cell r="K941" t="str">
            <v>defsi</v>
          </cell>
        </row>
        <row r="942">
          <cell r="B942" t="b">
            <v>1</v>
          </cell>
          <cell r="E942" t="str">
            <v>Los Cerros</v>
          </cell>
          <cell r="H942" t="str">
            <v>pediatria</v>
          </cell>
          <cell r="J942" t="str">
            <v>bueno</v>
          </cell>
          <cell r="K942" t="str">
            <v>defsi</v>
          </cell>
        </row>
        <row r="943">
          <cell r="B943" t="b">
            <v>1</v>
          </cell>
          <cell r="E943" t="str">
            <v>Los Cerros</v>
          </cell>
          <cell r="H943" t="str">
            <v>pediatria</v>
          </cell>
          <cell r="J943" t="str">
            <v>bueno</v>
          </cell>
          <cell r="K943" t="str">
            <v>defsi</v>
          </cell>
        </row>
        <row r="944">
          <cell r="B944" t="b">
            <v>1</v>
          </cell>
          <cell r="E944" t="str">
            <v>Los Cerros</v>
          </cell>
          <cell r="H944" t="str">
            <v>consulta_externa</v>
          </cell>
          <cell r="J944" t="str">
            <v>bueno</v>
          </cell>
          <cell r="K944" t="str">
            <v>defsi</v>
          </cell>
        </row>
        <row r="945">
          <cell r="B945" t="b">
            <v>1</v>
          </cell>
          <cell r="E945" t="str">
            <v>Los Cerros</v>
          </cell>
          <cell r="H945" t="str">
            <v>salud_oral</v>
          </cell>
          <cell r="J945" t="str">
            <v>bueno</v>
          </cell>
          <cell r="K945" t="str">
            <v>defsi</v>
          </cell>
        </row>
        <row r="946">
          <cell r="B946" t="b">
            <v>1</v>
          </cell>
          <cell r="E946" t="str">
            <v>Los Cerros</v>
          </cell>
          <cell r="H946" t="str">
            <v>salud_oral</v>
          </cell>
          <cell r="J946" t="str">
            <v>bueno</v>
          </cell>
          <cell r="K946" t="str">
            <v>defsi</v>
          </cell>
        </row>
        <row r="947">
          <cell r="B947" t="b">
            <v>1</v>
          </cell>
          <cell r="E947" t="str">
            <v>Los Cerros</v>
          </cell>
          <cell r="H947" t="str">
            <v>salud_oral</v>
          </cell>
          <cell r="J947" t="str">
            <v>bueno</v>
          </cell>
          <cell r="K947" t="str">
            <v>defsi</v>
          </cell>
        </row>
        <row r="948">
          <cell r="B948" t="b">
            <v>1</v>
          </cell>
          <cell r="E948" t="str">
            <v>Pasacaballos</v>
          </cell>
          <cell r="H948" t="str">
            <v>consulta_externa</v>
          </cell>
          <cell r="J948" t="str">
            <v>bueno</v>
          </cell>
          <cell r="K948" t="str">
            <v>defsi</v>
          </cell>
        </row>
        <row r="949">
          <cell r="B949" t="b">
            <v>1</v>
          </cell>
          <cell r="E949" t="str">
            <v>Pasacaballos</v>
          </cell>
          <cell r="H949" t="str">
            <v>salud_oral</v>
          </cell>
          <cell r="J949" t="str">
            <v>bueno</v>
          </cell>
          <cell r="K949" t="str">
            <v>defsi</v>
          </cell>
        </row>
        <row r="950">
          <cell r="B950" t="b">
            <v>1</v>
          </cell>
          <cell r="E950" t="str">
            <v>Los Cerros</v>
          </cell>
          <cell r="H950" t="str">
            <v>pediatria</v>
          </cell>
          <cell r="J950" t="str">
            <v>bueno</v>
          </cell>
          <cell r="K950" t="str">
            <v>defsi</v>
          </cell>
        </row>
        <row r="951">
          <cell r="B951" t="b">
            <v>1</v>
          </cell>
          <cell r="E951" t="str">
            <v>Pasacaballos</v>
          </cell>
          <cell r="H951" t="str">
            <v>laboratorio</v>
          </cell>
          <cell r="J951" t="str">
            <v>bueno</v>
          </cell>
          <cell r="K951" t="str">
            <v>defsi</v>
          </cell>
        </row>
        <row r="952">
          <cell r="B952" t="b">
            <v>1</v>
          </cell>
          <cell r="E952" t="str">
            <v>Pasacaballos</v>
          </cell>
          <cell r="H952" t="str">
            <v>urgencia</v>
          </cell>
          <cell r="J952" t="str">
            <v>bueno</v>
          </cell>
          <cell r="K952" t="str">
            <v>defsi</v>
          </cell>
        </row>
        <row r="953">
          <cell r="B953" t="b">
            <v>0</v>
          </cell>
          <cell r="E953" t="str">
            <v>Los Cerros</v>
          </cell>
          <cell r="H953" t="str">
            <v>electros</v>
          </cell>
          <cell r="J953" t="str">
            <v>regular</v>
          </cell>
          <cell r="K953" t="str">
            <v>probno</v>
          </cell>
        </row>
        <row r="954">
          <cell r="B954" t="b">
            <v>0</v>
          </cell>
          <cell r="E954" t="str">
            <v>Los Cerros</v>
          </cell>
          <cell r="H954" t="str">
            <v>laboratorio</v>
          </cell>
          <cell r="J954" t="str">
            <v>regular</v>
          </cell>
          <cell r="K954" t="str">
            <v>defsi</v>
          </cell>
        </row>
        <row r="955">
          <cell r="B955" t="b">
            <v>1</v>
          </cell>
          <cell r="E955" t="str">
            <v>Los Cerros</v>
          </cell>
          <cell r="H955" t="str">
            <v>electros</v>
          </cell>
          <cell r="J955" t="str">
            <v>bueno</v>
          </cell>
          <cell r="K955" t="str">
            <v>defsi</v>
          </cell>
        </row>
        <row r="956">
          <cell r="B956" t="b">
            <v>1</v>
          </cell>
          <cell r="E956" t="str">
            <v>Los Cerros</v>
          </cell>
          <cell r="H956" t="str">
            <v>pediatria</v>
          </cell>
          <cell r="J956" t="str">
            <v>bueno</v>
          </cell>
          <cell r="K956" t="str">
            <v>defsi</v>
          </cell>
        </row>
        <row r="957">
          <cell r="B957" t="b">
            <v>1</v>
          </cell>
          <cell r="E957" t="str">
            <v>Pasacaballos</v>
          </cell>
          <cell r="H957" t="str">
            <v>consulta_externa</v>
          </cell>
          <cell r="J957" t="str">
            <v>bueno</v>
          </cell>
          <cell r="K957" t="str">
            <v>defsi</v>
          </cell>
        </row>
        <row r="958">
          <cell r="B958" t="b">
            <v>1</v>
          </cell>
          <cell r="E958" t="str">
            <v>Pasacaballos</v>
          </cell>
          <cell r="H958" t="str">
            <v>salud_oral</v>
          </cell>
          <cell r="J958" t="str">
            <v>bueno</v>
          </cell>
          <cell r="K958" t="str">
            <v>defsi</v>
          </cell>
        </row>
        <row r="959">
          <cell r="B959" t="b">
            <v>1</v>
          </cell>
          <cell r="E959" t="str">
            <v>Pasacaballos</v>
          </cell>
          <cell r="H959" t="str">
            <v>laboratorio</v>
          </cell>
          <cell r="J959" t="str">
            <v>bueno</v>
          </cell>
          <cell r="K959" t="str">
            <v>defsi</v>
          </cell>
        </row>
        <row r="960">
          <cell r="B960" t="b">
            <v>1</v>
          </cell>
          <cell r="E960" t="str">
            <v>Pasacaballos</v>
          </cell>
          <cell r="H960" t="str">
            <v>urgencia</v>
          </cell>
          <cell r="J960" t="str">
            <v>bueno</v>
          </cell>
          <cell r="K960" t="str">
            <v>defsi</v>
          </cell>
        </row>
        <row r="961">
          <cell r="B961" t="b">
            <v>1</v>
          </cell>
          <cell r="E961" t="str">
            <v>Canapote</v>
          </cell>
          <cell r="H961" t="str">
            <v>salud_oral</v>
          </cell>
          <cell r="J961" t="str">
            <v>bueno</v>
          </cell>
          <cell r="K961" t="str">
            <v>probsi</v>
          </cell>
        </row>
        <row r="962">
          <cell r="B962" t="b">
            <v>1</v>
          </cell>
          <cell r="E962" t="str">
            <v>Canapote</v>
          </cell>
          <cell r="H962" t="str">
            <v>salud_oral</v>
          </cell>
          <cell r="J962" t="str">
            <v>bueno</v>
          </cell>
          <cell r="K962" t="str">
            <v>probsi</v>
          </cell>
        </row>
        <row r="963">
          <cell r="B963" t="b">
            <v>1</v>
          </cell>
          <cell r="E963" t="str">
            <v>Canapote</v>
          </cell>
          <cell r="H963" t="str">
            <v>laboratorio</v>
          </cell>
          <cell r="J963" t="str">
            <v>bueno</v>
          </cell>
          <cell r="K963" t="str">
            <v>probsi</v>
          </cell>
        </row>
        <row r="964">
          <cell r="B964" t="b">
            <v>1</v>
          </cell>
          <cell r="E964" t="str">
            <v>Canapote</v>
          </cell>
          <cell r="H964" t="str">
            <v>laboratorio</v>
          </cell>
          <cell r="J964" t="str">
            <v>bueno</v>
          </cell>
          <cell r="K964" t="str">
            <v>probsi</v>
          </cell>
        </row>
        <row r="965">
          <cell r="B965" t="b">
            <v>1</v>
          </cell>
          <cell r="E965" t="str">
            <v>Canapote</v>
          </cell>
          <cell r="H965" t="str">
            <v>laboratorio</v>
          </cell>
          <cell r="J965" t="str">
            <v>bueno</v>
          </cell>
          <cell r="K965" t="str">
            <v>probsi</v>
          </cell>
        </row>
        <row r="966">
          <cell r="B966" t="b">
            <v>1</v>
          </cell>
          <cell r="E966" t="str">
            <v>Canapote</v>
          </cell>
          <cell r="H966" t="str">
            <v>laboratorio</v>
          </cell>
          <cell r="J966" t="str">
            <v>bueno</v>
          </cell>
          <cell r="K966" t="str">
            <v>probsi</v>
          </cell>
        </row>
        <row r="967">
          <cell r="B967" t="b">
            <v>1</v>
          </cell>
          <cell r="E967" t="str">
            <v>Pasacaballos</v>
          </cell>
          <cell r="H967" t="str">
            <v>consulta_externa</v>
          </cell>
          <cell r="J967" t="str">
            <v>bueno</v>
          </cell>
          <cell r="K967" t="str">
            <v>defsi</v>
          </cell>
        </row>
        <row r="968">
          <cell r="B968" t="b">
            <v>1</v>
          </cell>
          <cell r="E968" t="str">
            <v>Canapote</v>
          </cell>
          <cell r="H968" t="str">
            <v>salud_oral</v>
          </cell>
          <cell r="J968" t="str">
            <v>bueno</v>
          </cell>
          <cell r="K968" t="str">
            <v>probsi</v>
          </cell>
        </row>
        <row r="969">
          <cell r="B969" t="b">
            <v>1</v>
          </cell>
          <cell r="E969" t="str">
            <v>Canapote</v>
          </cell>
          <cell r="H969" t="str">
            <v>salud_oral</v>
          </cell>
          <cell r="J969" t="str">
            <v>bueno</v>
          </cell>
          <cell r="K969" t="str">
            <v>probsi</v>
          </cell>
        </row>
        <row r="970">
          <cell r="B970" t="b">
            <v>1</v>
          </cell>
          <cell r="E970" t="str">
            <v>Canapote</v>
          </cell>
          <cell r="H970" t="str">
            <v>salud_oral</v>
          </cell>
          <cell r="J970" t="str">
            <v>bueno</v>
          </cell>
          <cell r="K970" t="str">
            <v>probsi</v>
          </cell>
        </row>
        <row r="971">
          <cell r="B971" t="b">
            <v>1</v>
          </cell>
          <cell r="E971" t="str">
            <v>Pasacaballos</v>
          </cell>
          <cell r="H971" t="str">
            <v>salud_oral</v>
          </cell>
          <cell r="J971" t="str">
            <v>bueno</v>
          </cell>
          <cell r="K971" t="str">
            <v>defsi</v>
          </cell>
        </row>
        <row r="972">
          <cell r="B972" t="b">
            <v>1</v>
          </cell>
          <cell r="E972" t="str">
            <v>Pasacaballos</v>
          </cell>
          <cell r="H972" t="str">
            <v>laboratorio</v>
          </cell>
          <cell r="J972" t="str">
            <v>bueno</v>
          </cell>
          <cell r="K972" t="str">
            <v>defsi</v>
          </cell>
        </row>
        <row r="973">
          <cell r="B973" t="b">
            <v>1</v>
          </cell>
          <cell r="E973" t="str">
            <v>Pasacaballos</v>
          </cell>
          <cell r="H973" t="str">
            <v>urgencia</v>
          </cell>
          <cell r="J973" t="str">
            <v>bueno</v>
          </cell>
          <cell r="K973" t="str">
            <v>defsi</v>
          </cell>
        </row>
        <row r="974">
          <cell r="B974" t="b">
            <v>1</v>
          </cell>
          <cell r="E974" t="str">
            <v>Daniel Lemaitre</v>
          </cell>
          <cell r="H974" t="str">
            <v>laboratorio</v>
          </cell>
          <cell r="J974" t="str">
            <v>bueno</v>
          </cell>
          <cell r="K974" t="str">
            <v>probsi</v>
          </cell>
        </row>
        <row r="975">
          <cell r="B975" t="b">
            <v>1</v>
          </cell>
          <cell r="E975" t="str">
            <v>Daniel Lemaitre</v>
          </cell>
          <cell r="H975" t="str">
            <v>laboratorio</v>
          </cell>
          <cell r="J975" t="str">
            <v>bueno</v>
          </cell>
          <cell r="K975" t="str">
            <v>probsi</v>
          </cell>
        </row>
        <row r="976">
          <cell r="B976" t="b">
            <v>1</v>
          </cell>
          <cell r="E976" t="str">
            <v>Daniel Lemaitre</v>
          </cell>
          <cell r="H976" t="str">
            <v>salud_oral</v>
          </cell>
          <cell r="J976" t="str">
            <v>bueno</v>
          </cell>
          <cell r="K976" t="str">
            <v>probsi</v>
          </cell>
        </row>
        <row r="977">
          <cell r="B977" t="b">
            <v>1</v>
          </cell>
          <cell r="E977" t="str">
            <v>Daniel Lemaitre</v>
          </cell>
          <cell r="H977" t="str">
            <v>salud_oral</v>
          </cell>
          <cell r="J977" t="str">
            <v>bueno</v>
          </cell>
          <cell r="K977" t="str">
            <v>probsi</v>
          </cell>
        </row>
        <row r="978">
          <cell r="B978" t="b">
            <v>1</v>
          </cell>
          <cell r="E978" t="str">
            <v>Los Cerros</v>
          </cell>
          <cell r="H978" t="str">
            <v>medicina_interna</v>
          </cell>
          <cell r="J978" t="str">
            <v>bueno</v>
          </cell>
          <cell r="K978" t="str">
            <v>defsi</v>
          </cell>
        </row>
        <row r="979">
          <cell r="B979" t="b">
            <v>1</v>
          </cell>
          <cell r="E979" t="str">
            <v>Daniel Lemaitre</v>
          </cell>
          <cell r="H979" t="str">
            <v>salud_oral</v>
          </cell>
          <cell r="J979" t="str">
            <v>bueno</v>
          </cell>
          <cell r="K979" t="str">
            <v>probsi</v>
          </cell>
        </row>
        <row r="980">
          <cell r="B980" t="b">
            <v>1</v>
          </cell>
          <cell r="E980" t="str">
            <v>Pasacaballos</v>
          </cell>
          <cell r="H980" t="str">
            <v>consulta_externa</v>
          </cell>
          <cell r="J980" t="str">
            <v>bueno</v>
          </cell>
          <cell r="K980" t="str">
            <v>defsi</v>
          </cell>
        </row>
        <row r="981">
          <cell r="B981" t="b">
            <v>1</v>
          </cell>
          <cell r="E981" t="str">
            <v>Daniel Lemaitre</v>
          </cell>
          <cell r="H981" t="str">
            <v>salud_oral</v>
          </cell>
          <cell r="J981" t="str">
            <v>bueno</v>
          </cell>
          <cell r="K981" t="str">
            <v>probsi</v>
          </cell>
        </row>
        <row r="982">
          <cell r="B982" t="b">
            <v>1</v>
          </cell>
          <cell r="E982" t="str">
            <v>Pasacaballos</v>
          </cell>
          <cell r="H982" t="str">
            <v>salud_oral</v>
          </cell>
          <cell r="J982" t="str">
            <v>bueno</v>
          </cell>
          <cell r="K982" t="str">
            <v>defsi</v>
          </cell>
        </row>
        <row r="983">
          <cell r="B983" t="b">
            <v>1</v>
          </cell>
          <cell r="E983" t="str">
            <v>Los Cerros</v>
          </cell>
          <cell r="H983" t="str">
            <v>electros</v>
          </cell>
          <cell r="J983" t="str">
            <v>bueno</v>
          </cell>
          <cell r="K983" t="str">
            <v>defsi</v>
          </cell>
        </row>
        <row r="984">
          <cell r="B984" t="b">
            <v>1</v>
          </cell>
          <cell r="E984" t="str">
            <v>Pasacaballos</v>
          </cell>
          <cell r="H984" t="str">
            <v>laboratorio</v>
          </cell>
          <cell r="J984" t="str">
            <v>bueno</v>
          </cell>
          <cell r="K984" t="str">
            <v>defsi</v>
          </cell>
        </row>
        <row r="985">
          <cell r="B985" t="b">
            <v>1</v>
          </cell>
          <cell r="E985" t="str">
            <v>Pasacaballos</v>
          </cell>
          <cell r="H985" t="str">
            <v>urgencia</v>
          </cell>
          <cell r="J985" t="str">
            <v>bueno</v>
          </cell>
          <cell r="K985" t="str">
            <v>defsi</v>
          </cell>
        </row>
        <row r="986">
          <cell r="B986" t="b">
            <v>0</v>
          </cell>
          <cell r="E986" t="str">
            <v>Los Cerros</v>
          </cell>
          <cell r="H986" t="str">
            <v>electros</v>
          </cell>
          <cell r="J986" t="str">
            <v>regular</v>
          </cell>
          <cell r="K986" t="str">
            <v>defsi</v>
          </cell>
        </row>
        <row r="987">
          <cell r="B987" t="b">
            <v>1</v>
          </cell>
          <cell r="E987" t="str">
            <v>Los Cerros</v>
          </cell>
          <cell r="H987" t="str">
            <v>electros</v>
          </cell>
          <cell r="J987" t="str">
            <v>bueno</v>
          </cell>
          <cell r="K987" t="str">
            <v>defsi</v>
          </cell>
        </row>
        <row r="988">
          <cell r="B988" t="b">
            <v>1</v>
          </cell>
          <cell r="E988" t="str">
            <v>Los Cerros</v>
          </cell>
          <cell r="H988" t="str">
            <v>medicina_interna</v>
          </cell>
          <cell r="J988" t="str">
            <v>bueno</v>
          </cell>
          <cell r="K988" t="str">
            <v>defsi</v>
          </cell>
        </row>
        <row r="989">
          <cell r="B989" t="b">
            <v>1</v>
          </cell>
          <cell r="E989" t="str">
            <v>Los Cerros</v>
          </cell>
          <cell r="H989" t="str">
            <v>electros</v>
          </cell>
          <cell r="J989" t="str">
            <v>bueno</v>
          </cell>
          <cell r="K989" t="str">
            <v>defsi</v>
          </cell>
        </row>
        <row r="990">
          <cell r="B990" t="b">
            <v>1</v>
          </cell>
          <cell r="E990" t="str">
            <v>Los Cerros</v>
          </cell>
          <cell r="H990" t="str">
            <v>medicina_interna</v>
          </cell>
          <cell r="J990" t="str">
            <v>muybueno</v>
          </cell>
          <cell r="K990" t="str">
            <v>defsi</v>
          </cell>
        </row>
        <row r="991">
          <cell r="B991" t="b">
            <v>1</v>
          </cell>
          <cell r="E991" t="str">
            <v>Los Cerros</v>
          </cell>
          <cell r="H991" t="str">
            <v>electros</v>
          </cell>
          <cell r="J991" t="str">
            <v>bueno</v>
          </cell>
          <cell r="K991" t="str">
            <v>defsi</v>
          </cell>
        </row>
        <row r="992">
          <cell r="B992" t="b">
            <v>0</v>
          </cell>
          <cell r="E992" t="str">
            <v>Los Cerros</v>
          </cell>
          <cell r="H992" t="str">
            <v>medicina_interna</v>
          </cell>
          <cell r="J992" t="str">
            <v>regular</v>
          </cell>
          <cell r="K992" t="str">
            <v>defsi</v>
          </cell>
        </row>
        <row r="993">
          <cell r="B993" t="b">
            <v>1</v>
          </cell>
          <cell r="E993" t="str">
            <v>Los Cerros</v>
          </cell>
          <cell r="H993" t="str">
            <v>salud_oral</v>
          </cell>
          <cell r="J993" t="str">
            <v>bueno</v>
          </cell>
          <cell r="K993" t="str">
            <v>defsi</v>
          </cell>
        </row>
        <row r="994">
          <cell r="B994" t="b">
            <v>1</v>
          </cell>
          <cell r="E994" t="str">
            <v>Los Cerros</v>
          </cell>
          <cell r="H994" t="str">
            <v>medicina_interna</v>
          </cell>
          <cell r="J994" t="str">
            <v>bueno</v>
          </cell>
          <cell r="K994" t="str">
            <v>defsi</v>
          </cell>
        </row>
        <row r="995">
          <cell r="B995" t="b">
            <v>1</v>
          </cell>
          <cell r="E995" t="str">
            <v>Los Cerros</v>
          </cell>
          <cell r="H995" t="str">
            <v>medicina_interna</v>
          </cell>
          <cell r="J995" t="str">
            <v>bueno</v>
          </cell>
          <cell r="K995" t="str">
            <v>defsi</v>
          </cell>
        </row>
        <row r="996">
          <cell r="B996" t="b">
            <v>1</v>
          </cell>
          <cell r="E996" t="str">
            <v>Los Cerros</v>
          </cell>
          <cell r="H996" t="str">
            <v>ginecologia</v>
          </cell>
          <cell r="J996" t="str">
            <v>bueno</v>
          </cell>
          <cell r="K996" t="str">
            <v>defsi</v>
          </cell>
        </row>
        <row r="997">
          <cell r="B997" t="b">
            <v>1</v>
          </cell>
          <cell r="E997" t="str">
            <v>Los Cerros</v>
          </cell>
          <cell r="H997" t="str">
            <v>salud_oral</v>
          </cell>
          <cell r="J997" t="str">
            <v>bueno</v>
          </cell>
          <cell r="K997" t="str">
            <v>defsi</v>
          </cell>
        </row>
        <row r="998">
          <cell r="B998" t="b">
            <v>1</v>
          </cell>
          <cell r="E998" t="str">
            <v>Los Cerros</v>
          </cell>
          <cell r="H998" t="str">
            <v>salud_oral</v>
          </cell>
          <cell r="J998" t="str">
            <v>bueno</v>
          </cell>
          <cell r="K998" t="str">
            <v>defsi</v>
          </cell>
        </row>
        <row r="999">
          <cell r="B999" t="b">
            <v>1</v>
          </cell>
          <cell r="E999" t="str">
            <v>Los Cerros</v>
          </cell>
          <cell r="H999" t="str">
            <v>ginecologia</v>
          </cell>
          <cell r="J999" t="str">
            <v>bueno</v>
          </cell>
          <cell r="K999" t="str">
            <v>defsi</v>
          </cell>
        </row>
        <row r="1000">
          <cell r="B1000" t="b">
            <v>1</v>
          </cell>
          <cell r="E1000" t="str">
            <v>Los Cerros</v>
          </cell>
          <cell r="H1000" t="str">
            <v>salud_oral</v>
          </cell>
          <cell r="J1000" t="str">
            <v>bueno</v>
          </cell>
          <cell r="K1000" t="str">
            <v>defsi</v>
          </cell>
        </row>
        <row r="1001">
          <cell r="B1001" t="b">
            <v>1</v>
          </cell>
          <cell r="E1001" t="str">
            <v>Los Cerros</v>
          </cell>
          <cell r="H1001" t="str">
            <v>ginecologia</v>
          </cell>
          <cell r="J1001" t="str">
            <v>bueno</v>
          </cell>
          <cell r="K1001" t="str">
            <v>defsi</v>
          </cell>
        </row>
        <row r="1002">
          <cell r="B1002" t="b">
            <v>1</v>
          </cell>
          <cell r="E1002" t="str">
            <v>Los Cerros</v>
          </cell>
          <cell r="H1002" t="str">
            <v>ginecologia</v>
          </cell>
          <cell r="J1002" t="str">
            <v>bueno</v>
          </cell>
          <cell r="K1002" t="str">
            <v>defsi</v>
          </cell>
        </row>
        <row r="1003">
          <cell r="B1003" t="b">
            <v>1</v>
          </cell>
          <cell r="E1003" t="str">
            <v>Pasacaballos</v>
          </cell>
          <cell r="H1003" t="str">
            <v>consulta_externa</v>
          </cell>
          <cell r="J1003" t="str">
            <v>bueno</v>
          </cell>
          <cell r="K1003" t="str">
            <v>defsi</v>
          </cell>
        </row>
        <row r="1004">
          <cell r="B1004" t="b">
            <v>1</v>
          </cell>
          <cell r="E1004" t="str">
            <v>Pasacaballos</v>
          </cell>
          <cell r="H1004" t="str">
            <v>salud_oral</v>
          </cell>
          <cell r="J1004" t="str">
            <v>bueno</v>
          </cell>
          <cell r="K1004" t="str">
            <v>defsi</v>
          </cell>
        </row>
        <row r="1005">
          <cell r="B1005" t="b">
            <v>1</v>
          </cell>
          <cell r="E1005" t="str">
            <v>Pasacaballos</v>
          </cell>
          <cell r="H1005" t="str">
            <v>laboratorio</v>
          </cell>
          <cell r="J1005" t="str">
            <v>bueno</v>
          </cell>
          <cell r="K1005" t="str">
            <v>defsi</v>
          </cell>
        </row>
        <row r="1006">
          <cell r="B1006" t="b">
            <v>1</v>
          </cell>
          <cell r="E1006" t="str">
            <v>Pasacaballos</v>
          </cell>
          <cell r="H1006" t="str">
            <v>urgencia</v>
          </cell>
          <cell r="J1006" t="str">
            <v>bueno</v>
          </cell>
          <cell r="K1006" t="str">
            <v>defsi</v>
          </cell>
        </row>
        <row r="1007">
          <cell r="B1007" t="b">
            <v>1</v>
          </cell>
          <cell r="E1007" t="str">
            <v>Blasdelezo</v>
          </cell>
          <cell r="H1007" t="str">
            <v>urgencia</v>
          </cell>
          <cell r="J1007" t="str">
            <v>bueno</v>
          </cell>
          <cell r="K1007" t="str">
            <v>defsi</v>
          </cell>
        </row>
        <row r="1008">
          <cell r="B1008" t="b">
            <v>1</v>
          </cell>
          <cell r="E1008" t="str">
            <v>Blasdelezo</v>
          </cell>
          <cell r="H1008" t="str">
            <v>urgencia</v>
          </cell>
          <cell r="J1008" t="str">
            <v>bueno</v>
          </cell>
          <cell r="K1008" t="str">
            <v>defsi</v>
          </cell>
        </row>
        <row r="1009">
          <cell r="B1009" t="b">
            <v>1</v>
          </cell>
          <cell r="E1009" t="str">
            <v>Blasdelezo</v>
          </cell>
          <cell r="H1009" t="str">
            <v>urgencia</v>
          </cell>
          <cell r="J1009" t="str">
            <v>bueno</v>
          </cell>
          <cell r="K1009" t="str">
            <v>defsi</v>
          </cell>
        </row>
        <row r="1010">
          <cell r="B1010" t="b">
            <v>1</v>
          </cell>
          <cell r="E1010" t="str">
            <v>Blasdelezo</v>
          </cell>
          <cell r="H1010" t="str">
            <v>urgencia</v>
          </cell>
          <cell r="J1010" t="str">
            <v>bueno</v>
          </cell>
          <cell r="K1010" t="str">
            <v>defsi</v>
          </cell>
        </row>
        <row r="1011">
          <cell r="B1011" t="b">
            <v>0</v>
          </cell>
          <cell r="E1011" t="str">
            <v>Blasdelezo</v>
          </cell>
          <cell r="H1011" t="str">
            <v>urgencia</v>
          </cell>
          <cell r="J1011" t="str">
            <v>malo</v>
          </cell>
          <cell r="K1011" t="str">
            <v>defno</v>
          </cell>
        </row>
        <row r="1012">
          <cell r="B1012" t="b">
            <v>1</v>
          </cell>
          <cell r="E1012" t="str">
            <v>Pasacaballos</v>
          </cell>
          <cell r="H1012" t="str">
            <v>consulta_externa</v>
          </cell>
          <cell r="J1012" t="str">
            <v>bueno</v>
          </cell>
          <cell r="K1012" t="str">
            <v>defsi</v>
          </cell>
        </row>
        <row r="1013">
          <cell r="B1013" t="b">
            <v>1</v>
          </cell>
          <cell r="E1013" t="str">
            <v>Pasacaballos</v>
          </cell>
          <cell r="H1013" t="str">
            <v>salud_oral</v>
          </cell>
          <cell r="J1013" t="str">
            <v>bueno</v>
          </cell>
          <cell r="K1013" t="str">
            <v>defsi</v>
          </cell>
        </row>
        <row r="1014">
          <cell r="B1014" t="b">
            <v>1</v>
          </cell>
          <cell r="E1014" t="str">
            <v>Pasacaballos</v>
          </cell>
          <cell r="H1014" t="str">
            <v>laboratorio</v>
          </cell>
          <cell r="J1014" t="str">
            <v>bueno</v>
          </cell>
          <cell r="K1014" t="str">
            <v>defsi</v>
          </cell>
        </row>
        <row r="1015">
          <cell r="B1015" t="b">
            <v>1</v>
          </cell>
          <cell r="E1015" t="str">
            <v>Pasacaballos</v>
          </cell>
          <cell r="H1015" t="str">
            <v>urgencia</v>
          </cell>
          <cell r="J1015" t="str">
            <v>bueno</v>
          </cell>
          <cell r="K1015" t="str">
            <v>defsi</v>
          </cell>
        </row>
        <row r="1016">
          <cell r="B1016" t="b">
            <v>0</v>
          </cell>
          <cell r="E1016" t="str">
            <v>Blasdelezo</v>
          </cell>
          <cell r="H1016" t="str">
            <v>urgencia</v>
          </cell>
          <cell r="J1016" t="str">
            <v>malo</v>
          </cell>
          <cell r="K1016" t="str">
            <v>defno</v>
          </cell>
        </row>
        <row r="1017">
          <cell r="B1017" t="b">
            <v>1</v>
          </cell>
          <cell r="E1017" t="str">
            <v>Pasacaballos</v>
          </cell>
          <cell r="H1017" t="str">
            <v>consulta_externa</v>
          </cell>
          <cell r="J1017" t="str">
            <v>bueno</v>
          </cell>
          <cell r="K1017" t="str">
            <v>defsi</v>
          </cell>
        </row>
        <row r="1018">
          <cell r="B1018" t="b">
            <v>1</v>
          </cell>
          <cell r="E1018" t="str">
            <v>Pasacaballos</v>
          </cell>
          <cell r="H1018" t="str">
            <v>salud_oral</v>
          </cell>
          <cell r="J1018" t="str">
            <v>bueno</v>
          </cell>
          <cell r="K1018" t="str">
            <v>defsi</v>
          </cell>
        </row>
        <row r="1019">
          <cell r="B1019" t="b">
            <v>1</v>
          </cell>
          <cell r="E1019" t="str">
            <v>Pasacaballos</v>
          </cell>
          <cell r="H1019" t="str">
            <v>laboratorio</v>
          </cell>
          <cell r="J1019" t="str">
            <v>bueno</v>
          </cell>
          <cell r="K1019" t="str">
            <v>defsi</v>
          </cell>
        </row>
        <row r="1020">
          <cell r="B1020" t="b">
            <v>1</v>
          </cell>
          <cell r="E1020" t="str">
            <v>Pasacaballos</v>
          </cell>
          <cell r="H1020" t="str">
            <v>urgencia</v>
          </cell>
          <cell r="J1020" t="str">
            <v>bueno</v>
          </cell>
          <cell r="K1020" t="str">
            <v>defsi</v>
          </cell>
        </row>
        <row r="1021">
          <cell r="B1021" t="b">
            <v>1</v>
          </cell>
          <cell r="E1021" t="str">
            <v>Pasacaballos</v>
          </cell>
          <cell r="H1021" t="str">
            <v>consulta_externa</v>
          </cell>
          <cell r="J1021" t="str">
            <v>bueno</v>
          </cell>
          <cell r="K1021" t="str">
            <v>defsi</v>
          </cell>
        </row>
        <row r="1022">
          <cell r="B1022" t="b">
            <v>1</v>
          </cell>
          <cell r="E1022" t="str">
            <v>Pasacaballos</v>
          </cell>
          <cell r="H1022" t="str">
            <v>salud_oral</v>
          </cell>
          <cell r="J1022" t="str">
            <v>bueno</v>
          </cell>
          <cell r="K1022" t="str">
            <v>defsi</v>
          </cell>
        </row>
        <row r="1023">
          <cell r="B1023" t="b">
            <v>1</v>
          </cell>
          <cell r="E1023" t="str">
            <v>Pasacaballos</v>
          </cell>
          <cell r="H1023" t="str">
            <v>laboratorio</v>
          </cell>
          <cell r="J1023" t="str">
            <v>bueno</v>
          </cell>
          <cell r="K1023" t="str">
            <v>defsi</v>
          </cell>
        </row>
        <row r="1024">
          <cell r="B1024" t="b">
            <v>1</v>
          </cell>
          <cell r="E1024" t="str">
            <v>Pasacaballos</v>
          </cell>
          <cell r="H1024" t="str">
            <v>urgencia</v>
          </cell>
          <cell r="J1024" t="str">
            <v>bueno</v>
          </cell>
          <cell r="K1024" t="str">
            <v>defsi</v>
          </cell>
        </row>
        <row r="1025">
          <cell r="B1025" t="b">
            <v>1</v>
          </cell>
          <cell r="E1025" t="str">
            <v>Pasacaballos</v>
          </cell>
          <cell r="H1025" t="str">
            <v>consulta_externa</v>
          </cell>
          <cell r="J1025" t="str">
            <v>bueno</v>
          </cell>
          <cell r="K1025" t="str">
            <v>defsi</v>
          </cell>
        </row>
        <row r="1026">
          <cell r="B1026" t="b">
            <v>1</v>
          </cell>
          <cell r="E1026" t="str">
            <v>Pasacaballos</v>
          </cell>
          <cell r="H1026" t="str">
            <v>salud_oral</v>
          </cell>
          <cell r="J1026" t="str">
            <v>bueno</v>
          </cell>
          <cell r="K1026" t="str">
            <v>defsi</v>
          </cell>
        </row>
        <row r="1027">
          <cell r="B1027" t="b">
            <v>1</v>
          </cell>
          <cell r="E1027" t="str">
            <v>Pasacaballos</v>
          </cell>
          <cell r="H1027" t="str">
            <v>laboratorio</v>
          </cell>
          <cell r="J1027" t="str">
            <v>bueno</v>
          </cell>
          <cell r="K1027" t="str">
            <v>defsi</v>
          </cell>
        </row>
        <row r="1028">
          <cell r="B1028" t="b">
            <v>1</v>
          </cell>
          <cell r="E1028" t="str">
            <v>Canapote</v>
          </cell>
          <cell r="H1028" t="str">
            <v>consulta_externa</v>
          </cell>
          <cell r="J1028" t="str">
            <v>bueno</v>
          </cell>
          <cell r="K1028" t="str">
            <v>probsi</v>
          </cell>
        </row>
        <row r="1029">
          <cell r="B1029" t="b">
            <v>1</v>
          </cell>
          <cell r="E1029" t="str">
            <v>Canapote</v>
          </cell>
          <cell r="H1029" t="str">
            <v>consulta_externa</v>
          </cell>
          <cell r="J1029" t="str">
            <v>bueno</v>
          </cell>
          <cell r="K1029" t="str">
            <v>probsi</v>
          </cell>
        </row>
        <row r="1030">
          <cell r="B1030" t="b">
            <v>1</v>
          </cell>
          <cell r="E1030" t="str">
            <v>Canapote</v>
          </cell>
          <cell r="H1030" t="str">
            <v>consulta_externa</v>
          </cell>
          <cell r="J1030" t="str">
            <v>bueno</v>
          </cell>
          <cell r="K1030" t="str">
            <v>probsi</v>
          </cell>
        </row>
        <row r="1031">
          <cell r="B1031" t="b">
            <v>1</v>
          </cell>
          <cell r="E1031" t="str">
            <v>Canapote</v>
          </cell>
          <cell r="H1031" t="str">
            <v>consulta_externa</v>
          </cell>
          <cell r="J1031" t="str">
            <v>bueno</v>
          </cell>
          <cell r="K1031" t="str">
            <v>probsi</v>
          </cell>
        </row>
        <row r="1032">
          <cell r="B1032" t="b">
            <v>1</v>
          </cell>
          <cell r="E1032" t="str">
            <v>Canapote</v>
          </cell>
          <cell r="H1032" t="str">
            <v>consulta_externa</v>
          </cell>
          <cell r="J1032" t="str">
            <v>bueno</v>
          </cell>
          <cell r="K1032" t="str">
            <v>probsi</v>
          </cell>
        </row>
        <row r="1033">
          <cell r="B1033" t="b">
            <v>1</v>
          </cell>
          <cell r="E1033" t="str">
            <v>Pasacaballos</v>
          </cell>
          <cell r="H1033" t="str">
            <v>urgencia</v>
          </cell>
          <cell r="J1033" t="str">
            <v>bueno</v>
          </cell>
          <cell r="K1033" t="str">
            <v>defsi</v>
          </cell>
        </row>
        <row r="1034">
          <cell r="B1034" t="b">
            <v>1</v>
          </cell>
          <cell r="E1034" t="str">
            <v>Canapote</v>
          </cell>
          <cell r="H1034" t="str">
            <v>consulta_externa</v>
          </cell>
          <cell r="J1034" t="str">
            <v>bueno</v>
          </cell>
          <cell r="K1034" t="str">
            <v>probsi</v>
          </cell>
        </row>
        <row r="1035">
          <cell r="B1035" t="b">
            <v>1</v>
          </cell>
          <cell r="E1035" t="str">
            <v>Canapote</v>
          </cell>
          <cell r="H1035" t="str">
            <v>salud_oral</v>
          </cell>
          <cell r="J1035" t="str">
            <v>bueno</v>
          </cell>
          <cell r="K1035" t="str">
            <v>probsi</v>
          </cell>
        </row>
        <row r="1036">
          <cell r="B1036" t="b">
            <v>1</v>
          </cell>
          <cell r="E1036" t="str">
            <v>Canapote</v>
          </cell>
          <cell r="H1036" t="str">
            <v>salud_oral</v>
          </cell>
          <cell r="J1036" t="str">
            <v>bueno</v>
          </cell>
          <cell r="K1036" t="str">
            <v>probsi</v>
          </cell>
        </row>
        <row r="1037">
          <cell r="B1037" t="b">
            <v>1</v>
          </cell>
          <cell r="E1037" t="str">
            <v>Canapote</v>
          </cell>
          <cell r="H1037" t="str">
            <v>salud_oral</v>
          </cell>
          <cell r="J1037" t="str">
            <v>bueno</v>
          </cell>
          <cell r="K1037" t="str">
            <v>probsi</v>
          </cell>
        </row>
        <row r="1038">
          <cell r="B1038" t="b">
            <v>1</v>
          </cell>
          <cell r="E1038" t="str">
            <v>Canapote</v>
          </cell>
          <cell r="H1038" t="str">
            <v>salud_oral</v>
          </cell>
          <cell r="J1038" t="str">
            <v>bueno</v>
          </cell>
          <cell r="K1038" t="str">
            <v>probsi</v>
          </cell>
        </row>
        <row r="1039">
          <cell r="B1039" t="b">
            <v>1</v>
          </cell>
          <cell r="E1039" t="str">
            <v>Canapote</v>
          </cell>
          <cell r="H1039" t="str">
            <v>salud_oral</v>
          </cell>
          <cell r="J1039" t="str">
            <v>bueno</v>
          </cell>
          <cell r="K1039" t="str">
            <v>probsi</v>
          </cell>
        </row>
        <row r="1040">
          <cell r="B1040" t="b">
            <v>1</v>
          </cell>
          <cell r="E1040" t="str">
            <v>Canapote</v>
          </cell>
          <cell r="H1040" t="str">
            <v>laboratorio</v>
          </cell>
          <cell r="J1040" t="str">
            <v>bueno</v>
          </cell>
          <cell r="K1040" t="str">
            <v>probsi</v>
          </cell>
        </row>
        <row r="1041">
          <cell r="B1041" t="b">
            <v>1</v>
          </cell>
          <cell r="E1041" t="str">
            <v>Canapote</v>
          </cell>
          <cell r="H1041" t="str">
            <v>laboratorio</v>
          </cell>
          <cell r="J1041" t="str">
            <v>bueno</v>
          </cell>
          <cell r="K1041" t="str">
            <v>probsi</v>
          </cell>
        </row>
        <row r="1042">
          <cell r="B1042" t="b">
            <v>1</v>
          </cell>
          <cell r="E1042" t="str">
            <v>Canapote</v>
          </cell>
          <cell r="H1042" t="str">
            <v>laboratorio</v>
          </cell>
          <cell r="J1042" t="str">
            <v>bueno</v>
          </cell>
          <cell r="K1042" t="str">
            <v>probsi</v>
          </cell>
        </row>
        <row r="1043">
          <cell r="B1043" t="b">
            <v>1</v>
          </cell>
          <cell r="E1043" t="str">
            <v>Canapote</v>
          </cell>
          <cell r="H1043" t="str">
            <v>laboratorio</v>
          </cell>
          <cell r="J1043" t="str">
            <v>bueno</v>
          </cell>
          <cell r="K1043" t="str">
            <v>probsi</v>
          </cell>
        </row>
        <row r="1044">
          <cell r="B1044" t="b">
            <v>1</v>
          </cell>
          <cell r="E1044" t="str">
            <v>Canapote</v>
          </cell>
          <cell r="H1044" t="str">
            <v>laboratorio</v>
          </cell>
          <cell r="J1044" t="str">
            <v>bueno</v>
          </cell>
          <cell r="K1044" t="str">
            <v>probsi</v>
          </cell>
        </row>
        <row r="1045">
          <cell r="B1045" t="b">
            <v>1</v>
          </cell>
          <cell r="E1045" t="str">
            <v>Canapote</v>
          </cell>
          <cell r="H1045" t="str">
            <v>laboratorio</v>
          </cell>
          <cell r="J1045" t="str">
            <v>bueno</v>
          </cell>
          <cell r="K1045" t="str">
            <v>probsi</v>
          </cell>
        </row>
        <row r="1046">
          <cell r="B1046" t="b">
            <v>1</v>
          </cell>
          <cell r="E1046" t="str">
            <v>Pasacaballos</v>
          </cell>
          <cell r="H1046" t="str">
            <v>consulta_externa</v>
          </cell>
          <cell r="J1046" t="str">
            <v>bueno</v>
          </cell>
          <cell r="K1046" t="str">
            <v>defsi</v>
          </cell>
        </row>
        <row r="1047">
          <cell r="B1047" t="b">
            <v>1</v>
          </cell>
          <cell r="E1047" t="str">
            <v>Pasacaballos</v>
          </cell>
          <cell r="H1047" t="str">
            <v>salud_oral</v>
          </cell>
          <cell r="J1047" t="str">
            <v>bueno</v>
          </cell>
          <cell r="K1047" t="str">
            <v>defsi</v>
          </cell>
        </row>
        <row r="1048">
          <cell r="B1048" t="b">
            <v>1</v>
          </cell>
          <cell r="E1048" t="str">
            <v>Pasacaballos</v>
          </cell>
          <cell r="H1048" t="str">
            <v>laboratorio</v>
          </cell>
          <cell r="J1048" t="str">
            <v>bueno</v>
          </cell>
          <cell r="K1048" t="str">
            <v>defsi</v>
          </cell>
        </row>
        <row r="1049">
          <cell r="B1049" t="b">
            <v>1</v>
          </cell>
          <cell r="E1049" t="str">
            <v>Pasacaballos</v>
          </cell>
          <cell r="H1049" t="str">
            <v>urgencia</v>
          </cell>
          <cell r="J1049" t="str">
            <v>bueno</v>
          </cell>
          <cell r="K1049" t="str">
            <v>defsi</v>
          </cell>
        </row>
        <row r="1050">
          <cell r="B1050" t="b">
            <v>1</v>
          </cell>
          <cell r="E1050" t="str">
            <v>Pasacaballos</v>
          </cell>
          <cell r="H1050" t="str">
            <v>consulta_externa</v>
          </cell>
          <cell r="J1050" t="str">
            <v>bueno</v>
          </cell>
          <cell r="K1050" t="str">
            <v>defsi</v>
          </cell>
        </row>
        <row r="1051">
          <cell r="B1051" t="b">
            <v>1</v>
          </cell>
          <cell r="E1051" t="str">
            <v>Pasacaballos</v>
          </cell>
          <cell r="H1051" t="str">
            <v>salud_oral</v>
          </cell>
          <cell r="J1051" t="str">
            <v>bueno</v>
          </cell>
          <cell r="K1051" t="str">
            <v>defsi</v>
          </cell>
        </row>
        <row r="1052">
          <cell r="B1052" t="b">
            <v>1</v>
          </cell>
          <cell r="E1052" t="str">
            <v>Pasacaballos</v>
          </cell>
          <cell r="H1052" t="str">
            <v>laboratorio</v>
          </cell>
          <cell r="J1052" t="str">
            <v>bueno</v>
          </cell>
          <cell r="K1052" t="str">
            <v>defsi</v>
          </cell>
        </row>
        <row r="1053">
          <cell r="B1053" t="b">
            <v>1</v>
          </cell>
          <cell r="E1053" t="str">
            <v>Pasacaballos</v>
          </cell>
          <cell r="H1053" t="str">
            <v>urgencia</v>
          </cell>
          <cell r="J1053" t="str">
            <v>bueno</v>
          </cell>
          <cell r="K1053" t="str">
            <v>defsi</v>
          </cell>
        </row>
        <row r="1054">
          <cell r="B1054" t="b">
            <v>1</v>
          </cell>
          <cell r="E1054" t="str">
            <v>Pasacaballos</v>
          </cell>
          <cell r="H1054" t="str">
            <v>consulta_externa</v>
          </cell>
          <cell r="J1054" t="str">
            <v>bueno</v>
          </cell>
          <cell r="K1054" t="str">
            <v>defsi</v>
          </cell>
        </row>
        <row r="1055">
          <cell r="B1055" t="b">
            <v>1</v>
          </cell>
          <cell r="E1055" t="str">
            <v>Pasacaballos</v>
          </cell>
          <cell r="H1055" t="str">
            <v>salud_oral</v>
          </cell>
          <cell r="J1055" t="str">
            <v>bueno</v>
          </cell>
          <cell r="K1055" t="str">
            <v>defsi</v>
          </cell>
        </row>
        <row r="1056">
          <cell r="B1056" t="b">
            <v>1</v>
          </cell>
          <cell r="E1056" t="str">
            <v>Pasacaballos</v>
          </cell>
          <cell r="H1056" t="str">
            <v>laboratorio</v>
          </cell>
          <cell r="J1056" t="str">
            <v>bueno</v>
          </cell>
          <cell r="K1056" t="str">
            <v>defsi</v>
          </cell>
        </row>
        <row r="1057">
          <cell r="B1057" t="b">
            <v>1</v>
          </cell>
          <cell r="E1057" t="str">
            <v>Pasacaballos</v>
          </cell>
          <cell r="H1057" t="str">
            <v>urgencia</v>
          </cell>
          <cell r="J1057" t="str">
            <v>bueno</v>
          </cell>
          <cell r="K1057" t="str">
            <v>defsi</v>
          </cell>
        </row>
        <row r="1058">
          <cell r="B1058" t="b">
            <v>1</v>
          </cell>
          <cell r="E1058" t="str">
            <v>Pasacaballos</v>
          </cell>
          <cell r="H1058" t="str">
            <v>salud_oral</v>
          </cell>
          <cell r="J1058" t="str">
            <v>bueno</v>
          </cell>
          <cell r="K1058" t="str">
            <v>defsi</v>
          </cell>
        </row>
        <row r="1059">
          <cell r="B1059" t="b">
            <v>0</v>
          </cell>
          <cell r="E1059" t="str">
            <v>San Pedro y Libertad</v>
          </cell>
          <cell r="H1059" t="str">
            <v>salud_oral</v>
          </cell>
          <cell r="J1059" t="str">
            <v>regular</v>
          </cell>
          <cell r="K1059" t="str">
            <v>probsi</v>
          </cell>
        </row>
        <row r="1060">
          <cell r="B1060" t="b">
            <v>1</v>
          </cell>
          <cell r="E1060" t="str">
            <v>San Pedro y Libertad</v>
          </cell>
          <cell r="H1060" t="str">
            <v>salud_oral</v>
          </cell>
          <cell r="J1060" t="str">
            <v>bueno</v>
          </cell>
          <cell r="K1060" t="str">
            <v>probsi</v>
          </cell>
        </row>
        <row r="1061">
          <cell r="B1061" t="b">
            <v>1</v>
          </cell>
          <cell r="E1061" t="str">
            <v>San Pedro y Libertad</v>
          </cell>
          <cell r="H1061" t="str">
            <v>salud_oral</v>
          </cell>
          <cell r="J1061" t="str">
            <v>bueno</v>
          </cell>
          <cell r="K1061" t="str">
            <v>probsi</v>
          </cell>
        </row>
        <row r="1062">
          <cell r="B1062" t="b">
            <v>1</v>
          </cell>
          <cell r="E1062" t="str">
            <v>San Pedro y Libertad</v>
          </cell>
          <cell r="H1062" t="str">
            <v>salud_oral</v>
          </cell>
          <cell r="J1062" t="str">
            <v>bueno</v>
          </cell>
          <cell r="K1062" t="str">
            <v>probsi</v>
          </cell>
        </row>
        <row r="1063">
          <cell r="B1063" t="b">
            <v>1</v>
          </cell>
          <cell r="E1063" t="str">
            <v>San Pedro y Libertad</v>
          </cell>
          <cell r="H1063" t="str">
            <v>salud_oral</v>
          </cell>
          <cell r="J1063" t="str">
            <v>bueno</v>
          </cell>
          <cell r="K1063" t="str">
            <v>probsi</v>
          </cell>
        </row>
        <row r="1064">
          <cell r="B1064" t="b">
            <v>1</v>
          </cell>
          <cell r="E1064" t="str">
            <v>San Pedro y Libertad</v>
          </cell>
          <cell r="H1064" t="str">
            <v>consulta_externa</v>
          </cell>
          <cell r="J1064" t="str">
            <v>bueno</v>
          </cell>
          <cell r="K1064" t="str">
            <v>probsi</v>
          </cell>
        </row>
        <row r="1065">
          <cell r="B1065" t="b">
            <v>0</v>
          </cell>
          <cell r="E1065" t="str">
            <v>San Pedro y Libertad</v>
          </cell>
          <cell r="H1065" t="str">
            <v>laboratorio</v>
          </cell>
          <cell r="J1065" t="str">
            <v>regular</v>
          </cell>
          <cell r="K1065" t="str">
            <v>probsi</v>
          </cell>
        </row>
        <row r="1066">
          <cell r="B1066" t="b">
            <v>0</v>
          </cell>
          <cell r="E1066" t="str">
            <v>San Pedro y Libertad</v>
          </cell>
          <cell r="H1066" t="str">
            <v>laboratorio</v>
          </cell>
          <cell r="J1066" t="str">
            <v>regular</v>
          </cell>
          <cell r="K1066" t="str">
            <v>probsi</v>
          </cell>
        </row>
        <row r="1067">
          <cell r="B1067" t="b">
            <v>1</v>
          </cell>
          <cell r="E1067" t="str">
            <v>Blasdelezo</v>
          </cell>
          <cell r="H1067" t="str">
            <v>urgencia</v>
          </cell>
          <cell r="J1067" t="str">
            <v>bueno</v>
          </cell>
          <cell r="K1067" t="str">
            <v>defsi</v>
          </cell>
        </row>
        <row r="1068">
          <cell r="B1068" t="b">
            <v>1</v>
          </cell>
          <cell r="E1068" t="str">
            <v>Blasdelezo</v>
          </cell>
          <cell r="H1068" t="str">
            <v>urgencia</v>
          </cell>
          <cell r="J1068" t="str">
            <v>bueno</v>
          </cell>
          <cell r="K1068" t="str">
            <v>defsi</v>
          </cell>
        </row>
        <row r="1069">
          <cell r="B1069" t="b">
            <v>0</v>
          </cell>
          <cell r="E1069" t="str">
            <v>Blasdelezo</v>
          </cell>
          <cell r="H1069" t="str">
            <v>urgencia</v>
          </cell>
          <cell r="J1069" t="str">
            <v>regular</v>
          </cell>
          <cell r="K1069" t="str">
            <v>probsi</v>
          </cell>
        </row>
        <row r="1070">
          <cell r="B1070" t="b">
            <v>1</v>
          </cell>
          <cell r="E1070" t="str">
            <v>Blasdelezo</v>
          </cell>
          <cell r="H1070" t="str">
            <v>urgencia</v>
          </cell>
          <cell r="J1070" t="str">
            <v>bueno</v>
          </cell>
          <cell r="K1070" t="str">
            <v>defsi</v>
          </cell>
        </row>
        <row r="1071">
          <cell r="B1071" t="b">
            <v>0</v>
          </cell>
          <cell r="E1071" t="str">
            <v>Blasdelezo</v>
          </cell>
          <cell r="H1071" t="str">
            <v>urgencia</v>
          </cell>
          <cell r="J1071" t="str">
            <v>regular</v>
          </cell>
          <cell r="K1071" t="str">
            <v>probsi</v>
          </cell>
        </row>
        <row r="1072">
          <cell r="B1072" t="b">
            <v>1</v>
          </cell>
          <cell r="E1072" t="str">
            <v>Blasdelezo</v>
          </cell>
          <cell r="H1072" t="str">
            <v>urgencia</v>
          </cell>
          <cell r="J1072" t="str">
            <v>bueno</v>
          </cell>
          <cell r="K1072" t="str">
            <v>defsi</v>
          </cell>
        </row>
        <row r="1073">
          <cell r="B1073" t="b">
            <v>1</v>
          </cell>
          <cell r="E1073" t="str">
            <v>Blasdelezo</v>
          </cell>
          <cell r="H1073" t="str">
            <v>laboratorio</v>
          </cell>
          <cell r="J1073" t="str">
            <v>bueno</v>
          </cell>
          <cell r="K1073" t="str">
            <v>defsi</v>
          </cell>
        </row>
        <row r="1074">
          <cell r="B1074" t="b">
            <v>0</v>
          </cell>
          <cell r="E1074" t="str">
            <v>Blasdelezo</v>
          </cell>
          <cell r="H1074" t="str">
            <v>urgencia</v>
          </cell>
          <cell r="J1074" t="str">
            <v>regular</v>
          </cell>
          <cell r="K1074" t="str">
            <v>defsi</v>
          </cell>
        </row>
        <row r="1075">
          <cell r="B1075" t="b">
            <v>0</v>
          </cell>
          <cell r="E1075" t="str">
            <v>Blasdelezo</v>
          </cell>
          <cell r="H1075" t="str">
            <v>urgencia</v>
          </cell>
          <cell r="J1075" t="str">
            <v>regular</v>
          </cell>
          <cell r="K1075" t="str">
            <v>defsi</v>
          </cell>
        </row>
        <row r="1076">
          <cell r="B1076" t="b">
            <v>1</v>
          </cell>
          <cell r="E1076" t="str">
            <v>Blasdelezo</v>
          </cell>
          <cell r="H1076" t="str">
            <v>urgencia</v>
          </cell>
          <cell r="J1076" t="str">
            <v>bueno</v>
          </cell>
          <cell r="K1076" t="str">
            <v>defsi</v>
          </cell>
        </row>
        <row r="1077">
          <cell r="B1077" t="b">
            <v>1</v>
          </cell>
          <cell r="E1077" t="str">
            <v>Blasdelezo</v>
          </cell>
          <cell r="H1077" t="str">
            <v>urgencia</v>
          </cell>
          <cell r="J1077" t="str">
            <v>bueno</v>
          </cell>
          <cell r="K1077" t="str">
            <v>defsi</v>
          </cell>
        </row>
        <row r="1078">
          <cell r="B1078" t="b">
            <v>1</v>
          </cell>
          <cell r="E1078" t="str">
            <v>Blasdelezo</v>
          </cell>
          <cell r="H1078" t="str">
            <v>laboratorio</v>
          </cell>
          <cell r="J1078" t="str">
            <v>bueno</v>
          </cell>
          <cell r="K1078" t="str">
            <v>defsi</v>
          </cell>
        </row>
        <row r="1079">
          <cell r="B1079" t="b">
            <v>1</v>
          </cell>
          <cell r="E1079" t="str">
            <v>Blasdelezo</v>
          </cell>
          <cell r="H1079" t="str">
            <v>laboratorio</v>
          </cell>
          <cell r="J1079" t="str">
            <v>bueno</v>
          </cell>
          <cell r="K1079" t="str">
            <v>defsi</v>
          </cell>
        </row>
        <row r="1080">
          <cell r="B1080" t="b">
            <v>1</v>
          </cell>
          <cell r="E1080" t="str">
            <v>Blasdelezo</v>
          </cell>
          <cell r="H1080" t="str">
            <v>consulta_externa</v>
          </cell>
          <cell r="J1080" t="str">
            <v>bueno</v>
          </cell>
          <cell r="K1080" t="str">
            <v>defsi</v>
          </cell>
        </row>
        <row r="1081">
          <cell r="B1081" t="b">
            <v>1</v>
          </cell>
          <cell r="E1081" t="str">
            <v>Blasdelezo</v>
          </cell>
          <cell r="H1081" t="str">
            <v>consulta_externa</v>
          </cell>
          <cell r="J1081" t="str">
            <v>bueno</v>
          </cell>
          <cell r="K1081" t="str">
            <v>defsi</v>
          </cell>
        </row>
        <row r="1082">
          <cell r="B1082" t="b">
            <v>1</v>
          </cell>
          <cell r="E1082" t="str">
            <v>Blasdelezo</v>
          </cell>
          <cell r="H1082" t="str">
            <v>salud_oral</v>
          </cell>
          <cell r="J1082" t="str">
            <v>bueno</v>
          </cell>
          <cell r="K1082" t="str">
            <v>defsi</v>
          </cell>
        </row>
        <row r="1083">
          <cell r="B1083" t="b">
            <v>1</v>
          </cell>
          <cell r="E1083" t="str">
            <v>Blasdelezo</v>
          </cell>
          <cell r="H1083" t="str">
            <v>salud_oral</v>
          </cell>
          <cell r="J1083" t="str">
            <v>bueno</v>
          </cell>
          <cell r="K1083" t="str">
            <v>defsi</v>
          </cell>
        </row>
        <row r="1084">
          <cell r="B1084" t="b">
            <v>1</v>
          </cell>
          <cell r="E1084" t="str">
            <v>Blasdelezo</v>
          </cell>
          <cell r="H1084" t="str">
            <v>salud_oral</v>
          </cell>
          <cell r="J1084" t="str">
            <v>bueno</v>
          </cell>
          <cell r="K1084" t="str">
            <v>defsi</v>
          </cell>
        </row>
        <row r="1085">
          <cell r="B1085" t="b">
            <v>0</v>
          </cell>
          <cell r="E1085" t="str">
            <v>Blasdelezo</v>
          </cell>
          <cell r="H1085" t="str">
            <v>salud_oral</v>
          </cell>
          <cell r="J1085" t="str">
            <v>regular</v>
          </cell>
          <cell r="K1085" t="str">
            <v>defsi</v>
          </cell>
        </row>
        <row r="1086">
          <cell r="B1086" t="b">
            <v>1</v>
          </cell>
          <cell r="E1086" t="str">
            <v>Fredonia</v>
          </cell>
          <cell r="H1086" t="str">
            <v>salud_oral</v>
          </cell>
          <cell r="J1086" t="str">
            <v>bueno</v>
          </cell>
          <cell r="K1086" t="str">
            <v>probsi</v>
          </cell>
        </row>
        <row r="1087">
          <cell r="B1087" t="b">
            <v>1</v>
          </cell>
          <cell r="E1087" t="str">
            <v>Fredonia</v>
          </cell>
          <cell r="H1087" t="str">
            <v>salud_oral</v>
          </cell>
          <cell r="J1087" t="str">
            <v>bueno</v>
          </cell>
          <cell r="K1087" t="str">
            <v>probsi</v>
          </cell>
        </row>
        <row r="1088">
          <cell r="B1088" t="b">
            <v>1</v>
          </cell>
          <cell r="E1088" t="str">
            <v>Fredonia</v>
          </cell>
          <cell r="H1088" t="str">
            <v>salud_oral</v>
          </cell>
          <cell r="J1088" t="str">
            <v>bueno</v>
          </cell>
          <cell r="K1088" t="str">
            <v>probsi</v>
          </cell>
        </row>
        <row r="1089">
          <cell r="B1089" t="b">
            <v>1</v>
          </cell>
          <cell r="E1089" t="str">
            <v>Fredonia</v>
          </cell>
          <cell r="H1089" t="str">
            <v>salud_oral</v>
          </cell>
          <cell r="J1089" t="str">
            <v>bueno</v>
          </cell>
          <cell r="K1089" t="str">
            <v>probsi</v>
          </cell>
        </row>
        <row r="1090">
          <cell r="B1090" t="b">
            <v>1</v>
          </cell>
          <cell r="E1090" t="str">
            <v>Gaviotas</v>
          </cell>
          <cell r="H1090" t="str">
            <v>consulta_externa</v>
          </cell>
          <cell r="J1090" t="str">
            <v>bueno</v>
          </cell>
          <cell r="K1090" t="str">
            <v>probsi</v>
          </cell>
        </row>
        <row r="1091">
          <cell r="B1091" t="b">
            <v>1</v>
          </cell>
          <cell r="E1091" t="str">
            <v>Gaviotas</v>
          </cell>
          <cell r="H1091" t="str">
            <v>consulta_externa</v>
          </cell>
          <cell r="J1091" t="str">
            <v>bueno</v>
          </cell>
          <cell r="K1091" t="str">
            <v>probsi</v>
          </cell>
        </row>
        <row r="1092">
          <cell r="B1092" t="b">
            <v>1</v>
          </cell>
          <cell r="E1092" t="str">
            <v>Gaviotas</v>
          </cell>
          <cell r="H1092" t="str">
            <v>laboratorio</v>
          </cell>
          <cell r="J1092" t="str">
            <v>bueno</v>
          </cell>
          <cell r="K1092" t="str">
            <v>probsi</v>
          </cell>
        </row>
        <row r="1093">
          <cell r="B1093" t="b">
            <v>1</v>
          </cell>
          <cell r="E1093" t="str">
            <v>Gaviotas</v>
          </cell>
          <cell r="H1093" t="str">
            <v>laboratorio</v>
          </cell>
          <cell r="J1093" t="str">
            <v>bueno</v>
          </cell>
          <cell r="K1093" t="str">
            <v>probsi</v>
          </cell>
        </row>
        <row r="1094">
          <cell r="B1094" t="b">
            <v>1</v>
          </cell>
          <cell r="E1094" t="str">
            <v>Gaviotas</v>
          </cell>
          <cell r="H1094" t="str">
            <v>laboratorio</v>
          </cell>
          <cell r="J1094" t="str">
            <v>bueno</v>
          </cell>
          <cell r="K1094" t="str">
            <v>probsi</v>
          </cell>
        </row>
        <row r="1095">
          <cell r="B1095" t="b">
            <v>1</v>
          </cell>
          <cell r="E1095" t="str">
            <v>Gaviotas</v>
          </cell>
          <cell r="H1095" t="str">
            <v>laboratorio</v>
          </cell>
          <cell r="J1095" t="str">
            <v>bueno</v>
          </cell>
          <cell r="K1095" t="str">
            <v>probsi</v>
          </cell>
        </row>
        <row r="1096">
          <cell r="B1096" t="b">
            <v>1</v>
          </cell>
          <cell r="E1096" t="str">
            <v>Gaviotas</v>
          </cell>
          <cell r="H1096" t="str">
            <v>laboratorio</v>
          </cell>
          <cell r="J1096" t="str">
            <v>bueno</v>
          </cell>
          <cell r="K1096" t="str">
            <v>probsi</v>
          </cell>
        </row>
        <row r="1097">
          <cell r="B1097" t="b">
            <v>1</v>
          </cell>
          <cell r="E1097" t="str">
            <v>Gaviotas</v>
          </cell>
          <cell r="H1097" t="str">
            <v>laboratorio</v>
          </cell>
          <cell r="J1097" t="str">
            <v>bueno</v>
          </cell>
          <cell r="K1097" t="str">
            <v>probsi</v>
          </cell>
        </row>
        <row r="1098">
          <cell r="B1098" t="b">
            <v>1</v>
          </cell>
          <cell r="E1098" t="str">
            <v>Gaviotas</v>
          </cell>
          <cell r="H1098" t="str">
            <v>laboratorio</v>
          </cell>
          <cell r="J1098" t="str">
            <v>bueno</v>
          </cell>
          <cell r="K1098" t="str">
            <v>probsi</v>
          </cell>
        </row>
        <row r="1099">
          <cell r="B1099" t="b">
            <v>1</v>
          </cell>
          <cell r="E1099" t="str">
            <v>Gaviotas</v>
          </cell>
          <cell r="H1099" t="str">
            <v>laboratorio</v>
          </cell>
          <cell r="J1099" t="str">
            <v>bueno</v>
          </cell>
          <cell r="K1099" t="str">
            <v>probsi</v>
          </cell>
        </row>
        <row r="1100">
          <cell r="B1100" t="b">
            <v>1</v>
          </cell>
          <cell r="E1100" t="str">
            <v>Gaviotas</v>
          </cell>
          <cell r="H1100" t="str">
            <v>laboratorio</v>
          </cell>
          <cell r="J1100" t="str">
            <v>bueno</v>
          </cell>
          <cell r="K1100" t="str">
            <v>probsi</v>
          </cell>
        </row>
        <row r="1101">
          <cell r="B1101" t="b">
            <v>1</v>
          </cell>
          <cell r="E1101" t="str">
            <v>Gaviotas</v>
          </cell>
          <cell r="H1101" t="str">
            <v>consulta_externa</v>
          </cell>
          <cell r="J1101" t="str">
            <v>bueno</v>
          </cell>
          <cell r="K1101" t="str">
            <v>probsi</v>
          </cell>
        </row>
        <row r="1102">
          <cell r="B1102" t="b">
            <v>1</v>
          </cell>
          <cell r="E1102" t="str">
            <v>Gaviotas</v>
          </cell>
          <cell r="H1102" t="str">
            <v>consulta_externa</v>
          </cell>
          <cell r="J1102" t="str">
            <v>bueno</v>
          </cell>
          <cell r="K1102" t="str">
            <v>probsi</v>
          </cell>
        </row>
        <row r="1103">
          <cell r="B1103" t="b">
            <v>1</v>
          </cell>
          <cell r="E1103" t="str">
            <v>Gaviotas</v>
          </cell>
          <cell r="H1103" t="str">
            <v>consulta_externa</v>
          </cell>
          <cell r="J1103" t="str">
            <v>bueno</v>
          </cell>
          <cell r="K1103" t="str">
            <v>probsi</v>
          </cell>
        </row>
        <row r="1104">
          <cell r="B1104" t="b">
            <v>1</v>
          </cell>
          <cell r="E1104" t="str">
            <v>Gaviotas</v>
          </cell>
          <cell r="H1104" t="str">
            <v>salud_oral</v>
          </cell>
          <cell r="J1104" t="str">
            <v>bueno</v>
          </cell>
          <cell r="K1104" t="str">
            <v>probsi</v>
          </cell>
        </row>
        <row r="1105">
          <cell r="B1105" t="b">
            <v>1</v>
          </cell>
          <cell r="E1105" t="str">
            <v>Gaviotas</v>
          </cell>
          <cell r="H1105" t="str">
            <v>salud_oral</v>
          </cell>
          <cell r="J1105" t="str">
            <v>bueno</v>
          </cell>
          <cell r="K1105" t="str">
            <v>probsi</v>
          </cell>
        </row>
        <row r="1106">
          <cell r="B1106" t="b">
            <v>1</v>
          </cell>
          <cell r="E1106" t="str">
            <v>Gaviotas</v>
          </cell>
          <cell r="H1106" t="str">
            <v>salud_oral</v>
          </cell>
          <cell r="J1106" t="str">
            <v>bueno</v>
          </cell>
          <cell r="K1106" t="str">
            <v>probsi</v>
          </cell>
        </row>
        <row r="1107">
          <cell r="B1107" t="b">
            <v>0</v>
          </cell>
          <cell r="E1107" t="str">
            <v>San Pedro y Libertad</v>
          </cell>
          <cell r="H1107" t="str">
            <v>consulta_externa</v>
          </cell>
          <cell r="J1107" t="str">
            <v>regular</v>
          </cell>
          <cell r="K1107" t="str">
            <v>probsi</v>
          </cell>
        </row>
        <row r="1108">
          <cell r="B1108" t="b">
            <v>0</v>
          </cell>
          <cell r="E1108" t="str">
            <v>San Pedro y Libertad</v>
          </cell>
          <cell r="H1108" t="str">
            <v>laboratorio</v>
          </cell>
          <cell r="J1108" t="str">
            <v>regular</v>
          </cell>
          <cell r="K1108" t="str">
            <v>probsi</v>
          </cell>
        </row>
        <row r="1109">
          <cell r="B1109" t="b">
            <v>1</v>
          </cell>
          <cell r="E1109" t="str">
            <v>San Pedro y Libertad</v>
          </cell>
          <cell r="H1109" t="str">
            <v>consulta_externa</v>
          </cell>
          <cell r="J1109" t="str">
            <v>bueno</v>
          </cell>
          <cell r="K1109" t="str">
            <v>probsi</v>
          </cell>
        </row>
        <row r="1110">
          <cell r="B1110" t="b">
            <v>1</v>
          </cell>
          <cell r="E1110" t="str">
            <v>San Pedro y Libertad</v>
          </cell>
          <cell r="H1110" t="str">
            <v>consulta_externa</v>
          </cell>
          <cell r="J1110" t="str">
            <v>bueno</v>
          </cell>
          <cell r="K1110" t="str">
            <v>probsi</v>
          </cell>
        </row>
        <row r="1111">
          <cell r="B1111" t="b">
            <v>1</v>
          </cell>
          <cell r="E1111" t="str">
            <v>San Pedro y Libertad</v>
          </cell>
          <cell r="H1111" t="str">
            <v>laboratorio</v>
          </cell>
          <cell r="J1111" t="str">
            <v>bueno</v>
          </cell>
          <cell r="K1111" t="str">
            <v>probsi</v>
          </cell>
        </row>
        <row r="1112">
          <cell r="B1112" t="b">
            <v>1</v>
          </cell>
          <cell r="E1112" t="str">
            <v>San Pedro y Libertad</v>
          </cell>
          <cell r="H1112" t="str">
            <v>salud_oral</v>
          </cell>
          <cell r="J1112" t="str">
            <v>bueno</v>
          </cell>
          <cell r="K1112" t="str">
            <v>probsi</v>
          </cell>
        </row>
        <row r="1113">
          <cell r="B1113" t="b">
            <v>1</v>
          </cell>
          <cell r="E1113" t="str">
            <v>San Pedro y Libertad</v>
          </cell>
          <cell r="H1113" t="str">
            <v>salud_oral</v>
          </cell>
          <cell r="J1113" t="str">
            <v>bueno</v>
          </cell>
          <cell r="K1113" t="str">
            <v>probsi</v>
          </cell>
        </row>
        <row r="1114">
          <cell r="B1114" t="b">
            <v>1</v>
          </cell>
          <cell r="E1114" t="str">
            <v>San Pedro y Libertad</v>
          </cell>
          <cell r="H1114" t="str">
            <v>consulta_externa</v>
          </cell>
          <cell r="J1114" t="str">
            <v>bueno</v>
          </cell>
          <cell r="K1114" t="str">
            <v>probsi</v>
          </cell>
        </row>
        <row r="1115">
          <cell r="B1115" t="b">
            <v>1</v>
          </cell>
          <cell r="E1115" t="str">
            <v>San Pedro y Libertad</v>
          </cell>
          <cell r="H1115" t="str">
            <v>laboratorio</v>
          </cell>
          <cell r="J1115" t="str">
            <v>bueno</v>
          </cell>
          <cell r="K1115" t="str">
            <v>probsi</v>
          </cell>
        </row>
        <row r="1116">
          <cell r="B1116" t="b">
            <v>1</v>
          </cell>
          <cell r="E1116" t="str">
            <v>San Pedro y Libertad</v>
          </cell>
          <cell r="H1116" t="str">
            <v>consulta_externa</v>
          </cell>
          <cell r="J1116" t="str">
            <v>bueno</v>
          </cell>
          <cell r="K1116" t="str">
            <v>probsi</v>
          </cell>
        </row>
        <row r="1117">
          <cell r="B1117" t="b">
            <v>1</v>
          </cell>
          <cell r="E1117" t="str">
            <v>San Pedro y Libertad</v>
          </cell>
          <cell r="H1117" t="str">
            <v>laboratorio</v>
          </cell>
          <cell r="J1117" t="str">
            <v>bueno</v>
          </cell>
          <cell r="K1117" t="str">
            <v>probsi</v>
          </cell>
        </row>
        <row r="1118">
          <cell r="B1118" t="b">
            <v>1</v>
          </cell>
          <cell r="E1118" t="str">
            <v>San Pedro y Libertad</v>
          </cell>
          <cell r="H1118" t="str">
            <v>salud_oral</v>
          </cell>
          <cell r="J1118" t="str">
            <v>bueno</v>
          </cell>
          <cell r="K1118" t="str">
            <v>probsi</v>
          </cell>
        </row>
        <row r="1119">
          <cell r="B1119" t="b">
            <v>1</v>
          </cell>
          <cell r="E1119" t="str">
            <v>San Pedro y Libertad</v>
          </cell>
          <cell r="H1119" t="str">
            <v>consulta_externa</v>
          </cell>
          <cell r="J1119" t="str">
            <v>bueno</v>
          </cell>
          <cell r="K1119" t="str">
            <v>probsi</v>
          </cell>
        </row>
        <row r="1120">
          <cell r="B1120" t="b">
            <v>1</v>
          </cell>
          <cell r="E1120" t="str">
            <v>San Pedro y Libertad</v>
          </cell>
          <cell r="H1120" t="str">
            <v>laboratorio</v>
          </cell>
          <cell r="J1120" t="str">
            <v>bueno</v>
          </cell>
          <cell r="K1120" t="str">
            <v>probsi</v>
          </cell>
        </row>
        <row r="1121">
          <cell r="B1121" t="b">
            <v>1</v>
          </cell>
          <cell r="E1121" t="str">
            <v>San Pedro y Libertad</v>
          </cell>
          <cell r="H1121" t="str">
            <v>consulta_externa</v>
          </cell>
          <cell r="J1121" t="str">
            <v>bueno</v>
          </cell>
          <cell r="K1121" t="str">
            <v>probsi</v>
          </cell>
        </row>
        <row r="1122">
          <cell r="B1122" t="b">
            <v>1</v>
          </cell>
          <cell r="E1122" t="str">
            <v>San Pedro y Libertad</v>
          </cell>
          <cell r="H1122" t="str">
            <v>salud_oral</v>
          </cell>
          <cell r="J1122" t="str">
            <v>bueno</v>
          </cell>
          <cell r="K1122" t="str">
            <v>probsi</v>
          </cell>
        </row>
        <row r="1123">
          <cell r="B1123" t="b">
            <v>1</v>
          </cell>
          <cell r="E1123" t="str">
            <v>San Pedro y Libertad</v>
          </cell>
          <cell r="H1123" t="str">
            <v>laboratorio</v>
          </cell>
          <cell r="J1123" t="str">
            <v>bueno</v>
          </cell>
          <cell r="K1123" t="str">
            <v>probsi</v>
          </cell>
        </row>
        <row r="1124">
          <cell r="B1124" t="b">
            <v>1</v>
          </cell>
          <cell r="E1124" t="str">
            <v>San Pedro y Libertad</v>
          </cell>
          <cell r="H1124" t="str">
            <v>consulta_externa</v>
          </cell>
          <cell r="J1124" t="str">
            <v>bueno</v>
          </cell>
          <cell r="K1124" t="str">
            <v>probsi</v>
          </cell>
        </row>
        <row r="1125">
          <cell r="B1125" t="b">
            <v>1</v>
          </cell>
          <cell r="E1125" t="str">
            <v>San Pedro y Libertad</v>
          </cell>
          <cell r="H1125" t="str">
            <v>laboratorio</v>
          </cell>
          <cell r="J1125" t="str">
            <v>bueno</v>
          </cell>
          <cell r="K1125" t="str">
            <v>probsi</v>
          </cell>
        </row>
        <row r="1126">
          <cell r="B1126" t="b">
            <v>1</v>
          </cell>
          <cell r="E1126" t="str">
            <v>San Pedro y Libertad</v>
          </cell>
          <cell r="H1126" t="str">
            <v>salud_oral</v>
          </cell>
          <cell r="J1126" t="str">
            <v>bueno</v>
          </cell>
          <cell r="K1126" t="str">
            <v>probsi</v>
          </cell>
        </row>
        <row r="1127">
          <cell r="B1127" t="b">
            <v>1</v>
          </cell>
          <cell r="E1127" t="str">
            <v>Gaviotas</v>
          </cell>
          <cell r="H1127" t="str">
            <v>consulta_externa</v>
          </cell>
          <cell r="J1127" t="str">
            <v>bueno</v>
          </cell>
          <cell r="K1127" t="str">
            <v>probsi</v>
          </cell>
        </row>
        <row r="1128">
          <cell r="B1128" t="b">
            <v>1</v>
          </cell>
          <cell r="E1128" t="str">
            <v>Gaviotas</v>
          </cell>
          <cell r="H1128" t="str">
            <v>consulta_externa</v>
          </cell>
          <cell r="J1128" t="str">
            <v>bueno</v>
          </cell>
          <cell r="K1128" t="str">
            <v>probsi</v>
          </cell>
        </row>
        <row r="1129">
          <cell r="B1129" t="b">
            <v>1</v>
          </cell>
          <cell r="E1129" t="str">
            <v>Gaviotas</v>
          </cell>
          <cell r="H1129" t="str">
            <v>laboratorio</v>
          </cell>
          <cell r="J1129" t="str">
            <v>bueno</v>
          </cell>
          <cell r="K1129" t="str">
            <v>probsi</v>
          </cell>
        </row>
        <row r="1130">
          <cell r="B1130" t="b">
            <v>1</v>
          </cell>
          <cell r="E1130" t="str">
            <v>Gaviotas</v>
          </cell>
          <cell r="H1130" t="str">
            <v>laboratorio</v>
          </cell>
          <cell r="J1130" t="str">
            <v>bueno</v>
          </cell>
          <cell r="K1130" t="str">
            <v>probsi</v>
          </cell>
        </row>
        <row r="1131">
          <cell r="B1131" t="b">
            <v>1</v>
          </cell>
          <cell r="E1131" t="str">
            <v>Gaviotas</v>
          </cell>
          <cell r="H1131" t="str">
            <v>laboratorio</v>
          </cell>
          <cell r="J1131" t="str">
            <v>bueno</v>
          </cell>
          <cell r="K1131" t="str">
            <v>probsi</v>
          </cell>
        </row>
        <row r="1132">
          <cell r="B1132" t="b">
            <v>1</v>
          </cell>
          <cell r="E1132" t="str">
            <v>Gaviotas</v>
          </cell>
          <cell r="H1132" t="str">
            <v>laboratorio</v>
          </cell>
          <cell r="J1132" t="str">
            <v>bueno</v>
          </cell>
          <cell r="K1132" t="str">
            <v>probsi</v>
          </cell>
        </row>
        <row r="1133">
          <cell r="B1133" t="b">
            <v>1</v>
          </cell>
          <cell r="E1133" t="str">
            <v>Gaviotas</v>
          </cell>
          <cell r="H1133" t="str">
            <v>consulta_externa</v>
          </cell>
          <cell r="J1133" t="str">
            <v>bueno</v>
          </cell>
          <cell r="K1133" t="str">
            <v>probsi</v>
          </cell>
        </row>
        <row r="1134">
          <cell r="B1134" t="b">
            <v>1</v>
          </cell>
          <cell r="E1134" t="str">
            <v>Gaviotas</v>
          </cell>
          <cell r="H1134" t="str">
            <v>consulta_externa</v>
          </cell>
          <cell r="J1134" t="str">
            <v>bueno</v>
          </cell>
          <cell r="K1134" t="str">
            <v>probsi</v>
          </cell>
        </row>
        <row r="1135">
          <cell r="B1135" t="b">
            <v>1</v>
          </cell>
          <cell r="E1135" t="str">
            <v>Gaviotas</v>
          </cell>
          <cell r="H1135" t="str">
            <v>consulta_externa</v>
          </cell>
          <cell r="J1135" t="str">
            <v>bueno</v>
          </cell>
          <cell r="K1135" t="str">
            <v>probsi</v>
          </cell>
        </row>
        <row r="1136">
          <cell r="B1136" t="b">
            <v>1</v>
          </cell>
          <cell r="E1136" t="str">
            <v>Gaviotas</v>
          </cell>
          <cell r="H1136" t="str">
            <v>consulta_externa</v>
          </cell>
          <cell r="J1136" t="str">
            <v>bueno</v>
          </cell>
          <cell r="K1136" t="str">
            <v>probsi</v>
          </cell>
        </row>
        <row r="1137">
          <cell r="B1137" t="b">
            <v>1</v>
          </cell>
          <cell r="E1137" t="str">
            <v>Gaviotas</v>
          </cell>
          <cell r="H1137" t="str">
            <v>consulta_externa</v>
          </cell>
          <cell r="J1137" t="str">
            <v>bueno</v>
          </cell>
          <cell r="K1137" t="str">
            <v>probsi</v>
          </cell>
        </row>
        <row r="1138">
          <cell r="B1138" t="b">
            <v>1</v>
          </cell>
          <cell r="E1138" t="str">
            <v>Gaviotas</v>
          </cell>
          <cell r="H1138" t="str">
            <v>consulta_externa</v>
          </cell>
          <cell r="J1138" t="str">
            <v>bueno</v>
          </cell>
          <cell r="K1138" t="str">
            <v>probsi</v>
          </cell>
        </row>
        <row r="1139">
          <cell r="B1139" t="b">
            <v>1</v>
          </cell>
          <cell r="E1139" t="str">
            <v>Gaviotas</v>
          </cell>
          <cell r="H1139" t="str">
            <v>laboratorio</v>
          </cell>
          <cell r="J1139" t="str">
            <v>bueno</v>
          </cell>
          <cell r="K1139" t="str">
            <v>probsi</v>
          </cell>
        </row>
        <row r="1140">
          <cell r="B1140" t="b">
            <v>1</v>
          </cell>
          <cell r="E1140" t="str">
            <v>Gaviotas</v>
          </cell>
          <cell r="H1140" t="str">
            <v>laboratorio</v>
          </cell>
          <cell r="J1140" t="str">
            <v>bueno</v>
          </cell>
          <cell r="K1140" t="str">
            <v>probsi</v>
          </cell>
        </row>
        <row r="1141">
          <cell r="B1141" t="b">
            <v>1</v>
          </cell>
          <cell r="E1141" t="str">
            <v>San Pedro y Libertad</v>
          </cell>
          <cell r="H1141" t="str">
            <v>consulta_externa</v>
          </cell>
          <cell r="J1141" t="str">
            <v>bueno</v>
          </cell>
          <cell r="K1141" t="str">
            <v>probsi</v>
          </cell>
        </row>
        <row r="1142">
          <cell r="B1142" t="b">
            <v>1</v>
          </cell>
          <cell r="E1142" t="str">
            <v>Gaviotas</v>
          </cell>
          <cell r="H1142" t="str">
            <v>salud_oral</v>
          </cell>
          <cell r="J1142" t="str">
            <v>bueno</v>
          </cell>
          <cell r="K1142" t="str">
            <v>probsi</v>
          </cell>
        </row>
        <row r="1143">
          <cell r="B1143" t="b">
            <v>1</v>
          </cell>
          <cell r="E1143" t="str">
            <v>Gaviotas</v>
          </cell>
          <cell r="H1143" t="str">
            <v>salud_oral</v>
          </cell>
          <cell r="J1143" t="str">
            <v>bueno</v>
          </cell>
          <cell r="K1143" t="str">
            <v>probsi</v>
          </cell>
        </row>
        <row r="1144">
          <cell r="B1144" t="b">
            <v>1</v>
          </cell>
          <cell r="E1144" t="str">
            <v>Gaviotas</v>
          </cell>
          <cell r="H1144" t="str">
            <v>salud_oral</v>
          </cell>
          <cell r="J1144" t="str">
            <v>bueno</v>
          </cell>
          <cell r="K1144" t="str">
            <v>probsi</v>
          </cell>
        </row>
        <row r="1145">
          <cell r="B1145" t="b">
            <v>1</v>
          </cell>
          <cell r="E1145" t="str">
            <v>San Pedro y Libertad</v>
          </cell>
          <cell r="H1145" t="str">
            <v>laboratorio</v>
          </cell>
          <cell r="J1145" t="str">
            <v>bueno</v>
          </cell>
          <cell r="K1145" t="str">
            <v>probsi</v>
          </cell>
        </row>
        <row r="1146">
          <cell r="B1146" t="b">
            <v>1</v>
          </cell>
          <cell r="E1146" t="str">
            <v>Gaviotas</v>
          </cell>
          <cell r="H1146" t="str">
            <v>salud_oral</v>
          </cell>
          <cell r="J1146" t="str">
            <v>bueno</v>
          </cell>
          <cell r="K1146" t="str">
            <v>probsi</v>
          </cell>
        </row>
        <row r="1147">
          <cell r="B1147" t="b">
            <v>1</v>
          </cell>
          <cell r="E1147" t="str">
            <v>Gaviotas</v>
          </cell>
          <cell r="H1147" t="str">
            <v>salud_oral</v>
          </cell>
          <cell r="J1147" t="str">
            <v>bueno</v>
          </cell>
          <cell r="K1147" t="str">
            <v>probsi</v>
          </cell>
        </row>
        <row r="1148">
          <cell r="B1148" t="b">
            <v>1</v>
          </cell>
          <cell r="E1148" t="str">
            <v>Gaviotas</v>
          </cell>
          <cell r="H1148" t="str">
            <v>salud_oral</v>
          </cell>
          <cell r="J1148" t="str">
            <v>bueno</v>
          </cell>
          <cell r="K1148" t="str">
            <v>probsi</v>
          </cell>
        </row>
        <row r="1149">
          <cell r="B1149" t="b">
            <v>1</v>
          </cell>
          <cell r="E1149" t="str">
            <v>San Pedro y Libertad</v>
          </cell>
          <cell r="H1149" t="str">
            <v>salud_oral</v>
          </cell>
          <cell r="J1149" t="str">
            <v>bueno</v>
          </cell>
          <cell r="K1149" t="str">
            <v>probsi</v>
          </cell>
        </row>
        <row r="1150">
          <cell r="B1150" t="b">
            <v>1</v>
          </cell>
          <cell r="E1150" t="str">
            <v>Gaviotas</v>
          </cell>
          <cell r="H1150" t="str">
            <v>salud_oral</v>
          </cell>
          <cell r="J1150" t="str">
            <v>bueno</v>
          </cell>
          <cell r="K1150" t="str">
            <v>probsi</v>
          </cell>
        </row>
        <row r="1151">
          <cell r="B1151" t="b">
            <v>1</v>
          </cell>
          <cell r="E1151" t="str">
            <v>Gaviotas</v>
          </cell>
          <cell r="H1151" t="str">
            <v>salud_oral</v>
          </cell>
          <cell r="J1151" t="str">
            <v>bueno</v>
          </cell>
          <cell r="K1151" t="str">
            <v>probsi</v>
          </cell>
        </row>
        <row r="1152">
          <cell r="B1152" t="b">
            <v>1</v>
          </cell>
          <cell r="E1152" t="str">
            <v>Gaviotas</v>
          </cell>
          <cell r="H1152" t="str">
            <v>consulta_externa</v>
          </cell>
          <cell r="J1152" t="str">
            <v>bueno</v>
          </cell>
          <cell r="K1152" t="str">
            <v>probsi</v>
          </cell>
        </row>
        <row r="1153">
          <cell r="B1153" t="b">
            <v>1</v>
          </cell>
          <cell r="E1153" t="str">
            <v>Gaviotas</v>
          </cell>
          <cell r="H1153" t="str">
            <v>consulta_externa</v>
          </cell>
          <cell r="J1153" t="str">
            <v>bueno</v>
          </cell>
          <cell r="K1153" t="str">
            <v>probsi</v>
          </cell>
        </row>
        <row r="1154">
          <cell r="B1154" t="b">
            <v>1</v>
          </cell>
          <cell r="E1154" t="str">
            <v>Gaviotas</v>
          </cell>
          <cell r="H1154" t="str">
            <v>laboratorio</v>
          </cell>
          <cell r="J1154" t="str">
            <v>bueno</v>
          </cell>
          <cell r="K1154" t="str">
            <v>probsi</v>
          </cell>
        </row>
        <row r="1155">
          <cell r="B1155" t="b">
            <v>1</v>
          </cell>
          <cell r="E1155" t="str">
            <v>Gaviotas</v>
          </cell>
          <cell r="H1155" t="str">
            <v>laboratorio</v>
          </cell>
          <cell r="J1155" t="str">
            <v>bueno</v>
          </cell>
          <cell r="K1155" t="str">
            <v>probsi</v>
          </cell>
        </row>
        <row r="1156">
          <cell r="B1156" t="b">
            <v>1</v>
          </cell>
          <cell r="E1156" t="str">
            <v>Gaviotas</v>
          </cell>
          <cell r="H1156" t="str">
            <v>laboratorio</v>
          </cell>
          <cell r="J1156" t="str">
            <v>bueno</v>
          </cell>
          <cell r="K1156" t="str">
            <v>probsi</v>
          </cell>
        </row>
        <row r="1157">
          <cell r="B1157" t="b">
            <v>1</v>
          </cell>
          <cell r="E1157" t="str">
            <v>Gaviotas</v>
          </cell>
          <cell r="H1157" t="str">
            <v>consulta_externa</v>
          </cell>
          <cell r="J1157" t="str">
            <v>bueno</v>
          </cell>
          <cell r="K1157" t="str">
            <v>probsi</v>
          </cell>
        </row>
        <row r="1158">
          <cell r="B1158" t="b">
            <v>1</v>
          </cell>
          <cell r="E1158" t="str">
            <v>Gaviotas</v>
          </cell>
          <cell r="H1158" t="str">
            <v>consulta_externa</v>
          </cell>
          <cell r="J1158" t="str">
            <v>bueno</v>
          </cell>
          <cell r="K1158" t="str">
            <v>probsi</v>
          </cell>
        </row>
        <row r="1159">
          <cell r="B1159" t="b">
            <v>1</v>
          </cell>
          <cell r="E1159" t="str">
            <v>Gaviotas</v>
          </cell>
          <cell r="H1159" t="str">
            <v>consulta_externa</v>
          </cell>
          <cell r="J1159" t="str">
            <v>bueno</v>
          </cell>
          <cell r="K1159" t="str">
            <v>probsi</v>
          </cell>
        </row>
        <row r="1160">
          <cell r="B1160" t="b">
            <v>1</v>
          </cell>
          <cell r="E1160" t="str">
            <v>San Pedro y Libertad</v>
          </cell>
          <cell r="H1160" t="str">
            <v>consulta_externa</v>
          </cell>
          <cell r="J1160" t="str">
            <v>bueno</v>
          </cell>
          <cell r="K1160" t="str">
            <v>probsi</v>
          </cell>
        </row>
        <row r="1161">
          <cell r="B1161" t="b">
            <v>1</v>
          </cell>
          <cell r="E1161" t="str">
            <v>San Pedro y Libertad</v>
          </cell>
          <cell r="H1161" t="str">
            <v>laboratorio</v>
          </cell>
          <cell r="J1161" t="str">
            <v>bueno</v>
          </cell>
          <cell r="K1161" t="str">
            <v>probsi</v>
          </cell>
        </row>
        <row r="1162">
          <cell r="B1162" t="b">
            <v>1</v>
          </cell>
          <cell r="E1162" t="str">
            <v>San Vicente de Paul</v>
          </cell>
          <cell r="H1162" t="str">
            <v>consulta_externa</v>
          </cell>
          <cell r="J1162" t="str">
            <v>bueno</v>
          </cell>
          <cell r="K1162" t="str">
            <v>defsi</v>
          </cell>
        </row>
        <row r="1163">
          <cell r="B1163" t="b">
            <v>1</v>
          </cell>
          <cell r="E1163" t="str">
            <v>San Pedro y Libertad</v>
          </cell>
          <cell r="H1163" t="str">
            <v>salud_oral</v>
          </cell>
          <cell r="J1163" t="str">
            <v>bueno</v>
          </cell>
          <cell r="K1163" t="str">
            <v>probsi</v>
          </cell>
        </row>
        <row r="1164">
          <cell r="B1164" t="b">
            <v>1</v>
          </cell>
          <cell r="E1164" t="str">
            <v>San Vicente de Paul</v>
          </cell>
          <cell r="H1164" t="str">
            <v>consulta_externa</v>
          </cell>
          <cell r="J1164" t="str">
            <v>bueno</v>
          </cell>
          <cell r="K1164" t="str">
            <v>defsi</v>
          </cell>
        </row>
        <row r="1165">
          <cell r="B1165" t="b">
            <v>1</v>
          </cell>
          <cell r="E1165" t="str">
            <v>San Vicente de Paul</v>
          </cell>
          <cell r="H1165" t="str">
            <v>laboratorio</v>
          </cell>
          <cell r="J1165" t="str">
            <v>bueno</v>
          </cell>
          <cell r="K1165" t="str">
            <v>defsi</v>
          </cell>
        </row>
        <row r="1166">
          <cell r="B1166" t="b">
            <v>1</v>
          </cell>
          <cell r="E1166" t="str">
            <v>San Vicente de Paul</v>
          </cell>
          <cell r="H1166" t="str">
            <v>laboratorio</v>
          </cell>
          <cell r="J1166" t="str">
            <v>bueno</v>
          </cell>
          <cell r="K1166" t="str">
            <v>defsi</v>
          </cell>
        </row>
        <row r="1167">
          <cell r="B1167" t="b">
            <v>1</v>
          </cell>
          <cell r="E1167" t="str">
            <v>San Vicente de Paul</v>
          </cell>
          <cell r="H1167" t="str">
            <v>consulta_externa</v>
          </cell>
          <cell r="J1167" t="str">
            <v>bueno</v>
          </cell>
          <cell r="K1167" t="str">
            <v>defsi</v>
          </cell>
        </row>
        <row r="1168">
          <cell r="B1168" t="b">
            <v>1</v>
          </cell>
          <cell r="E1168" t="str">
            <v>San Vicente de Paul</v>
          </cell>
          <cell r="H1168" t="str">
            <v>consulta_externa</v>
          </cell>
          <cell r="J1168" t="str">
            <v>bueno</v>
          </cell>
          <cell r="K1168" t="str">
            <v>defsi</v>
          </cell>
        </row>
        <row r="1169">
          <cell r="B1169" t="b">
            <v>1</v>
          </cell>
          <cell r="E1169" t="str">
            <v>San Vicente de Paul</v>
          </cell>
          <cell r="H1169" t="str">
            <v>laboratorio</v>
          </cell>
          <cell r="J1169" t="str">
            <v>bueno</v>
          </cell>
          <cell r="K1169" t="str">
            <v>defsi</v>
          </cell>
        </row>
        <row r="1170">
          <cell r="B1170" t="b">
            <v>1</v>
          </cell>
          <cell r="E1170" t="str">
            <v>San Vicente de Paul</v>
          </cell>
          <cell r="H1170" t="str">
            <v>laboratorio</v>
          </cell>
          <cell r="J1170" t="str">
            <v>bueno</v>
          </cell>
          <cell r="K1170" t="str">
            <v>defsi</v>
          </cell>
        </row>
        <row r="1171">
          <cell r="B1171" t="b">
            <v>1</v>
          </cell>
          <cell r="E1171" t="str">
            <v>San Vicente de Paul</v>
          </cell>
          <cell r="H1171" t="str">
            <v>consulta_externa</v>
          </cell>
          <cell r="J1171" t="str">
            <v>bueno</v>
          </cell>
          <cell r="K1171" t="str">
            <v>defsi</v>
          </cell>
        </row>
        <row r="1172">
          <cell r="B1172" t="b">
            <v>1</v>
          </cell>
          <cell r="E1172" t="str">
            <v>San Pedro y Libertad</v>
          </cell>
          <cell r="H1172" t="str">
            <v>consulta_externa</v>
          </cell>
          <cell r="J1172" t="str">
            <v>bueno</v>
          </cell>
          <cell r="K1172" t="str">
            <v>probsi</v>
          </cell>
        </row>
        <row r="1173">
          <cell r="B1173" t="b">
            <v>1</v>
          </cell>
          <cell r="E1173" t="str">
            <v>San Pedro y Libertad</v>
          </cell>
          <cell r="H1173" t="str">
            <v>laboratorio</v>
          </cell>
          <cell r="J1173" t="str">
            <v>bueno</v>
          </cell>
          <cell r="K1173" t="str">
            <v>probsi</v>
          </cell>
        </row>
        <row r="1174">
          <cell r="B1174" t="b">
            <v>1</v>
          </cell>
          <cell r="E1174" t="str">
            <v>San Vicente de Paul</v>
          </cell>
          <cell r="H1174" t="str">
            <v>consulta_externa</v>
          </cell>
          <cell r="J1174" t="str">
            <v>bueno</v>
          </cell>
          <cell r="K1174" t="str">
            <v>defsi</v>
          </cell>
        </row>
        <row r="1175">
          <cell r="B1175" t="b">
            <v>1</v>
          </cell>
          <cell r="E1175" t="str">
            <v>San Vicente de Paul</v>
          </cell>
          <cell r="H1175" t="str">
            <v>consulta_externa</v>
          </cell>
          <cell r="J1175" t="str">
            <v>bueno</v>
          </cell>
          <cell r="K1175" t="str">
            <v>defsi</v>
          </cell>
        </row>
        <row r="1176">
          <cell r="B1176" t="b">
            <v>1</v>
          </cell>
          <cell r="E1176" t="str">
            <v>San Vicente de Paul</v>
          </cell>
          <cell r="H1176" t="str">
            <v>consulta_externa</v>
          </cell>
          <cell r="J1176" t="str">
            <v>bueno</v>
          </cell>
          <cell r="K1176" t="str">
            <v>defsi</v>
          </cell>
        </row>
        <row r="1177">
          <cell r="B1177" t="b">
            <v>1</v>
          </cell>
          <cell r="E1177" t="str">
            <v>San Vicente de Paul</v>
          </cell>
          <cell r="H1177" t="str">
            <v>salud_oral</v>
          </cell>
          <cell r="J1177" t="str">
            <v>bueno</v>
          </cell>
          <cell r="K1177" t="str">
            <v>defsi</v>
          </cell>
        </row>
        <row r="1178">
          <cell r="B1178" t="b">
            <v>1</v>
          </cell>
          <cell r="E1178" t="str">
            <v>San Vicente de Paul</v>
          </cell>
          <cell r="H1178" t="str">
            <v>salud_oral</v>
          </cell>
          <cell r="J1178" t="str">
            <v>bueno</v>
          </cell>
          <cell r="K1178" t="str">
            <v>defsi</v>
          </cell>
        </row>
        <row r="1179">
          <cell r="B1179" t="b">
            <v>0</v>
          </cell>
          <cell r="E1179" t="str">
            <v>San Pedro y Libertad</v>
          </cell>
          <cell r="H1179" t="str">
            <v>consulta_externa</v>
          </cell>
          <cell r="J1179" t="str">
            <v>regular</v>
          </cell>
          <cell r="K1179" t="str">
            <v>probsi</v>
          </cell>
        </row>
        <row r="1180">
          <cell r="B1180" t="b">
            <v>0</v>
          </cell>
          <cell r="E1180" t="str">
            <v>San Pedro y Libertad</v>
          </cell>
          <cell r="H1180" t="str">
            <v>salud_oral</v>
          </cell>
          <cell r="J1180" t="str">
            <v>regular</v>
          </cell>
          <cell r="K1180" t="str">
            <v>probsi</v>
          </cell>
        </row>
        <row r="1181">
          <cell r="B1181" t="b">
            <v>0</v>
          </cell>
          <cell r="E1181" t="str">
            <v>San Pedro y Libertad</v>
          </cell>
          <cell r="H1181" t="str">
            <v>laboratorio</v>
          </cell>
          <cell r="J1181" t="str">
            <v>regular</v>
          </cell>
          <cell r="K1181" t="str">
            <v>probsi</v>
          </cell>
        </row>
        <row r="1182">
          <cell r="B1182" t="b">
            <v>0</v>
          </cell>
          <cell r="E1182" t="str">
            <v>San Pedro y Libertad</v>
          </cell>
          <cell r="H1182" t="str">
            <v>laboratorio</v>
          </cell>
          <cell r="J1182" t="str">
            <v>regular</v>
          </cell>
          <cell r="K1182" t="str">
            <v>probsi</v>
          </cell>
        </row>
        <row r="1183">
          <cell r="B1183" t="b">
            <v>1</v>
          </cell>
          <cell r="E1183" t="str">
            <v>Punta Canoa</v>
          </cell>
          <cell r="H1183" t="str">
            <v>consulta_externa</v>
          </cell>
          <cell r="J1183" t="str">
            <v>bueno</v>
          </cell>
          <cell r="K1183" t="str">
            <v>defsi</v>
          </cell>
        </row>
        <row r="1184">
          <cell r="B1184" t="b">
            <v>1</v>
          </cell>
          <cell r="E1184" t="str">
            <v>San Vicente de Paul</v>
          </cell>
          <cell r="H1184" t="str">
            <v>salud_oral</v>
          </cell>
          <cell r="J1184" t="str">
            <v>bueno</v>
          </cell>
          <cell r="K1184" t="str">
            <v>defsi</v>
          </cell>
        </row>
        <row r="1185">
          <cell r="B1185" t="b">
            <v>1</v>
          </cell>
          <cell r="E1185" t="str">
            <v>Punta Canoa</v>
          </cell>
          <cell r="H1185" t="str">
            <v>salud_oral</v>
          </cell>
          <cell r="J1185" t="str">
            <v>bueno</v>
          </cell>
          <cell r="K1185" t="str">
            <v>defsi</v>
          </cell>
        </row>
        <row r="1186">
          <cell r="B1186" t="b">
            <v>1</v>
          </cell>
          <cell r="E1186" t="str">
            <v>Punta Canoa</v>
          </cell>
          <cell r="H1186" t="str">
            <v>laboratorio</v>
          </cell>
          <cell r="J1186" t="str">
            <v>bueno</v>
          </cell>
          <cell r="K1186" t="str">
            <v>defsi</v>
          </cell>
        </row>
        <row r="1187">
          <cell r="B1187" t="b">
            <v>1</v>
          </cell>
          <cell r="E1187" t="str">
            <v>San Vicente de Paul</v>
          </cell>
          <cell r="H1187" t="str">
            <v>laboratorio</v>
          </cell>
          <cell r="J1187" t="str">
            <v>bueno</v>
          </cell>
          <cell r="K1187" t="str">
            <v>defsi</v>
          </cell>
        </row>
        <row r="1188">
          <cell r="B1188" t="b">
            <v>1</v>
          </cell>
          <cell r="E1188" t="str">
            <v>Punta Canoa</v>
          </cell>
          <cell r="H1188" t="str">
            <v>consulta_externa</v>
          </cell>
          <cell r="J1188" t="str">
            <v>bueno</v>
          </cell>
          <cell r="K1188" t="str">
            <v>defsi</v>
          </cell>
        </row>
        <row r="1189">
          <cell r="B1189" t="b">
            <v>1</v>
          </cell>
          <cell r="E1189" t="str">
            <v>San Vicente de Paul</v>
          </cell>
          <cell r="H1189" t="str">
            <v>laboratorio</v>
          </cell>
          <cell r="J1189" t="str">
            <v>bueno</v>
          </cell>
          <cell r="K1189" t="str">
            <v>defsi</v>
          </cell>
        </row>
        <row r="1190">
          <cell r="B1190" t="b">
            <v>1</v>
          </cell>
          <cell r="E1190" t="str">
            <v>San Vicente de Paul</v>
          </cell>
          <cell r="H1190" t="str">
            <v>laboratorio</v>
          </cell>
          <cell r="J1190" t="str">
            <v>bueno</v>
          </cell>
          <cell r="K1190" t="str">
            <v>defsi</v>
          </cell>
        </row>
        <row r="1191">
          <cell r="B1191" t="b">
            <v>1</v>
          </cell>
          <cell r="E1191" t="str">
            <v>Punta Canoa</v>
          </cell>
          <cell r="H1191" t="str">
            <v>salud_oral</v>
          </cell>
          <cell r="J1191" t="str">
            <v>bueno</v>
          </cell>
          <cell r="K1191" t="str">
            <v>defsi</v>
          </cell>
        </row>
        <row r="1192">
          <cell r="B1192" t="b">
            <v>1</v>
          </cell>
          <cell r="E1192" t="str">
            <v>San Vicente de Paul</v>
          </cell>
          <cell r="H1192" t="str">
            <v>laboratorio</v>
          </cell>
          <cell r="J1192" t="str">
            <v>bueno</v>
          </cell>
          <cell r="K1192" t="str">
            <v>defsi</v>
          </cell>
        </row>
        <row r="1193">
          <cell r="B1193" t="b">
            <v>1</v>
          </cell>
          <cell r="E1193" t="str">
            <v>Punta Canoa</v>
          </cell>
          <cell r="H1193" t="str">
            <v>laboratorio</v>
          </cell>
          <cell r="J1193" t="str">
            <v>bueno</v>
          </cell>
          <cell r="K1193" t="str">
            <v>defsi</v>
          </cell>
        </row>
        <row r="1194">
          <cell r="B1194" t="b">
            <v>1</v>
          </cell>
          <cell r="E1194" t="str">
            <v>San Vicente de Paul</v>
          </cell>
          <cell r="H1194" t="str">
            <v>laboratorio</v>
          </cell>
          <cell r="J1194" t="str">
            <v>bueno</v>
          </cell>
          <cell r="K1194" t="str">
            <v>defsi</v>
          </cell>
        </row>
        <row r="1195">
          <cell r="B1195" t="b">
            <v>1</v>
          </cell>
          <cell r="E1195" t="str">
            <v>San Vicente de Paul</v>
          </cell>
          <cell r="H1195" t="str">
            <v>consulta_externa</v>
          </cell>
          <cell r="J1195" t="str">
            <v>bueno</v>
          </cell>
          <cell r="K1195" t="str">
            <v>defsi</v>
          </cell>
        </row>
        <row r="1196">
          <cell r="B1196" t="b">
            <v>1</v>
          </cell>
          <cell r="E1196" t="str">
            <v>Punta Canoa</v>
          </cell>
          <cell r="H1196" t="str">
            <v>consulta_externa</v>
          </cell>
          <cell r="J1196" t="str">
            <v>bueno</v>
          </cell>
          <cell r="K1196" t="str">
            <v>defsi</v>
          </cell>
        </row>
        <row r="1197">
          <cell r="B1197" t="b">
            <v>1</v>
          </cell>
          <cell r="E1197" t="str">
            <v>Punta Canoa</v>
          </cell>
          <cell r="H1197" t="str">
            <v>salud_oral</v>
          </cell>
          <cell r="J1197" t="str">
            <v>bueno</v>
          </cell>
          <cell r="K1197" t="str">
            <v>defsi</v>
          </cell>
        </row>
        <row r="1198">
          <cell r="B1198" t="b">
            <v>1</v>
          </cell>
          <cell r="E1198" t="str">
            <v>Punta Canoa</v>
          </cell>
          <cell r="H1198" t="str">
            <v>laboratorio</v>
          </cell>
          <cell r="J1198" t="str">
            <v>bueno</v>
          </cell>
          <cell r="K1198" t="str">
            <v>defsi</v>
          </cell>
        </row>
        <row r="1199">
          <cell r="B1199" t="b">
            <v>1</v>
          </cell>
          <cell r="E1199" t="str">
            <v>Punta Canoa</v>
          </cell>
          <cell r="H1199" t="str">
            <v>consulta_externa</v>
          </cell>
          <cell r="J1199" t="str">
            <v>bueno</v>
          </cell>
          <cell r="K1199" t="str">
            <v>defsi</v>
          </cell>
        </row>
        <row r="1200">
          <cell r="B1200" t="b">
            <v>1</v>
          </cell>
          <cell r="E1200" t="str">
            <v>Punta Canoa</v>
          </cell>
          <cell r="H1200" t="str">
            <v>salud_oral</v>
          </cell>
          <cell r="J1200" t="str">
            <v>bueno</v>
          </cell>
          <cell r="K1200" t="str">
            <v>defsi</v>
          </cell>
        </row>
        <row r="1201">
          <cell r="B1201" t="b">
            <v>1</v>
          </cell>
          <cell r="E1201" t="str">
            <v>Punta Canoa</v>
          </cell>
          <cell r="H1201" t="str">
            <v>laboratorio</v>
          </cell>
          <cell r="J1201" t="str">
            <v>bueno</v>
          </cell>
          <cell r="K1201" t="str">
            <v>defsi</v>
          </cell>
        </row>
        <row r="1202">
          <cell r="B1202" t="b">
            <v>1</v>
          </cell>
          <cell r="E1202" t="str">
            <v>Punta Canoa</v>
          </cell>
          <cell r="H1202" t="str">
            <v>consulta_externa</v>
          </cell>
          <cell r="J1202" t="str">
            <v>bueno</v>
          </cell>
          <cell r="K1202" t="str">
            <v>defsi</v>
          </cell>
        </row>
        <row r="1203">
          <cell r="B1203" t="b">
            <v>1</v>
          </cell>
          <cell r="E1203" t="str">
            <v>Punta Canoa</v>
          </cell>
          <cell r="H1203" t="str">
            <v>salud_oral</v>
          </cell>
          <cell r="J1203" t="str">
            <v>bueno</v>
          </cell>
          <cell r="K1203" t="str">
            <v>defsi</v>
          </cell>
        </row>
        <row r="1204">
          <cell r="B1204" t="b">
            <v>1</v>
          </cell>
          <cell r="E1204" t="str">
            <v>Punta Canoa</v>
          </cell>
          <cell r="H1204" t="str">
            <v>laboratorio</v>
          </cell>
          <cell r="J1204" t="str">
            <v>bueno</v>
          </cell>
          <cell r="K1204" t="str">
            <v>defsi</v>
          </cell>
        </row>
        <row r="1205">
          <cell r="B1205" t="b">
            <v>1</v>
          </cell>
          <cell r="E1205" t="str">
            <v>Punta Canoa</v>
          </cell>
          <cell r="H1205" t="str">
            <v>consulta_externa</v>
          </cell>
          <cell r="J1205" t="str">
            <v>bueno</v>
          </cell>
          <cell r="K1205" t="str">
            <v>defsi</v>
          </cell>
        </row>
        <row r="1206">
          <cell r="B1206" t="b">
            <v>1</v>
          </cell>
          <cell r="E1206" t="str">
            <v>Esperanza</v>
          </cell>
          <cell r="H1206" t="str">
            <v>electros</v>
          </cell>
          <cell r="J1206" t="str">
            <v>bueno</v>
          </cell>
          <cell r="K1206" t="str">
            <v>probsi</v>
          </cell>
        </row>
        <row r="1207">
          <cell r="B1207" t="b">
            <v>1</v>
          </cell>
          <cell r="E1207" t="str">
            <v>Punta Canoa</v>
          </cell>
          <cell r="H1207" t="str">
            <v>salud_oral</v>
          </cell>
          <cell r="J1207" t="str">
            <v>bueno</v>
          </cell>
          <cell r="K1207" t="str">
            <v>defsi</v>
          </cell>
        </row>
        <row r="1208">
          <cell r="B1208" t="b">
            <v>1</v>
          </cell>
          <cell r="E1208" t="str">
            <v>Punta Canoa</v>
          </cell>
          <cell r="H1208" t="str">
            <v>laboratorio</v>
          </cell>
          <cell r="J1208" t="str">
            <v>bueno</v>
          </cell>
          <cell r="K1208" t="str">
            <v>defsi</v>
          </cell>
        </row>
        <row r="1209">
          <cell r="B1209" t="b">
            <v>1</v>
          </cell>
          <cell r="E1209" t="str">
            <v>Esperanza</v>
          </cell>
          <cell r="H1209" t="str">
            <v>consulta_externa</v>
          </cell>
          <cell r="J1209" t="str">
            <v>bueno</v>
          </cell>
          <cell r="K1209" t="str">
            <v>probsi</v>
          </cell>
        </row>
        <row r="1210">
          <cell r="B1210" t="b">
            <v>1</v>
          </cell>
          <cell r="E1210" t="str">
            <v>Esperanza</v>
          </cell>
          <cell r="H1210" t="str">
            <v>laboratorio</v>
          </cell>
          <cell r="J1210" t="str">
            <v>bueno</v>
          </cell>
          <cell r="K1210" t="str">
            <v>probsi</v>
          </cell>
        </row>
        <row r="1211">
          <cell r="B1211" t="b">
            <v>1</v>
          </cell>
          <cell r="E1211" t="str">
            <v>Esperanza</v>
          </cell>
          <cell r="H1211" t="str">
            <v>consulta_externa</v>
          </cell>
          <cell r="J1211" t="str">
            <v>bueno</v>
          </cell>
          <cell r="K1211" t="str">
            <v>probsi</v>
          </cell>
        </row>
        <row r="1212">
          <cell r="B1212" t="b">
            <v>1</v>
          </cell>
          <cell r="E1212" t="str">
            <v>Esperanza</v>
          </cell>
          <cell r="H1212" t="str">
            <v>salud_oral</v>
          </cell>
          <cell r="J1212" t="str">
            <v>bueno</v>
          </cell>
          <cell r="K1212" t="str">
            <v>probsi</v>
          </cell>
        </row>
        <row r="1213">
          <cell r="B1213" t="b">
            <v>1</v>
          </cell>
          <cell r="E1213" t="str">
            <v>Esperanza</v>
          </cell>
          <cell r="H1213" t="str">
            <v>salud_oral</v>
          </cell>
          <cell r="J1213" t="str">
            <v>bueno</v>
          </cell>
          <cell r="K1213" t="str">
            <v>probsi</v>
          </cell>
        </row>
        <row r="1214">
          <cell r="B1214" t="b">
            <v>1</v>
          </cell>
          <cell r="E1214" t="str">
            <v>Punta Canoa</v>
          </cell>
          <cell r="H1214" t="str">
            <v>consulta_externa</v>
          </cell>
          <cell r="J1214" t="str">
            <v>bueno</v>
          </cell>
          <cell r="K1214" t="str">
            <v>defsi</v>
          </cell>
        </row>
        <row r="1215">
          <cell r="B1215" t="b">
            <v>1</v>
          </cell>
          <cell r="E1215" t="str">
            <v>Punta Canoa</v>
          </cell>
          <cell r="H1215" t="str">
            <v>salud_oral</v>
          </cell>
          <cell r="J1215" t="str">
            <v>bueno</v>
          </cell>
          <cell r="K1215" t="str">
            <v>defsi</v>
          </cell>
        </row>
        <row r="1216">
          <cell r="B1216" t="b">
            <v>1</v>
          </cell>
          <cell r="E1216" t="str">
            <v>Punta Canoa</v>
          </cell>
          <cell r="H1216" t="str">
            <v>laboratorio</v>
          </cell>
          <cell r="J1216" t="str">
            <v>bueno</v>
          </cell>
          <cell r="K1216" t="str">
            <v>defsi</v>
          </cell>
        </row>
        <row r="1217">
          <cell r="B1217" t="b">
            <v>1</v>
          </cell>
          <cell r="E1217" t="str">
            <v>San Vicente de Paul</v>
          </cell>
          <cell r="H1217" t="str">
            <v>consulta_externa</v>
          </cell>
          <cell r="J1217" t="str">
            <v>bueno</v>
          </cell>
          <cell r="K1217" t="str">
            <v>defsi</v>
          </cell>
        </row>
        <row r="1218">
          <cell r="B1218" t="b">
            <v>1</v>
          </cell>
          <cell r="E1218" t="str">
            <v>San Vicente de Paul</v>
          </cell>
          <cell r="H1218" t="str">
            <v>laboratorio</v>
          </cell>
          <cell r="J1218" t="str">
            <v>bueno</v>
          </cell>
          <cell r="K1218" t="str">
            <v>defsi</v>
          </cell>
        </row>
        <row r="1219">
          <cell r="B1219" t="b">
            <v>1</v>
          </cell>
          <cell r="E1219" t="str">
            <v>San Vicente de Paul</v>
          </cell>
          <cell r="H1219" t="str">
            <v>laboratorio</v>
          </cell>
          <cell r="J1219" t="str">
            <v>bueno</v>
          </cell>
          <cell r="K1219" t="str">
            <v>defsi</v>
          </cell>
        </row>
        <row r="1220">
          <cell r="B1220" t="b">
            <v>1</v>
          </cell>
          <cell r="E1220" t="str">
            <v>San Vicente de Paul</v>
          </cell>
          <cell r="H1220" t="str">
            <v>consulta_externa</v>
          </cell>
          <cell r="J1220" t="str">
            <v>bueno</v>
          </cell>
          <cell r="K1220" t="str">
            <v>defsi</v>
          </cell>
        </row>
        <row r="1221">
          <cell r="B1221" t="b">
            <v>1</v>
          </cell>
          <cell r="E1221" t="str">
            <v>San Vicente de Paul</v>
          </cell>
          <cell r="H1221" t="str">
            <v>laboratorio</v>
          </cell>
          <cell r="J1221" t="str">
            <v>bueno</v>
          </cell>
          <cell r="K1221" t="str">
            <v>defsi</v>
          </cell>
        </row>
        <row r="1222">
          <cell r="B1222" t="b">
            <v>1</v>
          </cell>
          <cell r="E1222" t="str">
            <v>San Vicente de Paul</v>
          </cell>
          <cell r="H1222" t="str">
            <v>consulta_externa</v>
          </cell>
          <cell r="J1222" t="str">
            <v>bueno</v>
          </cell>
          <cell r="K1222" t="str">
            <v>defsi</v>
          </cell>
        </row>
        <row r="1223">
          <cell r="B1223" t="b">
            <v>1</v>
          </cell>
          <cell r="E1223" t="str">
            <v>San Vicente de Paul</v>
          </cell>
          <cell r="H1223" t="str">
            <v>consulta_externa</v>
          </cell>
          <cell r="J1223" t="str">
            <v>bueno</v>
          </cell>
          <cell r="K1223" t="str">
            <v>defsi</v>
          </cell>
        </row>
        <row r="1224">
          <cell r="B1224" t="b">
            <v>1</v>
          </cell>
          <cell r="E1224" t="str">
            <v>San Vicente de Paul</v>
          </cell>
          <cell r="H1224" t="str">
            <v>consulta_externa</v>
          </cell>
          <cell r="J1224" t="str">
            <v>bueno</v>
          </cell>
          <cell r="K1224" t="str">
            <v>defsi</v>
          </cell>
        </row>
        <row r="1225">
          <cell r="B1225" t="b">
            <v>1</v>
          </cell>
          <cell r="E1225" t="str">
            <v>San Vicente de Paul</v>
          </cell>
          <cell r="H1225" t="str">
            <v>salud_oral</v>
          </cell>
          <cell r="J1225" t="str">
            <v>bueno</v>
          </cell>
          <cell r="K1225" t="str">
            <v>defsi</v>
          </cell>
        </row>
        <row r="1226">
          <cell r="B1226" t="b">
            <v>1</v>
          </cell>
          <cell r="E1226" t="str">
            <v>San Vicente de Paul</v>
          </cell>
          <cell r="H1226" t="str">
            <v>salud_oral</v>
          </cell>
          <cell r="J1226" t="str">
            <v>bueno</v>
          </cell>
          <cell r="K1226" t="str">
            <v>defsi</v>
          </cell>
        </row>
        <row r="1227">
          <cell r="B1227" t="b">
            <v>1</v>
          </cell>
          <cell r="E1227" t="str">
            <v>San Vicente de Paul</v>
          </cell>
          <cell r="H1227" t="str">
            <v>salud_oral</v>
          </cell>
          <cell r="J1227" t="str">
            <v>bueno</v>
          </cell>
          <cell r="K1227" t="str">
            <v>defsi</v>
          </cell>
        </row>
        <row r="1228">
          <cell r="B1228" t="b">
            <v>1</v>
          </cell>
          <cell r="E1228" t="str">
            <v>San Vicente de Paul</v>
          </cell>
          <cell r="H1228" t="str">
            <v>salud_oral</v>
          </cell>
          <cell r="J1228" t="str">
            <v>bueno</v>
          </cell>
          <cell r="K1228" t="str">
            <v>defsi</v>
          </cell>
        </row>
        <row r="1229">
          <cell r="B1229" t="b">
            <v>1</v>
          </cell>
          <cell r="E1229" t="str">
            <v>Esperanza</v>
          </cell>
          <cell r="H1229" t="str">
            <v>consulta_externa</v>
          </cell>
          <cell r="J1229" t="str">
            <v>bueno</v>
          </cell>
          <cell r="K1229" t="str">
            <v>probsi</v>
          </cell>
        </row>
        <row r="1230">
          <cell r="B1230" t="b">
            <v>1</v>
          </cell>
          <cell r="E1230" t="str">
            <v>Esperanza</v>
          </cell>
          <cell r="H1230" t="str">
            <v>laboratorio</v>
          </cell>
          <cell r="J1230" t="str">
            <v>bueno</v>
          </cell>
          <cell r="K1230" t="str">
            <v>probsi</v>
          </cell>
        </row>
        <row r="1231">
          <cell r="B1231" t="b">
            <v>1</v>
          </cell>
          <cell r="E1231" t="str">
            <v>Esperanza</v>
          </cell>
          <cell r="H1231" t="str">
            <v>salud_oral</v>
          </cell>
          <cell r="J1231" t="str">
            <v>bueno</v>
          </cell>
          <cell r="K1231" t="str">
            <v>probsi</v>
          </cell>
        </row>
        <row r="1232">
          <cell r="B1232" t="b">
            <v>1</v>
          </cell>
          <cell r="E1232" t="str">
            <v>Esperanza</v>
          </cell>
          <cell r="H1232" t="str">
            <v>consulta_externa</v>
          </cell>
          <cell r="J1232" t="str">
            <v>bueno</v>
          </cell>
          <cell r="K1232" t="str">
            <v>probsi</v>
          </cell>
        </row>
        <row r="1233">
          <cell r="B1233" t="b">
            <v>1</v>
          </cell>
          <cell r="E1233" t="str">
            <v>Esperanza</v>
          </cell>
          <cell r="H1233" t="str">
            <v>salud_oral</v>
          </cell>
          <cell r="J1233" t="str">
            <v>bueno</v>
          </cell>
          <cell r="K1233" t="str">
            <v>probsi</v>
          </cell>
        </row>
        <row r="1234">
          <cell r="B1234" t="b">
            <v>1</v>
          </cell>
          <cell r="E1234" t="str">
            <v>Esperanza</v>
          </cell>
          <cell r="H1234" t="str">
            <v>salud_oral</v>
          </cell>
          <cell r="J1234" t="str">
            <v>bueno</v>
          </cell>
          <cell r="K1234" t="str">
            <v>probsi</v>
          </cell>
        </row>
        <row r="1235">
          <cell r="B1235" t="b">
            <v>1</v>
          </cell>
          <cell r="E1235" t="str">
            <v>Esperanza</v>
          </cell>
          <cell r="H1235" t="str">
            <v>laboratorio</v>
          </cell>
          <cell r="J1235" t="str">
            <v>bueno</v>
          </cell>
          <cell r="K1235" t="str">
            <v>probsi</v>
          </cell>
        </row>
        <row r="1236">
          <cell r="B1236" t="b">
            <v>1</v>
          </cell>
          <cell r="E1236" t="str">
            <v>Esperanza</v>
          </cell>
          <cell r="H1236" t="str">
            <v>consulta_externa</v>
          </cell>
          <cell r="J1236" t="str">
            <v>bueno</v>
          </cell>
          <cell r="K1236" t="str">
            <v>probsi</v>
          </cell>
        </row>
        <row r="1237">
          <cell r="B1237" t="b">
            <v>1</v>
          </cell>
          <cell r="E1237" t="str">
            <v>Esperanza</v>
          </cell>
          <cell r="H1237" t="str">
            <v>consulta_externa</v>
          </cell>
          <cell r="J1237" t="str">
            <v>bueno</v>
          </cell>
          <cell r="K1237" t="str">
            <v>probsi</v>
          </cell>
        </row>
        <row r="1238">
          <cell r="B1238" t="b">
            <v>1</v>
          </cell>
          <cell r="E1238" t="str">
            <v>Esperanza</v>
          </cell>
          <cell r="H1238" t="str">
            <v>consulta_externa</v>
          </cell>
          <cell r="J1238" t="str">
            <v>bueno</v>
          </cell>
          <cell r="K1238" t="str">
            <v>probsi</v>
          </cell>
        </row>
        <row r="1239">
          <cell r="B1239" t="b">
            <v>1</v>
          </cell>
          <cell r="E1239" t="str">
            <v>Esperanza</v>
          </cell>
          <cell r="H1239" t="str">
            <v>salud_oral</v>
          </cell>
          <cell r="J1239" t="str">
            <v>bueno</v>
          </cell>
          <cell r="K1239" t="str">
            <v>probsi</v>
          </cell>
        </row>
        <row r="1240">
          <cell r="B1240" t="b">
            <v>1</v>
          </cell>
          <cell r="E1240" t="str">
            <v>Esperanza</v>
          </cell>
          <cell r="H1240" t="str">
            <v>laboratorio</v>
          </cell>
          <cell r="J1240" t="str">
            <v>bueno</v>
          </cell>
          <cell r="K1240" t="str">
            <v>probsi</v>
          </cell>
        </row>
        <row r="1241">
          <cell r="B1241" t="b">
            <v>1</v>
          </cell>
          <cell r="E1241" t="str">
            <v>Esperanza</v>
          </cell>
          <cell r="H1241" t="str">
            <v>laboratorio</v>
          </cell>
          <cell r="J1241" t="str">
            <v>bueno</v>
          </cell>
          <cell r="K1241" t="str">
            <v>probsi</v>
          </cell>
        </row>
        <row r="1242">
          <cell r="B1242" t="b">
            <v>1</v>
          </cell>
          <cell r="E1242" t="str">
            <v>Esperanza</v>
          </cell>
          <cell r="H1242" t="str">
            <v>consulta_externa</v>
          </cell>
          <cell r="J1242" t="str">
            <v>bueno</v>
          </cell>
          <cell r="K1242" t="str">
            <v>probsi</v>
          </cell>
        </row>
        <row r="1243">
          <cell r="B1243" t="b">
            <v>1</v>
          </cell>
          <cell r="E1243" t="str">
            <v>Esperanza</v>
          </cell>
          <cell r="H1243" t="str">
            <v>laboratorio</v>
          </cell>
          <cell r="J1243" t="str">
            <v>bueno</v>
          </cell>
          <cell r="K1243" t="str">
            <v>probsi</v>
          </cell>
        </row>
        <row r="1244">
          <cell r="B1244" t="b">
            <v>1</v>
          </cell>
          <cell r="E1244" t="str">
            <v>Punta Canoa</v>
          </cell>
          <cell r="H1244" t="str">
            <v>consulta_externa</v>
          </cell>
          <cell r="J1244" t="str">
            <v>bueno</v>
          </cell>
          <cell r="K1244" t="str">
            <v>defsi</v>
          </cell>
        </row>
        <row r="1245">
          <cell r="B1245" t="b">
            <v>1</v>
          </cell>
          <cell r="E1245" t="str">
            <v>Esperanza</v>
          </cell>
          <cell r="H1245" t="str">
            <v>urgencia</v>
          </cell>
          <cell r="J1245" t="str">
            <v>bueno</v>
          </cell>
          <cell r="K1245" t="str">
            <v>probsi</v>
          </cell>
        </row>
        <row r="1246">
          <cell r="B1246" t="b">
            <v>1</v>
          </cell>
          <cell r="E1246" t="str">
            <v>Punta Canoa</v>
          </cell>
          <cell r="H1246" t="str">
            <v>salud_oral</v>
          </cell>
          <cell r="J1246" t="str">
            <v>bueno</v>
          </cell>
          <cell r="K1246" t="str">
            <v>defsi</v>
          </cell>
        </row>
        <row r="1247">
          <cell r="B1247" t="b">
            <v>1</v>
          </cell>
          <cell r="E1247" t="str">
            <v>Punta Canoa</v>
          </cell>
          <cell r="H1247" t="str">
            <v>laboratorio</v>
          </cell>
          <cell r="J1247" t="str">
            <v>bueno</v>
          </cell>
          <cell r="K1247" t="str">
            <v>defsi</v>
          </cell>
        </row>
        <row r="1248">
          <cell r="B1248" t="b">
            <v>1</v>
          </cell>
          <cell r="E1248" t="str">
            <v>Punta Canoa</v>
          </cell>
          <cell r="H1248" t="str">
            <v>consulta_externa</v>
          </cell>
          <cell r="J1248" t="str">
            <v>bueno</v>
          </cell>
          <cell r="K1248" t="str">
            <v>defsi</v>
          </cell>
        </row>
        <row r="1249">
          <cell r="B1249" t="b">
            <v>1</v>
          </cell>
          <cell r="E1249" t="str">
            <v>Punta Canoa</v>
          </cell>
          <cell r="H1249" t="str">
            <v>salud_oral</v>
          </cell>
          <cell r="J1249" t="str">
            <v>bueno</v>
          </cell>
          <cell r="K1249" t="str">
            <v>defsi</v>
          </cell>
        </row>
        <row r="1250">
          <cell r="B1250" t="b">
            <v>1</v>
          </cell>
          <cell r="E1250" t="str">
            <v>Punta Canoa</v>
          </cell>
          <cell r="H1250" t="str">
            <v>laboratorio</v>
          </cell>
          <cell r="J1250" t="str">
            <v>bueno</v>
          </cell>
          <cell r="K1250" t="str">
            <v>defsi</v>
          </cell>
        </row>
        <row r="1251">
          <cell r="B1251" t="b">
            <v>1</v>
          </cell>
          <cell r="E1251" t="str">
            <v>Punta Canoa</v>
          </cell>
          <cell r="H1251" t="str">
            <v>consulta_externa</v>
          </cell>
          <cell r="J1251" t="str">
            <v>bueno</v>
          </cell>
          <cell r="K1251" t="str">
            <v>defsi</v>
          </cell>
        </row>
        <row r="1252">
          <cell r="B1252" t="b">
            <v>1</v>
          </cell>
          <cell r="E1252" t="str">
            <v>Esperanza</v>
          </cell>
          <cell r="H1252" t="str">
            <v>consulta_externa</v>
          </cell>
          <cell r="J1252" t="str">
            <v>bueno</v>
          </cell>
          <cell r="K1252" t="str">
            <v>probsi</v>
          </cell>
        </row>
        <row r="1253">
          <cell r="B1253" t="b">
            <v>1</v>
          </cell>
          <cell r="E1253" t="str">
            <v>Esperanza</v>
          </cell>
          <cell r="H1253" t="str">
            <v>salud_oral</v>
          </cell>
          <cell r="J1253" t="str">
            <v>bueno</v>
          </cell>
          <cell r="K1253" t="str">
            <v>probsi</v>
          </cell>
        </row>
        <row r="1254">
          <cell r="B1254" t="b">
            <v>1</v>
          </cell>
          <cell r="E1254" t="str">
            <v>Punta Canoa</v>
          </cell>
          <cell r="H1254" t="str">
            <v>salud_oral</v>
          </cell>
          <cell r="J1254" t="str">
            <v>bueno</v>
          </cell>
          <cell r="K1254" t="str">
            <v>defsi</v>
          </cell>
        </row>
        <row r="1255">
          <cell r="B1255" t="b">
            <v>1</v>
          </cell>
          <cell r="E1255" t="str">
            <v>Esperanza</v>
          </cell>
          <cell r="H1255" t="str">
            <v>salud_oral</v>
          </cell>
          <cell r="J1255" t="str">
            <v>bueno</v>
          </cell>
          <cell r="K1255" t="str">
            <v>probsi</v>
          </cell>
        </row>
        <row r="1256">
          <cell r="B1256" t="b">
            <v>1</v>
          </cell>
          <cell r="E1256" t="str">
            <v>Punta Canoa</v>
          </cell>
          <cell r="H1256" t="str">
            <v>laboratorio</v>
          </cell>
          <cell r="J1256" t="str">
            <v>bueno</v>
          </cell>
          <cell r="K1256" t="str">
            <v>defsi</v>
          </cell>
        </row>
        <row r="1257">
          <cell r="B1257" t="b">
            <v>1</v>
          </cell>
          <cell r="E1257" t="str">
            <v>San Vicente de Paul</v>
          </cell>
          <cell r="H1257" t="str">
            <v>salud_oral</v>
          </cell>
          <cell r="J1257" t="str">
            <v>bueno</v>
          </cell>
          <cell r="K1257" t="str">
            <v>defsi</v>
          </cell>
        </row>
        <row r="1258">
          <cell r="B1258" t="b">
            <v>1</v>
          </cell>
          <cell r="E1258" t="str">
            <v>San Vicente de Paul</v>
          </cell>
          <cell r="H1258" t="str">
            <v>salud_oral</v>
          </cell>
          <cell r="J1258" t="str">
            <v>bueno</v>
          </cell>
          <cell r="K1258" t="str">
            <v>defsi</v>
          </cell>
        </row>
        <row r="1259">
          <cell r="B1259" t="b">
            <v>1</v>
          </cell>
          <cell r="E1259" t="str">
            <v>Punta Canoa</v>
          </cell>
          <cell r="H1259" t="str">
            <v>consulta_externa</v>
          </cell>
          <cell r="J1259" t="str">
            <v>bueno</v>
          </cell>
          <cell r="K1259" t="str">
            <v>defsi</v>
          </cell>
        </row>
        <row r="1260">
          <cell r="B1260" t="b">
            <v>1</v>
          </cell>
          <cell r="E1260" t="str">
            <v>San Vicente de Paul</v>
          </cell>
          <cell r="H1260" t="str">
            <v>salud_oral</v>
          </cell>
          <cell r="J1260" t="str">
            <v>bueno</v>
          </cell>
          <cell r="K1260" t="str">
            <v>defsi</v>
          </cell>
        </row>
        <row r="1261">
          <cell r="B1261" t="b">
            <v>1</v>
          </cell>
          <cell r="E1261" t="str">
            <v>San Vicente de Paul</v>
          </cell>
          <cell r="H1261" t="str">
            <v>salud_oral</v>
          </cell>
          <cell r="J1261" t="str">
            <v>bueno</v>
          </cell>
          <cell r="K1261" t="str">
            <v>defsi</v>
          </cell>
        </row>
        <row r="1262">
          <cell r="B1262" t="b">
            <v>1</v>
          </cell>
          <cell r="E1262" t="str">
            <v>Punta Canoa</v>
          </cell>
          <cell r="H1262" t="str">
            <v>salud_oral</v>
          </cell>
          <cell r="J1262" t="str">
            <v>bueno</v>
          </cell>
          <cell r="K1262" t="str">
            <v>defsi</v>
          </cell>
        </row>
        <row r="1263">
          <cell r="B1263" t="b">
            <v>1</v>
          </cell>
          <cell r="E1263" t="str">
            <v>San Vicente de Paul</v>
          </cell>
          <cell r="H1263" t="str">
            <v>laboratorio</v>
          </cell>
          <cell r="J1263" t="str">
            <v>bueno</v>
          </cell>
          <cell r="K1263" t="str">
            <v>defsi</v>
          </cell>
        </row>
        <row r="1264">
          <cell r="B1264" t="b">
            <v>1</v>
          </cell>
          <cell r="E1264" t="str">
            <v>San Vicente de Paul</v>
          </cell>
          <cell r="H1264" t="str">
            <v>laboratorio</v>
          </cell>
          <cell r="J1264" t="str">
            <v>bueno</v>
          </cell>
          <cell r="K1264" t="str">
            <v>defsi</v>
          </cell>
        </row>
        <row r="1265">
          <cell r="B1265" t="b">
            <v>1</v>
          </cell>
          <cell r="E1265" t="str">
            <v>Punta Canoa</v>
          </cell>
          <cell r="H1265" t="str">
            <v>laboratorio</v>
          </cell>
          <cell r="J1265" t="str">
            <v>bueno</v>
          </cell>
          <cell r="K1265" t="str">
            <v>defsi</v>
          </cell>
        </row>
        <row r="1266">
          <cell r="B1266" t="b">
            <v>1</v>
          </cell>
          <cell r="E1266" t="str">
            <v>Punta Canoa</v>
          </cell>
          <cell r="H1266" t="str">
            <v>consulta_externa</v>
          </cell>
          <cell r="J1266" t="str">
            <v>bueno</v>
          </cell>
          <cell r="K1266" t="str">
            <v>defsi</v>
          </cell>
        </row>
        <row r="1267">
          <cell r="B1267" t="b">
            <v>1</v>
          </cell>
          <cell r="E1267" t="str">
            <v>Punta Canoa</v>
          </cell>
          <cell r="H1267" t="str">
            <v>salud_oral</v>
          </cell>
          <cell r="J1267" t="str">
            <v>bueno</v>
          </cell>
          <cell r="K1267" t="str">
            <v>defsi</v>
          </cell>
        </row>
        <row r="1268">
          <cell r="B1268" t="b">
            <v>1</v>
          </cell>
          <cell r="E1268" t="str">
            <v>Punta Canoa</v>
          </cell>
          <cell r="H1268" t="str">
            <v>laboratorio</v>
          </cell>
          <cell r="J1268" t="str">
            <v>bueno</v>
          </cell>
          <cell r="K1268" t="str">
            <v>defsi</v>
          </cell>
        </row>
        <row r="1269">
          <cell r="B1269" t="b">
            <v>1</v>
          </cell>
          <cell r="E1269" t="str">
            <v>Libano</v>
          </cell>
          <cell r="H1269" t="str">
            <v>consulta_externa</v>
          </cell>
          <cell r="J1269" t="str">
            <v>bueno</v>
          </cell>
          <cell r="K1269" t="str">
            <v>defsi</v>
          </cell>
        </row>
        <row r="1270">
          <cell r="B1270" t="b">
            <v>1</v>
          </cell>
          <cell r="E1270" t="str">
            <v>Libano</v>
          </cell>
          <cell r="H1270" t="str">
            <v>salud_oral</v>
          </cell>
          <cell r="J1270" t="str">
            <v>bueno</v>
          </cell>
          <cell r="K1270" t="str">
            <v>defsi</v>
          </cell>
        </row>
        <row r="1271">
          <cell r="B1271" t="b">
            <v>0</v>
          </cell>
          <cell r="E1271" t="str">
            <v>Libano</v>
          </cell>
          <cell r="H1271" t="str">
            <v>pediatria</v>
          </cell>
          <cell r="J1271" t="str">
            <v>regular</v>
          </cell>
          <cell r="K1271" t="str">
            <v>probsi</v>
          </cell>
        </row>
        <row r="1272">
          <cell r="B1272" t="b">
            <v>1</v>
          </cell>
          <cell r="E1272" t="str">
            <v>Libano</v>
          </cell>
          <cell r="H1272" t="str">
            <v>salud_oral</v>
          </cell>
          <cell r="J1272" t="str">
            <v>bueno</v>
          </cell>
          <cell r="K1272" t="str">
            <v>defsi</v>
          </cell>
        </row>
        <row r="1273">
          <cell r="B1273" t="b">
            <v>1</v>
          </cell>
          <cell r="E1273" t="str">
            <v>Punta Canoa</v>
          </cell>
          <cell r="H1273" t="str">
            <v>consulta_externa</v>
          </cell>
          <cell r="J1273" t="str">
            <v>bueno</v>
          </cell>
          <cell r="K1273" t="str">
            <v>defsi</v>
          </cell>
        </row>
        <row r="1274">
          <cell r="B1274" t="b">
            <v>1</v>
          </cell>
          <cell r="E1274" t="str">
            <v>Punta Canoa</v>
          </cell>
          <cell r="H1274" t="str">
            <v>salud_oral</v>
          </cell>
          <cell r="J1274" t="str">
            <v>bueno</v>
          </cell>
          <cell r="K1274" t="str">
            <v>defsi</v>
          </cell>
        </row>
        <row r="1275">
          <cell r="B1275" t="b">
            <v>1</v>
          </cell>
          <cell r="E1275" t="str">
            <v>Punta Canoa</v>
          </cell>
          <cell r="H1275" t="str">
            <v>laboratorio</v>
          </cell>
          <cell r="J1275" t="str">
            <v>bueno</v>
          </cell>
          <cell r="K1275" t="str">
            <v>defsi</v>
          </cell>
        </row>
        <row r="1276">
          <cell r="B1276" t="b">
            <v>0</v>
          </cell>
          <cell r="E1276" t="str">
            <v>Libano</v>
          </cell>
          <cell r="H1276" t="str">
            <v>consulta_externa</v>
          </cell>
          <cell r="J1276" t="str">
            <v>regular</v>
          </cell>
          <cell r="K1276" t="str">
            <v>probno</v>
          </cell>
        </row>
        <row r="1277">
          <cell r="B1277" t="b">
            <v>1</v>
          </cell>
          <cell r="E1277" t="str">
            <v>Esperanza</v>
          </cell>
          <cell r="H1277" t="str">
            <v>consulta_externa</v>
          </cell>
          <cell r="J1277" t="str">
            <v>bueno</v>
          </cell>
          <cell r="K1277" t="str">
            <v>probsi</v>
          </cell>
        </row>
        <row r="1278">
          <cell r="B1278" t="b">
            <v>1</v>
          </cell>
          <cell r="E1278" t="str">
            <v>San Vicente de Paul</v>
          </cell>
          <cell r="H1278" t="str">
            <v>laboratorio</v>
          </cell>
          <cell r="J1278" t="str">
            <v>bueno</v>
          </cell>
          <cell r="K1278" t="str">
            <v>defsi</v>
          </cell>
        </row>
        <row r="1279">
          <cell r="B1279" t="b">
            <v>0</v>
          </cell>
          <cell r="E1279" t="str">
            <v>Esperanza</v>
          </cell>
          <cell r="H1279" t="str">
            <v>consulta_externa</v>
          </cell>
          <cell r="J1279" t="str">
            <v>regular</v>
          </cell>
          <cell r="K1279" t="str">
            <v>probsi</v>
          </cell>
        </row>
        <row r="1280">
          <cell r="B1280" t="b">
            <v>0</v>
          </cell>
          <cell r="E1280" t="str">
            <v>Esperanza</v>
          </cell>
          <cell r="H1280" t="str">
            <v>consulta_externa</v>
          </cell>
          <cell r="J1280" t="str">
            <v>regular</v>
          </cell>
          <cell r="K1280" t="str">
            <v>probsi</v>
          </cell>
        </row>
        <row r="1281">
          <cell r="B1281" t="b">
            <v>1</v>
          </cell>
          <cell r="E1281" t="str">
            <v>Esperanza</v>
          </cell>
          <cell r="H1281" t="str">
            <v>salud_oral</v>
          </cell>
          <cell r="J1281" t="str">
            <v>bueno</v>
          </cell>
          <cell r="K1281" t="str">
            <v>probsi</v>
          </cell>
        </row>
        <row r="1282">
          <cell r="B1282" t="b">
            <v>1</v>
          </cell>
          <cell r="E1282" t="str">
            <v>Esperanza</v>
          </cell>
          <cell r="H1282" t="str">
            <v>salud_oral</v>
          </cell>
          <cell r="J1282" t="str">
            <v>bueno</v>
          </cell>
          <cell r="K1282" t="str">
            <v>probsi</v>
          </cell>
        </row>
        <row r="1283">
          <cell r="B1283" t="b">
            <v>1</v>
          </cell>
          <cell r="E1283" t="str">
            <v>Esperanza</v>
          </cell>
          <cell r="H1283" t="str">
            <v>consulta_externa</v>
          </cell>
          <cell r="J1283" t="str">
            <v>bueno</v>
          </cell>
          <cell r="K1283" t="str">
            <v>probsi</v>
          </cell>
        </row>
        <row r="1284">
          <cell r="B1284" t="b">
            <v>1</v>
          </cell>
          <cell r="E1284" t="str">
            <v>Esperanza</v>
          </cell>
          <cell r="H1284" t="str">
            <v>urgencia</v>
          </cell>
          <cell r="J1284" t="str">
            <v>bueno</v>
          </cell>
          <cell r="K1284" t="str">
            <v>probsi</v>
          </cell>
        </row>
        <row r="1285">
          <cell r="B1285" t="b">
            <v>1</v>
          </cell>
          <cell r="E1285" t="str">
            <v>San Vicente de Paul</v>
          </cell>
          <cell r="H1285" t="str">
            <v>consulta_externa</v>
          </cell>
          <cell r="J1285" t="str">
            <v>bueno</v>
          </cell>
          <cell r="K1285" t="str">
            <v>defsi</v>
          </cell>
        </row>
        <row r="1286">
          <cell r="B1286" t="b">
            <v>1</v>
          </cell>
          <cell r="E1286" t="str">
            <v>San Vicente de Paul</v>
          </cell>
          <cell r="H1286" t="str">
            <v>salud_oral</v>
          </cell>
          <cell r="J1286" t="str">
            <v>bueno</v>
          </cell>
          <cell r="K1286" t="str">
            <v>defsi</v>
          </cell>
        </row>
        <row r="1287">
          <cell r="B1287" t="b">
            <v>1</v>
          </cell>
          <cell r="E1287" t="str">
            <v>San Vicente de Paul</v>
          </cell>
          <cell r="H1287" t="str">
            <v>consulta_externa</v>
          </cell>
          <cell r="J1287" t="str">
            <v>bueno</v>
          </cell>
          <cell r="K1287" t="str">
            <v>defsi</v>
          </cell>
        </row>
        <row r="1288">
          <cell r="B1288" t="b">
            <v>1</v>
          </cell>
          <cell r="E1288" t="str">
            <v>San Vicente de Paul</v>
          </cell>
          <cell r="H1288" t="str">
            <v>consulta_externa</v>
          </cell>
          <cell r="J1288" t="str">
            <v>bueno</v>
          </cell>
          <cell r="K1288" t="str">
            <v>defsi</v>
          </cell>
        </row>
        <row r="1289">
          <cell r="B1289" t="b">
            <v>1</v>
          </cell>
          <cell r="E1289" t="str">
            <v>San Vicente de Paul</v>
          </cell>
          <cell r="H1289" t="str">
            <v>salud_oral</v>
          </cell>
          <cell r="J1289" t="str">
            <v>bueno</v>
          </cell>
          <cell r="K1289" t="str">
            <v>defsi</v>
          </cell>
        </row>
        <row r="1290">
          <cell r="B1290" t="b">
            <v>1</v>
          </cell>
          <cell r="E1290" t="str">
            <v>San Vicente de Paul</v>
          </cell>
          <cell r="H1290" t="str">
            <v>consulta_externa</v>
          </cell>
          <cell r="J1290" t="str">
            <v>bueno</v>
          </cell>
          <cell r="K1290" t="str">
            <v>defsi</v>
          </cell>
        </row>
        <row r="1291">
          <cell r="B1291" t="b">
            <v>1</v>
          </cell>
          <cell r="E1291" t="str">
            <v>San Vicente de Paul</v>
          </cell>
          <cell r="H1291" t="str">
            <v>consulta_externa</v>
          </cell>
          <cell r="J1291" t="str">
            <v>muybueno</v>
          </cell>
          <cell r="K1291" t="str">
            <v>defsi</v>
          </cell>
        </row>
        <row r="1292">
          <cell r="B1292" t="b">
            <v>1</v>
          </cell>
          <cell r="E1292" t="str">
            <v>Esperanza</v>
          </cell>
          <cell r="H1292" t="str">
            <v>urgencia</v>
          </cell>
          <cell r="J1292" t="str">
            <v>bueno</v>
          </cell>
          <cell r="K1292" t="str">
            <v>probsi</v>
          </cell>
        </row>
        <row r="1293">
          <cell r="B1293" t="b">
            <v>1</v>
          </cell>
          <cell r="E1293" t="str">
            <v>San Vicente de Paul</v>
          </cell>
          <cell r="H1293" t="str">
            <v>laboratorio</v>
          </cell>
          <cell r="J1293" t="str">
            <v>bueno</v>
          </cell>
          <cell r="K1293" t="str">
            <v>defsi</v>
          </cell>
        </row>
        <row r="1294">
          <cell r="B1294" t="b">
            <v>1</v>
          </cell>
          <cell r="E1294" t="str">
            <v>Esperanza</v>
          </cell>
          <cell r="H1294" t="str">
            <v>consulta_externa</v>
          </cell>
          <cell r="J1294" t="str">
            <v>bueno</v>
          </cell>
          <cell r="K1294" t="str">
            <v>probsi</v>
          </cell>
        </row>
        <row r="1295">
          <cell r="B1295" t="b">
            <v>1</v>
          </cell>
          <cell r="E1295" t="str">
            <v>San Vicente de Paul</v>
          </cell>
          <cell r="H1295" t="str">
            <v>laboratorio</v>
          </cell>
          <cell r="J1295" t="str">
            <v>bueno</v>
          </cell>
          <cell r="K1295" t="str">
            <v>defsi</v>
          </cell>
        </row>
        <row r="1296">
          <cell r="B1296" t="b">
            <v>1</v>
          </cell>
          <cell r="E1296" t="str">
            <v>San Vicente de Paul</v>
          </cell>
          <cell r="H1296" t="str">
            <v>laboratorio</v>
          </cell>
          <cell r="J1296" t="str">
            <v>bueno</v>
          </cell>
          <cell r="K1296" t="str">
            <v>defsi</v>
          </cell>
        </row>
        <row r="1297">
          <cell r="B1297" t="b">
            <v>1</v>
          </cell>
          <cell r="E1297" t="str">
            <v>Libano</v>
          </cell>
          <cell r="H1297" t="str">
            <v>consulta_externa</v>
          </cell>
          <cell r="J1297" t="str">
            <v>bueno</v>
          </cell>
          <cell r="K1297" t="str">
            <v>defsi</v>
          </cell>
        </row>
        <row r="1298">
          <cell r="B1298" t="b">
            <v>1</v>
          </cell>
          <cell r="E1298" t="str">
            <v>Libano</v>
          </cell>
          <cell r="H1298" t="str">
            <v>consulta_externa</v>
          </cell>
          <cell r="J1298" t="str">
            <v>bueno</v>
          </cell>
          <cell r="K1298" t="str">
            <v>defsi</v>
          </cell>
        </row>
        <row r="1299">
          <cell r="B1299" t="b">
            <v>1</v>
          </cell>
          <cell r="E1299" t="str">
            <v>Libano</v>
          </cell>
          <cell r="H1299" t="str">
            <v>laboratorio</v>
          </cell>
          <cell r="J1299" t="str">
            <v>bueno</v>
          </cell>
          <cell r="K1299" t="str">
            <v>defsi</v>
          </cell>
        </row>
        <row r="1300">
          <cell r="B1300" t="b">
            <v>1</v>
          </cell>
          <cell r="E1300" t="str">
            <v>Libano</v>
          </cell>
          <cell r="H1300" t="str">
            <v>laboratorio</v>
          </cell>
          <cell r="J1300" t="str">
            <v>bueno</v>
          </cell>
          <cell r="K1300" t="str">
            <v>defsi</v>
          </cell>
        </row>
        <row r="1301">
          <cell r="B1301" t="b">
            <v>1</v>
          </cell>
          <cell r="E1301" t="str">
            <v>Libano</v>
          </cell>
          <cell r="H1301" t="str">
            <v>laboratorio</v>
          </cell>
          <cell r="J1301" t="str">
            <v>bueno</v>
          </cell>
          <cell r="K1301" t="str">
            <v>defsi</v>
          </cell>
        </row>
        <row r="1302">
          <cell r="B1302" t="b">
            <v>1</v>
          </cell>
          <cell r="E1302" t="str">
            <v>Libano</v>
          </cell>
          <cell r="H1302" t="str">
            <v>laboratorio</v>
          </cell>
          <cell r="J1302" t="str">
            <v>bueno</v>
          </cell>
          <cell r="K1302" t="str">
            <v>defsi</v>
          </cell>
        </row>
        <row r="1303">
          <cell r="B1303" t="b">
            <v>1</v>
          </cell>
          <cell r="E1303" t="str">
            <v>Libano</v>
          </cell>
          <cell r="H1303" t="str">
            <v>consulta_externa</v>
          </cell>
          <cell r="J1303" t="str">
            <v>bueno</v>
          </cell>
          <cell r="K1303" t="str">
            <v>defsi</v>
          </cell>
        </row>
        <row r="1304">
          <cell r="B1304" t="b">
            <v>1</v>
          </cell>
          <cell r="E1304" t="str">
            <v>Libano</v>
          </cell>
          <cell r="H1304" t="str">
            <v>laboratorio</v>
          </cell>
          <cell r="J1304" t="str">
            <v>bueno</v>
          </cell>
          <cell r="K1304" t="str">
            <v>defsi</v>
          </cell>
        </row>
        <row r="1305">
          <cell r="B1305" t="b">
            <v>1</v>
          </cell>
          <cell r="E1305" t="str">
            <v>Esperanza</v>
          </cell>
          <cell r="H1305" t="str">
            <v>consulta_externa</v>
          </cell>
          <cell r="J1305" t="str">
            <v>bueno</v>
          </cell>
          <cell r="K1305" t="str">
            <v>probsi</v>
          </cell>
        </row>
        <row r="1306">
          <cell r="B1306" t="b">
            <v>1</v>
          </cell>
          <cell r="E1306" t="str">
            <v>Esperanza</v>
          </cell>
          <cell r="H1306" t="str">
            <v>salud_oral</v>
          </cell>
          <cell r="J1306" t="str">
            <v>bueno</v>
          </cell>
          <cell r="K1306" t="str">
            <v>probsi</v>
          </cell>
        </row>
        <row r="1307">
          <cell r="B1307" t="b">
            <v>1</v>
          </cell>
          <cell r="E1307" t="str">
            <v>Esperanza</v>
          </cell>
          <cell r="H1307" t="str">
            <v>salud_oral</v>
          </cell>
          <cell r="J1307" t="str">
            <v>bueno</v>
          </cell>
          <cell r="K1307" t="str">
            <v>probsi</v>
          </cell>
        </row>
        <row r="1308">
          <cell r="B1308" t="b">
            <v>1</v>
          </cell>
          <cell r="E1308" t="str">
            <v>Esperanza</v>
          </cell>
          <cell r="H1308" t="str">
            <v>salud_oral</v>
          </cell>
          <cell r="J1308" t="str">
            <v>bueno</v>
          </cell>
          <cell r="K1308" t="str">
            <v>probsi</v>
          </cell>
        </row>
        <row r="1309">
          <cell r="B1309" t="b">
            <v>1</v>
          </cell>
          <cell r="E1309" t="str">
            <v>Esperanza</v>
          </cell>
          <cell r="H1309" t="str">
            <v>salud_oral</v>
          </cell>
          <cell r="J1309" t="str">
            <v>bueno</v>
          </cell>
          <cell r="K1309" t="str">
            <v>probsi</v>
          </cell>
        </row>
        <row r="1310">
          <cell r="B1310" t="b">
            <v>1</v>
          </cell>
          <cell r="E1310" t="str">
            <v>Esperanza</v>
          </cell>
          <cell r="H1310" t="str">
            <v>electros</v>
          </cell>
          <cell r="J1310" t="str">
            <v>bueno</v>
          </cell>
          <cell r="K1310" t="str">
            <v>probsi</v>
          </cell>
        </row>
        <row r="1311">
          <cell r="B1311" t="b">
            <v>1</v>
          </cell>
          <cell r="E1311" t="str">
            <v>Esperanza</v>
          </cell>
          <cell r="H1311" t="str">
            <v>electros</v>
          </cell>
          <cell r="J1311" t="str">
            <v>bueno</v>
          </cell>
          <cell r="K1311" t="str">
            <v>probsi</v>
          </cell>
        </row>
        <row r="1312">
          <cell r="B1312" t="b">
            <v>1</v>
          </cell>
          <cell r="E1312" t="str">
            <v>Esperanza</v>
          </cell>
          <cell r="H1312" t="str">
            <v>electros</v>
          </cell>
          <cell r="J1312" t="str">
            <v>bueno</v>
          </cell>
          <cell r="K1312" t="str">
            <v>probsi</v>
          </cell>
        </row>
        <row r="1313">
          <cell r="B1313" t="b">
            <v>1</v>
          </cell>
          <cell r="E1313" t="str">
            <v>Esperanza</v>
          </cell>
          <cell r="H1313" t="str">
            <v>electros</v>
          </cell>
          <cell r="J1313" t="str">
            <v>bueno</v>
          </cell>
          <cell r="K1313" t="str">
            <v>probsi</v>
          </cell>
        </row>
        <row r="1314">
          <cell r="B1314" t="b">
            <v>1</v>
          </cell>
          <cell r="E1314" t="str">
            <v>Esperanza</v>
          </cell>
          <cell r="H1314" t="str">
            <v>salud_oral</v>
          </cell>
          <cell r="J1314" t="str">
            <v>bueno</v>
          </cell>
          <cell r="K1314" t="str">
            <v>probsi</v>
          </cell>
        </row>
        <row r="1315">
          <cell r="B1315" t="b">
            <v>1</v>
          </cell>
          <cell r="E1315" t="str">
            <v>Esperanza</v>
          </cell>
          <cell r="H1315" t="str">
            <v>salud_oral</v>
          </cell>
          <cell r="J1315" t="str">
            <v>bueno</v>
          </cell>
          <cell r="K1315" t="str">
            <v>probsi</v>
          </cell>
        </row>
        <row r="1316">
          <cell r="B1316" t="b">
            <v>1</v>
          </cell>
          <cell r="E1316" t="str">
            <v>Libano</v>
          </cell>
          <cell r="H1316" t="str">
            <v>salud_oral</v>
          </cell>
          <cell r="J1316" t="str">
            <v>bueno</v>
          </cell>
          <cell r="K1316" t="str">
            <v>defsi</v>
          </cell>
        </row>
        <row r="1317">
          <cell r="B1317" t="b">
            <v>1</v>
          </cell>
          <cell r="E1317" t="str">
            <v>San Vicente de Paul</v>
          </cell>
          <cell r="H1317" t="str">
            <v>laboratorio</v>
          </cell>
          <cell r="J1317" t="str">
            <v>bueno</v>
          </cell>
          <cell r="K1317" t="str">
            <v>defsi</v>
          </cell>
        </row>
        <row r="1318">
          <cell r="B1318" t="b">
            <v>1</v>
          </cell>
          <cell r="E1318" t="str">
            <v>San Vicente de Paul</v>
          </cell>
          <cell r="H1318" t="str">
            <v>consulta_externa</v>
          </cell>
          <cell r="J1318" t="str">
            <v>bueno</v>
          </cell>
          <cell r="K1318" t="str">
            <v>defsi</v>
          </cell>
        </row>
        <row r="1319">
          <cell r="B1319" t="b">
            <v>1</v>
          </cell>
          <cell r="E1319" t="str">
            <v>Esperanza</v>
          </cell>
          <cell r="H1319" t="str">
            <v>laboratorio</v>
          </cell>
          <cell r="J1319" t="str">
            <v>bueno</v>
          </cell>
          <cell r="K1319" t="str">
            <v>probsi</v>
          </cell>
        </row>
        <row r="1320">
          <cell r="B1320" t="b">
            <v>1</v>
          </cell>
          <cell r="E1320" t="str">
            <v>Esperanza</v>
          </cell>
          <cell r="H1320" t="str">
            <v>electros</v>
          </cell>
          <cell r="J1320" t="str">
            <v>bueno</v>
          </cell>
          <cell r="K1320" t="str">
            <v>probsi</v>
          </cell>
        </row>
        <row r="1321">
          <cell r="B1321" t="b">
            <v>1</v>
          </cell>
          <cell r="E1321" t="str">
            <v>Boston</v>
          </cell>
          <cell r="H1321" t="str">
            <v>consulta_externa</v>
          </cell>
          <cell r="J1321" t="str">
            <v>bueno</v>
          </cell>
          <cell r="K1321" t="str">
            <v>probsi</v>
          </cell>
        </row>
        <row r="1322">
          <cell r="B1322" t="b">
            <v>1</v>
          </cell>
          <cell r="E1322" t="str">
            <v>Boston</v>
          </cell>
          <cell r="H1322" t="str">
            <v>consulta_externa</v>
          </cell>
          <cell r="J1322" t="str">
            <v>bueno</v>
          </cell>
          <cell r="K1322" t="str">
            <v>probsi</v>
          </cell>
        </row>
        <row r="1323">
          <cell r="B1323" t="b">
            <v>1</v>
          </cell>
          <cell r="E1323" t="str">
            <v>Boston</v>
          </cell>
          <cell r="H1323" t="str">
            <v>consulta_externa</v>
          </cell>
          <cell r="J1323" t="str">
            <v>bueno</v>
          </cell>
          <cell r="K1323" t="str">
            <v>probsi</v>
          </cell>
        </row>
        <row r="1324">
          <cell r="B1324" t="b">
            <v>1</v>
          </cell>
          <cell r="E1324" t="str">
            <v>Boston</v>
          </cell>
          <cell r="H1324" t="str">
            <v>consulta_externa</v>
          </cell>
          <cell r="J1324" t="str">
            <v>bueno</v>
          </cell>
          <cell r="K1324" t="str">
            <v>probsi</v>
          </cell>
        </row>
        <row r="1325">
          <cell r="B1325" t="b">
            <v>1</v>
          </cell>
          <cell r="E1325" t="str">
            <v>Boston</v>
          </cell>
          <cell r="H1325" t="str">
            <v>consulta_externa</v>
          </cell>
          <cell r="J1325" t="str">
            <v>bueno</v>
          </cell>
          <cell r="K1325" t="str">
            <v>probsi</v>
          </cell>
        </row>
        <row r="1326">
          <cell r="B1326" t="b">
            <v>1</v>
          </cell>
          <cell r="E1326" t="str">
            <v>Boston</v>
          </cell>
          <cell r="H1326" t="str">
            <v>consulta_externa</v>
          </cell>
          <cell r="J1326" t="str">
            <v>bueno</v>
          </cell>
          <cell r="K1326" t="str">
            <v>probsi</v>
          </cell>
        </row>
        <row r="1327">
          <cell r="B1327" t="b">
            <v>1</v>
          </cell>
          <cell r="E1327" t="str">
            <v>Boston</v>
          </cell>
          <cell r="H1327" t="str">
            <v>consulta_externa</v>
          </cell>
          <cell r="J1327" t="str">
            <v>bueno</v>
          </cell>
          <cell r="K1327" t="str">
            <v>probsi</v>
          </cell>
        </row>
        <row r="1328">
          <cell r="B1328" t="b">
            <v>1</v>
          </cell>
          <cell r="E1328" t="str">
            <v>Boston</v>
          </cell>
          <cell r="H1328" t="str">
            <v>consulta_externa</v>
          </cell>
          <cell r="J1328" t="str">
            <v>bueno</v>
          </cell>
          <cell r="K1328" t="str">
            <v>probsi</v>
          </cell>
        </row>
        <row r="1329">
          <cell r="B1329" t="b">
            <v>1</v>
          </cell>
          <cell r="E1329" t="str">
            <v>Boston</v>
          </cell>
          <cell r="H1329" t="str">
            <v>consulta_externa</v>
          </cell>
          <cell r="J1329" t="str">
            <v>bueno</v>
          </cell>
          <cell r="K1329" t="str">
            <v>probsi</v>
          </cell>
        </row>
        <row r="1330">
          <cell r="B1330" t="b">
            <v>1</v>
          </cell>
          <cell r="E1330" t="str">
            <v>Boston</v>
          </cell>
          <cell r="H1330" t="str">
            <v>consulta_externa</v>
          </cell>
          <cell r="J1330" t="str">
            <v>bueno</v>
          </cell>
          <cell r="K1330" t="str">
            <v>probsi</v>
          </cell>
        </row>
        <row r="1331">
          <cell r="B1331" t="b">
            <v>1</v>
          </cell>
          <cell r="E1331" t="str">
            <v>Boston</v>
          </cell>
          <cell r="H1331" t="str">
            <v>consulta_externa</v>
          </cell>
          <cell r="J1331" t="str">
            <v>bueno</v>
          </cell>
          <cell r="K1331" t="str">
            <v>probsi</v>
          </cell>
        </row>
        <row r="1332">
          <cell r="B1332" t="b">
            <v>1</v>
          </cell>
          <cell r="E1332" t="str">
            <v>Boston</v>
          </cell>
          <cell r="H1332" t="str">
            <v>consulta_externa</v>
          </cell>
          <cell r="J1332" t="str">
            <v>bueno</v>
          </cell>
          <cell r="K1332" t="str">
            <v>probsi</v>
          </cell>
        </row>
        <row r="1333">
          <cell r="B1333" t="b">
            <v>1</v>
          </cell>
          <cell r="E1333" t="str">
            <v>Boston</v>
          </cell>
          <cell r="H1333" t="str">
            <v>consulta_externa</v>
          </cell>
          <cell r="J1333" t="str">
            <v>bueno</v>
          </cell>
          <cell r="K1333" t="str">
            <v>probsi</v>
          </cell>
        </row>
        <row r="1334">
          <cell r="B1334" t="b">
            <v>0</v>
          </cell>
          <cell r="E1334" t="str">
            <v>Esperanza</v>
          </cell>
          <cell r="H1334" t="str">
            <v>electros</v>
          </cell>
          <cell r="J1334" t="str">
            <v>regular</v>
          </cell>
          <cell r="K1334" t="str">
            <v>probsi</v>
          </cell>
        </row>
        <row r="1335">
          <cell r="B1335" t="b">
            <v>0</v>
          </cell>
          <cell r="E1335" t="str">
            <v>Esperanza</v>
          </cell>
          <cell r="H1335" t="str">
            <v>electros</v>
          </cell>
          <cell r="J1335" t="str">
            <v>regular</v>
          </cell>
          <cell r="K1335" t="str">
            <v>probsi</v>
          </cell>
        </row>
        <row r="1336">
          <cell r="B1336" t="b">
            <v>1</v>
          </cell>
          <cell r="E1336" t="str">
            <v>Esperanza</v>
          </cell>
          <cell r="H1336" t="str">
            <v>electros</v>
          </cell>
          <cell r="J1336" t="str">
            <v>bueno</v>
          </cell>
          <cell r="K1336" t="str">
            <v>probsi</v>
          </cell>
        </row>
        <row r="1337">
          <cell r="B1337" t="b">
            <v>0</v>
          </cell>
          <cell r="E1337" t="str">
            <v>Esperanza</v>
          </cell>
          <cell r="H1337" t="str">
            <v>electros</v>
          </cell>
          <cell r="J1337" t="str">
            <v>regular</v>
          </cell>
          <cell r="K1337" t="str">
            <v>probsi</v>
          </cell>
        </row>
        <row r="1338">
          <cell r="B1338" t="b">
            <v>1</v>
          </cell>
          <cell r="E1338" t="str">
            <v>Esperanza</v>
          </cell>
          <cell r="H1338" t="str">
            <v>electros</v>
          </cell>
          <cell r="J1338" t="str">
            <v>bueno</v>
          </cell>
          <cell r="K1338" t="str">
            <v>probsi</v>
          </cell>
        </row>
        <row r="1339">
          <cell r="B1339" t="b">
            <v>1</v>
          </cell>
          <cell r="E1339" t="str">
            <v>Esperanza</v>
          </cell>
          <cell r="H1339" t="str">
            <v>electros</v>
          </cell>
          <cell r="J1339" t="str">
            <v>bueno</v>
          </cell>
          <cell r="K1339" t="str">
            <v>probsi</v>
          </cell>
        </row>
        <row r="1340">
          <cell r="B1340" t="b">
            <v>1</v>
          </cell>
          <cell r="E1340" t="str">
            <v>Esperanza</v>
          </cell>
          <cell r="H1340" t="str">
            <v>urgencia</v>
          </cell>
          <cell r="J1340" t="str">
            <v>bueno</v>
          </cell>
          <cell r="K1340" t="str">
            <v>probsi</v>
          </cell>
        </row>
        <row r="1341">
          <cell r="B1341" t="b">
            <v>1</v>
          </cell>
          <cell r="E1341" t="str">
            <v>Esperanza</v>
          </cell>
          <cell r="H1341" t="str">
            <v>urgencia</v>
          </cell>
          <cell r="J1341" t="str">
            <v>bueno</v>
          </cell>
          <cell r="K1341" t="str">
            <v>probsi</v>
          </cell>
        </row>
        <row r="1342">
          <cell r="B1342" t="b">
            <v>1</v>
          </cell>
          <cell r="E1342" t="str">
            <v>Esperanza</v>
          </cell>
          <cell r="H1342" t="str">
            <v>urgencia</v>
          </cell>
          <cell r="J1342" t="str">
            <v>bueno</v>
          </cell>
          <cell r="K1342" t="str">
            <v>probsi</v>
          </cell>
        </row>
        <row r="1343">
          <cell r="B1343" t="b">
            <v>0</v>
          </cell>
          <cell r="E1343" t="str">
            <v>Esperanza</v>
          </cell>
          <cell r="H1343" t="str">
            <v>urgencia</v>
          </cell>
          <cell r="J1343" t="str">
            <v>regular</v>
          </cell>
          <cell r="K1343" t="str">
            <v>probsi</v>
          </cell>
        </row>
        <row r="1344">
          <cell r="B1344" t="b">
            <v>1</v>
          </cell>
          <cell r="E1344" t="str">
            <v>Esperanza</v>
          </cell>
          <cell r="H1344" t="str">
            <v>urgencia</v>
          </cell>
          <cell r="J1344" t="str">
            <v>bueno</v>
          </cell>
          <cell r="K1344" t="str">
            <v>probsi</v>
          </cell>
        </row>
        <row r="1345">
          <cell r="B1345" t="b">
            <v>1</v>
          </cell>
          <cell r="E1345" t="str">
            <v>Esperanza</v>
          </cell>
          <cell r="H1345" t="str">
            <v>urgencia</v>
          </cell>
          <cell r="J1345" t="str">
            <v>bueno</v>
          </cell>
          <cell r="K1345" t="str">
            <v>probsi</v>
          </cell>
        </row>
        <row r="1346">
          <cell r="B1346" t="b">
            <v>1</v>
          </cell>
          <cell r="E1346" t="str">
            <v>Esperanza</v>
          </cell>
          <cell r="H1346" t="str">
            <v>urgencia</v>
          </cell>
          <cell r="J1346" t="str">
            <v>bueno</v>
          </cell>
          <cell r="K1346" t="str">
            <v>probsi</v>
          </cell>
        </row>
        <row r="1347">
          <cell r="B1347" t="b">
            <v>1</v>
          </cell>
          <cell r="E1347" t="str">
            <v>Libano</v>
          </cell>
          <cell r="H1347" t="str">
            <v>pediatria</v>
          </cell>
          <cell r="J1347" t="str">
            <v>bueno</v>
          </cell>
          <cell r="K1347" t="str">
            <v>defsi</v>
          </cell>
        </row>
        <row r="1348">
          <cell r="B1348" t="b">
            <v>1</v>
          </cell>
          <cell r="E1348" t="str">
            <v>Libano</v>
          </cell>
          <cell r="H1348" t="str">
            <v>consulta_externa</v>
          </cell>
          <cell r="J1348" t="str">
            <v>bueno</v>
          </cell>
          <cell r="K1348" t="str">
            <v>defsi</v>
          </cell>
        </row>
        <row r="1349">
          <cell r="B1349" t="b">
            <v>1</v>
          </cell>
          <cell r="E1349" t="str">
            <v>Libano</v>
          </cell>
          <cell r="H1349" t="str">
            <v>laboratorio</v>
          </cell>
          <cell r="J1349" t="str">
            <v>bueno</v>
          </cell>
          <cell r="K1349" t="str">
            <v>defsi</v>
          </cell>
        </row>
        <row r="1350">
          <cell r="B1350" t="b">
            <v>1</v>
          </cell>
          <cell r="E1350" t="str">
            <v>Libano</v>
          </cell>
          <cell r="H1350" t="str">
            <v>consulta_externa</v>
          </cell>
          <cell r="J1350" t="str">
            <v>bueno</v>
          </cell>
          <cell r="K1350" t="str">
            <v>defsi</v>
          </cell>
        </row>
        <row r="1351">
          <cell r="B1351" t="b">
            <v>1</v>
          </cell>
          <cell r="E1351" t="str">
            <v>Libano</v>
          </cell>
          <cell r="H1351" t="str">
            <v>consulta_externa</v>
          </cell>
          <cell r="J1351" t="str">
            <v>bueno</v>
          </cell>
          <cell r="K1351" t="str">
            <v>defsi</v>
          </cell>
        </row>
        <row r="1352">
          <cell r="B1352" t="b">
            <v>1</v>
          </cell>
          <cell r="E1352" t="str">
            <v>San Francisco I</v>
          </cell>
          <cell r="H1352" t="str">
            <v>consulta_externa</v>
          </cell>
          <cell r="J1352" t="str">
            <v>bueno</v>
          </cell>
          <cell r="K1352" t="str">
            <v>probsi</v>
          </cell>
        </row>
        <row r="1353">
          <cell r="B1353" t="b">
            <v>1</v>
          </cell>
          <cell r="E1353" t="str">
            <v>San Francisco I</v>
          </cell>
          <cell r="H1353" t="str">
            <v>consulta_externa</v>
          </cell>
          <cell r="J1353" t="str">
            <v>bueno</v>
          </cell>
          <cell r="K1353" t="str">
            <v>probsi</v>
          </cell>
        </row>
        <row r="1354">
          <cell r="B1354" t="b">
            <v>1</v>
          </cell>
          <cell r="E1354" t="str">
            <v>San Francisco I</v>
          </cell>
          <cell r="H1354" t="str">
            <v>consulta_externa</v>
          </cell>
          <cell r="J1354" t="str">
            <v>bueno</v>
          </cell>
          <cell r="K1354" t="str">
            <v>probsi</v>
          </cell>
        </row>
        <row r="1355">
          <cell r="B1355" t="b">
            <v>1</v>
          </cell>
          <cell r="E1355" t="str">
            <v>San Francisco I</v>
          </cell>
          <cell r="H1355" t="str">
            <v>consulta_externa</v>
          </cell>
          <cell r="J1355" t="str">
            <v>bueno</v>
          </cell>
          <cell r="K1355" t="str">
            <v>probsi</v>
          </cell>
        </row>
        <row r="1356">
          <cell r="B1356" t="b">
            <v>1</v>
          </cell>
          <cell r="E1356" t="str">
            <v>San Francisco I</v>
          </cell>
          <cell r="H1356" t="str">
            <v>laboratorio</v>
          </cell>
          <cell r="J1356" t="str">
            <v>bueno</v>
          </cell>
          <cell r="K1356" t="str">
            <v>probsi</v>
          </cell>
        </row>
        <row r="1357">
          <cell r="B1357" t="b">
            <v>1</v>
          </cell>
          <cell r="E1357" t="str">
            <v>San Francisco I</v>
          </cell>
          <cell r="H1357" t="str">
            <v>laboratorio</v>
          </cell>
          <cell r="J1357" t="str">
            <v>bueno</v>
          </cell>
          <cell r="K1357" t="str">
            <v>probsi</v>
          </cell>
        </row>
        <row r="1358">
          <cell r="B1358" t="b">
            <v>1</v>
          </cell>
          <cell r="E1358" t="str">
            <v>San Francisco I</v>
          </cell>
          <cell r="H1358" t="str">
            <v>laboratorio</v>
          </cell>
          <cell r="J1358" t="str">
            <v>bueno</v>
          </cell>
          <cell r="K1358" t="str">
            <v>probsi</v>
          </cell>
        </row>
        <row r="1359">
          <cell r="B1359" t="b">
            <v>1</v>
          </cell>
          <cell r="E1359" t="str">
            <v>San Francisco I</v>
          </cell>
          <cell r="H1359" t="str">
            <v>laboratorio</v>
          </cell>
          <cell r="J1359" t="str">
            <v>bueno</v>
          </cell>
          <cell r="K1359" t="str">
            <v>probsi</v>
          </cell>
        </row>
        <row r="1360">
          <cell r="B1360" t="b">
            <v>1</v>
          </cell>
          <cell r="E1360" t="str">
            <v>San Francisco I</v>
          </cell>
          <cell r="H1360" t="str">
            <v>laboratorio</v>
          </cell>
          <cell r="J1360" t="str">
            <v>bueno</v>
          </cell>
          <cell r="K1360" t="str">
            <v>probsi</v>
          </cell>
        </row>
        <row r="1361">
          <cell r="B1361" t="b">
            <v>1</v>
          </cell>
          <cell r="E1361" t="str">
            <v>San Francisco I</v>
          </cell>
          <cell r="H1361" t="str">
            <v>laboratorio</v>
          </cell>
          <cell r="J1361" t="str">
            <v>bueno</v>
          </cell>
          <cell r="K1361" t="str">
            <v>probsi</v>
          </cell>
        </row>
        <row r="1362">
          <cell r="B1362" t="b">
            <v>1</v>
          </cell>
          <cell r="E1362" t="str">
            <v>San Francisco I</v>
          </cell>
          <cell r="H1362" t="str">
            <v>salud_oral</v>
          </cell>
          <cell r="J1362" t="str">
            <v>bueno</v>
          </cell>
          <cell r="K1362" t="str">
            <v>probsi</v>
          </cell>
        </row>
        <row r="1363">
          <cell r="B1363" t="b">
            <v>1</v>
          </cell>
          <cell r="E1363" t="str">
            <v>San Francisco I</v>
          </cell>
          <cell r="H1363" t="str">
            <v>salud_oral</v>
          </cell>
          <cell r="J1363" t="str">
            <v>bueno</v>
          </cell>
          <cell r="K1363" t="str">
            <v>probsi</v>
          </cell>
        </row>
        <row r="1364">
          <cell r="B1364" t="b">
            <v>1</v>
          </cell>
          <cell r="E1364" t="str">
            <v>San Francisco I</v>
          </cell>
          <cell r="H1364" t="str">
            <v>salud_oral</v>
          </cell>
          <cell r="J1364" t="str">
            <v>bueno</v>
          </cell>
          <cell r="K1364" t="str">
            <v>probsi</v>
          </cell>
        </row>
        <row r="1365">
          <cell r="B1365" t="b">
            <v>1</v>
          </cell>
          <cell r="E1365" t="str">
            <v>San Francisco I</v>
          </cell>
          <cell r="H1365" t="str">
            <v>salud_oral</v>
          </cell>
          <cell r="J1365" t="str">
            <v>bueno</v>
          </cell>
          <cell r="K1365" t="str">
            <v>probsi</v>
          </cell>
        </row>
        <row r="1366">
          <cell r="B1366" t="b">
            <v>1</v>
          </cell>
          <cell r="E1366" t="str">
            <v>San Francisco I</v>
          </cell>
          <cell r="H1366" t="str">
            <v>salud_oral</v>
          </cell>
          <cell r="J1366" t="str">
            <v>bueno</v>
          </cell>
          <cell r="K1366" t="str">
            <v>probsi</v>
          </cell>
        </row>
        <row r="1367">
          <cell r="B1367" t="b">
            <v>1</v>
          </cell>
          <cell r="E1367" t="str">
            <v>San Francisco I</v>
          </cell>
          <cell r="H1367" t="str">
            <v>salud_oral</v>
          </cell>
          <cell r="J1367" t="str">
            <v>bueno</v>
          </cell>
          <cell r="K1367" t="str">
            <v>probsi</v>
          </cell>
        </row>
        <row r="1368">
          <cell r="B1368" t="b">
            <v>1</v>
          </cell>
          <cell r="E1368" t="str">
            <v>San Francisco I</v>
          </cell>
          <cell r="H1368" t="str">
            <v>salud_oral</v>
          </cell>
          <cell r="J1368" t="str">
            <v>bueno</v>
          </cell>
          <cell r="K1368" t="str">
            <v>probsi</v>
          </cell>
        </row>
        <row r="1369">
          <cell r="B1369" t="b">
            <v>1</v>
          </cell>
          <cell r="E1369" t="str">
            <v>San Francisco I</v>
          </cell>
          <cell r="H1369" t="str">
            <v>consulta_externa</v>
          </cell>
          <cell r="J1369" t="str">
            <v>bueno</v>
          </cell>
          <cell r="K1369" t="str">
            <v>probsi</v>
          </cell>
        </row>
        <row r="1370">
          <cell r="B1370" t="b">
            <v>1</v>
          </cell>
          <cell r="E1370" t="str">
            <v>San Francisco I</v>
          </cell>
          <cell r="H1370" t="str">
            <v>consulta_externa</v>
          </cell>
          <cell r="J1370" t="str">
            <v>bueno</v>
          </cell>
          <cell r="K1370" t="str">
            <v>probsi</v>
          </cell>
        </row>
        <row r="1371">
          <cell r="B1371" t="b">
            <v>1</v>
          </cell>
          <cell r="E1371" t="str">
            <v>San Francisco I</v>
          </cell>
          <cell r="H1371" t="str">
            <v>salud_oral</v>
          </cell>
          <cell r="J1371" t="str">
            <v>bueno</v>
          </cell>
          <cell r="K1371" t="str">
            <v>probsi</v>
          </cell>
        </row>
        <row r="1372">
          <cell r="B1372" t="b">
            <v>1</v>
          </cell>
          <cell r="E1372" t="str">
            <v>San Francisco I</v>
          </cell>
          <cell r="H1372" t="str">
            <v>salud_oral</v>
          </cell>
          <cell r="J1372" t="str">
            <v>bueno</v>
          </cell>
          <cell r="K1372" t="str">
            <v>probsi</v>
          </cell>
        </row>
        <row r="1373">
          <cell r="B1373" t="b">
            <v>0</v>
          </cell>
          <cell r="E1373" t="str">
            <v>San Francisco I</v>
          </cell>
          <cell r="H1373" t="str">
            <v>laboratorio</v>
          </cell>
          <cell r="J1373" t="str">
            <v>regular</v>
          </cell>
          <cell r="K1373" t="str">
            <v>probsi</v>
          </cell>
        </row>
        <row r="1374">
          <cell r="B1374" t="b">
            <v>1</v>
          </cell>
          <cell r="E1374" t="str">
            <v>San Francisco I</v>
          </cell>
          <cell r="H1374" t="str">
            <v>laboratorio</v>
          </cell>
          <cell r="J1374" t="str">
            <v>bueno</v>
          </cell>
          <cell r="K1374" t="str">
            <v>probsi</v>
          </cell>
        </row>
        <row r="1375">
          <cell r="B1375" t="b">
            <v>1</v>
          </cell>
          <cell r="E1375" t="str">
            <v>San Francisco I</v>
          </cell>
          <cell r="H1375" t="str">
            <v>consulta_externa</v>
          </cell>
          <cell r="J1375" t="str">
            <v>bueno</v>
          </cell>
          <cell r="K1375" t="str">
            <v>probsi</v>
          </cell>
        </row>
        <row r="1376">
          <cell r="B1376" t="b">
            <v>1</v>
          </cell>
          <cell r="E1376" t="str">
            <v>San Francisco I</v>
          </cell>
          <cell r="H1376" t="str">
            <v>consulta_externa</v>
          </cell>
          <cell r="J1376" t="str">
            <v>bueno</v>
          </cell>
          <cell r="K1376" t="str">
            <v>probsi</v>
          </cell>
        </row>
        <row r="1377">
          <cell r="B1377" t="b">
            <v>1</v>
          </cell>
          <cell r="E1377" t="str">
            <v>Libano</v>
          </cell>
          <cell r="H1377" t="str">
            <v>pediatria</v>
          </cell>
          <cell r="J1377" t="str">
            <v>bueno</v>
          </cell>
          <cell r="K1377" t="str">
            <v>defsi</v>
          </cell>
        </row>
        <row r="1378">
          <cell r="B1378" t="b">
            <v>1</v>
          </cell>
          <cell r="E1378" t="str">
            <v>Libano</v>
          </cell>
          <cell r="H1378" t="str">
            <v>pediatria</v>
          </cell>
          <cell r="J1378" t="str">
            <v>bueno</v>
          </cell>
          <cell r="K1378" t="str">
            <v>defsi</v>
          </cell>
        </row>
        <row r="1379">
          <cell r="B1379" t="b">
            <v>1</v>
          </cell>
          <cell r="E1379" t="str">
            <v>Libano</v>
          </cell>
          <cell r="H1379" t="str">
            <v>pediatria</v>
          </cell>
          <cell r="J1379" t="str">
            <v>muybueno</v>
          </cell>
          <cell r="K1379" t="str">
            <v>defsi</v>
          </cell>
        </row>
        <row r="1380">
          <cell r="B1380" t="b">
            <v>1</v>
          </cell>
          <cell r="E1380" t="str">
            <v>Libano</v>
          </cell>
          <cell r="H1380" t="str">
            <v>pediatria</v>
          </cell>
          <cell r="J1380" t="str">
            <v>bueno</v>
          </cell>
          <cell r="K1380" t="str">
            <v>defsi</v>
          </cell>
        </row>
        <row r="1381">
          <cell r="B1381" t="b">
            <v>1</v>
          </cell>
          <cell r="E1381" t="str">
            <v>Libano</v>
          </cell>
          <cell r="H1381" t="str">
            <v>pediatria</v>
          </cell>
          <cell r="J1381" t="str">
            <v>bueno</v>
          </cell>
          <cell r="K1381" t="str">
            <v>defsi</v>
          </cell>
        </row>
        <row r="1382">
          <cell r="B1382" t="b">
            <v>1</v>
          </cell>
          <cell r="E1382" t="str">
            <v>Libano</v>
          </cell>
          <cell r="H1382" t="str">
            <v>salud_oral</v>
          </cell>
          <cell r="J1382" t="str">
            <v>bueno</v>
          </cell>
          <cell r="K1382" t="str">
            <v>defsi</v>
          </cell>
        </row>
        <row r="1383">
          <cell r="B1383" t="b">
            <v>1</v>
          </cell>
          <cell r="E1383" t="str">
            <v>Libano</v>
          </cell>
          <cell r="H1383" t="str">
            <v>salud_oral</v>
          </cell>
          <cell r="J1383" t="str">
            <v>bueno</v>
          </cell>
          <cell r="K1383" t="str">
            <v>defsi</v>
          </cell>
        </row>
        <row r="1384">
          <cell r="B1384" t="b">
            <v>1</v>
          </cell>
          <cell r="E1384" t="str">
            <v>Libano</v>
          </cell>
          <cell r="H1384" t="str">
            <v>salud_oral</v>
          </cell>
          <cell r="J1384" t="str">
            <v>bueno</v>
          </cell>
          <cell r="K1384" t="str">
            <v>defsi</v>
          </cell>
        </row>
        <row r="1385">
          <cell r="B1385" t="b">
            <v>1</v>
          </cell>
          <cell r="E1385" t="str">
            <v>Boston</v>
          </cell>
          <cell r="H1385" t="str">
            <v>consulta_externa</v>
          </cell>
          <cell r="J1385" t="str">
            <v>bueno</v>
          </cell>
          <cell r="K1385" t="str">
            <v>probsi</v>
          </cell>
        </row>
        <row r="1386">
          <cell r="B1386" t="b">
            <v>1</v>
          </cell>
          <cell r="E1386" t="str">
            <v>Boston</v>
          </cell>
          <cell r="H1386" t="str">
            <v>consulta_externa</v>
          </cell>
          <cell r="J1386" t="str">
            <v>bueno</v>
          </cell>
          <cell r="K1386" t="str">
            <v>probsi</v>
          </cell>
        </row>
        <row r="1387">
          <cell r="B1387" t="b">
            <v>1</v>
          </cell>
          <cell r="E1387" t="str">
            <v>Boston</v>
          </cell>
          <cell r="H1387" t="str">
            <v>consulta_externa</v>
          </cell>
          <cell r="J1387" t="str">
            <v>bueno</v>
          </cell>
          <cell r="K1387" t="str">
            <v>probsi</v>
          </cell>
        </row>
        <row r="1388">
          <cell r="B1388" t="b">
            <v>1</v>
          </cell>
          <cell r="E1388" t="str">
            <v>Boston</v>
          </cell>
          <cell r="H1388" t="str">
            <v>consulta_externa</v>
          </cell>
          <cell r="J1388" t="str">
            <v>bueno</v>
          </cell>
          <cell r="K1388" t="str">
            <v>probsi</v>
          </cell>
        </row>
        <row r="1389">
          <cell r="B1389" t="b">
            <v>1</v>
          </cell>
          <cell r="E1389" t="str">
            <v>Libano</v>
          </cell>
          <cell r="H1389" t="str">
            <v>salud_oral</v>
          </cell>
          <cell r="J1389" t="str">
            <v>bueno</v>
          </cell>
          <cell r="K1389" t="str">
            <v>defsi</v>
          </cell>
        </row>
        <row r="1390">
          <cell r="B1390" t="b">
            <v>1</v>
          </cell>
          <cell r="E1390" t="str">
            <v>Libano</v>
          </cell>
          <cell r="H1390" t="str">
            <v>salud_oral</v>
          </cell>
          <cell r="J1390" t="str">
            <v>muybueno</v>
          </cell>
          <cell r="K1390" t="str">
            <v>defsi</v>
          </cell>
        </row>
        <row r="1391">
          <cell r="B1391" t="b">
            <v>1</v>
          </cell>
          <cell r="E1391" t="str">
            <v>Libano</v>
          </cell>
          <cell r="H1391" t="str">
            <v>consulta_externa</v>
          </cell>
          <cell r="J1391" t="str">
            <v>muybueno</v>
          </cell>
          <cell r="K1391" t="str">
            <v>defsi</v>
          </cell>
        </row>
        <row r="1392">
          <cell r="B1392" t="b">
            <v>1</v>
          </cell>
          <cell r="E1392" t="str">
            <v>Libano</v>
          </cell>
          <cell r="H1392" t="str">
            <v>laboratorio</v>
          </cell>
          <cell r="J1392" t="str">
            <v>muybueno</v>
          </cell>
          <cell r="K1392" t="str">
            <v>defsi</v>
          </cell>
        </row>
        <row r="1393">
          <cell r="B1393" t="b">
            <v>1</v>
          </cell>
          <cell r="E1393" t="str">
            <v>Libano</v>
          </cell>
          <cell r="H1393" t="str">
            <v>laboratorio</v>
          </cell>
          <cell r="J1393" t="str">
            <v>bueno</v>
          </cell>
          <cell r="K1393" t="str">
            <v>defsi</v>
          </cell>
        </row>
        <row r="1394">
          <cell r="B1394" t="b">
            <v>1</v>
          </cell>
          <cell r="E1394" t="str">
            <v>Libano</v>
          </cell>
          <cell r="H1394" t="str">
            <v>laboratorio</v>
          </cell>
          <cell r="J1394" t="str">
            <v>bueno</v>
          </cell>
          <cell r="K1394" t="str">
            <v>defsi</v>
          </cell>
        </row>
        <row r="1395">
          <cell r="B1395" t="b">
            <v>0</v>
          </cell>
          <cell r="E1395" t="str">
            <v>Libano</v>
          </cell>
          <cell r="H1395" t="str">
            <v>consulta_externa</v>
          </cell>
          <cell r="J1395" t="str">
            <v>regular</v>
          </cell>
          <cell r="K1395" t="str">
            <v>probsi</v>
          </cell>
        </row>
        <row r="1396">
          <cell r="B1396" t="b">
            <v>1</v>
          </cell>
          <cell r="E1396" t="str">
            <v>Libano</v>
          </cell>
          <cell r="H1396" t="str">
            <v>salud_oral</v>
          </cell>
          <cell r="J1396" t="str">
            <v>bueno</v>
          </cell>
          <cell r="K1396" t="str">
            <v>defsi</v>
          </cell>
        </row>
        <row r="1397">
          <cell r="B1397" t="b">
            <v>1</v>
          </cell>
          <cell r="E1397" t="str">
            <v>Libano</v>
          </cell>
          <cell r="H1397" t="str">
            <v>salud_oral</v>
          </cell>
          <cell r="J1397" t="str">
            <v>bueno</v>
          </cell>
          <cell r="K1397" t="str">
            <v>defsi</v>
          </cell>
        </row>
        <row r="1398">
          <cell r="B1398" t="b">
            <v>1</v>
          </cell>
          <cell r="E1398" t="str">
            <v>Libano</v>
          </cell>
          <cell r="H1398" t="str">
            <v>salud_oral</v>
          </cell>
          <cell r="J1398" t="str">
            <v>bueno</v>
          </cell>
          <cell r="K1398" t="str">
            <v>defsi</v>
          </cell>
        </row>
        <row r="1399">
          <cell r="B1399" t="b">
            <v>1</v>
          </cell>
          <cell r="E1399" t="str">
            <v>Libano</v>
          </cell>
          <cell r="H1399" t="str">
            <v>salud_oral</v>
          </cell>
          <cell r="J1399" t="str">
            <v>bueno</v>
          </cell>
          <cell r="K1399" t="str">
            <v>defsi</v>
          </cell>
        </row>
        <row r="1400">
          <cell r="B1400" t="b">
            <v>1</v>
          </cell>
          <cell r="E1400" t="str">
            <v>Libano</v>
          </cell>
          <cell r="H1400" t="str">
            <v>consulta_externa</v>
          </cell>
          <cell r="J1400" t="str">
            <v>bueno</v>
          </cell>
          <cell r="K1400" t="str">
            <v>defsi</v>
          </cell>
        </row>
        <row r="1401">
          <cell r="B1401" t="b">
            <v>1</v>
          </cell>
          <cell r="E1401" t="str">
            <v>Libano</v>
          </cell>
          <cell r="H1401" t="str">
            <v>pediatria</v>
          </cell>
          <cell r="J1401" t="str">
            <v>bueno</v>
          </cell>
          <cell r="K1401" t="str">
            <v>defsi</v>
          </cell>
        </row>
        <row r="1402">
          <cell r="B1402" t="b">
            <v>1</v>
          </cell>
          <cell r="E1402" t="str">
            <v>Libano</v>
          </cell>
          <cell r="H1402" t="str">
            <v>pediatria</v>
          </cell>
          <cell r="J1402" t="str">
            <v>bueno</v>
          </cell>
          <cell r="K1402" t="str">
            <v>defsi</v>
          </cell>
        </row>
        <row r="1403">
          <cell r="B1403" t="b">
            <v>1</v>
          </cell>
          <cell r="E1403" t="str">
            <v>San Francisco I</v>
          </cell>
          <cell r="H1403" t="str">
            <v>laboratorio</v>
          </cell>
          <cell r="J1403" t="str">
            <v>bueno</v>
          </cell>
          <cell r="K1403" t="str">
            <v>probsi</v>
          </cell>
        </row>
        <row r="1404">
          <cell r="B1404" t="b">
            <v>1</v>
          </cell>
          <cell r="E1404" t="str">
            <v>San Francisco I</v>
          </cell>
          <cell r="H1404" t="str">
            <v>laboratorio</v>
          </cell>
          <cell r="J1404" t="str">
            <v>bueno</v>
          </cell>
          <cell r="K1404" t="str">
            <v>probsi</v>
          </cell>
        </row>
        <row r="1405">
          <cell r="B1405" t="b">
            <v>1</v>
          </cell>
          <cell r="E1405" t="str">
            <v>San Francisco I</v>
          </cell>
          <cell r="H1405" t="str">
            <v>laboratorio</v>
          </cell>
          <cell r="J1405" t="str">
            <v>bueno</v>
          </cell>
          <cell r="K1405" t="str">
            <v>probsi</v>
          </cell>
        </row>
        <row r="1406">
          <cell r="B1406" t="b">
            <v>1</v>
          </cell>
          <cell r="E1406" t="str">
            <v>San Francisco I</v>
          </cell>
          <cell r="H1406" t="str">
            <v>laboratorio</v>
          </cell>
          <cell r="J1406" t="str">
            <v>bueno</v>
          </cell>
          <cell r="K1406" t="str">
            <v>probsi</v>
          </cell>
        </row>
        <row r="1407">
          <cell r="B1407" t="b">
            <v>1</v>
          </cell>
          <cell r="E1407" t="str">
            <v>San Francisco I</v>
          </cell>
          <cell r="H1407" t="str">
            <v>laboratorio</v>
          </cell>
          <cell r="J1407" t="str">
            <v>bueno</v>
          </cell>
          <cell r="K1407" t="str">
            <v>probsi</v>
          </cell>
        </row>
        <row r="1408">
          <cell r="B1408" t="b">
            <v>1</v>
          </cell>
          <cell r="E1408" t="str">
            <v>Libano</v>
          </cell>
          <cell r="H1408" t="str">
            <v>laboratorio</v>
          </cell>
          <cell r="J1408" t="str">
            <v>bueno</v>
          </cell>
          <cell r="K1408" t="str">
            <v>defsi</v>
          </cell>
        </row>
        <row r="1409">
          <cell r="B1409" t="b">
            <v>1</v>
          </cell>
          <cell r="E1409" t="str">
            <v>San Francisco I</v>
          </cell>
          <cell r="H1409" t="str">
            <v>laboratorio</v>
          </cell>
          <cell r="J1409" t="str">
            <v>bueno</v>
          </cell>
          <cell r="K1409" t="str">
            <v>probsi</v>
          </cell>
        </row>
        <row r="1410">
          <cell r="B1410" t="b">
            <v>1</v>
          </cell>
          <cell r="E1410" t="str">
            <v>San Francisco I</v>
          </cell>
          <cell r="H1410" t="str">
            <v>laboratorio</v>
          </cell>
          <cell r="J1410" t="str">
            <v>bueno</v>
          </cell>
          <cell r="K1410" t="str">
            <v>probsi</v>
          </cell>
        </row>
        <row r="1411">
          <cell r="B1411" t="b">
            <v>1</v>
          </cell>
          <cell r="E1411" t="str">
            <v>San Francisco I</v>
          </cell>
          <cell r="H1411" t="str">
            <v>consulta_externa</v>
          </cell>
          <cell r="J1411" t="str">
            <v>bueno</v>
          </cell>
          <cell r="K1411" t="str">
            <v>probsi</v>
          </cell>
        </row>
        <row r="1412">
          <cell r="B1412" t="b">
            <v>1</v>
          </cell>
          <cell r="E1412" t="str">
            <v>San Francisco I</v>
          </cell>
          <cell r="H1412" t="str">
            <v>consulta_externa</v>
          </cell>
          <cell r="J1412" t="str">
            <v>bueno</v>
          </cell>
          <cell r="K1412" t="str">
            <v>probsi</v>
          </cell>
        </row>
        <row r="1413">
          <cell r="B1413" t="b">
            <v>1</v>
          </cell>
          <cell r="E1413" t="str">
            <v>San Francisco I</v>
          </cell>
          <cell r="H1413" t="str">
            <v>salud_oral</v>
          </cell>
          <cell r="J1413" t="str">
            <v>bueno</v>
          </cell>
          <cell r="K1413" t="str">
            <v>probsi</v>
          </cell>
        </row>
        <row r="1414">
          <cell r="B1414" t="b">
            <v>1</v>
          </cell>
          <cell r="E1414" t="str">
            <v>San Francisco I</v>
          </cell>
          <cell r="H1414" t="str">
            <v>salud_oral</v>
          </cell>
          <cell r="J1414" t="str">
            <v>bueno</v>
          </cell>
          <cell r="K1414" t="str">
            <v>probsi</v>
          </cell>
        </row>
        <row r="1415">
          <cell r="B1415" t="b">
            <v>0</v>
          </cell>
          <cell r="E1415" t="str">
            <v>Libano</v>
          </cell>
          <cell r="H1415" t="str">
            <v>laboratorio</v>
          </cell>
          <cell r="J1415" t="str">
            <v>regular</v>
          </cell>
          <cell r="K1415" t="str">
            <v>defsi</v>
          </cell>
        </row>
        <row r="1416">
          <cell r="B1416" t="b">
            <v>1</v>
          </cell>
          <cell r="E1416" t="str">
            <v>Libano</v>
          </cell>
          <cell r="H1416" t="str">
            <v>ginecologia</v>
          </cell>
          <cell r="J1416" t="str">
            <v>bueno</v>
          </cell>
          <cell r="K1416" t="str">
            <v>defsi</v>
          </cell>
        </row>
        <row r="1417">
          <cell r="B1417" t="b">
            <v>1</v>
          </cell>
          <cell r="E1417" t="str">
            <v>Libano</v>
          </cell>
          <cell r="H1417" t="str">
            <v>ginecologia</v>
          </cell>
          <cell r="J1417" t="str">
            <v>bueno</v>
          </cell>
          <cell r="K1417" t="str">
            <v>defsi</v>
          </cell>
        </row>
        <row r="1418">
          <cell r="B1418" t="b">
            <v>1</v>
          </cell>
          <cell r="E1418" t="str">
            <v>Libano</v>
          </cell>
          <cell r="H1418" t="str">
            <v>ginecologia</v>
          </cell>
          <cell r="J1418" t="str">
            <v>bueno</v>
          </cell>
          <cell r="K1418" t="str">
            <v>defsi</v>
          </cell>
        </row>
        <row r="1419">
          <cell r="B1419" t="b">
            <v>1</v>
          </cell>
          <cell r="E1419" t="str">
            <v>Libano</v>
          </cell>
          <cell r="H1419" t="str">
            <v>ginecologia</v>
          </cell>
          <cell r="J1419" t="str">
            <v>bueno</v>
          </cell>
          <cell r="K1419" t="str">
            <v>defsi</v>
          </cell>
        </row>
        <row r="1420">
          <cell r="B1420" t="b">
            <v>1</v>
          </cell>
          <cell r="E1420" t="str">
            <v>Libano</v>
          </cell>
          <cell r="H1420" t="str">
            <v>salud_oral</v>
          </cell>
          <cell r="J1420" t="str">
            <v>bueno</v>
          </cell>
          <cell r="K1420" t="str">
            <v>defsi</v>
          </cell>
        </row>
        <row r="1421">
          <cell r="B1421" t="b">
            <v>1</v>
          </cell>
          <cell r="E1421" t="str">
            <v>San Francisco I</v>
          </cell>
          <cell r="H1421" t="str">
            <v>consulta_externa</v>
          </cell>
          <cell r="J1421" t="str">
            <v>bueno</v>
          </cell>
          <cell r="K1421" t="str">
            <v>probsi</v>
          </cell>
        </row>
        <row r="1422">
          <cell r="B1422" t="b">
            <v>1</v>
          </cell>
          <cell r="E1422" t="str">
            <v>San Francisco I</v>
          </cell>
          <cell r="H1422" t="str">
            <v>consulta_externa</v>
          </cell>
          <cell r="J1422" t="str">
            <v>bueno</v>
          </cell>
          <cell r="K1422" t="str">
            <v>probsi</v>
          </cell>
        </row>
        <row r="1423">
          <cell r="B1423" t="b">
            <v>0</v>
          </cell>
          <cell r="E1423" t="str">
            <v>San Francisco I</v>
          </cell>
          <cell r="H1423" t="str">
            <v>laboratorio</v>
          </cell>
          <cell r="J1423" t="str">
            <v>regular</v>
          </cell>
          <cell r="K1423" t="str">
            <v>probsi</v>
          </cell>
        </row>
        <row r="1424">
          <cell r="B1424" t="b">
            <v>1</v>
          </cell>
          <cell r="E1424" t="str">
            <v>San Francisco I</v>
          </cell>
          <cell r="H1424" t="str">
            <v>salud_oral</v>
          </cell>
          <cell r="J1424" t="str">
            <v>bueno</v>
          </cell>
          <cell r="K1424" t="str">
            <v>probsi</v>
          </cell>
        </row>
        <row r="1425">
          <cell r="B1425" t="b">
            <v>1</v>
          </cell>
          <cell r="E1425" t="str">
            <v>San Francisco I</v>
          </cell>
          <cell r="H1425" t="str">
            <v>salud_oral</v>
          </cell>
          <cell r="J1425" t="str">
            <v>bueno</v>
          </cell>
          <cell r="K1425" t="str">
            <v>probsi</v>
          </cell>
        </row>
        <row r="1426">
          <cell r="B1426" t="b">
            <v>1</v>
          </cell>
          <cell r="E1426" t="str">
            <v>San Pedro y Libertad</v>
          </cell>
          <cell r="H1426" t="str">
            <v>salud_oral</v>
          </cell>
          <cell r="J1426" t="str">
            <v>bueno</v>
          </cell>
          <cell r="K1426" t="str">
            <v>probsi</v>
          </cell>
        </row>
        <row r="1427">
          <cell r="B1427" t="b">
            <v>1</v>
          </cell>
          <cell r="E1427" t="str">
            <v>San Pedro y Libertad</v>
          </cell>
          <cell r="H1427" t="str">
            <v>salud_oral</v>
          </cell>
          <cell r="J1427" t="str">
            <v>bueno</v>
          </cell>
          <cell r="K1427" t="str">
            <v>probsi</v>
          </cell>
        </row>
        <row r="1428">
          <cell r="B1428" t="b">
            <v>1</v>
          </cell>
          <cell r="E1428" t="str">
            <v>San Pedro y Libertad</v>
          </cell>
          <cell r="H1428" t="str">
            <v>salud_oral</v>
          </cell>
          <cell r="J1428" t="str">
            <v>bueno</v>
          </cell>
          <cell r="K1428" t="str">
            <v>probsi</v>
          </cell>
        </row>
        <row r="1429">
          <cell r="B1429" t="b">
            <v>1</v>
          </cell>
          <cell r="E1429" t="str">
            <v>San Pedro y Libertad</v>
          </cell>
          <cell r="H1429" t="str">
            <v>salud_oral</v>
          </cell>
          <cell r="J1429" t="str">
            <v>bueno</v>
          </cell>
          <cell r="K1429" t="str">
            <v>probsi</v>
          </cell>
        </row>
        <row r="1430">
          <cell r="B1430" t="b">
            <v>1</v>
          </cell>
          <cell r="E1430" t="str">
            <v>San Pedro y Libertad</v>
          </cell>
          <cell r="H1430" t="str">
            <v>salud_oral</v>
          </cell>
          <cell r="J1430" t="str">
            <v>bueno</v>
          </cell>
          <cell r="K1430" t="str">
            <v>probsi</v>
          </cell>
        </row>
        <row r="1431">
          <cell r="B1431" t="b">
            <v>1</v>
          </cell>
          <cell r="E1431" t="str">
            <v>Libano</v>
          </cell>
          <cell r="H1431" t="str">
            <v>salud_oral</v>
          </cell>
          <cell r="J1431" t="str">
            <v>bueno</v>
          </cell>
          <cell r="K1431" t="str">
            <v>defsi</v>
          </cell>
        </row>
        <row r="1432">
          <cell r="B1432" t="b">
            <v>1</v>
          </cell>
          <cell r="E1432" t="str">
            <v>Libano</v>
          </cell>
          <cell r="H1432" t="str">
            <v>ginecologia</v>
          </cell>
          <cell r="J1432" t="str">
            <v>bueno</v>
          </cell>
          <cell r="K1432" t="str">
            <v>defsi</v>
          </cell>
        </row>
        <row r="1433">
          <cell r="B1433" t="b">
            <v>1</v>
          </cell>
          <cell r="E1433" t="str">
            <v>Libano</v>
          </cell>
          <cell r="H1433" t="str">
            <v>ginecologia</v>
          </cell>
          <cell r="J1433" t="str">
            <v>muybueno</v>
          </cell>
          <cell r="K1433" t="str">
            <v>defsi</v>
          </cell>
        </row>
        <row r="1434">
          <cell r="B1434" t="b">
            <v>1</v>
          </cell>
          <cell r="E1434" t="str">
            <v>Libano</v>
          </cell>
          <cell r="H1434" t="str">
            <v>ginecologia</v>
          </cell>
          <cell r="J1434" t="str">
            <v>bueno</v>
          </cell>
          <cell r="K1434" t="str">
            <v>defsi</v>
          </cell>
        </row>
        <row r="1435">
          <cell r="B1435" t="b">
            <v>0</v>
          </cell>
          <cell r="E1435" t="str">
            <v>Libano</v>
          </cell>
          <cell r="H1435" t="str">
            <v>ginecologia</v>
          </cell>
          <cell r="J1435" t="str">
            <v>regular</v>
          </cell>
          <cell r="K1435" t="str">
            <v>defsi</v>
          </cell>
        </row>
        <row r="1436">
          <cell r="B1436" t="b">
            <v>1</v>
          </cell>
          <cell r="E1436" t="str">
            <v>Libano</v>
          </cell>
          <cell r="H1436" t="str">
            <v>laboratorio</v>
          </cell>
          <cell r="J1436" t="str">
            <v>bueno</v>
          </cell>
          <cell r="K1436" t="str">
            <v>defsi</v>
          </cell>
        </row>
        <row r="1437">
          <cell r="B1437" t="b">
            <v>1</v>
          </cell>
          <cell r="E1437" t="str">
            <v>Blasdelezo</v>
          </cell>
          <cell r="H1437" t="str">
            <v>salud_oral</v>
          </cell>
          <cell r="J1437" t="str">
            <v>bueno</v>
          </cell>
          <cell r="K1437" t="str">
            <v>defsi</v>
          </cell>
        </row>
        <row r="1438">
          <cell r="B1438" t="b">
            <v>0</v>
          </cell>
          <cell r="E1438" t="str">
            <v>Blasdelezo</v>
          </cell>
          <cell r="H1438" t="str">
            <v>consulta_externa</v>
          </cell>
          <cell r="J1438" t="str">
            <v>regular</v>
          </cell>
          <cell r="K1438" t="str">
            <v>defsi</v>
          </cell>
        </row>
        <row r="1439">
          <cell r="B1439" t="b">
            <v>1</v>
          </cell>
          <cell r="E1439" t="str">
            <v>Blasdelezo</v>
          </cell>
          <cell r="H1439" t="str">
            <v>salud_oral</v>
          </cell>
          <cell r="J1439" t="str">
            <v>bueno</v>
          </cell>
          <cell r="K1439" t="str">
            <v>defsi</v>
          </cell>
        </row>
        <row r="1440">
          <cell r="B1440" t="b">
            <v>1</v>
          </cell>
          <cell r="E1440" t="str">
            <v>Blasdelezo</v>
          </cell>
          <cell r="H1440" t="str">
            <v>urgencia</v>
          </cell>
          <cell r="J1440" t="str">
            <v>bueno</v>
          </cell>
          <cell r="K1440" t="str">
            <v>defsi</v>
          </cell>
        </row>
        <row r="1441">
          <cell r="B1441" t="b">
            <v>1</v>
          </cell>
          <cell r="E1441" t="str">
            <v>Blasdelezo</v>
          </cell>
          <cell r="H1441" t="str">
            <v>laboratorio</v>
          </cell>
          <cell r="J1441" t="str">
            <v>bueno</v>
          </cell>
          <cell r="K1441" t="str">
            <v>defsi</v>
          </cell>
        </row>
        <row r="1442">
          <cell r="B1442" t="b">
            <v>1</v>
          </cell>
          <cell r="E1442" t="str">
            <v>Blasdelezo</v>
          </cell>
          <cell r="H1442" t="str">
            <v>salud_oral</v>
          </cell>
          <cell r="J1442" t="str">
            <v>bueno</v>
          </cell>
          <cell r="K1442" t="str">
            <v>defsi</v>
          </cell>
        </row>
        <row r="1443">
          <cell r="B1443" t="b">
            <v>1</v>
          </cell>
          <cell r="E1443" t="str">
            <v>Blasdelezo</v>
          </cell>
          <cell r="H1443" t="str">
            <v>salud_oral</v>
          </cell>
          <cell r="J1443" t="str">
            <v>bueno</v>
          </cell>
          <cell r="K1443" t="str">
            <v>defsi</v>
          </cell>
        </row>
        <row r="1444">
          <cell r="B1444" t="b">
            <v>1</v>
          </cell>
          <cell r="E1444" t="str">
            <v>Blasdelezo</v>
          </cell>
          <cell r="H1444" t="str">
            <v>salud_oral</v>
          </cell>
          <cell r="J1444" t="str">
            <v>bueno</v>
          </cell>
          <cell r="K1444" t="str">
            <v>defsi</v>
          </cell>
        </row>
        <row r="1445">
          <cell r="B1445" t="b">
            <v>1</v>
          </cell>
          <cell r="E1445" t="str">
            <v>Blasdelezo</v>
          </cell>
          <cell r="H1445" t="str">
            <v>urgencia</v>
          </cell>
          <cell r="J1445" t="str">
            <v>bueno</v>
          </cell>
          <cell r="K1445" t="str">
            <v>defsi</v>
          </cell>
        </row>
        <row r="1446">
          <cell r="B1446" t="b">
            <v>1</v>
          </cell>
          <cell r="E1446" t="str">
            <v>Esperanza</v>
          </cell>
          <cell r="H1446" t="str">
            <v>laboratorio</v>
          </cell>
          <cell r="J1446" t="str">
            <v>bueno</v>
          </cell>
          <cell r="K1446" t="str">
            <v>probsi</v>
          </cell>
        </row>
        <row r="1447">
          <cell r="B1447" t="b">
            <v>1</v>
          </cell>
          <cell r="E1447" t="str">
            <v>Esperanza</v>
          </cell>
          <cell r="H1447" t="str">
            <v>laboratorio</v>
          </cell>
          <cell r="J1447" t="str">
            <v>bueno</v>
          </cell>
          <cell r="K1447" t="str">
            <v>probsi</v>
          </cell>
        </row>
        <row r="1448">
          <cell r="B1448" t="b">
            <v>1</v>
          </cell>
          <cell r="E1448" t="str">
            <v>Esperanza</v>
          </cell>
          <cell r="H1448" t="str">
            <v>laboratorio</v>
          </cell>
          <cell r="J1448" t="str">
            <v>bueno</v>
          </cell>
          <cell r="K1448" t="str">
            <v>probsi</v>
          </cell>
        </row>
        <row r="1449">
          <cell r="B1449" t="b">
            <v>1</v>
          </cell>
          <cell r="E1449" t="str">
            <v>Esperanza</v>
          </cell>
          <cell r="H1449" t="str">
            <v>laboratorio</v>
          </cell>
          <cell r="J1449" t="str">
            <v>bueno</v>
          </cell>
          <cell r="K1449" t="str">
            <v>probsi</v>
          </cell>
        </row>
        <row r="1450">
          <cell r="B1450" t="b">
            <v>1</v>
          </cell>
          <cell r="E1450" t="str">
            <v>Esperanza</v>
          </cell>
          <cell r="H1450" t="str">
            <v>laboratorio</v>
          </cell>
          <cell r="J1450" t="str">
            <v>bueno</v>
          </cell>
          <cell r="K1450" t="str">
            <v>probsi</v>
          </cell>
        </row>
        <row r="1451">
          <cell r="B1451" t="b">
            <v>1</v>
          </cell>
          <cell r="E1451" t="str">
            <v>Esperanza</v>
          </cell>
          <cell r="H1451" t="str">
            <v>urgencia</v>
          </cell>
          <cell r="J1451" t="str">
            <v>bueno</v>
          </cell>
          <cell r="K1451" t="str">
            <v>probsi</v>
          </cell>
        </row>
        <row r="1452">
          <cell r="B1452" t="b">
            <v>1</v>
          </cell>
          <cell r="E1452" t="str">
            <v>Esperanza</v>
          </cell>
          <cell r="H1452" t="str">
            <v>urgencia</v>
          </cell>
          <cell r="J1452" t="str">
            <v>bueno</v>
          </cell>
          <cell r="K1452" t="str">
            <v>probsi</v>
          </cell>
        </row>
        <row r="1453">
          <cell r="B1453" t="b">
            <v>1</v>
          </cell>
          <cell r="E1453" t="str">
            <v>Esperanza</v>
          </cell>
          <cell r="H1453" t="str">
            <v>urgencia</v>
          </cell>
          <cell r="J1453" t="str">
            <v>bueno</v>
          </cell>
          <cell r="K1453" t="str">
            <v>probsi</v>
          </cell>
        </row>
        <row r="1454">
          <cell r="B1454" t="b">
            <v>0</v>
          </cell>
          <cell r="E1454" t="str">
            <v>Esperanza</v>
          </cell>
          <cell r="H1454" t="str">
            <v>urgencia</v>
          </cell>
          <cell r="J1454" t="str">
            <v>regular</v>
          </cell>
          <cell r="K1454" t="str">
            <v>probsi</v>
          </cell>
        </row>
        <row r="1455">
          <cell r="B1455" t="b">
            <v>1</v>
          </cell>
          <cell r="E1455" t="str">
            <v>Esperanza</v>
          </cell>
          <cell r="H1455" t="str">
            <v>urgencia</v>
          </cell>
          <cell r="J1455" t="str">
            <v>bueno</v>
          </cell>
          <cell r="K1455" t="str">
            <v>probsi</v>
          </cell>
        </row>
        <row r="1456">
          <cell r="B1456" t="b">
            <v>1</v>
          </cell>
          <cell r="E1456" t="str">
            <v>Esperanza</v>
          </cell>
          <cell r="H1456" t="str">
            <v>urgencia</v>
          </cell>
          <cell r="J1456" t="str">
            <v>bueno</v>
          </cell>
          <cell r="K1456" t="str">
            <v>probsi</v>
          </cell>
        </row>
        <row r="1457">
          <cell r="B1457" t="b">
            <v>1</v>
          </cell>
          <cell r="E1457" t="str">
            <v>Esperanza</v>
          </cell>
          <cell r="H1457" t="str">
            <v>electros</v>
          </cell>
          <cell r="J1457" t="str">
            <v>bueno</v>
          </cell>
          <cell r="K1457" t="str">
            <v>probsi</v>
          </cell>
        </row>
        <row r="1458">
          <cell r="B1458" t="b">
            <v>1</v>
          </cell>
          <cell r="E1458" t="str">
            <v>Esperanza</v>
          </cell>
          <cell r="H1458" t="str">
            <v>electros</v>
          </cell>
          <cell r="J1458" t="str">
            <v>bueno</v>
          </cell>
          <cell r="K1458" t="str">
            <v>probsi</v>
          </cell>
        </row>
        <row r="1459">
          <cell r="B1459" t="b">
            <v>1</v>
          </cell>
          <cell r="E1459" t="str">
            <v>Esperanza</v>
          </cell>
          <cell r="H1459" t="str">
            <v>electros</v>
          </cell>
          <cell r="J1459" t="str">
            <v>bueno</v>
          </cell>
          <cell r="K1459" t="str">
            <v>probsi</v>
          </cell>
        </row>
        <row r="1460">
          <cell r="B1460" t="b">
            <v>0</v>
          </cell>
          <cell r="E1460" t="str">
            <v>Esperanza</v>
          </cell>
          <cell r="H1460" t="str">
            <v>electros</v>
          </cell>
          <cell r="J1460" t="str">
            <v>regular</v>
          </cell>
          <cell r="K1460" t="str">
            <v>probsi</v>
          </cell>
        </row>
        <row r="1461">
          <cell r="B1461" t="b">
            <v>1</v>
          </cell>
          <cell r="E1461" t="str">
            <v>Esperanza</v>
          </cell>
          <cell r="H1461" t="str">
            <v>electros</v>
          </cell>
          <cell r="J1461" t="str">
            <v>bueno</v>
          </cell>
          <cell r="K1461" t="str">
            <v>probsi</v>
          </cell>
        </row>
        <row r="1462">
          <cell r="B1462" t="b">
            <v>1</v>
          </cell>
          <cell r="E1462" t="str">
            <v>Esperanza</v>
          </cell>
          <cell r="H1462" t="str">
            <v>electros</v>
          </cell>
          <cell r="J1462" t="str">
            <v>bueno</v>
          </cell>
          <cell r="K1462" t="str">
            <v>probsi</v>
          </cell>
        </row>
        <row r="1463">
          <cell r="B1463" t="b">
            <v>1</v>
          </cell>
          <cell r="E1463" t="str">
            <v>Punta Canoa</v>
          </cell>
          <cell r="H1463" t="str">
            <v>consulta_externa</v>
          </cell>
          <cell r="J1463" t="str">
            <v>bueno</v>
          </cell>
          <cell r="K1463" t="str">
            <v>defsi</v>
          </cell>
        </row>
        <row r="1464">
          <cell r="B1464" t="b">
            <v>1</v>
          </cell>
          <cell r="E1464" t="str">
            <v>Punta Canoa</v>
          </cell>
          <cell r="H1464" t="str">
            <v>salud_oral</v>
          </cell>
          <cell r="J1464" t="str">
            <v>bueno</v>
          </cell>
          <cell r="K1464" t="str">
            <v>defsi</v>
          </cell>
        </row>
        <row r="1465">
          <cell r="B1465" t="b">
            <v>1</v>
          </cell>
          <cell r="E1465" t="str">
            <v>Punta Canoa</v>
          </cell>
          <cell r="H1465" t="str">
            <v>laboratorio</v>
          </cell>
          <cell r="J1465" t="str">
            <v>bueno</v>
          </cell>
          <cell r="K1465" t="str">
            <v>defsi</v>
          </cell>
        </row>
        <row r="1466">
          <cell r="B1466" t="b">
            <v>1</v>
          </cell>
          <cell r="E1466" t="str">
            <v>Punta Canoa</v>
          </cell>
          <cell r="H1466" t="str">
            <v>consulta_externa</v>
          </cell>
          <cell r="J1466" t="str">
            <v>bueno</v>
          </cell>
          <cell r="K1466" t="str">
            <v>defsi</v>
          </cell>
        </row>
        <row r="1467">
          <cell r="B1467" t="b">
            <v>1</v>
          </cell>
          <cell r="E1467" t="str">
            <v>Punta Canoa</v>
          </cell>
          <cell r="H1467" t="str">
            <v>salud_oral</v>
          </cell>
          <cell r="J1467" t="str">
            <v>bueno</v>
          </cell>
          <cell r="K1467" t="str">
            <v>defsi</v>
          </cell>
        </row>
        <row r="1468">
          <cell r="B1468" t="b">
            <v>1</v>
          </cell>
          <cell r="E1468" t="str">
            <v>Punta Canoa</v>
          </cell>
          <cell r="H1468" t="str">
            <v>laboratorio</v>
          </cell>
          <cell r="J1468" t="str">
            <v>bueno</v>
          </cell>
          <cell r="K1468" t="str">
            <v>defsi</v>
          </cell>
        </row>
        <row r="1469">
          <cell r="B1469" t="b">
            <v>1</v>
          </cell>
          <cell r="E1469" t="str">
            <v>Las Reinas</v>
          </cell>
          <cell r="H1469" t="str">
            <v>consulta_externa</v>
          </cell>
          <cell r="J1469" t="str">
            <v>bueno</v>
          </cell>
          <cell r="K1469" t="str">
            <v>probsi</v>
          </cell>
        </row>
        <row r="1470">
          <cell r="B1470" t="b">
            <v>1</v>
          </cell>
          <cell r="E1470" t="str">
            <v>Las Reinas</v>
          </cell>
          <cell r="H1470" t="str">
            <v>consulta_externa</v>
          </cell>
          <cell r="J1470" t="str">
            <v>bueno</v>
          </cell>
          <cell r="K1470" t="str">
            <v>probsi</v>
          </cell>
        </row>
        <row r="1471">
          <cell r="B1471" t="b">
            <v>1</v>
          </cell>
          <cell r="E1471" t="str">
            <v>Las Reinas</v>
          </cell>
          <cell r="H1471" t="str">
            <v>consulta_externa</v>
          </cell>
          <cell r="J1471" t="str">
            <v>bueno</v>
          </cell>
          <cell r="K1471" t="str">
            <v>probsi</v>
          </cell>
        </row>
        <row r="1472">
          <cell r="B1472" t="b">
            <v>1</v>
          </cell>
          <cell r="E1472" t="str">
            <v>Las Reinas</v>
          </cell>
          <cell r="H1472" t="str">
            <v>consulta_externa</v>
          </cell>
          <cell r="J1472" t="str">
            <v>bueno</v>
          </cell>
          <cell r="K1472" t="str">
            <v>probsi</v>
          </cell>
        </row>
        <row r="1473">
          <cell r="B1473" t="b">
            <v>1</v>
          </cell>
          <cell r="E1473" t="str">
            <v>Las Reinas</v>
          </cell>
          <cell r="H1473" t="str">
            <v>consulta_externa</v>
          </cell>
          <cell r="J1473" t="str">
            <v>bueno</v>
          </cell>
          <cell r="K1473" t="str">
            <v>probsi</v>
          </cell>
        </row>
        <row r="1474">
          <cell r="B1474" t="b">
            <v>1</v>
          </cell>
          <cell r="E1474" t="str">
            <v>Las Reinas</v>
          </cell>
          <cell r="H1474" t="str">
            <v>laboratorio</v>
          </cell>
          <cell r="J1474" t="str">
            <v>bueno</v>
          </cell>
          <cell r="K1474" t="str">
            <v>probsi</v>
          </cell>
        </row>
        <row r="1475">
          <cell r="B1475" t="b">
            <v>1</v>
          </cell>
          <cell r="E1475" t="str">
            <v>Las Reinas</v>
          </cell>
          <cell r="H1475" t="str">
            <v>laboratorio</v>
          </cell>
          <cell r="J1475" t="str">
            <v>bueno</v>
          </cell>
          <cell r="K1475" t="str">
            <v>probsi</v>
          </cell>
        </row>
        <row r="1476">
          <cell r="B1476" t="b">
            <v>1</v>
          </cell>
          <cell r="E1476" t="str">
            <v>Las Reinas</v>
          </cell>
          <cell r="H1476" t="str">
            <v>consulta_externa</v>
          </cell>
          <cell r="J1476" t="str">
            <v>bueno</v>
          </cell>
          <cell r="K1476" t="str">
            <v>probsi</v>
          </cell>
        </row>
        <row r="1477">
          <cell r="B1477" t="b">
            <v>1</v>
          </cell>
          <cell r="E1477" t="str">
            <v>Las Reinas</v>
          </cell>
          <cell r="H1477" t="str">
            <v>consulta_externa</v>
          </cell>
          <cell r="J1477" t="str">
            <v>bueno</v>
          </cell>
          <cell r="K1477" t="str">
            <v>probsi</v>
          </cell>
        </row>
        <row r="1478">
          <cell r="B1478" t="b">
            <v>1</v>
          </cell>
          <cell r="E1478" t="str">
            <v>Las Reinas</v>
          </cell>
          <cell r="H1478" t="str">
            <v>consulta_externa</v>
          </cell>
          <cell r="J1478" t="str">
            <v>bueno</v>
          </cell>
          <cell r="K1478" t="str">
            <v>probsi</v>
          </cell>
        </row>
        <row r="1479">
          <cell r="B1479" t="b">
            <v>1</v>
          </cell>
          <cell r="E1479" t="str">
            <v>Las Reinas</v>
          </cell>
          <cell r="H1479" t="str">
            <v>consulta_externa</v>
          </cell>
          <cell r="J1479" t="str">
            <v>bueno</v>
          </cell>
          <cell r="K1479" t="str">
            <v>probsi</v>
          </cell>
        </row>
        <row r="1480">
          <cell r="B1480" t="b">
            <v>1</v>
          </cell>
          <cell r="E1480" t="str">
            <v>Las Reinas</v>
          </cell>
          <cell r="H1480" t="str">
            <v>consulta_externa</v>
          </cell>
          <cell r="J1480" t="str">
            <v>bueno</v>
          </cell>
          <cell r="K1480" t="str">
            <v>probsi</v>
          </cell>
        </row>
        <row r="1481">
          <cell r="B1481" t="b">
            <v>1</v>
          </cell>
          <cell r="E1481" t="str">
            <v>Las Reinas</v>
          </cell>
          <cell r="H1481" t="str">
            <v>salud_oral</v>
          </cell>
          <cell r="J1481" t="str">
            <v>bueno</v>
          </cell>
          <cell r="K1481" t="str">
            <v>probsi</v>
          </cell>
        </row>
        <row r="1482">
          <cell r="B1482" t="b">
            <v>1</v>
          </cell>
          <cell r="E1482" t="str">
            <v>Las Reinas</v>
          </cell>
          <cell r="H1482" t="str">
            <v>salud_oral</v>
          </cell>
          <cell r="J1482" t="str">
            <v>bueno</v>
          </cell>
          <cell r="K1482" t="str">
            <v>probsi</v>
          </cell>
        </row>
        <row r="1483">
          <cell r="B1483" t="b">
            <v>1</v>
          </cell>
          <cell r="E1483" t="str">
            <v>Las Reinas</v>
          </cell>
          <cell r="H1483" t="str">
            <v>salud_oral</v>
          </cell>
          <cell r="J1483" t="str">
            <v>bueno</v>
          </cell>
          <cell r="K1483" t="str">
            <v>probsi</v>
          </cell>
        </row>
        <row r="1484">
          <cell r="B1484" t="b">
            <v>1</v>
          </cell>
          <cell r="E1484" t="str">
            <v>Las Reinas</v>
          </cell>
          <cell r="H1484" t="str">
            <v>salud_oral</v>
          </cell>
          <cell r="J1484" t="str">
            <v>bueno</v>
          </cell>
          <cell r="K1484" t="str">
            <v>probsi</v>
          </cell>
        </row>
        <row r="1485">
          <cell r="B1485" t="b">
            <v>1</v>
          </cell>
          <cell r="E1485" t="str">
            <v>Las Reinas</v>
          </cell>
          <cell r="H1485" t="str">
            <v>salud_oral</v>
          </cell>
          <cell r="J1485" t="str">
            <v>bueno</v>
          </cell>
          <cell r="K1485" t="str">
            <v>probsi</v>
          </cell>
        </row>
        <row r="1486">
          <cell r="B1486" t="b">
            <v>1</v>
          </cell>
          <cell r="E1486" t="str">
            <v>Las Reinas</v>
          </cell>
          <cell r="H1486" t="str">
            <v>salud_oral</v>
          </cell>
          <cell r="J1486" t="str">
            <v>bueno</v>
          </cell>
          <cell r="K1486" t="str">
            <v>probsi</v>
          </cell>
        </row>
        <row r="1487">
          <cell r="B1487" t="b">
            <v>1</v>
          </cell>
          <cell r="E1487" t="str">
            <v>Las Reinas</v>
          </cell>
          <cell r="H1487" t="str">
            <v>salud_oral</v>
          </cell>
          <cell r="J1487" t="str">
            <v>bueno</v>
          </cell>
          <cell r="K1487" t="str">
            <v>probsi</v>
          </cell>
        </row>
        <row r="1488">
          <cell r="B1488" t="b">
            <v>1</v>
          </cell>
          <cell r="E1488" t="str">
            <v>Las Reinas</v>
          </cell>
          <cell r="H1488" t="str">
            <v>salud_oral</v>
          </cell>
          <cell r="J1488" t="str">
            <v>bueno</v>
          </cell>
          <cell r="K1488" t="str">
            <v>probsi</v>
          </cell>
        </row>
        <row r="1489">
          <cell r="B1489" t="b">
            <v>1</v>
          </cell>
          <cell r="E1489" t="str">
            <v>Las Reinas</v>
          </cell>
          <cell r="H1489" t="str">
            <v>consulta_externa</v>
          </cell>
          <cell r="J1489" t="str">
            <v>bueno</v>
          </cell>
          <cell r="K1489" t="str">
            <v>probsi</v>
          </cell>
        </row>
        <row r="1490">
          <cell r="B1490" t="b">
            <v>1</v>
          </cell>
          <cell r="E1490" t="str">
            <v>Las Reinas</v>
          </cell>
          <cell r="H1490" t="str">
            <v>consulta_externa</v>
          </cell>
          <cell r="J1490" t="str">
            <v>bueno</v>
          </cell>
          <cell r="K1490" t="str">
            <v>probsi</v>
          </cell>
        </row>
        <row r="1491">
          <cell r="B1491" t="b">
            <v>1</v>
          </cell>
          <cell r="E1491" t="str">
            <v>Las Reinas</v>
          </cell>
          <cell r="H1491" t="str">
            <v>consulta_externa</v>
          </cell>
          <cell r="J1491" t="str">
            <v>bueno</v>
          </cell>
          <cell r="K1491" t="str">
            <v>probsi</v>
          </cell>
        </row>
        <row r="1492">
          <cell r="B1492" t="b">
            <v>1</v>
          </cell>
          <cell r="E1492" t="str">
            <v>Las Reinas</v>
          </cell>
          <cell r="H1492" t="str">
            <v>consulta_externa</v>
          </cell>
          <cell r="J1492" t="str">
            <v>bueno</v>
          </cell>
          <cell r="K1492" t="str">
            <v>probsi</v>
          </cell>
        </row>
        <row r="1493">
          <cell r="B1493" t="b">
            <v>1</v>
          </cell>
          <cell r="E1493" t="str">
            <v>Las Reinas</v>
          </cell>
          <cell r="H1493" t="str">
            <v>consulta_externa</v>
          </cell>
          <cell r="J1493" t="str">
            <v>bueno</v>
          </cell>
          <cell r="K1493" t="str">
            <v>probsi</v>
          </cell>
        </row>
        <row r="1494">
          <cell r="B1494" t="b">
            <v>1</v>
          </cell>
          <cell r="E1494" t="str">
            <v>Las Reinas</v>
          </cell>
          <cell r="H1494" t="str">
            <v>laboratorio</v>
          </cell>
          <cell r="J1494" t="str">
            <v>bueno</v>
          </cell>
          <cell r="K1494" t="str">
            <v>probsi</v>
          </cell>
        </row>
        <row r="1495">
          <cell r="B1495" t="b">
            <v>1</v>
          </cell>
          <cell r="E1495" t="str">
            <v>Las Reinas</v>
          </cell>
          <cell r="H1495" t="str">
            <v>laboratorio</v>
          </cell>
          <cell r="J1495" t="str">
            <v>bueno</v>
          </cell>
          <cell r="K1495" t="str">
            <v>probsi</v>
          </cell>
        </row>
        <row r="1496">
          <cell r="B1496" t="b">
            <v>1</v>
          </cell>
          <cell r="E1496" t="str">
            <v>Las Reinas</v>
          </cell>
          <cell r="H1496" t="str">
            <v>laboratorio</v>
          </cell>
          <cell r="J1496" t="str">
            <v>bueno</v>
          </cell>
          <cell r="K1496" t="str">
            <v>probsi</v>
          </cell>
        </row>
        <row r="1497">
          <cell r="B1497" t="b">
            <v>1</v>
          </cell>
          <cell r="E1497" t="str">
            <v>Las Reinas</v>
          </cell>
          <cell r="H1497" t="str">
            <v>laboratorio</v>
          </cell>
          <cell r="J1497" t="str">
            <v>bueno</v>
          </cell>
          <cell r="K1497" t="str">
            <v>probsi</v>
          </cell>
        </row>
        <row r="1498">
          <cell r="B1498" t="b">
            <v>1</v>
          </cell>
          <cell r="E1498" t="str">
            <v>Las Reinas</v>
          </cell>
          <cell r="H1498" t="str">
            <v>laboratorio</v>
          </cell>
          <cell r="J1498" t="str">
            <v>bueno</v>
          </cell>
          <cell r="K1498" t="str">
            <v>probsi</v>
          </cell>
        </row>
        <row r="1499">
          <cell r="B1499" t="b">
            <v>1</v>
          </cell>
          <cell r="E1499" t="str">
            <v>Las Reinas</v>
          </cell>
          <cell r="H1499" t="str">
            <v>laboratorio</v>
          </cell>
          <cell r="J1499" t="str">
            <v>bueno</v>
          </cell>
          <cell r="K1499" t="str">
            <v>probsi</v>
          </cell>
        </row>
        <row r="1500">
          <cell r="B1500" t="b">
            <v>1</v>
          </cell>
          <cell r="E1500" t="str">
            <v>Las Reinas</v>
          </cell>
          <cell r="H1500" t="str">
            <v>consulta_externa</v>
          </cell>
          <cell r="J1500" t="str">
            <v>bueno</v>
          </cell>
          <cell r="K1500" t="str">
            <v>probsi</v>
          </cell>
        </row>
        <row r="1501">
          <cell r="B1501" t="b">
            <v>1</v>
          </cell>
          <cell r="E1501" t="str">
            <v>Las Reinas</v>
          </cell>
          <cell r="H1501" t="str">
            <v>salud_oral</v>
          </cell>
          <cell r="J1501" t="str">
            <v>bueno</v>
          </cell>
          <cell r="K1501" t="str">
            <v>probsi</v>
          </cell>
        </row>
        <row r="1502">
          <cell r="B1502" t="b">
            <v>1</v>
          </cell>
          <cell r="E1502" t="str">
            <v>Las Reinas</v>
          </cell>
          <cell r="H1502" t="str">
            <v>salud_oral</v>
          </cell>
          <cell r="J1502" t="str">
            <v>bueno</v>
          </cell>
          <cell r="K1502" t="str">
            <v>probsi</v>
          </cell>
        </row>
        <row r="1503">
          <cell r="B1503" t="b">
            <v>1</v>
          </cell>
          <cell r="E1503" t="str">
            <v>Las Reinas</v>
          </cell>
          <cell r="H1503" t="str">
            <v>salud_oral</v>
          </cell>
          <cell r="J1503" t="str">
            <v>bueno</v>
          </cell>
          <cell r="K1503" t="str">
            <v>probsi</v>
          </cell>
        </row>
        <row r="1504">
          <cell r="B1504" t="b">
            <v>1</v>
          </cell>
          <cell r="E1504" t="str">
            <v>Las Reinas</v>
          </cell>
          <cell r="H1504" t="str">
            <v>salud_oral</v>
          </cell>
          <cell r="J1504" t="str">
            <v>bueno</v>
          </cell>
          <cell r="K1504" t="str">
            <v>probsi</v>
          </cell>
        </row>
        <row r="1505">
          <cell r="B1505" t="b">
            <v>1</v>
          </cell>
          <cell r="E1505" t="str">
            <v>Boston</v>
          </cell>
          <cell r="H1505" t="str">
            <v>consulta_externa</v>
          </cell>
          <cell r="J1505" t="str">
            <v>bueno</v>
          </cell>
          <cell r="K1505" t="str">
            <v>probsi</v>
          </cell>
        </row>
        <row r="1506">
          <cell r="B1506" t="b">
            <v>1</v>
          </cell>
          <cell r="E1506" t="str">
            <v>Manzanillo</v>
          </cell>
          <cell r="H1506" t="str">
            <v>consulta_externa</v>
          </cell>
          <cell r="J1506" t="str">
            <v>bueno</v>
          </cell>
          <cell r="K1506" t="str">
            <v>probsi</v>
          </cell>
        </row>
        <row r="1507">
          <cell r="B1507" t="b">
            <v>1</v>
          </cell>
          <cell r="E1507" t="str">
            <v>Manzanillo</v>
          </cell>
          <cell r="H1507" t="str">
            <v>salud_oral</v>
          </cell>
          <cell r="J1507" t="str">
            <v>bueno</v>
          </cell>
          <cell r="K1507" t="str">
            <v>probsi</v>
          </cell>
        </row>
        <row r="1508">
          <cell r="B1508" t="b">
            <v>1</v>
          </cell>
          <cell r="E1508" t="str">
            <v>Manzanillo</v>
          </cell>
          <cell r="H1508" t="str">
            <v>laboratorio</v>
          </cell>
          <cell r="J1508" t="str">
            <v>bueno</v>
          </cell>
          <cell r="K1508" t="str">
            <v>probsi</v>
          </cell>
        </row>
        <row r="1509">
          <cell r="B1509" t="b">
            <v>1</v>
          </cell>
          <cell r="E1509" t="str">
            <v>Manzanillo</v>
          </cell>
          <cell r="H1509" t="str">
            <v>consulta_externa</v>
          </cell>
          <cell r="J1509" t="str">
            <v>bueno</v>
          </cell>
          <cell r="K1509" t="str">
            <v>probsi</v>
          </cell>
        </row>
        <row r="1510">
          <cell r="B1510" t="b">
            <v>1</v>
          </cell>
          <cell r="E1510" t="str">
            <v>Manzanillo</v>
          </cell>
          <cell r="H1510" t="str">
            <v>consulta_externa</v>
          </cell>
          <cell r="J1510" t="str">
            <v>bueno</v>
          </cell>
          <cell r="K1510" t="str">
            <v>probsi</v>
          </cell>
        </row>
        <row r="1511">
          <cell r="B1511" t="b">
            <v>1</v>
          </cell>
          <cell r="E1511" t="str">
            <v>Manzanillo</v>
          </cell>
          <cell r="H1511" t="str">
            <v>consulta_externa</v>
          </cell>
          <cell r="J1511" t="str">
            <v>bueno</v>
          </cell>
          <cell r="K1511" t="str">
            <v>probsi</v>
          </cell>
        </row>
        <row r="1512">
          <cell r="B1512" t="b">
            <v>1</v>
          </cell>
          <cell r="E1512" t="str">
            <v>Manzanillo</v>
          </cell>
          <cell r="H1512" t="str">
            <v>consulta_externa</v>
          </cell>
          <cell r="J1512" t="str">
            <v>muybueno</v>
          </cell>
          <cell r="K1512" t="str">
            <v>probsi</v>
          </cell>
        </row>
        <row r="1513">
          <cell r="B1513" t="b">
            <v>1</v>
          </cell>
          <cell r="E1513" t="str">
            <v>Manzanillo</v>
          </cell>
          <cell r="H1513" t="str">
            <v>salud_oral</v>
          </cell>
          <cell r="J1513" t="str">
            <v>bueno</v>
          </cell>
          <cell r="K1513" t="str">
            <v>probsi</v>
          </cell>
        </row>
        <row r="1514">
          <cell r="B1514" t="b">
            <v>1</v>
          </cell>
          <cell r="E1514" t="str">
            <v>Manzanillo</v>
          </cell>
          <cell r="H1514" t="str">
            <v>laboratorio</v>
          </cell>
          <cell r="J1514" t="str">
            <v>bueno</v>
          </cell>
          <cell r="K1514" t="str">
            <v>probsi</v>
          </cell>
        </row>
        <row r="1515">
          <cell r="B1515" t="b">
            <v>1</v>
          </cell>
          <cell r="E1515" t="str">
            <v>Manzanillo</v>
          </cell>
          <cell r="H1515" t="str">
            <v>laboratorio</v>
          </cell>
          <cell r="J1515" t="str">
            <v>bueno</v>
          </cell>
          <cell r="K1515" t="str">
            <v>probsi</v>
          </cell>
        </row>
        <row r="1516">
          <cell r="B1516" t="b">
            <v>1</v>
          </cell>
          <cell r="E1516" t="str">
            <v>Manzanillo</v>
          </cell>
          <cell r="H1516" t="str">
            <v>laboratorio</v>
          </cell>
          <cell r="J1516" t="str">
            <v>bueno</v>
          </cell>
          <cell r="K1516" t="str">
            <v>probsi</v>
          </cell>
        </row>
        <row r="1517">
          <cell r="B1517" t="b">
            <v>1</v>
          </cell>
          <cell r="E1517" t="str">
            <v>Manzanillo</v>
          </cell>
          <cell r="H1517" t="str">
            <v>laboratorio</v>
          </cell>
          <cell r="J1517" t="str">
            <v>bueno</v>
          </cell>
          <cell r="K1517" t="str">
            <v>probsi</v>
          </cell>
        </row>
        <row r="1518">
          <cell r="B1518" t="b">
            <v>1</v>
          </cell>
          <cell r="E1518" t="str">
            <v>Manzanillo</v>
          </cell>
          <cell r="H1518" t="str">
            <v>salud_oral</v>
          </cell>
          <cell r="J1518" t="str">
            <v>bueno</v>
          </cell>
          <cell r="K1518" t="str">
            <v>probsi</v>
          </cell>
        </row>
        <row r="1519">
          <cell r="B1519" t="b">
            <v>1</v>
          </cell>
          <cell r="E1519" t="str">
            <v>Manzanillo</v>
          </cell>
          <cell r="H1519" t="str">
            <v>salud_oral</v>
          </cell>
          <cell r="J1519" t="str">
            <v>bueno</v>
          </cell>
          <cell r="K1519" t="str">
            <v>probsi</v>
          </cell>
        </row>
        <row r="1520">
          <cell r="B1520" t="b">
            <v>1</v>
          </cell>
          <cell r="E1520" t="str">
            <v>Manzanillo</v>
          </cell>
          <cell r="H1520" t="str">
            <v>salud_oral</v>
          </cell>
          <cell r="J1520" t="str">
            <v>bueno</v>
          </cell>
          <cell r="K1520" t="str">
            <v>probsi</v>
          </cell>
        </row>
        <row r="1521">
          <cell r="B1521" t="b">
            <v>1</v>
          </cell>
          <cell r="E1521" t="str">
            <v>Manzanillo</v>
          </cell>
          <cell r="H1521" t="str">
            <v>consulta_externa</v>
          </cell>
          <cell r="J1521" t="str">
            <v>bueno</v>
          </cell>
          <cell r="K1521" t="str">
            <v>probsi</v>
          </cell>
        </row>
        <row r="1522">
          <cell r="B1522" t="b">
            <v>1</v>
          </cell>
          <cell r="E1522" t="str">
            <v>Manzanillo</v>
          </cell>
          <cell r="H1522" t="str">
            <v>consulta_externa</v>
          </cell>
          <cell r="J1522" t="str">
            <v>bueno</v>
          </cell>
          <cell r="K1522" t="str">
            <v>probsi</v>
          </cell>
        </row>
        <row r="1523">
          <cell r="B1523" t="b">
            <v>1</v>
          </cell>
          <cell r="E1523" t="str">
            <v>Manzanillo</v>
          </cell>
          <cell r="H1523" t="str">
            <v>consulta_externa</v>
          </cell>
          <cell r="J1523" t="str">
            <v>bueno</v>
          </cell>
          <cell r="K1523" t="str">
            <v>probsi</v>
          </cell>
        </row>
        <row r="1524">
          <cell r="B1524" t="b">
            <v>1</v>
          </cell>
          <cell r="E1524" t="str">
            <v>Manzanillo</v>
          </cell>
          <cell r="H1524" t="str">
            <v>consulta_externa</v>
          </cell>
          <cell r="J1524" t="str">
            <v>bueno</v>
          </cell>
          <cell r="K1524" t="str">
            <v>probsi</v>
          </cell>
        </row>
        <row r="1525">
          <cell r="B1525" t="b">
            <v>1</v>
          </cell>
          <cell r="E1525" t="str">
            <v>Manzanillo</v>
          </cell>
          <cell r="H1525" t="str">
            <v>consulta_externa</v>
          </cell>
          <cell r="J1525" t="str">
            <v>bueno</v>
          </cell>
          <cell r="K1525" t="str">
            <v>probsi</v>
          </cell>
        </row>
        <row r="1526">
          <cell r="B1526" t="b">
            <v>1</v>
          </cell>
          <cell r="E1526" t="str">
            <v>Manzanillo</v>
          </cell>
          <cell r="H1526" t="str">
            <v>salud_oral</v>
          </cell>
          <cell r="J1526" t="str">
            <v>muybueno</v>
          </cell>
          <cell r="K1526" t="str">
            <v>probsi</v>
          </cell>
        </row>
        <row r="1527">
          <cell r="B1527" t="b">
            <v>1</v>
          </cell>
          <cell r="E1527" t="str">
            <v>Manzanillo</v>
          </cell>
          <cell r="H1527" t="str">
            <v>salud_oral</v>
          </cell>
          <cell r="J1527" t="str">
            <v>muybueno</v>
          </cell>
          <cell r="K1527" t="str">
            <v>probsi</v>
          </cell>
        </row>
        <row r="1528">
          <cell r="B1528" t="b">
            <v>1</v>
          </cell>
          <cell r="E1528" t="str">
            <v>Socorro</v>
          </cell>
          <cell r="H1528" t="str">
            <v>consulta_externa</v>
          </cell>
          <cell r="J1528" t="str">
            <v>bueno</v>
          </cell>
          <cell r="K1528" t="str">
            <v>defsi</v>
          </cell>
        </row>
        <row r="1529">
          <cell r="B1529" t="b">
            <v>1</v>
          </cell>
          <cell r="E1529" t="str">
            <v>Manzanillo</v>
          </cell>
          <cell r="H1529" t="str">
            <v>laboratorio</v>
          </cell>
          <cell r="J1529" t="str">
            <v>bueno</v>
          </cell>
          <cell r="K1529" t="str">
            <v>probsi</v>
          </cell>
        </row>
        <row r="1530">
          <cell r="B1530" t="b">
            <v>1</v>
          </cell>
          <cell r="E1530" t="str">
            <v>Socorro</v>
          </cell>
          <cell r="H1530" t="str">
            <v>salud_oral</v>
          </cell>
          <cell r="J1530" t="str">
            <v>bueno</v>
          </cell>
          <cell r="K1530" t="str">
            <v>defsi</v>
          </cell>
        </row>
        <row r="1531">
          <cell r="B1531" t="b">
            <v>1</v>
          </cell>
          <cell r="E1531" t="str">
            <v>Socorro</v>
          </cell>
          <cell r="H1531" t="str">
            <v>laboratorio</v>
          </cell>
          <cell r="J1531" t="str">
            <v>bueno</v>
          </cell>
          <cell r="K1531" t="str">
            <v>defsi</v>
          </cell>
        </row>
        <row r="1532">
          <cell r="B1532" t="b">
            <v>1</v>
          </cell>
          <cell r="E1532" t="str">
            <v>Socorro</v>
          </cell>
          <cell r="H1532" t="str">
            <v>ecografias</v>
          </cell>
          <cell r="J1532" t="str">
            <v>bueno</v>
          </cell>
          <cell r="K1532" t="str">
            <v>defsi</v>
          </cell>
        </row>
        <row r="1533">
          <cell r="B1533" t="b">
            <v>1</v>
          </cell>
          <cell r="E1533" t="str">
            <v>Socorro</v>
          </cell>
          <cell r="H1533" t="str">
            <v>consulta_externa</v>
          </cell>
          <cell r="J1533" t="str">
            <v>bueno</v>
          </cell>
          <cell r="K1533" t="str">
            <v>defsi</v>
          </cell>
        </row>
        <row r="1534">
          <cell r="B1534" t="b">
            <v>1</v>
          </cell>
          <cell r="E1534" t="str">
            <v>Socorro</v>
          </cell>
          <cell r="H1534" t="str">
            <v>salud_oral</v>
          </cell>
          <cell r="J1534" t="str">
            <v>bueno</v>
          </cell>
          <cell r="K1534" t="str">
            <v>defsi</v>
          </cell>
        </row>
        <row r="1535">
          <cell r="B1535" t="b">
            <v>1</v>
          </cell>
          <cell r="E1535" t="str">
            <v>Socorro</v>
          </cell>
          <cell r="H1535" t="str">
            <v>laboratorio</v>
          </cell>
          <cell r="J1535" t="str">
            <v>bueno</v>
          </cell>
          <cell r="K1535" t="str">
            <v>defsi</v>
          </cell>
        </row>
        <row r="1536">
          <cell r="B1536" t="b">
            <v>1</v>
          </cell>
          <cell r="E1536" t="str">
            <v>Socorro</v>
          </cell>
          <cell r="H1536" t="str">
            <v>ecografias</v>
          </cell>
          <cell r="J1536" t="str">
            <v>bueno</v>
          </cell>
          <cell r="K1536" t="str">
            <v>defsi</v>
          </cell>
        </row>
        <row r="1537">
          <cell r="B1537" t="b">
            <v>1</v>
          </cell>
          <cell r="E1537" t="str">
            <v>Socorro</v>
          </cell>
          <cell r="H1537" t="str">
            <v>consulta_externa</v>
          </cell>
          <cell r="J1537" t="str">
            <v>bueno</v>
          </cell>
          <cell r="K1537" t="str">
            <v>defsi</v>
          </cell>
        </row>
        <row r="1538">
          <cell r="B1538" t="b">
            <v>1</v>
          </cell>
          <cell r="E1538" t="str">
            <v>Socorro</v>
          </cell>
          <cell r="H1538" t="str">
            <v>salud_oral</v>
          </cell>
          <cell r="J1538" t="str">
            <v>bueno</v>
          </cell>
          <cell r="K1538" t="str">
            <v>defsi</v>
          </cell>
        </row>
        <row r="1539">
          <cell r="B1539" t="b">
            <v>1</v>
          </cell>
          <cell r="E1539" t="str">
            <v>Socorro</v>
          </cell>
          <cell r="H1539" t="str">
            <v>laboratorio</v>
          </cell>
          <cell r="J1539" t="str">
            <v>bueno</v>
          </cell>
          <cell r="K1539" t="str">
            <v>defsi</v>
          </cell>
        </row>
        <row r="1540">
          <cell r="B1540" t="b">
            <v>1</v>
          </cell>
          <cell r="E1540" t="str">
            <v>Socorro</v>
          </cell>
          <cell r="H1540" t="str">
            <v>ecografias</v>
          </cell>
          <cell r="J1540" t="str">
            <v>bueno</v>
          </cell>
          <cell r="K1540" t="str">
            <v>defsi</v>
          </cell>
        </row>
        <row r="1541">
          <cell r="B1541" t="b">
            <v>1</v>
          </cell>
          <cell r="E1541" t="str">
            <v>Manzanillo</v>
          </cell>
          <cell r="H1541" t="str">
            <v>consulta_externa</v>
          </cell>
          <cell r="J1541" t="str">
            <v>bueno</v>
          </cell>
          <cell r="K1541" t="str">
            <v>probsi</v>
          </cell>
        </row>
        <row r="1542">
          <cell r="B1542" t="b">
            <v>1</v>
          </cell>
          <cell r="E1542" t="str">
            <v>Socorro</v>
          </cell>
          <cell r="H1542" t="str">
            <v>consulta_externa</v>
          </cell>
          <cell r="J1542" t="str">
            <v>bueno</v>
          </cell>
          <cell r="K1542" t="str">
            <v>defsi</v>
          </cell>
        </row>
        <row r="1543">
          <cell r="B1543" t="b">
            <v>1</v>
          </cell>
          <cell r="E1543" t="str">
            <v>Manzanillo</v>
          </cell>
          <cell r="H1543" t="str">
            <v>laboratorio</v>
          </cell>
          <cell r="J1543" t="str">
            <v>bueno</v>
          </cell>
          <cell r="K1543" t="str">
            <v>probsi</v>
          </cell>
        </row>
        <row r="1544">
          <cell r="B1544" t="b">
            <v>1</v>
          </cell>
          <cell r="E1544" t="str">
            <v>Manzanillo</v>
          </cell>
          <cell r="H1544" t="str">
            <v>salud_oral</v>
          </cell>
          <cell r="J1544" t="str">
            <v>bueno</v>
          </cell>
          <cell r="K1544" t="str">
            <v>probsi</v>
          </cell>
        </row>
        <row r="1545">
          <cell r="B1545" t="b">
            <v>1</v>
          </cell>
          <cell r="E1545" t="str">
            <v>Socorro</v>
          </cell>
          <cell r="H1545" t="str">
            <v>salud_oral</v>
          </cell>
          <cell r="J1545" t="str">
            <v>bueno</v>
          </cell>
          <cell r="K1545" t="str">
            <v>defsi</v>
          </cell>
        </row>
        <row r="1546">
          <cell r="B1546" t="b">
            <v>1</v>
          </cell>
          <cell r="E1546" t="str">
            <v>Socorro</v>
          </cell>
          <cell r="H1546" t="str">
            <v>laboratorio</v>
          </cell>
          <cell r="J1546" t="str">
            <v>bueno</v>
          </cell>
          <cell r="K1546" t="str">
            <v>defsi</v>
          </cell>
        </row>
        <row r="1547">
          <cell r="B1547" t="b">
            <v>1</v>
          </cell>
          <cell r="E1547" t="str">
            <v>Socorro</v>
          </cell>
          <cell r="H1547" t="str">
            <v>ecografias</v>
          </cell>
          <cell r="J1547" t="str">
            <v>bueno</v>
          </cell>
          <cell r="K1547" t="str">
            <v>defsi</v>
          </cell>
        </row>
        <row r="1548">
          <cell r="B1548" t="b">
            <v>1</v>
          </cell>
          <cell r="E1548" t="str">
            <v>Manzanillo</v>
          </cell>
          <cell r="H1548" t="str">
            <v>consulta_externa</v>
          </cell>
          <cell r="J1548" t="str">
            <v>bueno</v>
          </cell>
          <cell r="K1548" t="str">
            <v>probsi</v>
          </cell>
        </row>
        <row r="1549">
          <cell r="B1549" t="b">
            <v>1</v>
          </cell>
          <cell r="E1549" t="str">
            <v>Manzanillo</v>
          </cell>
          <cell r="H1549" t="str">
            <v>consulta_externa</v>
          </cell>
          <cell r="J1549" t="str">
            <v>bueno</v>
          </cell>
          <cell r="K1549" t="str">
            <v>probsi</v>
          </cell>
        </row>
        <row r="1550">
          <cell r="B1550" t="b">
            <v>1</v>
          </cell>
          <cell r="E1550" t="str">
            <v>Manzanillo</v>
          </cell>
          <cell r="H1550" t="str">
            <v>consulta_externa</v>
          </cell>
          <cell r="J1550" t="str">
            <v>bueno</v>
          </cell>
          <cell r="K1550" t="str">
            <v>probsi</v>
          </cell>
        </row>
        <row r="1551">
          <cell r="B1551" t="b">
            <v>1</v>
          </cell>
          <cell r="E1551" t="str">
            <v>Manzanillo</v>
          </cell>
          <cell r="H1551" t="str">
            <v>salud_oral</v>
          </cell>
          <cell r="J1551" t="str">
            <v>bueno</v>
          </cell>
          <cell r="K1551" t="str">
            <v>probsi</v>
          </cell>
        </row>
        <row r="1552">
          <cell r="B1552" t="b">
            <v>1</v>
          </cell>
          <cell r="E1552" t="str">
            <v>Manzanillo</v>
          </cell>
          <cell r="H1552" t="str">
            <v>laboratorio</v>
          </cell>
          <cell r="J1552" t="str">
            <v>bueno</v>
          </cell>
          <cell r="K1552" t="str">
            <v>probsi</v>
          </cell>
        </row>
        <row r="1553">
          <cell r="B1553" t="b">
            <v>1</v>
          </cell>
          <cell r="E1553" t="str">
            <v>Socorro</v>
          </cell>
          <cell r="H1553" t="str">
            <v>consulta_externa</v>
          </cell>
          <cell r="J1553" t="str">
            <v>bueno</v>
          </cell>
          <cell r="K1553" t="str">
            <v>defsi</v>
          </cell>
        </row>
        <row r="1554">
          <cell r="B1554" t="b">
            <v>1</v>
          </cell>
          <cell r="E1554" t="str">
            <v>Socorro</v>
          </cell>
          <cell r="H1554" t="str">
            <v>salud_oral</v>
          </cell>
          <cell r="J1554" t="str">
            <v>bueno</v>
          </cell>
          <cell r="K1554" t="str">
            <v>defsi</v>
          </cell>
        </row>
        <row r="1555">
          <cell r="B1555" t="b">
            <v>1</v>
          </cell>
          <cell r="E1555" t="str">
            <v>Socorro</v>
          </cell>
          <cell r="H1555" t="str">
            <v>laboratorio</v>
          </cell>
          <cell r="J1555" t="str">
            <v>bueno</v>
          </cell>
          <cell r="K1555" t="str">
            <v>defsi</v>
          </cell>
        </row>
        <row r="1556">
          <cell r="B1556" t="b">
            <v>1</v>
          </cell>
          <cell r="E1556" t="str">
            <v>Socorro</v>
          </cell>
          <cell r="H1556" t="str">
            <v>ecografias</v>
          </cell>
          <cell r="J1556" t="str">
            <v>bueno</v>
          </cell>
          <cell r="K1556" t="str">
            <v>defsi</v>
          </cell>
        </row>
        <row r="1557">
          <cell r="B1557" t="b">
            <v>1</v>
          </cell>
          <cell r="E1557" t="str">
            <v>Manzanillo</v>
          </cell>
          <cell r="H1557" t="str">
            <v>consulta_externa</v>
          </cell>
          <cell r="J1557" t="str">
            <v>bueno</v>
          </cell>
          <cell r="K1557" t="str">
            <v>probsi</v>
          </cell>
        </row>
        <row r="1558">
          <cell r="B1558" t="b">
            <v>1</v>
          </cell>
          <cell r="E1558" t="str">
            <v>Manzanillo</v>
          </cell>
          <cell r="H1558" t="str">
            <v>salud_oral</v>
          </cell>
          <cell r="J1558" t="str">
            <v>bueno</v>
          </cell>
          <cell r="K1558" t="str">
            <v>probsi</v>
          </cell>
        </row>
        <row r="1559">
          <cell r="B1559" t="b">
            <v>1</v>
          </cell>
          <cell r="E1559" t="str">
            <v>Manzanillo</v>
          </cell>
          <cell r="H1559" t="str">
            <v>laboratorio</v>
          </cell>
          <cell r="J1559" t="str">
            <v>bueno</v>
          </cell>
          <cell r="K1559" t="str">
            <v>probsi</v>
          </cell>
        </row>
        <row r="1560">
          <cell r="B1560" t="b">
            <v>1</v>
          </cell>
          <cell r="E1560" t="str">
            <v>Manzanillo</v>
          </cell>
          <cell r="H1560" t="str">
            <v>consulta_externa</v>
          </cell>
          <cell r="J1560" t="str">
            <v>bueno</v>
          </cell>
          <cell r="K1560" t="str">
            <v>probsi</v>
          </cell>
        </row>
        <row r="1561">
          <cell r="B1561" t="b">
            <v>1</v>
          </cell>
          <cell r="E1561" t="str">
            <v>Nelson Mandela UPA</v>
          </cell>
          <cell r="H1561" t="str">
            <v>consulta_externa</v>
          </cell>
          <cell r="J1561" t="str">
            <v>bueno</v>
          </cell>
          <cell r="K1561" t="str">
            <v>probno</v>
          </cell>
        </row>
        <row r="1562">
          <cell r="B1562" t="b">
            <v>1</v>
          </cell>
          <cell r="E1562" t="str">
            <v>Manzanillo</v>
          </cell>
          <cell r="H1562" t="str">
            <v>consulta_externa</v>
          </cell>
          <cell r="J1562" t="str">
            <v>bueno</v>
          </cell>
          <cell r="K1562" t="str">
            <v>probsi</v>
          </cell>
        </row>
        <row r="1563">
          <cell r="B1563" t="b">
            <v>1</v>
          </cell>
          <cell r="E1563" t="str">
            <v>Manzanillo</v>
          </cell>
          <cell r="H1563" t="str">
            <v>laboratorio</v>
          </cell>
          <cell r="J1563" t="str">
            <v>bueno</v>
          </cell>
          <cell r="K1563" t="str">
            <v>probsi</v>
          </cell>
        </row>
        <row r="1564">
          <cell r="B1564" t="b">
            <v>1</v>
          </cell>
          <cell r="E1564" t="str">
            <v>Nelson Mandela UPA</v>
          </cell>
          <cell r="H1564" t="str">
            <v>laboratorio</v>
          </cell>
          <cell r="J1564" t="str">
            <v>bueno</v>
          </cell>
          <cell r="K1564" t="str">
            <v>probno</v>
          </cell>
        </row>
        <row r="1565">
          <cell r="B1565" t="b">
            <v>1</v>
          </cell>
          <cell r="E1565" t="str">
            <v>Nelson Mandela UPA</v>
          </cell>
          <cell r="H1565" t="str">
            <v>salud_oral</v>
          </cell>
          <cell r="J1565" t="str">
            <v>bueno</v>
          </cell>
          <cell r="K1565" t="str">
            <v>probno</v>
          </cell>
        </row>
        <row r="1566">
          <cell r="B1566" t="b">
            <v>1</v>
          </cell>
          <cell r="E1566" t="str">
            <v>Blasdelezo</v>
          </cell>
          <cell r="H1566" t="str">
            <v>pediatria</v>
          </cell>
          <cell r="J1566" t="str">
            <v>bueno</v>
          </cell>
          <cell r="K1566" t="str">
            <v>defsi</v>
          </cell>
        </row>
        <row r="1567">
          <cell r="B1567" t="b">
            <v>1</v>
          </cell>
          <cell r="E1567" t="str">
            <v>Blasdelezo</v>
          </cell>
          <cell r="H1567" t="str">
            <v>pediatria</v>
          </cell>
          <cell r="J1567" t="str">
            <v>bueno</v>
          </cell>
          <cell r="K1567" t="str">
            <v>defsi</v>
          </cell>
        </row>
        <row r="1568">
          <cell r="B1568" t="b">
            <v>1</v>
          </cell>
          <cell r="E1568" t="str">
            <v>Blasdelezo</v>
          </cell>
          <cell r="H1568" t="str">
            <v>pediatria</v>
          </cell>
          <cell r="J1568" t="str">
            <v>muybueno</v>
          </cell>
          <cell r="K1568" t="str">
            <v>defsi</v>
          </cell>
        </row>
        <row r="1569">
          <cell r="B1569" t="b">
            <v>1</v>
          </cell>
          <cell r="E1569" t="str">
            <v>Blasdelezo</v>
          </cell>
          <cell r="H1569" t="str">
            <v>pediatria</v>
          </cell>
          <cell r="J1569" t="str">
            <v>bueno</v>
          </cell>
          <cell r="K1569" t="str">
            <v>defsi</v>
          </cell>
        </row>
        <row r="1570">
          <cell r="B1570" t="b">
            <v>1</v>
          </cell>
          <cell r="E1570" t="str">
            <v>Blasdelezo</v>
          </cell>
          <cell r="H1570" t="str">
            <v>pediatria</v>
          </cell>
          <cell r="J1570" t="str">
            <v>bueno</v>
          </cell>
          <cell r="K1570" t="str">
            <v>defsi</v>
          </cell>
        </row>
        <row r="1571">
          <cell r="B1571" t="b">
            <v>1</v>
          </cell>
          <cell r="E1571" t="str">
            <v>Blasdelezo</v>
          </cell>
          <cell r="H1571" t="str">
            <v>medicina_interna</v>
          </cell>
          <cell r="J1571" t="str">
            <v>bueno</v>
          </cell>
          <cell r="K1571" t="str">
            <v>defsi</v>
          </cell>
        </row>
        <row r="1572">
          <cell r="B1572" t="b">
            <v>1</v>
          </cell>
          <cell r="E1572" t="str">
            <v>Blasdelezo</v>
          </cell>
          <cell r="H1572" t="str">
            <v>medicina_interna</v>
          </cell>
          <cell r="J1572" t="str">
            <v>bueno</v>
          </cell>
          <cell r="K1572" t="str">
            <v>defsi</v>
          </cell>
        </row>
        <row r="1573">
          <cell r="B1573" t="b">
            <v>1</v>
          </cell>
          <cell r="E1573" t="str">
            <v>Socorro</v>
          </cell>
          <cell r="H1573" t="str">
            <v>consulta_externa</v>
          </cell>
          <cell r="J1573" t="str">
            <v>bueno</v>
          </cell>
          <cell r="K1573" t="str">
            <v>defsi</v>
          </cell>
        </row>
        <row r="1574">
          <cell r="B1574" t="b">
            <v>1</v>
          </cell>
          <cell r="E1574" t="str">
            <v>Socorro</v>
          </cell>
          <cell r="H1574" t="str">
            <v>salud_oral</v>
          </cell>
          <cell r="J1574" t="str">
            <v>bueno</v>
          </cell>
          <cell r="K1574" t="str">
            <v>defsi</v>
          </cell>
        </row>
        <row r="1575">
          <cell r="B1575" t="b">
            <v>1</v>
          </cell>
          <cell r="E1575" t="str">
            <v>Socorro</v>
          </cell>
          <cell r="H1575" t="str">
            <v>laboratorio</v>
          </cell>
          <cell r="J1575" t="str">
            <v>bueno</v>
          </cell>
          <cell r="K1575" t="str">
            <v>defsi</v>
          </cell>
        </row>
        <row r="1576">
          <cell r="B1576" t="b">
            <v>1</v>
          </cell>
          <cell r="E1576" t="str">
            <v>Socorro</v>
          </cell>
          <cell r="H1576" t="str">
            <v>ecografias</v>
          </cell>
          <cell r="J1576" t="str">
            <v>bueno</v>
          </cell>
          <cell r="K1576" t="str">
            <v>defsi</v>
          </cell>
        </row>
        <row r="1577">
          <cell r="B1577" t="b">
            <v>1</v>
          </cell>
          <cell r="E1577" t="str">
            <v>Nelson Mandela UPA</v>
          </cell>
          <cell r="H1577" t="str">
            <v>consulta_externa</v>
          </cell>
          <cell r="J1577" t="str">
            <v>bueno</v>
          </cell>
          <cell r="K1577" t="str">
            <v>probsi</v>
          </cell>
        </row>
        <row r="1578">
          <cell r="B1578" t="b">
            <v>1</v>
          </cell>
          <cell r="E1578" t="str">
            <v>Nelson Mandela UPA</v>
          </cell>
          <cell r="H1578" t="str">
            <v>consulta_externa</v>
          </cell>
          <cell r="J1578" t="str">
            <v>bueno</v>
          </cell>
          <cell r="K1578" t="str">
            <v>probsi</v>
          </cell>
        </row>
        <row r="1579">
          <cell r="B1579" t="b">
            <v>1</v>
          </cell>
          <cell r="E1579" t="str">
            <v>Nelson Mandela UPA</v>
          </cell>
          <cell r="H1579" t="str">
            <v>consulta_externa</v>
          </cell>
          <cell r="J1579" t="str">
            <v>bueno</v>
          </cell>
          <cell r="K1579" t="str">
            <v>probsi</v>
          </cell>
        </row>
        <row r="1580">
          <cell r="B1580" t="b">
            <v>1</v>
          </cell>
          <cell r="E1580" t="str">
            <v>Nelson Mandela UPA</v>
          </cell>
          <cell r="H1580" t="str">
            <v>consulta_externa</v>
          </cell>
          <cell r="J1580" t="str">
            <v>bueno</v>
          </cell>
          <cell r="K1580" t="str">
            <v>probsi</v>
          </cell>
        </row>
        <row r="1581">
          <cell r="B1581" t="b">
            <v>1</v>
          </cell>
          <cell r="E1581" t="str">
            <v>Nelson Mandela UPA</v>
          </cell>
          <cell r="H1581" t="str">
            <v>laboratorio</v>
          </cell>
          <cell r="J1581" t="str">
            <v>bueno</v>
          </cell>
          <cell r="K1581" t="str">
            <v>probsi</v>
          </cell>
        </row>
        <row r="1582">
          <cell r="B1582" t="b">
            <v>1</v>
          </cell>
          <cell r="E1582" t="str">
            <v>Nelson Mandela UPA</v>
          </cell>
          <cell r="H1582" t="str">
            <v>laboratorio</v>
          </cell>
          <cell r="J1582" t="str">
            <v>bueno</v>
          </cell>
          <cell r="K1582" t="str">
            <v>probsi</v>
          </cell>
        </row>
        <row r="1583">
          <cell r="B1583" t="b">
            <v>1</v>
          </cell>
          <cell r="E1583" t="str">
            <v>Nelson Mandela UPA</v>
          </cell>
          <cell r="H1583" t="str">
            <v>consulta_externa</v>
          </cell>
          <cell r="J1583" t="str">
            <v>bueno</v>
          </cell>
          <cell r="K1583" t="str">
            <v>probsi</v>
          </cell>
        </row>
        <row r="1584">
          <cell r="B1584" t="b">
            <v>1</v>
          </cell>
          <cell r="E1584" t="str">
            <v>Nelson Mandela UPA</v>
          </cell>
          <cell r="H1584" t="str">
            <v>consulta_externa</v>
          </cell>
          <cell r="J1584" t="str">
            <v>bueno</v>
          </cell>
          <cell r="K1584" t="str">
            <v>probsi</v>
          </cell>
        </row>
        <row r="1585">
          <cell r="B1585" t="b">
            <v>1</v>
          </cell>
          <cell r="E1585" t="str">
            <v>Nelson Mandela UPA</v>
          </cell>
          <cell r="H1585" t="str">
            <v>consulta_externa</v>
          </cell>
          <cell r="J1585" t="str">
            <v>bueno</v>
          </cell>
          <cell r="K1585" t="str">
            <v>probsi</v>
          </cell>
        </row>
        <row r="1586">
          <cell r="B1586" t="b">
            <v>1</v>
          </cell>
          <cell r="E1586" t="str">
            <v>Nelson Mandela UPA</v>
          </cell>
          <cell r="H1586" t="str">
            <v>consulta_externa</v>
          </cell>
          <cell r="J1586" t="str">
            <v>bueno</v>
          </cell>
          <cell r="K1586" t="str">
            <v>probsi</v>
          </cell>
        </row>
        <row r="1587">
          <cell r="B1587" t="b">
            <v>1</v>
          </cell>
          <cell r="E1587" t="str">
            <v>Nelson Mandela UPA</v>
          </cell>
          <cell r="H1587" t="str">
            <v>consulta_externa</v>
          </cell>
          <cell r="J1587" t="str">
            <v>bueno</v>
          </cell>
          <cell r="K1587" t="str">
            <v>probsi</v>
          </cell>
        </row>
        <row r="1588">
          <cell r="B1588" t="b">
            <v>1</v>
          </cell>
          <cell r="E1588" t="str">
            <v>Nelson Mandela UPA</v>
          </cell>
          <cell r="H1588" t="str">
            <v>consulta_externa</v>
          </cell>
          <cell r="J1588" t="str">
            <v>bueno</v>
          </cell>
          <cell r="K1588" t="str">
            <v>probsi</v>
          </cell>
        </row>
        <row r="1589">
          <cell r="B1589" t="b">
            <v>1</v>
          </cell>
          <cell r="E1589" t="str">
            <v>Nelson Mandela UPA</v>
          </cell>
          <cell r="H1589" t="str">
            <v>laboratorio</v>
          </cell>
          <cell r="J1589" t="str">
            <v>bueno</v>
          </cell>
          <cell r="K1589" t="str">
            <v>probsi</v>
          </cell>
        </row>
        <row r="1590">
          <cell r="B1590" t="b">
            <v>1</v>
          </cell>
          <cell r="E1590" t="str">
            <v>Nelson Mandela UPA</v>
          </cell>
          <cell r="H1590" t="str">
            <v>laboratorio</v>
          </cell>
          <cell r="J1590" t="str">
            <v>bueno</v>
          </cell>
          <cell r="K1590" t="str">
            <v>probsi</v>
          </cell>
        </row>
        <row r="1591">
          <cell r="B1591" t="b">
            <v>1</v>
          </cell>
          <cell r="E1591" t="str">
            <v>Nelson Mandela UPA</v>
          </cell>
          <cell r="H1591" t="str">
            <v>laboratorio</v>
          </cell>
          <cell r="J1591" t="str">
            <v>bueno</v>
          </cell>
          <cell r="K1591" t="str">
            <v>probsi</v>
          </cell>
        </row>
        <row r="1592">
          <cell r="B1592" t="b">
            <v>1</v>
          </cell>
          <cell r="E1592" t="str">
            <v>Nelson Mandela UPA</v>
          </cell>
          <cell r="H1592" t="str">
            <v>laboratorio</v>
          </cell>
          <cell r="J1592" t="str">
            <v>bueno</v>
          </cell>
          <cell r="K1592" t="str">
            <v>probsi</v>
          </cell>
        </row>
        <row r="1593">
          <cell r="B1593" t="b">
            <v>1</v>
          </cell>
          <cell r="E1593" t="str">
            <v>Nelson Mandela UPA</v>
          </cell>
          <cell r="H1593" t="str">
            <v>urgencia</v>
          </cell>
          <cell r="J1593" t="str">
            <v>bueno</v>
          </cell>
          <cell r="K1593" t="str">
            <v>probsi</v>
          </cell>
        </row>
        <row r="1594">
          <cell r="B1594" t="b">
            <v>1</v>
          </cell>
          <cell r="E1594" t="str">
            <v>Nelson Mandela UPA</v>
          </cell>
          <cell r="H1594" t="str">
            <v>urgencia</v>
          </cell>
          <cell r="J1594" t="str">
            <v>bueno</v>
          </cell>
          <cell r="K1594" t="str">
            <v>probsi</v>
          </cell>
        </row>
        <row r="1595">
          <cell r="B1595" t="b">
            <v>1</v>
          </cell>
          <cell r="E1595" t="str">
            <v>Nelson Mandela UPA</v>
          </cell>
          <cell r="H1595" t="str">
            <v>urgencia</v>
          </cell>
          <cell r="J1595" t="str">
            <v>bueno</v>
          </cell>
          <cell r="K1595" t="str">
            <v>probsi</v>
          </cell>
        </row>
        <row r="1596">
          <cell r="B1596" t="b">
            <v>1</v>
          </cell>
          <cell r="E1596" t="str">
            <v>Nelson Mandela UPA</v>
          </cell>
          <cell r="H1596" t="str">
            <v>urgencia</v>
          </cell>
          <cell r="J1596" t="str">
            <v>bueno</v>
          </cell>
          <cell r="K1596" t="str">
            <v>probsi</v>
          </cell>
        </row>
        <row r="1597">
          <cell r="B1597" t="b">
            <v>1</v>
          </cell>
          <cell r="E1597" t="str">
            <v>Nelson Mandela UPA</v>
          </cell>
          <cell r="H1597" t="str">
            <v>urgencia</v>
          </cell>
          <cell r="J1597" t="str">
            <v>bueno</v>
          </cell>
          <cell r="K1597" t="str">
            <v>probsi</v>
          </cell>
        </row>
        <row r="1598">
          <cell r="B1598" t="b">
            <v>1</v>
          </cell>
          <cell r="E1598" t="str">
            <v>Nelson Mandela UPA</v>
          </cell>
          <cell r="H1598" t="str">
            <v>consulta_externa</v>
          </cell>
          <cell r="J1598" t="str">
            <v>bueno</v>
          </cell>
          <cell r="K1598" t="str">
            <v>probno</v>
          </cell>
        </row>
        <row r="1599">
          <cell r="B1599" t="b">
            <v>1</v>
          </cell>
          <cell r="E1599" t="str">
            <v>Nelson Mandela UPA</v>
          </cell>
          <cell r="H1599" t="str">
            <v>consulta_externa</v>
          </cell>
          <cell r="J1599" t="str">
            <v>bueno</v>
          </cell>
          <cell r="K1599" t="str">
            <v>probno</v>
          </cell>
        </row>
        <row r="1600">
          <cell r="B1600" t="b">
            <v>1</v>
          </cell>
          <cell r="E1600" t="str">
            <v>Nelson Mandela UPA</v>
          </cell>
          <cell r="H1600" t="str">
            <v>consulta_externa</v>
          </cell>
          <cell r="J1600" t="str">
            <v>bueno</v>
          </cell>
          <cell r="K1600" t="str">
            <v>probno</v>
          </cell>
        </row>
        <row r="1601">
          <cell r="B1601" t="b">
            <v>1</v>
          </cell>
          <cell r="E1601" t="str">
            <v>Nelson Mandela UPA</v>
          </cell>
          <cell r="H1601" t="str">
            <v>consulta_externa</v>
          </cell>
          <cell r="J1601" t="str">
            <v>bueno</v>
          </cell>
          <cell r="K1601" t="str">
            <v>probno</v>
          </cell>
        </row>
        <row r="1602">
          <cell r="B1602" t="b">
            <v>1</v>
          </cell>
          <cell r="E1602" t="str">
            <v>Nelson Mandela UPA</v>
          </cell>
          <cell r="H1602" t="str">
            <v>consulta_externa</v>
          </cell>
          <cell r="J1602" t="str">
            <v>bueno</v>
          </cell>
          <cell r="K1602" t="str">
            <v>probno</v>
          </cell>
        </row>
        <row r="1603">
          <cell r="B1603" t="b">
            <v>1</v>
          </cell>
          <cell r="E1603" t="str">
            <v>Nelson Mandela UPA</v>
          </cell>
          <cell r="H1603" t="str">
            <v>consulta_externa</v>
          </cell>
          <cell r="J1603" t="str">
            <v>bueno</v>
          </cell>
          <cell r="K1603" t="str">
            <v>probno</v>
          </cell>
        </row>
        <row r="1604">
          <cell r="B1604" t="b">
            <v>1</v>
          </cell>
          <cell r="E1604" t="str">
            <v>Nelson Mandela UPA</v>
          </cell>
          <cell r="H1604" t="str">
            <v>consulta_externa</v>
          </cell>
          <cell r="J1604" t="str">
            <v>bueno</v>
          </cell>
          <cell r="K1604" t="str">
            <v>probno</v>
          </cell>
        </row>
        <row r="1605">
          <cell r="B1605" t="b">
            <v>1</v>
          </cell>
          <cell r="E1605" t="str">
            <v>Nelson Mandela UPA</v>
          </cell>
          <cell r="H1605" t="str">
            <v>consulta_externa</v>
          </cell>
          <cell r="J1605" t="str">
            <v>bueno</v>
          </cell>
          <cell r="K1605" t="str">
            <v>probno</v>
          </cell>
        </row>
        <row r="1606">
          <cell r="B1606" t="b">
            <v>1</v>
          </cell>
          <cell r="E1606" t="str">
            <v>Nelson Mandela UPA</v>
          </cell>
          <cell r="H1606" t="str">
            <v>consulta_externa</v>
          </cell>
          <cell r="J1606" t="str">
            <v>bueno</v>
          </cell>
          <cell r="K1606" t="str">
            <v>probno</v>
          </cell>
        </row>
        <row r="1607">
          <cell r="B1607" t="b">
            <v>1</v>
          </cell>
          <cell r="E1607" t="str">
            <v>Nelson Mandela UPA</v>
          </cell>
          <cell r="H1607" t="str">
            <v>consulta_externa</v>
          </cell>
          <cell r="J1607" t="str">
            <v>bueno</v>
          </cell>
          <cell r="K1607" t="str">
            <v>probno</v>
          </cell>
        </row>
        <row r="1608">
          <cell r="B1608" t="b">
            <v>1</v>
          </cell>
          <cell r="E1608" t="str">
            <v>Nelson Mandela UPA</v>
          </cell>
          <cell r="H1608" t="str">
            <v>consulta_externa</v>
          </cell>
          <cell r="J1608" t="str">
            <v>bueno</v>
          </cell>
          <cell r="K1608" t="str">
            <v>probsi</v>
          </cell>
        </row>
        <row r="1609">
          <cell r="B1609" t="b">
            <v>1</v>
          </cell>
          <cell r="E1609" t="str">
            <v>Nelson Mandela UPA</v>
          </cell>
          <cell r="H1609" t="str">
            <v>laboratorio</v>
          </cell>
          <cell r="J1609" t="str">
            <v>bueno</v>
          </cell>
          <cell r="K1609" t="str">
            <v>probsi</v>
          </cell>
        </row>
        <row r="1610">
          <cell r="B1610" t="b">
            <v>1</v>
          </cell>
          <cell r="E1610" t="str">
            <v>Nelson Mandela UPA</v>
          </cell>
          <cell r="H1610" t="str">
            <v>salud_oral</v>
          </cell>
          <cell r="J1610" t="str">
            <v>bueno</v>
          </cell>
          <cell r="K1610" t="str">
            <v>probsi</v>
          </cell>
        </row>
        <row r="1611">
          <cell r="B1611" t="b">
            <v>1</v>
          </cell>
          <cell r="E1611" t="str">
            <v>Nelson Mandela UPA</v>
          </cell>
          <cell r="H1611" t="str">
            <v>salud_oral</v>
          </cell>
          <cell r="J1611" t="str">
            <v>bueno</v>
          </cell>
          <cell r="K1611" t="str">
            <v>probsi</v>
          </cell>
        </row>
        <row r="1612">
          <cell r="B1612" t="b">
            <v>1</v>
          </cell>
          <cell r="E1612" t="str">
            <v>Nelson Mandela UPA</v>
          </cell>
          <cell r="H1612" t="str">
            <v>salud_oral</v>
          </cell>
          <cell r="J1612" t="str">
            <v>bueno</v>
          </cell>
          <cell r="K1612" t="str">
            <v>probsi</v>
          </cell>
        </row>
        <row r="1613">
          <cell r="B1613" t="b">
            <v>1</v>
          </cell>
          <cell r="E1613" t="str">
            <v>Nelson Mandela UPA</v>
          </cell>
          <cell r="H1613" t="str">
            <v>salud_oral</v>
          </cell>
          <cell r="J1613" t="str">
            <v>bueno</v>
          </cell>
          <cell r="K1613" t="str">
            <v>probsi</v>
          </cell>
        </row>
        <row r="1614">
          <cell r="B1614" t="b">
            <v>1</v>
          </cell>
          <cell r="E1614" t="str">
            <v>Nelson Mandela UPA</v>
          </cell>
          <cell r="H1614" t="str">
            <v>salud_oral</v>
          </cell>
          <cell r="J1614" t="str">
            <v>bueno</v>
          </cell>
          <cell r="K1614" t="str">
            <v>probsi</v>
          </cell>
        </row>
        <row r="1615">
          <cell r="B1615" t="b">
            <v>1</v>
          </cell>
          <cell r="E1615" t="str">
            <v>Nelson Mandela UPA</v>
          </cell>
          <cell r="H1615" t="str">
            <v>consulta_externa</v>
          </cell>
          <cell r="J1615" t="str">
            <v>bueno</v>
          </cell>
          <cell r="K1615" t="str">
            <v>probsi</v>
          </cell>
        </row>
        <row r="1616">
          <cell r="B1616" t="b">
            <v>1</v>
          </cell>
          <cell r="E1616" t="str">
            <v>Nelson Mandela UPA</v>
          </cell>
          <cell r="H1616" t="str">
            <v>consulta_externa</v>
          </cell>
          <cell r="J1616" t="str">
            <v>bueno</v>
          </cell>
          <cell r="K1616" t="str">
            <v>probsi</v>
          </cell>
        </row>
        <row r="1617">
          <cell r="B1617" t="b">
            <v>1</v>
          </cell>
          <cell r="E1617" t="str">
            <v>Nelson Mandela UPA</v>
          </cell>
          <cell r="H1617" t="str">
            <v>consulta_externa</v>
          </cell>
          <cell r="J1617" t="str">
            <v>bueno</v>
          </cell>
          <cell r="K1617" t="str">
            <v>probsi</v>
          </cell>
        </row>
        <row r="1618">
          <cell r="B1618" t="b">
            <v>1</v>
          </cell>
          <cell r="E1618" t="str">
            <v>Nelson Mandela UPA</v>
          </cell>
          <cell r="H1618" t="str">
            <v>consulta_externa</v>
          </cell>
          <cell r="J1618" t="str">
            <v>bueno</v>
          </cell>
          <cell r="K1618" t="str">
            <v>probsi</v>
          </cell>
        </row>
        <row r="1619">
          <cell r="B1619" t="b">
            <v>1</v>
          </cell>
          <cell r="E1619" t="str">
            <v>Nelson Mandela UPA</v>
          </cell>
          <cell r="H1619" t="str">
            <v>laboratorio</v>
          </cell>
          <cell r="J1619" t="str">
            <v>bueno</v>
          </cell>
          <cell r="K1619" t="str">
            <v>probsi</v>
          </cell>
        </row>
        <row r="1620">
          <cell r="B1620" t="b">
            <v>1</v>
          </cell>
          <cell r="E1620" t="str">
            <v>Nelson Mandela UPA</v>
          </cell>
          <cell r="H1620" t="str">
            <v>laboratorio</v>
          </cell>
          <cell r="J1620" t="str">
            <v>bueno</v>
          </cell>
          <cell r="K1620" t="str">
            <v>probsi</v>
          </cell>
        </row>
        <row r="1621">
          <cell r="B1621" t="b">
            <v>1</v>
          </cell>
          <cell r="E1621" t="str">
            <v>Nelson Mandela UPA</v>
          </cell>
          <cell r="H1621" t="str">
            <v>laboratorio</v>
          </cell>
          <cell r="J1621" t="str">
            <v>bueno</v>
          </cell>
          <cell r="K1621" t="str">
            <v>probsi</v>
          </cell>
        </row>
        <row r="1622">
          <cell r="B1622" t="b">
            <v>1</v>
          </cell>
          <cell r="E1622" t="str">
            <v>Socorro</v>
          </cell>
          <cell r="H1622" t="str">
            <v>consulta_externa</v>
          </cell>
          <cell r="J1622" t="str">
            <v>bueno</v>
          </cell>
          <cell r="K1622" t="str">
            <v>defsi</v>
          </cell>
        </row>
        <row r="1623">
          <cell r="B1623" t="b">
            <v>1</v>
          </cell>
          <cell r="E1623" t="str">
            <v>Socorro</v>
          </cell>
          <cell r="H1623" t="str">
            <v>salud_oral</v>
          </cell>
          <cell r="J1623" t="str">
            <v>bueno</v>
          </cell>
          <cell r="K1623" t="str">
            <v>defsi</v>
          </cell>
        </row>
        <row r="1624">
          <cell r="B1624" t="b">
            <v>1</v>
          </cell>
          <cell r="E1624" t="str">
            <v>Socorro</v>
          </cell>
          <cell r="H1624" t="str">
            <v>laboratorio</v>
          </cell>
          <cell r="J1624" t="str">
            <v>bueno</v>
          </cell>
          <cell r="K1624" t="str">
            <v>defsi</v>
          </cell>
        </row>
        <row r="1625">
          <cell r="B1625" t="b">
            <v>1</v>
          </cell>
          <cell r="E1625" t="str">
            <v>Socorro</v>
          </cell>
          <cell r="H1625" t="str">
            <v>ecografias</v>
          </cell>
          <cell r="J1625" t="str">
            <v>bueno</v>
          </cell>
          <cell r="K1625" t="str">
            <v>defsi</v>
          </cell>
        </row>
        <row r="1626">
          <cell r="B1626" t="b">
            <v>1</v>
          </cell>
          <cell r="E1626" t="str">
            <v>Socorro</v>
          </cell>
          <cell r="H1626" t="str">
            <v>consulta_externa</v>
          </cell>
          <cell r="J1626" t="str">
            <v>bueno</v>
          </cell>
          <cell r="K1626" t="str">
            <v>defsi</v>
          </cell>
        </row>
        <row r="1627">
          <cell r="B1627" t="b">
            <v>1</v>
          </cell>
          <cell r="E1627" t="str">
            <v>Boquilla</v>
          </cell>
          <cell r="H1627" t="str">
            <v>consulta_externa</v>
          </cell>
          <cell r="J1627" t="str">
            <v>bueno</v>
          </cell>
          <cell r="K1627" t="str">
            <v>probsi</v>
          </cell>
        </row>
        <row r="1628">
          <cell r="B1628" t="b">
            <v>1</v>
          </cell>
          <cell r="E1628" t="str">
            <v>Socorro</v>
          </cell>
          <cell r="H1628" t="str">
            <v>salud_oral</v>
          </cell>
          <cell r="J1628" t="str">
            <v>bueno</v>
          </cell>
          <cell r="K1628" t="str">
            <v>defsi</v>
          </cell>
        </row>
        <row r="1629">
          <cell r="B1629" t="b">
            <v>1</v>
          </cell>
          <cell r="E1629" t="str">
            <v>Boquilla</v>
          </cell>
          <cell r="H1629" t="str">
            <v>consulta_externa</v>
          </cell>
          <cell r="J1629" t="str">
            <v>bueno</v>
          </cell>
          <cell r="K1629" t="str">
            <v>probsi</v>
          </cell>
        </row>
        <row r="1630">
          <cell r="B1630" t="b">
            <v>1</v>
          </cell>
          <cell r="E1630" t="str">
            <v>Boquilla</v>
          </cell>
          <cell r="H1630" t="str">
            <v>consulta_externa</v>
          </cell>
          <cell r="J1630" t="str">
            <v>bueno</v>
          </cell>
          <cell r="K1630" t="str">
            <v>probsi</v>
          </cell>
        </row>
        <row r="1631">
          <cell r="B1631" t="b">
            <v>1</v>
          </cell>
          <cell r="E1631" t="str">
            <v>Socorro</v>
          </cell>
          <cell r="H1631" t="str">
            <v>laboratorio</v>
          </cell>
          <cell r="J1631" t="str">
            <v>bueno</v>
          </cell>
          <cell r="K1631" t="str">
            <v>defsi</v>
          </cell>
        </row>
        <row r="1632">
          <cell r="B1632" t="b">
            <v>1</v>
          </cell>
          <cell r="E1632" t="str">
            <v>Socorro</v>
          </cell>
          <cell r="H1632" t="str">
            <v>ecografias</v>
          </cell>
          <cell r="J1632" t="str">
            <v>bueno</v>
          </cell>
          <cell r="K1632" t="str">
            <v>defsi</v>
          </cell>
        </row>
        <row r="1633">
          <cell r="B1633" t="b">
            <v>1</v>
          </cell>
          <cell r="E1633" t="str">
            <v>Boquilla</v>
          </cell>
          <cell r="H1633" t="str">
            <v>consulta_externa</v>
          </cell>
          <cell r="J1633" t="str">
            <v>bueno</v>
          </cell>
          <cell r="K1633" t="str">
            <v>probsi</v>
          </cell>
        </row>
        <row r="1634">
          <cell r="B1634" t="b">
            <v>1</v>
          </cell>
          <cell r="E1634" t="str">
            <v>Boquilla</v>
          </cell>
          <cell r="H1634" t="str">
            <v>salud_oral</v>
          </cell>
          <cell r="J1634" t="str">
            <v>bueno</v>
          </cell>
          <cell r="K1634" t="str">
            <v>probsi</v>
          </cell>
        </row>
        <row r="1635">
          <cell r="B1635" t="b">
            <v>1</v>
          </cell>
          <cell r="E1635" t="str">
            <v>Boquilla</v>
          </cell>
          <cell r="H1635" t="str">
            <v>urgencia</v>
          </cell>
          <cell r="J1635" t="str">
            <v>bueno</v>
          </cell>
          <cell r="K1635" t="str">
            <v>probsi</v>
          </cell>
        </row>
        <row r="1636">
          <cell r="B1636" t="b">
            <v>1</v>
          </cell>
          <cell r="E1636" t="str">
            <v>Boquilla</v>
          </cell>
          <cell r="H1636" t="str">
            <v>consulta_externa</v>
          </cell>
          <cell r="J1636" t="str">
            <v>bueno</v>
          </cell>
          <cell r="K1636" t="str">
            <v>probsi</v>
          </cell>
        </row>
        <row r="1637">
          <cell r="B1637" t="b">
            <v>1</v>
          </cell>
          <cell r="E1637" t="str">
            <v>Boquilla</v>
          </cell>
          <cell r="H1637" t="str">
            <v>salud_oral</v>
          </cell>
          <cell r="J1637" t="str">
            <v>bueno</v>
          </cell>
          <cell r="K1637" t="str">
            <v>probsi</v>
          </cell>
        </row>
        <row r="1638">
          <cell r="B1638" t="b">
            <v>1</v>
          </cell>
          <cell r="E1638" t="str">
            <v>Boquilla</v>
          </cell>
          <cell r="H1638" t="str">
            <v>laboratorio</v>
          </cell>
          <cell r="J1638" t="str">
            <v>bueno</v>
          </cell>
          <cell r="K1638" t="str">
            <v>probsi</v>
          </cell>
        </row>
        <row r="1639">
          <cell r="B1639" t="b">
            <v>1</v>
          </cell>
          <cell r="E1639" t="str">
            <v>Boquilla</v>
          </cell>
          <cell r="H1639" t="str">
            <v>urgencia</v>
          </cell>
          <cell r="J1639" t="str">
            <v>bueno</v>
          </cell>
          <cell r="K1639" t="str">
            <v>probsi</v>
          </cell>
        </row>
        <row r="1640">
          <cell r="B1640" t="b">
            <v>0</v>
          </cell>
          <cell r="E1640" t="str">
            <v>Boquilla</v>
          </cell>
          <cell r="H1640" t="str">
            <v>urgencia</v>
          </cell>
          <cell r="J1640" t="str">
            <v>regular</v>
          </cell>
          <cell r="K1640" t="str">
            <v>probsi</v>
          </cell>
        </row>
        <row r="1641">
          <cell r="B1641" t="b">
            <v>0</v>
          </cell>
          <cell r="E1641" t="str">
            <v>Boquilla</v>
          </cell>
          <cell r="H1641" t="str">
            <v>urgencia</v>
          </cell>
          <cell r="J1641" t="str">
            <v>regular</v>
          </cell>
          <cell r="K1641" t="str">
            <v>probsi</v>
          </cell>
        </row>
        <row r="1642">
          <cell r="B1642" t="b">
            <v>0</v>
          </cell>
          <cell r="E1642" t="str">
            <v>Boquilla</v>
          </cell>
          <cell r="H1642" t="str">
            <v>urgencia</v>
          </cell>
          <cell r="J1642" t="str">
            <v>regular</v>
          </cell>
          <cell r="K1642" t="str">
            <v>probsi</v>
          </cell>
        </row>
        <row r="1643">
          <cell r="B1643" t="b">
            <v>1</v>
          </cell>
          <cell r="E1643" t="str">
            <v>Boquilla</v>
          </cell>
          <cell r="H1643" t="str">
            <v>salud_oral</v>
          </cell>
          <cell r="J1643" t="str">
            <v>bueno</v>
          </cell>
          <cell r="K1643" t="str">
            <v>probsi</v>
          </cell>
        </row>
        <row r="1644">
          <cell r="B1644" t="b">
            <v>1</v>
          </cell>
          <cell r="E1644" t="str">
            <v>Boquilla</v>
          </cell>
          <cell r="H1644" t="str">
            <v>salud_oral</v>
          </cell>
          <cell r="J1644" t="str">
            <v>bueno</v>
          </cell>
          <cell r="K1644" t="str">
            <v>probsi</v>
          </cell>
        </row>
        <row r="1645">
          <cell r="B1645" t="b">
            <v>1</v>
          </cell>
          <cell r="E1645" t="str">
            <v>Boquilla</v>
          </cell>
          <cell r="H1645" t="str">
            <v>salud_oral</v>
          </cell>
          <cell r="J1645" t="str">
            <v>bueno</v>
          </cell>
          <cell r="K1645" t="str">
            <v>probsi</v>
          </cell>
        </row>
        <row r="1646">
          <cell r="B1646" t="b">
            <v>1</v>
          </cell>
          <cell r="E1646" t="str">
            <v>Boquilla</v>
          </cell>
          <cell r="H1646" t="str">
            <v>consulta_externa</v>
          </cell>
          <cell r="J1646" t="str">
            <v>bueno</v>
          </cell>
          <cell r="K1646" t="str">
            <v>probsi</v>
          </cell>
        </row>
        <row r="1647">
          <cell r="B1647" t="b">
            <v>0</v>
          </cell>
          <cell r="E1647" t="str">
            <v>Boquilla</v>
          </cell>
          <cell r="H1647" t="str">
            <v>consulta_externa</v>
          </cell>
          <cell r="J1647" t="str">
            <v>regular</v>
          </cell>
          <cell r="K1647" t="str">
            <v>probsi</v>
          </cell>
        </row>
        <row r="1648">
          <cell r="B1648" t="b">
            <v>0</v>
          </cell>
          <cell r="E1648" t="str">
            <v>Boquilla</v>
          </cell>
          <cell r="H1648" t="str">
            <v>laboratorio</v>
          </cell>
          <cell r="J1648" t="str">
            <v>regular</v>
          </cell>
          <cell r="K1648" t="str">
            <v>probsi</v>
          </cell>
        </row>
        <row r="1649">
          <cell r="B1649" t="b">
            <v>0</v>
          </cell>
          <cell r="E1649" t="str">
            <v>Boquilla</v>
          </cell>
          <cell r="H1649" t="str">
            <v>laboratorio</v>
          </cell>
          <cell r="J1649" t="str">
            <v>regular</v>
          </cell>
          <cell r="K1649" t="str">
            <v>probsi</v>
          </cell>
        </row>
        <row r="1650">
          <cell r="B1650" t="b">
            <v>0</v>
          </cell>
          <cell r="E1650" t="str">
            <v>Boquilla</v>
          </cell>
          <cell r="H1650" t="str">
            <v>laboratorio</v>
          </cell>
          <cell r="J1650" t="str">
            <v>regular</v>
          </cell>
          <cell r="K1650" t="str">
            <v>probsi</v>
          </cell>
        </row>
        <row r="1651">
          <cell r="B1651" t="b">
            <v>1</v>
          </cell>
          <cell r="E1651" t="str">
            <v>Boquilla</v>
          </cell>
          <cell r="H1651" t="str">
            <v>consulta_externa</v>
          </cell>
          <cell r="J1651" t="str">
            <v>bueno</v>
          </cell>
          <cell r="K1651" t="str">
            <v>probsi</v>
          </cell>
        </row>
        <row r="1652">
          <cell r="B1652" t="b">
            <v>1</v>
          </cell>
          <cell r="E1652" t="str">
            <v>Boquilla</v>
          </cell>
          <cell r="H1652" t="str">
            <v>salud_oral</v>
          </cell>
          <cell r="J1652" t="str">
            <v>bueno</v>
          </cell>
          <cell r="K1652" t="str">
            <v>probsi</v>
          </cell>
        </row>
        <row r="1653">
          <cell r="B1653" t="b">
            <v>0</v>
          </cell>
          <cell r="E1653" t="str">
            <v>Boquilla</v>
          </cell>
          <cell r="H1653" t="str">
            <v>urgencia</v>
          </cell>
          <cell r="J1653" t="str">
            <v>regular</v>
          </cell>
          <cell r="K1653" t="str">
            <v>probno</v>
          </cell>
        </row>
        <row r="1654">
          <cell r="B1654" t="b">
            <v>1</v>
          </cell>
          <cell r="E1654" t="str">
            <v>Boquilla</v>
          </cell>
          <cell r="H1654" t="str">
            <v>consulta_externa</v>
          </cell>
          <cell r="J1654" t="str">
            <v>bueno</v>
          </cell>
          <cell r="K1654" t="str">
            <v>probsi</v>
          </cell>
        </row>
        <row r="1655">
          <cell r="B1655" t="b">
            <v>1</v>
          </cell>
          <cell r="E1655" t="str">
            <v>Boquilla</v>
          </cell>
          <cell r="H1655" t="str">
            <v>salud_oral</v>
          </cell>
          <cell r="J1655" t="str">
            <v>bueno</v>
          </cell>
          <cell r="K1655" t="str">
            <v>probsi</v>
          </cell>
        </row>
        <row r="1656">
          <cell r="B1656" t="b">
            <v>1</v>
          </cell>
          <cell r="E1656" t="str">
            <v>Socorro</v>
          </cell>
          <cell r="H1656" t="str">
            <v>consulta_externa</v>
          </cell>
          <cell r="J1656" t="str">
            <v>bueno</v>
          </cell>
          <cell r="K1656" t="str">
            <v>defsi</v>
          </cell>
        </row>
        <row r="1657">
          <cell r="B1657" t="b">
            <v>1</v>
          </cell>
          <cell r="E1657" t="str">
            <v>Socorro</v>
          </cell>
          <cell r="H1657" t="str">
            <v>salud_oral</v>
          </cell>
          <cell r="J1657" t="str">
            <v>bueno</v>
          </cell>
          <cell r="K1657" t="str">
            <v>defsi</v>
          </cell>
        </row>
        <row r="1658">
          <cell r="B1658" t="b">
            <v>1</v>
          </cell>
          <cell r="E1658" t="str">
            <v>Socorro</v>
          </cell>
          <cell r="H1658" t="str">
            <v>laboratorio</v>
          </cell>
          <cell r="J1658" t="str">
            <v>bueno</v>
          </cell>
          <cell r="K1658" t="str">
            <v>defsi</v>
          </cell>
        </row>
        <row r="1659">
          <cell r="B1659" t="b">
            <v>1</v>
          </cell>
          <cell r="E1659" t="str">
            <v>Boquilla</v>
          </cell>
          <cell r="H1659" t="str">
            <v>urgencia</v>
          </cell>
          <cell r="J1659" t="str">
            <v>bueno</v>
          </cell>
          <cell r="K1659" t="str">
            <v>probsi</v>
          </cell>
        </row>
        <row r="1660">
          <cell r="B1660" t="b">
            <v>1</v>
          </cell>
          <cell r="E1660" t="str">
            <v>Socorro</v>
          </cell>
          <cell r="H1660" t="str">
            <v>consulta_externa</v>
          </cell>
          <cell r="J1660" t="str">
            <v>bueno</v>
          </cell>
          <cell r="K1660" t="str">
            <v>defsi</v>
          </cell>
        </row>
        <row r="1661">
          <cell r="B1661" t="b">
            <v>1</v>
          </cell>
          <cell r="E1661" t="str">
            <v>Socorro</v>
          </cell>
          <cell r="H1661" t="str">
            <v>salud_oral</v>
          </cell>
          <cell r="J1661" t="str">
            <v>bueno</v>
          </cell>
          <cell r="K1661" t="str">
            <v>defsi</v>
          </cell>
        </row>
        <row r="1662">
          <cell r="B1662" t="b">
            <v>1</v>
          </cell>
          <cell r="E1662" t="str">
            <v>Socorro</v>
          </cell>
          <cell r="H1662" t="str">
            <v>laboratorio</v>
          </cell>
          <cell r="J1662" t="str">
            <v>bueno</v>
          </cell>
          <cell r="K1662" t="str">
            <v>defsi</v>
          </cell>
        </row>
        <row r="1663">
          <cell r="B1663" t="b">
            <v>1</v>
          </cell>
          <cell r="E1663" t="str">
            <v>Nelson Mandela UPA</v>
          </cell>
          <cell r="H1663" t="str">
            <v>urgencia</v>
          </cell>
          <cell r="J1663" t="str">
            <v>bueno</v>
          </cell>
          <cell r="K1663" t="str">
            <v>probsi</v>
          </cell>
        </row>
        <row r="1664">
          <cell r="B1664" t="b">
            <v>1</v>
          </cell>
          <cell r="E1664" t="str">
            <v>Nelson Mandela UPA</v>
          </cell>
          <cell r="H1664" t="str">
            <v>urgencia</v>
          </cell>
          <cell r="J1664" t="str">
            <v>bueno</v>
          </cell>
          <cell r="K1664" t="str">
            <v>probsi</v>
          </cell>
        </row>
        <row r="1665">
          <cell r="B1665" t="b">
            <v>1</v>
          </cell>
          <cell r="E1665" t="str">
            <v>Nelson Mandela UPA</v>
          </cell>
          <cell r="H1665" t="str">
            <v>urgencia</v>
          </cell>
          <cell r="J1665" t="str">
            <v>bueno</v>
          </cell>
          <cell r="K1665" t="str">
            <v>probsi</v>
          </cell>
        </row>
        <row r="1666">
          <cell r="B1666" t="b">
            <v>1</v>
          </cell>
          <cell r="E1666" t="str">
            <v>Nelson Mandela UPA</v>
          </cell>
          <cell r="H1666" t="str">
            <v>urgencia</v>
          </cell>
          <cell r="J1666" t="str">
            <v>bueno</v>
          </cell>
          <cell r="K1666" t="str">
            <v>probsi</v>
          </cell>
        </row>
        <row r="1667">
          <cell r="B1667" t="b">
            <v>1</v>
          </cell>
          <cell r="E1667" t="str">
            <v>Socorro</v>
          </cell>
          <cell r="H1667" t="str">
            <v>consulta_externa</v>
          </cell>
          <cell r="J1667" t="str">
            <v>bueno</v>
          </cell>
          <cell r="K1667" t="str">
            <v>defsi</v>
          </cell>
        </row>
        <row r="1668">
          <cell r="B1668" t="b">
            <v>1</v>
          </cell>
          <cell r="E1668" t="str">
            <v>Socorro</v>
          </cell>
          <cell r="H1668" t="str">
            <v>salud_oral</v>
          </cell>
          <cell r="J1668" t="str">
            <v>bueno</v>
          </cell>
          <cell r="K1668" t="str">
            <v>defsi</v>
          </cell>
        </row>
        <row r="1669">
          <cell r="B1669" t="b">
            <v>1</v>
          </cell>
          <cell r="E1669" t="str">
            <v>Socorro</v>
          </cell>
          <cell r="H1669" t="str">
            <v>laboratorio</v>
          </cell>
          <cell r="J1669" t="str">
            <v>bueno</v>
          </cell>
          <cell r="K1669" t="str">
            <v>defsi</v>
          </cell>
        </row>
        <row r="1670">
          <cell r="B1670" t="b">
            <v>1</v>
          </cell>
          <cell r="E1670" t="str">
            <v>Socorro</v>
          </cell>
          <cell r="H1670" t="str">
            <v>consulta_externa</v>
          </cell>
          <cell r="J1670" t="str">
            <v>bueno</v>
          </cell>
          <cell r="K1670" t="str">
            <v>defsi</v>
          </cell>
        </row>
        <row r="1671">
          <cell r="B1671" t="b">
            <v>1</v>
          </cell>
          <cell r="E1671" t="str">
            <v>Socorro</v>
          </cell>
          <cell r="H1671" t="str">
            <v>salud_oral</v>
          </cell>
          <cell r="J1671" t="str">
            <v>bueno</v>
          </cell>
          <cell r="K1671" t="str">
            <v>defsi</v>
          </cell>
        </row>
        <row r="1672">
          <cell r="B1672" t="b">
            <v>1</v>
          </cell>
          <cell r="E1672" t="str">
            <v>Socorro</v>
          </cell>
          <cell r="H1672" t="str">
            <v>laboratorio</v>
          </cell>
          <cell r="J1672" t="str">
            <v>bueno</v>
          </cell>
          <cell r="K1672" t="str">
            <v>defsi</v>
          </cell>
        </row>
        <row r="1673">
          <cell r="B1673" t="b">
            <v>1</v>
          </cell>
          <cell r="E1673" t="str">
            <v>Blasdelezo</v>
          </cell>
          <cell r="H1673" t="str">
            <v>consulta_externa</v>
          </cell>
          <cell r="J1673" t="str">
            <v>bueno</v>
          </cell>
          <cell r="K1673" t="str">
            <v>defsi</v>
          </cell>
        </row>
        <row r="1674">
          <cell r="B1674" t="b">
            <v>1</v>
          </cell>
          <cell r="E1674" t="str">
            <v>Blasdelezo</v>
          </cell>
          <cell r="H1674" t="str">
            <v>laboratorio</v>
          </cell>
          <cell r="J1674" t="str">
            <v>bueno</v>
          </cell>
          <cell r="K1674" t="str">
            <v>defsi</v>
          </cell>
        </row>
        <row r="1675">
          <cell r="B1675" t="b">
            <v>1</v>
          </cell>
          <cell r="E1675" t="str">
            <v>Blasdelezo</v>
          </cell>
          <cell r="H1675" t="str">
            <v>laboratorio</v>
          </cell>
          <cell r="J1675" t="str">
            <v>bueno</v>
          </cell>
          <cell r="K1675" t="str">
            <v>defsi</v>
          </cell>
        </row>
        <row r="1676">
          <cell r="B1676" t="b">
            <v>1</v>
          </cell>
          <cell r="E1676" t="str">
            <v>Blasdelezo</v>
          </cell>
          <cell r="H1676" t="str">
            <v>laboratorio</v>
          </cell>
          <cell r="J1676" t="str">
            <v>bueno</v>
          </cell>
          <cell r="K1676" t="str">
            <v>defsi</v>
          </cell>
        </row>
        <row r="1677">
          <cell r="B1677" t="b">
            <v>1</v>
          </cell>
          <cell r="E1677" t="str">
            <v>Blasdelezo</v>
          </cell>
          <cell r="H1677" t="str">
            <v>consulta_externa</v>
          </cell>
          <cell r="J1677" t="str">
            <v>bueno</v>
          </cell>
          <cell r="K1677" t="str">
            <v>defsi</v>
          </cell>
        </row>
        <row r="1678">
          <cell r="B1678" t="b">
            <v>1</v>
          </cell>
          <cell r="E1678" t="str">
            <v>Blasdelezo</v>
          </cell>
          <cell r="H1678" t="str">
            <v>consulta_externa</v>
          </cell>
          <cell r="J1678" t="str">
            <v>bueno</v>
          </cell>
          <cell r="K1678" t="str">
            <v>defsi</v>
          </cell>
        </row>
        <row r="1679">
          <cell r="B1679" t="b">
            <v>1</v>
          </cell>
          <cell r="E1679" t="str">
            <v>Blasdelezo</v>
          </cell>
          <cell r="H1679" t="str">
            <v>consulta_externa</v>
          </cell>
          <cell r="J1679" t="str">
            <v>bueno</v>
          </cell>
          <cell r="K1679" t="str">
            <v>defsi</v>
          </cell>
        </row>
        <row r="1680">
          <cell r="B1680" t="b">
            <v>0</v>
          </cell>
          <cell r="E1680" t="str">
            <v>Blasdelezo</v>
          </cell>
          <cell r="H1680" t="str">
            <v>consulta_externa</v>
          </cell>
          <cell r="J1680" t="str">
            <v>regular</v>
          </cell>
          <cell r="K1680" t="str">
            <v>defsi</v>
          </cell>
        </row>
        <row r="1681">
          <cell r="B1681" t="b">
            <v>0</v>
          </cell>
          <cell r="E1681" t="str">
            <v>Blasdelezo</v>
          </cell>
          <cell r="H1681" t="str">
            <v>salud_oral</v>
          </cell>
          <cell r="J1681" t="str">
            <v>regular</v>
          </cell>
          <cell r="K1681" t="str">
            <v>defsi</v>
          </cell>
        </row>
        <row r="1682">
          <cell r="B1682" t="b">
            <v>1</v>
          </cell>
          <cell r="E1682" t="str">
            <v>Blasdelezo</v>
          </cell>
          <cell r="H1682" t="str">
            <v>consulta_externa</v>
          </cell>
          <cell r="J1682" t="str">
            <v>bueno</v>
          </cell>
          <cell r="K1682" t="str">
            <v>defsi</v>
          </cell>
        </row>
        <row r="1683">
          <cell r="B1683" t="b">
            <v>1</v>
          </cell>
          <cell r="E1683" t="str">
            <v>Blasdelezo</v>
          </cell>
          <cell r="H1683" t="str">
            <v>consulta_externa</v>
          </cell>
          <cell r="J1683" t="str">
            <v>bueno</v>
          </cell>
          <cell r="K1683" t="str">
            <v>defsi</v>
          </cell>
        </row>
        <row r="1684">
          <cell r="B1684" t="b">
            <v>1</v>
          </cell>
          <cell r="E1684" t="str">
            <v>Blasdelezo</v>
          </cell>
          <cell r="H1684" t="str">
            <v>salud_oral</v>
          </cell>
          <cell r="J1684" t="str">
            <v>muybueno</v>
          </cell>
          <cell r="K1684" t="str">
            <v>defsi</v>
          </cell>
        </row>
        <row r="1685">
          <cell r="B1685" t="b">
            <v>1</v>
          </cell>
          <cell r="E1685" t="str">
            <v>Blasdelezo</v>
          </cell>
          <cell r="H1685" t="str">
            <v>medicina_interna</v>
          </cell>
          <cell r="J1685" t="str">
            <v>bueno</v>
          </cell>
          <cell r="K1685" t="str">
            <v>defsi</v>
          </cell>
        </row>
        <row r="1686">
          <cell r="B1686" t="b">
            <v>1</v>
          </cell>
          <cell r="E1686" t="str">
            <v>Blasdelezo</v>
          </cell>
          <cell r="H1686" t="str">
            <v>salud_oral</v>
          </cell>
          <cell r="J1686" t="str">
            <v>bueno</v>
          </cell>
          <cell r="K1686" t="str">
            <v>defsi</v>
          </cell>
        </row>
        <row r="1687">
          <cell r="B1687" t="b">
            <v>1</v>
          </cell>
          <cell r="E1687" t="str">
            <v>Blasdelezo</v>
          </cell>
          <cell r="H1687" t="str">
            <v>salud_oral</v>
          </cell>
          <cell r="J1687" t="str">
            <v>muybueno</v>
          </cell>
          <cell r="K1687" t="str">
            <v>defsi</v>
          </cell>
        </row>
        <row r="1688">
          <cell r="B1688" t="b">
            <v>1</v>
          </cell>
          <cell r="E1688" t="str">
            <v>Blasdelezo</v>
          </cell>
          <cell r="H1688" t="str">
            <v>salud_oral</v>
          </cell>
          <cell r="J1688" t="str">
            <v>muybueno</v>
          </cell>
          <cell r="K1688" t="str">
            <v>defsi</v>
          </cell>
        </row>
        <row r="1689">
          <cell r="B1689" t="b">
            <v>1</v>
          </cell>
          <cell r="E1689" t="str">
            <v>Blasdelezo</v>
          </cell>
          <cell r="H1689" t="str">
            <v>pediatria</v>
          </cell>
          <cell r="J1689" t="str">
            <v>bueno</v>
          </cell>
          <cell r="K1689" t="str">
            <v>defsi</v>
          </cell>
        </row>
        <row r="1690">
          <cell r="B1690" t="b">
            <v>1</v>
          </cell>
          <cell r="E1690" t="str">
            <v>Ternera</v>
          </cell>
          <cell r="H1690" t="str">
            <v>consulta_externa</v>
          </cell>
          <cell r="J1690" t="str">
            <v>bueno</v>
          </cell>
          <cell r="K1690" t="str">
            <v>defsi</v>
          </cell>
        </row>
        <row r="1691">
          <cell r="B1691" t="b">
            <v>1</v>
          </cell>
          <cell r="E1691" t="str">
            <v>Ternera</v>
          </cell>
          <cell r="H1691" t="str">
            <v>salud_oral</v>
          </cell>
          <cell r="J1691" t="str">
            <v>bueno</v>
          </cell>
          <cell r="K1691" t="str">
            <v>defsi</v>
          </cell>
        </row>
        <row r="1692">
          <cell r="B1692" t="b">
            <v>1</v>
          </cell>
          <cell r="E1692" t="str">
            <v>Ternera</v>
          </cell>
          <cell r="H1692" t="str">
            <v>laboratorio</v>
          </cell>
          <cell r="J1692" t="str">
            <v>bueno</v>
          </cell>
          <cell r="K1692" t="str">
            <v>defsi</v>
          </cell>
        </row>
        <row r="1693">
          <cell r="B1693" t="b">
            <v>1</v>
          </cell>
          <cell r="E1693" t="str">
            <v>Ternera</v>
          </cell>
          <cell r="H1693" t="str">
            <v>consulta_externa</v>
          </cell>
          <cell r="J1693" t="str">
            <v>bueno</v>
          </cell>
          <cell r="K1693" t="str">
            <v>defsi</v>
          </cell>
        </row>
        <row r="1694">
          <cell r="B1694" t="b">
            <v>1</v>
          </cell>
          <cell r="E1694" t="str">
            <v>Ternera</v>
          </cell>
          <cell r="H1694" t="str">
            <v>salud_oral</v>
          </cell>
          <cell r="J1694" t="str">
            <v>bueno</v>
          </cell>
          <cell r="K1694" t="str">
            <v>defsi</v>
          </cell>
        </row>
        <row r="1695">
          <cell r="B1695" t="b">
            <v>1</v>
          </cell>
          <cell r="E1695" t="str">
            <v>Ternera</v>
          </cell>
          <cell r="H1695" t="str">
            <v>laboratorio</v>
          </cell>
          <cell r="J1695" t="str">
            <v>bueno</v>
          </cell>
          <cell r="K1695" t="str">
            <v>defsi</v>
          </cell>
        </row>
        <row r="1696">
          <cell r="B1696" t="b">
            <v>1</v>
          </cell>
          <cell r="E1696" t="str">
            <v>Ternera</v>
          </cell>
          <cell r="H1696" t="str">
            <v>consulta_externa</v>
          </cell>
          <cell r="J1696" t="str">
            <v>bueno</v>
          </cell>
          <cell r="K1696" t="str">
            <v>defsi</v>
          </cell>
        </row>
        <row r="1697">
          <cell r="B1697" t="b">
            <v>1</v>
          </cell>
          <cell r="E1697" t="str">
            <v>Ternera</v>
          </cell>
          <cell r="H1697" t="str">
            <v>salud_oral</v>
          </cell>
          <cell r="J1697" t="str">
            <v>bueno</v>
          </cell>
          <cell r="K1697" t="str">
            <v>defsi</v>
          </cell>
        </row>
        <row r="1698">
          <cell r="B1698" t="b">
            <v>1</v>
          </cell>
          <cell r="E1698" t="str">
            <v>Ternera</v>
          </cell>
          <cell r="H1698" t="str">
            <v>laboratorio</v>
          </cell>
          <cell r="J1698" t="str">
            <v>bueno</v>
          </cell>
          <cell r="K1698" t="str">
            <v>defsi</v>
          </cell>
        </row>
        <row r="1699">
          <cell r="B1699" t="b">
            <v>1</v>
          </cell>
          <cell r="E1699" t="str">
            <v>Ternera</v>
          </cell>
          <cell r="H1699" t="str">
            <v>consulta_externa</v>
          </cell>
          <cell r="J1699" t="str">
            <v>bueno</v>
          </cell>
          <cell r="K1699" t="str">
            <v>defsi</v>
          </cell>
        </row>
        <row r="1700">
          <cell r="B1700" t="b">
            <v>1</v>
          </cell>
          <cell r="E1700" t="str">
            <v>Ternera</v>
          </cell>
          <cell r="H1700" t="str">
            <v>salud_oral</v>
          </cell>
          <cell r="J1700" t="str">
            <v>bueno</v>
          </cell>
          <cell r="K1700" t="str">
            <v>defsi</v>
          </cell>
        </row>
        <row r="1701">
          <cell r="B1701" t="b">
            <v>1</v>
          </cell>
          <cell r="E1701" t="str">
            <v>Ternera</v>
          </cell>
          <cell r="H1701" t="str">
            <v>laboratorio</v>
          </cell>
          <cell r="J1701" t="str">
            <v>bueno</v>
          </cell>
          <cell r="K1701" t="str">
            <v>defsi</v>
          </cell>
        </row>
        <row r="1702">
          <cell r="B1702" t="b">
            <v>1</v>
          </cell>
          <cell r="E1702" t="str">
            <v>Ternera</v>
          </cell>
          <cell r="H1702" t="str">
            <v>consulta_externa</v>
          </cell>
          <cell r="J1702" t="str">
            <v>bueno</v>
          </cell>
          <cell r="K1702" t="str">
            <v>defsi</v>
          </cell>
        </row>
        <row r="1703">
          <cell r="B1703" t="b">
            <v>1</v>
          </cell>
          <cell r="E1703" t="str">
            <v>Ternera</v>
          </cell>
          <cell r="H1703" t="str">
            <v>salud_oral</v>
          </cell>
          <cell r="J1703" t="str">
            <v>bueno</v>
          </cell>
          <cell r="K1703" t="str">
            <v>defsi</v>
          </cell>
        </row>
        <row r="1704">
          <cell r="B1704" t="b">
            <v>1</v>
          </cell>
          <cell r="E1704" t="str">
            <v>Ternera</v>
          </cell>
          <cell r="H1704" t="str">
            <v>laboratorio</v>
          </cell>
          <cell r="J1704" t="str">
            <v>bueno</v>
          </cell>
          <cell r="K1704" t="str">
            <v>defsi</v>
          </cell>
        </row>
        <row r="1705">
          <cell r="B1705" t="b">
            <v>1</v>
          </cell>
          <cell r="E1705" t="str">
            <v>Blasdelezo</v>
          </cell>
          <cell r="H1705" t="str">
            <v>consulta_externa</v>
          </cell>
          <cell r="J1705" t="str">
            <v>bueno</v>
          </cell>
          <cell r="K1705" t="str">
            <v>defsi</v>
          </cell>
        </row>
        <row r="1706">
          <cell r="B1706" t="b">
            <v>1</v>
          </cell>
          <cell r="E1706" t="str">
            <v>Blasdelezo</v>
          </cell>
          <cell r="H1706" t="str">
            <v>salud_oral</v>
          </cell>
          <cell r="J1706" t="str">
            <v>bueno</v>
          </cell>
          <cell r="K1706" t="str">
            <v>defsi</v>
          </cell>
        </row>
        <row r="1707">
          <cell r="B1707" t="b">
            <v>1</v>
          </cell>
          <cell r="E1707" t="str">
            <v>Blasdelezo</v>
          </cell>
          <cell r="H1707" t="str">
            <v>medicina_interna</v>
          </cell>
          <cell r="J1707" t="str">
            <v>bueno</v>
          </cell>
          <cell r="K1707" t="str">
            <v>defsi</v>
          </cell>
        </row>
        <row r="1708">
          <cell r="B1708" t="b">
            <v>0</v>
          </cell>
          <cell r="E1708" t="str">
            <v>Boquilla</v>
          </cell>
          <cell r="H1708" t="str">
            <v>laboratorio</v>
          </cell>
          <cell r="J1708" t="str">
            <v>regular</v>
          </cell>
          <cell r="K1708" t="str">
            <v>probsi</v>
          </cell>
        </row>
        <row r="1709">
          <cell r="B1709" t="b">
            <v>1</v>
          </cell>
          <cell r="E1709" t="str">
            <v>Boquilla</v>
          </cell>
          <cell r="H1709" t="str">
            <v>laboratorio</v>
          </cell>
          <cell r="J1709" t="str">
            <v>bueno</v>
          </cell>
          <cell r="K1709" t="str">
            <v>probsi</v>
          </cell>
        </row>
        <row r="1710">
          <cell r="B1710" t="b">
            <v>1</v>
          </cell>
          <cell r="E1710" t="str">
            <v>Boquilla</v>
          </cell>
          <cell r="H1710" t="str">
            <v>salud_oral</v>
          </cell>
          <cell r="J1710" t="str">
            <v>bueno</v>
          </cell>
          <cell r="K1710" t="str">
            <v>probsi</v>
          </cell>
        </row>
        <row r="1711">
          <cell r="B1711" t="b">
            <v>1</v>
          </cell>
          <cell r="E1711" t="str">
            <v>Boquilla</v>
          </cell>
          <cell r="H1711" t="str">
            <v>salud_oral</v>
          </cell>
          <cell r="J1711" t="str">
            <v>bueno</v>
          </cell>
          <cell r="K1711" t="str">
            <v>probsi</v>
          </cell>
        </row>
        <row r="1712">
          <cell r="B1712" t="b">
            <v>1</v>
          </cell>
          <cell r="E1712" t="str">
            <v>Boquilla</v>
          </cell>
          <cell r="H1712" t="str">
            <v>laboratorio</v>
          </cell>
          <cell r="J1712" t="str">
            <v>bueno</v>
          </cell>
          <cell r="K1712" t="str">
            <v>probsi</v>
          </cell>
        </row>
        <row r="1713">
          <cell r="B1713" t="b">
            <v>1</v>
          </cell>
          <cell r="E1713" t="str">
            <v>Boquilla</v>
          </cell>
          <cell r="H1713" t="str">
            <v>laboratorio</v>
          </cell>
          <cell r="J1713" t="str">
            <v>bueno</v>
          </cell>
          <cell r="K1713" t="str">
            <v>probsi</v>
          </cell>
        </row>
        <row r="1714">
          <cell r="B1714" t="b">
            <v>1</v>
          </cell>
          <cell r="E1714" t="str">
            <v>Boquilla</v>
          </cell>
          <cell r="H1714" t="str">
            <v>laboratorio</v>
          </cell>
          <cell r="J1714" t="str">
            <v>bueno</v>
          </cell>
          <cell r="K1714" t="str">
            <v>probsi</v>
          </cell>
        </row>
        <row r="1715">
          <cell r="B1715" t="b">
            <v>1</v>
          </cell>
          <cell r="E1715" t="str">
            <v>Boquilla</v>
          </cell>
          <cell r="H1715" t="str">
            <v>urgencia</v>
          </cell>
          <cell r="J1715" t="str">
            <v>bueno</v>
          </cell>
          <cell r="K1715" t="str">
            <v>probsi</v>
          </cell>
        </row>
        <row r="1716">
          <cell r="B1716" t="b">
            <v>1</v>
          </cell>
          <cell r="E1716" t="str">
            <v>Boquilla</v>
          </cell>
          <cell r="H1716" t="str">
            <v>urgencia</v>
          </cell>
          <cell r="J1716" t="str">
            <v>bueno</v>
          </cell>
          <cell r="K1716" t="str">
            <v>probsi</v>
          </cell>
        </row>
        <row r="1717">
          <cell r="B1717" t="b">
            <v>1</v>
          </cell>
          <cell r="E1717" t="str">
            <v>Boquilla</v>
          </cell>
          <cell r="H1717" t="str">
            <v>urgencia</v>
          </cell>
          <cell r="J1717" t="str">
            <v>bueno</v>
          </cell>
          <cell r="K1717" t="str">
            <v>probsi</v>
          </cell>
        </row>
        <row r="1718">
          <cell r="B1718" t="b">
            <v>1</v>
          </cell>
          <cell r="E1718" t="str">
            <v>Boquilla</v>
          </cell>
          <cell r="H1718" t="str">
            <v>urgencia</v>
          </cell>
          <cell r="J1718" t="str">
            <v>bueno</v>
          </cell>
          <cell r="K1718" t="str">
            <v>probsi</v>
          </cell>
        </row>
        <row r="1719">
          <cell r="B1719" t="b">
            <v>1</v>
          </cell>
          <cell r="E1719" t="str">
            <v>Ternera</v>
          </cell>
          <cell r="H1719" t="str">
            <v>consulta_externa</v>
          </cell>
          <cell r="J1719" t="str">
            <v>bueno</v>
          </cell>
          <cell r="K1719" t="str">
            <v>defsi</v>
          </cell>
        </row>
        <row r="1720">
          <cell r="B1720" t="b">
            <v>1</v>
          </cell>
          <cell r="E1720" t="str">
            <v>Ternera</v>
          </cell>
          <cell r="H1720" t="str">
            <v>salud_oral</v>
          </cell>
          <cell r="J1720" t="str">
            <v>bueno</v>
          </cell>
          <cell r="K1720" t="str">
            <v>defsi</v>
          </cell>
        </row>
        <row r="1721">
          <cell r="B1721" t="b">
            <v>1</v>
          </cell>
          <cell r="E1721" t="str">
            <v>Ternera</v>
          </cell>
          <cell r="H1721" t="str">
            <v>laboratorio</v>
          </cell>
          <cell r="J1721" t="str">
            <v>bueno</v>
          </cell>
          <cell r="K1721" t="str">
            <v>defsi</v>
          </cell>
        </row>
        <row r="1722">
          <cell r="B1722" t="b">
            <v>1</v>
          </cell>
          <cell r="E1722" t="str">
            <v>Ternera</v>
          </cell>
          <cell r="H1722" t="str">
            <v>consulta_externa</v>
          </cell>
          <cell r="J1722" t="str">
            <v>bueno</v>
          </cell>
          <cell r="K1722" t="str">
            <v>defsi</v>
          </cell>
        </row>
        <row r="1723">
          <cell r="B1723" t="b">
            <v>1</v>
          </cell>
          <cell r="E1723" t="str">
            <v>Ternera</v>
          </cell>
          <cell r="H1723" t="str">
            <v>salud_oral</v>
          </cell>
          <cell r="J1723" t="str">
            <v>bueno</v>
          </cell>
          <cell r="K1723" t="str">
            <v>defsi</v>
          </cell>
        </row>
        <row r="1724">
          <cell r="B1724" t="b">
            <v>1</v>
          </cell>
          <cell r="E1724" t="str">
            <v>Ternera</v>
          </cell>
          <cell r="H1724" t="str">
            <v>laboratorio</v>
          </cell>
          <cell r="J1724" t="str">
            <v>bueno</v>
          </cell>
          <cell r="K1724" t="str">
            <v>defsi</v>
          </cell>
        </row>
        <row r="1725">
          <cell r="B1725" t="b">
            <v>1</v>
          </cell>
          <cell r="E1725" t="str">
            <v>Ternera</v>
          </cell>
          <cell r="H1725" t="str">
            <v>consulta_externa</v>
          </cell>
          <cell r="J1725" t="str">
            <v>bueno</v>
          </cell>
          <cell r="K1725" t="str">
            <v>defsi</v>
          </cell>
        </row>
        <row r="1726">
          <cell r="B1726" t="b">
            <v>1</v>
          </cell>
          <cell r="E1726" t="str">
            <v>Ternera</v>
          </cell>
          <cell r="H1726" t="str">
            <v>salud_oral</v>
          </cell>
          <cell r="J1726" t="str">
            <v>bueno</v>
          </cell>
          <cell r="K1726" t="str">
            <v>defsi</v>
          </cell>
        </row>
        <row r="1727">
          <cell r="B1727" t="b">
            <v>1</v>
          </cell>
          <cell r="E1727" t="str">
            <v>Ternera</v>
          </cell>
          <cell r="H1727" t="str">
            <v>laboratorio</v>
          </cell>
          <cell r="J1727" t="str">
            <v>bueno</v>
          </cell>
          <cell r="K1727" t="str">
            <v>defsi</v>
          </cell>
        </row>
        <row r="1728">
          <cell r="B1728" t="b">
            <v>1</v>
          </cell>
          <cell r="E1728" t="str">
            <v>Ternera</v>
          </cell>
          <cell r="H1728" t="str">
            <v>consulta_externa</v>
          </cell>
          <cell r="J1728" t="str">
            <v>bueno</v>
          </cell>
          <cell r="K1728" t="str">
            <v>defsi</v>
          </cell>
        </row>
        <row r="1729">
          <cell r="B1729" t="b">
            <v>1</v>
          </cell>
          <cell r="E1729" t="str">
            <v>Ternera</v>
          </cell>
          <cell r="H1729" t="str">
            <v>salud_oral</v>
          </cell>
          <cell r="J1729" t="str">
            <v>bueno</v>
          </cell>
          <cell r="K1729" t="str">
            <v>defsi</v>
          </cell>
        </row>
        <row r="1730">
          <cell r="B1730" t="b">
            <v>1</v>
          </cell>
          <cell r="E1730" t="str">
            <v>Ternera</v>
          </cell>
          <cell r="H1730" t="str">
            <v>laboratorio</v>
          </cell>
          <cell r="J1730" t="str">
            <v>bueno</v>
          </cell>
          <cell r="K1730" t="str">
            <v>defsi</v>
          </cell>
        </row>
        <row r="1731">
          <cell r="B1731" t="b">
            <v>1</v>
          </cell>
          <cell r="E1731" t="str">
            <v>Ternera</v>
          </cell>
          <cell r="H1731" t="str">
            <v>consulta_externa</v>
          </cell>
          <cell r="J1731" t="str">
            <v>bueno</v>
          </cell>
          <cell r="K1731" t="str">
            <v>defsi</v>
          </cell>
        </row>
        <row r="1732">
          <cell r="B1732" t="b">
            <v>1</v>
          </cell>
          <cell r="E1732" t="str">
            <v>Ternera</v>
          </cell>
          <cell r="H1732" t="str">
            <v>salud_oral</v>
          </cell>
          <cell r="J1732" t="str">
            <v>bueno</v>
          </cell>
          <cell r="K1732" t="str">
            <v>defsi</v>
          </cell>
        </row>
        <row r="1733">
          <cell r="B1733" t="b">
            <v>1</v>
          </cell>
          <cell r="E1733" t="str">
            <v>Ternera</v>
          </cell>
          <cell r="H1733" t="str">
            <v>laboratorio</v>
          </cell>
          <cell r="J1733" t="str">
            <v>bueno</v>
          </cell>
          <cell r="K1733" t="str">
            <v>defsi</v>
          </cell>
        </row>
        <row r="1734">
          <cell r="B1734" t="b">
            <v>1</v>
          </cell>
          <cell r="E1734" t="str">
            <v>Ternera</v>
          </cell>
          <cell r="H1734" t="str">
            <v>consulta_externa</v>
          </cell>
          <cell r="J1734" t="str">
            <v>bueno</v>
          </cell>
          <cell r="K1734" t="str">
            <v>defsi</v>
          </cell>
        </row>
        <row r="1735">
          <cell r="B1735" t="b">
            <v>1</v>
          </cell>
          <cell r="E1735" t="str">
            <v>Ternera</v>
          </cell>
          <cell r="H1735" t="str">
            <v>salud_oral</v>
          </cell>
          <cell r="J1735" t="str">
            <v>bueno</v>
          </cell>
          <cell r="K1735" t="str">
            <v>defsi</v>
          </cell>
        </row>
        <row r="1736">
          <cell r="B1736" t="b">
            <v>1</v>
          </cell>
          <cell r="E1736" t="str">
            <v>Ternera</v>
          </cell>
          <cell r="H1736" t="str">
            <v>laboratorio</v>
          </cell>
          <cell r="J1736" t="str">
            <v>bueno</v>
          </cell>
          <cell r="K1736" t="str">
            <v>defsi</v>
          </cell>
        </row>
        <row r="1737">
          <cell r="B1737" t="b">
            <v>1</v>
          </cell>
          <cell r="E1737" t="str">
            <v>Ternera</v>
          </cell>
          <cell r="H1737" t="str">
            <v>consulta_externa</v>
          </cell>
          <cell r="J1737" t="str">
            <v>bueno</v>
          </cell>
          <cell r="K1737" t="str">
            <v>defsi</v>
          </cell>
        </row>
        <row r="1738">
          <cell r="B1738" t="b">
            <v>1</v>
          </cell>
          <cell r="E1738" t="str">
            <v>Ternera</v>
          </cell>
          <cell r="H1738" t="str">
            <v>salud_oral</v>
          </cell>
          <cell r="J1738" t="str">
            <v>bueno</v>
          </cell>
          <cell r="K1738" t="str">
            <v>defsi</v>
          </cell>
        </row>
        <row r="1739">
          <cell r="B1739" t="b">
            <v>1</v>
          </cell>
          <cell r="E1739" t="str">
            <v>Ternera</v>
          </cell>
          <cell r="H1739" t="str">
            <v>laboratorio</v>
          </cell>
          <cell r="J1739" t="str">
            <v>bueno</v>
          </cell>
          <cell r="K1739" t="str">
            <v>defsi</v>
          </cell>
        </row>
        <row r="1740">
          <cell r="B1740" t="b">
            <v>1</v>
          </cell>
          <cell r="E1740" t="str">
            <v>Boquilla</v>
          </cell>
          <cell r="H1740" t="str">
            <v>salud_oral</v>
          </cell>
          <cell r="J1740" t="str">
            <v>bueno</v>
          </cell>
          <cell r="K1740" t="str">
            <v>probsi</v>
          </cell>
        </row>
        <row r="1741">
          <cell r="B1741" t="b">
            <v>0</v>
          </cell>
          <cell r="E1741" t="str">
            <v>Boquilla</v>
          </cell>
          <cell r="H1741" t="str">
            <v>laboratorio</v>
          </cell>
          <cell r="J1741" t="str">
            <v>regular</v>
          </cell>
          <cell r="K1741" t="str">
            <v>probsi</v>
          </cell>
        </row>
        <row r="1742">
          <cell r="B1742" t="b">
            <v>0</v>
          </cell>
          <cell r="E1742" t="str">
            <v>Boquilla</v>
          </cell>
          <cell r="H1742" t="str">
            <v>urgencia</v>
          </cell>
          <cell r="J1742" t="str">
            <v>regular</v>
          </cell>
          <cell r="K1742" t="str">
            <v>probsi</v>
          </cell>
        </row>
        <row r="1743">
          <cell r="B1743" t="b">
            <v>1</v>
          </cell>
          <cell r="E1743" t="str">
            <v>Boquilla</v>
          </cell>
          <cell r="H1743" t="str">
            <v>urgencia</v>
          </cell>
          <cell r="J1743" t="str">
            <v>bueno</v>
          </cell>
          <cell r="K1743" t="str">
            <v>probsi</v>
          </cell>
        </row>
        <row r="1744">
          <cell r="B1744" t="b">
            <v>1</v>
          </cell>
          <cell r="E1744" t="str">
            <v>Boquilla</v>
          </cell>
          <cell r="H1744" t="str">
            <v>urgencia</v>
          </cell>
          <cell r="J1744" t="str">
            <v>bueno</v>
          </cell>
          <cell r="K1744" t="str">
            <v>probsi</v>
          </cell>
        </row>
        <row r="1745">
          <cell r="B1745" t="b">
            <v>1</v>
          </cell>
          <cell r="E1745" t="str">
            <v>Boquilla</v>
          </cell>
          <cell r="H1745" t="str">
            <v>urgencia</v>
          </cell>
          <cell r="J1745" t="str">
            <v>bueno</v>
          </cell>
          <cell r="K1745" t="str">
            <v>probsi</v>
          </cell>
        </row>
        <row r="1746">
          <cell r="B1746" t="b">
            <v>0</v>
          </cell>
          <cell r="E1746" t="str">
            <v>Boquilla</v>
          </cell>
          <cell r="H1746" t="str">
            <v>consulta_externa</v>
          </cell>
          <cell r="J1746" t="str">
            <v>regular</v>
          </cell>
          <cell r="K1746" t="str">
            <v>probsi</v>
          </cell>
        </row>
        <row r="1747">
          <cell r="B1747" t="b">
            <v>1</v>
          </cell>
          <cell r="E1747" t="str">
            <v>Boquilla</v>
          </cell>
          <cell r="H1747" t="str">
            <v>consulta_externa</v>
          </cell>
          <cell r="J1747" t="str">
            <v>bueno</v>
          </cell>
          <cell r="K1747" t="str">
            <v>probsi</v>
          </cell>
        </row>
        <row r="1748">
          <cell r="B1748" t="b">
            <v>1</v>
          </cell>
          <cell r="E1748" t="str">
            <v>Boquilla</v>
          </cell>
          <cell r="H1748" t="str">
            <v>salud_oral</v>
          </cell>
          <cell r="J1748" t="str">
            <v>bueno</v>
          </cell>
          <cell r="K1748" t="str">
            <v>probsi</v>
          </cell>
        </row>
        <row r="1749">
          <cell r="B1749" t="b">
            <v>1</v>
          </cell>
          <cell r="E1749" t="str">
            <v>Boquilla</v>
          </cell>
          <cell r="H1749" t="str">
            <v>consulta_externa</v>
          </cell>
          <cell r="J1749" t="str">
            <v>bueno</v>
          </cell>
          <cell r="K1749" t="str">
            <v>probsi</v>
          </cell>
        </row>
        <row r="1750">
          <cell r="B1750" t="b">
            <v>1</v>
          </cell>
          <cell r="E1750" t="str">
            <v>Boquilla</v>
          </cell>
          <cell r="H1750" t="str">
            <v>laboratorio</v>
          </cell>
          <cell r="J1750" t="str">
            <v>bueno</v>
          </cell>
          <cell r="K1750" t="str">
            <v>probsi</v>
          </cell>
        </row>
        <row r="1751">
          <cell r="B1751" t="b">
            <v>1</v>
          </cell>
          <cell r="E1751" t="str">
            <v>Boquilla</v>
          </cell>
          <cell r="H1751" t="str">
            <v>laboratorio</v>
          </cell>
          <cell r="J1751" t="str">
            <v>bueno</v>
          </cell>
          <cell r="K1751" t="str">
            <v>probsi</v>
          </cell>
        </row>
        <row r="1752">
          <cell r="B1752" t="b">
            <v>1</v>
          </cell>
          <cell r="E1752" t="str">
            <v>Boquilla</v>
          </cell>
          <cell r="H1752" t="str">
            <v>consulta_externa</v>
          </cell>
          <cell r="J1752" t="str">
            <v>bueno</v>
          </cell>
          <cell r="K1752" t="str">
            <v>probsi</v>
          </cell>
        </row>
        <row r="1753">
          <cell r="B1753" t="b">
            <v>1</v>
          </cell>
          <cell r="E1753" t="str">
            <v>Manzanillo</v>
          </cell>
          <cell r="H1753" t="str">
            <v>consulta_externa</v>
          </cell>
          <cell r="J1753" t="str">
            <v>bueno</v>
          </cell>
          <cell r="K1753" t="str">
            <v>probsi</v>
          </cell>
        </row>
        <row r="1754">
          <cell r="B1754" t="b">
            <v>1</v>
          </cell>
          <cell r="E1754" t="str">
            <v>Manzanillo</v>
          </cell>
          <cell r="H1754" t="str">
            <v>consulta_externa</v>
          </cell>
          <cell r="J1754" t="str">
            <v>bueno</v>
          </cell>
          <cell r="K1754" t="str">
            <v>probsi</v>
          </cell>
        </row>
        <row r="1755">
          <cell r="B1755" t="b">
            <v>1</v>
          </cell>
          <cell r="E1755" t="str">
            <v>Manzanillo</v>
          </cell>
          <cell r="H1755" t="str">
            <v>consulta_externa</v>
          </cell>
          <cell r="J1755" t="str">
            <v>bueno</v>
          </cell>
          <cell r="K1755" t="str">
            <v>probsi</v>
          </cell>
        </row>
        <row r="1756">
          <cell r="B1756" t="b">
            <v>1</v>
          </cell>
          <cell r="E1756" t="str">
            <v>Manzanillo</v>
          </cell>
          <cell r="H1756" t="str">
            <v>salud_oral</v>
          </cell>
          <cell r="J1756" t="str">
            <v>bueno</v>
          </cell>
          <cell r="K1756" t="str">
            <v>probsi</v>
          </cell>
        </row>
        <row r="1757">
          <cell r="B1757" t="b">
            <v>1</v>
          </cell>
          <cell r="E1757" t="str">
            <v>Manzanillo</v>
          </cell>
          <cell r="H1757" t="str">
            <v>salud_oral</v>
          </cell>
          <cell r="J1757" t="str">
            <v>bueno</v>
          </cell>
          <cell r="K1757" t="str">
            <v>probsi</v>
          </cell>
        </row>
        <row r="1758">
          <cell r="B1758" t="b">
            <v>1</v>
          </cell>
          <cell r="E1758" t="str">
            <v>Manzanillo</v>
          </cell>
          <cell r="H1758" t="str">
            <v>salud_oral</v>
          </cell>
          <cell r="J1758" t="str">
            <v>bueno</v>
          </cell>
          <cell r="K1758" t="str">
            <v>probsi</v>
          </cell>
        </row>
        <row r="1759">
          <cell r="B1759" t="b">
            <v>1</v>
          </cell>
          <cell r="E1759" t="str">
            <v>Manzanillo</v>
          </cell>
          <cell r="H1759" t="str">
            <v>salud_oral</v>
          </cell>
          <cell r="J1759" t="str">
            <v>bueno</v>
          </cell>
          <cell r="K1759" t="str">
            <v>probsi</v>
          </cell>
        </row>
        <row r="1760">
          <cell r="B1760" t="b">
            <v>1</v>
          </cell>
          <cell r="E1760" t="str">
            <v>Blasdelezo</v>
          </cell>
          <cell r="H1760" t="str">
            <v>consulta_externa</v>
          </cell>
          <cell r="J1760" t="str">
            <v>bueno</v>
          </cell>
          <cell r="K1760" t="str">
            <v>defsi</v>
          </cell>
        </row>
        <row r="1761">
          <cell r="B1761" t="b">
            <v>1</v>
          </cell>
          <cell r="E1761" t="str">
            <v>Blasdelezo</v>
          </cell>
          <cell r="H1761" t="str">
            <v>laboratorio</v>
          </cell>
          <cell r="J1761" t="str">
            <v>bueno</v>
          </cell>
          <cell r="K1761" t="str">
            <v>defsi</v>
          </cell>
        </row>
        <row r="1762">
          <cell r="B1762" t="b">
            <v>1</v>
          </cell>
          <cell r="E1762" t="str">
            <v>Blasdelezo</v>
          </cell>
          <cell r="H1762" t="str">
            <v>laboratorio</v>
          </cell>
          <cell r="J1762" t="str">
            <v>bueno</v>
          </cell>
          <cell r="K1762" t="str">
            <v>defsi</v>
          </cell>
        </row>
        <row r="1763">
          <cell r="B1763" t="b">
            <v>1</v>
          </cell>
          <cell r="E1763" t="str">
            <v>Blasdelezo</v>
          </cell>
          <cell r="H1763" t="str">
            <v>medicina_interna</v>
          </cell>
          <cell r="J1763" t="str">
            <v>bueno</v>
          </cell>
          <cell r="K1763" t="str">
            <v>defsi</v>
          </cell>
        </row>
        <row r="1764">
          <cell r="B1764" t="b">
            <v>0</v>
          </cell>
          <cell r="E1764" t="str">
            <v>Blasdelezo</v>
          </cell>
          <cell r="H1764" t="str">
            <v>medicina_interna</v>
          </cell>
          <cell r="J1764" t="str">
            <v>regular</v>
          </cell>
          <cell r="K1764" t="str">
            <v>probsi</v>
          </cell>
        </row>
        <row r="1765">
          <cell r="B1765" t="b">
            <v>1</v>
          </cell>
          <cell r="E1765" t="str">
            <v>Blasdelezo</v>
          </cell>
          <cell r="H1765" t="str">
            <v>salud_oral</v>
          </cell>
          <cell r="J1765" t="str">
            <v>bueno</v>
          </cell>
          <cell r="K1765" t="str">
            <v>probsi</v>
          </cell>
        </row>
        <row r="1766">
          <cell r="B1766" t="b">
            <v>1</v>
          </cell>
          <cell r="E1766" t="str">
            <v>Blasdelezo</v>
          </cell>
          <cell r="H1766" t="str">
            <v>salud_oral</v>
          </cell>
          <cell r="J1766" t="str">
            <v>bueno</v>
          </cell>
          <cell r="K1766" t="str">
            <v>probsi</v>
          </cell>
        </row>
        <row r="1767">
          <cell r="B1767" t="b">
            <v>1</v>
          </cell>
          <cell r="E1767" t="str">
            <v>Blasdelezo</v>
          </cell>
          <cell r="H1767" t="str">
            <v>salud_oral</v>
          </cell>
          <cell r="J1767" t="str">
            <v>bueno</v>
          </cell>
          <cell r="K1767" t="str">
            <v>probsi</v>
          </cell>
        </row>
        <row r="1768">
          <cell r="B1768" t="b">
            <v>1</v>
          </cell>
          <cell r="E1768" t="str">
            <v>Blasdelezo</v>
          </cell>
          <cell r="H1768" t="str">
            <v>salud_oral</v>
          </cell>
          <cell r="J1768" t="str">
            <v>bueno</v>
          </cell>
          <cell r="K1768" t="str">
            <v>probsi</v>
          </cell>
        </row>
        <row r="1769">
          <cell r="B1769" t="b">
            <v>1</v>
          </cell>
          <cell r="E1769" t="str">
            <v>Blasdelezo</v>
          </cell>
          <cell r="H1769" t="str">
            <v>laboratorio</v>
          </cell>
          <cell r="J1769" t="str">
            <v>bueno</v>
          </cell>
          <cell r="K1769" t="str">
            <v>probsi</v>
          </cell>
        </row>
        <row r="1770">
          <cell r="B1770" t="b">
            <v>1</v>
          </cell>
          <cell r="E1770" t="str">
            <v>Manzanillo</v>
          </cell>
          <cell r="H1770" t="str">
            <v>laboratorio</v>
          </cell>
          <cell r="J1770" t="str">
            <v>bueno</v>
          </cell>
          <cell r="K1770" t="str">
            <v>probsi</v>
          </cell>
        </row>
        <row r="1771">
          <cell r="B1771" t="b">
            <v>1</v>
          </cell>
          <cell r="E1771" t="str">
            <v>Manzanillo</v>
          </cell>
          <cell r="H1771" t="str">
            <v>laboratorio</v>
          </cell>
          <cell r="J1771" t="str">
            <v>bueno</v>
          </cell>
          <cell r="K1771" t="str">
            <v>probsi</v>
          </cell>
        </row>
        <row r="1772">
          <cell r="B1772" t="b">
            <v>1</v>
          </cell>
          <cell r="E1772" t="str">
            <v>Manzanillo</v>
          </cell>
          <cell r="H1772" t="str">
            <v>laboratorio</v>
          </cell>
          <cell r="J1772" t="str">
            <v>bueno</v>
          </cell>
          <cell r="K1772" t="str">
            <v>probsi</v>
          </cell>
        </row>
        <row r="1773">
          <cell r="B1773" t="b">
            <v>1</v>
          </cell>
          <cell r="E1773" t="str">
            <v>Manzanillo</v>
          </cell>
          <cell r="H1773" t="str">
            <v>laboratorio</v>
          </cell>
          <cell r="J1773" t="str">
            <v>bueno</v>
          </cell>
          <cell r="K1773" t="str">
            <v>probsi</v>
          </cell>
        </row>
        <row r="1774">
          <cell r="B1774" t="b">
            <v>1</v>
          </cell>
          <cell r="E1774" t="str">
            <v>Manzanillo</v>
          </cell>
          <cell r="H1774" t="str">
            <v>laboratorio</v>
          </cell>
          <cell r="J1774" t="str">
            <v>bueno</v>
          </cell>
          <cell r="K1774" t="str">
            <v>probsi</v>
          </cell>
        </row>
        <row r="1775">
          <cell r="B1775" t="b">
            <v>1</v>
          </cell>
          <cell r="E1775" t="str">
            <v>Manzanillo</v>
          </cell>
          <cell r="H1775" t="str">
            <v>laboratorio</v>
          </cell>
          <cell r="J1775" t="str">
            <v>bueno</v>
          </cell>
          <cell r="K1775" t="str">
            <v>probsi</v>
          </cell>
        </row>
        <row r="1776">
          <cell r="B1776" t="b">
            <v>1</v>
          </cell>
          <cell r="E1776" t="str">
            <v>Manzanillo</v>
          </cell>
          <cell r="H1776" t="str">
            <v>laboratorio</v>
          </cell>
          <cell r="J1776" t="str">
            <v>bueno</v>
          </cell>
          <cell r="K1776" t="str">
            <v>probsi</v>
          </cell>
        </row>
        <row r="1777">
          <cell r="B1777" t="b">
            <v>1</v>
          </cell>
          <cell r="E1777" t="str">
            <v>Manzanillo</v>
          </cell>
          <cell r="H1777" t="str">
            <v>laboratorio</v>
          </cell>
          <cell r="J1777" t="str">
            <v>bueno</v>
          </cell>
          <cell r="K1777" t="str">
            <v>probsi</v>
          </cell>
        </row>
        <row r="1778">
          <cell r="B1778" t="b">
            <v>1</v>
          </cell>
          <cell r="E1778" t="str">
            <v>Manzanillo</v>
          </cell>
          <cell r="H1778" t="str">
            <v>laboratorio</v>
          </cell>
          <cell r="J1778" t="str">
            <v>bueno</v>
          </cell>
          <cell r="K1778" t="str">
            <v>probsi</v>
          </cell>
        </row>
        <row r="1779">
          <cell r="B1779" t="b">
            <v>1</v>
          </cell>
          <cell r="E1779" t="str">
            <v>Manzanillo</v>
          </cell>
          <cell r="H1779" t="str">
            <v>laboratorio</v>
          </cell>
          <cell r="J1779" t="str">
            <v>bueno</v>
          </cell>
          <cell r="K1779" t="str">
            <v>probsi</v>
          </cell>
        </row>
        <row r="1780">
          <cell r="B1780" t="b">
            <v>1</v>
          </cell>
          <cell r="E1780" t="str">
            <v>Manzanillo</v>
          </cell>
          <cell r="H1780" t="str">
            <v>salud_oral</v>
          </cell>
          <cell r="J1780" t="str">
            <v>bueno</v>
          </cell>
          <cell r="K1780" t="str">
            <v>probsi</v>
          </cell>
        </row>
        <row r="1781">
          <cell r="B1781" t="b">
            <v>1</v>
          </cell>
          <cell r="E1781" t="str">
            <v>Manzanillo</v>
          </cell>
          <cell r="H1781" t="str">
            <v>salud_oral</v>
          </cell>
          <cell r="J1781" t="str">
            <v>bueno</v>
          </cell>
          <cell r="K1781" t="str">
            <v>probsi</v>
          </cell>
        </row>
        <row r="1782">
          <cell r="B1782" t="b">
            <v>1</v>
          </cell>
          <cell r="E1782" t="str">
            <v>Manzanillo</v>
          </cell>
          <cell r="H1782" t="str">
            <v>salud_oral</v>
          </cell>
          <cell r="J1782" t="str">
            <v>bueno</v>
          </cell>
          <cell r="K1782" t="str">
            <v>probsi</v>
          </cell>
        </row>
        <row r="1783">
          <cell r="B1783" t="b">
            <v>1</v>
          </cell>
          <cell r="E1783" t="str">
            <v>Manzanillo</v>
          </cell>
          <cell r="H1783" t="str">
            <v>salud_oral</v>
          </cell>
          <cell r="J1783" t="str">
            <v>bueno</v>
          </cell>
          <cell r="K1783" t="str">
            <v>probsi</v>
          </cell>
        </row>
        <row r="1784">
          <cell r="B1784" t="b">
            <v>1</v>
          </cell>
          <cell r="E1784" t="str">
            <v>Bosque</v>
          </cell>
          <cell r="H1784" t="str">
            <v>consulta_externa</v>
          </cell>
          <cell r="J1784" t="str">
            <v>bueno</v>
          </cell>
          <cell r="K1784" t="str">
            <v>defsi</v>
          </cell>
        </row>
        <row r="1785">
          <cell r="B1785" t="b">
            <v>1</v>
          </cell>
          <cell r="E1785" t="str">
            <v>Bosque</v>
          </cell>
          <cell r="H1785" t="str">
            <v>salud_oral</v>
          </cell>
          <cell r="J1785" t="str">
            <v>bueno</v>
          </cell>
          <cell r="K1785" t="str">
            <v>defsi</v>
          </cell>
        </row>
        <row r="1786">
          <cell r="B1786" t="b">
            <v>1</v>
          </cell>
          <cell r="E1786" t="str">
            <v>Bosque</v>
          </cell>
          <cell r="H1786" t="str">
            <v>salud_oral</v>
          </cell>
          <cell r="J1786" t="str">
            <v>bueno</v>
          </cell>
          <cell r="K1786" t="str">
            <v>defsi</v>
          </cell>
        </row>
        <row r="1787">
          <cell r="B1787" t="b">
            <v>1</v>
          </cell>
          <cell r="E1787" t="str">
            <v>Bosque</v>
          </cell>
          <cell r="H1787" t="str">
            <v>salud_oral</v>
          </cell>
          <cell r="J1787" t="str">
            <v>bueno</v>
          </cell>
          <cell r="K1787" t="str">
            <v>defsi</v>
          </cell>
        </row>
        <row r="1788">
          <cell r="B1788" t="b">
            <v>1</v>
          </cell>
          <cell r="E1788" t="str">
            <v>Bosque</v>
          </cell>
          <cell r="H1788" t="str">
            <v>salud_oral</v>
          </cell>
          <cell r="J1788" t="str">
            <v>bueno</v>
          </cell>
          <cell r="K1788" t="str">
            <v>defsi</v>
          </cell>
        </row>
        <row r="1789">
          <cell r="B1789" t="b">
            <v>0</v>
          </cell>
          <cell r="E1789" t="str">
            <v>Bosque</v>
          </cell>
          <cell r="H1789" t="str">
            <v>consulta_externa</v>
          </cell>
          <cell r="J1789" t="str">
            <v>regular</v>
          </cell>
          <cell r="K1789" t="str">
            <v>probsi</v>
          </cell>
        </row>
        <row r="1790">
          <cell r="B1790" t="b">
            <v>1</v>
          </cell>
          <cell r="E1790" t="str">
            <v>Bosque</v>
          </cell>
          <cell r="H1790" t="str">
            <v>laboratorio</v>
          </cell>
          <cell r="J1790" t="str">
            <v>bueno</v>
          </cell>
          <cell r="K1790" t="str">
            <v>defsi</v>
          </cell>
        </row>
        <row r="1791">
          <cell r="B1791" t="b">
            <v>1</v>
          </cell>
          <cell r="E1791" t="str">
            <v>Bosque</v>
          </cell>
          <cell r="H1791" t="str">
            <v>laboratorio</v>
          </cell>
          <cell r="J1791" t="str">
            <v>bueno</v>
          </cell>
          <cell r="K1791" t="str">
            <v>defsi</v>
          </cell>
        </row>
        <row r="1792">
          <cell r="B1792" t="b">
            <v>1</v>
          </cell>
          <cell r="E1792" t="str">
            <v>Bosque</v>
          </cell>
          <cell r="H1792" t="str">
            <v>consulta_externa</v>
          </cell>
          <cell r="J1792" t="str">
            <v>bueno</v>
          </cell>
          <cell r="K1792" t="str">
            <v>defsi</v>
          </cell>
        </row>
        <row r="1793">
          <cell r="B1793" t="b">
            <v>1</v>
          </cell>
          <cell r="E1793" t="str">
            <v>Bosque</v>
          </cell>
          <cell r="H1793" t="str">
            <v>consulta_externa</v>
          </cell>
          <cell r="J1793" t="str">
            <v>bueno</v>
          </cell>
          <cell r="K1793" t="str">
            <v>defsi</v>
          </cell>
        </row>
        <row r="1794">
          <cell r="B1794" t="b">
            <v>1</v>
          </cell>
          <cell r="E1794" t="str">
            <v>Bosque</v>
          </cell>
          <cell r="H1794" t="str">
            <v>laboratorio</v>
          </cell>
          <cell r="J1794" t="str">
            <v>bueno</v>
          </cell>
          <cell r="K1794" t="str">
            <v>defsi</v>
          </cell>
        </row>
        <row r="1795">
          <cell r="B1795" t="b">
            <v>1</v>
          </cell>
          <cell r="E1795" t="str">
            <v>Bosque</v>
          </cell>
          <cell r="H1795" t="str">
            <v>laboratorio</v>
          </cell>
          <cell r="J1795" t="str">
            <v>bueno</v>
          </cell>
          <cell r="K1795" t="str">
            <v>defsi</v>
          </cell>
        </row>
        <row r="1796">
          <cell r="B1796" t="b">
            <v>1</v>
          </cell>
          <cell r="E1796" t="str">
            <v>Puerto Rey</v>
          </cell>
          <cell r="H1796" t="str">
            <v>consulta_externa</v>
          </cell>
          <cell r="J1796" t="str">
            <v>bueno</v>
          </cell>
          <cell r="K1796" t="str">
            <v>defsi</v>
          </cell>
        </row>
        <row r="1797">
          <cell r="B1797" t="b">
            <v>1</v>
          </cell>
          <cell r="E1797" t="str">
            <v>Puerto Rey</v>
          </cell>
          <cell r="H1797" t="str">
            <v>laboratorio</v>
          </cell>
          <cell r="J1797" t="str">
            <v>bueno</v>
          </cell>
          <cell r="K1797" t="str">
            <v>defsi</v>
          </cell>
        </row>
        <row r="1798">
          <cell r="B1798" t="b">
            <v>1</v>
          </cell>
          <cell r="E1798" t="str">
            <v>Puerto Rey</v>
          </cell>
          <cell r="H1798" t="str">
            <v>consulta_externa</v>
          </cell>
          <cell r="J1798" t="str">
            <v>bueno</v>
          </cell>
          <cell r="K1798" t="str">
            <v>defsi</v>
          </cell>
        </row>
        <row r="1799">
          <cell r="B1799" t="b">
            <v>1</v>
          </cell>
          <cell r="E1799" t="str">
            <v>Puerto Rey</v>
          </cell>
          <cell r="H1799" t="str">
            <v>salud_oral</v>
          </cell>
          <cell r="J1799" t="str">
            <v>bueno</v>
          </cell>
          <cell r="K1799" t="str">
            <v>defsi</v>
          </cell>
        </row>
        <row r="1800">
          <cell r="B1800" t="b">
            <v>1</v>
          </cell>
          <cell r="E1800" t="str">
            <v>Puerto Rey</v>
          </cell>
          <cell r="H1800" t="str">
            <v>laboratorio</v>
          </cell>
          <cell r="J1800" t="str">
            <v>bueno</v>
          </cell>
          <cell r="K1800" t="str">
            <v>defsi</v>
          </cell>
        </row>
        <row r="1801">
          <cell r="B1801" t="b">
            <v>1</v>
          </cell>
          <cell r="E1801" t="str">
            <v>Puerto Rey</v>
          </cell>
          <cell r="H1801" t="str">
            <v>consulta_externa</v>
          </cell>
          <cell r="J1801" t="str">
            <v>bueno</v>
          </cell>
          <cell r="K1801" t="str">
            <v>defsi</v>
          </cell>
        </row>
        <row r="1802">
          <cell r="B1802" t="b">
            <v>1</v>
          </cell>
          <cell r="E1802" t="str">
            <v>Puerto Rey</v>
          </cell>
          <cell r="H1802" t="str">
            <v>salud_oral</v>
          </cell>
          <cell r="J1802" t="str">
            <v>bueno</v>
          </cell>
          <cell r="K1802" t="str">
            <v>defsi</v>
          </cell>
        </row>
        <row r="1803">
          <cell r="B1803" t="b">
            <v>1</v>
          </cell>
          <cell r="E1803" t="str">
            <v>Puerto Rey</v>
          </cell>
          <cell r="H1803" t="str">
            <v>laboratorio</v>
          </cell>
          <cell r="J1803" t="str">
            <v>bueno</v>
          </cell>
          <cell r="K1803" t="str">
            <v>defsi</v>
          </cell>
        </row>
        <row r="1804">
          <cell r="B1804" t="b">
            <v>1</v>
          </cell>
          <cell r="E1804" t="str">
            <v>Puerto Rey</v>
          </cell>
          <cell r="H1804" t="str">
            <v>consulta_externa</v>
          </cell>
          <cell r="J1804" t="str">
            <v>bueno</v>
          </cell>
          <cell r="K1804" t="str">
            <v>defsi</v>
          </cell>
        </row>
        <row r="1805">
          <cell r="B1805" t="b">
            <v>1</v>
          </cell>
          <cell r="E1805" t="str">
            <v>Bicentenario</v>
          </cell>
          <cell r="H1805" t="str">
            <v>consulta_externa</v>
          </cell>
          <cell r="J1805" t="str">
            <v>bueno</v>
          </cell>
          <cell r="K1805" t="str">
            <v>probsi</v>
          </cell>
        </row>
        <row r="1806">
          <cell r="B1806" t="b">
            <v>1</v>
          </cell>
          <cell r="E1806" t="str">
            <v>Bicentenario</v>
          </cell>
          <cell r="H1806" t="str">
            <v>consulta_externa</v>
          </cell>
          <cell r="J1806" t="str">
            <v>bueno</v>
          </cell>
          <cell r="K1806" t="str">
            <v>probsi</v>
          </cell>
        </row>
        <row r="1807">
          <cell r="B1807" t="b">
            <v>0</v>
          </cell>
          <cell r="E1807" t="str">
            <v>Bicentenario</v>
          </cell>
          <cell r="H1807" t="str">
            <v>salud_oral</v>
          </cell>
          <cell r="J1807" t="str">
            <v>regular</v>
          </cell>
          <cell r="K1807" t="str">
            <v>probsi</v>
          </cell>
        </row>
        <row r="1808">
          <cell r="B1808" t="b">
            <v>1</v>
          </cell>
          <cell r="E1808" t="str">
            <v>Bicentenario</v>
          </cell>
          <cell r="H1808" t="str">
            <v>laboratorio</v>
          </cell>
          <cell r="J1808" t="str">
            <v>bueno</v>
          </cell>
          <cell r="K1808" t="str">
            <v>probsi</v>
          </cell>
        </row>
        <row r="1809">
          <cell r="B1809" t="b">
            <v>1</v>
          </cell>
          <cell r="E1809" t="str">
            <v>Puerto Rey</v>
          </cell>
          <cell r="H1809" t="str">
            <v>salud_oral</v>
          </cell>
          <cell r="J1809" t="str">
            <v>bueno</v>
          </cell>
          <cell r="K1809" t="str">
            <v>defsi</v>
          </cell>
        </row>
        <row r="1810">
          <cell r="B1810" t="b">
            <v>1</v>
          </cell>
          <cell r="E1810" t="str">
            <v>Puerto Rey</v>
          </cell>
          <cell r="H1810" t="str">
            <v>salud_oral</v>
          </cell>
          <cell r="J1810" t="str">
            <v>bueno</v>
          </cell>
          <cell r="K1810" t="str">
            <v>defsi</v>
          </cell>
        </row>
        <row r="1811">
          <cell r="B1811" t="b">
            <v>1</v>
          </cell>
          <cell r="E1811" t="str">
            <v>Puerto Rey</v>
          </cell>
          <cell r="H1811" t="str">
            <v>laboratorio</v>
          </cell>
          <cell r="J1811" t="str">
            <v>bueno</v>
          </cell>
          <cell r="K1811" t="str">
            <v>defsi</v>
          </cell>
        </row>
        <row r="1812">
          <cell r="B1812" t="b">
            <v>1</v>
          </cell>
          <cell r="E1812" t="str">
            <v>Puerto Rey</v>
          </cell>
          <cell r="H1812" t="str">
            <v>consulta_externa</v>
          </cell>
          <cell r="J1812" t="str">
            <v>bueno</v>
          </cell>
          <cell r="K1812" t="str">
            <v>defsi</v>
          </cell>
        </row>
        <row r="1813">
          <cell r="B1813" t="b">
            <v>0</v>
          </cell>
          <cell r="E1813" t="str">
            <v>Bicentenario</v>
          </cell>
          <cell r="H1813" t="str">
            <v>consulta_externa</v>
          </cell>
          <cell r="J1813" t="str">
            <v>regular</v>
          </cell>
          <cell r="K1813" t="str">
            <v>probsi</v>
          </cell>
        </row>
        <row r="1814">
          <cell r="B1814" t="b">
            <v>0</v>
          </cell>
          <cell r="E1814" t="str">
            <v>Bicentenario</v>
          </cell>
          <cell r="H1814" t="str">
            <v>laboratorio</v>
          </cell>
          <cell r="J1814" t="str">
            <v>regular</v>
          </cell>
          <cell r="K1814" t="str">
            <v>probsi</v>
          </cell>
        </row>
        <row r="1815">
          <cell r="B1815" t="b">
            <v>1</v>
          </cell>
          <cell r="E1815" t="str">
            <v>Bicentenario</v>
          </cell>
          <cell r="H1815" t="str">
            <v>salud_oral</v>
          </cell>
          <cell r="J1815" t="str">
            <v>bueno</v>
          </cell>
          <cell r="K1815" t="str">
            <v>probsi</v>
          </cell>
        </row>
        <row r="1816">
          <cell r="B1816" t="b">
            <v>1</v>
          </cell>
          <cell r="E1816" t="str">
            <v>Puerto Rey</v>
          </cell>
          <cell r="H1816" t="str">
            <v>consulta_externa</v>
          </cell>
          <cell r="J1816" t="str">
            <v>bueno</v>
          </cell>
          <cell r="K1816" t="str">
            <v>defsi</v>
          </cell>
        </row>
        <row r="1817">
          <cell r="B1817" t="b">
            <v>1</v>
          </cell>
          <cell r="E1817" t="str">
            <v>Puerto Rey</v>
          </cell>
          <cell r="H1817" t="str">
            <v>laboratorio</v>
          </cell>
          <cell r="J1817" t="str">
            <v>bueno</v>
          </cell>
          <cell r="K1817" t="str">
            <v>defsi</v>
          </cell>
        </row>
        <row r="1818">
          <cell r="B1818" t="b">
            <v>1</v>
          </cell>
          <cell r="E1818" t="str">
            <v>Bicentenario</v>
          </cell>
          <cell r="H1818" t="str">
            <v>consulta_externa</v>
          </cell>
          <cell r="J1818" t="str">
            <v>bueno</v>
          </cell>
          <cell r="K1818" t="str">
            <v>probsi</v>
          </cell>
        </row>
        <row r="1819">
          <cell r="B1819" t="b">
            <v>1</v>
          </cell>
          <cell r="E1819" t="str">
            <v>Bicentenario</v>
          </cell>
          <cell r="H1819" t="str">
            <v>salud_oral</v>
          </cell>
          <cell r="J1819" t="str">
            <v>bueno</v>
          </cell>
          <cell r="K1819" t="str">
            <v>probsi</v>
          </cell>
        </row>
        <row r="1820">
          <cell r="B1820" t="b">
            <v>1</v>
          </cell>
          <cell r="E1820" t="str">
            <v>Puerto Rey</v>
          </cell>
          <cell r="H1820" t="str">
            <v>laboratorio</v>
          </cell>
          <cell r="J1820" t="str">
            <v>bueno</v>
          </cell>
          <cell r="K1820" t="str">
            <v>defsi</v>
          </cell>
        </row>
        <row r="1821">
          <cell r="B1821" t="b">
            <v>0</v>
          </cell>
          <cell r="E1821" t="str">
            <v>Bicentenario</v>
          </cell>
          <cell r="H1821" t="str">
            <v>urgencia</v>
          </cell>
          <cell r="J1821" t="str">
            <v>regular</v>
          </cell>
          <cell r="K1821" t="str">
            <v>probsi</v>
          </cell>
        </row>
        <row r="1822">
          <cell r="B1822" t="b">
            <v>1</v>
          </cell>
          <cell r="E1822" t="str">
            <v>Puerto Rey</v>
          </cell>
          <cell r="H1822" t="str">
            <v>laboratorio</v>
          </cell>
          <cell r="J1822" t="str">
            <v>bueno</v>
          </cell>
          <cell r="K1822" t="str">
            <v>defsi</v>
          </cell>
        </row>
        <row r="1823">
          <cell r="B1823" t="b">
            <v>0</v>
          </cell>
          <cell r="E1823" t="str">
            <v>Bicentenario</v>
          </cell>
          <cell r="H1823" t="str">
            <v>consulta_externa</v>
          </cell>
          <cell r="J1823" t="str">
            <v>regular</v>
          </cell>
          <cell r="K1823" t="str">
            <v>probsi</v>
          </cell>
        </row>
        <row r="1824">
          <cell r="B1824" t="b">
            <v>1</v>
          </cell>
          <cell r="E1824" t="str">
            <v>Bicentenario</v>
          </cell>
          <cell r="H1824" t="str">
            <v>consulta_externa</v>
          </cell>
          <cell r="J1824" t="str">
            <v>bueno</v>
          </cell>
          <cell r="K1824" t="str">
            <v>probsi</v>
          </cell>
        </row>
        <row r="1825">
          <cell r="B1825" t="b">
            <v>1</v>
          </cell>
          <cell r="E1825" t="str">
            <v>Bicentenario</v>
          </cell>
          <cell r="H1825" t="str">
            <v>salud_oral</v>
          </cell>
          <cell r="J1825" t="str">
            <v>bueno</v>
          </cell>
          <cell r="K1825" t="str">
            <v>probsi</v>
          </cell>
        </row>
        <row r="1826">
          <cell r="B1826" t="b">
            <v>1</v>
          </cell>
          <cell r="E1826" t="str">
            <v>Bicentenario</v>
          </cell>
          <cell r="H1826" t="str">
            <v>consulta_externa</v>
          </cell>
          <cell r="J1826" t="str">
            <v>bueno</v>
          </cell>
          <cell r="K1826" t="str">
            <v>probsi</v>
          </cell>
        </row>
        <row r="1827">
          <cell r="B1827" t="b">
            <v>0</v>
          </cell>
          <cell r="E1827" t="str">
            <v>Bicentenario</v>
          </cell>
          <cell r="H1827" t="str">
            <v>consulta_externa</v>
          </cell>
          <cell r="J1827" t="str">
            <v>regular</v>
          </cell>
          <cell r="K1827" t="str">
            <v>probsi</v>
          </cell>
        </row>
        <row r="1828">
          <cell r="B1828" t="b">
            <v>0</v>
          </cell>
          <cell r="E1828" t="str">
            <v>Bicentenario</v>
          </cell>
          <cell r="H1828" t="str">
            <v>consulta_externa</v>
          </cell>
          <cell r="J1828" t="str">
            <v>regular</v>
          </cell>
          <cell r="K1828" t="str">
            <v>probsi</v>
          </cell>
        </row>
        <row r="1829">
          <cell r="B1829" t="b">
            <v>0</v>
          </cell>
          <cell r="E1829" t="str">
            <v>Bicentenario</v>
          </cell>
          <cell r="H1829" t="str">
            <v>consulta_externa</v>
          </cell>
          <cell r="J1829" t="str">
            <v>regular</v>
          </cell>
          <cell r="K1829" t="str">
            <v>probsi</v>
          </cell>
        </row>
        <row r="1830">
          <cell r="B1830" t="b">
            <v>1</v>
          </cell>
          <cell r="E1830" t="str">
            <v>Puerto Rey</v>
          </cell>
          <cell r="H1830" t="str">
            <v>salud_oral</v>
          </cell>
          <cell r="J1830" t="str">
            <v>bueno</v>
          </cell>
          <cell r="K1830" t="str">
            <v>defsi</v>
          </cell>
        </row>
        <row r="1831">
          <cell r="B1831" t="b">
            <v>1</v>
          </cell>
          <cell r="E1831" t="str">
            <v>Puerto Rey</v>
          </cell>
          <cell r="H1831" t="str">
            <v>consulta_externa</v>
          </cell>
          <cell r="J1831" t="str">
            <v>bueno</v>
          </cell>
          <cell r="K1831" t="str">
            <v>defsi</v>
          </cell>
        </row>
        <row r="1832">
          <cell r="B1832" t="b">
            <v>1</v>
          </cell>
          <cell r="E1832" t="str">
            <v>Bicentenario</v>
          </cell>
          <cell r="H1832" t="str">
            <v>consulta_externa</v>
          </cell>
          <cell r="J1832" t="str">
            <v>bueno</v>
          </cell>
          <cell r="K1832" t="str">
            <v>probsi</v>
          </cell>
        </row>
        <row r="1833">
          <cell r="B1833" t="b">
            <v>1</v>
          </cell>
          <cell r="E1833" t="str">
            <v>Bicentenario</v>
          </cell>
          <cell r="H1833" t="str">
            <v>salud_oral</v>
          </cell>
          <cell r="J1833" t="str">
            <v>bueno</v>
          </cell>
          <cell r="K1833" t="str">
            <v>probsi</v>
          </cell>
        </row>
        <row r="1834">
          <cell r="B1834" t="b">
            <v>1</v>
          </cell>
          <cell r="E1834" t="str">
            <v>Bicentenario</v>
          </cell>
          <cell r="H1834" t="str">
            <v>laboratorio</v>
          </cell>
          <cell r="J1834" t="str">
            <v>bueno</v>
          </cell>
          <cell r="K1834" t="str">
            <v>probsi</v>
          </cell>
        </row>
        <row r="1835">
          <cell r="B1835" t="b">
            <v>1</v>
          </cell>
          <cell r="E1835" t="str">
            <v>Puerto Rey</v>
          </cell>
          <cell r="H1835" t="str">
            <v>salud_oral</v>
          </cell>
          <cell r="J1835" t="str">
            <v>bueno</v>
          </cell>
          <cell r="K1835" t="str">
            <v>defsi</v>
          </cell>
        </row>
        <row r="1836">
          <cell r="B1836" t="b">
            <v>0</v>
          </cell>
          <cell r="E1836" t="str">
            <v>Bicentenario</v>
          </cell>
          <cell r="H1836" t="str">
            <v>consulta_externa</v>
          </cell>
          <cell r="J1836" t="str">
            <v>regular</v>
          </cell>
          <cell r="K1836" t="str">
            <v>probno</v>
          </cell>
        </row>
        <row r="1837">
          <cell r="B1837" t="b">
            <v>1</v>
          </cell>
          <cell r="E1837" t="str">
            <v>Puerto Rey</v>
          </cell>
          <cell r="H1837" t="str">
            <v>consulta_externa</v>
          </cell>
          <cell r="J1837" t="str">
            <v>bueno</v>
          </cell>
          <cell r="K1837" t="str">
            <v>defsi</v>
          </cell>
        </row>
        <row r="1838">
          <cell r="B1838" t="b">
            <v>1</v>
          </cell>
          <cell r="E1838" t="str">
            <v>Puerto Rey</v>
          </cell>
          <cell r="H1838" t="str">
            <v>salud_oral</v>
          </cell>
          <cell r="J1838" t="str">
            <v>bueno</v>
          </cell>
          <cell r="K1838" t="str">
            <v>defsi</v>
          </cell>
        </row>
        <row r="1839">
          <cell r="B1839" t="b">
            <v>1</v>
          </cell>
          <cell r="E1839" t="str">
            <v>Puerto Rey</v>
          </cell>
          <cell r="H1839" t="str">
            <v>consulta_externa</v>
          </cell>
          <cell r="J1839" t="str">
            <v>bueno</v>
          </cell>
          <cell r="K1839" t="str">
            <v>defsi</v>
          </cell>
        </row>
        <row r="1840">
          <cell r="B1840" t="b">
            <v>1</v>
          </cell>
          <cell r="E1840" t="str">
            <v>Puerto Rey</v>
          </cell>
          <cell r="H1840" t="str">
            <v>laboratorio</v>
          </cell>
          <cell r="J1840" t="str">
            <v>bueno</v>
          </cell>
          <cell r="K1840" t="str">
            <v>defsi</v>
          </cell>
        </row>
        <row r="1841">
          <cell r="B1841" t="b">
            <v>1</v>
          </cell>
          <cell r="E1841" t="str">
            <v>Bicentenario</v>
          </cell>
          <cell r="H1841" t="str">
            <v>consulta_externa</v>
          </cell>
          <cell r="J1841" t="str">
            <v>bueno</v>
          </cell>
          <cell r="K1841" t="str">
            <v>probsi</v>
          </cell>
        </row>
        <row r="1842">
          <cell r="B1842" t="b">
            <v>0</v>
          </cell>
          <cell r="E1842" t="str">
            <v>Bicentenario</v>
          </cell>
          <cell r="H1842" t="str">
            <v>rx</v>
          </cell>
          <cell r="J1842" t="str">
            <v>regular</v>
          </cell>
          <cell r="K1842" t="str">
            <v>probsi</v>
          </cell>
        </row>
        <row r="1843">
          <cell r="B1843" t="b">
            <v>0</v>
          </cell>
          <cell r="E1843" t="str">
            <v>Bicentenario</v>
          </cell>
          <cell r="H1843" t="str">
            <v>rx</v>
          </cell>
          <cell r="J1843" t="str">
            <v>regular</v>
          </cell>
          <cell r="K1843" t="str">
            <v>probsi</v>
          </cell>
        </row>
        <row r="1844">
          <cell r="B1844" t="b">
            <v>1</v>
          </cell>
          <cell r="E1844" t="str">
            <v>Bicentenario</v>
          </cell>
          <cell r="H1844" t="str">
            <v>rx</v>
          </cell>
          <cell r="J1844" t="str">
            <v>bueno</v>
          </cell>
          <cell r="K1844" t="str">
            <v>probsi</v>
          </cell>
        </row>
        <row r="1845">
          <cell r="B1845" t="b">
            <v>1</v>
          </cell>
          <cell r="E1845" t="str">
            <v>Bicentenario</v>
          </cell>
          <cell r="H1845" t="str">
            <v>salud_oral</v>
          </cell>
          <cell r="J1845" t="str">
            <v>bueno</v>
          </cell>
          <cell r="K1845" t="str">
            <v>probsi</v>
          </cell>
        </row>
        <row r="1846">
          <cell r="B1846" t="b">
            <v>1</v>
          </cell>
          <cell r="E1846" t="str">
            <v>Bicentenario</v>
          </cell>
          <cell r="H1846" t="str">
            <v>laboratorio</v>
          </cell>
          <cell r="J1846" t="str">
            <v>bueno</v>
          </cell>
          <cell r="K1846" t="str">
            <v>probsi</v>
          </cell>
        </row>
        <row r="1847">
          <cell r="B1847" t="b">
            <v>1</v>
          </cell>
          <cell r="E1847" t="str">
            <v>Cano de Oro</v>
          </cell>
          <cell r="H1847" t="str">
            <v>consulta_externa</v>
          </cell>
          <cell r="J1847" t="str">
            <v>bueno</v>
          </cell>
          <cell r="K1847" t="str">
            <v>defsi</v>
          </cell>
        </row>
        <row r="1848">
          <cell r="B1848" t="b">
            <v>1</v>
          </cell>
          <cell r="E1848" t="str">
            <v>Cano de Oro</v>
          </cell>
          <cell r="H1848" t="str">
            <v>salud_oral</v>
          </cell>
          <cell r="J1848" t="str">
            <v>bueno</v>
          </cell>
          <cell r="K1848" t="str">
            <v>defsi</v>
          </cell>
        </row>
        <row r="1849">
          <cell r="B1849" t="b">
            <v>1</v>
          </cell>
          <cell r="E1849" t="str">
            <v>Cano de Oro</v>
          </cell>
          <cell r="H1849" t="str">
            <v>laboratorio</v>
          </cell>
          <cell r="J1849" t="str">
            <v>bueno</v>
          </cell>
          <cell r="K1849" t="str">
            <v>defsi</v>
          </cell>
        </row>
        <row r="1850">
          <cell r="B1850" t="b">
            <v>1</v>
          </cell>
          <cell r="E1850" t="str">
            <v>Cano de Oro</v>
          </cell>
          <cell r="H1850" t="str">
            <v>consulta_externa</v>
          </cell>
          <cell r="J1850" t="str">
            <v>bueno</v>
          </cell>
          <cell r="K1850" t="str">
            <v>defsi</v>
          </cell>
        </row>
        <row r="1851">
          <cell r="B1851" t="b">
            <v>1</v>
          </cell>
          <cell r="E1851" t="str">
            <v>Cano de Oro</v>
          </cell>
          <cell r="H1851" t="str">
            <v>laboratorio</v>
          </cell>
          <cell r="J1851" t="str">
            <v>bueno</v>
          </cell>
          <cell r="K1851" t="str">
            <v>defsi</v>
          </cell>
        </row>
        <row r="1852">
          <cell r="B1852" t="b">
            <v>1</v>
          </cell>
          <cell r="E1852" t="str">
            <v>Cano de Oro</v>
          </cell>
          <cell r="H1852" t="str">
            <v>salud_oral</v>
          </cell>
          <cell r="J1852" t="str">
            <v>bueno</v>
          </cell>
          <cell r="K1852" t="str">
            <v>defsi</v>
          </cell>
        </row>
        <row r="1853">
          <cell r="B1853" t="b">
            <v>1</v>
          </cell>
          <cell r="E1853" t="str">
            <v>Cano de Oro</v>
          </cell>
          <cell r="H1853" t="str">
            <v>consulta_externa</v>
          </cell>
          <cell r="J1853" t="str">
            <v>bueno</v>
          </cell>
          <cell r="K1853" t="str">
            <v>defsi</v>
          </cell>
        </row>
        <row r="1854">
          <cell r="B1854" t="b">
            <v>1</v>
          </cell>
          <cell r="E1854" t="str">
            <v>Cano de Oro</v>
          </cell>
          <cell r="H1854" t="str">
            <v>salud_oral</v>
          </cell>
          <cell r="J1854" t="str">
            <v>bueno</v>
          </cell>
          <cell r="K1854" t="str">
            <v>defsi</v>
          </cell>
        </row>
        <row r="1855">
          <cell r="B1855" t="b">
            <v>1</v>
          </cell>
          <cell r="E1855" t="str">
            <v>Cano de Oro</v>
          </cell>
          <cell r="H1855" t="str">
            <v>laboratorio</v>
          </cell>
          <cell r="J1855" t="str">
            <v>bueno</v>
          </cell>
          <cell r="K1855" t="str">
            <v>defsi</v>
          </cell>
        </row>
        <row r="1856">
          <cell r="B1856" t="b">
            <v>1</v>
          </cell>
          <cell r="E1856" t="str">
            <v>Cano de Oro</v>
          </cell>
          <cell r="H1856" t="str">
            <v>consulta_externa</v>
          </cell>
          <cell r="J1856" t="str">
            <v>bueno</v>
          </cell>
          <cell r="K1856" t="str">
            <v>defsi</v>
          </cell>
        </row>
        <row r="1857">
          <cell r="B1857" t="b">
            <v>1</v>
          </cell>
          <cell r="E1857" t="str">
            <v>Cano de Oro</v>
          </cell>
          <cell r="H1857" t="str">
            <v>salud_oral</v>
          </cell>
          <cell r="J1857" t="str">
            <v>bueno</v>
          </cell>
          <cell r="K1857" t="str">
            <v>defsi</v>
          </cell>
        </row>
        <row r="1858">
          <cell r="B1858" t="b">
            <v>1</v>
          </cell>
          <cell r="E1858" t="str">
            <v>Cano de Oro</v>
          </cell>
          <cell r="H1858" t="str">
            <v>laboratorio</v>
          </cell>
          <cell r="J1858" t="str">
            <v>bueno</v>
          </cell>
          <cell r="K1858" t="str">
            <v>defsi</v>
          </cell>
        </row>
        <row r="1859">
          <cell r="B1859" t="b">
            <v>1</v>
          </cell>
          <cell r="E1859" t="str">
            <v>Puerto Rey</v>
          </cell>
          <cell r="H1859" t="str">
            <v>salud_oral</v>
          </cell>
          <cell r="J1859" t="str">
            <v>bueno</v>
          </cell>
          <cell r="K1859" t="str">
            <v>defsi</v>
          </cell>
        </row>
        <row r="1860">
          <cell r="B1860" t="b">
            <v>1</v>
          </cell>
          <cell r="E1860" t="str">
            <v>Puerto Rey</v>
          </cell>
          <cell r="H1860" t="str">
            <v>salud_oral</v>
          </cell>
          <cell r="J1860" t="str">
            <v>bueno</v>
          </cell>
          <cell r="K1860" t="str">
            <v>defsi</v>
          </cell>
        </row>
        <row r="1861">
          <cell r="B1861" t="b">
            <v>1</v>
          </cell>
          <cell r="E1861" t="str">
            <v>Puerto Rey</v>
          </cell>
          <cell r="H1861" t="str">
            <v>salud_oral</v>
          </cell>
          <cell r="J1861" t="str">
            <v>bueno</v>
          </cell>
          <cell r="K1861" t="str">
            <v>defsi</v>
          </cell>
        </row>
        <row r="1862">
          <cell r="B1862" t="b">
            <v>1</v>
          </cell>
          <cell r="E1862" t="str">
            <v>Puerto Rey</v>
          </cell>
          <cell r="H1862" t="str">
            <v>consulta_externa</v>
          </cell>
          <cell r="J1862" t="str">
            <v>bueno</v>
          </cell>
          <cell r="K1862" t="str">
            <v>defsi</v>
          </cell>
        </row>
        <row r="1863">
          <cell r="B1863" t="b">
            <v>1</v>
          </cell>
          <cell r="E1863" t="str">
            <v>Cano de Oro</v>
          </cell>
          <cell r="H1863" t="str">
            <v>consulta_externa</v>
          </cell>
          <cell r="J1863" t="str">
            <v>bueno</v>
          </cell>
          <cell r="K1863" t="str">
            <v>defsi</v>
          </cell>
        </row>
        <row r="1864">
          <cell r="B1864" t="b">
            <v>1</v>
          </cell>
          <cell r="E1864" t="str">
            <v>Cano de Oro</v>
          </cell>
          <cell r="H1864" t="str">
            <v>salud_oral</v>
          </cell>
          <cell r="J1864" t="str">
            <v>bueno</v>
          </cell>
          <cell r="K1864" t="str">
            <v>defsi</v>
          </cell>
        </row>
        <row r="1865">
          <cell r="B1865" t="b">
            <v>1</v>
          </cell>
          <cell r="E1865" t="str">
            <v>Cano de Oro</v>
          </cell>
          <cell r="H1865" t="str">
            <v>laboratorio</v>
          </cell>
          <cell r="J1865" t="str">
            <v>bueno</v>
          </cell>
          <cell r="K1865" t="str">
            <v>defsi</v>
          </cell>
        </row>
        <row r="1866">
          <cell r="B1866" t="b">
            <v>1</v>
          </cell>
          <cell r="E1866" t="str">
            <v>Cano de Oro</v>
          </cell>
          <cell r="H1866" t="str">
            <v>consulta_externa</v>
          </cell>
          <cell r="J1866" t="str">
            <v>bueno</v>
          </cell>
          <cell r="K1866" t="str">
            <v>defsi</v>
          </cell>
        </row>
        <row r="1867">
          <cell r="B1867" t="b">
            <v>1</v>
          </cell>
          <cell r="E1867" t="str">
            <v>Cano de Oro</v>
          </cell>
          <cell r="H1867" t="str">
            <v>salud_oral</v>
          </cell>
          <cell r="J1867" t="str">
            <v>bueno</v>
          </cell>
          <cell r="K1867" t="str">
            <v>defsi</v>
          </cell>
        </row>
        <row r="1868">
          <cell r="B1868" t="b">
            <v>1</v>
          </cell>
          <cell r="E1868" t="str">
            <v>Cano de Oro</v>
          </cell>
          <cell r="H1868" t="str">
            <v>laboratorio</v>
          </cell>
          <cell r="J1868" t="str">
            <v>bueno</v>
          </cell>
          <cell r="K1868" t="str">
            <v>defsi</v>
          </cell>
        </row>
        <row r="1869">
          <cell r="B1869" t="b">
            <v>1</v>
          </cell>
          <cell r="E1869" t="str">
            <v>Cano de Oro</v>
          </cell>
          <cell r="H1869" t="str">
            <v>consulta_externa</v>
          </cell>
          <cell r="J1869" t="str">
            <v>bueno</v>
          </cell>
          <cell r="K1869" t="str">
            <v>defsi</v>
          </cell>
        </row>
        <row r="1870">
          <cell r="B1870" t="b">
            <v>1</v>
          </cell>
          <cell r="E1870" t="str">
            <v>Cano de Oro</v>
          </cell>
          <cell r="H1870" t="str">
            <v>salud_oral</v>
          </cell>
          <cell r="J1870" t="str">
            <v>bueno</v>
          </cell>
          <cell r="K1870" t="str">
            <v>defsi</v>
          </cell>
        </row>
        <row r="1871">
          <cell r="B1871" t="b">
            <v>1</v>
          </cell>
          <cell r="E1871" t="str">
            <v>Cano de Oro</v>
          </cell>
          <cell r="H1871" t="str">
            <v>laboratorio</v>
          </cell>
          <cell r="J1871" t="str">
            <v>bueno</v>
          </cell>
          <cell r="K1871" t="str">
            <v>defsi</v>
          </cell>
        </row>
        <row r="1872">
          <cell r="B1872" t="b">
            <v>1</v>
          </cell>
          <cell r="E1872" t="str">
            <v>Cano de Oro</v>
          </cell>
          <cell r="H1872" t="str">
            <v>consulta_externa</v>
          </cell>
          <cell r="J1872" t="str">
            <v>bueno</v>
          </cell>
          <cell r="K1872" t="str">
            <v>defsi</v>
          </cell>
        </row>
        <row r="1873">
          <cell r="B1873" t="b">
            <v>1</v>
          </cell>
          <cell r="E1873" t="str">
            <v>Cano de Oro</v>
          </cell>
          <cell r="H1873" t="str">
            <v>salud_oral</v>
          </cell>
          <cell r="J1873" t="str">
            <v>bueno</v>
          </cell>
          <cell r="K1873" t="str">
            <v>defsi</v>
          </cell>
        </row>
        <row r="1874">
          <cell r="B1874" t="b">
            <v>1</v>
          </cell>
          <cell r="E1874" t="str">
            <v>Cano de Oro</v>
          </cell>
          <cell r="H1874" t="str">
            <v>laboratorio</v>
          </cell>
          <cell r="J1874" t="str">
            <v>bueno</v>
          </cell>
          <cell r="K1874" t="str">
            <v>defsi</v>
          </cell>
        </row>
        <row r="1875">
          <cell r="B1875" t="b">
            <v>1</v>
          </cell>
          <cell r="E1875" t="str">
            <v>Cano de Oro</v>
          </cell>
          <cell r="H1875" t="str">
            <v>consulta_externa</v>
          </cell>
          <cell r="J1875" t="str">
            <v>bueno</v>
          </cell>
          <cell r="K1875" t="str">
            <v>defsi</v>
          </cell>
        </row>
        <row r="1876">
          <cell r="B1876" t="b">
            <v>1</v>
          </cell>
          <cell r="E1876" t="str">
            <v>Cano de Oro</v>
          </cell>
          <cell r="H1876" t="str">
            <v>salud_oral</v>
          </cell>
          <cell r="J1876" t="str">
            <v>bueno</v>
          </cell>
          <cell r="K1876" t="str">
            <v>defsi</v>
          </cell>
        </row>
        <row r="1877">
          <cell r="B1877" t="b">
            <v>1</v>
          </cell>
          <cell r="E1877" t="str">
            <v>Cano de Oro</v>
          </cell>
          <cell r="H1877" t="str">
            <v>laboratorio</v>
          </cell>
          <cell r="J1877" t="str">
            <v>bueno</v>
          </cell>
          <cell r="K1877" t="str">
            <v>defsi</v>
          </cell>
        </row>
        <row r="1878">
          <cell r="B1878" t="b">
            <v>1</v>
          </cell>
          <cell r="E1878" t="str">
            <v>Bicentenario</v>
          </cell>
          <cell r="H1878" t="str">
            <v>rx</v>
          </cell>
          <cell r="J1878" t="str">
            <v>bueno</v>
          </cell>
          <cell r="K1878" t="str">
            <v>probsi</v>
          </cell>
        </row>
        <row r="1879">
          <cell r="B1879" t="b">
            <v>1</v>
          </cell>
          <cell r="E1879" t="str">
            <v>Bicentenario</v>
          </cell>
          <cell r="H1879" t="str">
            <v>salud_oral</v>
          </cell>
          <cell r="J1879" t="str">
            <v>bueno</v>
          </cell>
          <cell r="K1879" t="str">
            <v>probsi</v>
          </cell>
        </row>
        <row r="1880">
          <cell r="B1880" t="b">
            <v>1</v>
          </cell>
          <cell r="E1880" t="str">
            <v>Bicentenario</v>
          </cell>
          <cell r="H1880" t="str">
            <v>salud_oral</v>
          </cell>
          <cell r="J1880" t="str">
            <v>bueno</v>
          </cell>
          <cell r="K1880" t="str">
            <v>probsi</v>
          </cell>
        </row>
        <row r="1881">
          <cell r="B1881" t="b">
            <v>1</v>
          </cell>
          <cell r="E1881" t="str">
            <v>Bicentenario</v>
          </cell>
          <cell r="H1881" t="str">
            <v>laboratorio</v>
          </cell>
          <cell r="J1881" t="str">
            <v>bueno</v>
          </cell>
          <cell r="K1881" t="str">
            <v>probsi</v>
          </cell>
        </row>
        <row r="1882">
          <cell r="B1882" t="b">
            <v>1</v>
          </cell>
          <cell r="E1882" t="str">
            <v>Bicentenario</v>
          </cell>
          <cell r="H1882" t="str">
            <v>consulta_externa</v>
          </cell>
          <cell r="J1882" t="str">
            <v>bueno</v>
          </cell>
          <cell r="K1882" t="str">
            <v>probsi</v>
          </cell>
        </row>
        <row r="1883">
          <cell r="B1883" t="b">
            <v>1</v>
          </cell>
          <cell r="E1883" t="str">
            <v>Bicentenario</v>
          </cell>
          <cell r="H1883" t="str">
            <v>urgencia</v>
          </cell>
          <cell r="J1883" t="str">
            <v>bueno</v>
          </cell>
          <cell r="K1883" t="str">
            <v>probsi</v>
          </cell>
        </row>
        <row r="1884">
          <cell r="B1884" t="b">
            <v>1</v>
          </cell>
          <cell r="E1884" t="str">
            <v>Bicentenario</v>
          </cell>
          <cell r="H1884" t="str">
            <v>urgencia</v>
          </cell>
          <cell r="J1884" t="str">
            <v>bueno</v>
          </cell>
          <cell r="K1884" t="str">
            <v>probsi</v>
          </cell>
        </row>
        <row r="1885">
          <cell r="B1885" t="b">
            <v>1</v>
          </cell>
          <cell r="E1885" t="str">
            <v>Bicentenario</v>
          </cell>
          <cell r="H1885" t="str">
            <v>urgencia</v>
          </cell>
          <cell r="J1885" t="str">
            <v>bueno</v>
          </cell>
          <cell r="K1885" t="str">
            <v>probsi</v>
          </cell>
        </row>
        <row r="1886">
          <cell r="B1886" t="b">
            <v>1</v>
          </cell>
          <cell r="E1886" t="str">
            <v>Bicentenario</v>
          </cell>
          <cell r="H1886" t="str">
            <v>urgencia</v>
          </cell>
          <cell r="J1886" t="str">
            <v>bueno</v>
          </cell>
          <cell r="K1886" t="str">
            <v>probsi</v>
          </cell>
        </row>
        <row r="1887">
          <cell r="B1887" t="b">
            <v>1</v>
          </cell>
          <cell r="E1887" t="str">
            <v>Cano de Oro</v>
          </cell>
          <cell r="H1887" t="str">
            <v>consulta_externa</v>
          </cell>
          <cell r="J1887" t="str">
            <v>bueno</v>
          </cell>
          <cell r="K1887" t="str">
            <v>defsi</v>
          </cell>
        </row>
        <row r="1888">
          <cell r="B1888" t="b">
            <v>0</v>
          </cell>
          <cell r="E1888" t="str">
            <v>Bicentenario</v>
          </cell>
          <cell r="H1888" t="str">
            <v>urgencia</v>
          </cell>
          <cell r="J1888" t="str">
            <v>regular</v>
          </cell>
          <cell r="K1888" t="str">
            <v>probsi</v>
          </cell>
        </row>
        <row r="1889">
          <cell r="B1889" t="b">
            <v>0</v>
          </cell>
          <cell r="E1889" t="str">
            <v>Bicentenario</v>
          </cell>
          <cell r="H1889" t="str">
            <v>laboratorio</v>
          </cell>
          <cell r="J1889" t="str">
            <v>regular</v>
          </cell>
          <cell r="K1889" t="str">
            <v>probsi</v>
          </cell>
        </row>
        <row r="1890">
          <cell r="B1890" t="b">
            <v>1</v>
          </cell>
          <cell r="E1890" t="str">
            <v>Cano de Oro</v>
          </cell>
          <cell r="H1890" t="str">
            <v>salud_oral</v>
          </cell>
          <cell r="J1890" t="str">
            <v>bueno</v>
          </cell>
          <cell r="K1890" t="str">
            <v>defsi</v>
          </cell>
        </row>
        <row r="1891">
          <cell r="B1891" t="b">
            <v>0</v>
          </cell>
          <cell r="E1891" t="str">
            <v>Bicentenario</v>
          </cell>
          <cell r="H1891" t="str">
            <v>rx</v>
          </cell>
          <cell r="J1891" t="str">
            <v>regular</v>
          </cell>
          <cell r="K1891" t="str">
            <v>probsi</v>
          </cell>
        </row>
        <row r="1892">
          <cell r="B1892" t="b">
            <v>0</v>
          </cell>
          <cell r="E1892" t="str">
            <v>Bicentenario</v>
          </cell>
          <cell r="H1892" t="str">
            <v>rx</v>
          </cell>
          <cell r="J1892" t="str">
            <v>regular</v>
          </cell>
          <cell r="K1892" t="str">
            <v>probsi</v>
          </cell>
        </row>
        <row r="1893">
          <cell r="B1893" t="b">
            <v>0</v>
          </cell>
          <cell r="E1893" t="str">
            <v>Bicentenario</v>
          </cell>
          <cell r="H1893" t="str">
            <v>rx</v>
          </cell>
          <cell r="J1893" t="str">
            <v>regular</v>
          </cell>
          <cell r="K1893" t="str">
            <v>probsi</v>
          </cell>
        </row>
        <row r="1894">
          <cell r="B1894" t="b">
            <v>0</v>
          </cell>
          <cell r="E1894" t="str">
            <v>Bicentenario</v>
          </cell>
          <cell r="H1894" t="str">
            <v>rx</v>
          </cell>
          <cell r="J1894" t="str">
            <v>regular</v>
          </cell>
          <cell r="K1894" t="str">
            <v>probsi</v>
          </cell>
        </row>
        <row r="1895">
          <cell r="B1895" t="b">
            <v>0</v>
          </cell>
          <cell r="E1895" t="str">
            <v>Bicentenario</v>
          </cell>
          <cell r="H1895" t="str">
            <v>rx</v>
          </cell>
          <cell r="J1895" t="str">
            <v>regular</v>
          </cell>
          <cell r="K1895" t="str">
            <v>probsi</v>
          </cell>
        </row>
        <row r="1896">
          <cell r="B1896" t="b">
            <v>0</v>
          </cell>
          <cell r="E1896" t="str">
            <v>Bicentenario</v>
          </cell>
          <cell r="H1896" t="str">
            <v>rx</v>
          </cell>
          <cell r="J1896" t="str">
            <v>regular</v>
          </cell>
          <cell r="K1896" t="str">
            <v>probsi</v>
          </cell>
        </row>
        <row r="1897">
          <cell r="B1897" t="b">
            <v>1</v>
          </cell>
          <cell r="E1897" t="str">
            <v>Bicentenario</v>
          </cell>
          <cell r="H1897" t="str">
            <v>rx</v>
          </cell>
          <cell r="J1897" t="str">
            <v>bueno</v>
          </cell>
          <cell r="K1897" t="str">
            <v>probsi</v>
          </cell>
        </row>
        <row r="1898">
          <cell r="B1898" t="b">
            <v>1</v>
          </cell>
          <cell r="E1898" t="str">
            <v>Bicentenario</v>
          </cell>
          <cell r="H1898" t="str">
            <v>rx</v>
          </cell>
          <cell r="J1898" t="str">
            <v>bueno</v>
          </cell>
          <cell r="K1898" t="str">
            <v>probsi</v>
          </cell>
        </row>
        <row r="1899">
          <cell r="B1899" t="b">
            <v>0</v>
          </cell>
          <cell r="E1899" t="str">
            <v>Bicentenario</v>
          </cell>
          <cell r="H1899" t="str">
            <v>rx</v>
          </cell>
          <cell r="J1899" t="str">
            <v>regular</v>
          </cell>
          <cell r="K1899" t="str">
            <v>probsi</v>
          </cell>
        </row>
        <row r="1900">
          <cell r="B1900" t="b">
            <v>0</v>
          </cell>
          <cell r="E1900" t="str">
            <v>Bicentenario</v>
          </cell>
          <cell r="H1900" t="str">
            <v>rx</v>
          </cell>
          <cell r="J1900" t="str">
            <v>regular</v>
          </cell>
          <cell r="K1900" t="str">
            <v>probsi</v>
          </cell>
        </row>
        <row r="1901">
          <cell r="B1901" t="b">
            <v>0</v>
          </cell>
          <cell r="E1901" t="str">
            <v>Bicentenario</v>
          </cell>
          <cell r="H1901" t="str">
            <v>urgencia</v>
          </cell>
          <cell r="J1901" t="str">
            <v>regular</v>
          </cell>
          <cell r="K1901" t="str">
            <v>probsi</v>
          </cell>
        </row>
        <row r="1902">
          <cell r="B1902" t="b">
            <v>0</v>
          </cell>
          <cell r="E1902" t="str">
            <v>Bicentenario</v>
          </cell>
          <cell r="H1902" t="str">
            <v>urgencia</v>
          </cell>
          <cell r="J1902" t="str">
            <v>regular</v>
          </cell>
          <cell r="K1902" t="str">
            <v>probsi</v>
          </cell>
        </row>
        <row r="1903">
          <cell r="B1903" t="b">
            <v>1</v>
          </cell>
          <cell r="E1903" t="str">
            <v>Bicentenario</v>
          </cell>
          <cell r="H1903" t="str">
            <v>urgencia</v>
          </cell>
          <cell r="J1903" t="str">
            <v>bueno</v>
          </cell>
          <cell r="K1903" t="str">
            <v>probsi</v>
          </cell>
        </row>
        <row r="1904">
          <cell r="B1904" t="b">
            <v>1</v>
          </cell>
          <cell r="E1904" t="str">
            <v>Bicentenario</v>
          </cell>
          <cell r="H1904" t="str">
            <v>urgencia</v>
          </cell>
          <cell r="J1904" t="str">
            <v>bueno</v>
          </cell>
          <cell r="K1904" t="str">
            <v>probsi</v>
          </cell>
        </row>
        <row r="1905">
          <cell r="B1905" t="b">
            <v>1</v>
          </cell>
          <cell r="E1905" t="str">
            <v>Arroyo de las Canoas</v>
          </cell>
          <cell r="H1905" t="str">
            <v>consulta_externa</v>
          </cell>
          <cell r="J1905" t="str">
            <v>bueno</v>
          </cell>
          <cell r="K1905" t="str">
            <v>probsi</v>
          </cell>
        </row>
        <row r="1906">
          <cell r="B1906" t="b">
            <v>1</v>
          </cell>
          <cell r="E1906" t="str">
            <v>Arroyo de las Canoas</v>
          </cell>
          <cell r="H1906" t="str">
            <v>laboratorio</v>
          </cell>
          <cell r="J1906" t="str">
            <v>bueno</v>
          </cell>
          <cell r="K1906" t="str">
            <v>probsi</v>
          </cell>
        </row>
        <row r="1907">
          <cell r="B1907" t="b">
            <v>1</v>
          </cell>
          <cell r="E1907" t="str">
            <v>Arroyo de las Canoas</v>
          </cell>
          <cell r="H1907" t="str">
            <v>laboratorio</v>
          </cell>
          <cell r="J1907" t="str">
            <v>bueno</v>
          </cell>
          <cell r="K1907" t="str">
            <v>probsi</v>
          </cell>
        </row>
        <row r="1908">
          <cell r="B1908" t="b">
            <v>1</v>
          </cell>
          <cell r="E1908" t="str">
            <v>Arroyo de las Canoas</v>
          </cell>
          <cell r="H1908" t="str">
            <v>laboratorio</v>
          </cell>
          <cell r="J1908" t="str">
            <v>bueno</v>
          </cell>
          <cell r="K1908" t="str">
            <v>probsi</v>
          </cell>
        </row>
        <row r="1909">
          <cell r="B1909" t="b">
            <v>1</v>
          </cell>
          <cell r="E1909" t="str">
            <v>Cano de Oro</v>
          </cell>
          <cell r="H1909" t="str">
            <v>consulta_externa</v>
          </cell>
          <cell r="J1909" t="str">
            <v>bueno</v>
          </cell>
          <cell r="K1909" t="str">
            <v>defsi</v>
          </cell>
        </row>
        <row r="1910">
          <cell r="B1910" t="b">
            <v>1</v>
          </cell>
          <cell r="E1910" t="str">
            <v>Arroyo de las Canoas</v>
          </cell>
          <cell r="H1910" t="str">
            <v>consulta_externa</v>
          </cell>
          <cell r="J1910" t="str">
            <v>bueno</v>
          </cell>
          <cell r="K1910" t="str">
            <v>probsi</v>
          </cell>
        </row>
        <row r="1911">
          <cell r="B1911" t="b">
            <v>1</v>
          </cell>
          <cell r="E1911" t="str">
            <v>Arroyo de las Canoas</v>
          </cell>
          <cell r="H1911" t="str">
            <v>consulta_externa</v>
          </cell>
          <cell r="J1911" t="str">
            <v>bueno</v>
          </cell>
          <cell r="K1911" t="str">
            <v>probsi</v>
          </cell>
        </row>
        <row r="1912">
          <cell r="B1912" t="b">
            <v>1</v>
          </cell>
          <cell r="E1912" t="str">
            <v>Arroyo de las Canoas</v>
          </cell>
          <cell r="H1912" t="str">
            <v>consulta_externa</v>
          </cell>
          <cell r="J1912" t="str">
            <v>bueno</v>
          </cell>
          <cell r="K1912" t="str">
            <v>probsi</v>
          </cell>
        </row>
        <row r="1913">
          <cell r="B1913" t="b">
            <v>1</v>
          </cell>
          <cell r="E1913" t="str">
            <v>Arroyo de las Canoas</v>
          </cell>
          <cell r="H1913" t="str">
            <v>laboratorio</v>
          </cell>
          <cell r="J1913" t="str">
            <v>bueno</v>
          </cell>
          <cell r="K1913" t="str">
            <v>probsi</v>
          </cell>
        </row>
        <row r="1914">
          <cell r="B1914" t="b">
            <v>1</v>
          </cell>
          <cell r="E1914" t="str">
            <v>Arroyo de las Canoas</v>
          </cell>
          <cell r="H1914" t="str">
            <v>laboratorio</v>
          </cell>
          <cell r="J1914" t="str">
            <v>bueno</v>
          </cell>
          <cell r="K1914" t="str">
            <v>probsi</v>
          </cell>
        </row>
        <row r="1915">
          <cell r="B1915" t="b">
            <v>1</v>
          </cell>
          <cell r="E1915" t="str">
            <v>Arroyo de las Canoas</v>
          </cell>
          <cell r="H1915" t="str">
            <v>laboratorio</v>
          </cell>
          <cell r="J1915" t="str">
            <v>bueno</v>
          </cell>
          <cell r="K1915" t="str">
            <v>probsi</v>
          </cell>
        </row>
        <row r="1916">
          <cell r="B1916" t="b">
            <v>1</v>
          </cell>
          <cell r="E1916" t="str">
            <v>Cano de Oro</v>
          </cell>
          <cell r="H1916" t="str">
            <v>salud_oral</v>
          </cell>
          <cell r="J1916" t="str">
            <v>bueno</v>
          </cell>
          <cell r="K1916" t="str">
            <v>defsi</v>
          </cell>
        </row>
        <row r="1917">
          <cell r="B1917" t="b">
            <v>1</v>
          </cell>
          <cell r="E1917" t="str">
            <v>Arroyo de las Canoas</v>
          </cell>
          <cell r="H1917" t="str">
            <v>laboratorio</v>
          </cell>
          <cell r="J1917" t="str">
            <v>bueno</v>
          </cell>
          <cell r="K1917" t="str">
            <v>probsi</v>
          </cell>
        </row>
        <row r="1918">
          <cell r="B1918" t="b">
            <v>1</v>
          </cell>
          <cell r="E1918" t="str">
            <v>Arroyo de las Canoas</v>
          </cell>
          <cell r="H1918" t="str">
            <v>salud_oral</v>
          </cell>
          <cell r="J1918" t="str">
            <v>bueno</v>
          </cell>
          <cell r="K1918" t="str">
            <v>probsi</v>
          </cell>
        </row>
        <row r="1919">
          <cell r="B1919" t="b">
            <v>1</v>
          </cell>
          <cell r="E1919" t="str">
            <v>Arroyo de las Canoas</v>
          </cell>
          <cell r="H1919" t="str">
            <v>salud_oral</v>
          </cell>
          <cell r="J1919" t="str">
            <v>bueno</v>
          </cell>
          <cell r="K1919" t="str">
            <v>probsi</v>
          </cell>
        </row>
        <row r="1920">
          <cell r="B1920" t="b">
            <v>1</v>
          </cell>
          <cell r="E1920" t="str">
            <v>Arroyo de las Canoas</v>
          </cell>
          <cell r="H1920" t="str">
            <v>salud_oral</v>
          </cell>
          <cell r="J1920" t="str">
            <v>bueno</v>
          </cell>
          <cell r="K1920" t="str">
            <v>probsi</v>
          </cell>
        </row>
        <row r="1921">
          <cell r="B1921" t="b">
            <v>1</v>
          </cell>
          <cell r="E1921" t="str">
            <v>Arroyo de las Canoas</v>
          </cell>
          <cell r="H1921" t="str">
            <v>salud_oral</v>
          </cell>
          <cell r="J1921" t="str">
            <v>bueno</v>
          </cell>
          <cell r="K1921" t="str">
            <v>probsi</v>
          </cell>
        </row>
        <row r="1922">
          <cell r="B1922" t="b">
            <v>1</v>
          </cell>
          <cell r="E1922" t="str">
            <v>Cano de Oro</v>
          </cell>
          <cell r="H1922" t="str">
            <v>laboratorio</v>
          </cell>
          <cell r="J1922" t="str">
            <v>bueno</v>
          </cell>
          <cell r="K1922" t="str">
            <v>defsi</v>
          </cell>
        </row>
        <row r="1923">
          <cell r="B1923" t="b">
            <v>1</v>
          </cell>
          <cell r="E1923" t="str">
            <v>Arroyo de las Canoas</v>
          </cell>
          <cell r="H1923" t="str">
            <v>salud_oral</v>
          </cell>
          <cell r="J1923" t="str">
            <v>bueno</v>
          </cell>
          <cell r="K1923" t="str">
            <v>probsi</v>
          </cell>
        </row>
        <row r="1924">
          <cell r="B1924" t="b">
            <v>1</v>
          </cell>
          <cell r="E1924" t="str">
            <v>Arroyo de las Canoas</v>
          </cell>
          <cell r="H1924" t="str">
            <v>salud_oral</v>
          </cell>
          <cell r="J1924" t="str">
            <v>bueno</v>
          </cell>
          <cell r="K1924" t="str">
            <v>probsi</v>
          </cell>
        </row>
        <row r="1925">
          <cell r="B1925" t="b">
            <v>1</v>
          </cell>
          <cell r="E1925" t="str">
            <v>Arroyo de las Canoas</v>
          </cell>
          <cell r="H1925" t="str">
            <v>salud_oral</v>
          </cell>
          <cell r="J1925" t="str">
            <v>bueno</v>
          </cell>
          <cell r="K1925" t="str">
            <v>probsi</v>
          </cell>
        </row>
        <row r="1926">
          <cell r="B1926" t="b">
            <v>1</v>
          </cell>
          <cell r="E1926" t="str">
            <v>Arroyo de las Canoas</v>
          </cell>
          <cell r="H1926" t="str">
            <v>salud_oral</v>
          </cell>
          <cell r="J1926" t="str">
            <v>bueno</v>
          </cell>
          <cell r="K1926" t="str">
            <v>probsi</v>
          </cell>
        </row>
        <row r="1927">
          <cell r="B1927" t="b">
            <v>1</v>
          </cell>
          <cell r="E1927" t="str">
            <v>Arroyo de las Canoas</v>
          </cell>
          <cell r="H1927" t="str">
            <v>salud_oral</v>
          </cell>
          <cell r="J1927" t="str">
            <v>bueno</v>
          </cell>
          <cell r="K1927" t="str">
            <v>probsi</v>
          </cell>
        </row>
        <row r="1928">
          <cell r="B1928" t="b">
            <v>1</v>
          </cell>
          <cell r="E1928" t="str">
            <v>Arroyo de las Canoas</v>
          </cell>
          <cell r="H1928" t="str">
            <v>consulta_externa</v>
          </cell>
          <cell r="J1928" t="str">
            <v>bueno</v>
          </cell>
          <cell r="K1928" t="str">
            <v>probsi</v>
          </cell>
        </row>
        <row r="1929">
          <cell r="B1929" t="b">
            <v>1</v>
          </cell>
          <cell r="E1929" t="str">
            <v>Arroyo de las Canoas</v>
          </cell>
          <cell r="H1929" t="str">
            <v>consulta_externa</v>
          </cell>
          <cell r="J1929" t="str">
            <v>bueno</v>
          </cell>
          <cell r="K1929" t="str">
            <v>probsi</v>
          </cell>
        </row>
        <row r="1930">
          <cell r="B1930" t="b">
            <v>1</v>
          </cell>
          <cell r="E1930" t="str">
            <v>Arroyo de las Canoas</v>
          </cell>
          <cell r="H1930" t="str">
            <v>laboratorio</v>
          </cell>
          <cell r="J1930" t="str">
            <v>bueno</v>
          </cell>
          <cell r="K1930" t="str">
            <v>probsi</v>
          </cell>
        </row>
        <row r="1931">
          <cell r="B1931" t="b">
            <v>1</v>
          </cell>
          <cell r="E1931" t="str">
            <v>Arroyo de las Canoas</v>
          </cell>
          <cell r="H1931" t="str">
            <v>laboratorio</v>
          </cell>
          <cell r="J1931" t="str">
            <v>bueno</v>
          </cell>
          <cell r="K1931" t="str">
            <v>probsi</v>
          </cell>
        </row>
        <row r="1932">
          <cell r="B1932" t="b">
            <v>1</v>
          </cell>
          <cell r="E1932" t="str">
            <v>Arroyo de las Canoas</v>
          </cell>
          <cell r="H1932" t="str">
            <v>laboratorio</v>
          </cell>
          <cell r="J1932" t="str">
            <v>bueno</v>
          </cell>
          <cell r="K1932" t="str">
            <v>probsi</v>
          </cell>
        </row>
        <row r="1933">
          <cell r="B1933" t="b">
            <v>1</v>
          </cell>
          <cell r="E1933" t="str">
            <v>Arroyo de las Canoas</v>
          </cell>
          <cell r="H1933" t="str">
            <v>laboratorio</v>
          </cell>
          <cell r="J1933" t="str">
            <v>bueno</v>
          </cell>
          <cell r="K1933" t="str">
            <v>probsi</v>
          </cell>
        </row>
        <row r="1934">
          <cell r="B1934" t="b">
            <v>1</v>
          </cell>
          <cell r="E1934" t="str">
            <v>Tierra Baja</v>
          </cell>
          <cell r="H1934" t="str">
            <v>consulta_externa</v>
          </cell>
          <cell r="J1934" t="str">
            <v>bueno</v>
          </cell>
          <cell r="K1934" t="str">
            <v>defsi</v>
          </cell>
        </row>
        <row r="1935">
          <cell r="B1935" t="b">
            <v>1</v>
          </cell>
          <cell r="E1935" t="str">
            <v>Tierra Baja</v>
          </cell>
          <cell r="H1935" t="str">
            <v>laboratorio</v>
          </cell>
          <cell r="J1935" t="str">
            <v>bueno</v>
          </cell>
          <cell r="K1935" t="str">
            <v>defsi</v>
          </cell>
        </row>
        <row r="1936">
          <cell r="B1936" t="b">
            <v>1</v>
          </cell>
          <cell r="E1936" t="str">
            <v>Tierra Baja</v>
          </cell>
          <cell r="H1936" t="str">
            <v>salud_oral</v>
          </cell>
          <cell r="J1936" t="str">
            <v>bueno</v>
          </cell>
          <cell r="K1936" t="str">
            <v>defsi</v>
          </cell>
        </row>
        <row r="1937">
          <cell r="B1937" t="b">
            <v>1</v>
          </cell>
          <cell r="E1937" t="str">
            <v>Tierra Baja</v>
          </cell>
          <cell r="H1937" t="str">
            <v>salud_oral</v>
          </cell>
          <cell r="J1937" t="str">
            <v>muybueno</v>
          </cell>
          <cell r="K1937" t="str">
            <v>defsi</v>
          </cell>
        </row>
        <row r="1938">
          <cell r="B1938" t="b">
            <v>1</v>
          </cell>
          <cell r="E1938" t="str">
            <v>Tierra Baja</v>
          </cell>
          <cell r="H1938" t="str">
            <v>consulta_externa</v>
          </cell>
          <cell r="J1938" t="str">
            <v>muybueno</v>
          </cell>
          <cell r="K1938" t="str">
            <v>defsi</v>
          </cell>
        </row>
        <row r="1939">
          <cell r="B1939" t="b">
            <v>1</v>
          </cell>
          <cell r="E1939" t="str">
            <v>Tierra Baja</v>
          </cell>
          <cell r="H1939" t="str">
            <v>consulta_externa</v>
          </cell>
          <cell r="J1939" t="str">
            <v>bueno</v>
          </cell>
          <cell r="K1939" t="str">
            <v>defsi</v>
          </cell>
        </row>
        <row r="1940">
          <cell r="B1940" t="b">
            <v>1</v>
          </cell>
          <cell r="E1940" t="str">
            <v>Tierra Baja</v>
          </cell>
          <cell r="H1940" t="str">
            <v>laboratorio</v>
          </cell>
          <cell r="J1940" t="str">
            <v>bueno</v>
          </cell>
          <cell r="K1940" t="str">
            <v>defsi</v>
          </cell>
        </row>
        <row r="1941">
          <cell r="B1941" t="b">
            <v>1</v>
          </cell>
          <cell r="E1941" t="str">
            <v>Tierra Baja</v>
          </cell>
          <cell r="H1941" t="str">
            <v>laboratorio</v>
          </cell>
          <cell r="J1941" t="str">
            <v>bueno</v>
          </cell>
          <cell r="K1941" t="str">
            <v>defsi</v>
          </cell>
        </row>
        <row r="1942">
          <cell r="B1942" t="b">
            <v>1</v>
          </cell>
          <cell r="E1942" t="str">
            <v>Tierra Baja</v>
          </cell>
          <cell r="H1942" t="str">
            <v>consulta_externa</v>
          </cell>
          <cell r="J1942" t="str">
            <v>bueno</v>
          </cell>
          <cell r="K1942" t="str">
            <v>defsi</v>
          </cell>
        </row>
        <row r="1943">
          <cell r="B1943" t="b">
            <v>1</v>
          </cell>
          <cell r="E1943" t="str">
            <v>Tierra Baja</v>
          </cell>
          <cell r="H1943" t="str">
            <v>salud_oral</v>
          </cell>
          <cell r="J1943" t="str">
            <v>bueno</v>
          </cell>
          <cell r="K1943" t="str">
            <v>defsi</v>
          </cell>
        </row>
        <row r="1944">
          <cell r="B1944" t="b">
            <v>1</v>
          </cell>
          <cell r="E1944" t="str">
            <v>Tierra Baja</v>
          </cell>
          <cell r="H1944" t="str">
            <v>salud_oral</v>
          </cell>
          <cell r="J1944" t="str">
            <v>muybueno</v>
          </cell>
          <cell r="K1944" t="str">
            <v>defsi</v>
          </cell>
        </row>
        <row r="1945">
          <cell r="B1945" t="b">
            <v>1</v>
          </cell>
          <cell r="E1945" t="str">
            <v>Puerto Rey</v>
          </cell>
          <cell r="H1945" t="str">
            <v>consulta_externa</v>
          </cell>
          <cell r="J1945" t="str">
            <v>bueno</v>
          </cell>
          <cell r="K1945" t="str">
            <v>defsi</v>
          </cell>
        </row>
        <row r="1946">
          <cell r="B1946" t="b">
            <v>1</v>
          </cell>
          <cell r="E1946" t="str">
            <v>Puerto Rey</v>
          </cell>
          <cell r="H1946" t="str">
            <v>consulta_externa</v>
          </cell>
          <cell r="J1946" t="str">
            <v>bueno</v>
          </cell>
          <cell r="K1946" t="str">
            <v>defsi</v>
          </cell>
        </row>
        <row r="1947">
          <cell r="B1947" t="b">
            <v>0</v>
          </cell>
          <cell r="E1947" t="str">
            <v>Hospital Pozon</v>
          </cell>
          <cell r="H1947" t="str">
            <v>consulta_externa</v>
          </cell>
          <cell r="J1947" t="str">
            <v>regular</v>
          </cell>
          <cell r="K1947" t="str">
            <v>probsi</v>
          </cell>
        </row>
        <row r="1948">
          <cell r="B1948" t="b">
            <v>0</v>
          </cell>
          <cell r="E1948" t="str">
            <v>Hospital Pozon</v>
          </cell>
          <cell r="H1948" t="str">
            <v>laboratorio</v>
          </cell>
          <cell r="J1948" t="str">
            <v>regular</v>
          </cell>
          <cell r="K1948" t="str">
            <v>probsi</v>
          </cell>
        </row>
        <row r="1949">
          <cell r="B1949" t="b">
            <v>1</v>
          </cell>
          <cell r="E1949" t="str">
            <v>Hospital Pozon</v>
          </cell>
          <cell r="H1949" t="str">
            <v>consulta_externa</v>
          </cell>
          <cell r="J1949" t="str">
            <v>bueno</v>
          </cell>
          <cell r="K1949" t="str">
            <v>probsi</v>
          </cell>
        </row>
        <row r="1950">
          <cell r="B1950" t="b">
            <v>1</v>
          </cell>
          <cell r="E1950" t="str">
            <v>Hospital Pozon</v>
          </cell>
          <cell r="H1950" t="str">
            <v>laboratorio</v>
          </cell>
          <cell r="J1950" t="str">
            <v>bueno</v>
          </cell>
          <cell r="K1950" t="str">
            <v>probsi</v>
          </cell>
        </row>
        <row r="1951">
          <cell r="B1951" t="b">
            <v>1</v>
          </cell>
          <cell r="E1951" t="str">
            <v>Tierra Baja</v>
          </cell>
          <cell r="H1951" t="str">
            <v>consulta_externa</v>
          </cell>
          <cell r="J1951" t="str">
            <v>bueno</v>
          </cell>
          <cell r="K1951" t="str">
            <v>defsi</v>
          </cell>
        </row>
        <row r="1952">
          <cell r="B1952" t="b">
            <v>1</v>
          </cell>
          <cell r="E1952" t="str">
            <v>Hospital Pozon</v>
          </cell>
          <cell r="H1952" t="str">
            <v>consulta_externa</v>
          </cell>
          <cell r="J1952" t="str">
            <v>bueno</v>
          </cell>
          <cell r="K1952" t="str">
            <v>probsi</v>
          </cell>
        </row>
        <row r="1953">
          <cell r="B1953" t="b">
            <v>1</v>
          </cell>
          <cell r="E1953" t="str">
            <v>Tierra Baja</v>
          </cell>
          <cell r="H1953" t="str">
            <v>laboratorio</v>
          </cell>
          <cell r="J1953" t="str">
            <v>bueno</v>
          </cell>
          <cell r="K1953" t="str">
            <v>defsi</v>
          </cell>
        </row>
        <row r="1954">
          <cell r="B1954" t="b">
            <v>1</v>
          </cell>
          <cell r="E1954" t="str">
            <v>Hospital Pozon</v>
          </cell>
          <cell r="H1954" t="str">
            <v>consulta_externa</v>
          </cell>
          <cell r="J1954" t="str">
            <v>bueno</v>
          </cell>
          <cell r="K1954" t="str">
            <v>probsi</v>
          </cell>
        </row>
        <row r="1955">
          <cell r="B1955" t="b">
            <v>0</v>
          </cell>
          <cell r="E1955" t="str">
            <v>Hospital Pozon</v>
          </cell>
          <cell r="H1955" t="str">
            <v>laboratorio</v>
          </cell>
          <cell r="J1955" t="str">
            <v>regular</v>
          </cell>
          <cell r="K1955" t="str">
            <v>probsi</v>
          </cell>
        </row>
        <row r="1956">
          <cell r="B1956" t="b">
            <v>0</v>
          </cell>
          <cell r="E1956" t="str">
            <v>Hospital Pozon</v>
          </cell>
          <cell r="H1956" t="str">
            <v>laboratorio</v>
          </cell>
          <cell r="J1956" t="str">
            <v>regular</v>
          </cell>
          <cell r="K1956" t="str">
            <v>probsi</v>
          </cell>
        </row>
        <row r="1957">
          <cell r="B1957" t="b">
            <v>0</v>
          </cell>
          <cell r="E1957" t="str">
            <v>Hospital Pozon</v>
          </cell>
          <cell r="H1957" t="str">
            <v>laboratorio</v>
          </cell>
          <cell r="J1957" t="str">
            <v>regular</v>
          </cell>
          <cell r="K1957" t="str">
            <v>probsi</v>
          </cell>
        </row>
        <row r="1958">
          <cell r="B1958" t="b">
            <v>1</v>
          </cell>
          <cell r="E1958" t="str">
            <v>Hospital Pozon</v>
          </cell>
          <cell r="H1958" t="str">
            <v>salud_oral</v>
          </cell>
          <cell r="J1958" t="str">
            <v>bueno</v>
          </cell>
          <cell r="K1958" t="str">
            <v>probsi</v>
          </cell>
        </row>
        <row r="1959">
          <cell r="B1959" t="b">
            <v>1</v>
          </cell>
          <cell r="E1959" t="str">
            <v>Hospital Pozon</v>
          </cell>
          <cell r="H1959" t="str">
            <v>urgencia</v>
          </cell>
          <cell r="J1959" t="str">
            <v>bueno</v>
          </cell>
          <cell r="K1959" t="str">
            <v>probsi</v>
          </cell>
        </row>
        <row r="1960">
          <cell r="B1960" t="b">
            <v>0</v>
          </cell>
          <cell r="E1960" t="str">
            <v>Hospital Pozon</v>
          </cell>
          <cell r="H1960" t="str">
            <v>consulta_externa</v>
          </cell>
          <cell r="J1960" t="str">
            <v>regular</v>
          </cell>
          <cell r="K1960" t="str">
            <v>probsi</v>
          </cell>
        </row>
        <row r="1961">
          <cell r="B1961" t="b">
            <v>0</v>
          </cell>
          <cell r="E1961" t="str">
            <v>Hospital Pozon</v>
          </cell>
          <cell r="H1961" t="str">
            <v>salud_oral</v>
          </cell>
          <cell r="J1961" t="str">
            <v>regular</v>
          </cell>
          <cell r="K1961" t="str">
            <v>probsi</v>
          </cell>
        </row>
        <row r="1962">
          <cell r="B1962" t="b">
            <v>0</v>
          </cell>
          <cell r="E1962" t="str">
            <v>Hospital Pozon</v>
          </cell>
          <cell r="H1962" t="str">
            <v>laboratorio</v>
          </cell>
          <cell r="J1962" t="str">
            <v>regular</v>
          </cell>
          <cell r="K1962" t="str">
            <v>probsi</v>
          </cell>
        </row>
        <row r="1963">
          <cell r="B1963" t="b">
            <v>1</v>
          </cell>
          <cell r="E1963" t="str">
            <v>Hospital Pozon</v>
          </cell>
          <cell r="H1963" t="str">
            <v>laboratorio</v>
          </cell>
          <cell r="J1963" t="str">
            <v>bueno</v>
          </cell>
          <cell r="K1963" t="str">
            <v>probsi</v>
          </cell>
        </row>
        <row r="1964">
          <cell r="B1964" t="b">
            <v>1</v>
          </cell>
          <cell r="E1964" t="str">
            <v>Hospital Pozon</v>
          </cell>
          <cell r="H1964" t="str">
            <v>consulta_externa</v>
          </cell>
          <cell r="J1964" t="str">
            <v>bueno</v>
          </cell>
          <cell r="K1964" t="str">
            <v>probsi</v>
          </cell>
        </row>
        <row r="1965">
          <cell r="B1965" t="b">
            <v>1</v>
          </cell>
          <cell r="E1965" t="str">
            <v>Hospital Pozon</v>
          </cell>
          <cell r="H1965" t="str">
            <v>consulta_externa</v>
          </cell>
          <cell r="J1965" t="str">
            <v>bueno</v>
          </cell>
          <cell r="K1965" t="str">
            <v>probsi</v>
          </cell>
        </row>
        <row r="1966">
          <cell r="B1966" t="b">
            <v>1</v>
          </cell>
          <cell r="E1966" t="str">
            <v>Hospital Pozon</v>
          </cell>
          <cell r="H1966" t="str">
            <v>salud_oral</v>
          </cell>
          <cell r="J1966" t="str">
            <v>bueno</v>
          </cell>
          <cell r="K1966" t="str">
            <v>probsi</v>
          </cell>
        </row>
        <row r="1967">
          <cell r="B1967" t="b">
            <v>1</v>
          </cell>
          <cell r="E1967" t="str">
            <v>Hospital Pozon</v>
          </cell>
          <cell r="H1967" t="str">
            <v>laboratorio</v>
          </cell>
          <cell r="J1967" t="str">
            <v>bueno</v>
          </cell>
          <cell r="K1967" t="str">
            <v>probsi</v>
          </cell>
        </row>
        <row r="1968">
          <cell r="B1968" t="b">
            <v>1</v>
          </cell>
          <cell r="E1968" t="str">
            <v>Hospital Pozon</v>
          </cell>
          <cell r="H1968" t="str">
            <v>consulta_externa</v>
          </cell>
          <cell r="J1968" t="str">
            <v>bueno</v>
          </cell>
          <cell r="K1968" t="str">
            <v>probsi</v>
          </cell>
        </row>
        <row r="1969">
          <cell r="B1969" t="b">
            <v>1</v>
          </cell>
          <cell r="E1969" t="str">
            <v>Hospital Pozon</v>
          </cell>
          <cell r="H1969" t="str">
            <v>salud_oral</v>
          </cell>
          <cell r="J1969" t="str">
            <v>bueno</v>
          </cell>
          <cell r="K1969" t="str">
            <v>probsi</v>
          </cell>
        </row>
        <row r="1970">
          <cell r="B1970" t="b">
            <v>1</v>
          </cell>
          <cell r="E1970" t="str">
            <v>Hospital Pozon</v>
          </cell>
          <cell r="H1970" t="str">
            <v>salud_oral</v>
          </cell>
          <cell r="J1970" t="str">
            <v>bueno</v>
          </cell>
          <cell r="K1970" t="str">
            <v>probsi</v>
          </cell>
        </row>
        <row r="1971">
          <cell r="B1971" t="b">
            <v>1</v>
          </cell>
          <cell r="E1971" t="str">
            <v>Tierra Baja</v>
          </cell>
          <cell r="H1971" t="str">
            <v>consulta_externa</v>
          </cell>
          <cell r="J1971" t="str">
            <v>bueno</v>
          </cell>
          <cell r="K1971" t="str">
            <v>defsi</v>
          </cell>
        </row>
        <row r="1972">
          <cell r="B1972" t="b">
            <v>1</v>
          </cell>
          <cell r="E1972" t="str">
            <v>Hospital Pozon</v>
          </cell>
          <cell r="H1972" t="str">
            <v>consulta_externa</v>
          </cell>
          <cell r="J1972" t="str">
            <v>bueno</v>
          </cell>
          <cell r="K1972" t="str">
            <v>probsi</v>
          </cell>
        </row>
        <row r="1973">
          <cell r="B1973" t="b">
            <v>1</v>
          </cell>
          <cell r="E1973" t="str">
            <v>Hospital Pozon</v>
          </cell>
          <cell r="H1973" t="str">
            <v>ecografias</v>
          </cell>
          <cell r="J1973" t="str">
            <v>bueno</v>
          </cell>
          <cell r="K1973" t="str">
            <v>probsi</v>
          </cell>
        </row>
        <row r="1974">
          <cell r="B1974" t="b">
            <v>1</v>
          </cell>
          <cell r="E1974" t="str">
            <v>Hospital Pozon</v>
          </cell>
          <cell r="H1974" t="str">
            <v>ecografias</v>
          </cell>
          <cell r="J1974" t="str">
            <v>bueno</v>
          </cell>
          <cell r="K1974" t="str">
            <v>probsi</v>
          </cell>
        </row>
        <row r="1975">
          <cell r="B1975" t="b">
            <v>1</v>
          </cell>
          <cell r="E1975" t="str">
            <v>Hospital Pozon</v>
          </cell>
          <cell r="H1975" t="str">
            <v>ecografias</v>
          </cell>
          <cell r="J1975" t="str">
            <v>bueno</v>
          </cell>
          <cell r="K1975" t="str">
            <v>probsi</v>
          </cell>
        </row>
        <row r="1976">
          <cell r="B1976" t="b">
            <v>1</v>
          </cell>
          <cell r="E1976" t="str">
            <v>Tierra Baja</v>
          </cell>
          <cell r="H1976" t="str">
            <v>laboratorio</v>
          </cell>
          <cell r="J1976" t="str">
            <v>bueno</v>
          </cell>
          <cell r="K1976" t="str">
            <v>defsi</v>
          </cell>
        </row>
        <row r="1977">
          <cell r="B1977" t="b">
            <v>1</v>
          </cell>
          <cell r="E1977" t="str">
            <v>Tierra Baja</v>
          </cell>
          <cell r="H1977" t="str">
            <v>laboratorio</v>
          </cell>
          <cell r="J1977" t="str">
            <v>bueno</v>
          </cell>
          <cell r="K1977" t="str">
            <v>defsi</v>
          </cell>
        </row>
        <row r="1978">
          <cell r="B1978" t="b">
            <v>1</v>
          </cell>
          <cell r="E1978" t="str">
            <v>Hospital Pozon</v>
          </cell>
          <cell r="H1978" t="str">
            <v>consulta_externa</v>
          </cell>
          <cell r="J1978" t="str">
            <v>bueno</v>
          </cell>
          <cell r="K1978" t="str">
            <v>probsi</v>
          </cell>
        </row>
        <row r="1979">
          <cell r="B1979" t="b">
            <v>1</v>
          </cell>
          <cell r="E1979" t="str">
            <v>Hospital Pozon</v>
          </cell>
          <cell r="H1979" t="str">
            <v>salud_oral</v>
          </cell>
          <cell r="J1979" t="str">
            <v>bueno</v>
          </cell>
          <cell r="K1979" t="str">
            <v>probsi</v>
          </cell>
        </row>
        <row r="1980">
          <cell r="B1980" t="b">
            <v>0</v>
          </cell>
          <cell r="E1980" t="str">
            <v>Hospital Pozon</v>
          </cell>
          <cell r="H1980" t="str">
            <v>laboratorio</v>
          </cell>
          <cell r="J1980" t="str">
            <v>regular</v>
          </cell>
          <cell r="K1980" t="str">
            <v>probsi</v>
          </cell>
        </row>
        <row r="1981">
          <cell r="B1981" t="b">
            <v>1</v>
          </cell>
          <cell r="E1981" t="str">
            <v>Hospital Pozon</v>
          </cell>
          <cell r="H1981" t="str">
            <v>consulta_externa</v>
          </cell>
          <cell r="J1981" t="str">
            <v>bueno</v>
          </cell>
          <cell r="K1981" t="str">
            <v>probsi</v>
          </cell>
        </row>
        <row r="1982">
          <cell r="B1982" t="b">
            <v>1</v>
          </cell>
          <cell r="E1982" t="str">
            <v>Hospital Pozon</v>
          </cell>
          <cell r="H1982" t="str">
            <v>salud_oral</v>
          </cell>
          <cell r="J1982" t="str">
            <v>bueno</v>
          </cell>
          <cell r="K1982" t="str">
            <v>probsi</v>
          </cell>
        </row>
        <row r="1983">
          <cell r="B1983" t="b">
            <v>1</v>
          </cell>
          <cell r="E1983" t="str">
            <v>Hospital Pozon</v>
          </cell>
          <cell r="H1983" t="str">
            <v>laboratorio</v>
          </cell>
          <cell r="J1983" t="str">
            <v>bueno</v>
          </cell>
          <cell r="K1983" t="str">
            <v>probsi</v>
          </cell>
        </row>
        <row r="1984">
          <cell r="B1984" t="b">
            <v>1</v>
          </cell>
          <cell r="E1984" t="str">
            <v>Hospital Pozon</v>
          </cell>
          <cell r="H1984" t="str">
            <v>rx</v>
          </cell>
          <cell r="J1984" t="str">
            <v>bueno</v>
          </cell>
          <cell r="K1984" t="str">
            <v>probsi</v>
          </cell>
        </row>
        <row r="1985">
          <cell r="B1985" t="b">
            <v>1</v>
          </cell>
          <cell r="E1985" t="str">
            <v>Hospital Pozon</v>
          </cell>
          <cell r="H1985" t="str">
            <v>rx</v>
          </cell>
          <cell r="J1985" t="str">
            <v>bueno</v>
          </cell>
          <cell r="K1985" t="str">
            <v>probsi</v>
          </cell>
        </row>
        <row r="1986">
          <cell r="B1986" t="b">
            <v>0</v>
          </cell>
          <cell r="E1986" t="str">
            <v>Hospital Pozon</v>
          </cell>
          <cell r="H1986" t="str">
            <v>rx</v>
          </cell>
          <cell r="J1986" t="str">
            <v>regular</v>
          </cell>
          <cell r="K1986" t="str">
            <v>probsi</v>
          </cell>
        </row>
        <row r="1987">
          <cell r="B1987" t="b">
            <v>0</v>
          </cell>
          <cell r="E1987" t="str">
            <v>Hospital Pozon</v>
          </cell>
          <cell r="H1987" t="str">
            <v>rx</v>
          </cell>
          <cell r="J1987" t="str">
            <v>regular</v>
          </cell>
          <cell r="K1987" t="str">
            <v>probsi</v>
          </cell>
        </row>
        <row r="1988">
          <cell r="B1988" t="b">
            <v>1</v>
          </cell>
          <cell r="E1988" t="str">
            <v>Tierra Baja</v>
          </cell>
          <cell r="H1988" t="str">
            <v>consulta_externa</v>
          </cell>
          <cell r="J1988" t="str">
            <v>muybueno</v>
          </cell>
          <cell r="K1988" t="str">
            <v>defsi</v>
          </cell>
        </row>
        <row r="1989">
          <cell r="B1989" t="b">
            <v>1</v>
          </cell>
          <cell r="E1989" t="str">
            <v>Hospital Pozon</v>
          </cell>
          <cell r="H1989" t="str">
            <v>consulta_externa</v>
          </cell>
          <cell r="J1989" t="str">
            <v>bueno</v>
          </cell>
          <cell r="K1989" t="str">
            <v>probsi</v>
          </cell>
        </row>
        <row r="1990">
          <cell r="B1990" t="b">
            <v>1</v>
          </cell>
          <cell r="E1990" t="str">
            <v>Hospital Pozon</v>
          </cell>
          <cell r="H1990" t="str">
            <v>laboratorio</v>
          </cell>
          <cell r="J1990" t="str">
            <v>bueno</v>
          </cell>
          <cell r="K1990" t="str">
            <v>probsi</v>
          </cell>
        </row>
        <row r="1991">
          <cell r="B1991" t="b">
            <v>1</v>
          </cell>
          <cell r="E1991" t="str">
            <v>Hospital Pozon</v>
          </cell>
          <cell r="H1991" t="str">
            <v>ecografias</v>
          </cell>
          <cell r="J1991" t="str">
            <v>bueno</v>
          </cell>
          <cell r="K1991" t="str">
            <v>probsi</v>
          </cell>
        </row>
        <row r="1992">
          <cell r="B1992" t="b">
            <v>1</v>
          </cell>
          <cell r="E1992" t="str">
            <v>Hospital Pozon</v>
          </cell>
          <cell r="H1992" t="str">
            <v>consulta_externa</v>
          </cell>
          <cell r="J1992" t="str">
            <v>bueno</v>
          </cell>
          <cell r="K1992" t="str">
            <v>probsi</v>
          </cell>
        </row>
        <row r="1993">
          <cell r="B1993" t="b">
            <v>1</v>
          </cell>
          <cell r="E1993" t="str">
            <v>Hospital Pozon</v>
          </cell>
          <cell r="H1993" t="str">
            <v>salud_oral</v>
          </cell>
          <cell r="J1993" t="str">
            <v>bueno</v>
          </cell>
          <cell r="K1993" t="str">
            <v>probsi</v>
          </cell>
        </row>
        <row r="1994">
          <cell r="B1994" t="b">
            <v>0</v>
          </cell>
          <cell r="E1994" t="str">
            <v>Hospital Pozon</v>
          </cell>
          <cell r="H1994" t="str">
            <v>urgencia</v>
          </cell>
          <cell r="J1994" t="str">
            <v>malo</v>
          </cell>
          <cell r="K1994" t="str">
            <v>probno</v>
          </cell>
        </row>
        <row r="1995">
          <cell r="B1995" t="b">
            <v>1</v>
          </cell>
          <cell r="E1995" t="str">
            <v>Tierra Baja</v>
          </cell>
          <cell r="H1995" t="str">
            <v>salud_oral</v>
          </cell>
          <cell r="J1995" t="str">
            <v>bueno</v>
          </cell>
          <cell r="K1995" t="str">
            <v>defsi</v>
          </cell>
        </row>
        <row r="1996">
          <cell r="B1996" t="b">
            <v>1</v>
          </cell>
          <cell r="E1996" t="str">
            <v>Tierra Baja</v>
          </cell>
          <cell r="H1996" t="str">
            <v>salud_oral</v>
          </cell>
          <cell r="J1996" t="str">
            <v>bueno</v>
          </cell>
          <cell r="K1996" t="str">
            <v>defsi</v>
          </cell>
        </row>
        <row r="1997">
          <cell r="B1997" t="b">
            <v>1</v>
          </cell>
          <cell r="E1997" t="str">
            <v>Tierra Baja</v>
          </cell>
          <cell r="H1997" t="str">
            <v>consulta_externa</v>
          </cell>
          <cell r="J1997" t="str">
            <v>bueno</v>
          </cell>
          <cell r="K1997" t="str">
            <v>defsi</v>
          </cell>
        </row>
        <row r="1998">
          <cell r="B1998" t="b">
            <v>0</v>
          </cell>
          <cell r="E1998" t="str">
            <v>Hospital Pozon</v>
          </cell>
          <cell r="H1998" t="str">
            <v>urgencia</v>
          </cell>
          <cell r="J1998" t="str">
            <v>regular</v>
          </cell>
          <cell r="K1998" t="str">
            <v>probsi</v>
          </cell>
        </row>
        <row r="1999">
          <cell r="B1999" t="b">
            <v>0</v>
          </cell>
          <cell r="E1999" t="str">
            <v>Hospital Pozon</v>
          </cell>
          <cell r="H1999" t="str">
            <v>urgencia</v>
          </cell>
          <cell r="J1999" t="str">
            <v>regular</v>
          </cell>
          <cell r="K1999" t="str">
            <v>probsi</v>
          </cell>
        </row>
        <row r="2000">
          <cell r="B2000" t="b">
            <v>1</v>
          </cell>
          <cell r="E2000" t="str">
            <v>Tierra Baja</v>
          </cell>
          <cell r="H2000" t="str">
            <v>consulta_externa</v>
          </cell>
          <cell r="J2000" t="str">
            <v>bueno</v>
          </cell>
          <cell r="K2000" t="str">
            <v>defsi</v>
          </cell>
        </row>
        <row r="2001">
          <cell r="B2001" t="b">
            <v>1</v>
          </cell>
          <cell r="E2001" t="str">
            <v>Tierra Baja</v>
          </cell>
          <cell r="H2001" t="str">
            <v>salud_oral</v>
          </cell>
          <cell r="J2001" t="str">
            <v>bueno</v>
          </cell>
          <cell r="K2001" t="str">
            <v>defsi</v>
          </cell>
        </row>
        <row r="2002">
          <cell r="B2002" t="b">
            <v>1</v>
          </cell>
          <cell r="E2002" t="str">
            <v>Tierra Baja</v>
          </cell>
          <cell r="H2002" t="str">
            <v>laboratorio</v>
          </cell>
          <cell r="J2002" t="str">
            <v>bueno</v>
          </cell>
          <cell r="K2002" t="str">
            <v>defsi</v>
          </cell>
        </row>
        <row r="2003">
          <cell r="B2003" t="b">
            <v>1</v>
          </cell>
          <cell r="E2003" t="str">
            <v>Tierra Baja</v>
          </cell>
          <cell r="H2003" t="str">
            <v>consulta_externa</v>
          </cell>
          <cell r="J2003" t="str">
            <v>bueno</v>
          </cell>
          <cell r="K2003" t="str">
            <v>defsi</v>
          </cell>
        </row>
        <row r="2004">
          <cell r="B2004" t="b">
            <v>1</v>
          </cell>
          <cell r="E2004" t="str">
            <v>Cano de Oro</v>
          </cell>
          <cell r="H2004" t="str">
            <v>consulta_externa</v>
          </cell>
          <cell r="J2004" t="str">
            <v>bueno</v>
          </cell>
          <cell r="K2004" t="str">
            <v>defsi</v>
          </cell>
        </row>
        <row r="2005">
          <cell r="B2005" t="b">
            <v>1</v>
          </cell>
          <cell r="E2005" t="str">
            <v>Cano de Oro</v>
          </cell>
          <cell r="H2005" t="str">
            <v>salud_oral</v>
          </cell>
          <cell r="J2005" t="str">
            <v>bueno</v>
          </cell>
          <cell r="K2005" t="str">
            <v>defsi</v>
          </cell>
        </row>
        <row r="2006">
          <cell r="B2006" t="b">
            <v>1</v>
          </cell>
          <cell r="E2006" t="str">
            <v>Cano de Oro</v>
          </cell>
          <cell r="H2006" t="str">
            <v>laboratorio</v>
          </cell>
          <cell r="J2006" t="str">
            <v>bueno</v>
          </cell>
          <cell r="K2006" t="str">
            <v>defsi</v>
          </cell>
        </row>
        <row r="2007">
          <cell r="B2007" t="b">
            <v>1</v>
          </cell>
          <cell r="E2007" t="str">
            <v>Cano de Oro</v>
          </cell>
          <cell r="H2007" t="str">
            <v>consulta_externa</v>
          </cell>
          <cell r="J2007" t="str">
            <v>bueno</v>
          </cell>
          <cell r="K2007" t="str">
            <v>defsi</v>
          </cell>
        </row>
        <row r="2008">
          <cell r="B2008" t="b">
            <v>1</v>
          </cell>
          <cell r="E2008" t="str">
            <v>Cano de Oro</v>
          </cell>
          <cell r="H2008" t="str">
            <v>laboratorio</v>
          </cell>
          <cell r="J2008" t="str">
            <v>bueno</v>
          </cell>
          <cell r="K2008" t="str">
            <v>defsi</v>
          </cell>
        </row>
        <row r="2009">
          <cell r="B2009" t="b">
            <v>1</v>
          </cell>
          <cell r="E2009" t="str">
            <v>Cano de Oro</v>
          </cell>
          <cell r="H2009" t="str">
            <v>consulta_externa</v>
          </cell>
          <cell r="J2009" t="str">
            <v>bueno</v>
          </cell>
          <cell r="K2009" t="str">
            <v>defsi</v>
          </cell>
        </row>
        <row r="2010">
          <cell r="B2010" t="b">
            <v>1</v>
          </cell>
          <cell r="E2010" t="str">
            <v>Cano de Oro</v>
          </cell>
          <cell r="H2010" t="str">
            <v>salud_oral</v>
          </cell>
          <cell r="J2010" t="str">
            <v>bueno</v>
          </cell>
          <cell r="K2010" t="str">
            <v>defsi</v>
          </cell>
        </row>
        <row r="2011">
          <cell r="B2011" t="b">
            <v>1</v>
          </cell>
          <cell r="E2011" t="str">
            <v>Cano de Oro</v>
          </cell>
          <cell r="H2011" t="str">
            <v>laboratorio</v>
          </cell>
          <cell r="J2011" t="str">
            <v>bueno</v>
          </cell>
          <cell r="K2011" t="str">
            <v>defsi</v>
          </cell>
        </row>
        <row r="2012">
          <cell r="B2012" t="b">
            <v>1</v>
          </cell>
          <cell r="E2012" t="str">
            <v>Cano de Oro</v>
          </cell>
          <cell r="H2012" t="str">
            <v>consulta_externa</v>
          </cell>
          <cell r="J2012" t="str">
            <v>bueno</v>
          </cell>
          <cell r="K2012" t="str">
            <v>defsi</v>
          </cell>
        </row>
        <row r="2013">
          <cell r="B2013" t="b">
            <v>1</v>
          </cell>
          <cell r="E2013" t="str">
            <v>Cano de Oro</v>
          </cell>
          <cell r="H2013" t="str">
            <v>salud_oral</v>
          </cell>
          <cell r="J2013" t="str">
            <v>bueno</v>
          </cell>
          <cell r="K2013" t="str">
            <v>defsi</v>
          </cell>
        </row>
        <row r="2014">
          <cell r="B2014" t="b">
            <v>1</v>
          </cell>
          <cell r="E2014" t="str">
            <v>Tierra Baja</v>
          </cell>
          <cell r="H2014" t="str">
            <v>consulta_externa</v>
          </cell>
          <cell r="J2014" t="str">
            <v>bueno</v>
          </cell>
          <cell r="K2014" t="str">
            <v>defsi</v>
          </cell>
        </row>
        <row r="2015">
          <cell r="B2015" t="b">
            <v>1</v>
          </cell>
          <cell r="E2015" t="str">
            <v>Cano de Oro</v>
          </cell>
          <cell r="H2015" t="str">
            <v>laboratorio</v>
          </cell>
          <cell r="J2015" t="str">
            <v>bueno</v>
          </cell>
          <cell r="K2015" t="str">
            <v>defsi</v>
          </cell>
        </row>
        <row r="2016">
          <cell r="B2016" t="b">
            <v>1</v>
          </cell>
          <cell r="E2016" t="str">
            <v>Tierra Baja</v>
          </cell>
          <cell r="H2016" t="str">
            <v>consulta_externa</v>
          </cell>
          <cell r="J2016" t="str">
            <v>bueno</v>
          </cell>
          <cell r="K2016" t="str">
            <v>defsi</v>
          </cell>
        </row>
        <row r="2017">
          <cell r="B2017" t="b">
            <v>1</v>
          </cell>
          <cell r="E2017" t="str">
            <v>Cano de Oro</v>
          </cell>
          <cell r="H2017" t="str">
            <v>consulta_externa</v>
          </cell>
          <cell r="J2017" t="str">
            <v>bueno</v>
          </cell>
          <cell r="K2017" t="str">
            <v>defsi</v>
          </cell>
        </row>
        <row r="2018">
          <cell r="B2018" t="b">
            <v>1</v>
          </cell>
          <cell r="E2018" t="str">
            <v>Cano de Oro</v>
          </cell>
          <cell r="H2018" t="str">
            <v>salud_oral</v>
          </cell>
          <cell r="J2018" t="str">
            <v>bueno</v>
          </cell>
          <cell r="K2018" t="str">
            <v>defsi</v>
          </cell>
        </row>
        <row r="2019">
          <cell r="B2019" t="b">
            <v>1</v>
          </cell>
          <cell r="E2019" t="str">
            <v>Tierra Baja</v>
          </cell>
          <cell r="H2019" t="str">
            <v>salud_oral</v>
          </cell>
          <cell r="J2019" t="str">
            <v>bueno</v>
          </cell>
          <cell r="K2019" t="str">
            <v>defsi</v>
          </cell>
        </row>
        <row r="2020">
          <cell r="B2020" t="b">
            <v>0</v>
          </cell>
          <cell r="E2020" t="str">
            <v>Hospital Pozon</v>
          </cell>
          <cell r="H2020" t="str">
            <v>urgencia</v>
          </cell>
          <cell r="J2020" t="str">
            <v>regular</v>
          </cell>
          <cell r="K2020" t="str">
            <v>probsi</v>
          </cell>
        </row>
        <row r="2021">
          <cell r="B2021" t="b">
            <v>0</v>
          </cell>
          <cell r="E2021" t="str">
            <v>Hospital Pozon</v>
          </cell>
          <cell r="H2021" t="str">
            <v>urgencia</v>
          </cell>
          <cell r="J2021" t="str">
            <v>regular</v>
          </cell>
          <cell r="K2021" t="str">
            <v>probsi</v>
          </cell>
        </row>
        <row r="2022">
          <cell r="B2022" t="b">
            <v>1</v>
          </cell>
          <cell r="E2022" t="str">
            <v>Hospital Pozon</v>
          </cell>
          <cell r="H2022" t="str">
            <v>urgencia</v>
          </cell>
          <cell r="J2022" t="str">
            <v>bueno</v>
          </cell>
          <cell r="K2022" t="str">
            <v>probsi</v>
          </cell>
        </row>
        <row r="2023">
          <cell r="B2023" t="b">
            <v>0</v>
          </cell>
          <cell r="E2023" t="str">
            <v>Hospital Pozon</v>
          </cell>
          <cell r="H2023" t="str">
            <v>laboratorio</v>
          </cell>
          <cell r="J2023" t="str">
            <v>regular</v>
          </cell>
          <cell r="K2023" t="str">
            <v>probsi</v>
          </cell>
        </row>
        <row r="2024">
          <cell r="B2024" t="b">
            <v>0</v>
          </cell>
          <cell r="E2024" t="str">
            <v>Hospital Pozon</v>
          </cell>
          <cell r="H2024" t="str">
            <v>laboratorio</v>
          </cell>
          <cell r="J2024" t="str">
            <v>regular</v>
          </cell>
          <cell r="K2024" t="str">
            <v>probsi</v>
          </cell>
        </row>
        <row r="2025">
          <cell r="B2025" t="b">
            <v>0</v>
          </cell>
          <cell r="E2025" t="str">
            <v>Hospital Pozon</v>
          </cell>
          <cell r="H2025" t="str">
            <v>rx</v>
          </cell>
          <cell r="J2025" t="str">
            <v>regular</v>
          </cell>
          <cell r="K2025" t="str">
            <v>probsi</v>
          </cell>
        </row>
        <row r="2026">
          <cell r="B2026" t="b">
            <v>0</v>
          </cell>
          <cell r="E2026" t="str">
            <v>Hospital Pozon</v>
          </cell>
          <cell r="H2026" t="str">
            <v>rx</v>
          </cell>
          <cell r="J2026" t="str">
            <v>regular</v>
          </cell>
          <cell r="K2026" t="str">
            <v>probsi</v>
          </cell>
        </row>
        <row r="2027">
          <cell r="B2027" t="b">
            <v>0</v>
          </cell>
          <cell r="E2027" t="str">
            <v>Hospital Pozon</v>
          </cell>
          <cell r="H2027" t="str">
            <v>rx</v>
          </cell>
          <cell r="J2027" t="str">
            <v>regular</v>
          </cell>
          <cell r="K2027" t="str">
            <v>probsi</v>
          </cell>
        </row>
        <row r="2028">
          <cell r="B2028" t="b">
            <v>1</v>
          </cell>
          <cell r="E2028" t="str">
            <v>Hospital Pozon</v>
          </cell>
          <cell r="H2028" t="str">
            <v>rx</v>
          </cell>
          <cell r="J2028" t="str">
            <v>bueno</v>
          </cell>
          <cell r="K2028" t="str">
            <v>probsi</v>
          </cell>
        </row>
        <row r="2029">
          <cell r="B2029" t="b">
            <v>1</v>
          </cell>
          <cell r="E2029" t="str">
            <v>Hospital Pozon</v>
          </cell>
          <cell r="H2029" t="str">
            <v>rx</v>
          </cell>
          <cell r="J2029" t="str">
            <v>bueno</v>
          </cell>
          <cell r="K2029" t="str">
            <v>probsi</v>
          </cell>
        </row>
        <row r="2030">
          <cell r="B2030" t="b">
            <v>1</v>
          </cell>
          <cell r="E2030" t="str">
            <v>Hospital Pozon</v>
          </cell>
          <cell r="H2030" t="str">
            <v>salud_oral</v>
          </cell>
          <cell r="J2030" t="str">
            <v>bueno</v>
          </cell>
          <cell r="K2030" t="str">
            <v>probsi</v>
          </cell>
        </row>
        <row r="2031">
          <cell r="B2031" t="b">
            <v>1</v>
          </cell>
          <cell r="E2031" t="str">
            <v>Hospital Pozon</v>
          </cell>
          <cell r="H2031" t="str">
            <v>salud_oral</v>
          </cell>
          <cell r="J2031" t="str">
            <v>bueno</v>
          </cell>
          <cell r="K2031" t="str">
            <v>probsi</v>
          </cell>
        </row>
        <row r="2032">
          <cell r="B2032" t="b">
            <v>1</v>
          </cell>
          <cell r="E2032" t="str">
            <v>Hospital Pozon</v>
          </cell>
          <cell r="H2032" t="str">
            <v>salud_oral</v>
          </cell>
          <cell r="J2032" t="str">
            <v>bueno</v>
          </cell>
          <cell r="K2032" t="str">
            <v>probsi</v>
          </cell>
        </row>
        <row r="2033">
          <cell r="B2033" t="b">
            <v>1</v>
          </cell>
          <cell r="E2033" t="str">
            <v>Hospital Pozon</v>
          </cell>
          <cell r="H2033" t="str">
            <v>salud_oral</v>
          </cell>
          <cell r="J2033" t="str">
            <v>bueno</v>
          </cell>
          <cell r="K2033" t="str">
            <v>probsi</v>
          </cell>
        </row>
        <row r="2034">
          <cell r="B2034" t="b">
            <v>1</v>
          </cell>
          <cell r="E2034" t="str">
            <v>Hospital Pozon</v>
          </cell>
          <cell r="H2034" t="str">
            <v>urgencia</v>
          </cell>
          <cell r="J2034" t="str">
            <v>bueno</v>
          </cell>
          <cell r="K2034" t="str">
            <v>probsi</v>
          </cell>
        </row>
        <row r="2035">
          <cell r="B2035" t="b">
            <v>0</v>
          </cell>
          <cell r="E2035" t="str">
            <v>Hospital Pozon</v>
          </cell>
          <cell r="H2035" t="str">
            <v>urgencia</v>
          </cell>
          <cell r="J2035" t="str">
            <v>malo</v>
          </cell>
          <cell r="K2035" t="str">
            <v>probno</v>
          </cell>
        </row>
        <row r="2036">
          <cell r="B2036" t="b">
            <v>0</v>
          </cell>
          <cell r="E2036" t="str">
            <v>Hospital Pozon</v>
          </cell>
          <cell r="H2036" t="str">
            <v>urgencia</v>
          </cell>
          <cell r="J2036" t="str">
            <v>regular</v>
          </cell>
          <cell r="K2036" t="str">
            <v>probsi</v>
          </cell>
        </row>
        <row r="2037">
          <cell r="B2037" t="b">
            <v>0</v>
          </cell>
          <cell r="E2037" t="str">
            <v>Hospital Pozon</v>
          </cell>
          <cell r="H2037" t="str">
            <v>urgencia</v>
          </cell>
          <cell r="J2037" t="str">
            <v>regular</v>
          </cell>
          <cell r="K2037" t="str">
            <v>probsi</v>
          </cell>
        </row>
        <row r="2038">
          <cell r="B2038" t="b">
            <v>1</v>
          </cell>
          <cell r="E2038" t="str">
            <v>Hospital Pozon</v>
          </cell>
          <cell r="H2038" t="str">
            <v>pediatria</v>
          </cell>
          <cell r="J2038" t="str">
            <v>bueno</v>
          </cell>
          <cell r="K2038" t="str">
            <v>probsi</v>
          </cell>
        </row>
        <row r="2039">
          <cell r="B2039" t="b">
            <v>1</v>
          </cell>
          <cell r="E2039" t="str">
            <v>Hospital Pozon</v>
          </cell>
          <cell r="H2039" t="str">
            <v>pediatria</v>
          </cell>
          <cell r="J2039" t="str">
            <v>bueno</v>
          </cell>
          <cell r="K2039" t="str">
            <v>probsi</v>
          </cell>
        </row>
        <row r="2040">
          <cell r="B2040" t="b">
            <v>1</v>
          </cell>
          <cell r="E2040" t="str">
            <v>Hospital Pozon</v>
          </cell>
          <cell r="H2040" t="str">
            <v>pediatria</v>
          </cell>
          <cell r="J2040" t="str">
            <v>bueno</v>
          </cell>
          <cell r="K2040" t="str">
            <v>probsi</v>
          </cell>
        </row>
        <row r="2041">
          <cell r="B2041" t="b">
            <v>1</v>
          </cell>
          <cell r="E2041" t="str">
            <v>Hospital Pozon</v>
          </cell>
          <cell r="H2041" t="str">
            <v>pediatria</v>
          </cell>
          <cell r="J2041" t="str">
            <v>bueno</v>
          </cell>
          <cell r="K2041" t="str">
            <v>probsi</v>
          </cell>
        </row>
        <row r="2042">
          <cell r="B2042" t="b">
            <v>1</v>
          </cell>
          <cell r="E2042" t="str">
            <v>Hospital Pozon</v>
          </cell>
          <cell r="H2042" t="str">
            <v>pediatria</v>
          </cell>
          <cell r="J2042" t="str">
            <v>bueno</v>
          </cell>
          <cell r="K2042" t="str">
            <v>probsi</v>
          </cell>
        </row>
        <row r="2043">
          <cell r="B2043" t="b">
            <v>1</v>
          </cell>
          <cell r="E2043" t="str">
            <v>Hospital Pozon</v>
          </cell>
          <cell r="H2043" t="str">
            <v>pediatria</v>
          </cell>
          <cell r="J2043" t="str">
            <v>bueno</v>
          </cell>
          <cell r="K2043" t="str">
            <v>probsi</v>
          </cell>
        </row>
        <row r="2044">
          <cell r="B2044" t="b">
            <v>1</v>
          </cell>
          <cell r="E2044" t="str">
            <v>Hospital Pozon</v>
          </cell>
          <cell r="H2044" t="str">
            <v>pediatria</v>
          </cell>
          <cell r="J2044" t="str">
            <v>bueno</v>
          </cell>
          <cell r="K2044" t="str">
            <v>probsi</v>
          </cell>
        </row>
        <row r="2045">
          <cell r="B2045" t="b">
            <v>1</v>
          </cell>
          <cell r="E2045" t="str">
            <v>Arroyo Grande</v>
          </cell>
          <cell r="H2045" t="str">
            <v>consulta_externa</v>
          </cell>
          <cell r="J2045" t="str">
            <v>bueno</v>
          </cell>
          <cell r="K2045" t="str">
            <v>probsi</v>
          </cell>
        </row>
        <row r="2046">
          <cell r="B2046" t="b">
            <v>1</v>
          </cell>
          <cell r="E2046" t="str">
            <v>Arroyo Grande</v>
          </cell>
          <cell r="H2046" t="str">
            <v>consulta_externa</v>
          </cell>
          <cell r="J2046" t="str">
            <v>bueno</v>
          </cell>
          <cell r="K2046" t="str">
            <v>probsi</v>
          </cell>
        </row>
        <row r="2047">
          <cell r="B2047" t="b">
            <v>1</v>
          </cell>
          <cell r="E2047" t="str">
            <v>Arroyo Grande</v>
          </cell>
          <cell r="H2047" t="str">
            <v>consulta_externa</v>
          </cell>
          <cell r="J2047" t="str">
            <v>bueno</v>
          </cell>
          <cell r="K2047" t="str">
            <v>probsi</v>
          </cell>
        </row>
        <row r="2048">
          <cell r="B2048" t="b">
            <v>1</v>
          </cell>
          <cell r="E2048" t="str">
            <v>Arroyo Grande</v>
          </cell>
          <cell r="H2048" t="str">
            <v>laboratorio</v>
          </cell>
          <cell r="J2048" t="str">
            <v>bueno</v>
          </cell>
          <cell r="K2048" t="str">
            <v>probsi</v>
          </cell>
        </row>
        <row r="2049">
          <cell r="B2049" t="b">
            <v>1</v>
          </cell>
          <cell r="E2049" t="str">
            <v>Arroyo Grande</v>
          </cell>
          <cell r="H2049" t="str">
            <v>consulta_externa</v>
          </cell>
          <cell r="J2049" t="str">
            <v>bueno</v>
          </cell>
          <cell r="K2049" t="str">
            <v>probsi</v>
          </cell>
        </row>
        <row r="2050">
          <cell r="B2050" t="b">
            <v>1</v>
          </cell>
          <cell r="E2050" t="str">
            <v>Arroyo Grande</v>
          </cell>
          <cell r="H2050" t="str">
            <v>consulta_externa</v>
          </cell>
          <cell r="J2050" t="str">
            <v>bueno</v>
          </cell>
          <cell r="K2050" t="str">
            <v>probsi</v>
          </cell>
        </row>
        <row r="2051">
          <cell r="B2051" t="b">
            <v>1</v>
          </cell>
          <cell r="E2051" t="str">
            <v>Arroyo Grande</v>
          </cell>
          <cell r="H2051" t="str">
            <v>consulta_externa</v>
          </cell>
          <cell r="J2051" t="str">
            <v>bueno</v>
          </cell>
          <cell r="K2051" t="str">
            <v>probsi</v>
          </cell>
        </row>
        <row r="2052">
          <cell r="B2052" t="b">
            <v>1</v>
          </cell>
          <cell r="E2052" t="str">
            <v>Arroyo Grande</v>
          </cell>
          <cell r="H2052" t="str">
            <v>consulta_externa</v>
          </cell>
          <cell r="J2052" t="str">
            <v>bueno</v>
          </cell>
          <cell r="K2052" t="str">
            <v>probsi</v>
          </cell>
        </row>
        <row r="2053">
          <cell r="B2053" t="b">
            <v>1</v>
          </cell>
          <cell r="E2053" t="str">
            <v>Arroyo Grande</v>
          </cell>
          <cell r="H2053" t="str">
            <v>laboratorio</v>
          </cell>
          <cell r="J2053" t="str">
            <v>bueno</v>
          </cell>
          <cell r="K2053" t="str">
            <v>probsi</v>
          </cell>
        </row>
        <row r="2054">
          <cell r="B2054" t="b">
            <v>1</v>
          </cell>
          <cell r="E2054" t="str">
            <v>Arroyo Grande</v>
          </cell>
          <cell r="H2054" t="str">
            <v>laboratorio</v>
          </cell>
          <cell r="J2054" t="str">
            <v>bueno</v>
          </cell>
          <cell r="K2054" t="str">
            <v>probsi</v>
          </cell>
        </row>
        <row r="2055">
          <cell r="B2055" t="b">
            <v>1</v>
          </cell>
          <cell r="E2055" t="str">
            <v>Arroyo Grande</v>
          </cell>
          <cell r="H2055" t="str">
            <v>laboratorio</v>
          </cell>
          <cell r="J2055" t="str">
            <v>bueno</v>
          </cell>
          <cell r="K2055" t="str">
            <v>probsi</v>
          </cell>
        </row>
        <row r="2056">
          <cell r="B2056" t="b">
            <v>1</v>
          </cell>
          <cell r="E2056" t="str">
            <v>Arroyo Grande</v>
          </cell>
          <cell r="H2056" t="str">
            <v>salud_oral</v>
          </cell>
          <cell r="J2056" t="str">
            <v>bueno</v>
          </cell>
          <cell r="K2056" t="str">
            <v>probsi</v>
          </cell>
        </row>
        <row r="2057">
          <cell r="B2057" t="b">
            <v>1</v>
          </cell>
          <cell r="E2057" t="str">
            <v>Arroyo Grande</v>
          </cell>
          <cell r="H2057" t="str">
            <v>salud_oral</v>
          </cell>
          <cell r="J2057" t="str">
            <v>bueno</v>
          </cell>
          <cell r="K2057" t="str">
            <v>probsi</v>
          </cell>
        </row>
        <row r="2058">
          <cell r="B2058" t="b">
            <v>1</v>
          </cell>
          <cell r="E2058" t="str">
            <v>Arroyo Grande</v>
          </cell>
          <cell r="H2058" t="str">
            <v>salud_oral</v>
          </cell>
          <cell r="J2058" t="str">
            <v>bueno</v>
          </cell>
          <cell r="K2058" t="str">
            <v>probsi</v>
          </cell>
        </row>
        <row r="2059">
          <cell r="B2059" t="b">
            <v>1</v>
          </cell>
          <cell r="E2059" t="str">
            <v>Arroyo Grande</v>
          </cell>
          <cell r="H2059" t="str">
            <v>salud_oral</v>
          </cell>
          <cell r="J2059" t="str">
            <v>bueno</v>
          </cell>
          <cell r="K2059" t="str">
            <v>probsi</v>
          </cell>
        </row>
        <row r="2060">
          <cell r="B2060" t="b">
            <v>1</v>
          </cell>
          <cell r="E2060" t="str">
            <v>Arroyo Grande</v>
          </cell>
          <cell r="H2060" t="str">
            <v>consulta_externa</v>
          </cell>
          <cell r="J2060" t="str">
            <v>bueno</v>
          </cell>
          <cell r="K2060" t="str">
            <v>probsi</v>
          </cell>
        </row>
        <row r="2061">
          <cell r="B2061" t="b">
            <v>1</v>
          </cell>
          <cell r="E2061" t="str">
            <v>Arroyo Grande</v>
          </cell>
          <cell r="H2061" t="str">
            <v>consulta_externa</v>
          </cell>
          <cell r="J2061" t="str">
            <v>bueno</v>
          </cell>
          <cell r="K2061" t="str">
            <v>probsi</v>
          </cell>
        </row>
        <row r="2062">
          <cell r="B2062" t="b">
            <v>1</v>
          </cell>
          <cell r="E2062" t="str">
            <v>Arroyo Grande</v>
          </cell>
          <cell r="H2062" t="str">
            <v>salud_oral</v>
          </cell>
          <cell r="J2062" t="str">
            <v>bueno</v>
          </cell>
          <cell r="K2062" t="str">
            <v>probsi</v>
          </cell>
        </row>
        <row r="2063">
          <cell r="B2063" t="b">
            <v>1</v>
          </cell>
          <cell r="E2063" t="str">
            <v>Arroyo Grande</v>
          </cell>
          <cell r="H2063" t="str">
            <v>salud_oral</v>
          </cell>
          <cell r="J2063" t="str">
            <v>bueno</v>
          </cell>
          <cell r="K2063" t="str">
            <v>probsi</v>
          </cell>
        </row>
        <row r="2064">
          <cell r="B2064" t="b">
            <v>1</v>
          </cell>
          <cell r="E2064" t="str">
            <v>Arroyo Grande</v>
          </cell>
          <cell r="H2064" t="str">
            <v>salud_oral</v>
          </cell>
          <cell r="J2064" t="str">
            <v>bueno</v>
          </cell>
          <cell r="K2064" t="str">
            <v>probsi</v>
          </cell>
        </row>
        <row r="2065">
          <cell r="B2065" t="b">
            <v>1</v>
          </cell>
          <cell r="E2065" t="str">
            <v>Arroyo Grande</v>
          </cell>
          <cell r="H2065" t="str">
            <v>salud_oral</v>
          </cell>
          <cell r="J2065" t="str">
            <v>bueno</v>
          </cell>
          <cell r="K2065" t="str">
            <v>probsi</v>
          </cell>
        </row>
        <row r="2066">
          <cell r="B2066" t="b">
            <v>1</v>
          </cell>
          <cell r="E2066" t="str">
            <v>Arroyo Grande</v>
          </cell>
          <cell r="H2066" t="str">
            <v>salud_oral</v>
          </cell>
          <cell r="J2066" t="str">
            <v>bueno</v>
          </cell>
          <cell r="K2066" t="str">
            <v>probsi</v>
          </cell>
        </row>
        <row r="2067">
          <cell r="B2067" t="b">
            <v>1</v>
          </cell>
          <cell r="E2067" t="str">
            <v>Arroyo Grande</v>
          </cell>
          <cell r="H2067" t="str">
            <v>salud_oral</v>
          </cell>
          <cell r="J2067" t="str">
            <v>bueno</v>
          </cell>
          <cell r="K2067" t="str">
            <v>probsi</v>
          </cell>
        </row>
        <row r="2068">
          <cell r="B2068" t="b">
            <v>1</v>
          </cell>
          <cell r="E2068" t="str">
            <v>Pozon</v>
          </cell>
          <cell r="H2068" t="str">
            <v>consulta_externa</v>
          </cell>
          <cell r="J2068" t="str">
            <v>bueno</v>
          </cell>
          <cell r="K2068" t="str">
            <v>probsi</v>
          </cell>
        </row>
        <row r="2069">
          <cell r="B2069" t="b">
            <v>1</v>
          </cell>
          <cell r="E2069" t="str">
            <v>Pozon</v>
          </cell>
          <cell r="H2069" t="str">
            <v>consulta_externa</v>
          </cell>
          <cell r="J2069" t="str">
            <v>bueno</v>
          </cell>
          <cell r="K2069" t="str">
            <v>probsi</v>
          </cell>
        </row>
        <row r="2070">
          <cell r="B2070" t="b">
            <v>1</v>
          </cell>
          <cell r="E2070" t="str">
            <v>Pozon</v>
          </cell>
          <cell r="H2070" t="str">
            <v>laboratorio</v>
          </cell>
          <cell r="J2070" t="str">
            <v>bueno</v>
          </cell>
          <cell r="K2070" t="str">
            <v>probsi</v>
          </cell>
        </row>
        <row r="2071">
          <cell r="B2071" t="b">
            <v>1</v>
          </cell>
          <cell r="E2071" t="str">
            <v>Pozon</v>
          </cell>
          <cell r="H2071" t="str">
            <v>laboratorio</v>
          </cell>
          <cell r="J2071" t="str">
            <v>bueno</v>
          </cell>
          <cell r="K2071" t="str">
            <v>probsi</v>
          </cell>
        </row>
        <row r="2072">
          <cell r="B2072" t="b">
            <v>1</v>
          </cell>
          <cell r="E2072" t="str">
            <v>Pozon</v>
          </cell>
          <cell r="H2072" t="str">
            <v>laboratorio</v>
          </cell>
          <cell r="J2072" t="str">
            <v>bueno</v>
          </cell>
          <cell r="K2072" t="str">
            <v>probsi</v>
          </cell>
        </row>
        <row r="2073">
          <cell r="B2073" t="b">
            <v>1</v>
          </cell>
          <cell r="E2073" t="str">
            <v>Bicentenario</v>
          </cell>
          <cell r="H2073" t="str">
            <v>laboratorio</v>
          </cell>
          <cell r="J2073" t="str">
            <v>bueno</v>
          </cell>
          <cell r="K2073" t="str">
            <v>probsi</v>
          </cell>
        </row>
        <row r="2074">
          <cell r="B2074" t="b">
            <v>1</v>
          </cell>
          <cell r="E2074" t="str">
            <v>Bicentenario</v>
          </cell>
          <cell r="H2074" t="str">
            <v>laboratorio</v>
          </cell>
          <cell r="J2074" t="str">
            <v>bueno</v>
          </cell>
          <cell r="K2074" t="str">
            <v>probsi</v>
          </cell>
        </row>
        <row r="2075">
          <cell r="B2075" t="b">
            <v>1</v>
          </cell>
          <cell r="E2075" t="str">
            <v>Bicentenario</v>
          </cell>
          <cell r="H2075" t="str">
            <v>salud_oral</v>
          </cell>
          <cell r="J2075" t="str">
            <v>bueno</v>
          </cell>
          <cell r="K2075" t="str">
            <v>probsi</v>
          </cell>
        </row>
        <row r="2076">
          <cell r="B2076" t="b">
            <v>1</v>
          </cell>
          <cell r="E2076" t="str">
            <v>Bicentenario</v>
          </cell>
          <cell r="H2076" t="str">
            <v>salud_oral</v>
          </cell>
          <cell r="J2076" t="str">
            <v>bueno</v>
          </cell>
          <cell r="K2076" t="str">
            <v>probsi</v>
          </cell>
        </row>
        <row r="2077">
          <cell r="B2077" t="b">
            <v>1</v>
          </cell>
          <cell r="E2077" t="str">
            <v>Bicentenario</v>
          </cell>
          <cell r="H2077" t="str">
            <v>laboratorio</v>
          </cell>
          <cell r="J2077" t="str">
            <v>bueno</v>
          </cell>
          <cell r="K2077" t="str">
            <v>probsi</v>
          </cell>
        </row>
        <row r="2078">
          <cell r="B2078" t="b">
            <v>1</v>
          </cell>
          <cell r="E2078" t="str">
            <v>Bicentenario</v>
          </cell>
          <cell r="H2078" t="str">
            <v>laboratorio</v>
          </cell>
          <cell r="J2078" t="str">
            <v>bueno</v>
          </cell>
          <cell r="K2078" t="str">
            <v>probsi</v>
          </cell>
        </row>
        <row r="2079">
          <cell r="B2079" t="b">
            <v>1</v>
          </cell>
          <cell r="E2079" t="str">
            <v>Bicentenario</v>
          </cell>
          <cell r="H2079" t="str">
            <v>salud_oral</v>
          </cell>
          <cell r="J2079" t="str">
            <v>bueno</v>
          </cell>
          <cell r="K2079" t="str">
            <v>probsi</v>
          </cell>
        </row>
        <row r="2080">
          <cell r="B2080" t="b">
            <v>1</v>
          </cell>
          <cell r="E2080" t="str">
            <v>Bicentenario</v>
          </cell>
          <cell r="H2080" t="str">
            <v>rx</v>
          </cell>
          <cell r="J2080" t="str">
            <v>bueno</v>
          </cell>
          <cell r="K2080" t="str">
            <v>probsi</v>
          </cell>
        </row>
        <row r="2081">
          <cell r="B2081" t="b">
            <v>1</v>
          </cell>
          <cell r="E2081" t="str">
            <v>Bicentenario</v>
          </cell>
          <cell r="H2081" t="str">
            <v>rx</v>
          </cell>
          <cell r="J2081" t="str">
            <v>bueno</v>
          </cell>
          <cell r="K2081" t="str">
            <v>probsi</v>
          </cell>
        </row>
        <row r="2082">
          <cell r="B2082" t="b">
            <v>0</v>
          </cell>
          <cell r="E2082" t="str">
            <v>Bicentenario</v>
          </cell>
          <cell r="H2082" t="str">
            <v>urgencia</v>
          </cell>
          <cell r="J2082" t="str">
            <v>regular</v>
          </cell>
          <cell r="K2082" t="str">
            <v>probsi</v>
          </cell>
        </row>
        <row r="2083">
          <cell r="B2083" t="b">
            <v>0</v>
          </cell>
          <cell r="E2083" t="str">
            <v>Bicentenario</v>
          </cell>
          <cell r="H2083" t="str">
            <v>urgencia</v>
          </cell>
          <cell r="J2083" t="str">
            <v>regular</v>
          </cell>
          <cell r="K2083" t="str">
            <v>probsi</v>
          </cell>
        </row>
        <row r="2084">
          <cell r="B2084" t="b">
            <v>1</v>
          </cell>
          <cell r="E2084" t="str">
            <v>Bicentenario</v>
          </cell>
          <cell r="H2084" t="str">
            <v>urgencia</v>
          </cell>
          <cell r="J2084" t="str">
            <v>bueno</v>
          </cell>
          <cell r="K2084" t="str">
            <v>probsi</v>
          </cell>
        </row>
        <row r="2085">
          <cell r="B2085" t="b">
            <v>1</v>
          </cell>
          <cell r="E2085" t="str">
            <v>Bicentenario</v>
          </cell>
          <cell r="H2085" t="str">
            <v>urgencia</v>
          </cell>
          <cell r="J2085" t="str">
            <v>bueno</v>
          </cell>
          <cell r="K2085" t="str">
            <v>probsi</v>
          </cell>
        </row>
        <row r="2086">
          <cell r="B2086" t="b">
            <v>1</v>
          </cell>
          <cell r="E2086" t="str">
            <v>Bicentenario</v>
          </cell>
          <cell r="H2086" t="str">
            <v>urgencia</v>
          </cell>
          <cell r="J2086" t="str">
            <v>bueno</v>
          </cell>
          <cell r="K2086" t="str">
            <v>probsi</v>
          </cell>
        </row>
        <row r="2087">
          <cell r="B2087" t="b">
            <v>0</v>
          </cell>
          <cell r="E2087" t="str">
            <v>Bicentenario</v>
          </cell>
          <cell r="H2087" t="str">
            <v>laboratorio</v>
          </cell>
          <cell r="J2087" t="str">
            <v>regular</v>
          </cell>
          <cell r="K2087" t="str">
            <v>probsi</v>
          </cell>
        </row>
        <row r="2088">
          <cell r="B2088" t="b">
            <v>1</v>
          </cell>
          <cell r="E2088" t="str">
            <v>Bicentenario</v>
          </cell>
          <cell r="H2088" t="str">
            <v>laboratorio</v>
          </cell>
          <cell r="J2088" t="str">
            <v>bueno</v>
          </cell>
          <cell r="K2088" t="str">
            <v>probsi</v>
          </cell>
        </row>
        <row r="2089">
          <cell r="B2089" t="b">
            <v>1</v>
          </cell>
          <cell r="E2089" t="str">
            <v>Bicentenario</v>
          </cell>
          <cell r="H2089" t="str">
            <v>salud_oral</v>
          </cell>
          <cell r="J2089" t="str">
            <v>bueno</v>
          </cell>
          <cell r="K2089" t="str">
            <v>probsi</v>
          </cell>
        </row>
        <row r="2090">
          <cell r="B2090" t="b">
            <v>0</v>
          </cell>
          <cell r="E2090" t="str">
            <v>Bicentenario</v>
          </cell>
          <cell r="H2090" t="str">
            <v>salud_oral</v>
          </cell>
          <cell r="J2090" t="str">
            <v>regular</v>
          </cell>
          <cell r="K2090" t="str">
            <v>probsi</v>
          </cell>
        </row>
        <row r="2091">
          <cell r="B2091" t="b">
            <v>1</v>
          </cell>
          <cell r="E2091" t="str">
            <v>Bicentenario</v>
          </cell>
          <cell r="H2091" t="str">
            <v>laboratorio</v>
          </cell>
          <cell r="J2091" t="str">
            <v>bueno</v>
          </cell>
          <cell r="K2091" t="str">
            <v>probsi</v>
          </cell>
        </row>
        <row r="2092">
          <cell r="B2092" t="b">
            <v>1</v>
          </cell>
          <cell r="E2092" t="str">
            <v>Tierra Baja</v>
          </cell>
          <cell r="H2092" t="str">
            <v>salud_oral</v>
          </cell>
          <cell r="J2092" t="str">
            <v>bueno</v>
          </cell>
          <cell r="K2092" t="str">
            <v>defsi</v>
          </cell>
        </row>
        <row r="2093">
          <cell r="B2093" t="b">
            <v>1</v>
          </cell>
          <cell r="E2093" t="str">
            <v>Tierra Baja</v>
          </cell>
          <cell r="H2093" t="str">
            <v>salud_oral</v>
          </cell>
          <cell r="J2093" t="str">
            <v>bueno</v>
          </cell>
          <cell r="K2093" t="str">
            <v>defsi</v>
          </cell>
        </row>
        <row r="2094">
          <cell r="B2094" t="b">
            <v>1</v>
          </cell>
          <cell r="E2094" t="str">
            <v>Tierra Baja</v>
          </cell>
          <cell r="H2094" t="str">
            <v>laboratorio</v>
          </cell>
          <cell r="J2094" t="str">
            <v>bueno</v>
          </cell>
          <cell r="K2094" t="str">
            <v>defsi</v>
          </cell>
        </row>
        <row r="2095">
          <cell r="B2095" t="b">
            <v>1</v>
          </cell>
          <cell r="E2095" t="str">
            <v>Santa Ana</v>
          </cell>
          <cell r="H2095" t="str">
            <v>laboratorio</v>
          </cell>
          <cell r="J2095" t="str">
            <v>bueno</v>
          </cell>
          <cell r="K2095" t="str">
            <v>defsi</v>
          </cell>
        </row>
        <row r="2096">
          <cell r="B2096" t="b">
            <v>1</v>
          </cell>
          <cell r="E2096" t="str">
            <v>Santa Ana</v>
          </cell>
          <cell r="H2096" t="str">
            <v>consulta_externa</v>
          </cell>
          <cell r="J2096" t="str">
            <v>bueno</v>
          </cell>
          <cell r="K2096" t="str">
            <v>defsi</v>
          </cell>
        </row>
        <row r="2097">
          <cell r="B2097" t="b">
            <v>0</v>
          </cell>
          <cell r="E2097" t="str">
            <v>Santa Ana</v>
          </cell>
          <cell r="H2097" t="str">
            <v>consulta_externa</v>
          </cell>
          <cell r="J2097" t="str">
            <v>regular</v>
          </cell>
          <cell r="K2097" t="str">
            <v>defsi</v>
          </cell>
        </row>
        <row r="2098">
          <cell r="B2098" t="b">
            <v>1</v>
          </cell>
          <cell r="E2098" t="str">
            <v>Santa Ana</v>
          </cell>
          <cell r="H2098" t="str">
            <v>urgencia</v>
          </cell>
          <cell r="J2098" t="str">
            <v>bueno</v>
          </cell>
          <cell r="K2098" t="str">
            <v>defsi</v>
          </cell>
        </row>
        <row r="2099">
          <cell r="B2099" t="b">
            <v>1</v>
          </cell>
          <cell r="E2099" t="str">
            <v>Santa Ana</v>
          </cell>
          <cell r="H2099" t="str">
            <v>consulta_externa</v>
          </cell>
          <cell r="J2099" t="str">
            <v>bueno</v>
          </cell>
          <cell r="K2099" t="str">
            <v>defsi</v>
          </cell>
        </row>
        <row r="2100">
          <cell r="B2100" t="b">
            <v>0</v>
          </cell>
          <cell r="E2100" t="str">
            <v>Santa Ana</v>
          </cell>
          <cell r="H2100" t="str">
            <v>urgencia</v>
          </cell>
          <cell r="J2100" t="str">
            <v>regular</v>
          </cell>
          <cell r="K2100" t="str">
            <v>defsi</v>
          </cell>
        </row>
        <row r="2101">
          <cell r="B2101" t="b">
            <v>1</v>
          </cell>
          <cell r="E2101" t="str">
            <v>Santa Ana</v>
          </cell>
          <cell r="H2101" t="str">
            <v>urgencia</v>
          </cell>
          <cell r="J2101" t="str">
            <v>bueno</v>
          </cell>
          <cell r="K2101" t="str">
            <v>defsi</v>
          </cell>
        </row>
        <row r="2102">
          <cell r="B2102" t="b">
            <v>1</v>
          </cell>
          <cell r="E2102" t="str">
            <v>Santa Ana</v>
          </cell>
          <cell r="H2102" t="str">
            <v>urgencia</v>
          </cell>
          <cell r="J2102" t="str">
            <v>bueno</v>
          </cell>
          <cell r="K2102" t="str">
            <v>defsi</v>
          </cell>
        </row>
        <row r="2103">
          <cell r="B2103" t="b">
            <v>1</v>
          </cell>
          <cell r="E2103" t="str">
            <v>Santa Ana</v>
          </cell>
          <cell r="H2103" t="str">
            <v>urgencia</v>
          </cell>
          <cell r="J2103" t="str">
            <v>bueno</v>
          </cell>
          <cell r="K2103" t="str">
            <v>defsi</v>
          </cell>
        </row>
        <row r="2104">
          <cell r="B2104" t="b">
            <v>1</v>
          </cell>
          <cell r="E2104" t="str">
            <v>Santa Ana</v>
          </cell>
          <cell r="H2104" t="str">
            <v>consulta_externa</v>
          </cell>
          <cell r="J2104" t="str">
            <v>bueno</v>
          </cell>
          <cell r="K2104" t="str">
            <v>defsi</v>
          </cell>
        </row>
        <row r="2105">
          <cell r="B2105" t="b">
            <v>1</v>
          </cell>
          <cell r="E2105" t="str">
            <v>Santa Ana</v>
          </cell>
          <cell r="H2105" t="str">
            <v>salud_oral</v>
          </cell>
          <cell r="J2105" t="str">
            <v>bueno</v>
          </cell>
          <cell r="K2105" t="str">
            <v>defsi</v>
          </cell>
        </row>
        <row r="2106">
          <cell r="B2106" t="b">
            <v>1</v>
          </cell>
          <cell r="E2106" t="str">
            <v>Santa Ana</v>
          </cell>
          <cell r="H2106" t="str">
            <v>salud_oral</v>
          </cell>
          <cell r="J2106" t="str">
            <v>bueno</v>
          </cell>
          <cell r="K2106" t="str">
            <v>defsi</v>
          </cell>
        </row>
        <row r="2107">
          <cell r="B2107" t="b">
            <v>0</v>
          </cell>
          <cell r="E2107" t="str">
            <v>Santa Ana</v>
          </cell>
          <cell r="H2107" t="str">
            <v>consulta_externa</v>
          </cell>
          <cell r="J2107" t="str">
            <v>regular</v>
          </cell>
          <cell r="K2107" t="str">
            <v>defsi</v>
          </cell>
        </row>
        <row r="2108">
          <cell r="B2108" t="b">
            <v>1</v>
          </cell>
          <cell r="E2108" t="str">
            <v>Santa Ana</v>
          </cell>
          <cell r="H2108" t="str">
            <v>laboratorio</v>
          </cell>
          <cell r="J2108" t="str">
            <v>bueno</v>
          </cell>
          <cell r="K2108" t="str">
            <v>probno</v>
          </cell>
        </row>
        <row r="2109">
          <cell r="B2109" t="b">
            <v>1</v>
          </cell>
          <cell r="E2109" t="str">
            <v>Santa Ana</v>
          </cell>
          <cell r="H2109" t="str">
            <v>laboratorio</v>
          </cell>
          <cell r="J2109" t="str">
            <v>bueno</v>
          </cell>
          <cell r="K2109" t="str">
            <v>probno</v>
          </cell>
        </row>
        <row r="2110">
          <cell r="B2110" t="b">
            <v>0</v>
          </cell>
          <cell r="E2110" t="str">
            <v>Santa Ana</v>
          </cell>
          <cell r="H2110" t="str">
            <v>laboratorio</v>
          </cell>
          <cell r="J2110" t="str">
            <v>regular</v>
          </cell>
          <cell r="K2110" t="str">
            <v>defsi</v>
          </cell>
        </row>
        <row r="2111">
          <cell r="B2111" t="b">
            <v>0</v>
          </cell>
          <cell r="E2111" t="str">
            <v>Santa Ana</v>
          </cell>
          <cell r="H2111" t="str">
            <v>consulta_externa</v>
          </cell>
          <cell r="J2111" t="str">
            <v>regular</v>
          </cell>
          <cell r="K2111" t="str">
            <v>defsi</v>
          </cell>
        </row>
        <row r="2112">
          <cell r="B2112" t="b">
            <v>1</v>
          </cell>
          <cell r="E2112" t="str">
            <v>Santa Ana</v>
          </cell>
          <cell r="H2112" t="str">
            <v>salud_oral</v>
          </cell>
          <cell r="J2112" t="str">
            <v>bueno</v>
          </cell>
          <cell r="K2112" t="str">
            <v>defsi</v>
          </cell>
        </row>
        <row r="2113">
          <cell r="B2113" t="b">
            <v>1</v>
          </cell>
          <cell r="E2113" t="str">
            <v>Santa Ana</v>
          </cell>
          <cell r="H2113" t="str">
            <v>salud_oral</v>
          </cell>
          <cell r="J2113" t="str">
            <v>bueno</v>
          </cell>
          <cell r="K2113" t="str">
            <v>defsi</v>
          </cell>
        </row>
        <row r="2114">
          <cell r="B2114" t="b">
            <v>0</v>
          </cell>
          <cell r="E2114" t="str">
            <v>Santa Ana</v>
          </cell>
          <cell r="H2114" t="str">
            <v>consulta_externa</v>
          </cell>
          <cell r="J2114" t="str">
            <v>regular</v>
          </cell>
          <cell r="K2114" t="str">
            <v>defsi</v>
          </cell>
        </row>
        <row r="2115">
          <cell r="B2115" t="b">
            <v>0</v>
          </cell>
          <cell r="E2115" t="str">
            <v>Santa Ana</v>
          </cell>
          <cell r="H2115" t="str">
            <v>consulta_externa</v>
          </cell>
          <cell r="J2115" t="str">
            <v>regular</v>
          </cell>
          <cell r="K2115" t="str">
            <v>defsi</v>
          </cell>
        </row>
        <row r="2116">
          <cell r="B2116" t="b">
            <v>1</v>
          </cell>
          <cell r="E2116" t="str">
            <v>Santa Ana</v>
          </cell>
          <cell r="H2116" t="str">
            <v>consulta_externa</v>
          </cell>
          <cell r="J2116" t="str">
            <v>bueno</v>
          </cell>
          <cell r="K2116" t="str">
            <v>defsi</v>
          </cell>
        </row>
        <row r="2117">
          <cell r="B2117" t="b">
            <v>1</v>
          </cell>
          <cell r="E2117" t="str">
            <v>Santa Ana</v>
          </cell>
          <cell r="H2117" t="str">
            <v>salud_oral</v>
          </cell>
          <cell r="J2117" t="str">
            <v>bueno</v>
          </cell>
          <cell r="K2117" t="str">
            <v>defsi</v>
          </cell>
        </row>
        <row r="2118">
          <cell r="B2118" t="b">
            <v>1</v>
          </cell>
          <cell r="E2118" t="str">
            <v>Santa Ana</v>
          </cell>
          <cell r="H2118" t="str">
            <v>consulta_externa</v>
          </cell>
          <cell r="J2118" t="str">
            <v>bueno</v>
          </cell>
          <cell r="K2118" t="str">
            <v>defsi</v>
          </cell>
        </row>
        <row r="2119">
          <cell r="B2119" t="b">
            <v>1</v>
          </cell>
          <cell r="E2119" t="str">
            <v>Santa Ana</v>
          </cell>
          <cell r="H2119" t="str">
            <v>laboratorio</v>
          </cell>
          <cell r="J2119" t="str">
            <v>bueno</v>
          </cell>
          <cell r="K2119" t="str">
            <v>defsi</v>
          </cell>
        </row>
        <row r="2120">
          <cell r="B2120" t="b">
            <v>1</v>
          </cell>
          <cell r="E2120" t="str">
            <v>Santa Ana</v>
          </cell>
          <cell r="H2120" t="str">
            <v>salud_oral</v>
          </cell>
          <cell r="J2120" t="str">
            <v>bueno</v>
          </cell>
          <cell r="K2120" t="str">
            <v>defsi</v>
          </cell>
        </row>
        <row r="2121">
          <cell r="B2121" t="b">
            <v>0</v>
          </cell>
          <cell r="E2121" t="str">
            <v>Santa Ana</v>
          </cell>
          <cell r="H2121" t="str">
            <v>consulta_externa</v>
          </cell>
          <cell r="J2121" t="str">
            <v>regular</v>
          </cell>
          <cell r="K2121" t="str">
            <v>defsi</v>
          </cell>
        </row>
        <row r="2122">
          <cell r="B2122" t="b">
            <v>0</v>
          </cell>
          <cell r="E2122" t="str">
            <v>Santa Ana</v>
          </cell>
          <cell r="H2122" t="str">
            <v>consulta_externa</v>
          </cell>
          <cell r="J2122" t="str">
            <v>regular</v>
          </cell>
          <cell r="K2122" t="str">
            <v>defsi</v>
          </cell>
        </row>
        <row r="2123">
          <cell r="B2123" t="b">
            <v>1</v>
          </cell>
          <cell r="E2123" t="str">
            <v>Santa Ana</v>
          </cell>
          <cell r="H2123" t="str">
            <v>consulta_externa</v>
          </cell>
          <cell r="J2123" t="str">
            <v>bueno</v>
          </cell>
          <cell r="K2123" t="str">
            <v>defsi</v>
          </cell>
        </row>
        <row r="2124">
          <cell r="B2124" t="b">
            <v>1</v>
          </cell>
          <cell r="E2124" t="str">
            <v>Santa Ana</v>
          </cell>
          <cell r="H2124" t="str">
            <v>consulta_externa</v>
          </cell>
          <cell r="J2124" t="str">
            <v>bueno</v>
          </cell>
          <cell r="K2124" t="str">
            <v>defsi</v>
          </cell>
        </row>
        <row r="2125">
          <cell r="B2125" t="b">
            <v>1</v>
          </cell>
          <cell r="E2125" t="str">
            <v>Bosque</v>
          </cell>
          <cell r="H2125" t="str">
            <v>consulta_externa</v>
          </cell>
          <cell r="J2125" t="str">
            <v>bueno</v>
          </cell>
          <cell r="K2125" t="str">
            <v>defsi</v>
          </cell>
        </row>
        <row r="2126">
          <cell r="B2126" t="b">
            <v>1</v>
          </cell>
          <cell r="E2126" t="str">
            <v>Bosque</v>
          </cell>
          <cell r="H2126" t="str">
            <v>laboratorio</v>
          </cell>
          <cell r="J2126" t="str">
            <v>bueno</v>
          </cell>
          <cell r="K2126" t="str">
            <v>defsi</v>
          </cell>
        </row>
        <row r="2127">
          <cell r="B2127" t="b">
            <v>1</v>
          </cell>
          <cell r="E2127" t="str">
            <v>Bosque</v>
          </cell>
          <cell r="H2127" t="str">
            <v>laboratorio</v>
          </cell>
          <cell r="J2127" t="str">
            <v>bueno</v>
          </cell>
          <cell r="K2127" t="str">
            <v>defsi</v>
          </cell>
        </row>
        <row r="2128">
          <cell r="B2128" t="b">
            <v>1</v>
          </cell>
          <cell r="E2128" t="str">
            <v>Bosque</v>
          </cell>
          <cell r="H2128" t="str">
            <v>laboratorio</v>
          </cell>
          <cell r="J2128" t="str">
            <v>bueno</v>
          </cell>
          <cell r="K2128" t="str">
            <v>defsi</v>
          </cell>
        </row>
        <row r="2129">
          <cell r="B2129" t="b">
            <v>1</v>
          </cell>
          <cell r="E2129" t="str">
            <v>Bosque</v>
          </cell>
          <cell r="H2129" t="str">
            <v>consulta_externa</v>
          </cell>
          <cell r="J2129" t="str">
            <v>bueno</v>
          </cell>
          <cell r="K2129" t="str">
            <v>defsi</v>
          </cell>
        </row>
        <row r="2130">
          <cell r="B2130" t="b">
            <v>1</v>
          </cell>
          <cell r="E2130" t="str">
            <v>Bosque</v>
          </cell>
          <cell r="H2130" t="str">
            <v>consulta_externa</v>
          </cell>
          <cell r="J2130" t="str">
            <v>bueno</v>
          </cell>
          <cell r="K2130" t="str">
            <v>defsi</v>
          </cell>
        </row>
        <row r="2131">
          <cell r="B2131" t="b">
            <v>1</v>
          </cell>
          <cell r="E2131" t="str">
            <v>Bosque</v>
          </cell>
          <cell r="H2131" t="str">
            <v>laboratorio</v>
          </cell>
          <cell r="J2131" t="str">
            <v>bueno</v>
          </cell>
          <cell r="K2131" t="str">
            <v>defsi</v>
          </cell>
        </row>
        <row r="2132">
          <cell r="B2132" t="b">
            <v>1</v>
          </cell>
          <cell r="E2132" t="str">
            <v>Bosque</v>
          </cell>
          <cell r="H2132" t="str">
            <v>laboratorio</v>
          </cell>
          <cell r="J2132" t="str">
            <v>bueno</v>
          </cell>
          <cell r="K2132" t="str">
            <v>defsi</v>
          </cell>
        </row>
        <row r="2133">
          <cell r="B2133" t="b">
            <v>1</v>
          </cell>
          <cell r="E2133" t="str">
            <v>Bosque</v>
          </cell>
          <cell r="H2133" t="str">
            <v>salud_oral</v>
          </cell>
          <cell r="J2133" t="str">
            <v>bueno</v>
          </cell>
          <cell r="K2133" t="str">
            <v>defsi</v>
          </cell>
        </row>
        <row r="2134">
          <cell r="B2134" t="b">
            <v>1</v>
          </cell>
          <cell r="E2134" t="str">
            <v>Bosque</v>
          </cell>
          <cell r="H2134" t="str">
            <v>salud_oral</v>
          </cell>
          <cell r="J2134" t="str">
            <v>bueno</v>
          </cell>
          <cell r="K2134" t="str">
            <v>defsi</v>
          </cell>
        </row>
        <row r="2135">
          <cell r="B2135" t="b">
            <v>1</v>
          </cell>
          <cell r="E2135" t="str">
            <v>Bosque</v>
          </cell>
          <cell r="H2135" t="str">
            <v>salud_oral</v>
          </cell>
          <cell r="J2135" t="str">
            <v>bueno</v>
          </cell>
          <cell r="K2135" t="str">
            <v>defsi</v>
          </cell>
        </row>
        <row r="2136">
          <cell r="B2136" t="b">
            <v>1</v>
          </cell>
          <cell r="E2136" t="str">
            <v>Bocachica</v>
          </cell>
          <cell r="H2136" t="str">
            <v>salud_oral</v>
          </cell>
          <cell r="J2136" t="str">
            <v>bueno</v>
          </cell>
          <cell r="K2136" t="str">
            <v>probsi</v>
          </cell>
        </row>
        <row r="2137">
          <cell r="B2137" t="b">
            <v>1</v>
          </cell>
          <cell r="E2137" t="str">
            <v>Bocachica</v>
          </cell>
          <cell r="H2137" t="str">
            <v>salud_oral</v>
          </cell>
          <cell r="J2137" t="str">
            <v>bueno</v>
          </cell>
          <cell r="K2137" t="str">
            <v>probsi</v>
          </cell>
        </row>
        <row r="2138">
          <cell r="B2138" t="b">
            <v>1</v>
          </cell>
          <cell r="E2138" t="str">
            <v>Bocachica</v>
          </cell>
          <cell r="H2138" t="str">
            <v>salud_oral</v>
          </cell>
          <cell r="J2138" t="str">
            <v>bueno</v>
          </cell>
          <cell r="K2138" t="str">
            <v>probsi</v>
          </cell>
        </row>
        <row r="2139">
          <cell r="B2139" t="b">
            <v>1</v>
          </cell>
          <cell r="E2139" t="str">
            <v>Bocachica</v>
          </cell>
          <cell r="H2139" t="str">
            <v>salud_oral</v>
          </cell>
          <cell r="J2139" t="str">
            <v>bueno</v>
          </cell>
          <cell r="K2139" t="str">
            <v>probsi</v>
          </cell>
        </row>
        <row r="2140">
          <cell r="B2140" t="b">
            <v>1</v>
          </cell>
          <cell r="E2140" t="str">
            <v>Bocachica</v>
          </cell>
          <cell r="H2140" t="str">
            <v>salud_oral</v>
          </cell>
          <cell r="J2140" t="str">
            <v>bueno</v>
          </cell>
          <cell r="K2140" t="str">
            <v>probsi</v>
          </cell>
        </row>
        <row r="2141">
          <cell r="B2141" t="b">
            <v>1</v>
          </cell>
          <cell r="E2141" t="str">
            <v>Bocachica</v>
          </cell>
          <cell r="H2141" t="str">
            <v>laboratorio</v>
          </cell>
          <cell r="J2141" t="str">
            <v>bueno</v>
          </cell>
          <cell r="K2141" t="str">
            <v>probsi</v>
          </cell>
        </row>
        <row r="2142">
          <cell r="B2142" t="b">
            <v>1</v>
          </cell>
          <cell r="E2142" t="str">
            <v>Bocachica</v>
          </cell>
          <cell r="H2142" t="str">
            <v>laboratorio</v>
          </cell>
          <cell r="J2142" t="str">
            <v>bueno</v>
          </cell>
          <cell r="K2142" t="str">
            <v>probsi</v>
          </cell>
        </row>
        <row r="2143">
          <cell r="B2143" t="b">
            <v>1</v>
          </cell>
          <cell r="E2143" t="str">
            <v>Bocachica</v>
          </cell>
          <cell r="H2143" t="str">
            <v>laboratorio</v>
          </cell>
          <cell r="J2143" t="str">
            <v>bueno</v>
          </cell>
          <cell r="K2143" t="str">
            <v>probsi</v>
          </cell>
        </row>
        <row r="2144">
          <cell r="B2144" t="b">
            <v>1</v>
          </cell>
          <cell r="E2144" t="str">
            <v>Bocachica</v>
          </cell>
          <cell r="H2144" t="str">
            <v>laboratorio</v>
          </cell>
          <cell r="J2144" t="str">
            <v>bueno</v>
          </cell>
          <cell r="K2144" t="str">
            <v>probsi</v>
          </cell>
        </row>
        <row r="2145">
          <cell r="B2145" t="b">
            <v>1</v>
          </cell>
          <cell r="E2145" t="str">
            <v>Bocachica</v>
          </cell>
          <cell r="H2145" t="str">
            <v>laboratorio</v>
          </cell>
          <cell r="J2145" t="str">
            <v>bueno</v>
          </cell>
          <cell r="K2145" t="str">
            <v>probsi</v>
          </cell>
        </row>
        <row r="2146">
          <cell r="B2146" t="b">
            <v>0</v>
          </cell>
          <cell r="E2146" t="str">
            <v>Bocachica</v>
          </cell>
          <cell r="H2146" t="str">
            <v>laboratorio</v>
          </cell>
          <cell r="J2146" t="str">
            <v>regular</v>
          </cell>
          <cell r="K2146" t="str">
            <v>probsi</v>
          </cell>
        </row>
        <row r="2147">
          <cell r="B2147" t="b">
            <v>1</v>
          </cell>
          <cell r="E2147" t="str">
            <v>Bocachica</v>
          </cell>
          <cell r="H2147" t="str">
            <v>consulta_externa</v>
          </cell>
          <cell r="J2147" t="str">
            <v>bueno</v>
          </cell>
          <cell r="K2147" t="str">
            <v>probsi</v>
          </cell>
        </row>
        <row r="2148">
          <cell r="B2148" t="b">
            <v>1</v>
          </cell>
          <cell r="E2148" t="str">
            <v>Bosque</v>
          </cell>
          <cell r="H2148" t="str">
            <v>consulta_externa</v>
          </cell>
          <cell r="J2148" t="str">
            <v>bueno</v>
          </cell>
          <cell r="K2148" t="str">
            <v>defsi</v>
          </cell>
        </row>
        <row r="2149">
          <cell r="B2149" t="b">
            <v>1</v>
          </cell>
          <cell r="E2149" t="str">
            <v>Bosque</v>
          </cell>
          <cell r="H2149" t="str">
            <v>laboratorio</v>
          </cell>
          <cell r="J2149" t="str">
            <v>bueno</v>
          </cell>
          <cell r="K2149" t="str">
            <v>defsi</v>
          </cell>
        </row>
        <row r="2150">
          <cell r="B2150" t="b">
            <v>1</v>
          </cell>
          <cell r="E2150" t="str">
            <v>Bosque</v>
          </cell>
          <cell r="H2150" t="str">
            <v>laboratorio</v>
          </cell>
          <cell r="J2150" t="str">
            <v>bueno</v>
          </cell>
          <cell r="K2150" t="str">
            <v>defsi</v>
          </cell>
        </row>
        <row r="2151">
          <cell r="B2151" t="b">
            <v>1</v>
          </cell>
          <cell r="E2151" t="str">
            <v>Candelaria</v>
          </cell>
          <cell r="H2151" t="str">
            <v>consulta_externa</v>
          </cell>
          <cell r="J2151" t="str">
            <v>bueno</v>
          </cell>
          <cell r="K2151" t="str">
            <v>defsi</v>
          </cell>
        </row>
        <row r="2152">
          <cell r="B2152" t="b">
            <v>1</v>
          </cell>
          <cell r="E2152" t="str">
            <v>Candelaria</v>
          </cell>
          <cell r="H2152" t="str">
            <v>salud_oral</v>
          </cell>
          <cell r="J2152" t="str">
            <v>bueno</v>
          </cell>
          <cell r="K2152" t="str">
            <v>defsi</v>
          </cell>
        </row>
        <row r="2153">
          <cell r="B2153" t="b">
            <v>1</v>
          </cell>
          <cell r="E2153" t="str">
            <v>Candelaria</v>
          </cell>
          <cell r="H2153" t="str">
            <v>laboratorio</v>
          </cell>
          <cell r="J2153" t="str">
            <v>bueno</v>
          </cell>
          <cell r="K2153" t="str">
            <v>defsi</v>
          </cell>
        </row>
        <row r="2154">
          <cell r="B2154" t="b">
            <v>1</v>
          </cell>
          <cell r="E2154" t="str">
            <v>Candelaria</v>
          </cell>
          <cell r="H2154" t="str">
            <v>urgencia</v>
          </cell>
          <cell r="J2154" t="str">
            <v>bueno</v>
          </cell>
          <cell r="K2154" t="str">
            <v>defsi</v>
          </cell>
        </row>
        <row r="2155">
          <cell r="B2155" t="b">
            <v>1</v>
          </cell>
          <cell r="E2155" t="str">
            <v>Bosque</v>
          </cell>
          <cell r="H2155" t="str">
            <v>laboratorio</v>
          </cell>
          <cell r="J2155" t="str">
            <v>bueno</v>
          </cell>
          <cell r="K2155" t="str">
            <v>defsi</v>
          </cell>
        </row>
        <row r="2156">
          <cell r="B2156" t="b">
            <v>1</v>
          </cell>
          <cell r="E2156" t="str">
            <v>Candelaria</v>
          </cell>
          <cell r="H2156" t="str">
            <v>consulta_externa</v>
          </cell>
          <cell r="J2156" t="str">
            <v>bueno</v>
          </cell>
          <cell r="K2156" t="str">
            <v>defsi</v>
          </cell>
        </row>
        <row r="2157">
          <cell r="B2157" t="b">
            <v>1</v>
          </cell>
          <cell r="E2157" t="str">
            <v>Bosque</v>
          </cell>
          <cell r="H2157" t="str">
            <v>laboratorio</v>
          </cell>
          <cell r="J2157" t="str">
            <v>bueno</v>
          </cell>
          <cell r="K2157" t="str">
            <v>defsi</v>
          </cell>
        </row>
        <row r="2158">
          <cell r="B2158" t="b">
            <v>1</v>
          </cell>
          <cell r="E2158" t="str">
            <v>Bosque</v>
          </cell>
          <cell r="H2158" t="str">
            <v>consulta_externa</v>
          </cell>
          <cell r="J2158" t="str">
            <v>muybueno</v>
          </cell>
          <cell r="K2158" t="str">
            <v>defsi</v>
          </cell>
        </row>
        <row r="2159">
          <cell r="B2159" t="b">
            <v>1</v>
          </cell>
          <cell r="E2159" t="str">
            <v>Candelaria</v>
          </cell>
          <cell r="H2159" t="str">
            <v>salud_oral</v>
          </cell>
          <cell r="J2159" t="str">
            <v>bueno</v>
          </cell>
          <cell r="K2159" t="str">
            <v>defsi</v>
          </cell>
        </row>
        <row r="2160">
          <cell r="B2160" t="b">
            <v>1</v>
          </cell>
          <cell r="E2160" t="str">
            <v>Bosque</v>
          </cell>
          <cell r="H2160" t="str">
            <v>consulta_externa</v>
          </cell>
          <cell r="J2160" t="str">
            <v>muybueno</v>
          </cell>
          <cell r="K2160" t="str">
            <v>defsi</v>
          </cell>
        </row>
        <row r="2161">
          <cell r="B2161" t="b">
            <v>1</v>
          </cell>
          <cell r="E2161" t="str">
            <v>Candelaria</v>
          </cell>
          <cell r="H2161" t="str">
            <v>laboratorio</v>
          </cell>
          <cell r="J2161" t="str">
            <v>bueno</v>
          </cell>
          <cell r="K2161" t="str">
            <v>defsi</v>
          </cell>
        </row>
        <row r="2162">
          <cell r="B2162" t="b">
            <v>1</v>
          </cell>
          <cell r="E2162" t="str">
            <v>Bosque</v>
          </cell>
          <cell r="H2162" t="str">
            <v>laboratorio</v>
          </cell>
          <cell r="J2162" t="str">
            <v>muybueno</v>
          </cell>
          <cell r="K2162" t="str">
            <v>defsi</v>
          </cell>
        </row>
        <row r="2163">
          <cell r="B2163" t="b">
            <v>1</v>
          </cell>
          <cell r="E2163" t="str">
            <v>Bosque</v>
          </cell>
          <cell r="H2163" t="str">
            <v>consulta_externa</v>
          </cell>
          <cell r="J2163" t="str">
            <v>bueno</v>
          </cell>
          <cell r="K2163" t="str">
            <v>defsi</v>
          </cell>
        </row>
        <row r="2164">
          <cell r="B2164" t="b">
            <v>1</v>
          </cell>
          <cell r="E2164" t="str">
            <v>Bosque</v>
          </cell>
          <cell r="H2164" t="str">
            <v>salud_oral</v>
          </cell>
          <cell r="J2164" t="str">
            <v>bueno</v>
          </cell>
          <cell r="K2164" t="str">
            <v>defsi</v>
          </cell>
        </row>
        <row r="2165">
          <cell r="B2165" t="b">
            <v>1</v>
          </cell>
          <cell r="E2165" t="str">
            <v>Candelaria</v>
          </cell>
          <cell r="H2165" t="str">
            <v>urgencia</v>
          </cell>
          <cell r="J2165" t="str">
            <v>bueno</v>
          </cell>
          <cell r="K2165" t="str">
            <v>defsi</v>
          </cell>
        </row>
        <row r="2166">
          <cell r="B2166" t="b">
            <v>1</v>
          </cell>
          <cell r="E2166" t="str">
            <v>Bosque</v>
          </cell>
          <cell r="H2166" t="str">
            <v>salud_oral</v>
          </cell>
          <cell r="J2166" t="str">
            <v>bueno</v>
          </cell>
          <cell r="K2166" t="str">
            <v>defsi</v>
          </cell>
        </row>
        <row r="2167">
          <cell r="B2167" t="b">
            <v>1</v>
          </cell>
          <cell r="E2167" t="str">
            <v>Bosque</v>
          </cell>
          <cell r="H2167" t="str">
            <v>salud_oral</v>
          </cell>
          <cell r="J2167" t="str">
            <v>muybueno</v>
          </cell>
          <cell r="K2167" t="str">
            <v>defsi</v>
          </cell>
        </row>
        <row r="2168">
          <cell r="B2168" t="b">
            <v>1</v>
          </cell>
          <cell r="E2168" t="str">
            <v>Bosque</v>
          </cell>
          <cell r="H2168" t="str">
            <v>consulta_externa</v>
          </cell>
          <cell r="J2168" t="str">
            <v>bueno</v>
          </cell>
          <cell r="K2168" t="str">
            <v>defsi</v>
          </cell>
        </row>
        <row r="2169">
          <cell r="B2169" t="b">
            <v>1</v>
          </cell>
          <cell r="E2169" t="str">
            <v>Bosque</v>
          </cell>
          <cell r="H2169" t="str">
            <v>salud_oral</v>
          </cell>
          <cell r="J2169" t="str">
            <v>bueno</v>
          </cell>
          <cell r="K2169" t="str">
            <v>defsi</v>
          </cell>
        </row>
        <row r="2170">
          <cell r="B2170" t="b">
            <v>1</v>
          </cell>
          <cell r="E2170" t="str">
            <v>Bosque</v>
          </cell>
          <cell r="H2170" t="str">
            <v>salud_oral</v>
          </cell>
          <cell r="J2170" t="str">
            <v>bueno</v>
          </cell>
          <cell r="K2170" t="str">
            <v>defsi</v>
          </cell>
        </row>
        <row r="2171">
          <cell r="B2171" t="b">
            <v>1</v>
          </cell>
          <cell r="E2171" t="str">
            <v>Bosque</v>
          </cell>
          <cell r="H2171" t="str">
            <v>salud_oral</v>
          </cell>
          <cell r="J2171" t="str">
            <v>bueno</v>
          </cell>
          <cell r="K2171" t="str">
            <v>defsi</v>
          </cell>
        </row>
        <row r="2172">
          <cell r="B2172" t="b">
            <v>1</v>
          </cell>
          <cell r="E2172" t="str">
            <v>Blasdelezo</v>
          </cell>
          <cell r="H2172" t="str">
            <v>urgencia</v>
          </cell>
          <cell r="J2172" t="str">
            <v>bueno</v>
          </cell>
          <cell r="K2172" t="str">
            <v>defsi</v>
          </cell>
        </row>
        <row r="2173">
          <cell r="B2173" t="b">
            <v>1</v>
          </cell>
          <cell r="E2173" t="str">
            <v>Blasdelezo</v>
          </cell>
          <cell r="H2173" t="str">
            <v>consulta_externa</v>
          </cell>
          <cell r="J2173" t="str">
            <v>bueno</v>
          </cell>
          <cell r="K2173" t="str">
            <v>defsi</v>
          </cell>
        </row>
        <row r="2174">
          <cell r="B2174" t="b">
            <v>0</v>
          </cell>
          <cell r="E2174" t="str">
            <v>Blasdelezo</v>
          </cell>
          <cell r="H2174" t="str">
            <v>consulta_externa</v>
          </cell>
          <cell r="J2174" t="str">
            <v>regular</v>
          </cell>
          <cell r="K2174" t="str">
            <v>defsi</v>
          </cell>
        </row>
        <row r="2175">
          <cell r="B2175" t="b">
            <v>1</v>
          </cell>
          <cell r="E2175" t="str">
            <v>Blasdelezo</v>
          </cell>
          <cell r="H2175" t="str">
            <v>medicina_interna</v>
          </cell>
          <cell r="J2175" t="str">
            <v>bueno</v>
          </cell>
          <cell r="K2175" t="str">
            <v>defsi</v>
          </cell>
        </row>
        <row r="2176">
          <cell r="B2176" t="b">
            <v>1</v>
          </cell>
          <cell r="E2176" t="str">
            <v>Blasdelezo</v>
          </cell>
          <cell r="H2176" t="str">
            <v>salud_oral</v>
          </cell>
          <cell r="J2176" t="str">
            <v>bueno</v>
          </cell>
          <cell r="K2176" t="str">
            <v>defsi</v>
          </cell>
        </row>
        <row r="2177">
          <cell r="B2177" t="b">
            <v>1</v>
          </cell>
          <cell r="E2177" t="str">
            <v>Blasdelezo</v>
          </cell>
          <cell r="H2177" t="str">
            <v>medicina_interna</v>
          </cell>
          <cell r="J2177" t="str">
            <v>bueno</v>
          </cell>
          <cell r="K2177" t="str">
            <v>defsi</v>
          </cell>
        </row>
        <row r="2178">
          <cell r="B2178" t="b">
            <v>1</v>
          </cell>
          <cell r="E2178" t="str">
            <v>Blasdelezo</v>
          </cell>
          <cell r="H2178" t="str">
            <v>medicina_interna</v>
          </cell>
          <cell r="J2178" t="str">
            <v>muybueno</v>
          </cell>
          <cell r="K2178" t="str">
            <v>defsi</v>
          </cell>
        </row>
        <row r="2179">
          <cell r="B2179" t="b">
            <v>1</v>
          </cell>
          <cell r="E2179" t="str">
            <v>Candelaria</v>
          </cell>
          <cell r="H2179" t="str">
            <v>consulta_externa</v>
          </cell>
          <cell r="J2179" t="str">
            <v>bueno</v>
          </cell>
          <cell r="K2179" t="str">
            <v>defsi</v>
          </cell>
        </row>
        <row r="2180">
          <cell r="B2180" t="b">
            <v>1</v>
          </cell>
          <cell r="E2180" t="str">
            <v>Blasdelezo</v>
          </cell>
          <cell r="H2180" t="str">
            <v>laboratorio</v>
          </cell>
          <cell r="J2180" t="str">
            <v>bueno</v>
          </cell>
          <cell r="K2180" t="str">
            <v>defsi</v>
          </cell>
        </row>
        <row r="2181">
          <cell r="B2181" t="b">
            <v>1</v>
          </cell>
          <cell r="E2181" t="str">
            <v>Blasdelezo</v>
          </cell>
          <cell r="H2181" t="str">
            <v>salud_oral</v>
          </cell>
          <cell r="J2181" t="str">
            <v>bueno</v>
          </cell>
          <cell r="K2181" t="str">
            <v>defsi</v>
          </cell>
        </row>
        <row r="2182">
          <cell r="B2182" t="b">
            <v>1</v>
          </cell>
          <cell r="E2182" t="str">
            <v>Candelaria</v>
          </cell>
          <cell r="H2182" t="str">
            <v>salud_oral</v>
          </cell>
          <cell r="J2182" t="str">
            <v>bueno</v>
          </cell>
          <cell r="K2182" t="str">
            <v>defsi</v>
          </cell>
        </row>
        <row r="2183">
          <cell r="B2183" t="b">
            <v>1</v>
          </cell>
          <cell r="E2183" t="str">
            <v>Blasdelezo</v>
          </cell>
          <cell r="H2183" t="str">
            <v>salud_oral</v>
          </cell>
          <cell r="J2183" t="str">
            <v>bueno</v>
          </cell>
          <cell r="K2183" t="str">
            <v>defsi</v>
          </cell>
        </row>
        <row r="2184">
          <cell r="B2184" t="b">
            <v>1</v>
          </cell>
          <cell r="E2184" t="str">
            <v>Candelaria</v>
          </cell>
          <cell r="H2184" t="str">
            <v>laboratorio</v>
          </cell>
          <cell r="J2184" t="str">
            <v>bueno</v>
          </cell>
          <cell r="K2184" t="str">
            <v>defsi</v>
          </cell>
        </row>
        <row r="2185">
          <cell r="B2185" t="b">
            <v>1</v>
          </cell>
          <cell r="E2185" t="str">
            <v>Blasdelezo</v>
          </cell>
          <cell r="H2185" t="str">
            <v>medicina_interna</v>
          </cell>
          <cell r="J2185" t="str">
            <v>muybueno</v>
          </cell>
          <cell r="K2185" t="str">
            <v>defsi</v>
          </cell>
        </row>
        <row r="2186">
          <cell r="B2186" t="b">
            <v>1</v>
          </cell>
          <cell r="E2186" t="str">
            <v>Candelaria</v>
          </cell>
          <cell r="H2186" t="str">
            <v>urgencia</v>
          </cell>
          <cell r="J2186" t="str">
            <v>bueno</v>
          </cell>
          <cell r="K2186" t="str">
            <v>defsi</v>
          </cell>
        </row>
        <row r="2187">
          <cell r="B2187" t="b">
            <v>1</v>
          </cell>
          <cell r="E2187" t="str">
            <v>Blasdelezo</v>
          </cell>
          <cell r="H2187" t="str">
            <v>laboratorio</v>
          </cell>
          <cell r="J2187" t="str">
            <v>muybueno</v>
          </cell>
          <cell r="K2187" t="str">
            <v>defsi</v>
          </cell>
        </row>
        <row r="2188">
          <cell r="B2188" t="b">
            <v>1</v>
          </cell>
          <cell r="E2188" t="str">
            <v>Blasdelezo</v>
          </cell>
          <cell r="H2188" t="str">
            <v>laboratorio</v>
          </cell>
          <cell r="J2188" t="str">
            <v>muybueno</v>
          </cell>
          <cell r="K2188" t="str">
            <v>defsi</v>
          </cell>
        </row>
        <row r="2189">
          <cell r="B2189" t="b">
            <v>1</v>
          </cell>
          <cell r="E2189" t="str">
            <v>Blasdelezo</v>
          </cell>
          <cell r="H2189" t="str">
            <v>laboratorio</v>
          </cell>
          <cell r="J2189" t="str">
            <v>muybueno</v>
          </cell>
          <cell r="K2189" t="str">
            <v>defsi</v>
          </cell>
        </row>
        <row r="2190">
          <cell r="B2190" t="b">
            <v>1</v>
          </cell>
          <cell r="E2190" t="str">
            <v>Blasdelezo</v>
          </cell>
          <cell r="H2190" t="str">
            <v>medicina_interna</v>
          </cell>
          <cell r="J2190" t="str">
            <v>bueno</v>
          </cell>
          <cell r="K2190" t="str">
            <v>defsi</v>
          </cell>
        </row>
        <row r="2191">
          <cell r="B2191" t="b">
            <v>1</v>
          </cell>
          <cell r="E2191" t="str">
            <v>Blasdelezo</v>
          </cell>
          <cell r="H2191" t="str">
            <v>pediatria</v>
          </cell>
          <cell r="J2191" t="str">
            <v>bueno</v>
          </cell>
          <cell r="K2191" t="str">
            <v>defsi</v>
          </cell>
        </row>
        <row r="2192">
          <cell r="B2192" t="b">
            <v>1</v>
          </cell>
          <cell r="E2192" t="str">
            <v>Bocachica</v>
          </cell>
          <cell r="H2192" t="str">
            <v>consulta_externa</v>
          </cell>
          <cell r="J2192" t="str">
            <v>bueno</v>
          </cell>
          <cell r="K2192" t="str">
            <v>probsi</v>
          </cell>
        </row>
        <row r="2193">
          <cell r="B2193" t="b">
            <v>1</v>
          </cell>
          <cell r="E2193" t="str">
            <v>Bocachica</v>
          </cell>
          <cell r="H2193" t="str">
            <v>consulta_externa</v>
          </cell>
          <cell r="J2193" t="str">
            <v>bueno</v>
          </cell>
          <cell r="K2193" t="str">
            <v>probsi</v>
          </cell>
        </row>
        <row r="2194">
          <cell r="B2194" t="b">
            <v>1</v>
          </cell>
          <cell r="E2194" t="str">
            <v>Bocachica</v>
          </cell>
          <cell r="H2194" t="str">
            <v>salud_oral</v>
          </cell>
          <cell r="J2194" t="str">
            <v>bueno</v>
          </cell>
          <cell r="K2194" t="str">
            <v>probsi</v>
          </cell>
        </row>
        <row r="2195">
          <cell r="B2195" t="b">
            <v>1</v>
          </cell>
          <cell r="E2195" t="str">
            <v>Punta Arena</v>
          </cell>
          <cell r="H2195" t="str">
            <v>consulta_externa</v>
          </cell>
          <cell r="J2195" t="str">
            <v>bueno</v>
          </cell>
          <cell r="K2195" t="str">
            <v>probsi</v>
          </cell>
        </row>
        <row r="2196">
          <cell r="B2196" t="b">
            <v>1</v>
          </cell>
          <cell r="E2196" t="str">
            <v>Bocachica</v>
          </cell>
          <cell r="H2196" t="str">
            <v>laboratorio</v>
          </cell>
          <cell r="J2196" t="str">
            <v>bueno</v>
          </cell>
          <cell r="K2196" t="str">
            <v>probsi</v>
          </cell>
        </row>
        <row r="2197">
          <cell r="B2197" t="b">
            <v>1</v>
          </cell>
          <cell r="E2197" t="str">
            <v>Punta Arena</v>
          </cell>
          <cell r="H2197" t="str">
            <v>consulta_externa</v>
          </cell>
          <cell r="J2197" t="str">
            <v>bueno</v>
          </cell>
          <cell r="K2197" t="str">
            <v>probsi</v>
          </cell>
        </row>
        <row r="2198">
          <cell r="B2198" t="b">
            <v>1</v>
          </cell>
          <cell r="E2198" t="str">
            <v>Bocachica</v>
          </cell>
          <cell r="H2198" t="str">
            <v>consulta_externa</v>
          </cell>
          <cell r="J2198" t="str">
            <v>bueno</v>
          </cell>
          <cell r="K2198" t="str">
            <v>probsi</v>
          </cell>
        </row>
        <row r="2199">
          <cell r="B2199" t="b">
            <v>1</v>
          </cell>
          <cell r="E2199" t="str">
            <v>Bocachica</v>
          </cell>
          <cell r="H2199" t="str">
            <v>salud_oral</v>
          </cell>
          <cell r="J2199" t="str">
            <v>bueno</v>
          </cell>
          <cell r="K2199" t="str">
            <v>probsi</v>
          </cell>
        </row>
        <row r="2200">
          <cell r="B2200" t="b">
            <v>1</v>
          </cell>
          <cell r="E2200" t="str">
            <v>Bocachica</v>
          </cell>
          <cell r="H2200" t="str">
            <v>urgencia</v>
          </cell>
          <cell r="J2200" t="str">
            <v>bueno</v>
          </cell>
          <cell r="K2200" t="str">
            <v>probsi</v>
          </cell>
        </row>
        <row r="2201">
          <cell r="B2201" t="b">
            <v>1</v>
          </cell>
          <cell r="E2201" t="str">
            <v>Punta Arena</v>
          </cell>
          <cell r="H2201" t="str">
            <v>consulta_externa</v>
          </cell>
          <cell r="J2201" t="str">
            <v>bueno</v>
          </cell>
          <cell r="K2201" t="str">
            <v>probsi</v>
          </cell>
        </row>
        <row r="2202">
          <cell r="B2202" t="b">
            <v>1</v>
          </cell>
          <cell r="E2202" t="str">
            <v>Punta Arena</v>
          </cell>
          <cell r="H2202" t="str">
            <v>consulta_externa</v>
          </cell>
          <cell r="J2202" t="str">
            <v>bueno</v>
          </cell>
          <cell r="K2202" t="str">
            <v>probsi</v>
          </cell>
        </row>
        <row r="2203">
          <cell r="B2203" t="b">
            <v>1</v>
          </cell>
          <cell r="E2203" t="str">
            <v>Punta Arena</v>
          </cell>
          <cell r="H2203" t="str">
            <v>consulta_externa</v>
          </cell>
          <cell r="J2203" t="str">
            <v>bueno</v>
          </cell>
          <cell r="K2203" t="str">
            <v>probsi</v>
          </cell>
        </row>
        <row r="2204">
          <cell r="B2204" t="b">
            <v>1</v>
          </cell>
          <cell r="E2204" t="str">
            <v>Bocachica</v>
          </cell>
          <cell r="H2204" t="str">
            <v>consulta_externa</v>
          </cell>
          <cell r="J2204" t="str">
            <v>bueno</v>
          </cell>
          <cell r="K2204" t="str">
            <v>probsi</v>
          </cell>
        </row>
        <row r="2205">
          <cell r="B2205" t="b">
            <v>1</v>
          </cell>
          <cell r="E2205" t="str">
            <v>Bocachica</v>
          </cell>
          <cell r="H2205" t="str">
            <v>laboratorio</v>
          </cell>
          <cell r="J2205" t="str">
            <v>bueno</v>
          </cell>
          <cell r="K2205" t="str">
            <v>probsi</v>
          </cell>
        </row>
        <row r="2206">
          <cell r="B2206" t="b">
            <v>1</v>
          </cell>
          <cell r="E2206" t="str">
            <v>Bocachica</v>
          </cell>
          <cell r="H2206" t="str">
            <v>consulta_externa</v>
          </cell>
          <cell r="J2206" t="str">
            <v>bueno</v>
          </cell>
          <cell r="K2206" t="str">
            <v>probsi</v>
          </cell>
        </row>
        <row r="2207">
          <cell r="B2207" t="b">
            <v>1</v>
          </cell>
          <cell r="E2207" t="str">
            <v>Bocachica</v>
          </cell>
          <cell r="H2207" t="str">
            <v>salud_oral</v>
          </cell>
          <cell r="J2207" t="str">
            <v>bueno</v>
          </cell>
          <cell r="K2207" t="str">
            <v>probsi</v>
          </cell>
        </row>
        <row r="2208">
          <cell r="B2208" t="b">
            <v>1</v>
          </cell>
          <cell r="E2208" t="str">
            <v>Bocachica</v>
          </cell>
          <cell r="H2208" t="str">
            <v>consulta_externa</v>
          </cell>
          <cell r="J2208" t="str">
            <v>bueno</v>
          </cell>
          <cell r="K2208" t="str">
            <v>probsi</v>
          </cell>
        </row>
        <row r="2209">
          <cell r="B2209" t="b">
            <v>1</v>
          </cell>
          <cell r="E2209" t="str">
            <v>Bocachica</v>
          </cell>
          <cell r="H2209" t="str">
            <v>laboratorio</v>
          </cell>
          <cell r="J2209" t="str">
            <v>bueno</v>
          </cell>
          <cell r="K2209" t="str">
            <v>probsi</v>
          </cell>
        </row>
        <row r="2210">
          <cell r="B2210" t="b">
            <v>1</v>
          </cell>
          <cell r="E2210" t="str">
            <v>Bocachica</v>
          </cell>
          <cell r="H2210" t="str">
            <v>urgencia</v>
          </cell>
          <cell r="J2210" t="str">
            <v>bueno</v>
          </cell>
          <cell r="K2210" t="str">
            <v>probsi</v>
          </cell>
        </row>
        <row r="2211">
          <cell r="B2211" t="b">
            <v>1</v>
          </cell>
          <cell r="E2211" t="str">
            <v>Bocachica</v>
          </cell>
          <cell r="H2211" t="str">
            <v>consulta_externa</v>
          </cell>
          <cell r="J2211" t="str">
            <v>bueno</v>
          </cell>
          <cell r="K2211" t="str">
            <v>probsi</v>
          </cell>
        </row>
        <row r="2212">
          <cell r="B2212" t="b">
            <v>1</v>
          </cell>
          <cell r="E2212" t="str">
            <v>Bocachica</v>
          </cell>
          <cell r="H2212" t="str">
            <v>salud_oral</v>
          </cell>
          <cell r="J2212" t="str">
            <v>bueno</v>
          </cell>
          <cell r="K2212" t="str">
            <v>probsi</v>
          </cell>
        </row>
        <row r="2213">
          <cell r="B2213" t="b">
            <v>1</v>
          </cell>
          <cell r="E2213" t="str">
            <v>Bocachica</v>
          </cell>
          <cell r="H2213" t="str">
            <v>laboratorio</v>
          </cell>
          <cell r="J2213" t="str">
            <v>bueno</v>
          </cell>
          <cell r="K2213" t="str">
            <v>probsi</v>
          </cell>
        </row>
        <row r="2214">
          <cell r="B2214" t="b">
            <v>0</v>
          </cell>
          <cell r="E2214" t="str">
            <v>Bocachica</v>
          </cell>
          <cell r="H2214" t="str">
            <v>laboratorio</v>
          </cell>
          <cell r="J2214" t="str">
            <v>regular</v>
          </cell>
          <cell r="K2214" t="str">
            <v>probsi</v>
          </cell>
        </row>
        <row r="2215">
          <cell r="B2215" t="b">
            <v>1</v>
          </cell>
          <cell r="E2215" t="str">
            <v>Bocachica</v>
          </cell>
          <cell r="H2215" t="str">
            <v>consulta_externa</v>
          </cell>
          <cell r="J2215" t="str">
            <v>bueno</v>
          </cell>
          <cell r="K2215" t="str">
            <v>probsi</v>
          </cell>
        </row>
        <row r="2216">
          <cell r="B2216" t="b">
            <v>1</v>
          </cell>
          <cell r="E2216" t="str">
            <v>Bocachica</v>
          </cell>
          <cell r="H2216" t="str">
            <v>salud_oral</v>
          </cell>
          <cell r="J2216" t="str">
            <v>bueno</v>
          </cell>
          <cell r="K2216" t="str">
            <v>probsi</v>
          </cell>
        </row>
        <row r="2217">
          <cell r="B2217" t="b">
            <v>1</v>
          </cell>
          <cell r="E2217" t="str">
            <v>Bocachica</v>
          </cell>
          <cell r="H2217" t="str">
            <v>consulta_externa</v>
          </cell>
          <cell r="J2217" t="str">
            <v>bueno</v>
          </cell>
          <cell r="K2217" t="str">
            <v>probsi</v>
          </cell>
        </row>
        <row r="2218">
          <cell r="B2218" t="b">
            <v>1</v>
          </cell>
          <cell r="E2218" t="str">
            <v>Bocachica</v>
          </cell>
          <cell r="H2218" t="str">
            <v>laboratorio</v>
          </cell>
          <cell r="J2218" t="str">
            <v>bueno</v>
          </cell>
          <cell r="K2218" t="str">
            <v>probsi</v>
          </cell>
        </row>
        <row r="2219">
          <cell r="B2219" t="b">
            <v>1</v>
          </cell>
          <cell r="E2219" t="str">
            <v>Bocachica</v>
          </cell>
          <cell r="H2219" t="str">
            <v>urgencia</v>
          </cell>
          <cell r="J2219" t="str">
            <v>bueno</v>
          </cell>
          <cell r="K2219" t="str">
            <v>probsi</v>
          </cell>
        </row>
        <row r="2220">
          <cell r="B2220" t="b">
            <v>0</v>
          </cell>
          <cell r="E2220" t="str">
            <v>Bocachica</v>
          </cell>
          <cell r="H2220" t="str">
            <v>consulta_externa</v>
          </cell>
          <cell r="J2220" t="str">
            <v>regular</v>
          </cell>
          <cell r="K2220" t="str">
            <v>probsi</v>
          </cell>
        </row>
        <row r="2221">
          <cell r="B2221" t="b">
            <v>1</v>
          </cell>
          <cell r="E2221" t="str">
            <v>Bocachica</v>
          </cell>
          <cell r="H2221" t="str">
            <v>urgencia</v>
          </cell>
          <cell r="J2221" t="str">
            <v>bueno</v>
          </cell>
          <cell r="K2221" t="str">
            <v>probsi</v>
          </cell>
        </row>
        <row r="2222">
          <cell r="B2222" t="b">
            <v>1</v>
          </cell>
          <cell r="E2222" t="str">
            <v>Bocachica</v>
          </cell>
          <cell r="H2222" t="str">
            <v>consulta_externa</v>
          </cell>
          <cell r="J2222" t="str">
            <v>bueno</v>
          </cell>
          <cell r="K2222" t="str">
            <v>probsi</v>
          </cell>
        </row>
        <row r="2223">
          <cell r="B2223" t="b">
            <v>1</v>
          </cell>
          <cell r="E2223" t="str">
            <v>Bocachica</v>
          </cell>
          <cell r="H2223" t="str">
            <v>salud_oral</v>
          </cell>
          <cell r="J2223" t="str">
            <v>bueno</v>
          </cell>
          <cell r="K2223" t="str">
            <v>probsi</v>
          </cell>
        </row>
        <row r="2224">
          <cell r="B2224" t="b">
            <v>1</v>
          </cell>
          <cell r="E2224" t="str">
            <v>Bocachica</v>
          </cell>
          <cell r="H2224" t="str">
            <v>salud_oral</v>
          </cell>
          <cell r="J2224" t="str">
            <v>bueno</v>
          </cell>
          <cell r="K2224" t="str">
            <v>probsi</v>
          </cell>
        </row>
        <row r="2225">
          <cell r="B2225" t="b">
            <v>1</v>
          </cell>
          <cell r="E2225" t="str">
            <v>Bocachica</v>
          </cell>
          <cell r="H2225" t="str">
            <v>consulta_externa</v>
          </cell>
          <cell r="J2225" t="str">
            <v>bueno</v>
          </cell>
          <cell r="K2225" t="str">
            <v>probsi</v>
          </cell>
        </row>
        <row r="2226">
          <cell r="B2226" t="b">
            <v>1</v>
          </cell>
          <cell r="E2226" t="str">
            <v>Bocachica</v>
          </cell>
          <cell r="H2226" t="str">
            <v>salud_oral</v>
          </cell>
          <cell r="J2226" t="str">
            <v>bueno</v>
          </cell>
          <cell r="K2226" t="str">
            <v>probsi</v>
          </cell>
        </row>
        <row r="2227">
          <cell r="B2227" t="b">
            <v>1</v>
          </cell>
          <cell r="E2227" t="str">
            <v>Punta Arena</v>
          </cell>
          <cell r="H2227" t="str">
            <v>consulta_externa</v>
          </cell>
          <cell r="J2227" t="str">
            <v>bueno</v>
          </cell>
          <cell r="K2227" t="str">
            <v>probsi</v>
          </cell>
        </row>
        <row r="2228">
          <cell r="B2228" t="b">
            <v>1</v>
          </cell>
          <cell r="E2228" t="str">
            <v>Punta Arena</v>
          </cell>
          <cell r="H2228" t="str">
            <v>consulta_externa</v>
          </cell>
          <cell r="J2228" t="str">
            <v>bueno</v>
          </cell>
          <cell r="K2228" t="str">
            <v>probsi</v>
          </cell>
        </row>
        <row r="2229">
          <cell r="B2229" t="b">
            <v>1</v>
          </cell>
          <cell r="E2229" t="str">
            <v>Punta Arena</v>
          </cell>
          <cell r="H2229" t="str">
            <v>laboratorio</v>
          </cell>
          <cell r="J2229" t="str">
            <v>bueno</v>
          </cell>
          <cell r="K2229" t="str">
            <v>probsi</v>
          </cell>
        </row>
        <row r="2230">
          <cell r="B2230" t="b">
            <v>1</v>
          </cell>
          <cell r="E2230" t="str">
            <v>Punta Arena</v>
          </cell>
          <cell r="H2230" t="str">
            <v>consulta_externa</v>
          </cell>
          <cell r="J2230" t="str">
            <v>bueno</v>
          </cell>
          <cell r="K2230" t="str">
            <v>probsi</v>
          </cell>
        </row>
        <row r="2231">
          <cell r="B2231" t="b">
            <v>1</v>
          </cell>
          <cell r="E2231" t="str">
            <v>Bocachica</v>
          </cell>
          <cell r="H2231" t="str">
            <v>consulta_externa</v>
          </cell>
          <cell r="J2231" t="str">
            <v>bueno</v>
          </cell>
          <cell r="K2231" t="str">
            <v>probsi</v>
          </cell>
        </row>
        <row r="2232">
          <cell r="B2232" t="b">
            <v>1</v>
          </cell>
          <cell r="E2232" t="str">
            <v>Bocachica</v>
          </cell>
          <cell r="H2232" t="str">
            <v>consulta_externa</v>
          </cell>
          <cell r="J2232" t="str">
            <v>bueno</v>
          </cell>
          <cell r="K2232" t="str">
            <v>probsi</v>
          </cell>
        </row>
        <row r="2233">
          <cell r="B2233" t="b">
            <v>1</v>
          </cell>
          <cell r="E2233" t="str">
            <v>Bocachica</v>
          </cell>
          <cell r="H2233" t="str">
            <v>salud_oral</v>
          </cell>
          <cell r="J2233" t="str">
            <v>bueno</v>
          </cell>
          <cell r="K2233" t="str">
            <v>probsi</v>
          </cell>
        </row>
        <row r="2234">
          <cell r="B2234" t="b">
            <v>1</v>
          </cell>
          <cell r="E2234" t="str">
            <v>Bocachica</v>
          </cell>
          <cell r="H2234" t="str">
            <v>salud_oral</v>
          </cell>
          <cell r="J2234" t="str">
            <v>bueno</v>
          </cell>
          <cell r="K2234" t="str">
            <v>probsi</v>
          </cell>
        </row>
        <row r="2235">
          <cell r="B2235" t="b">
            <v>1</v>
          </cell>
          <cell r="E2235" t="str">
            <v>Bocachica</v>
          </cell>
          <cell r="H2235" t="str">
            <v>laboratorio</v>
          </cell>
          <cell r="J2235" t="str">
            <v>bueno</v>
          </cell>
          <cell r="K2235" t="str">
            <v>probsi</v>
          </cell>
        </row>
        <row r="2236">
          <cell r="B2236" t="b">
            <v>1</v>
          </cell>
          <cell r="E2236" t="str">
            <v>Bocachica</v>
          </cell>
          <cell r="H2236" t="str">
            <v>consulta_externa</v>
          </cell>
          <cell r="J2236" t="str">
            <v>bueno</v>
          </cell>
          <cell r="K2236" t="str">
            <v>probsi</v>
          </cell>
        </row>
        <row r="2237">
          <cell r="B2237" t="b">
            <v>1</v>
          </cell>
          <cell r="E2237" t="str">
            <v>Bocachica</v>
          </cell>
          <cell r="H2237" t="str">
            <v>consulta_externa</v>
          </cell>
          <cell r="J2237" t="str">
            <v>bueno</v>
          </cell>
          <cell r="K2237" t="str">
            <v>probsi</v>
          </cell>
        </row>
        <row r="2238">
          <cell r="B2238" t="b">
            <v>1</v>
          </cell>
          <cell r="E2238" t="str">
            <v>Bocachica</v>
          </cell>
          <cell r="H2238" t="str">
            <v>consulta_externa</v>
          </cell>
          <cell r="J2238" t="str">
            <v>bueno</v>
          </cell>
          <cell r="K2238" t="str">
            <v>probsi</v>
          </cell>
        </row>
        <row r="2239">
          <cell r="B2239" t="b">
            <v>1</v>
          </cell>
          <cell r="E2239" t="str">
            <v>Bocachica</v>
          </cell>
          <cell r="H2239" t="str">
            <v>salud_oral</v>
          </cell>
          <cell r="J2239" t="str">
            <v>bueno</v>
          </cell>
          <cell r="K2239" t="str">
            <v>probsi</v>
          </cell>
        </row>
        <row r="2240">
          <cell r="B2240" t="b">
            <v>1</v>
          </cell>
          <cell r="E2240" t="str">
            <v>Bocachica</v>
          </cell>
          <cell r="H2240" t="str">
            <v>laboratorio</v>
          </cell>
          <cell r="J2240" t="str">
            <v>bueno</v>
          </cell>
          <cell r="K2240" t="str">
            <v>probsi</v>
          </cell>
        </row>
        <row r="2241">
          <cell r="B2241" t="b">
            <v>1</v>
          </cell>
          <cell r="E2241" t="str">
            <v>Bocachica</v>
          </cell>
          <cell r="H2241" t="str">
            <v>salud_oral</v>
          </cell>
          <cell r="J2241" t="str">
            <v>bueno</v>
          </cell>
          <cell r="K2241" t="str">
            <v>probsi</v>
          </cell>
        </row>
        <row r="2242">
          <cell r="B2242" t="b">
            <v>1</v>
          </cell>
          <cell r="E2242" t="str">
            <v>Bocachica</v>
          </cell>
          <cell r="H2242" t="str">
            <v>laboratorio</v>
          </cell>
          <cell r="J2242" t="str">
            <v>bueno</v>
          </cell>
          <cell r="K2242" t="str">
            <v>probsi</v>
          </cell>
        </row>
        <row r="2243">
          <cell r="B2243" t="b">
            <v>1</v>
          </cell>
          <cell r="E2243" t="str">
            <v>Bocachica</v>
          </cell>
          <cell r="H2243" t="str">
            <v>consulta_externa</v>
          </cell>
          <cell r="J2243" t="str">
            <v>bueno</v>
          </cell>
          <cell r="K2243" t="str">
            <v>probsi</v>
          </cell>
        </row>
        <row r="2244">
          <cell r="B2244" t="b">
            <v>1</v>
          </cell>
          <cell r="E2244" t="str">
            <v>Candelaria</v>
          </cell>
          <cell r="H2244" t="str">
            <v>consulta_externa</v>
          </cell>
          <cell r="J2244" t="str">
            <v>bueno</v>
          </cell>
          <cell r="K2244" t="str">
            <v>defsi</v>
          </cell>
        </row>
        <row r="2245">
          <cell r="B2245" t="b">
            <v>1</v>
          </cell>
          <cell r="E2245" t="str">
            <v>Bocachica</v>
          </cell>
          <cell r="H2245" t="str">
            <v>consulta_externa</v>
          </cell>
          <cell r="J2245" t="str">
            <v>bueno</v>
          </cell>
          <cell r="K2245" t="str">
            <v>probsi</v>
          </cell>
        </row>
        <row r="2246">
          <cell r="B2246" t="b">
            <v>1</v>
          </cell>
          <cell r="E2246" t="str">
            <v>Bocachica</v>
          </cell>
          <cell r="H2246" t="str">
            <v>laboratorio</v>
          </cell>
          <cell r="J2246" t="str">
            <v>bueno</v>
          </cell>
          <cell r="K2246" t="str">
            <v>probsi</v>
          </cell>
        </row>
        <row r="2247">
          <cell r="B2247" t="b">
            <v>1</v>
          </cell>
          <cell r="E2247" t="str">
            <v>Candelaria</v>
          </cell>
          <cell r="H2247" t="str">
            <v>salud_oral</v>
          </cell>
          <cell r="J2247" t="str">
            <v>bueno</v>
          </cell>
          <cell r="K2247" t="str">
            <v>defsi</v>
          </cell>
        </row>
        <row r="2248">
          <cell r="B2248" t="b">
            <v>1</v>
          </cell>
          <cell r="E2248" t="str">
            <v>Bocachica</v>
          </cell>
          <cell r="H2248" t="str">
            <v>urgencia</v>
          </cell>
          <cell r="J2248" t="str">
            <v>bueno</v>
          </cell>
          <cell r="K2248" t="str">
            <v>probsi</v>
          </cell>
        </row>
        <row r="2249">
          <cell r="B2249" t="b">
            <v>1</v>
          </cell>
          <cell r="E2249" t="str">
            <v>Bocachica</v>
          </cell>
          <cell r="H2249" t="str">
            <v>urgencia</v>
          </cell>
          <cell r="J2249" t="str">
            <v>bueno</v>
          </cell>
          <cell r="K2249" t="str">
            <v>probsi</v>
          </cell>
        </row>
        <row r="2250">
          <cell r="B2250" t="b">
            <v>1</v>
          </cell>
          <cell r="E2250" t="str">
            <v>Candelaria</v>
          </cell>
          <cell r="H2250" t="str">
            <v>laboratorio</v>
          </cell>
          <cell r="J2250" t="str">
            <v>bueno</v>
          </cell>
          <cell r="K2250" t="str">
            <v>defsi</v>
          </cell>
        </row>
        <row r="2251">
          <cell r="B2251" t="b">
            <v>1</v>
          </cell>
          <cell r="E2251" t="str">
            <v>Bocachica</v>
          </cell>
          <cell r="H2251" t="str">
            <v>urgencia</v>
          </cell>
          <cell r="J2251" t="str">
            <v>bueno</v>
          </cell>
          <cell r="K2251" t="str">
            <v>probsi</v>
          </cell>
        </row>
        <row r="2252">
          <cell r="B2252" t="b">
            <v>1</v>
          </cell>
          <cell r="E2252" t="str">
            <v>Candelaria</v>
          </cell>
          <cell r="H2252" t="str">
            <v>urgencia</v>
          </cell>
          <cell r="J2252" t="str">
            <v>bueno</v>
          </cell>
          <cell r="K2252" t="str">
            <v>defsi</v>
          </cell>
        </row>
        <row r="2253">
          <cell r="B2253" t="b">
            <v>1</v>
          </cell>
          <cell r="E2253" t="str">
            <v>Punta Arena</v>
          </cell>
          <cell r="H2253" t="str">
            <v>consulta_externa</v>
          </cell>
          <cell r="J2253" t="str">
            <v>bueno</v>
          </cell>
          <cell r="K2253" t="str">
            <v>probsi</v>
          </cell>
        </row>
        <row r="2254">
          <cell r="B2254" t="b">
            <v>1</v>
          </cell>
          <cell r="E2254" t="str">
            <v>Punta Arena</v>
          </cell>
          <cell r="H2254" t="str">
            <v>consulta_externa</v>
          </cell>
          <cell r="J2254" t="str">
            <v>bueno</v>
          </cell>
          <cell r="K2254" t="str">
            <v>probsi</v>
          </cell>
        </row>
        <row r="2255">
          <cell r="B2255" t="b">
            <v>1</v>
          </cell>
          <cell r="E2255" t="str">
            <v>Candelaria</v>
          </cell>
          <cell r="H2255" t="str">
            <v>electros</v>
          </cell>
          <cell r="J2255" t="str">
            <v>bueno</v>
          </cell>
          <cell r="K2255" t="str">
            <v>defsi</v>
          </cell>
        </row>
        <row r="2256">
          <cell r="B2256" t="b">
            <v>1</v>
          </cell>
          <cell r="E2256" t="str">
            <v>Punta Arena</v>
          </cell>
          <cell r="H2256" t="str">
            <v>consulta_externa</v>
          </cell>
          <cell r="J2256" t="str">
            <v>bueno</v>
          </cell>
          <cell r="K2256" t="str">
            <v>probsi</v>
          </cell>
        </row>
        <row r="2257">
          <cell r="B2257" t="b">
            <v>1</v>
          </cell>
          <cell r="E2257" t="str">
            <v>Punta Arena</v>
          </cell>
          <cell r="H2257" t="str">
            <v>consulta_externa</v>
          </cell>
          <cell r="J2257" t="str">
            <v>bueno</v>
          </cell>
          <cell r="K2257" t="str">
            <v>probsi</v>
          </cell>
        </row>
        <row r="2258">
          <cell r="B2258" t="b">
            <v>1</v>
          </cell>
          <cell r="E2258" t="str">
            <v>Punta Arena</v>
          </cell>
          <cell r="H2258" t="str">
            <v>consulta_externa</v>
          </cell>
          <cell r="J2258" t="str">
            <v>bueno</v>
          </cell>
          <cell r="K2258" t="str">
            <v>probsi</v>
          </cell>
        </row>
        <row r="2259">
          <cell r="B2259" t="b">
            <v>1</v>
          </cell>
          <cell r="E2259" t="str">
            <v>Candelaria</v>
          </cell>
          <cell r="H2259" t="str">
            <v>pediatria</v>
          </cell>
          <cell r="J2259" t="str">
            <v>bueno</v>
          </cell>
          <cell r="K2259" t="str">
            <v>defsi</v>
          </cell>
        </row>
        <row r="2260">
          <cell r="B2260" t="b">
            <v>1</v>
          </cell>
          <cell r="E2260" t="str">
            <v>Punta Arena</v>
          </cell>
          <cell r="H2260" t="str">
            <v>consulta_externa</v>
          </cell>
          <cell r="J2260" t="str">
            <v>bueno</v>
          </cell>
          <cell r="K2260" t="str">
            <v>probsi</v>
          </cell>
        </row>
        <row r="2261">
          <cell r="B2261" t="b">
            <v>1</v>
          </cell>
          <cell r="E2261" t="str">
            <v>Punta Arena</v>
          </cell>
          <cell r="H2261" t="str">
            <v>laboratorio</v>
          </cell>
          <cell r="J2261" t="str">
            <v>bueno</v>
          </cell>
          <cell r="K2261" t="str">
            <v>probsi</v>
          </cell>
        </row>
        <row r="2262">
          <cell r="B2262" t="b">
            <v>1</v>
          </cell>
          <cell r="E2262" t="str">
            <v>Candelaria</v>
          </cell>
          <cell r="H2262" t="str">
            <v>medicina_interna</v>
          </cell>
          <cell r="J2262" t="str">
            <v>bueno</v>
          </cell>
          <cell r="K2262" t="str">
            <v>defsi</v>
          </cell>
        </row>
        <row r="2263">
          <cell r="B2263" t="b">
            <v>1</v>
          </cell>
          <cell r="E2263" t="str">
            <v>Punta Arena</v>
          </cell>
          <cell r="H2263" t="str">
            <v>consulta_externa</v>
          </cell>
          <cell r="J2263" t="str">
            <v>bueno</v>
          </cell>
          <cell r="K2263" t="str">
            <v>probsi</v>
          </cell>
        </row>
        <row r="2264">
          <cell r="B2264" t="b">
            <v>1</v>
          </cell>
          <cell r="E2264" t="str">
            <v>Punta Arena</v>
          </cell>
          <cell r="H2264" t="str">
            <v>consulta_externa</v>
          </cell>
          <cell r="J2264" t="str">
            <v>bueno</v>
          </cell>
          <cell r="K2264" t="str">
            <v>probsi</v>
          </cell>
        </row>
        <row r="2265">
          <cell r="B2265" t="b">
            <v>1</v>
          </cell>
          <cell r="E2265" t="str">
            <v>Punta Arena</v>
          </cell>
          <cell r="H2265" t="str">
            <v>laboratorio</v>
          </cell>
          <cell r="J2265" t="str">
            <v>bueno</v>
          </cell>
          <cell r="K2265" t="str">
            <v>probsi</v>
          </cell>
        </row>
        <row r="2266">
          <cell r="B2266" t="b">
            <v>1</v>
          </cell>
          <cell r="E2266" t="str">
            <v>Punta Arena</v>
          </cell>
          <cell r="H2266" t="str">
            <v>laboratorio</v>
          </cell>
          <cell r="J2266" t="str">
            <v>bueno</v>
          </cell>
          <cell r="K2266" t="str">
            <v>probsi</v>
          </cell>
        </row>
        <row r="2267">
          <cell r="B2267" t="b">
            <v>1</v>
          </cell>
          <cell r="E2267" t="str">
            <v>Punta Arena</v>
          </cell>
          <cell r="H2267" t="str">
            <v>laboratorio</v>
          </cell>
          <cell r="J2267" t="str">
            <v>bueno</v>
          </cell>
          <cell r="K2267" t="str">
            <v>probsi</v>
          </cell>
        </row>
        <row r="2268">
          <cell r="B2268" t="b">
            <v>1</v>
          </cell>
          <cell r="E2268" t="str">
            <v>Punta Arena</v>
          </cell>
          <cell r="H2268" t="str">
            <v>salud_oral</v>
          </cell>
          <cell r="J2268" t="str">
            <v>bueno</v>
          </cell>
          <cell r="K2268" t="str">
            <v>probsi</v>
          </cell>
        </row>
        <row r="2269">
          <cell r="B2269" t="b">
            <v>1</v>
          </cell>
          <cell r="E2269" t="str">
            <v>Tierra Bomba</v>
          </cell>
          <cell r="H2269" t="str">
            <v>laboratorio</v>
          </cell>
          <cell r="J2269" t="str">
            <v>bueno</v>
          </cell>
          <cell r="K2269" t="str">
            <v>defsi</v>
          </cell>
        </row>
        <row r="2270">
          <cell r="B2270" t="b">
            <v>1</v>
          </cell>
          <cell r="E2270" t="str">
            <v>Punta Arena</v>
          </cell>
          <cell r="H2270" t="str">
            <v>consulta_externa</v>
          </cell>
          <cell r="J2270" t="str">
            <v>bueno</v>
          </cell>
          <cell r="K2270" t="str">
            <v>probsi</v>
          </cell>
        </row>
        <row r="2271">
          <cell r="B2271" t="b">
            <v>1</v>
          </cell>
          <cell r="E2271" t="str">
            <v>Tierra Bomba</v>
          </cell>
          <cell r="H2271" t="str">
            <v>laboratorio</v>
          </cell>
          <cell r="J2271" t="str">
            <v>bueno</v>
          </cell>
          <cell r="K2271" t="str">
            <v>defsi</v>
          </cell>
        </row>
        <row r="2272">
          <cell r="B2272" t="b">
            <v>1</v>
          </cell>
          <cell r="E2272" t="str">
            <v>Candelaria</v>
          </cell>
          <cell r="H2272" t="str">
            <v>consulta_externa</v>
          </cell>
          <cell r="J2272" t="str">
            <v>bueno</v>
          </cell>
          <cell r="K2272" t="str">
            <v>defsi</v>
          </cell>
        </row>
        <row r="2273">
          <cell r="B2273" t="b">
            <v>1</v>
          </cell>
          <cell r="E2273" t="str">
            <v>Candelaria</v>
          </cell>
          <cell r="H2273" t="str">
            <v>salud_oral</v>
          </cell>
          <cell r="J2273" t="str">
            <v>bueno</v>
          </cell>
          <cell r="K2273" t="str">
            <v>defsi</v>
          </cell>
        </row>
        <row r="2274">
          <cell r="B2274" t="b">
            <v>1</v>
          </cell>
          <cell r="E2274" t="str">
            <v>Candelaria</v>
          </cell>
          <cell r="H2274" t="str">
            <v>laboratorio</v>
          </cell>
          <cell r="J2274" t="str">
            <v>bueno</v>
          </cell>
          <cell r="K2274" t="str">
            <v>defsi</v>
          </cell>
        </row>
        <row r="2275">
          <cell r="B2275" t="b">
            <v>0</v>
          </cell>
          <cell r="E2275" t="str">
            <v>Tierra Bomba</v>
          </cell>
          <cell r="H2275" t="str">
            <v>laboratorio</v>
          </cell>
          <cell r="J2275" t="str">
            <v>regular</v>
          </cell>
          <cell r="K2275" t="str">
            <v>probsi</v>
          </cell>
        </row>
        <row r="2276">
          <cell r="B2276" t="b">
            <v>1</v>
          </cell>
          <cell r="E2276" t="str">
            <v>Candelaria</v>
          </cell>
          <cell r="H2276" t="str">
            <v>urgencia</v>
          </cell>
          <cell r="J2276" t="str">
            <v>bueno</v>
          </cell>
          <cell r="K2276" t="str">
            <v>defsi</v>
          </cell>
        </row>
        <row r="2277">
          <cell r="B2277" t="b">
            <v>1</v>
          </cell>
          <cell r="E2277" t="str">
            <v>Tierra Bomba</v>
          </cell>
          <cell r="H2277" t="str">
            <v>laboratorio</v>
          </cell>
          <cell r="J2277" t="str">
            <v>bueno</v>
          </cell>
          <cell r="K2277" t="str">
            <v>defsi</v>
          </cell>
        </row>
        <row r="2278">
          <cell r="B2278" t="b">
            <v>1</v>
          </cell>
          <cell r="E2278" t="str">
            <v>Candelaria</v>
          </cell>
          <cell r="H2278" t="str">
            <v>electros</v>
          </cell>
          <cell r="J2278" t="str">
            <v>bueno</v>
          </cell>
          <cell r="K2278" t="str">
            <v>defsi</v>
          </cell>
        </row>
        <row r="2279">
          <cell r="B2279" t="b">
            <v>1</v>
          </cell>
          <cell r="E2279" t="str">
            <v>Candelaria</v>
          </cell>
          <cell r="H2279" t="str">
            <v>pediatria</v>
          </cell>
          <cell r="J2279" t="str">
            <v>bueno</v>
          </cell>
          <cell r="K2279" t="str">
            <v>defsi</v>
          </cell>
        </row>
        <row r="2280">
          <cell r="B2280" t="b">
            <v>1</v>
          </cell>
          <cell r="E2280" t="str">
            <v>Candelaria</v>
          </cell>
          <cell r="H2280" t="str">
            <v>medicina_interna</v>
          </cell>
          <cell r="J2280" t="str">
            <v>bueno</v>
          </cell>
          <cell r="K2280" t="str">
            <v>defsi</v>
          </cell>
        </row>
        <row r="2281">
          <cell r="B2281" t="b">
            <v>1</v>
          </cell>
          <cell r="E2281" t="str">
            <v>Tierra Bomba</v>
          </cell>
          <cell r="H2281" t="str">
            <v>salud_oral</v>
          </cell>
          <cell r="J2281" t="str">
            <v>muybueno</v>
          </cell>
          <cell r="K2281" t="str">
            <v>defsi</v>
          </cell>
        </row>
        <row r="2282">
          <cell r="B2282" t="b">
            <v>1</v>
          </cell>
          <cell r="E2282" t="str">
            <v>Tierra Bomba</v>
          </cell>
          <cell r="H2282" t="str">
            <v>laboratorio</v>
          </cell>
          <cell r="J2282" t="str">
            <v>bueno</v>
          </cell>
          <cell r="K2282" t="str">
            <v>defsi</v>
          </cell>
        </row>
        <row r="2283">
          <cell r="B2283" t="b">
            <v>1</v>
          </cell>
          <cell r="E2283" t="str">
            <v>Punta Arena</v>
          </cell>
          <cell r="H2283" t="str">
            <v>consulta_externa</v>
          </cell>
          <cell r="J2283" t="str">
            <v>bueno</v>
          </cell>
          <cell r="K2283" t="str">
            <v>probsi</v>
          </cell>
        </row>
        <row r="2284">
          <cell r="B2284" t="b">
            <v>1</v>
          </cell>
          <cell r="E2284" t="str">
            <v>Punta Arena</v>
          </cell>
          <cell r="H2284" t="str">
            <v>laboratorio</v>
          </cell>
          <cell r="J2284" t="str">
            <v>bueno</v>
          </cell>
          <cell r="K2284" t="str">
            <v>probsi</v>
          </cell>
        </row>
        <row r="2285">
          <cell r="B2285" t="b">
            <v>1</v>
          </cell>
          <cell r="E2285" t="str">
            <v>Punta Arena</v>
          </cell>
          <cell r="H2285" t="str">
            <v>salud_oral</v>
          </cell>
          <cell r="J2285" t="str">
            <v>bueno</v>
          </cell>
          <cell r="K2285" t="str">
            <v>probsi</v>
          </cell>
        </row>
        <row r="2286">
          <cell r="B2286" t="b">
            <v>1</v>
          </cell>
          <cell r="E2286" t="str">
            <v>Punta Arena</v>
          </cell>
          <cell r="H2286" t="str">
            <v>salud_oral</v>
          </cell>
          <cell r="J2286" t="str">
            <v>bueno</v>
          </cell>
          <cell r="K2286" t="str">
            <v>probsi</v>
          </cell>
        </row>
        <row r="2287">
          <cell r="B2287" t="b">
            <v>1</v>
          </cell>
          <cell r="E2287" t="str">
            <v>Punta Arena</v>
          </cell>
          <cell r="H2287" t="str">
            <v>salud_oral</v>
          </cell>
          <cell r="J2287" t="str">
            <v>bueno</v>
          </cell>
          <cell r="K2287" t="str">
            <v>probsi</v>
          </cell>
        </row>
        <row r="2288">
          <cell r="B2288" t="b">
            <v>1</v>
          </cell>
          <cell r="E2288" t="str">
            <v>Punta Arena</v>
          </cell>
          <cell r="H2288" t="str">
            <v>salud_oral</v>
          </cell>
          <cell r="J2288" t="str">
            <v>bueno</v>
          </cell>
          <cell r="K2288" t="str">
            <v>probsi</v>
          </cell>
        </row>
        <row r="2289">
          <cell r="B2289" t="b">
            <v>1</v>
          </cell>
          <cell r="E2289" t="str">
            <v>Punta Arena</v>
          </cell>
          <cell r="H2289" t="str">
            <v>salud_oral</v>
          </cell>
          <cell r="J2289" t="str">
            <v>bueno</v>
          </cell>
          <cell r="K2289" t="str">
            <v>probsi</v>
          </cell>
        </row>
        <row r="2290">
          <cell r="B2290" t="b">
            <v>1</v>
          </cell>
          <cell r="E2290" t="str">
            <v>Punta Arena</v>
          </cell>
          <cell r="H2290" t="str">
            <v>salud_oral</v>
          </cell>
          <cell r="J2290" t="str">
            <v>bueno</v>
          </cell>
          <cell r="K2290" t="str">
            <v>probsi</v>
          </cell>
        </row>
        <row r="2291">
          <cell r="B2291" t="b">
            <v>1</v>
          </cell>
          <cell r="E2291" t="str">
            <v>Punta Arena</v>
          </cell>
          <cell r="H2291" t="str">
            <v>salud_oral</v>
          </cell>
          <cell r="J2291" t="str">
            <v>bueno</v>
          </cell>
          <cell r="K2291" t="str">
            <v>probsi</v>
          </cell>
        </row>
        <row r="2292">
          <cell r="B2292" t="b">
            <v>1</v>
          </cell>
          <cell r="E2292" t="str">
            <v>Tierra Bomba</v>
          </cell>
          <cell r="H2292" t="str">
            <v>consulta_externa</v>
          </cell>
          <cell r="J2292" t="str">
            <v>bueno</v>
          </cell>
          <cell r="K2292" t="str">
            <v>defsi</v>
          </cell>
        </row>
        <row r="2293">
          <cell r="B2293" t="b">
            <v>1</v>
          </cell>
          <cell r="E2293" t="str">
            <v>Punta Arena</v>
          </cell>
          <cell r="H2293" t="str">
            <v>salud_oral</v>
          </cell>
          <cell r="J2293" t="str">
            <v>bueno</v>
          </cell>
          <cell r="K2293" t="str">
            <v>probsi</v>
          </cell>
        </row>
        <row r="2294">
          <cell r="B2294" t="b">
            <v>1</v>
          </cell>
          <cell r="E2294" t="str">
            <v>Punta Arena</v>
          </cell>
          <cell r="H2294" t="str">
            <v>salud_oral</v>
          </cell>
          <cell r="J2294" t="str">
            <v>bueno</v>
          </cell>
          <cell r="K2294" t="str">
            <v>probsi</v>
          </cell>
        </row>
        <row r="2295">
          <cell r="B2295" t="b">
            <v>1</v>
          </cell>
          <cell r="E2295" t="str">
            <v>Candelaria</v>
          </cell>
          <cell r="H2295" t="str">
            <v>consulta_externa</v>
          </cell>
          <cell r="J2295" t="str">
            <v>bueno</v>
          </cell>
          <cell r="K2295" t="str">
            <v>defsi</v>
          </cell>
        </row>
        <row r="2296">
          <cell r="B2296" t="b">
            <v>1</v>
          </cell>
          <cell r="E2296" t="str">
            <v>Candelaria</v>
          </cell>
          <cell r="H2296" t="str">
            <v>salud_oral</v>
          </cell>
          <cell r="J2296" t="str">
            <v>bueno</v>
          </cell>
          <cell r="K2296" t="str">
            <v>defsi</v>
          </cell>
        </row>
        <row r="2297">
          <cell r="B2297" t="b">
            <v>1</v>
          </cell>
          <cell r="E2297" t="str">
            <v>Tierra Bomba</v>
          </cell>
          <cell r="H2297" t="str">
            <v>consulta_externa</v>
          </cell>
          <cell r="J2297" t="str">
            <v>bueno</v>
          </cell>
          <cell r="K2297" t="str">
            <v>defsi</v>
          </cell>
        </row>
        <row r="2298">
          <cell r="B2298" t="b">
            <v>1</v>
          </cell>
          <cell r="E2298" t="str">
            <v>Candelaria</v>
          </cell>
          <cell r="H2298" t="str">
            <v>laboratorio</v>
          </cell>
          <cell r="J2298" t="str">
            <v>bueno</v>
          </cell>
          <cell r="K2298" t="str">
            <v>defsi</v>
          </cell>
        </row>
        <row r="2299">
          <cell r="B2299" t="b">
            <v>1</v>
          </cell>
          <cell r="E2299" t="str">
            <v>Candelaria</v>
          </cell>
          <cell r="H2299" t="str">
            <v>urgencia</v>
          </cell>
          <cell r="J2299" t="str">
            <v>bueno</v>
          </cell>
          <cell r="K2299" t="str">
            <v>defsi</v>
          </cell>
        </row>
        <row r="2300">
          <cell r="B2300" t="b">
            <v>1</v>
          </cell>
          <cell r="E2300" t="str">
            <v>Candelaria</v>
          </cell>
          <cell r="H2300" t="str">
            <v>electros</v>
          </cell>
          <cell r="J2300" t="str">
            <v>bueno</v>
          </cell>
          <cell r="K2300" t="str">
            <v>defsi</v>
          </cell>
        </row>
        <row r="2301">
          <cell r="B2301" t="b">
            <v>1</v>
          </cell>
          <cell r="E2301" t="str">
            <v>Tierra Bomba</v>
          </cell>
          <cell r="H2301" t="str">
            <v>laboratorio</v>
          </cell>
          <cell r="J2301" t="str">
            <v>bueno</v>
          </cell>
          <cell r="K2301" t="str">
            <v>defsi</v>
          </cell>
        </row>
        <row r="2302">
          <cell r="B2302" t="b">
            <v>1</v>
          </cell>
          <cell r="E2302" t="str">
            <v>Candelaria</v>
          </cell>
          <cell r="H2302" t="str">
            <v>pediatria</v>
          </cell>
          <cell r="J2302" t="str">
            <v>bueno</v>
          </cell>
          <cell r="K2302" t="str">
            <v>defsi</v>
          </cell>
        </row>
        <row r="2303">
          <cell r="B2303" t="b">
            <v>1</v>
          </cell>
          <cell r="E2303" t="str">
            <v>Candelaria</v>
          </cell>
          <cell r="H2303" t="str">
            <v>medicina_interna</v>
          </cell>
          <cell r="J2303" t="str">
            <v>bueno</v>
          </cell>
          <cell r="K2303" t="str">
            <v>defsi</v>
          </cell>
        </row>
        <row r="2304">
          <cell r="B2304" t="b">
            <v>1</v>
          </cell>
          <cell r="E2304" t="str">
            <v>Tierra Bomba</v>
          </cell>
          <cell r="H2304" t="str">
            <v>laboratorio</v>
          </cell>
          <cell r="J2304" t="str">
            <v>bueno</v>
          </cell>
          <cell r="K2304" t="str">
            <v>defsi</v>
          </cell>
        </row>
        <row r="2305">
          <cell r="B2305" t="b">
            <v>1</v>
          </cell>
          <cell r="E2305" t="str">
            <v>Tierra Bomba</v>
          </cell>
          <cell r="H2305" t="str">
            <v>consulta_externa</v>
          </cell>
          <cell r="J2305" t="str">
            <v>bueno</v>
          </cell>
          <cell r="K2305" t="str">
            <v>defsi</v>
          </cell>
        </row>
        <row r="2306">
          <cell r="B2306" t="b">
            <v>1</v>
          </cell>
          <cell r="E2306" t="str">
            <v>Tierra Bomba</v>
          </cell>
          <cell r="H2306" t="str">
            <v>consulta_externa</v>
          </cell>
          <cell r="J2306" t="str">
            <v>bueno</v>
          </cell>
          <cell r="K2306" t="str">
            <v>defsi</v>
          </cell>
        </row>
        <row r="2307">
          <cell r="B2307" t="b">
            <v>1</v>
          </cell>
          <cell r="E2307" t="str">
            <v>Tierra Bomba</v>
          </cell>
          <cell r="H2307" t="str">
            <v>consulta_externa</v>
          </cell>
          <cell r="J2307" t="str">
            <v>bueno</v>
          </cell>
          <cell r="K2307" t="str">
            <v>defsi</v>
          </cell>
        </row>
        <row r="2308">
          <cell r="B2308" t="b">
            <v>1</v>
          </cell>
          <cell r="E2308" t="str">
            <v>Candelaria</v>
          </cell>
          <cell r="H2308" t="str">
            <v>consulta_externa</v>
          </cell>
          <cell r="J2308" t="str">
            <v>bueno</v>
          </cell>
          <cell r="K2308" t="str">
            <v>defsi</v>
          </cell>
        </row>
        <row r="2309">
          <cell r="B2309" t="b">
            <v>1</v>
          </cell>
          <cell r="E2309" t="str">
            <v>Tierra Bomba</v>
          </cell>
          <cell r="H2309" t="str">
            <v>consulta_externa</v>
          </cell>
          <cell r="J2309" t="str">
            <v>bueno</v>
          </cell>
          <cell r="K2309" t="str">
            <v>defsi</v>
          </cell>
        </row>
        <row r="2310">
          <cell r="B2310" t="b">
            <v>1</v>
          </cell>
          <cell r="E2310" t="str">
            <v>Candelaria</v>
          </cell>
          <cell r="H2310" t="str">
            <v>salud_oral</v>
          </cell>
          <cell r="J2310" t="str">
            <v>bueno</v>
          </cell>
          <cell r="K2310" t="str">
            <v>defsi</v>
          </cell>
        </row>
        <row r="2311">
          <cell r="B2311" t="b">
            <v>1</v>
          </cell>
          <cell r="E2311" t="str">
            <v>Tierra Bomba</v>
          </cell>
          <cell r="H2311" t="str">
            <v>consulta_externa</v>
          </cell>
          <cell r="J2311" t="str">
            <v>bueno</v>
          </cell>
          <cell r="K2311" t="str">
            <v>defsi</v>
          </cell>
        </row>
        <row r="2312">
          <cell r="B2312" t="b">
            <v>1</v>
          </cell>
          <cell r="E2312" t="str">
            <v>Candelaria</v>
          </cell>
          <cell r="H2312" t="str">
            <v>laboratorio</v>
          </cell>
          <cell r="J2312" t="str">
            <v>bueno</v>
          </cell>
          <cell r="K2312" t="str">
            <v>defsi</v>
          </cell>
        </row>
        <row r="2313">
          <cell r="B2313" t="b">
            <v>1</v>
          </cell>
          <cell r="E2313" t="str">
            <v>Tierra Bomba</v>
          </cell>
          <cell r="H2313" t="str">
            <v>consulta_externa</v>
          </cell>
          <cell r="J2313" t="str">
            <v>bueno</v>
          </cell>
          <cell r="K2313" t="str">
            <v>defsi</v>
          </cell>
        </row>
        <row r="2314">
          <cell r="B2314" t="b">
            <v>1</v>
          </cell>
          <cell r="E2314" t="str">
            <v>Tierra Bomba</v>
          </cell>
          <cell r="H2314" t="str">
            <v>laboratorio</v>
          </cell>
          <cell r="J2314" t="str">
            <v>bueno</v>
          </cell>
          <cell r="K2314" t="str">
            <v>defsi</v>
          </cell>
        </row>
        <row r="2315">
          <cell r="B2315" t="b">
            <v>1</v>
          </cell>
          <cell r="E2315" t="str">
            <v>Tierra Bomba</v>
          </cell>
          <cell r="H2315" t="str">
            <v>laboratorio</v>
          </cell>
          <cell r="J2315" t="str">
            <v>bueno</v>
          </cell>
          <cell r="K2315" t="str">
            <v>defsi</v>
          </cell>
        </row>
        <row r="2316">
          <cell r="B2316" t="b">
            <v>1</v>
          </cell>
          <cell r="E2316" t="str">
            <v>Candelaria</v>
          </cell>
          <cell r="H2316" t="str">
            <v>urgencia</v>
          </cell>
          <cell r="J2316" t="str">
            <v>bueno</v>
          </cell>
          <cell r="K2316" t="str">
            <v>defsi</v>
          </cell>
        </row>
        <row r="2317">
          <cell r="B2317" t="b">
            <v>1</v>
          </cell>
          <cell r="E2317" t="str">
            <v>Candelaria</v>
          </cell>
          <cell r="H2317" t="str">
            <v>pediatria</v>
          </cell>
          <cell r="J2317" t="str">
            <v>bueno</v>
          </cell>
          <cell r="K2317" t="str">
            <v>defsi</v>
          </cell>
        </row>
        <row r="2318">
          <cell r="B2318" t="b">
            <v>1</v>
          </cell>
          <cell r="E2318" t="str">
            <v>Tierra Bomba</v>
          </cell>
          <cell r="H2318" t="str">
            <v>salud_oral</v>
          </cell>
          <cell r="J2318" t="str">
            <v>bueno</v>
          </cell>
          <cell r="K2318" t="str">
            <v>defsi</v>
          </cell>
        </row>
        <row r="2319">
          <cell r="B2319" t="b">
            <v>1</v>
          </cell>
          <cell r="E2319" t="str">
            <v>Candelaria</v>
          </cell>
          <cell r="H2319" t="str">
            <v>medicina_interna</v>
          </cell>
          <cell r="J2319" t="str">
            <v>bueno</v>
          </cell>
          <cell r="K2319" t="str">
            <v>defsi</v>
          </cell>
        </row>
        <row r="2320">
          <cell r="B2320" t="b">
            <v>1</v>
          </cell>
          <cell r="E2320" t="str">
            <v>Tierra Bomba</v>
          </cell>
          <cell r="H2320" t="str">
            <v>salud_oral</v>
          </cell>
          <cell r="J2320" t="str">
            <v>bueno</v>
          </cell>
          <cell r="K2320" t="str">
            <v>defsi</v>
          </cell>
        </row>
        <row r="2321">
          <cell r="B2321" t="b">
            <v>1</v>
          </cell>
          <cell r="E2321" t="str">
            <v>Tierra Bomba</v>
          </cell>
          <cell r="H2321" t="str">
            <v>salud_oral</v>
          </cell>
          <cell r="J2321" t="str">
            <v>muybueno</v>
          </cell>
          <cell r="K2321" t="str">
            <v>defsi</v>
          </cell>
        </row>
        <row r="2322">
          <cell r="B2322" t="b">
            <v>1</v>
          </cell>
          <cell r="E2322" t="str">
            <v>Candelaria</v>
          </cell>
          <cell r="H2322" t="str">
            <v>consulta_externa</v>
          </cell>
          <cell r="J2322" t="str">
            <v>bueno</v>
          </cell>
          <cell r="K2322" t="str">
            <v>defsi</v>
          </cell>
        </row>
        <row r="2323">
          <cell r="B2323" t="b">
            <v>1</v>
          </cell>
          <cell r="E2323" t="str">
            <v>Candelaria</v>
          </cell>
          <cell r="H2323" t="str">
            <v>salud_oral</v>
          </cell>
          <cell r="J2323" t="str">
            <v>bueno</v>
          </cell>
          <cell r="K2323" t="str">
            <v>defsi</v>
          </cell>
        </row>
        <row r="2324">
          <cell r="B2324" t="b">
            <v>1</v>
          </cell>
          <cell r="E2324" t="str">
            <v>Bocachica</v>
          </cell>
          <cell r="H2324" t="str">
            <v>laboratorio</v>
          </cell>
          <cell r="J2324" t="str">
            <v>bueno</v>
          </cell>
          <cell r="K2324" t="str">
            <v>probsi</v>
          </cell>
        </row>
        <row r="2325">
          <cell r="B2325" t="b">
            <v>0</v>
          </cell>
          <cell r="E2325" t="str">
            <v>Bocachica</v>
          </cell>
          <cell r="H2325" t="str">
            <v>laboratorio</v>
          </cell>
          <cell r="J2325" t="str">
            <v>regular</v>
          </cell>
          <cell r="K2325" t="str">
            <v>probsi</v>
          </cell>
        </row>
        <row r="2326">
          <cell r="B2326" t="b">
            <v>0</v>
          </cell>
          <cell r="E2326" t="str">
            <v>Bocachica</v>
          </cell>
          <cell r="H2326" t="str">
            <v>laboratorio</v>
          </cell>
          <cell r="J2326" t="str">
            <v>regular</v>
          </cell>
          <cell r="K2326" t="str">
            <v>probsi</v>
          </cell>
        </row>
        <row r="2327">
          <cell r="B2327" t="b">
            <v>1</v>
          </cell>
          <cell r="E2327" t="str">
            <v>Bocachica</v>
          </cell>
          <cell r="H2327" t="str">
            <v>salud_oral</v>
          </cell>
          <cell r="J2327" t="str">
            <v>bueno</v>
          </cell>
          <cell r="K2327" t="str">
            <v>probsi</v>
          </cell>
        </row>
        <row r="2328">
          <cell r="B2328" t="b">
            <v>1</v>
          </cell>
          <cell r="E2328" t="str">
            <v>Bocachica</v>
          </cell>
          <cell r="H2328" t="str">
            <v>salud_oral</v>
          </cell>
          <cell r="J2328" t="str">
            <v>bueno</v>
          </cell>
          <cell r="K2328" t="str">
            <v>probsi</v>
          </cell>
        </row>
        <row r="2329">
          <cell r="B2329" t="b">
            <v>1</v>
          </cell>
          <cell r="E2329" t="str">
            <v>Bocachica</v>
          </cell>
          <cell r="H2329" t="str">
            <v>consulta_externa</v>
          </cell>
          <cell r="J2329" t="str">
            <v>bueno</v>
          </cell>
          <cell r="K2329" t="str">
            <v>probsi</v>
          </cell>
        </row>
        <row r="2330">
          <cell r="B2330" t="b">
            <v>1</v>
          </cell>
          <cell r="E2330" t="str">
            <v>Candelaria</v>
          </cell>
          <cell r="H2330" t="str">
            <v>laboratorio</v>
          </cell>
          <cell r="J2330" t="str">
            <v>bueno</v>
          </cell>
          <cell r="K2330" t="str">
            <v>defsi</v>
          </cell>
        </row>
        <row r="2331">
          <cell r="B2331" t="b">
            <v>1</v>
          </cell>
          <cell r="E2331" t="str">
            <v>Bocachica</v>
          </cell>
          <cell r="H2331" t="str">
            <v>consulta_externa</v>
          </cell>
          <cell r="J2331" t="str">
            <v>bueno</v>
          </cell>
          <cell r="K2331" t="str">
            <v>probsi</v>
          </cell>
        </row>
        <row r="2332">
          <cell r="B2332" t="b">
            <v>1</v>
          </cell>
          <cell r="E2332" t="str">
            <v>Bocachica</v>
          </cell>
          <cell r="H2332" t="str">
            <v>consulta_externa</v>
          </cell>
          <cell r="J2332" t="str">
            <v>bueno</v>
          </cell>
          <cell r="K2332" t="str">
            <v>probsi</v>
          </cell>
        </row>
        <row r="2333">
          <cell r="B2333" t="b">
            <v>1</v>
          </cell>
          <cell r="E2333" t="str">
            <v>Tierra Bomba</v>
          </cell>
          <cell r="H2333" t="str">
            <v>salud_oral</v>
          </cell>
          <cell r="J2333" t="str">
            <v>bueno</v>
          </cell>
          <cell r="K2333" t="str">
            <v>defsi</v>
          </cell>
        </row>
        <row r="2334">
          <cell r="B2334" t="b">
            <v>1</v>
          </cell>
          <cell r="E2334" t="str">
            <v>Bocachica</v>
          </cell>
          <cell r="H2334" t="str">
            <v>urgencia</v>
          </cell>
          <cell r="J2334" t="str">
            <v>bueno</v>
          </cell>
          <cell r="K2334" t="str">
            <v>probsi</v>
          </cell>
        </row>
        <row r="2335">
          <cell r="B2335" t="b">
            <v>0</v>
          </cell>
          <cell r="E2335" t="str">
            <v>Bocachica</v>
          </cell>
          <cell r="H2335" t="str">
            <v>urgencia</v>
          </cell>
          <cell r="J2335" t="str">
            <v>regular</v>
          </cell>
          <cell r="K2335" t="str">
            <v>probsi</v>
          </cell>
        </row>
        <row r="2336">
          <cell r="B2336" t="b">
            <v>1</v>
          </cell>
          <cell r="E2336" t="str">
            <v>Bocachica</v>
          </cell>
          <cell r="H2336" t="str">
            <v>urgencia</v>
          </cell>
          <cell r="J2336" t="str">
            <v>bueno</v>
          </cell>
          <cell r="K2336" t="str">
            <v>probsi</v>
          </cell>
        </row>
        <row r="2337">
          <cell r="B2337" t="b">
            <v>1</v>
          </cell>
          <cell r="E2337" t="str">
            <v>Bocachica</v>
          </cell>
          <cell r="H2337" t="str">
            <v>urgencia</v>
          </cell>
          <cell r="J2337" t="str">
            <v>bueno</v>
          </cell>
          <cell r="K2337" t="str">
            <v>probsi</v>
          </cell>
        </row>
        <row r="2338">
          <cell r="B2338" t="b">
            <v>1</v>
          </cell>
          <cell r="E2338" t="str">
            <v>Bocachica</v>
          </cell>
          <cell r="H2338" t="str">
            <v>salud_oral</v>
          </cell>
          <cell r="J2338" t="str">
            <v>bueno</v>
          </cell>
          <cell r="K2338" t="str">
            <v>probsi</v>
          </cell>
        </row>
        <row r="2339">
          <cell r="B2339" t="b">
            <v>1</v>
          </cell>
          <cell r="E2339" t="str">
            <v>Bocachica</v>
          </cell>
          <cell r="H2339" t="str">
            <v>salud_oral</v>
          </cell>
          <cell r="J2339" t="str">
            <v>bueno</v>
          </cell>
          <cell r="K2339" t="str">
            <v>probsi</v>
          </cell>
        </row>
        <row r="2340">
          <cell r="B2340" t="b">
            <v>1</v>
          </cell>
          <cell r="E2340" t="str">
            <v>Bocachica</v>
          </cell>
          <cell r="H2340" t="str">
            <v>salud_oral</v>
          </cell>
          <cell r="J2340" t="str">
            <v>bueno</v>
          </cell>
          <cell r="K2340" t="str">
            <v>probsi</v>
          </cell>
        </row>
        <row r="2341">
          <cell r="B2341" t="b">
            <v>1</v>
          </cell>
          <cell r="E2341" t="str">
            <v>Bocachica</v>
          </cell>
          <cell r="H2341" t="str">
            <v>laboratorio</v>
          </cell>
          <cell r="J2341" t="str">
            <v>bueno</v>
          </cell>
          <cell r="K2341" t="str">
            <v>probsi</v>
          </cell>
        </row>
        <row r="2342">
          <cell r="B2342" t="b">
            <v>1</v>
          </cell>
          <cell r="E2342" t="str">
            <v>Bocachica</v>
          </cell>
          <cell r="H2342" t="str">
            <v>laboratorio</v>
          </cell>
          <cell r="J2342" t="str">
            <v>bueno</v>
          </cell>
          <cell r="K2342" t="str">
            <v>probsi</v>
          </cell>
        </row>
        <row r="2343">
          <cell r="B2343" t="b">
            <v>1</v>
          </cell>
          <cell r="E2343" t="str">
            <v>Bocachica</v>
          </cell>
          <cell r="H2343" t="str">
            <v>laboratorio</v>
          </cell>
          <cell r="J2343" t="str">
            <v>bueno</v>
          </cell>
          <cell r="K2343" t="str">
            <v>probsi</v>
          </cell>
        </row>
        <row r="2344">
          <cell r="B2344" t="b">
            <v>1</v>
          </cell>
          <cell r="E2344" t="str">
            <v>Tierra Bomba</v>
          </cell>
          <cell r="H2344" t="str">
            <v>salud_oral</v>
          </cell>
          <cell r="J2344" t="str">
            <v>muybueno</v>
          </cell>
          <cell r="K2344" t="str">
            <v>defsi</v>
          </cell>
        </row>
        <row r="2345">
          <cell r="B2345" t="b">
            <v>1</v>
          </cell>
          <cell r="E2345" t="str">
            <v>Tierra Bomba</v>
          </cell>
          <cell r="H2345" t="str">
            <v>consulta_externa</v>
          </cell>
          <cell r="J2345" t="str">
            <v>muybueno</v>
          </cell>
          <cell r="K2345" t="str">
            <v>defsi</v>
          </cell>
        </row>
        <row r="2346">
          <cell r="B2346" t="b">
            <v>1</v>
          </cell>
          <cell r="E2346" t="str">
            <v>Tierra Bomba</v>
          </cell>
          <cell r="H2346" t="str">
            <v>laboratorio</v>
          </cell>
          <cell r="J2346" t="str">
            <v>muybueno</v>
          </cell>
          <cell r="K2346" t="str">
            <v>defsi</v>
          </cell>
        </row>
        <row r="2347">
          <cell r="B2347" t="b">
            <v>1</v>
          </cell>
          <cell r="E2347" t="str">
            <v>Candelaria</v>
          </cell>
          <cell r="H2347" t="str">
            <v>urgencia</v>
          </cell>
          <cell r="J2347" t="str">
            <v>bueno</v>
          </cell>
          <cell r="K2347" t="str">
            <v>defsi</v>
          </cell>
        </row>
        <row r="2348">
          <cell r="B2348" t="b">
            <v>1</v>
          </cell>
          <cell r="E2348" t="str">
            <v>Candelaria</v>
          </cell>
          <cell r="H2348" t="str">
            <v>electros</v>
          </cell>
          <cell r="J2348" t="str">
            <v>bueno</v>
          </cell>
          <cell r="K2348" t="str">
            <v>defsi</v>
          </cell>
        </row>
        <row r="2349">
          <cell r="B2349" t="b">
            <v>1</v>
          </cell>
          <cell r="E2349" t="str">
            <v>Candelaria</v>
          </cell>
          <cell r="H2349" t="str">
            <v>pediatria</v>
          </cell>
          <cell r="J2349" t="str">
            <v>bueno</v>
          </cell>
          <cell r="K2349" t="str">
            <v>defsi</v>
          </cell>
        </row>
        <row r="2350">
          <cell r="B2350" t="b">
            <v>1</v>
          </cell>
          <cell r="E2350" t="str">
            <v>Candelaria</v>
          </cell>
          <cell r="H2350" t="str">
            <v>consulta_externa</v>
          </cell>
          <cell r="J2350" t="str">
            <v>bueno</v>
          </cell>
          <cell r="K2350" t="str">
            <v>defsi</v>
          </cell>
        </row>
        <row r="2351">
          <cell r="B2351" t="b">
            <v>1</v>
          </cell>
          <cell r="E2351" t="str">
            <v>Candelaria</v>
          </cell>
          <cell r="H2351" t="str">
            <v>salud_oral</v>
          </cell>
          <cell r="J2351" t="str">
            <v>bueno</v>
          </cell>
          <cell r="K2351" t="str">
            <v>defsi</v>
          </cell>
        </row>
        <row r="2352">
          <cell r="B2352" t="b">
            <v>1</v>
          </cell>
          <cell r="E2352" t="str">
            <v>Candelaria</v>
          </cell>
          <cell r="H2352" t="str">
            <v>laboratorio</v>
          </cell>
          <cell r="J2352" t="str">
            <v>bueno</v>
          </cell>
          <cell r="K2352" t="str">
            <v>defsi</v>
          </cell>
        </row>
        <row r="2353">
          <cell r="B2353" t="b">
            <v>1</v>
          </cell>
          <cell r="E2353" t="str">
            <v>Tierra Bomba</v>
          </cell>
          <cell r="H2353" t="str">
            <v>consulta_externa</v>
          </cell>
          <cell r="J2353" t="str">
            <v>bueno</v>
          </cell>
          <cell r="K2353" t="str">
            <v>defsi</v>
          </cell>
        </row>
        <row r="2354">
          <cell r="B2354" t="b">
            <v>1</v>
          </cell>
          <cell r="E2354" t="str">
            <v>Tierra Bomba</v>
          </cell>
          <cell r="H2354" t="str">
            <v>laboratorio</v>
          </cell>
          <cell r="J2354" t="str">
            <v>bueno</v>
          </cell>
          <cell r="K2354" t="str">
            <v>defsi</v>
          </cell>
        </row>
        <row r="2355">
          <cell r="B2355" t="b">
            <v>1</v>
          </cell>
          <cell r="E2355" t="str">
            <v>Tierra Bomba</v>
          </cell>
          <cell r="H2355" t="str">
            <v>laboratorio</v>
          </cell>
          <cell r="J2355" t="str">
            <v>bueno</v>
          </cell>
          <cell r="K2355" t="str">
            <v>defsi</v>
          </cell>
        </row>
        <row r="2356">
          <cell r="B2356" t="b">
            <v>1</v>
          </cell>
          <cell r="E2356" t="str">
            <v>Tierra Bomba</v>
          </cell>
          <cell r="H2356" t="str">
            <v>salud_oral</v>
          </cell>
          <cell r="J2356" t="str">
            <v>bueno</v>
          </cell>
          <cell r="K2356" t="str">
            <v>defsi</v>
          </cell>
        </row>
        <row r="2357">
          <cell r="B2357" t="b">
            <v>1</v>
          </cell>
          <cell r="E2357" t="str">
            <v>Candelaria</v>
          </cell>
          <cell r="H2357" t="str">
            <v>urgencia</v>
          </cell>
          <cell r="J2357" t="str">
            <v>bueno</v>
          </cell>
          <cell r="K2357" t="str">
            <v>defsi</v>
          </cell>
        </row>
        <row r="2358">
          <cell r="B2358" t="b">
            <v>1</v>
          </cell>
          <cell r="E2358" t="str">
            <v>Candelaria</v>
          </cell>
          <cell r="H2358" t="str">
            <v>electros</v>
          </cell>
          <cell r="J2358" t="str">
            <v>bueno</v>
          </cell>
          <cell r="K2358" t="str">
            <v>defsi</v>
          </cell>
        </row>
        <row r="2359">
          <cell r="B2359" t="b">
            <v>1</v>
          </cell>
          <cell r="E2359" t="str">
            <v>Candelaria</v>
          </cell>
          <cell r="H2359" t="str">
            <v>pediatria</v>
          </cell>
          <cell r="J2359" t="str">
            <v>bueno</v>
          </cell>
          <cell r="K2359" t="str">
            <v>defsi</v>
          </cell>
        </row>
        <row r="2360">
          <cell r="B2360" t="b">
            <v>1</v>
          </cell>
          <cell r="E2360" t="str">
            <v>Candelaria</v>
          </cell>
          <cell r="H2360" t="str">
            <v>consulta_externa</v>
          </cell>
          <cell r="J2360" t="str">
            <v>bueno</v>
          </cell>
          <cell r="K2360" t="str">
            <v>defsi</v>
          </cell>
        </row>
        <row r="2361">
          <cell r="B2361" t="b">
            <v>1</v>
          </cell>
          <cell r="E2361" t="str">
            <v>Tierra Bomba</v>
          </cell>
          <cell r="H2361" t="str">
            <v>consulta_externa</v>
          </cell>
          <cell r="J2361" t="str">
            <v>bueno</v>
          </cell>
          <cell r="K2361" t="str">
            <v>defsi</v>
          </cell>
        </row>
        <row r="2362">
          <cell r="B2362" t="b">
            <v>1</v>
          </cell>
          <cell r="E2362" t="str">
            <v>Tierra Bomba</v>
          </cell>
          <cell r="H2362" t="str">
            <v>consulta_externa</v>
          </cell>
          <cell r="J2362" t="str">
            <v>bueno</v>
          </cell>
          <cell r="K2362" t="str">
            <v>defsi</v>
          </cell>
        </row>
        <row r="2363">
          <cell r="B2363" t="b">
            <v>1</v>
          </cell>
          <cell r="E2363" t="str">
            <v>Candelaria</v>
          </cell>
          <cell r="H2363" t="str">
            <v>salud_oral</v>
          </cell>
          <cell r="J2363" t="str">
            <v>bueno</v>
          </cell>
          <cell r="K2363" t="str">
            <v>defsi</v>
          </cell>
        </row>
        <row r="2364">
          <cell r="B2364" t="b">
            <v>1</v>
          </cell>
          <cell r="E2364" t="str">
            <v>Candelaria</v>
          </cell>
          <cell r="H2364" t="str">
            <v>laboratorio</v>
          </cell>
          <cell r="J2364" t="str">
            <v>bueno</v>
          </cell>
          <cell r="K2364" t="str">
            <v>defsi</v>
          </cell>
        </row>
        <row r="2365">
          <cell r="B2365" t="b">
            <v>1</v>
          </cell>
          <cell r="E2365" t="str">
            <v>Candelaria</v>
          </cell>
          <cell r="H2365" t="str">
            <v>urgencia</v>
          </cell>
          <cell r="J2365" t="str">
            <v>bueno</v>
          </cell>
          <cell r="K2365" t="str">
            <v>defsi</v>
          </cell>
        </row>
        <row r="2366">
          <cell r="B2366" t="b">
            <v>1</v>
          </cell>
          <cell r="E2366" t="str">
            <v>Candelaria</v>
          </cell>
          <cell r="H2366" t="str">
            <v>electros</v>
          </cell>
          <cell r="J2366" t="str">
            <v>bueno</v>
          </cell>
          <cell r="K2366" t="str">
            <v>defsi</v>
          </cell>
        </row>
        <row r="2367">
          <cell r="B2367" t="b">
            <v>1</v>
          </cell>
          <cell r="E2367" t="str">
            <v>Candelaria</v>
          </cell>
          <cell r="H2367" t="str">
            <v>consulta_externa</v>
          </cell>
          <cell r="J2367" t="str">
            <v>bueno</v>
          </cell>
          <cell r="K2367" t="str">
            <v>defsi</v>
          </cell>
        </row>
        <row r="2368">
          <cell r="B2368" t="b">
            <v>1</v>
          </cell>
          <cell r="E2368" t="str">
            <v>Tierra Bomba</v>
          </cell>
          <cell r="H2368" t="str">
            <v>consulta_externa</v>
          </cell>
          <cell r="J2368" t="str">
            <v>bueno</v>
          </cell>
          <cell r="K2368" t="str">
            <v>defsi</v>
          </cell>
        </row>
        <row r="2369">
          <cell r="B2369" t="b">
            <v>1</v>
          </cell>
          <cell r="E2369" t="str">
            <v>Candelaria</v>
          </cell>
          <cell r="H2369" t="str">
            <v>salud_oral</v>
          </cell>
          <cell r="J2369" t="str">
            <v>bueno</v>
          </cell>
          <cell r="K2369" t="str">
            <v>defsi</v>
          </cell>
        </row>
        <row r="2370">
          <cell r="B2370" t="b">
            <v>1</v>
          </cell>
          <cell r="E2370" t="str">
            <v>Candelaria</v>
          </cell>
          <cell r="H2370" t="str">
            <v>laboratorio</v>
          </cell>
          <cell r="J2370" t="str">
            <v>bueno</v>
          </cell>
          <cell r="K2370" t="str">
            <v>defsi</v>
          </cell>
        </row>
        <row r="2371">
          <cell r="B2371" t="b">
            <v>1</v>
          </cell>
          <cell r="E2371" t="str">
            <v>Candelaria</v>
          </cell>
          <cell r="H2371" t="str">
            <v>urgencia</v>
          </cell>
          <cell r="J2371" t="str">
            <v>bueno</v>
          </cell>
          <cell r="K2371" t="str">
            <v>defsi</v>
          </cell>
        </row>
        <row r="2372">
          <cell r="B2372" t="b">
            <v>1</v>
          </cell>
          <cell r="E2372" t="str">
            <v>Candelaria</v>
          </cell>
          <cell r="H2372" t="str">
            <v>electros</v>
          </cell>
          <cell r="J2372" t="str">
            <v>bueno</v>
          </cell>
          <cell r="K2372" t="str">
            <v>defsi</v>
          </cell>
        </row>
        <row r="2373">
          <cell r="B2373" t="b">
            <v>1</v>
          </cell>
          <cell r="E2373" t="str">
            <v>Candelaria</v>
          </cell>
          <cell r="H2373" t="str">
            <v>consulta_externa</v>
          </cell>
          <cell r="J2373" t="str">
            <v>bueno</v>
          </cell>
          <cell r="K2373" t="str">
            <v>defsi</v>
          </cell>
        </row>
        <row r="2374">
          <cell r="B2374" t="b">
            <v>1</v>
          </cell>
          <cell r="E2374" t="str">
            <v>Candelaria</v>
          </cell>
          <cell r="H2374" t="str">
            <v>salud_oral</v>
          </cell>
          <cell r="J2374" t="str">
            <v>bueno</v>
          </cell>
          <cell r="K2374" t="str">
            <v>defsi</v>
          </cell>
        </row>
        <row r="2375">
          <cell r="B2375" t="b">
            <v>1</v>
          </cell>
          <cell r="E2375" t="str">
            <v>Candelaria</v>
          </cell>
          <cell r="H2375" t="str">
            <v>laboratorio</v>
          </cell>
          <cell r="J2375" t="str">
            <v>bueno</v>
          </cell>
          <cell r="K2375" t="str">
            <v>defsi</v>
          </cell>
        </row>
        <row r="2376">
          <cell r="B2376" t="b">
            <v>1</v>
          </cell>
          <cell r="E2376" t="str">
            <v>Candelaria</v>
          </cell>
          <cell r="H2376" t="str">
            <v>urgencia</v>
          </cell>
          <cell r="J2376" t="str">
            <v>bueno</v>
          </cell>
          <cell r="K2376" t="str">
            <v>defsi</v>
          </cell>
        </row>
        <row r="2377">
          <cell r="B2377" t="b">
            <v>1</v>
          </cell>
          <cell r="E2377" t="str">
            <v>Candelaria</v>
          </cell>
          <cell r="H2377" t="str">
            <v>electros</v>
          </cell>
          <cell r="J2377" t="str">
            <v>bueno</v>
          </cell>
          <cell r="K2377" t="str">
            <v>defsi</v>
          </cell>
        </row>
        <row r="2378">
          <cell r="B2378" t="b">
            <v>1</v>
          </cell>
          <cell r="E2378" t="str">
            <v>Tierra Bomba</v>
          </cell>
          <cell r="H2378" t="str">
            <v>salud_oral</v>
          </cell>
          <cell r="J2378" t="str">
            <v>bueno</v>
          </cell>
          <cell r="K2378" t="str">
            <v>defsi</v>
          </cell>
        </row>
        <row r="2379">
          <cell r="B2379" t="b">
            <v>1</v>
          </cell>
          <cell r="E2379" t="str">
            <v>Tierra Bomba</v>
          </cell>
          <cell r="H2379" t="str">
            <v>consulta_externa</v>
          </cell>
          <cell r="J2379" t="str">
            <v>bueno</v>
          </cell>
          <cell r="K2379" t="str">
            <v>defsi</v>
          </cell>
        </row>
        <row r="2380">
          <cell r="B2380" t="b">
            <v>1</v>
          </cell>
          <cell r="E2380" t="str">
            <v>Tierra Bomba</v>
          </cell>
          <cell r="H2380" t="str">
            <v>laboratorio</v>
          </cell>
          <cell r="J2380" t="str">
            <v>bueno</v>
          </cell>
          <cell r="K2380" t="str">
            <v>defsi</v>
          </cell>
        </row>
        <row r="2381">
          <cell r="B2381" t="b">
            <v>1</v>
          </cell>
          <cell r="E2381" t="str">
            <v>Tierra Bomba</v>
          </cell>
          <cell r="H2381" t="str">
            <v>laboratorio</v>
          </cell>
          <cell r="J2381" t="str">
            <v>bueno</v>
          </cell>
          <cell r="K2381" t="str">
            <v>defsi</v>
          </cell>
        </row>
        <row r="2382">
          <cell r="B2382" t="b">
            <v>1</v>
          </cell>
          <cell r="E2382" t="str">
            <v>Tierra Bomba</v>
          </cell>
          <cell r="H2382" t="str">
            <v>consulta_externa</v>
          </cell>
          <cell r="J2382" t="str">
            <v>bueno</v>
          </cell>
          <cell r="K2382" t="str">
            <v>defsi</v>
          </cell>
        </row>
        <row r="2383">
          <cell r="B2383" t="b">
            <v>1</v>
          </cell>
          <cell r="E2383" t="str">
            <v>Tierra Bomba</v>
          </cell>
          <cell r="H2383" t="str">
            <v>consulta_externa</v>
          </cell>
          <cell r="J2383" t="str">
            <v>bueno</v>
          </cell>
          <cell r="K2383" t="str">
            <v>defsi</v>
          </cell>
        </row>
        <row r="2384">
          <cell r="B2384" t="b">
            <v>1</v>
          </cell>
          <cell r="E2384" t="str">
            <v>Tierra Bomba</v>
          </cell>
          <cell r="H2384" t="str">
            <v>laboratorio</v>
          </cell>
          <cell r="J2384" t="str">
            <v>bueno</v>
          </cell>
          <cell r="K2384" t="str">
            <v>defsi</v>
          </cell>
        </row>
        <row r="2385">
          <cell r="B2385" t="b">
            <v>1</v>
          </cell>
          <cell r="E2385" t="str">
            <v>Tierra Bomba</v>
          </cell>
          <cell r="H2385" t="str">
            <v>laboratorio</v>
          </cell>
          <cell r="J2385" t="str">
            <v>bueno</v>
          </cell>
          <cell r="K2385" t="str">
            <v>defsi</v>
          </cell>
        </row>
        <row r="2386">
          <cell r="B2386" t="b">
            <v>1</v>
          </cell>
          <cell r="E2386" t="str">
            <v>Tierra Bomba</v>
          </cell>
          <cell r="H2386" t="str">
            <v>consulta_externa</v>
          </cell>
          <cell r="J2386" t="str">
            <v>bueno</v>
          </cell>
          <cell r="K2386" t="str">
            <v>defsi</v>
          </cell>
        </row>
        <row r="2387">
          <cell r="B2387" t="b">
            <v>1</v>
          </cell>
          <cell r="E2387" t="str">
            <v>Tierra Bomba</v>
          </cell>
          <cell r="H2387" t="str">
            <v>salud_oral</v>
          </cell>
          <cell r="J2387" t="str">
            <v>bueno</v>
          </cell>
          <cell r="K2387" t="str">
            <v>defsi</v>
          </cell>
        </row>
        <row r="2388">
          <cell r="B2388" t="b">
            <v>1</v>
          </cell>
          <cell r="E2388" t="str">
            <v>Tierra Bomba</v>
          </cell>
          <cell r="H2388" t="str">
            <v>salud_oral</v>
          </cell>
          <cell r="J2388" t="str">
            <v>bueno</v>
          </cell>
          <cell r="K2388" t="str">
            <v>defsi</v>
          </cell>
        </row>
        <row r="2389">
          <cell r="B2389" t="b">
            <v>1</v>
          </cell>
          <cell r="E2389" t="str">
            <v>Tierra Bomba</v>
          </cell>
          <cell r="H2389" t="str">
            <v>consulta_externa</v>
          </cell>
          <cell r="J2389" t="str">
            <v>bueno</v>
          </cell>
          <cell r="K2389" t="str">
            <v>defsi</v>
          </cell>
        </row>
        <row r="2390">
          <cell r="B2390" t="b">
            <v>0</v>
          </cell>
          <cell r="E2390" t="str">
            <v>Bocachica</v>
          </cell>
          <cell r="H2390" t="str">
            <v>urgencia</v>
          </cell>
          <cell r="J2390" t="str">
            <v>regular</v>
          </cell>
          <cell r="K2390" t="str">
            <v>probsi</v>
          </cell>
        </row>
        <row r="2391">
          <cell r="B2391" t="b">
            <v>0</v>
          </cell>
          <cell r="E2391" t="str">
            <v>Bocachica</v>
          </cell>
          <cell r="H2391" t="str">
            <v>urgencia</v>
          </cell>
          <cell r="J2391" t="str">
            <v>regular</v>
          </cell>
          <cell r="K2391" t="str">
            <v>probsi</v>
          </cell>
        </row>
        <row r="2392">
          <cell r="B2392" t="b">
            <v>1</v>
          </cell>
          <cell r="E2392" t="str">
            <v>Bocachica</v>
          </cell>
          <cell r="H2392" t="str">
            <v>urgencia</v>
          </cell>
          <cell r="J2392" t="str">
            <v>bueno</v>
          </cell>
          <cell r="K2392" t="str">
            <v>probsi</v>
          </cell>
        </row>
        <row r="2393">
          <cell r="B2393" t="b">
            <v>1</v>
          </cell>
          <cell r="E2393" t="str">
            <v>Bocachica</v>
          </cell>
          <cell r="H2393" t="str">
            <v>urgencia</v>
          </cell>
          <cell r="J2393" t="str">
            <v>bueno</v>
          </cell>
          <cell r="K2393" t="str">
            <v>probsi</v>
          </cell>
        </row>
        <row r="2394">
          <cell r="B2394" t="b">
            <v>1</v>
          </cell>
          <cell r="E2394" t="str">
            <v>Bocachica</v>
          </cell>
          <cell r="H2394" t="str">
            <v>salud_oral</v>
          </cell>
          <cell r="J2394" t="str">
            <v>bueno</v>
          </cell>
          <cell r="K2394" t="str">
            <v>probsi</v>
          </cell>
        </row>
        <row r="2395">
          <cell r="B2395" t="b">
            <v>1</v>
          </cell>
          <cell r="E2395" t="str">
            <v>Bocachica</v>
          </cell>
          <cell r="H2395" t="str">
            <v>salud_oral</v>
          </cell>
          <cell r="J2395" t="str">
            <v>bueno</v>
          </cell>
          <cell r="K2395" t="str">
            <v>probsi</v>
          </cell>
        </row>
        <row r="2396">
          <cell r="B2396" t="b">
            <v>1</v>
          </cell>
          <cell r="E2396" t="str">
            <v>Bocachica</v>
          </cell>
          <cell r="H2396" t="str">
            <v>consulta_externa</v>
          </cell>
          <cell r="J2396" t="str">
            <v>bueno</v>
          </cell>
          <cell r="K2396" t="str">
            <v>probsi</v>
          </cell>
        </row>
        <row r="2397">
          <cell r="B2397" t="b">
            <v>1</v>
          </cell>
          <cell r="E2397" t="str">
            <v>Candelaria</v>
          </cell>
          <cell r="H2397" t="str">
            <v>consulta_externa</v>
          </cell>
          <cell r="J2397" t="str">
            <v>bueno</v>
          </cell>
          <cell r="K2397" t="str">
            <v>defsi</v>
          </cell>
        </row>
        <row r="2398">
          <cell r="B2398" t="b">
            <v>1</v>
          </cell>
          <cell r="E2398" t="str">
            <v>Bocachica</v>
          </cell>
          <cell r="H2398" t="str">
            <v>consulta_externa</v>
          </cell>
          <cell r="J2398" t="str">
            <v>bueno</v>
          </cell>
          <cell r="K2398" t="str">
            <v>probsi</v>
          </cell>
        </row>
        <row r="2399">
          <cell r="B2399" t="b">
            <v>1</v>
          </cell>
          <cell r="E2399" t="str">
            <v>Bocachica</v>
          </cell>
          <cell r="H2399" t="str">
            <v>urgencia</v>
          </cell>
          <cell r="J2399" t="str">
            <v>bueno</v>
          </cell>
          <cell r="K2399" t="str">
            <v>probsi</v>
          </cell>
        </row>
        <row r="2400">
          <cell r="B2400" t="b">
            <v>1</v>
          </cell>
          <cell r="E2400" t="str">
            <v>Bocachica</v>
          </cell>
          <cell r="H2400" t="str">
            <v>urgencia</v>
          </cell>
          <cell r="J2400" t="str">
            <v>bueno</v>
          </cell>
          <cell r="K2400" t="str">
            <v>probsi</v>
          </cell>
        </row>
        <row r="2401">
          <cell r="B2401" t="b">
            <v>1</v>
          </cell>
          <cell r="E2401" t="str">
            <v>Bocachica</v>
          </cell>
          <cell r="H2401" t="str">
            <v>urgencia</v>
          </cell>
          <cell r="J2401" t="str">
            <v>bueno</v>
          </cell>
          <cell r="K2401" t="str">
            <v>probsi</v>
          </cell>
        </row>
        <row r="2402">
          <cell r="B2402" t="b">
            <v>1</v>
          </cell>
          <cell r="E2402" t="str">
            <v>Candelaria</v>
          </cell>
          <cell r="H2402" t="str">
            <v>electros</v>
          </cell>
          <cell r="J2402" t="str">
            <v>bueno</v>
          </cell>
          <cell r="K2402" t="str">
            <v>defsi</v>
          </cell>
        </row>
        <row r="2403">
          <cell r="B2403" t="b">
            <v>1</v>
          </cell>
          <cell r="E2403" t="str">
            <v>Candelaria</v>
          </cell>
          <cell r="H2403" t="str">
            <v>electros</v>
          </cell>
          <cell r="J2403" t="str">
            <v>bueno</v>
          </cell>
          <cell r="K2403" t="str">
            <v>defsi</v>
          </cell>
        </row>
        <row r="2404">
          <cell r="B2404" t="b">
            <v>1</v>
          </cell>
          <cell r="E2404" t="str">
            <v>Tierra Bomba</v>
          </cell>
          <cell r="H2404" t="str">
            <v>consulta_externa</v>
          </cell>
          <cell r="J2404" t="str">
            <v>bueno</v>
          </cell>
          <cell r="K2404" t="str">
            <v>defsi</v>
          </cell>
        </row>
        <row r="2405">
          <cell r="B2405" t="b">
            <v>1</v>
          </cell>
          <cell r="E2405" t="str">
            <v>Candelaria</v>
          </cell>
          <cell r="H2405" t="str">
            <v>electros</v>
          </cell>
          <cell r="J2405" t="str">
            <v>bueno</v>
          </cell>
          <cell r="K2405" t="str">
            <v>defsi</v>
          </cell>
        </row>
        <row r="2406">
          <cell r="B2406" t="b">
            <v>1</v>
          </cell>
          <cell r="E2406" t="str">
            <v>Tierra Bomba</v>
          </cell>
          <cell r="H2406" t="str">
            <v>laboratorio</v>
          </cell>
          <cell r="J2406" t="str">
            <v>bueno</v>
          </cell>
          <cell r="K2406" t="str">
            <v>defsi</v>
          </cell>
        </row>
        <row r="2407">
          <cell r="B2407" t="b">
            <v>1</v>
          </cell>
          <cell r="E2407" t="str">
            <v>Tierra Bomba</v>
          </cell>
          <cell r="H2407" t="str">
            <v>salud_oral</v>
          </cell>
          <cell r="J2407" t="str">
            <v>bueno</v>
          </cell>
          <cell r="K2407" t="str">
            <v>defsi</v>
          </cell>
        </row>
        <row r="2408">
          <cell r="B2408" t="b">
            <v>1</v>
          </cell>
          <cell r="E2408" t="str">
            <v>Tierra Bomba</v>
          </cell>
          <cell r="H2408" t="str">
            <v>salud_oral</v>
          </cell>
          <cell r="J2408" t="str">
            <v>bueno</v>
          </cell>
          <cell r="K2408" t="str">
            <v>defsi</v>
          </cell>
        </row>
        <row r="2409">
          <cell r="B2409" t="b">
            <v>1</v>
          </cell>
          <cell r="E2409" t="str">
            <v>Tierra Bomba</v>
          </cell>
          <cell r="H2409" t="str">
            <v>consulta_externa</v>
          </cell>
          <cell r="J2409" t="str">
            <v>bueno</v>
          </cell>
          <cell r="K2409" t="str">
            <v>defsi</v>
          </cell>
        </row>
        <row r="2410">
          <cell r="B2410" t="b">
            <v>1</v>
          </cell>
          <cell r="E2410" t="str">
            <v>Tierra Bomba</v>
          </cell>
          <cell r="H2410" t="str">
            <v>laboratorio</v>
          </cell>
          <cell r="J2410" t="str">
            <v>bueno</v>
          </cell>
          <cell r="K2410" t="str">
            <v>defsi</v>
          </cell>
        </row>
        <row r="2411">
          <cell r="B2411" t="b">
            <v>1</v>
          </cell>
          <cell r="E2411" t="str">
            <v>Tierra Bomba</v>
          </cell>
          <cell r="H2411" t="str">
            <v>laboratorio</v>
          </cell>
          <cell r="J2411" t="str">
            <v>bueno</v>
          </cell>
          <cell r="K2411" t="str">
            <v>defsi</v>
          </cell>
        </row>
        <row r="2412">
          <cell r="B2412" t="b">
            <v>1</v>
          </cell>
          <cell r="E2412" t="str">
            <v>Tierra Bomba</v>
          </cell>
          <cell r="H2412" t="str">
            <v>salud_oral</v>
          </cell>
          <cell r="J2412" t="str">
            <v>bueno</v>
          </cell>
          <cell r="K2412" t="str">
            <v>defsi</v>
          </cell>
        </row>
        <row r="2413">
          <cell r="B2413" t="b">
            <v>1</v>
          </cell>
          <cell r="E2413" t="str">
            <v>Tierra Bomba</v>
          </cell>
          <cell r="H2413" t="str">
            <v>salud_oral</v>
          </cell>
          <cell r="J2413" t="str">
            <v>bueno</v>
          </cell>
          <cell r="K2413" t="str">
            <v>defsi</v>
          </cell>
        </row>
        <row r="2414">
          <cell r="B2414" t="b">
            <v>1</v>
          </cell>
          <cell r="E2414" t="str">
            <v>Tierra Bomba</v>
          </cell>
          <cell r="H2414" t="str">
            <v>salud_oral</v>
          </cell>
          <cell r="J2414" t="str">
            <v>bueno</v>
          </cell>
          <cell r="K2414" t="str">
            <v>defsi</v>
          </cell>
        </row>
        <row r="2415">
          <cell r="B2415" t="b">
            <v>1</v>
          </cell>
          <cell r="E2415" t="str">
            <v>Tierra Bomba</v>
          </cell>
          <cell r="H2415" t="str">
            <v>salud_oral</v>
          </cell>
          <cell r="J2415" t="str">
            <v>bueno</v>
          </cell>
          <cell r="K2415" t="str">
            <v>defsi</v>
          </cell>
        </row>
        <row r="2416">
          <cell r="B2416" t="b">
            <v>1</v>
          </cell>
          <cell r="E2416" t="str">
            <v>Tierra Bomba</v>
          </cell>
          <cell r="H2416" t="str">
            <v>laboratorio</v>
          </cell>
          <cell r="J2416" t="str">
            <v>bueno</v>
          </cell>
          <cell r="K2416" t="str">
            <v>defsi</v>
          </cell>
        </row>
        <row r="2417">
          <cell r="B2417" t="b">
            <v>1</v>
          </cell>
          <cell r="E2417" t="str">
            <v>Tierra Bomba</v>
          </cell>
          <cell r="H2417" t="str">
            <v>consulta_externa</v>
          </cell>
          <cell r="J2417" t="str">
            <v>bueno</v>
          </cell>
          <cell r="K2417" t="str">
            <v>defsi</v>
          </cell>
        </row>
        <row r="2418">
          <cell r="B2418" t="b">
            <v>1</v>
          </cell>
          <cell r="E2418" t="str">
            <v>Tierra Bomba</v>
          </cell>
          <cell r="H2418" t="str">
            <v>consulta_externa</v>
          </cell>
          <cell r="J2418" t="str">
            <v>muybueno</v>
          </cell>
          <cell r="K2418" t="str">
            <v>defsi</v>
          </cell>
        </row>
        <row r="2419">
          <cell r="B2419" t="b">
            <v>1</v>
          </cell>
          <cell r="E2419" t="str">
            <v>San Francisco I</v>
          </cell>
          <cell r="H2419" t="str">
            <v>consulta_externa</v>
          </cell>
          <cell r="J2419" t="str">
            <v>bueno</v>
          </cell>
          <cell r="K2419" t="str">
            <v>probsi</v>
          </cell>
        </row>
        <row r="2420">
          <cell r="B2420" t="b">
            <v>1</v>
          </cell>
          <cell r="E2420" t="str">
            <v>San Francisco I</v>
          </cell>
          <cell r="H2420" t="str">
            <v>salud_oral</v>
          </cell>
          <cell r="J2420" t="str">
            <v>bueno</v>
          </cell>
          <cell r="K2420" t="str">
            <v>probsi</v>
          </cell>
        </row>
        <row r="2421">
          <cell r="B2421" t="b">
            <v>1</v>
          </cell>
          <cell r="E2421" t="str">
            <v>San Francisco I</v>
          </cell>
          <cell r="H2421" t="str">
            <v>consulta_externa</v>
          </cell>
          <cell r="J2421" t="str">
            <v>bueno</v>
          </cell>
          <cell r="K2421" t="str">
            <v>probsi</v>
          </cell>
        </row>
        <row r="2422">
          <cell r="B2422" t="b">
            <v>1</v>
          </cell>
          <cell r="E2422" t="str">
            <v>San Francisco I</v>
          </cell>
          <cell r="H2422" t="str">
            <v>consulta_externa</v>
          </cell>
          <cell r="J2422" t="str">
            <v>bueno</v>
          </cell>
          <cell r="K2422" t="str">
            <v>probsi</v>
          </cell>
        </row>
        <row r="2423">
          <cell r="B2423" t="b">
            <v>1</v>
          </cell>
          <cell r="E2423" t="str">
            <v>San Francisco I</v>
          </cell>
          <cell r="H2423" t="str">
            <v>consulta_externa</v>
          </cell>
          <cell r="J2423" t="str">
            <v>bueno</v>
          </cell>
          <cell r="K2423" t="str">
            <v>probsi</v>
          </cell>
        </row>
        <row r="2424">
          <cell r="B2424" t="b">
            <v>1</v>
          </cell>
          <cell r="E2424" t="str">
            <v>San Francisco I</v>
          </cell>
          <cell r="H2424" t="str">
            <v>laboratorio</v>
          </cell>
          <cell r="J2424" t="str">
            <v>bueno</v>
          </cell>
          <cell r="K2424" t="str">
            <v>probsi</v>
          </cell>
        </row>
        <row r="2425">
          <cell r="B2425" t="b">
            <v>1</v>
          </cell>
          <cell r="E2425" t="str">
            <v>San Francisco I</v>
          </cell>
          <cell r="H2425" t="str">
            <v>consulta_externa</v>
          </cell>
          <cell r="J2425" t="str">
            <v>bueno</v>
          </cell>
          <cell r="K2425" t="str">
            <v>probsi</v>
          </cell>
        </row>
        <row r="2426">
          <cell r="B2426" t="b">
            <v>1</v>
          </cell>
          <cell r="E2426" t="str">
            <v>San Francisco I</v>
          </cell>
          <cell r="H2426" t="str">
            <v>salud_oral</v>
          </cell>
          <cell r="J2426" t="str">
            <v>bueno</v>
          </cell>
          <cell r="K2426" t="str">
            <v>probsi</v>
          </cell>
        </row>
        <row r="2427">
          <cell r="B2427" t="b">
            <v>1</v>
          </cell>
          <cell r="E2427" t="str">
            <v>San Francisco I</v>
          </cell>
          <cell r="H2427" t="str">
            <v>laboratorio</v>
          </cell>
          <cell r="J2427" t="str">
            <v>bueno</v>
          </cell>
          <cell r="K2427" t="str">
            <v>probsi</v>
          </cell>
        </row>
        <row r="2428">
          <cell r="B2428" t="b">
            <v>1</v>
          </cell>
          <cell r="E2428" t="str">
            <v>San Francisco I</v>
          </cell>
          <cell r="H2428" t="str">
            <v>consulta_externa</v>
          </cell>
          <cell r="J2428" t="str">
            <v>bueno</v>
          </cell>
          <cell r="K2428" t="str">
            <v>probsi</v>
          </cell>
        </row>
        <row r="2429">
          <cell r="B2429" t="b">
            <v>1</v>
          </cell>
          <cell r="E2429" t="str">
            <v>San Francisco I</v>
          </cell>
          <cell r="H2429" t="str">
            <v>laboratorio</v>
          </cell>
          <cell r="J2429" t="str">
            <v>bueno</v>
          </cell>
          <cell r="K2429" t="str">
            <v>probsi</v>
          </cell>
        </row>
        <row r="2430">
          <cell r="B2430" t="b">
            <v>1</v>
          </cell>
          <cell r="E2430" t="str">
            <v>San Francisco I</v>
          </cell>
          <cell r="H2430" t="str">
            <v>consulta_externa</v>
          </cell>
          <cell r="J2430" t="str">
            <v>muybueno</v>
          </cell>
          <cell r="K2430" t="str">
            <v>probsi</v>
          </cell>
        </row>
        <row r="2431">
          <cell r="B2431" t="b">
            <v>1</v>
          </cell>
          <cell r="E2431" t="str">
            <v>San Francisco I</v>
          </cell>
          <cell r="H2431" t="str">
            <v>consulta_externa</v>
          </cell>
          <cell r="J2431" t="str">
            <v>bueno</v>
          </cell>
          <cell r="K2431" t="str">
            <v>probsi</v>
          </cell>
        </row>
        <row r="2432">
          <cell r="B2432" t="b">
            <v>1</v>
          </cell>
          <cell r="E2432" t="str">
            <v>San Francisco I</v>
          </cell>
          <cell r="H2432" t="str">
            <v>laboratorio</v>
          </cell>
          <cell r="J2432" t="str">
            <v>bueno</v>
          </cell>
          <cell r="K2432" t="str">
            <v>probsi</v>
          </cell>
        </row>
        <row r="2433">
          <cell r="B2433" t="b">
            <v>1</v>
          </cell>
          <cell r="E2433" t="str">
            <v>San Francisco I</v>
          </cell>
          <cell r="H2433" t="str">
            <v>consulta_externa</v>
          </cell>
          <cell r="J2433" t="str">
            <v>bueno</v>
          </cell>
          <cell r="K2433" t="str">
            <v>probsi</v>
          </cell>
        </row>
        <row r="2434">
          <cell r="B2434" t="b">
            <v>1</v>
          </cell>
          <cell r="E2434" t="str">
            <v>San Francisco I</v>
          </cell>
          <cell r="H2434" t="str">
            <v>salud_oral</v>
          </cell>
          <cell r="J2434" t="str">
            <v>bueno</v>
          </cell>
          <cell r="K2434" t="str">
            <v>probsi</v>
          </cell>
        </row>
        <row r="2435">
          <cell r="B2435" t="b">
            <v>1</v>
          </cell>
          <cell r="E2435" t="str">
            <v>San Francisco I</v>
          </cell>
          <cell r="H2435" t="str">
            <v>laboratorio</v>
          </cell>
          <cell r="J2435" t="str">
            <v>bueno</v>
          </cell>
          <cell r="K2435" t="str">
            <v>probsi</v>
          </cell>
        </row>
        <row r="2436">
          <cell r="B2436" t="b">
            <v>1</v>
          </cell>
          <cell r="E2436" t="str">
            <v>San Francisco I</v>
          </cell>
          <cell r="H2436" t="str">
            <v>consulta_externa</v>
          </cell>
          <cell r="J2436" t="str">
            <v>bueno</v>
          </cell>
          <cell r="K2436" t="str">
            <v>probsi</v>
          </cell>
        </row>
        <row r="2437">
          <cell r="B2437" t="b">
            <v>1</v>
          </cell>
          <cell r="E2437" t="str">
            <v>San Francisco I</v>
          </cell>
          <cell r="H2437" t="str">
            <v>laboratorio</v>
          </cell>
          <cell r="J2437" t="str">
            <v>bueno</v>
          </cell>
          <cell r="K2437" t="str">
            <v>probsi</v>
          </cell>
        </row>
        <row r="2438">
          <cell r="B2438" t="b">
            <v>1</v>
          </cell>
          <cell r="E2438" t="str">
            <v>San Francisco I</v>
          </cell>
          <cell r="H2438" t="str">
            <v>consulta_externa</v>
          </cell>
          <cell r="J2438" t="str">
            <v>bueno</v>
          </cell>
          <cell r="K2438" t="str">
            <v>probsi</v>
          </cell>
        </row>
        <row r="2439">
          <cell r="B2439" t="b">
            <v>1</v>
          </cell>
          <cell r="E2439" t="str">
            <v>San Francisco I</v>
          </cell>
          <cell r="H2439" t="str">
            <v>laboratorio</v>
          </cell>
          <cell r="J2439" t="str">
            <v>bueno</v>
          </cell>
          <cell r="K2439" t="str">
            <v>probsi</v>
          </cell>
        </row>
        <row r="2440">
          <cell r="B2440" t="b">
            <v>1</v>
          </cell>
          <cell r="E2440" t="str">
            <v>San Francisco I</v>
          </cell>
          <cell r="H2440" t="str">
            <v>salud_oral</v>
          </cell>
          <cell r="J2440" t="str">
            <v>bueno</v>
          </cell>
          <cell r="K2440" t="str">
            <v>probsi</v>
          </cell>
        </row>
        <row r="2441">
          <cell r="B2441" t="b">
            <v>1</v>
          </cell>
          <cell r="E2441" t="str">
            <v>San Francisco I</v>
          </cell>
          <cell r="H2441" t="str">
            <v>consulta_externa</v>
          </cell>
          <cell r="J2441" t="str">
            <v>bueno</v>
          </cell>
          <cell r="K2441" t="str">
            <v>probsi</v>
          </cell>
        </row>
        <row r="2442">
          <cell r="B2442" t="b">
            <v>1</v>
          </cell>
          <cell r="E2442" t="str">
            <v>San Francisco I</v>
          </cell>
          <cell r="H2442" t="str">
            <v>consulta_externa</v>
          </cell>
          <cell r="J2442" t="str">
            <v>bueno</v>
          </cell>
          <cell r="K2442" t="str">
            <v>probsi</v>
          </cell>
        </row>
        <row r="2443">
          <cell r="B2443" t="b">
            <v>1</v>
          </cell>
          <cell r="E2443" t="str">
            <v>San Francisco I</v>
          </cell>
          <cell r="H2443" t="str">
            <v>consulta_externa</v>
          </cell>
          <cell r="J2443" t="str">
            <v>muybueno</v>
          </cell>
          <cell r="K2443" t="str">
            <v>probsi</v>
          </cell>
        </row>
        <row r="2444">
          <cell r="B2444" t="b">
            <v>1</v>
          </cell>
          <cell r="E2444" t="str">
            <v>San Francisco I</v>
          </cell>
          <cell r="H2444" t="str">
            <v>salud_oral</v>
          </cell>
          <cell r="J2444" t="str">
            <v>muybueno</v>
          </cell>
          <cell r="K2444" t="str">
            <v>probsi</v>
          </cell>
        </row>
        <row r="2445">
          <cell r="B2445" t="b">
            <v>1</v>
          </cell>
          <cell r="E2445" t="str">
            <v>San Francisco I</v>
          </cell>
          <cell r="H2445" t="str">
            <v>consulta_externa</v>
          </cell>
          <cell r="J2445" t="str">
            <v>bueno</v>
          </cell>
          <cell r="K2445" t="str">
            <v>probsi</v>
          </cell>
        </row>
        <row r="2446">
          <cell r="B2446" t="b">
            <v>1</v>
          </cell>
          <cell r="E2446" t="str">
            <v>San Francisco I</v>
          </cell>
          <cell r="H2446" t="str">
            <v>consulta_externa</v>
          </cell>
          <cell r="J2446" t="str">
            <v>bueno</v>
          </cell>
          <cell r="K2446" t="str">
            <v>probsi</v>
          </cell>
        </row>
        <row r="2447">
          <cell r="B2447" t="b">
            <v>1</v>
          </cell>
          <cell r="E2447" t="str">
            <v>San Francisco I</v>
          </cell>
          <cell r="H2447" t="str">
            <v>laboratorio</v>
          </cell>
          <cell r="J2447" t="str">
            <v>bueno</v>
          </cell>
          <cell r="K2447" t="str">
            <v>probsi</v>
          </cell>
        </row>
        <row r="2448">
          <cell r="B2448" t="b">
            <v>1</v>
          </cell>
          <cell r="E2448" t="str">
            <v>San Francisco I</v>
          </cell>
          <cell r="H2448" t="str">
            <v>consulta_externa</v>
          </cell>
          <cell r="J2448" t="str">
            <v>bueno</v>
          </cell>
          <cell r="K2448" t="str">
            <v>probsi</v>
          </cell>
        </row>
        <row r="2449">
          <cell r="B2449" t="b">
            <v>1</v>
          </cell>
          <cell r="E2449" t="str">
            <v>San Francisco I</v>
          </cell>
          <cell r="H2449" t="str">
            <v>laboratorio</v>
          </cell>
          <cell r="J2449" t="str">
            <v>bueno</v>
          </cell>
          <cell r="K2449" t="str">
            <v>probsi</v>
          </cell>
        </row>
        <row r="2450">
          <cell r="B2450" t="b">
            <v>1</v>
          </cell>
          <cell r="E2450" t="str">
            <v>San Francisco I</v>
          </cell>
          <cell r="H2450" t="str">
            <v>salud_oral</v>
          </cell>
          <cell r="J2450" t="str">
            <v>bueno</v>
          </cell>
          <cell r="K2450" t="str">
            <v>probsi</v>
          </cell>
        </row>
        <row r="2451">
          <cell r="B2451" t="b">
            <v>1</v>
          </cell>
          <cell r="E2451" t="str">
            <v>San Francisco I</v>
          </cell>
          <cell r="H2451" t="str">
            <v>salud_oral</v>
          </cell>
          <cell r="J2451" t="str">
            <v>bueno</v>
          </cell>
          <cell r="K2451" t="str">
            <v>probsi</v>
          </cell>
        </row>
        <row r="2452">
          <cell r="B2452" t="b">
            <v>1</v>
          </cell>
          <cell r="E2452" t="str">
            <v>San Francisco I</v>
          </cell>
          <cell r="H2452" t="str">
            <v>laboratorio</v>
          </cell>
          <cell r="J2452" t="str">
            <v>bueno</v>
          </cell>
          <cell r="K2452" t="str">
            <v>probsi</v>
          </cell>
        </row>
        <row r="2453">
          <cell r="B2453" t="b">
            <v>1</v>
          </cell>
          <cell r="E2453" t="str">
            <v>San Francisco I</v>
          </cell>
          <cell r="H2453" t="str">
            <v>salud_oral</v>
          </cell>
          <cell r="J2453" t="str">
            <v>bueno</v>
          </cell>
          <cell r="K2453" t="str">
            <v>probsi</v>
          </cell>
        </row>
        <row r="2454">
          <cell r="B2454" t="b">
            <v>1</v>
          </cell>
          <cell r="E2454" t="str">
            <v>San Francisco I</v>
          </cell>
          <cell r="H2454" t="str">
            <v>laboratorio</v>
          </cell>
          <cell r="J2454" t="str">
            <v>bueno</v>
          </cell>
          <cell r="K2454" t="str">
            <v>probsi</v>
          </cell>
        </row>
        <row r="2455">
          <cell r="B2455" t="b">
            <v>1</v>
          </cell>
          <cell r="E2455" t="str">
            <v>San Francisco I</v>
          </cell>
          <cell r="H2455" t="str">
            <v>salud_oral</v>
          </cell>
          <cell r="J2455" t="str">
            <v>bueno</v>
          </cell>
          <cell r="K2455" t="str">
            <v>probsi</v>
          </cell>
        </row>
        <row r="2456">
          <cell r="B2456" t="b">
            <v>1</v>
          </cell>
          <cell r="E2456" t="str">
            <v>San Francisco I</v>
          </cell>
          <cell r="H2456" t="str">
            <v>salud_oral</v>
          </cell>
          <cell r="J2456" t="str">
            <v>bueno</v>
          </cell>
          <cell r="K2456" t="str">
            <v>probsi</v>
          </cell>
        </row>
        <row r="2457">
          <cell r="B2457" t="b">
            <v>1</v>
          </cell>
          <cell r="E2457" t="str">
            <v>San Francisco I</v>
          </cell>
          <cell r="H2457" t="str">
            <v>salud_oral</v>
          </cell>
          <cell r="J2457" t="str">
            <v>bueno</v>
          </cell>
          <cell r="K2457" t="str">
            <v>probsi</v>
          </cell>
        </row>
        <row r="2458">
          <cell r="B2458" t="b">
            <v>1</v>
          </cell>
          <cell r="E2458" t="str">
            <v>San Francisco I</v>
          </cell>
          <cell r="H2458" t="str">
            <v>salud_oral</v>
          </cell>
          <cell r="J2458" t="str">
            <v>bueno</v>
          </cell>
          <cell r="K2458" t="str">
            <v>probsi</v>
          </cell>
        </row>
        <row r="2459">
          <cell r="B2459" t="b">
            <v>1</v>
          </cell>
          <cell r="E2459" t="str">
            <v>San Vicente de Paul</v>
          </cell>
          <cell r="H2459" t="str">
            <v>consulta_externa</v>
          </cell>
          <cell r="J2459" t="str">
            <v>bueno</v>
          </cell>
          <cell r="K2459" t="str">
            <v>defsi</v>
          </cell>
        </row>
        <row r="2460">
          <cell r="B2460" t="b">
            <v>1</v>
          </cell>
          <cell r="E2460" t="str">
            <v>San Vicente de Paul</v>
          </cell>
          <cell r="H2460" t="str">
            <v>consulta_externa</v>
          </cell>
          <cell r="J2460" t="str">
            <v>bueno</v>
          </cell>
          <cell r="K2460" t="str">
            <v>defsi</v>
          </cell>
        </row>
        <row r="2461">
          <cell r="B2461" t="b">
            <v>1</v>
          </cell>
          <cell r="E2461" t="str">
            <v>San Vicente de Paul</v>
          </cell>
          <cell r="H2461" t="str">
            <v>laboratorio</v>
          </cell>
          <cell r="J2461" t="str">
            <v>bueno</v>
          </cell>
          <cell r="K2461" t="str">
            <v>defsi</v>
          </cell>
        </row>
        <row r="2462">
          <cell r="B2462" t="b">
            <v>1</v>
          </cell>
          <cell r="E2462" t="str">
            <v>San Vicente de Paul</v>
          </cell>
          <cell r="H2462" t="str">
            <v>laboratorio</v>
          </cell>
          <cell r="J2462" t="str">
            <v>bueno</v>
          </cell>
          <cell r="K2462" t="str">
            <v>defsi</v>
          </cell>
        </row>
        <row r="2463">
          <cell r="B2463" t="b">
            <v>1</v>
          </cell>
          <cell r="E2463" t="str">
            <v>Arroz Barato</v>
          </cell>
          <cell r="H2463" t="str">
            <v>consulta_externa</v>
          </cell>
          <cell r="J2463" t="str">
            <v>bueno</v>
          </cell>
          <cell r="K2463" t="str">
            <v>defsi</v>
          </cell>
        </row>
        <row r="2464">
          <cell r="B2464" t="b">
            <v>1</v>
          </cell>
          <cell r="E2464" t="str">
            <v>Arroz Barato</v>
          </cell>
          <cell r="H2464" t="str">
            <v>salud_oral</v>
          </cell>
          <cell r="J2464" t="str">
            <v>bueno</v>
          </cell>
          <cell r="K2464" t="str">
            <v>defsi</v>
          </cell>
        </row>
        <row r="2465">
          <cell r="B2465" t="b">
            <v>1</v>
          </cell>
          <cell r="E2465" t="str">
            <v>Arroz Barato</v>
          </cell>
          <cell r="H2465" t="str">
            <v>laboratorio</v>
          </cell>
          <cell r="J2465" t="str">
            <v>bueno</v>
          </cell>
          <cell r="K2465" t="str">
            <v>defsi</v>
          </cell>
        </row>
        <row r="2466">
          <cell r="B2466" t="b">
            <v>1</v>
          </cell>
          <cell r="E2466" t="str">
            <v>Arroz Barato</v>
          </cell>
          <cell r="H2466" t="str">
            <v>urgencia</v>
          </cell>
          <cell r="J2466" t="str">
            <v>bueno</v>
          </cell>
          <cell r="K2466" t="str">
            <v>defsi</v>
          </cell>
        </row>
        <row r="2467">
          <cell r="B2467" t="b">
            <v>1</v>
          </cell>
          <cell r="E2467" t="str">
            <v>Arroz Barato</v>
          </cell>
          <cell r="H2467" t="str">
            <v>ecografias</v>
          </cell>
          <cell r="J2467" t="str">
            <v>bueno</v>
          </cell>
          <cell r="K2467" t="str">
            <v>defsi</v>
          </cell>
        </row>
        <row r="2468">
          <cell r="B2468" t="b">
            <v>1</v>
          </cell>
          <cell r="E2468" t="str">
            <v>Arroz Barato</v>
          </cell>
          <cell r="H2468" t="str">
            <v>consulta_externa</v>
          </cell>
          <cell r="J2468" t="str">
            <v>bueno</v>
          </cell>
          <cell r="K2468" t="str">
            <v>defsi</v>
          </cell>
        </row>
        <row r="2469">
          <cell r="B2469" t="b">
            <v>1</v>
          </cell>
          <cell r="E2469" t="str">
            <v>Arroz Barato</v>
          </cell>
          <cell r="H2469" t="str">
            <v>salud_oral</v>
          </cell>
          <cell r="J2469" t="str">
            <v>bueno</v>
          </cell>
          <cell r="K2469" t="str">
            <v>defsi</v>
          </cell>
        </row>
        <row r="2470">
          <cell r="B2470" t="b">
            <v>1</v>
          </cell>
          <cell r="E2470" t="str">
            <v>Arroz Barato</v>
          </cell>
          <cell r="H2470" t="str">
            <v>laboratorio</v>
          </cell>
          <cell r="J2470" t="str">
            <v>bueno</v>
          </cell>
          <cell r="K2470" t="str">
            <v>defsi</v>
          </cell>
        </row>
        <row r="2471">
          <cell r="B2471" t="b">
            <v>1</v>
          </cell>
          <cell r="E2471" t="str">
            <v>Arroz Barato</v>
          </cell>
          <cell r="H2471" t="str">
            <v>urgencia</v>
          </cell>
          <cell r="J2471" t="str">
            <v>bueno</v>
          </cell>
          <cell r="K2471" t="str">
            <v>defsi</v>
          </cell>
        </row>
        <row r="2472">
          <cell r="B2472" t="b">
            <v>1</v>
          </cell>
          <cell r="E2472" t="str">
            <v>Arroz Barato</v>
          </cell>
          <cell r="H2472" t="str">
            <v>ecografias</v>
          </cell>
          <cell r="J2472" t="str">
            <v>bueno</v>
          </cell>
          <cell r="K2472" t="str">
            <v>defsi</v>
          </cell>
        </row>
        <row r="2473">
          <cell r="B2473" t="b">
            <v>1</v>
          </cell>
          <cell r="E2473" t="str">
            <v>Gaviotas</v>
          </cell>
          <cell r="H2473" t="str">
            <v>consulta_externa</v>
          </cell>
          <cell r="J2473" t="str">
            <v>bueno</v>
          </cell>
          <cell r="K2473" t="str">
            <v>probsi</v>
          </cell>
        </row>
        <row r="2474">
          <cell r="B2474" t="b">
            <v>1</v>
          </cell>
          <cell r="E2474" t="str">
            <v>Gaviotas</v>
          </cell>
          <cell r="H2474" t="str">
            <v>consulta_externa</v>
          </cell>
          <cell r="J2474" t="str">
            <v>bueno</v>
          </cell>
          <cell r="K2474" t="str">
            <v>probsi</v>
          </cell>
        </row>
        <row r="2475">
          <cell r="B2475" t="b">
            <v>1</v>
          </cell>
          <cell r="E2475" t="str">
            <v>Gaviotas</v>
          </cell>
          <cell r="H2475" t="str">
            <v>laboratorio</v>
          </cell>
          <cell r="J2475" t="str">
            <v>bueno</v>
          </cell>
          <cell r="K2475" t="str">
            <v>probsi</v>
          </cell>
        </row>
        <row r="2476">
          <cell r="B2476" t="b">
            <v>1</v>
          </cell>
          <cell r="E2476" t="str">
            <v>San Vicente de Paul</v>
          </cell>
          <cell r="H2476" t="str">
            <v>laboratorio</v>
          </cell>
          <cell r="J2476" t="str">
            <v>bueno</v>
          </cell>
          <cell r="K2476" t="str">
            <v>defsi</v>
          </cell>
        </row>
        <row r="2477">
          <cell r="B2477" t="b">
            <v>1</v>
          </cell>
          <cell r="E2477" t="str">
            <v>Gaviotas</v>
          </cell>
          <cell r="H2477" t="str">
            <v>laboratorio</v>
          </cell>
          <cell r="J2477" t="str">
            <v>bueno</v>
          </cell>
          <cell r="K2477" t="str">
            <v>probsi</v>
          </cell>
        </row>
        <row r="2478">
          <cell r="B2478" t="b">
            <v>1</v>
          </cell>
          <cell r="E2478" t="str">
            <v>Gaviotas</v>
          </cell>
          <cell r="H2478" t="str">
            <v>laboratorio</v>
          </cell>
          <cell r="J2478" t="str">
            <v>bueno</v>
          </cell>
          <cell r="K2478" t="str">
            <v>probsi</v>
          </cell>
        </row>
        <row r="2479">
          <cell r="B2479" t="b">
            <v>1</v>
          </cell>
          <cell r="E2479" t="str">
            <v>Gaviotas</v>
          </cell>
          <cell r="H2479" t="str">
            <v>consulta_externa</v>
          </cell>
          <cell r="J2479" t="str">
            <v>bueno</v>
          </cell>
          <cell r="K2479" t="str">
            <v>probsi</v>
          </cell>
        </row>
        <row r="2480">
          <cell r="B2480" t="b">
            <v>1</v>
          </cell>
          <cell r="E2480" t="str">
            <v>Gaviotas</v>
          </cell>
          <cell r="H2480" t="str">
            <v>consulta_externa</v>
          </cell>
          <cell r="J2480" t="str">
            <v>bueno</v>
          </cell>
          <cell r="K2480" t="str">
            <v>probsi</v>
          </cell>
        </row>
        <row r="2481">
          <cell r="B2481" t="b">
            <v>1</v>
          </cell>
          <cell r="E2481" t="str">
            <v>Gaviotas</v>
          </cell>
          <cell r="H2481" t="str">
            <v>salud_oral</v>
          </cell>
          <cell r="J2481" t="str">
            <v>bueno</v>
          </cell>
          <cell r="K2481" t="str">
            <v>probsi</v>
          </cell>
        </row>
        <row r="2482">
          <cell r="B2482" t="b">
            <v>1</v>
          </cell>
          <cell r="E2482" t="str">
            <v>Gaviotas</v>
          </cell>
          <cell r="H2482" t="str">
            <v>salud_oral</v>
          </cell>
          <cell r="J2482" t="str">
            <v>bueno</v>
          </cell>
          <cell r="K2482" t="str">
            <v>probsi</v>
          </cell>
        </row>
        <row r="2483">
          <cell r="B2483" t="b">
            <v>1</v>
          </cell>
          <cell r="E2483" t="str">
            <v>Gaviotas</v>
          </cell>
          <cell r="H2483" t="str">
            <v>salud_oral</v>
          </cell>
          <cell r="J2483" t="str">
            <v>bueno</v>
          </cell>
          <cell r="K2483" t="str">
            <v>probsi</v>
          </cell>
        </row>
        <row r="2484">
          <cell r="B2484" t="b">
            <v>1</v>
          </cell>
          <cell r="E2484" t="str">
            <v>Gaviotas</v>
          </cell>
          <cell r="H2484" t="str">
            <v>consulta_externa</v>
          </cell>
          <cell r="J2484" t="str">
            <v>bueno</v>
          </cell>
          <cell r="K2484" t="str">
            <v>probsi</v>
          </cell>
        </row>
        <row r="2485">
          <cell r="B2485" t="b">
            <v>1</v>
          </cell>
          <cell r="E2485" t="str">
            <v>Arroz Barato</v>
          </cell>
          <cell r="H2485" t="str">
            <v>consulta_externa</v>
          </cell>
          <cell r="J2485" t="str">
            <v>bueno</v>
          </cell>
          <cell r="K2485" t="str">
            <v>defsi</v>
          </cell>
        </row>
        <row r="2486">
          <cell r="B2486" t="b">
            <v>1</v>
          </cell>
          <cell r="E2486" t="str">
            <v>Arroz Barato</v>
          </cell>
          <cell r="H2486" t="str">
            <v>salud_oral</v>
          </cell>
          <cell r="J2486" t="str">
            <v>bueno</v>
          </cell>
          <cell r="K2486" t="str">
            <v>defsi</v>
          </cell>
        </row>
        <row r="2487">
          <cell r="B2487" t="b">
            <v>1</v>
          </cell>
          <cell r="E2487" t="str">
            <v>Arroz Barato</v>
          </cell>
          <cell r="H2487" t="str">
            <v>laboratorio</v>
          </cell>
          <cell r="J2487" t="str">
            <v>bueno</v>
          </cell>
          <cell r="K2487" t="str">
            <v>defsi</v>
          </cell>
        </row>
        <row r="2488">
          <cell r="B2488" t="b">
            <v>1</v>
          </cell>
          <cell r="E2488" t="str">
            <v>Arroz Barato</v>
          </cell>
          <cell r="H2488" t="str">
            <v>urgencia</v>
          </cell>
          <cell r="J2488" t="str">
            <v>bueno</v>
          </cell>
          <cell r="K2488" t="str">
            <v>defsi</v>
          </cell>
        </row>
        <row r="2489">
          <cell r="B2489" t="b">
            <v>1</v>
          </cell>
          <cell r="E2489" t="str">
            <v>Arroz Barato</v>
          </cell>
          <cell r="H2489" t="str">
            <v>ecografias</v>
          </cell>
          <cell r="J2489" t="str">
            <v>bueno</v>
          </cell>
          <cell r="K2489" t="str">
            <v>defsi</v>
          </cell>
        </row>
        <row r="2490">
          <cell r="B2490" t="b">
            <v>1</v>
          </cell>
          <cell r="E2490" t="str">
            <v>Gaviotas</v>
          </cell>
          <cell r="H2490" t="str">
            <v>consulta_externa</v>
          </cell>
          <cell r="J2490" t="str">
            <v>bueno</v>
          </cell>
          <cell r="K2490" t="str">
            <v>probsi</v>
          </cell>
        </row>
        <row r="2491">
          <cell r="B2491" t="b">
            <v>1</v>
          </cell>
          <cell r="E2491" t="str">
            <v>Gaviotas</v>
          </cell>
          <cell r="H2491" t="str">
            <v>consulta_externa</v>
          </cell>
          <cell r="J2491" t="str">
            <v>bueno</v>
          </cell>
          <cell r="K2491" t="str">
            <v>probsi</v>
          </cell>
        </row>
        <row r="2492">
          <cell r="B2492" t="b">
            <v>1</v>
          </cell>
          <cell r="E2492" t="str">
            <v>Gaviotas</v>
          </cell>
          <cell r="H2492" t="str">
            <v>consulta_externa</v>
          </cell>
          <cell r="J2492" t="str">
            <v>bueno</v>
          </cell>
          <cell r="K2492" t="str">
            <v>probsi</v>
          </cell>
        </row>
        <row r="2493">
          <cell r="B2493" t="b">
            <v>1</v>
          </cell>
          <cell r="E2493" t="str">
            <v>Gaviotas</v>
          </cell>
          <cell r="H2493" t="str">
            <v>laboratorio</v>
          </cell>
          <cell r="J2493" t="str">
            <v>bueno</v>
          </cell>
          <cell r="K2493" t="str">
            <v>probsi</v>
          </cell>
        </row>
        <row r="2494">
          <cell r="B2494" t="b">
            <v>1</v>
          </cell>
          <cell r="E2494" t="str">
            <v>Gaviotas</v>
          </cell>
          <cell r="H2494" t="str">
            <v>laboratorio</v>
          </cell>
          <cell r="J2494" t="str">
            <v>bueno</v>
          </cell>
          <cell r="K2494" t="str">
            <v>probsi</v>
          </cell>
        </row>
        <row r="2495">
          <cell r="B2495" t="b">
            <v>1</v>
          </cell>
          <cell r="E2495" t="str">
            <v>Gaviotas</v>
          </cell>
          <cell r="H2495" t="str">
            <v>laboratorio</v>
          </cell>
          <cell r="J2495" t="str">
            <v>bueno</v>
          </cell>
          <cell r="K2495" t="str">
            <v>probsi</v>
          </cell>
        </row>
        <row r="2496">
          <cell r="B2496" t="b">
            <v>1</v>
          </cell>
          <cell r="E2496" t="str">
            <v>Gaviotas</v>
          </cell>
          <cell r="H2496" t="str">
            <v>laboratorio</v>
          </cell>
          <cell r="J2496" t="str">
            <v>bueno</v>
          </cell>
          <cell r="K2496" t="str">
            <v>probsi</v>
          </cell>
        </row>
        <row r="2497">
          <cell r="B2497" t="b">
            <v>1</v>
          </cell>
          <cell r="E2497" t="str">
            <v>Gaviotas</v>
          </cell>
          <cell r="H2497" t="str">
            <v>laboratorio</v>
          </cell>
          <cell r="J2497" t="str">
            <v>bueno</v>
          </cell>
          <cell r="K2497" t="str">
            <v>probsi</v>
          </cell>
        </row>
        <row r="2498">
          <cell r="B2498" t="b">
            <v>1</v>
          </cell>
          <cell r="E2498" t="str">
            <v>Gaviotas</v>
          </cell>
          <cell r="H2498" t="str">
            <v>laboratorio</v>
          </cell>
          <cell r="J2498" t="str">
            <v>bueno</v>
          </cell>
          <cell r="K2498" t="str">
            <v>probsi</v>
          </cell>
        </row>
        <row r="2499">
          <cell r="B2499" t="b">
            <v>1</v>
          </cell>
          <cell r="E2499" t="str">
            <v>Gaviotas</v>
          </cell>
          <cell r="H2499" t="str">
            <v>laboratorio</v>
          </cell>
          <cell r="J2499" t="str">
            <v>bueno</v>
          </cell>
          <cell r="K2499" t="str">
            <v>probsi</v>
          </cell>
        </row>
        <row r="2500">
          <cell r="B2500" t="b">
            <v>1</v>
          </cell>
          <cell r="E2500" t="str">
            <v>Gaviotas</v>
          </cell>
          <cell r="H2500" t="str">
            <v>laboratorio</v>
          </cell>
          <cell r="J2500" t="str">
            <v>bueno</v>
          </cell>
          <cell r="K2500" t="str">
            <v>probsi</v>
          </cell>
        </row>
        <row r="2501">
          <cell r="B2501" t="b">
            <v>1</v>
          </cell>
          <cell r="E2501" t="str">
            <v>Gaviotas</v>
          </cell>
          <cell r="H2501" t="str">
            <v>consulta_externa</v>
          </cell>
          <cell r="J2501" t="str">
            <v>bueno</v>
          </cell>
          <cell r="K2501" t="str">
            <v>probsi</v>
          </cell>
        </row>
        <row r="2502">
          <cell r="B2502" t="b">
            <v>1</v>
          </cell>
          <cell r="E2502" t="str">
            <v>Gaviotas</v>
          </cell>
          <cell r="H2502" t="str">
            <v>consulta_externa</v>
          </cell>
          <cell r="J2502" t="str">
            <v>bueno</v>
          </cell>
          <cell r="K2502" t="str">
            <v>probsi</v>
          </cell>
        </row>
        <row r="2503">
          <cell r="B2503" t="b">
            <v>1</v>
          </cell>
          <cell r="E2503" t="str">
            <v>Gaviotas</v>
          </cell>
          <cell r="H2503" t="str">
            <v>consulta_externa</v>
          </cell>
          <cell r="J2503" t="str">
            <v>bueno</v>
          </cell>
          <cell r="K2503" t="str">
            <v>probsi</v>
          </cell>
        </row>
        <row r="2504">
          <cell r="B2504" t="b">
            <v>1</v>
          </cell>
          <cell r="E2504" t="str">
            <v>Gaviotas</v>
          </cell>
          <cell r="H2504" t="str">
            <v>consulta_externa</v>
          </cell>
          <cell r="J2504" t="str">
            <v>bueno</v>
          </cell>
          <cell r="K2504" t="str">
            <v>probsi</v>
          </cell>
        </row>
        <row r="2505">
          <cell r="B2505" t="b">
            <v>1</v>
          </cell>
          <cell r="E2505" t="str">
            <v>Gaviotas</v>
          </cell>
          <cell r="H2505" t="str">
            <v>consulta_externa</v>
          </cell>
          <cell r="J2505" t="str">
            <v>bueno</v>
          </cell>
          <cell r="K2505" t="str">
            <v>probsi</v>
          </cell>
        </row>
        <row r="2506">
          <cell r="B2506" t="b">
            <v>1</v>
          </cell>
          <cell r="E2506" t="str">
            <v>Gaviotas</v>
          </cell>
          <cell r="H2506" t="str">
            <v>consulta_externa</v>
          </cell>
          <cell r="J2506" t="str">
            <v>bueno</v>
          </cell>
          <cell r="K2506" t="str">
            <v>probsi</v>
          </cell>
        </row>
        <row r="2507">
          <cell r="B2507" t="b">
            <v>1</v>
          </cell>
          <cell r="E2507" t="str">
            <v>Gaviotas</v>
          </cell>
          <cell r="H2507" t="str">
            <v>salud_oral</v>
          </cell>
          <cell r="J2507" t="str">
            <v>bueno</v>
          </cell>
          <cell r="K2507" t="str">
            <v>probsi</v>
          </cell>
        </row>
        <row r="2508">
          <cell r="B2508" t="b">
            <v>1</v>
          </cell>
          <cell r="E2508" t="str">
            <v>Gaviotas</v>
          </cell>
          <cell r="H2508" t="str">
            <v>salud_oral</v>
          </cell>
          <cell r="J2508" t="str">
            <v>bueno</v>
          </cell>
          <cell r="K2508" t="str">
            <v>probsi</v>
          </cell>
        </row>
        <row r="2509">
          <cell r="B2509" t="b">
            <v>1</v>
          </cell>
          <cell r="E2509" t="str">
            <v>Gaviotas</v>
          </cell>
          <cell r="H2509" t="str">
            <v>salud_oral</v>
          </cell>
          <cell r="J2509" t="str">
            <v>bueno</v>
          </cell>
          <cell r="K2509" t="str">
            <v>probsi</v>
          </cell>
        </row>
        <row r="2510">
          <cell r="B2510" t="b">
            <v>1</v>
          </cell>
          <cell r="E2510" t="str">
            <v>Gaviotas</v>
          </cell>
          <cell r="H2510" t="str">
            <v>salud_oral</v>
          </cell>
          <cell r="J2510" t="str">
            <v>bueno</v>
          </cell>
          <cell r="K2510" t="str">
            <v>probsi</v>
          </cell>
        </row>
        <row r="2511">
          <cell r="B2511" t="b">
            <v>1</v>
          </cell>
          <cell r="E2511" t="str">
            <v>Gaviotas</v>
          </cell>
          <cell r="H2511" t="str">
            <v>salud_oral</v>
          </cell>
          <cell r="J2511" t="str">
            <v>bueno</v>
          </cell>
          <cell r="K2511" t="str">
            <v>probsi</v>
          </cell>
        </row>
        <row r="2512">
          <cell r="B2512" t="b">
            <v>1</v>
          </cell>
          <cell r="E2512" t="str">
            <v>Gaviotas</v>
          </cell>
          <cell r="H2512" t="str">
            <v>salud_oral</v>
          </cell>
          <cell r="J2512" t="str">
            <v>bueno</v>
          </cell>
          <cell r="K2512" t="str">
            <v>probsi</v>
          </cell>
        </row>
        <row r="2513">
          <cell r="B2513" t="b">
            <v>1</v>
          </cell>
          <cell r="E2513" t="str">
            <v>Gaviotas</v>
          </cell>
          <cell r="H2513" t="str">
            <v>consulta_externa</v>
          </cell>
          <cell r="J2513" t="str">
            <v>bueno</v>
          </cell>
          <cell r="K2513" t="str">
            <v>probsi</v>
          </cell>
        </row>
        <row r="2514">
          <cell r="B2514" t="b">
            <v>1</v>
          </cell>
          <cell r="E2514" t="str">
            <v>Baru</v>
          </cell>
          <cell r="H2514" t="str">
            <v>consulta_externa</v>
          </cell>
          <cell r="J2514" t="str">
            <v>bueno</v>
          </cell>
          <cell r="K2514" t="str">
            <v>probsi</v>
          </cell>
        </row>
        <row r="2515">
          <cell r="B2515" t="b">
            <v>1</v>
          </cell>
          <cell r="E2515" t="str">
            <v>Baru</v>
          </cell>
          <cell r="H2515" t="str">
            <v>consulta_externa</v>
          </cell>
          <cell r="J2515" t="str">
            <v>bueno</v>
          </cell>
          <cell r="K2515" t="str">
            <v>probsi</v>
          </cell>
        </row>
        <row r="2516">
          <cell r="B2516" t="b">
            <v>1</v>
          </cell>
          <cell r="E2516" t="str">
            <v>Baru</v>
          </cell>
          <cell r="H2516" t="str">
            <v>consulta_externa</v>
          </cell>
          <cell r="J2516" t="str">
            <v>bueno</v>
          </cell>
          <cell r="K2516" t="str">
            <v>probsi</v>
          </cell>
        </row>
        <row r="2517">
          <cell r="B2517" t="b">
            <v>1</v>
          </cell>
          <cell r="E2517" t="str">
            <v>Baru</v>
          </cell>
          <cell r="H2517" t="str">
            <v>consulta_externa</v>
          </cell>
          <cell r="J2517" t="str">
            <v>bueno</v>
          </cell>
          <cell r="K2517" t="str">
            <v>probsi</v>
          </cell>
        </row>
        <row r="2518">
          <cell r="B2518" t="b">
            <v>1</v>
          </cell>
          <cell r="E2518" t="str">
            <v>Baru</v>
          </cell>
          <cell r="H2518" t="str">
            <v>consulta_externa</v>
          </cell>
          <cell r="J2518" t="str">
            <v>bueno</v>
          </cell>
          <cell r="K2518" t="str">
            <v>probsi</v>
          </cell>
        </row>
        <row r="2519">
          <cell r="B2519" t="b">
            <v>1</v>
          </cell>
          <cell r="E2519" t="str">
            <v>Baru</v>
          </cell>
          <cell r="H2519" t="str">
            <v>laboratorio</v>
          </cell>
          <cell r="J2519" t="str">
            <v>bueno</v>
          </cell>
          <cell r="K2519" t="str">
            <v>probsi</v>
          </cell>
        </row>
        <row r="2520">
          <cell r="B2520" t="b">
            <v>1</v>
          </cell>
          <cell r="E2520" t="str">
            <v>Baru</v>
          </cell>
          <cell r="H2520" t="str">
            <v>laboratorio</v>
          </cell>
          <cell r="J2520" t="str">
            <v>bueno</v>
          </cell>
          <cell r="K2520" t="str">
            <v>probsi</v>
          </cell>
        </row>
        <row r="2521">
          <cell r="B2521" t="b">
            <v>1</v>
          </cell>
          <cell r="E2521" t="str">
            <v>Baru</v>
          </cell>
          <cell r="H2521" t="str">
            <v>laboratorio</v>
          </cell>
          <cell r="J2521" t="str">
            <v>bueno</v>
          </cell>
          <cell r="K2521" t="str">
            <v>probsi</v>
          </cell>
        </row>
        <row r="2522">
          <cell r="B2522" t="b">
            <v>1</v>
          </cell>
          <cell r="E2522" t="str">
            <v>Baru</v>
          </cell>
          <cell r="H2522" t="str">
            <v>laboratorio</v>
          </cell>
          <cell r="J2522" t="str">
            <v>bueno</v>
          </cell>
          <cell r="K2522" t="str">
            <v>probsi</v>
          </cell>
        </row>
        <row r="2523">
          <cell r="B2523" t="b">
            <v>1</v>
          </cell>
          <cell r="E2523" t="str">
            <v>Baru</v>
          </cell>
          <cell r="H2523" t="str">
            <v>laboratorio</v>
          </cell>
          <cell r="J2523" t="str">
            <v>bueno</v>
          </cell>
          <cell r="K2523" t="str">
            <v>probsi</v>
          </cell>
        </row>
        <row r="2524">
          <cell r="B2524" t="b">
            <v>1</v>
          </cell>
          <cell r="E2524" t="str">
            <v>Baru</v>
          </cell>
          <cell r="H2524" t="str">
            <v>laboratorio</v>
          </cell>
          <cell r="J2524" t="str">
            <v>bueno</v>
          </cell>
          <cell r="K2524" t="str">
            <v>probsi</v>
          </cell>
        </row>
        <row r="2525">
          <cell r="B2525" t="b">
            <v>1</v>
          </cell>
          <cell r="E2525" t="str">
            <v>Baru</v>
          </cell>
          <cell r="H2525" t="str">
            <v>laboratorio</v>
          </cell>
          <cell r="J2525" t="str">
            <v>bueno</v>
          </cell>
          <cell r="K2525" t="str">
            <v>probsi</v>
          </cell>
        </row>
        <row r="2526">
          <cell r="B2526" t="b">
            <v>1</v>
          </cell>
          <cell r="E2526" t="str">
            <v>Baru</v>
          </cell>
          <cell r="H2526" t="str">
            <v>laboratorio</v>
          </cell>
          <cell r="J2526" t="str">
            <v>bueno</v>
          </cell>
          <cell r="K2526" t="str">
            <v>probsi</v>
          </cell>
        </row>
        <row r="2527">
          <cell r="B2527" t="b">
            <v>1</v>
          </cell>
          <cell r="E2527" t="str">
            <v>Baru</v>
          </cell>
          <cell r="H2527" t="str">
            <v>laboratorio</v>
          </cell>
          <cell r="J2527" t="str">
            <v>bueno</v>
          </cell>
          <cell r="K2527" t="str">
            <v>probsi</v>
          </cell>
        </row>
        <row r="2528">
          <cell r="B2528" t="b">
            <v>1</v>
          </cell>
          <cell r="E2528" t="str">
            <v>Baru</v>
          </cell>
          <cell r="H2528" t="str">
            <v>laboratorio</v>
          </cell>
          <cell r="J2528" t="str">
            <v>bueno</v>
          </cell>
          <cell r="K2528" t="str">
            <v>probsi</v>
          </cell>
        </row>
        <row r="2529">
          <cell r="B2529" t="b">
            <v>1</v>
          </cell>
          <cell r="E2529" t="str">
            <v>Baru</v>
          </cell>
          <cell r="H2529" t="str">
            <v>salud_oral</v>
          </cell>
          <cell r="J2529" t="str">
            <v>bueno</v>
          </cell>
          <cell r="K2529" t="str">
            <v>probsi</v>
          </cell>
        </row>
        <row r="2530">
          <cell r="B2530" t="b">
            <v>1</v>
          </cell>
          <cell r="E2530" t="str">
            <v>Baru</v>
          </cell>
          <cell r="H2530" t="str">
            <v>salud_oral</v>
          </cell>
          <cell r="J2530" t="str">
            <v>bueno</v>
          </cell>
          <cell r="K2530" t="str">
            <v>probsi</v>
          </cell>
        </row>
        <row r="2531">
          <cell r="B2531" t="b">
            <v>1</v>
          </cell>
          <cell r="E2531" t="str">
            <v>Baru</v>
          </cell>
          <cell r="H2531" t="str">
            <v>salud_oral</v>
          </cell>
          <cell r="J2531" t="str">
            <v>bueno</v>
          </cell>
          <cell r="K2531" t="str">
            <v>probsi</v>
          </cell>
        </row>
        <row r="2532">
          <cell r="B2532" t="b">
            <v>1</v>
          </cell>
          <cell r="E2532" t="str">
            <v>Baru</v>
          </cell>
          <cell r="H2532" t="str">
            <v>consulta_externa</v>
          </cell>
          <cell r="J2532" t="str">
            <v>bueno</v>
          </cell>
          <cell r="K2532" t="str">
            <v>probsi</v>
          </cell>
        </row>
        <row r="2533">
          <cell r="B2533" t="b">
            <v>1</v>
          </cell>
          <cell r="E2533" t="str">
            <v>Baru</v>
          </cell>
          <cell r="H2533" t="str">
            <v>consulta_externa</v>
          </cell>
          <cell r="J2533" t="str">
            <v>bueno</v>
          </cell>
          <cell r="K2533" t="str">
            <v>probsi</v>
          </cell>
        </row>
        <row r="2534">
          <cell r="B2534" t="b">
            <v>1</v>
          </cell>
          <cell r="E2534" t="str">
            <v>Baru</v>
          </cell>
          <cell r="H2534" t="str">
            <v>consulta_externa</v>
          </cell>
          <cell r="J2534" t="str">
            <v>bueno</v>
          </cell>
          <cell r="K2534" t="str">
            <v>probsi</v>
          </cell>
        </row>
        <row r="2535">
          <cell r="B2535" t="b">
            <v>1</v>
          </cell>
          <cell r="E2535" t="str">
            <v>Baru</v>
          </cell>
          <cell r="H2535" t="str">
            <v>consulta_externa</v>
          </cell>
          <cell r="J2535" t="str">
            <v>bueno</v>
          </cell>
          <cell r="K2535" t="str">
            <v>probsi</v>
          </cell>
        </row>
        <row r="2536">
          <cell r="B2536" t="b">
            <v>1</v>
          </cell>
          <cell r="E2536" t="str">
            <v>Baru</v>
          </cell>
          <cell r="H2536" t="str">
            <v>urgencia</v>
          </cell>
          <cell r="J2536" t="str">
            <v>bueno</v>
          </cell>
          <cell r="K2536" t="str">
            <v>probsi</v>
          </cell>
        </row>
        <row r="2537">
          <cell r="B2537" t="b">
            <v>1</v>
          </cell>
          <cell r="E2537" t="str">
            <v>Baru</v>
          </cell>
          <cell r="H2537" t="str">
            <v>urgencia</v>
          </cell>
          <cell r="J2537" t="str">
            <v>bueno</v>
          </cell>
          <cell r="K2537" t="str">
            <v>probsi</v>
          </cell>
        </row>
        <row r="2538">
          <cell r="B2538" t="b">
            <v>1</v>
          </cell>
          <cell r="E2538" t="str">
            <v>Baru</v>
          </cell>
          <cell r="H2538" t="str">
            <v>urgencia</v>
          </cell>
          <cell r="J2538" t="str">
            <v>bueno</v>
          </cell>
          <cell r="K2538" t="str">
            <v>probsi</v>
          </cell>
        </row>
        <row r="2539">
          <cell r="B2539" t="b">
            <v>1</v>
          </cell>
          <cell r="E2539" t="str">
            <v>San Vicente de Paul</v>
          </cell>
          <cell r="H2539" t="str">
            <v>salud_oral</v>
          </cell>
          <cell r="J2539" t="str">
            <v>bueno</v>
          </cell>
          <cell r="K2539" t="str">
            <v>defsi</v>
          </cell>
        </row>
        <row r="2540">
          <cell r="B2540" t="b">
            <v>1</v>
          </cell>
          <cell r="E2540" t="str">
            <v>San Vicente de Paul</v>
          </cell>
          <cell r="H2540" t="str">
            <v>salud_oral</v>
          </cell>
          <cell r="J2540" t="str">
            <v>bueno</v>
          </cell>
          <cell r="K2540" t="str">
            <v>defsi</v>
          </cell>
        </row>
        <row r="2541">
          <cell r="B2541" t="b">
            <v>1</v>
          </cell>
          <cell r="E2541" t="str">
            <v>San Vicente de Paul</v>
          </cell>
          <cell r="H2541" t="str">
            <v>salud_oral</v>
          </cell>
          <cell r="J2541" t="str">
            <v>bueno</v>
          </cell>
          <cell r="K2541" t="str">
            <v>defsi</v>
          </cell>
        </row>
        <row r="2542">
          <cell r="B2542" t="b">
            <v>1</v>
          </cell>
          <cell r="E2542" t="str">
            <v>San Vicente de Paul</v>
          </cell>
          <cell r="H2542" t="str">
            <v>laboratorio</v>
          </cell>
          <cell r="J2542" t="str">
            <v>bueno</v>
          </cell>
          <cell r="K2542" t="str">
            <v>defsi</v>
          </cell>
        </row>
        <row r="2543">
          <cell r="B2543" t="b">
            <v>1</v>
          </cell>
          <cell r="E2543" t="str">
            <v>San Vicente de Paul</v>
          </cell>
          <cell r="H2543" t="str">
            <v>laboratorio</v>
          </cell>
          <cell r="J2543" t="str">
            <v>bueno</v>
          </cell>
          <cell r="K2543" t="str">
            <v>defsi</v>
          </cell>
        </row>
        <row r="2544">
          <cell r="B2544" t="b">
            <v>1</v>
          </cell>
          <cell r="E2544" t="str">
            <v>San Vicente de Paul</v>
          </cell>
          <cell r="H2544" t="str">
            <v>laboratorio</v>
          </cell>
          <cell r="J2544" t="str">
            <v>bueno</v>
          </cell>
          <cell r="K2544" t="str">
            <v>defsi</v>
          </cell>
        </row>
        <row r="2545">
          <cell r="B2545" t="b">
            <v>1</v>
          </cell>
          <cell r="E2545" t="str">
            <v>San Vicente de Paul</v>
          </cell>
          <cell r="H2545" t="str">
            <v>salud_oral</v>
          </cell>
          <cell r="J2545" t="str">
            <v>bueno</v>
          </cell>
          <cell r="K2545" t="str">
            <v>defsi</v>
          </cell>
        </row>
        <row r="2546">
          <cell r="B2546" t="b">
            <v>1</v>
          </cell>
          <cell r="E2546" t="str">
            <v>San Vicente de Paul</v>
          </cell>
          <cell r="H2546" t="str">
            <v>salud_oral</v>
          </cell>
          <cell r="J2546" t="str">
            <v>bueno</v>
          </cell>
          <cell r="K2546" t="str">
            <v>defsi</v>
          </cell>
        </row>
        <row r="2547">
          <cell r="B2547" t="b">
            <v>1</v>
          </cell>
          <cell r="E2547" t="str">
            <v>San Vicente de Paul</v>
          </cell>
          <cell r="H2547" t="str">
            <v>salud_oral</v>
          </cell>
          <cell r="J2547" t="str">
            <v>bueno</v>
          </cell>
          <cell r="K2547" t="str">
            <v>defsi</v>
          </cell>
        </row>
        <row r="2548">
          <cell r="B2548" t="b">
            <v>1</v>
          </cell>
          <cell r="E2548" t="str">
            <v>San Vicente de Paul</v>
          </cell>
          <cell r="H2548" t="str">
            <v>salud_oral</v>
          </cell>
          <cell r="J2548" t="str">
            <v>bueno</v>
          </cell>
          <cell r="K2548" t="str">
            <v>defsi</v>
          </cell>
        </row>
        <row r="2549">
          <cell r="B2549" t="b">
            <v>1</v>
          </cell>
          <cell r="E2549" t="str">
            <v>San Vicente de Paul</v>
          </cell>
          <cell r="H2549" t="str">
            <v>salud_oral</v>
          </cell>
          <cell r="J2549" t="str">
            <v>bueno</v>
          </cell>
          <cell r="K2549" t="str">
            <v>defsi</v>
          </cell>
        </row>
        <row r="2550">
          <cell r="B2550" t="b">
            <v>1</v>
          </cell>
          <cell r="E2550" t="str">
            <v>Arroz Barato</v>
          </cell>
          <cell r="H2550" t="str">
            <v>consulta_externa</v>
          </cell>
          <cell r="J2550" t="str">
            <v>bueno</v>
          </cell>
          <cell r="K2550" t="str">
            <v>defsi</v>
          </cell>
        </row>
        <row r="2551">
          <cell r="B2551" t="b">
            <v>1</v>
          </cell>
          <cell r="E2551" t="str">
            <v>Arroz Barato</v>
          </cell>
          <cell r="H2551" t="str">
            <v>salud_oral</v>
          </cell>
          <cell r="J2551" t="str">
            <v>bueno</v>
          </cell>
          <cell r="K2551" t="str">
            <v>defsi</v>
          </cell>
        </row>
        <row r="2552">
          <cell r="B2552" t="b">
            <v>1</v>
          </cell>
          <cell r="E2552" t="str">
            <v>Arroz Barato</v>
          </cell>
          <cell r="H2552" t="str">
            <v>laboratorio</v>
          </cell>
          <cell r="J2552" t="str">
            <v>bueno</v>
          </cell>
          <cell r="K2552" t="str">
            <v>defsi</v>
          </cell>
        </row>
        <row r="2553">
          <cell r="B2553" t="b">
            <v>1</v>
          </cell>
          <cell r="E2553" t="str">
            <v>Arroz Barato</v>
          </cell>
          <cell r="H2553" t="str">
            <v>urgencia</v>
          </cell>
          <cell r="J2553" t="str">
            <v>bueno</v>
          </cell>
          <cell r="K2553" t="str">
            <v>defsi</v>
          </cell>
        </row>
        <row r="2554">
          <cell r="B2554" t="b">
            <v>1</v>
          </cell>
          <cell r="E2554" t="str">
            <v>Arroz Barato</v>
          </cell>
          <cell r="H2554" t="str">
            <v>ecografias</v>
          </cell>
          <cell r="J2554" t="str">
            <v>bueno</v>
          </cell>
          <cell r="K2554" t="str">
            <v>defsi</v>
          </cell>
        </row>
        <row r="2555">
          <cell r="B2555" t="b">
            <v>1</v>
          </cell>
          <cell r="E2555" t="str">
            <v>Libano</v>
          </cell>
          <cell r="H2555" t="str">
            <v>consulta_externa</v>
          </cell>
          <cell r="J2555" t="str">
            <v>bueno</v>
          </cell>
          <cell r="K2555" t="str">
            <v>defsi</v>
          </cell>
        </row>
        <row r="2556">
          <cell r="B2556" t="b">
            <v>1</v>
          </cell>
          <cell r="E2556" t="str">
            <v>Libano</v>
          </cell>
          <cell r="H2556" t="str">
            <v>laboratorio</v>
          </cell>
          <cell r="J2556" t="str">
            <v>bueno</v>
          </cell>
          <cell r="K2556" t="str">
            <v>defsi</v>
          </cell>
        </row>
        <row r="2557">
          <cell r="B2557" t="b">
            <v>1</v>
          </cell>
          <cell r="E2557" t="str">
            <v>Libano</v>
          </cell>
          <cell r="H2557" t="str">
            <v>laboratorio</v>
          </cell>
          <cell r="J2557" t="str">
            <v>bueno</v>
          </cell>
          <cell r="K2557" t="str">
            <v>defsi</v>
          </cell>
        </row>
        <row r="2558">
          <cell r="B2558" t="b">
            <v>0</v>
          </cell>
          <cell r="E2558" t="str">
            <v>Libano</v>
          </cell>
          <cell r="H2558" t="str">
            <v>consulta_externa</v>
          </cell>
          <cell r="J2558" t="str">
            <v>regular</v>
          </cell>
          <cell r="K2558" t="str">
            <v>probsi</v>
          </cell>
        </row>
        <row r="2559">
          <cell r="B2559" t="b">
            <v>1</v>
          </cell>
          <cell r="E2559" t="str">
            <v>Libano</v>
          </cell>
          <cell r="H2559" t="str">
            <v>consulta_externa</v>
          </cell>
          <cell r="J2559" t="str">
            <v>bueno</v>
          </cell>
          <cell r="K2559" t="str">
            <v>defsi</v>
          </cell>
        </row>
        <row r="2560">
          <cell r="B2560" t="b">
            <v>0</v>
          </cell>
          <cell r="E2560" t="str">
            <v>Libano</v>
          </cell>
          <cell r="H2560" t="str">
            <v>consulta_externa</v>
          </cell>
          <cell r="J2560" t="str">
            <v>regular</v>
          </cell>
          <cell r="K2560" t="str">
            <v>defsi</v>
          </cell>
        </row>
        <row r="2561">
          <cell r="B2561" t="b">
            <v>1</v>
          </cell>
          <cell r="E2561" t="str">
            <v>Esperanza</v>
          </cell>
          <cell r="H2561" t="str">
            <v>salud_oral</v>
          </cell>
          <cell r="J2561" t="str">
            <v>bueno</v>
          </cell>
          <cell r="K2561" t="str">
            <v>probsi</v>
          </cell>
        </row>
        <row r="2562">
          <cell r="B2562" t="b">
            <v>1</v>
          </cell>
          <cell r="E2562" t="str">
            <v>Esperanza</v>
          </cell>
          <cell r="H2562" t="str">
            <v>salud_oral</v>
          </cell>
          <cell r="J2562" t="str">
            <v>bueno</v>
          </cell>
          <cell r="K2562" t="str">
            <v>probsi</v>
          </cell>
        </row>
        <row r="2563">
          <cell r="B2563" t="b">
            <v>1</v>
          </cell>
          <cell r="E2563" t="str">
            <v>Esperanza</v>
          </cell>
          <cell r="H2563" t="str">
            <v>salud_oral</v>
          </cell>
          <cell r="J2563" t="str">
            <v>bueno</v>
          </cell>
          <cell r="K2563" t="str">
            <v>probsi</v>
          </cell>
        </row>
        <row r="2564">
          <cell r="B2564" t="b">
            <v>1</v>
          </cell>
          <cell r="E2564" t="str">
            <v>Libano</v>
          </cell>
          <cell r="H2564" t="str">
            <v>consulta_externa</v>
          </cell>
          <cell r="J2564" t="str">
            <v>bueno</v>
          </cell>
          <cell r="K2564" t="str">
            <v>defsi</v>
          </cell>
        </row>
        <row r="2565">
          <cell r="B2565" t="b">
            <v>1</v>
          </cell>
          <cell r="E2565" t="str">
            <v>Esperanza</v>
          </cell>
          <cell r="H2565" t="str">
            <v>salud_oral</v>
          </cell>
          <cell r="J2565" t="str">
            <v>bueno</v>
          </cell>
          <cell r="K2565" t="str">
            <v>probsi</v>
          </cell>
        </row>
        <row r="2566">
          <cell r="B2566" t="b">
            <v>1</v>
          </cell>
          <cell r="E2566" t="str">
            <v>Esperanza</v>
          </cell>
          <cell r="H2566" t="str">
            <v>electros</v>
          </cell>
          <cell r="J2566" t="str">
            <v>bueno</v>
          </cell>
          <cell r="K2566" t="str">
            <v>probsi</v>
          </cell>
        </row>
        <row r="2567">
          <cell r="B2567" t="b">
            <v>1</v>
          </cell>
          <cell r="E2567" t="str">
            <v>Esperanza</v>
          </cell>
          <cell r="H2567" t="str">
            <v>electros</v>
          </cell>
          <cell r="J2567" t="str">
            <v>bueno</v>
          </cell>
          <cell r="K2567" t="str">
            <v>probsi</v>
          </cell>
        </row>
        <row r="2568">
          <cell r="B2568" t="b">
            <v>1</v>
          </cell>
          <cell r="E2568" t="str">
            <v>Esperanza</v>
          </cell>
          <cell r="H2568" t="str">
            <v>electros</v>
          </cell>
          <cell r="J2568" t="str">
            <v>bueno</v>
          </cell>
          <cell r="K2568" t="str">
            <v>probsi</v>
          </cell>
        </row>
        <row r="2569">
          <cell r="B2569" t="b">
            <v>1</v>
          </cell>
          <cell r="E2569" t="str">
            <v>Esperanza</v>
          </cell>
          <cell r="H2569" t="str">
            <v>electros</v>
          </cell>
          <cell r="J2569" t="str">
            <v>bueno</v>
          </cell>
          <cell r="K2569" t="str">
            <v>probsi</v>
          </cell>
        </row>
        <row r="2570">
          <cell r="B2570" t="b">
            <v>1</v>
          </cell>
          <cell r="E2570" t="str">
            <v>Esperanza</v>
          </cell>
          <cell r="H2570" t="str">
            <v>electros</v>
          </cell>
          <cell r="J2570" t="str">
            <v>bueno</v>
          </cell>
          <cell r="K2570" t="str">
            <v>probsi</v>
          </cell>
        </row>
        <row r="2571">
          <cell r="B2571" t="b">
            <v>1</v>
          </cell>
          <cell r="E2571" t="str">
            <v>Esperanza</v>
          </cell>
          <cell r="H2571" t="str">
            <v>electros</v>
          </cell>
          <cell r="J2571" t="str">
            <v>bueno</v>
          </cell>
          <cell r="K2571" t="str">
            <v>probsi</v>
          </cell>
        </row>
        <row r="2572">
          <cell r="B2572" t="b">
            <v>1</v>
          </cell>
          <cell r="E2572" t="str">
            <v>Esperanza</v>
          </cell>
          <cell r="H2572" t="str">
            <v>electros</v>
          </cell>
          <cell r="J2572" t="str">
            <v>bueno</v>
          </cell>
          <cell r="K2572" t="str">
            <v>probsi</v>
          </cell>
        </row>
        <row r="2573">
          <cell r="B2573" t="b">
            <v>1</v>
          </cell>
          <cell r="E2573" t="str">
            <v>Esperanza</v>
          </cell>
          <cell r="H2573" t="str">
            <v>consulta_externa</v>
          </cell>
          <cell r="J2573" t="str">
            <v>bueno</v>
          </cell>
          <cell r="K2573" t="str">
            <v>probsi</v>
          </cell>
        </row>
        <row r="2574">
          <cell r="B2574" t="b">
            <v>0</v>
          </cell>
          <cell r="E2574" t="str">
            <v>Esperanza</v>
          </cell>
          <cell r="H2574" t="str">
            <v>laboratorio</v>
          </cell>
          <cell r="J2574" t="str">
            <v>regular</v>
          </cell>
          <cell r="K2574" t="str">
            <v>probsi</v>
          </cell>
        </row>
        <row r="2575">
          <cell r="B2575" t="b">
            <v>0</v>
          </cell>
          <cell r="E2575" t="str">
            <v>Esperanza</v>
          </cell>
          <cell r="H2575" t="str">
            <v>laboratorio</v>
          </cell>
          <cell r="J2575" t="str">
            <v>regular</v>
          </cell>
          <cell r="K2575" t="str">
            <v>probsi</v>
          </cell>
        </row>
        <row r="2576">
          <cell r="B2576" t="b">
            <v>1</v>
          </cell>
          <cell r="E2576" t="str">
            <v>Esperanza</v>
          </cell>
          <cell r="H2576" t="str">
            <v>laboratorio</v>
          </cell>
          <cell r="J2576" t="str">
            <v>bueno</v>
          </cell>
          <cell r="K2576" t="str">
            <v>probsi</v>
          </cell>
        </row>
        <row r="2577">
          <cell r="B2577" t="b">
            <v>1</v>
          </cell>
          <cell r="E2577" t="str">
            <v>Esperanza</v>
          </cell>
          <cell r="H2577" t="str">
            <v>laboratorio</v>
          </cell>
          <cell r="J2577" t="str">
            <v>bueno</v>
          </cell>
          <cell r="K2577" t="str">
            <v>probsi</v>
          </cell>
        </row>
        <row r="2578">
          <cell r="B2578" t="b">
            <v>1</v>
          </cell>
          <cell r="E2578" t="str">
            <v>Esperanza</v>
          </cell>
          <cell r="H2578" t="str">
            <v>laboratorio</v>
          </cell>
          <cell r="J2578" t="str">
            <v>bueno</v>
          </cell>
          <cell r="K2578" t="str">
            <v>probsi</v>
          </cell>
        </row>
        <row r="2579">
          <cell r="B2579" t="b">
            <v>1</v>
          </cell>
          <cell r="E2579" t="str">
            <v>Esperanza</v>
          </cell>
          <cell r="H2579" t="str">
            <v>laboratorio</v>
          </cell>
          <cell r="J2579" t="str">
            <v>bueno</v>
          </cell>
          <cell r="K2579" t="str">
            <v>probsi</v>
          </cell>
        </row>
        <row r="2580">
          <cell r="B2580" t="b">
            <v>1</v>
          </cell>
          <cell r="E2580" t="str">
            <v>Esperanza</v>
          </cell>
          <cell r="H2580" t="str">
            <v>consulta_externa</v>
          </cell>
          <cell r="J2580" t="str">
            <v>bueno</v>
          </cell>
          <cell r="K2580" t="str">
            <v>probsi</v>
          </cell>
        </row>
        <row r="2581">
          <cell r="B2581" t="b">
            <v>1</v>
          </cell>
          <cell r="E2581" t="str">
            <v>Esperanza</v>
          </cell>
          <cell r="H2581" t="str">
            <v>consulta_externa</v>
          </cell>
          <cell r="J2581" t="str">
            <v>bueno</v>
          </cell>
          <cell r="K2581" t="str">
            <v>probsi</v>
          </cell>
        </row>
        <row r="2582">
          <cell r="B2582" t="b">
            <v>1</v>
          </cell>
          <cell r="E2582" t="str">
            <v>Esperanza</v>
          </cell>
          <cell r="H2582" t="str">
            <v>consulta_externa</v>
          </cell>
          <cell r="J2582" t="str">
            <v>bueno</v>
          </cell>
          <cell r="K2582" t="str">
            <v>probsi</v>
          </cell>
        </row>
        <row r="2583">
          <cell r="B2583" t="b">
            <v>0</v>
          </cell>
          <cell r="E2583" t="str">
            <v>Esperanza</v>
          </cell>
          <cell r="H2583" t="str">
            <v>consulta_externa</v>
          </cell>
          <cell r="J2583" t="str">
            <v>regular</v>
          </cell>
          <cell r="K2583" t="str">
            <v>probsi</v>
          </cell>
        </row>
        <row r="2584">
          <cell r="B2584" t="b">
            <v>0</v>
          </cell>
          <cell r="E2584" t="str">
            <v>Esperanza</v>
          </cell>
          <cell r="H2584" t="str">
            <v>consulta_externa</v>
          </cell>
          <cell r="J2584" t="str">
            <v>regular</v>
          </cell>
          <cell r="K2584" t="str">
            <v>probsi</v>
          </cell>
        </row>
        <row r="2585">
          <cell r="B2585" t="b">
            <v>1</v>
          </cell>
          <cell r="E2585" t="str">
            <v>Esperanza</v>
          </cell>
          <cell r="H2585" t="str">
            <v>consulta_externa</v>
          </cell>
          <cell r="J2585" t="str">
            <v>bueno</v>
          </cell>
          <cell r="K2585" t="str">
            <v>probsi</v>
          </cell>
        </row>
        <row r="2586">
          <cell r="B2586" t="b">
            <v>1</v>
          </cell>
          <cell r="E2586" t="str">
            <v>Esperanza</v>
          </cell>
          <cell r="H2586" t="str">
            <v>consulta_externa</v>
          </cell>
          <cell r="J2586" t="str">
            <v>bueno</v>
          </cell>
          <cell r="K2586" t="str">
            <v>probsi</v>
          </cell>
        </row>
        <row r="2587">
          <cell r="B2587" t="b">
            <v>1</v>
          </cell>
          <cell r="E2587" t="str">
            <v>Esperanza</v>
          </cell>
          <cell r="H2587" t="str">
            <v>electros</v>
          </cell>
          <cell r="J2587" t="str">
            <v>bueno</v>
          </cell>
          <cell r="K2587" t="str">
            <v>probsi</v>
          </cell>
        </row>
        <row r="2588">
          <cell r="B2588" t="b">
            <v>1</v>
          </cell>
          <cell r="E2588" t="str">
            <v>Esperanza</v>
          </cell>
          <cell r="H2588" t="str">
            <v>electros</v>
          </cell>
          <cell r="J2588" t="str">
            <v>bueno</v>
          </cell>
          <cell r="K2588" t="str">
            <v>probsi</v>
          </cell>
        </row>
        <row r="2589">
          <cell r="B2589" t="b">
            <v>1</v>
          </cell>
          <cell r="E2589" t="str">
            <v>Esperanza</v>
          </cell>
          <cell r="H2589" t="str">
            <v>electros</v>
          </cell>
          <cell r="J2589" t="str">
            <v>bueno</v>
          </cell>
          <cell r="K2589" t="str">
            <v>probsi</v>
          </cell>
        </row>
        <row r="2590">
          <cell r="B2590" t="b">
            <v>1</v>
          </cell>
          <cell r="E2590" t="str">
            <v>Esperanza</v>
          </cell>
          <cell r="H2590" t="str">
            <v>electros</v>
          </cell>
          <cell r="J2590" t="str">
            <v>bueno</v>
          </cell>
          <cell r="K2590" t="str">
            <v>probsi</v>
          </cell>
        </row>
        <row r="2591">
          <cell r="B2591" t="b">
            <v>1</v>
          </cell>
          <cell r="E2591" t="str">
            <v>Esperanza</v>
          </cell>
          <cell r="H2591" t="str">
            <v>electros</v>
          </cell>
          <cell r="J2591" t="str">
            <v>bueno</v>
          </cell>
          <cell r="K2591" t="str">
            <v>probsi</v>
          </cell>
        </row>
        <row r="2592">
          <cell r="B2592" t="b">
            <v>1</v>
          </cell>
          <cell r="E2592" t="str">
            <v>Esperanza</v>
          </cell>
          <cell r="H2592" t="str">
            <v>electros</v>
          </cell>
          <cell r="J2592" t="str">
            <v>bueno</v>
          </cell>
          <cell r="K2592" t="str">
            <v>probsi</v>
          </cell>
        </row>
        <row r="2593">
          <cell r="B2593" t="b">
            <v>1</v>
          </cell>
          <cell r="E2593" t="str">
            <v>Esperanza</v>
          </cell>
          <cell r="H2593" t="str">
            <v>electros</v>
          </cell>
          <cell r="J2593" t="str">
            <v>bueno</v>
          </cell>
          <cell r="K2593" t="str">
            <v>probsi</v>
          </cell>
        </row>
        <row r="2594">
          <cell r="B2594" t="b">
            <v>1</v>
          </cell>
          <cell r="E2594" t="str">
            <v>Esperanza</v>
          </cell>
          <cell r="H2594" t="str">
            <v>urgencia</v>
          </cell>
          <cell r="J2594" t="str">
            <v>bueno</v>
          </cell>
          <cell r="K2594" t="str">
            <v>probsi</v>
          </cell>
        </row>
        <row r="2595">
          <cell r="B2595" t="b">
            <v>1</v>
          </cell>
          <cell r="E2595" t="str">
            <v>Esperanza</v>
          </cell>
          <cell r="H2595" t="str">
            <v>urgencia</v>
          </cell>
          <cell r="J2595" t="str">
            <v>bueno</v>
          </cell>
          <cell r="K2595" t="str">
            <v>probsi</v>
          </cell>
        </row>
        <row r="2596">
          <cell r="B2596" t="b">
            <v>1</v>
          </cell>
          <cell r="E2596" t="str">
            <v>Esperanza</v>
          </cell>
          <cell r="H2596" t="str">
            <v>urgencia</v>
          </cell>
          <cell r="J2596" t="str">
            <v>bueno</v>
          </cell>
          <cell r="K2596" t="str">
            <v>probsi</v>
          </cell>
        </row>
        <row r="2597">
          <cell r="B2597" t="b">
            <v>1</v>
          </cell>
          <cell r="E2597" t="str">
            <v>Esperanza</v>
          </cell>
          <cell r="H2597" t="str">
            <v>urgencia</v>
          </cell>
          <cell r="J2597" t="str">
            <v>bueno</v>
          </cell>
          <cell r="K2597" t="str">
            <v>probsi</v>
          </cell>
        </row>
        <row r="2598">
          <cell r="B2598" t="b">
            <v>1</v>
          </cell>
          <cell r="E2598" t="str">
            <v>Esperanza</v>
          </cell>
          <cell r="H2598" t="str">
            <v>urgencia</v>
          </cell>
          <cell r="J2598" t="str">
            <v>bueno</v>
          </cell>
          <cell r="K2598" t="str">
            <v>probsi</v>
          </cell>
        </row>
        <row r="2599">
          <cell r="B2599" t="b">
            <v>1</v>
          </cell>
          <cell r="E2599" t="str">
            <v>Arroz Barato</v>
          </cell>
          <cell r="H2599" t="str">
            <v>consulta_externa</v>
          </cell>
          <cell r="J2599" t="str">
            <v>bueno</v>
          </cell>
          <cell r="K2599" t="str">
            <v>defsi</v>
          </cell>
        </row>
        <row r="2600">
          <cell r="B2600" t="b">
            <v>1</v>
          </cell>
          <cell r="E2600" t="str">
            <v>Arroz Barato</v>
          </cell>
          <cell r="H2600" t="str">
            <v>salud_oral</v>
          </cell>
          <cell r="J2600" t="str">
            <v>bueno</v>
          </cell>
          <cell r="K2600" t="str">
            <v>defsi</v>
          </cell>
        </row>
        <row r="2601">
          <cell r="B2601" t="b">
            <v>1</v>
          </cell>
          <cell r="E2601" t="str">
            <v>Arroz Barato</v>
          </cell>
          <cell r="H2601" t="str">
            <v>laboratorio</v>
          </cell>
          <cell r="J2601" t="str">
            <v>bueno</v>
          </cell>
          <cell r="K2601" t="str">
            <v>defsi</v>
          </cell>
        </row>
        <row r="2602">
          <cell r="B2602" t="b">
            <v>1</v>
          </cell>
          <cell r="E2602" t="str">
            <v>Arroz Barato</v>
          </cell>
          <cell r="H2602" t="str">
            <v>urgencia</v>
          </cell>
          <cell r="J2602" t="str">
            <v>bueno</v>
          </cell>
          <cell r="K2602" t="str">
            <v>defsi</v>
          </cell>
        </row>
        <row r="2603">
          <cell r="B2603" t="b">
            <v>1</v>
          </cell>
          <cell r="E2603" t="str">
            <v>Arroz Barato</v>
          </cell>
          <cell r="H2603" t="str">
            <v>ecografias</v>
          </cell>
          <cell r="J2603" t="str">
            <v>bueno</v>
          </cell>
          <cell r="K2603" t="str">
            <v>defsi</v>
          </cell>
        </row>
        <row r="2604">
          <cell r="B2604" t="b">
            <v>1</v>
          </cell>
          <cell r="E2604" t="str">
            <v>Arroz Barato</v>
          </cell>
          <cell r="H2604" t="str">
            <v>consulta_externa</v>
          </cell>
          <cell r="J2604" t="str">
            <v>bueno</v>
          </cell>
          <cell r="K2604" t="str">
            <v>defsi</v>
          </cell>
        </row>
        <row r="2605">
          <cell r="B2605" t="b">
            <v>1</v>
          </cell>
          <cell r="E2605" t="str">
            <v>Arroz Barato</v>
          </cell>
          <cell r="H2605" t="str">
            <v>salud_oral</v>
          </cell>
          <cell r="J2605" t="str">
            <v>bueno</v>
          </cell>
          <cell r="K2605" t="str">
            <v>defsi</v>
          </cell>
        </row>
        <row r="2606">
          <cell r="B2606" t="b">
            <v>1</v>
          </cell>
          <cell r="E2606" t="str">
            <v>Arroz Barato</v>
          </cell>
          <cell r="H2606" t="str">
            <v>laboratorio</v>
          </cell>
          <cell r="J2606" t="str">
            <v>bueno</v>
          </cell>
          <cell r="K2606" t="str">
            <v>defsi</v>
          </cell>
        </row>
        <row r="2607">
          <cell r="B2607" t="b">
            <v>1</v>
          </cell>
          <cell r="E2607" t="str">
            <v>Arroz Barato</v>
          </cell>
          <cell r="H2607" t="str">
            <v>urgencia</v>
          </cell>
          <cell r="J2607" t="str">
            <v>bueno</v>
          </cell>
          <cell r="K2607" t="str">
            <v>defsi</v>
          </cell>
        </row>
        <row r="2608">
          <cell r="B2608" t="b">
            <v>1</v>
          </cell>
          <cell r="E2608" t="str">
            <v>Esperanza</v>
          </cell>
          <cell r="H2608" t="str">
            <v>salud_oral</v>
          </cell>
          <cell r="J2608" t="str">
            <v>bueno</v>
          </cell>
          <cell r="K2608" t="str">
            <v>probsi</v>
          </cell>
        </row>
        <row r="2609">
          <cell r="B2609" t="b">
            <v>1</v>
          </cell>
          <cell r="E2609" t="str">
            <v>Arroz Barato</v>
          </cell>
          <cell r="H2609" t="str">
            <v>ecografias</v>
          </cell>
          <cell r="J2609" t="str">
            <v>bueno</v>
          </cell>
          <cell r="K2609" t="str">
            <v>defsi</v>
          </cell>
        </row>
        <row r="2610">
          <cell r="B2610" t="b">
            <v>1</v>
          </cell>
          <cell r="E2610" t="str">
            <v>Esperanza</v>
          </cell>
          <cell r="H2610" t="str">
            <v>salud_oral</v>
          </cell>
          <cell r="J2610" t="str">
            <v>bueno</v>
          </cell>
          <cell r="K2610" t="str">
            <v>probsi</v>
          </cell>
        </row>
        <row r="2611">
          <cell r="B2611" t="b">
            <v>1</v>
          </cell>
          <cell r="E2611" t="str">
            <v>Esperanza</v>
          </cell>
          <cell r="H2611" t="str">
            <v>salud_oral</v>
          </cell>
          <cell r="J2611" t="str">
            <v>bueno</v>
          </cell>
          <cell r="K2611" t="str">
            <v>probsi</v>
          </cell>
        </row>
        <row r="2612">
          <cell r="B2612" t="b">
            <v>1</v>
          </cell>
          <cell r="E2612" t="str">
            <v>Esperanza</v>
          </cell>
          <cell r="H2612" t="str">
            <v>salud_oral</v>
          </cell>
          <cell r="J2612" t="str">
            <v>bueno</v>
          </cell>
          <cell r="K2612" t="str">
            <v>probsi</v>
          </cell>
        </row>
        <row r="2613">
          <cell r="B2613" t="b">
            <v>1</v>
          </cell>
          <cell r="E2613" t="str">
            <v>Arroz Barato</v>
          </cell>
          <cell r="H2613" t="str">
            <v>consulta_externa</v>
          </cell>
          <cell r="J2613" t="str">
            <v>bueno</v>
          </cell>
          <cell r="K2613" t="str">
            <v>defsi</v>
          </cell>
        </row>
        <row r="2614">
          <cell r="B2614" t="b">
            <v>1</v>
          </cell>
          <cell r="E2614" t="str">
            <v>Arroz Barato</v>
          </cell>
          <cell r="H2614" t="str">
            <v>salud_oral</v>
          </cell>
          <cell r="J2614" t="str">
            <v>bueno</v>
          </cell>
          <cell r="K2614" t="str">
            <v>defsi</v>
          </cell>
        </row>
        <row r="2615">
          <cell r="B2615" t="b">
            <v>1</v>
          </cell>
          <cell r="E2615" t="str">
            <v>Arroz Barato</v>
          </cell>
          <cell r="H2615" t="str">
            <v>laboratorio</v>
          </cell>
          <cell r="J2615" t="str">
            <v>bueno</v>
          </cell>
          <cell r="K2615" t="str">
            <v>defsi</v>
          </cell>
        </row>
        <row r="2616">
          <cell r="B2616" t="b">
            <v>1</v>
          </cell>
          <cell r="E2616" t="str">
            <v>Arroz Barato</v>
          </cell>
          <cell r="H2616" t="str">
            <v>urgencia</v>
          </cell>
          <cell r="J2616" t="str">
            <v>bueno</v>
          </cell>
          <cell r="K2616" t="str">
            <v>defsi</v>
          </cell>
        </row>
        <row r="2617">
          <cell r="B2617" t="b">
            <v>1</v>
          </cell>
          <cell r="E2617" t="str">
            <v>Arroz Barato</v>
          </cell>
          <cell r="H2617" t="str">
            <v>ecografias</v>
          </cell>
          <cell r="J2617" t="str">
            <v>bueno</v>
          </cell>
          <cell r="K2617" t="str">
            <v>defsi</v>
          </cell>
        </row>
        <row r="2618">
          <cell r="B2618" t="b">
            <v>1</v>
          </cell>
          <cell r="E2618" t="str">
            <v>Libano</v>
          </cell>
          <cell r="H2618" t="str">
            <v>salud_oral</v>
          </cell>
          <cell r="J2618" t="str">
            <v>bueno</v>
          </cell>
          <cell r="K2618" t="str">
            <v>defsi</v>
          </cell>
        </row>
        <row r="2619">
          <cell r="B2619" t="b">
            <v>1</v>
          </cell>
          <cell r="E2619" t="str">
            <v>Libano</v>
          </cell>
          <cell r="H2619" t="str">
            <v>consulta_externa</v>
          </cell>
          <cell r="J2619" t="str">
            <v>bueno</v>
          </cell>
          <cell r="K2619" t="str">
            <v>defsi</v>
          </cell>
        </row>
        <row r="2620">
          <cell r="B2620" t="b">
            <v>1</v>
          </cell>
          <cell r="E2620" t="str">
            <v>Libano</v>
          </cell>
          <cell r="H2620" t="str">
            <v>consulta_externa</v>
          </cell>
          <cell r="J2620" t="str">
            <v>bueno</v>
          </cell>
          <cell r="K2620" t="str">
            <v>defsi</v>
          </cell>
        </row>
        <row r="2621">
          <cell r="B2621" t="b">
            <v>1</v>
          </cell>
          <cell r="E2621" t="str">
            <v>Arroz Barato</v>
          </cell>
          <cell r="H2621" t="str">
            <v>consulta_externa</v>
          </cell>
          <cell r="J2621" t="str">
            <v>bueno</v>
          </cell>
          <cell r="K2621" t="str">
            <v>defsi</v>
          </cell>
        </row>
        <row r="2622">
          <cell r="B2622" t="b">
            <v>1</v>
          </cell>
          <cell r="E2622" t="str">
            <v>Arroz Barato</v>
          </cell>
          <cell r="H2622" t="str">
            <v>salud_oral</v>
          </cell>
          <cell r="J2622" t="str">
            <v>bueno</v>
          </cell>
          <cell r="K2622" t="str">
            <v>defsi</v>
          </cell>
        </row>
        <row r="2623">
          <cell r="B2623" t="b">
            <v>1</v>
          </cell>
          <cell r="E2623" t="str">
            <v>Arroz Barato</v>
          </cell>
          <cell r="H2623" t="str">
            <v>laboratorio</v>
          </cell>
          <cell r="J2623" t="str">
            <v>bueno</v>
          </cell>
          <cell r="K2623" t="str">
            <v>defsi</v>
          </cell>
        </row>
        <row r="2624">
          <cell r="B2624" t="b">
            <v>1</v>
          </cell>
          <cell r="E2624" t="str">
            <v>Arroz Barato</v>
          </cell>
          <cell r="H2624" t="str">
            <v>urgencia</v>
          </cell>
          <cell r="J2624" t="str">
            <v>bueno</v>
          </cell>
          <cell r="K2624" t="str">
            <v>defsi</v>
          </cell>
        </row>
        <row r="2625">
          <cell r="B2625" t="b">
            <v>1</v>
          </cell>
          <cell r="E2625" t="str">
            <v>Arroz Barato</v>
          </cell>
          <cell r="H2625" t="str">
            <v>ecografias</v>
          </cell>
          <cell r="J2625" t="str">
            <v>bueno</v>
          </cell>
          <cell r="K2625" t="str">
            <v>defsi</v>
          </cell>
        </row>
        <row r="2626">
          <cell r="B2626" t="b">
            <v>1</v>
          </cell>
          <cell r="E2626" t="str">
            <v>Arroz Barato</v>
          </cell>
          <cell r="H2626" t="str">
            <v>consulta_externa</v>
          </cell>
          <cell r="J2626" t="str">
            <v>bueno</v>
          </cell>
          <cell r="K2626" t="str">
            <v>defsi</v>
          </cell>
        </row>
        <row r="2627">
          <cell r="B2627" t="b">
            <v>1</v>
          </cell>
          <cell r="E2627" t="str">
            <v>Arroz Barato</v>
          </cell>
          <cell r="H2627" t="str">
            <v>salud_oral</v>
          </cell>
          <cell r="J2627" t="str">
            <v>bueno</v>
          </cell>
          <cell r="K2627" t="str">
            <v>defsi</v>
          </cell>
        </row>
        <row r="2628">
          <cell r="B2628" t="b">
            <v>1</v>
          </cell>
          <cell r="E2628" t="str">
            <v>Arroz Barato</v>
          </cell>
          <cell r="H2628" t="str">
            <v>laboratorio</v>
          </cell>
          <cell r="J2628" t="str">
            <v>bueno</v>
          </cell>
          <cell r="K2628" t="str">
            <v>defsi</v>
          </cell>
        </row>
        <row r="2629">
          <cell r="B2629" t="b">
            <v>1</v>
          </cell>
          <cell r="E2629" t="str">
            <v>Libano</v>
          </cell>
          <cell r="H2629" t="str">
            <v>laboratorio</v>
          </cell>
          <cell r="J2629" t="str">
            <v>bueno</v>
          </cell>
          <cell r="K2629" t="str">
            <v>defsi</v>
          </cell>
        </row>
        <row r="2630">
          <cell r="B2630" t="b">
            <v>1</v>
          </cell>
          <cell r="E2630" t="str">
            <v>Libano</v>
          </cell>
          <cell r="H2630" t="str">
            <v>consulta_externa</v>
          </cell>
          <cell r="J2630" t="str">
            <v>bueno</v>
          </cell>
          <cell r="K2630" t="str">
            <v>defsi</v>
          </cell>
        </row>
        <row r="2631">
          <cell r="B2631" t="b">
            <v>1</v>
          </cell>
          <cell r="E2631" t="str">
            <v>Arroz Barato</v>
          </cell>
          <cell r="H2631" t="str">
            <v>urgencia</v>
          </cell>
          <cell r="J2631" t="str">
            <v>bueno</v>
          </cell>
          <cell r="K2631" t="str">
            <v>defsi</v>
          </cell>
        </row>
        <row r="2632">
          <cell r="B2632" t="b">
            <v>1</v>
          </cell>
          <cell r="E2632" t="str">
            <v>Arroz Barato</v>
          </cell>
          <cell r="H2632" t="str">
            <v>consulta_externa</v>
          </cell>
          <cell r="J2632" t="str">
            <v>bueno</v>
          </cell>
          <cell r="K2632" t="str">
            <v>defsi</v>
          </cell>
        </row>
        <row r="2633">
          <cell r="B2633" t="b">
            <v>1</v>
          </cell>
          <cell r="E2633" t="str">
            <v>Arroz Barato</v>
          </cell>
          <cell r="H2633" t="str">
            <v>salud_oral</v>
          </cell>
          <cell r="J2633" t="str">
            <v>bueno</v>
          </cell>
          <cell r="K2633" t="str">
            <v>defsi</v>
          </cell>
        </row>
        <row r="2634">
          <cell r="B2634" t="b">
            <v>1</v>
          </cell>
          <cell r="E2634" t="str">
            <v>Arroz Barato</v>
          </cell>
          <cell r="H2634" t="str">
            <v>laboratorio</v>
          </cell>
          <cell r="J2634" t="str">
            <v>bueno</v>
          </cell>
          <cell r="K2634" t="str">
            <v>defsi</v>
          </cell>
        </row>
        <row r="2635">
          <cell r="B2635" t="b">
            <v>1</v>
          </cell>
          <cell r="E2635" t="str">
            <v>Arroz Barato</v>
          </cell>
          <cell r="H2635" t="str">
            <v>urgencia</v>
          </cell>
          <cell r="J2635" t="str">
            <v>bueno</v>
          </cell>
          <cell r="K2635" t="str">
            <v>defsi</v>
          </cell>
        </row>
        <row r="2636">
          <cell r="B2636" t="b">
            <v>1</v>
          </cell>
          <cell r="E2636" t="str">
            <v>Boston</v>
          </cell>
          <cell r="H2636" t="str">
            <v>consulta_externa</v>
          </cell>
          <cell r="J2636" t="str">
            <v>bueno</v>
          </cell>
          <cell r="K2636" t="str">
            <v>defsi</v>
          </cell>
        </row>
        <row r="2637">
          <cell r="B2637" t="b">
            <v>1</v>
          </cell>
          <cell r="E2637" t="str">
            <v>Boston</v>
          </cell>
          <cell r="H2637" t="str">
            <v>consulta_externa</v>
          </cell>
          <cell r="J2637" t="str">
            <v>bueno</v>
          </cell>
          <cell r="K2637" t="str">
            <v>defsi</v>
          </cell>
        </row>
        <row r="2638">
          <cell r="B2638" t="b">
            <v>1</v>
          </cell>
          <cell r="E2638" t="str">
            <v>Boston</v>
          </cell>
          <cell r="H2638" t="str">
            <v>consulta_externa</v>
          </cell>
          <cell r="J2638" t="str">
            <v>bueno</v>
          </cell>
          <cell r="K2638" t="str">
            <v>defsi</v>
          </cell>
        </row>
        <row r="2639">
          <cell r="B2639" t="b">
            <v>1</v>
          </cell>
          <cell r="E2639" t="str">
            <v>Boston</v>
          </cell>
          <cell r="H2639" t="str">
            <v>consulta_externa</v>
          </cell>
          <cell r="J2639" t="str">
            <v>bueno</v>
          </cell>
          <cell r="K2639" t="str">
            <v>defsi</v>
          </cell>
        </row>
        <row r="2640">
          <cell r="B2640" t="b">
            <v>1</v>
          </cell>
          <cell r="E2640" t="str">
            <v>Boston</v>
          </cell>
          <cell r="H2640" t="str">
            <v>consulta_externa</v>
          </cell>
          <cell r="J2640" t="str">
            <v>bueno</v>
          </cell>
          <cell r="K2640" t="str">
            <v>defsi</v>
          </cell>
        </row>
        <row r="2641">
          <cell r="B2641" t="b">
            <v>1</v>
          </cell>
          <cell r="E2641" t="str">
            <v>Boston</v>
          </cell>
          <cell r="H2641" t="str">
            <v>consulta_externa</v>
          </cell>
          <cell r="J2641" t="str">
            <v>bueno</v>
          </cell>
          <cell r="K2641" t="str">
            <v>defsi</v>
          </cell>
        </row>
        <row r="2642">
          <cell r="B2642" t="b">
            <v>1</v>
          </cell>
          <cell r="E2642" t="str">
            <v>Boston</v>
          </cell>
          <cell r="H2642" t="str">
            <v>consulta_externa</v>
          </cell>
          <cell r="J2642" t="str">
            <v>bueno</v>
          </cell>
          <cell r="K2642" t="str">
            <v>defsi</v>
          </cell>
        </row>
        <row r="2643">
          <cell r="B2643" t="b">
            <v>1</v>
          </cell>
          <cell r="E2643" t="str">
            <v>Boston</v>
          </cell>
          <cell r="H2643" t="str">
            <v>consulta_externa</v>
          </cell>
          <cell r="J2643" t="str">
            <v>bueno</v>
          </cell>
          <cell r="K2643" t="str">
            <v>defsi</v>
          </cell>
        </row>
        <row r="2644">
          <cell r="B2644" t="b">
            <v>1</v>
          </cell>
          <cell r="E2644" t="str">
            <v>Boston</v>
          </cell>
          <cell r="H2644" t="str">
            <v>consulta_externa</v>
          </cell>
          <cell r="J2644" t="str">
            <v>bueno</v>
          </cell>
          <cell r="K2644" t="str">
            <v>defsi</v>
          </cell>
        </row>
        <row r="2645">
          <cell r="B2645" t="b">
            <v>1</v>
          </cell>
          <cell r="E2645" t="str">
            <v>Boston</v>
          </cell>
          <cell r="H2645" t="str">
            <v>consulta_externa</v>
          </cell>
          <cell r="J2645" t="str">
            <v>bueno</v>
          </cell>
          <cell r="K2645" t="str">
            <v>defsi</v>
          </cell>
        </row>
        <row r="2646">
          <cell r="B2646" t="b">
            <v>1</v>
          </cell>
          <cell r="E2646" t="str">
            <v>Arroz Barato</v>
          </cell>
          <cell r="H2646" t="str">
            <v>consulta_externa</v>
          </cell>
          <cell r="J2646" t="str">
            <v>bueno</v>
          </cell>
          <cell r="K2646" t="str">
            <v>defsi</v>
          </cell>
        </row>
        <row r="2647">
          <cell r="B2647" t="b">
            <v>1</v>
          </cell>
          <cell r="E2647" t="str">
            <v>Boston</v>
          </cell>
          <cell r="H2647" t="str">
            <v>consulta_externa</v>
          </cell>
          <cell r="J2647" t="str">
            <v>bueno</v>
          </cell>
          <cell r="K2647" t="str">
            <v>defsi</v>
          </cell>
        </row>
        <row r="2648">
          <cell r="B2648" t="b">
            <v>1</v>
          </cell>
          <cell r="E2648" t="str">
            <v>Arroz Barato</v>
          </cell>
          <cell r="H2648" t="str">
            <v>salud_oral</v>
          </cell>
          <cell r="J2648" t="str">
            <v>bueno</v>
          </cell>
          <cell r="K2648" t="str">
            <v>defsi</v>
          </cell>
        </row>
        <row r="2649">
          <cell r="B2649" t="b">
            <v>1</v>
          </cell>
          <cell r="E2649" t="str">
            <v>Boston</v>
          </cell>
          <cell r="H2649" t="str">
            <v>consulta_externa</v>
          </cell>
          <cell r="J2649" t="str">
            <v>bueno</v>
          </cell>
          <cell r="K2649" t="str">
            <v>defsi</v>
          </cell>
        </row>
        <row r="2650">
          <cell r="B2650" t="b">
            <v>1</v>
          </cell>
          <cell r="E2650" t="str">
            <v>Arroz Barato</v>
          </cell>
          <cell r="H2650" t="str">
            <v>laboratorio</v>
          </cell>
          <cell r="J2650" t="str">
            <v>bueno</v>
          </cell>
          <cell r="K2650" t="str">
            <v>defsi</v>
          </cell>
        </row>
        <row r="2651">
          <cell r="B2651" t="b">
            <v>1</v>
          </cell>
          <cell r="E2651" t="str">
            <v>Arroz Barato</v>
          </cell>
          <cell r="H2651" t="str">
            <v>urgencia</v>
          </cell>
          <cell r="J2651" t="str">
            <v>bueno</v>
          </cell>
          <cell r="K2651" t="str">
            <v>defsi</v>
          </cell>
        </row>
        <row r="2652">
          <cell r="B2652" t="b">
            <v>1</v>
          </cell>
          <cell r="E2652" t="str">
            <v>Arroz Barato</v>
          </cell>
          <cell r="H2652" t="str">
            <v>consulta_externa</v>
          </cell>
          <cell r="J2652" t="str">
            <v>bueno</v>
          </cell>
          <cell r="K2652" t="str">
            <v>defsi</v>
          </cell>
        </row>
        <row r="2653">
          <cell r="B2653" t="b">
            <v>1</v>
          </cell>
          <cell r="E2653" t="str">
            <v>Arroz Barato</v>
          </cell>
          <cell r="H2653" t="str">
            <v>salud_oral</v>
          </cell>
          <cell r="J2653" t="str">
            <v>bueno</v>
          </cell>
          <cell r="K2653" t="str">
            <v>defsi</v>
          </cell>
        </row>
        <row r="2654">
          <cell r="B2654" t="b">
            <v>1</v>
          </cell>
          <cell r="E2654" t="str">
            <v>Libano</v>
          </cell>
          <cell r="H2654" t="str">
            <v>salud_oral</v>
          </cell>
          <cell r="J2654" t="str">
            <v>bueno</v>
          </cell>
          <cell r="K2654" t="str">
            <v>defsi</v>
          </cell>
        </row>
        <row r="2655">
          <cell r="B2655" t="b">
            <v>1</v>
          </cell>
          <cell r="E2655" t="str">
            <v>Arroz Barato</v>
          </cell>
          <cell r="H2655" t="str">
            <v>laboratorio</v>
          </cell>
          <cell r="J2655" t="str">
            <v>bueno</v>
          </cell>
          <cell r="K2655" t="str">
            <v>defsi</v>
          </cell>
        </row>
        <row r="2656">
          <cell r="B2656" t="b">
            <v>1</v>
          </cell>
          <cell r="E2656" t="str">
            <v>Libano</v>
          </cell>
          <cell r="H2656" t="str">
            <v>salud_oral</v>
          </cell>
          <cell r="J2656" t="str">
            <v>bueno</v>
          </cell>
          <cell r="K2656" t="str">
            <v>defsi</v>
          </cell>
        </row>
        <row r="2657">
          <cell r="B2657" t="b">
            <v>1</v>
          </cell>
          <cell r="E2657" t="str">
            <v>Arroz Barato</v>
          </cell>
          <cell r="H2657" t="str">
            <v>urgencia</v>
          </cell>
          <cell r="J2657" t="str">
            <v>bueno</v>
          </cell>
          <cell r="K2657" t="str">
            <v>defsi</v>
          </cell>
        </row>
        <row r="2658">
          <cell r="B2658" t="b">
            <v>1</v>
          </cell>
          <cell r="E2658" t="str">
            <v>Esperanza</v>
          </cell>
          <cell r="H2658" t="str">
            <v>urgencia</v>
          </cell>
          <cell r="J2658" t="str">
            <v>bueno</v>
          </cell>
          <cell r="K2658" t="str">
            <v>probsi</v>
          </cell>
        </row>
        <row r="2659">
          <cell r="B2659" t="b">
            <v>1</v>
          </cell>
          <cell r="E2659" t="str">
            <v>Esperanza</v>
          </cell>
          <cell r="H2659" t="str">
            <v>urgencia</v>
          </cell>
          <cell r="J2659" t="str">
            <v>bueno</v>
          </cell>
          <cell r="K2659" t="str">
            <v>probsi</v>
          </cell>
        </row>
        <row r="2660">
          <cell r="B2660" t="b">
            <v>1</v>
          </cell>
          <cell r="E2660" t="str">
            <v>Esperanza</v>
          </cell>
          <cell r="H2660" t="str">
            <v>urgencia</v>
          </cell>
          <cell r="J2660" t="str">
            <v>bueno</v>
          </cell>
          <cell r="K2660" t="str">
            <v>probsi</v>
          </cell>
        </row>
        <row r="2661">
          <cell r="B2661" t="b">
            <v>1</v>
          </cell>
          <cell r="E2661" t="str">
            <v>Esperanza</v>
          </cell>
          <cell r="H2661" t="str">
            <v>urgencia</v>
          </cell>
          <cell r="J2661" t="str">
            <v>bueno</v>
          </cell>
          <cell r="K2661" t="str">
            <v>probsi</v>
          </cell>
        </row>
        <row r="2662">
          <cell r="B2662" t="b">
            <v>1</v>
          </cell>
          <cell r="E2662" t="str">
            <v>Libano</v>
          </cell>
          <cell r="H2662" t="str">
            <v>pediatria</v>
          </cell>
          <cell r="J2662" t="str">
            <v>bueno</v>
          </cell>
          <cell r="K2662" t="str">
            <v>defsi</v>
          </cell>
        </row>
        <row r="2663">
          <cell r="B2663" t="b">
            <v>1</v>
          </cell>
          <cell r="E2663" t="str">
            <v>Pasacaballos</v>
          </cell>
          <cell r="H2663" t="str">
            <v>consulta_externa</v>
          </cell>
          <cell r="J2663" t="str">
            <v>bueno</v>
          </cell>
          <cell r="K2663" t="str">
            <v>defsi</v>
          </cell>
        </row>
        <row r="2664">
          <cell r="B2664" t="b">
            <v>1</v>
          </cell>
          <cell r="E2664" t="str">
            <v>Libano</v>
          </cell>
          <cell r="H2664" t="str">
            <v>pediatria</v>
          </cell>
          <cell r="J2664" t="str">
            <v>muybueno</v>
          </cell>
          <cell r="K2664" t="str">
            <v>defsi</v>
          </cell>
        </row>
        <row r="2665">
          <cell r="B2665" t="b">
            <v>1</v>
          </cell>
          <cell r="E2665" t="str">
            <v>Pasacaballos</v>
          </cell>
          <cell r="H2665" t="str">
            <v>salud_oral</v>
          </cell>
          <cell r="J2665" t="str">
            <v>bueno</v>
          </cell>
          <cell r="K2665" t="str">
            <v>defsi</v>
          </cell>
        </row>
        <row r="2666">
          <cell r="B2666" t="b">
            <v>1</v>
          </cell>
          <cell r="E2666" t="str">
            <v>Libano</v>
          </cell>
          <cell r="H2666" t="str">
            <v>pediatria</v>
          </cell>
          <cell r="J2666" t="str">
            <v>bueno</v>
          </cell>
          <cell r="K2666" t="str">
            <v>defsi</v>
          </cell>
        </row>
        <row r="2667">
          <cell r="B2667" t="b">
            <v>1</v>
          </cell>
          <cell r="E2667" t="str">
            <v>Pasacaballos</v>
          </cell>
          <cell r="H2667" t="str">
            <v>laboratorio</v>
          </cell>
          <cell r="J2667" t="str">
            <v>bueno</v>
          </cell>
          <cell r="K2667" t="str">
            <v>defsi</v>
          </cell>
        </row>
        <row r="2668">
          <cell r="B2668" t="b">
            <v>1</v>
          </cell>
          <cell r="E2668" t="str">
            <v>Libano</v>
          </cell>
          <cell r="H2668" t="str">
            <v>laboratorio</v>
          </cell>
          <cell r="J2668" t="str">
            <v>bueno</v>
          </cell>
          <cell r="K2668" t="str">
            <v>defsi</v>
          </cell>
        </row>
        <row r="2669">
          <cell r="B2669" t="b">
            <v>1</v>
          </cell>
          <cell r="E2669" t="str">
            <v>Libano</v>
          </cell>
          <cell r="H2669" t="str">
            <v>laboratorio</v>
          </cell>
          <cell r="J2669" t="str">
            <v>bueno</v>
          </cell>
          <cell r="K2669" t="str">
            <v>defsi</v>
          </cell>
        </row>
        <row r="2670">
          <cell r="B2670" t="b">
            <v>1</v>
          </cell>
          <cell r="E2670" t="str">
            <v>Pasacaballos</v>
          </cell>
          <cell r="H2670" t="str">
            <v>urgencia</v>
          </cell>
          <cell r="J2670" t="str">
            <v>bueno</v>
          </cell>
          <cell r="K2670" t="str">
            <v>defsi</v>
          </cell>
        </row>
        <row r="2671">
          <cell r="B2671" t="b">
            <v>1</v>
          </cell>
          <cell r="E2671" t="str">
            <v>Libano</v>
          </cell>
          <cell r="H2671" t="str">
            <v>consulta_externa</v>
          </cell>
          <cell r="J2671" t="str">
            <v>bueno</v>
          </cell>
          <cell r="K2671" t="str">
            <v>defsi</v>
          </cell>
        </row>
        <row r="2672">
          <cell r="B2672" t="b">
            <v>1</v>
          </cell>
          <cell r="E2672" t="str">
            <v>Libano</v>
          </cell>
          <cell r="H2672" t="str">
            <v>pediatria</v>
          </cell>
          <cell r="J2672" t="str">
            <v>bueno</v>
          </cell>
          <cell r="K2672" t="str">
            <v>defsi</v>
          </cell>
        </row>
        <row r="2673">
          <cell r="B2673" t="b">
            <v>1</v>
          </cell>
          <cell r="E2673" t="str">
            <v>Libano</v>
          </cell>
          <cell r="H2673" t="str">
            <v>laboratorio</v>
          </cell>
          <cell r="J2673" t="str">
            <v>bueno</v>
          </cell>
          <cell r="K2673" t="str">
            <v>defsi</v>
          </cell>
        </row>
        <row r="2674">
          <cell r="B2674" t="b">
            <v>1</v>
          </cell>
          <cell r="E2674" t="str">
            <v>Libano</v>
          </cell>
          <cell r="H2674" t="str">
            <v>pediatria</v>
          </cell>
          <cell r="J2674" t="str">
            <v>bueno</v>
          </cell>
          <cell r="K2674" t="str">
            <v>defsi</v>
          </cell>
        </row>
        <row r="2675">
          <cell r="B2675" t="b">
            <v>1</v>
          </cell>
          <cell r="E2675" t="str">
            <v>Libano</v>
          </cell>
          <cell r="H2675" t="str">
            <v>laboratorio</v>
          </cell>
          <cell r="J2675" t="str">
            <v>bueno</v>
          </cell>
          <cell r="K2675" t="str">
            <v>defsi</v>
          </cell>
        </row>
        <row r="2676">
          <cell r="B2676" t="b">
            <v>1</v>
          </cell>
          <cell r="E2676" t="str">
            <v>Libano</v>
          </cell>
          <cell r="H2676" t="str">
            <v>laboratorio</v>
          </cell>
          <cell r="J2676" t="str">
            <v>bueno</v>
          </cell>
          <cell r="K2676" t="str">
            <v>defsi</v>
          </cell>
        </row>
        <row r="2677">
          <cell r="B2677" t="b">
            <v>1</v>
          </cell>
          <cell r="E2677" t="str">
            <v>Libano</v>
          </cell>
          <cell r="H2677" t="str">
            <v>laboratorio</v>
          </cell>
          <cell r="J2677" t="str">
            <v>bueno</v>
          </cell>
          <cell r="K2677" t="str">
            <v>defsi</v>
          </cell>
        </row>
        <row r="2678">
          <cell r="B2678" t="b">
            <v>1</v>
          </cell>
          <cell r="E2678" t="str">
            <v>Libano</v>
          </cell>
          <cell r="H2678" t="str">
            <v>salud_oral</v>
          </cell>
          <cell r="J2678" t="str">
            <v>muybueno</v>
          </cell>
          <cell r="K2678" t="str">
            <v>probsi</v>
          </cell>
        </row>
        <row r="2679">
          <cell r="B2679" t="b">
            <v>1</v>
          </cell>
          <cell r="E2679" t="str">
            <v>Libano</v>
          </cell>
          <cell r="H2679" t="str">
            <v>pediatria</v>
          </cell>
          <cell r="J2679" t="str">
            <v>muybueno</v>
          </cell>
          <cell r="K2679" t="str">
            <v>defsi</v>
          </cell>
        </row>
        <row r="2680">
          <cell r="B2680" t="b">
            <v>1</v>
          </cell>
          <cell r="E2680" t="str">
            <v>Libano</v>
          </cell>
          <cell r="H2680" t="str">
            <v>pediatria</v>
          </cell>
          <cell r="J2680" t="str">
            <v>bueno</v>
          </cell>
          <cell r="K2680" t="str">
            <v>defsi</v>
          </cell>
        </row>
        <row r="2681">
          <cell r="B2681" t="b">
            <v>1</v>
          </cell>
          <cell r="E2681" t="str">
            <v>Blasdelezo</v>
          </cell>
          <cell r="H2681" t="str">
            <v>urgencia</v>
          </cell>
          <cell r="J2681" t="str">
            <v>bueno</v>
          </cell>
          <cell r="K2681" t="str">
            <v>defsi</v>
          </cell>
        </row>
        <row r="2682">
          <cell r="B2682" t="b">
            <v>1</v>
          </cell>
          <cell r="E2682" t="str">
            <v>Blasdelezo</v>
          </cell>
          <cell r="H2682" t="str">
            <v>urgencia</v>
          </cell>
          <cell r="J2682" t="str">
            <v>muybueno</v>
          </cell>
          <cell r="K2682" t="str">
            <v>defsi</v>
          </cell>
        </row>
        <row r="2683">
          <cell r="B2683" t="b">
            <v>1</v>
          </cell>
          <cell r="E2683" t="str">
            <v>Blasdelezo</v>
          </cell>
          <cell r="H2683" t="str">
            <v>urgencia</v>
          </cell>
          <cell r="J2683" t="str">
            <v>muybueno</v>
          </cell>
          <cell r="K2683" t="str">
            <v>defsi</v>
          </cell>
        </row>
        <row r="2684">
          <cell r="B2684" t="b">
            <v>0</v>
          </cell>
          <cell r="E2684" t="str">
            <v>Blasdelezo</v>
          </cell>
          <cell r="H2684" t="str">
            <v>urgencia</v>
          </cell>
          <cell r="J2684" t="str">
            <v>regular</v>
          </cell>
          <cell r="K2684" t="str">
            <v>probno</v>
          </cell>
        </row>
        <row r="2685">
          <cell r="B2685" t="b">
            <v>1</v>
          </cell>
          <cell r="E2685" t="str">
            <v>Blasdelezo</v>
          </cell>
          <cell r="H2685" t="str">
            <v>urgencia</v>
          </cell>
          <cell r="J2685" t="str">
            <v>bueno</v>
          </cell>
          <cell r="K2685" t="str">
            <v>defsi</v>
          </cell>
        </row>
        <row r="2686">
          <cell r="B2686" t="b">
            <v>1</v>
          </cell>
          <cell r="E2686" t="str">
            <v>Pasacaballos</v>
          </cell>
          <cell r="H2686" t="str">
            <v>consulta_externa</v>
          </cell>
          <cell r="J2686" t="str">
            <v>bueno</v>
          </cell>
          <cell r="K2686" t="str">
            <v>defsi</v>
          </cell>
        </row>
        <row r="2687">
          <cell r="B2687" t="b">
            <v>1</v>
          </cell>
          <cell r="E2687" t="str">
            <v>Pasacaballos</v>
          </cell>
          <cell r="H2687" t="str">
            <v>salud_oral</v>
          </cell>
          <cell r="J2687" t="str">
            <v>bueno</v>
          </cell>
          <cell r="K2687" t="str">
            <v>defsi</v>
          </cell>
        </row>
        <row r="2688">
          <cell r="B2688" t="b">
            <v>1</v>
          </cell>
          <cell r="E2688" t="str">
            <v>Pasacaballos</v>
          </cell>
          <cell r="H2688" t="str">
            <v>laboratorio</v>
          </cell>
          <cell r="J2688" t="str">
            <v>bueno</v>
          </cell>
          <cell r="K2688" t="str">
            <v>defsi</v>
          </cell>
        </row>
        <row r="2689">
          <cell r="B2689" t="b">
            <v>1</v>
          </cell>
          <cell r="E2689" t="str">
            <v>Pasacaballos</v>
          </cell>
          <cell r="H2689" t="str">
            <v>urgencia</v>
          </cell>
          <cell r="J2689" t="str">
            <v>bueno</v>
          </cell>
          <cell r="K2689" t="str">
            <v>defsi</v>
          </cell>
        </row>
        <row r="2690">
          <cell r="B2690" t="b">
            <v>1</v>
          </cell>
          <cell r="E2690" t="str">
            <v>Pasacaballos</v>
          </cell>
          <cell r="H2690" t="str">
            <v>consulta_externa</v>
          </cell>
          <cell r="J2690" t="str">
            <v>bueno</v>
          </cell>
          <cell r="K2690" t="str">
            <v>defsi</v>
          </cell>
        </row>
        <row r="2691">
          <cell r="B2691" t="b">
            <v>1</v>
          </cell>
          <cell r="E2691" t="str">
            <v>Pasacaballos</v>
          </cell>
          <cell r="H2691" t="str">
            <v>salud_oral</v>
          </cell>
          <cell r="J2691" t="str">
            <v>bueno</v>
          </cell>
          <cell r="K2691" t="str">
            <v>defsi</v>
          </cell>
        </row>
        <row r="2692">
          <cell r="B2692" t="b">
            <v>1</v>
          </cell>
          <cell r="E2692" t="str">
            <v>Pasacaballos</v>
          </cell>
          <cell r="H2692" t="str">
            <v>laboratorio</v>
          </cell>
          <cell r="J2692" t="str">
            <v>bueno</v>
          </cell>
          <cell r="K2692" t="str">
            <v>defsi</v>
          </cell>
        </row>
        <row r="2693">
          <cell r="B2693" t="b">
            <v>1</v>
          </cell>
          <cell r="E2693" t="str">
            <v>Pasacaballos</v>
          </cell>
          <cell r="H2693" t="str">
            <v>urgencia</v>
          </cell>
          <cell r="J2693" t="str">
            <v>bueno</v>
          </cell>
          <cell r="K2693" t="str">
            <v>defsi</v>
          </cell>
        </row>
        <row r="2694">
          <cell r="B2694" t="b">
            <v>0</v>
          </cell>
          <cell r="E2694" t="str">
            <v>Esperanza</v>
          </cell>
          <cell r="H2694" t="str">
            <v>laboratorio</v>
          </cell>
          <cell r="J2694" t="str">
            <v>regular</v>
          </cell>
          <cell r="K2694" t="str">
            <v>probsi</v>
          </cell>
        </row>
        <row r="2695">
          <cell r="B2695" t="b">
            <v>0</v>
          </cell>
          <cell r="E2695" t="str">
            <v>Esperanza</v>
          </cell>
          <cell r="H2695" t="str">
            <v>laboratorio</v>
          </cell>
          <cell r="J2695" t="str">
            <v>regular</v>
          </cell>
          <cell r="K2695" t="str">
            <v>probsi</v>
          </cell>
        </row>
        <row r="2696">
          <cell r="B2696" t="b">
            <v>1</v>
          </cell>
          <cell r="E2696" t="str">
            <v>Esperanza</v>
          </cell>
          <cell r="H2696" t="str">
            <v>laboratorio</v>
          </cell>
          <cell r="J2696" t="str">
            <v>bueno</v>
          </cell>
          <cell r="K2696" t="str">
            <v>probsi</v>
          </cell>
        </row>
        <row r="2697">
          <cell r="B2697" t="b">
            <v>1</v>
          </cell>
          <cell r="E2697" t="str">
            <v>Esperanza</v>
          </cell>
          <cell r="H2697" t="str">
            <v>laboratorio</v>
          </cell>
          <cell r="J2697" t="str">
            <v>bueno</v>
          </cell>
          <cell r="K2697" t="str">
            <v>probsi</v>
          </cell>
        </row>
        <row r="2698">
          <cell r="B2698" t="b">
            <v>1</v>
          </cell>
          <cell r="E2698" t="str">
            <v>Esperanza</v>
          </cell>
          <cell r="H2698" t="str">
            <v>laboratorio</v>
          </cell>
          <cell r="J2698" t="str">
            <v>bueno</v>
          </cell>
          <cell r="K2698" t="str">
            <v>probsi</v>
          </cell>
        </row>
        <row r="2699">
          <cell r="B2699" t="b">
            <v>1</v>
          </cell>
          <cell r="E2699" t="str">
            <v>Esperanza</v>
          </cell>
          <cell r="H2699" t="str">
            <v>laboratorio</v>
          </cell>
          <cell r="J2699" t="str">
            <v>bueno</v>
          </cell>
          <cell r="K2699" t="str">
            <v>probsi</v>
          </cell>
        </row>
        <row r="2700">
          <cell r="B2700" t="b">
            <v>0</v>
          </cell>
          <cell r="E2700" t="str">
            <v>Esperanza</v>
          </cell>
          <cell r="H2700" t="str">
            <v>consulta_externa</v>
          </cell>
          <cell r="J2700" t="str">
            <v>regular</v>
          </cell>
          <cell r="K2700" t="str">
            <v>probsi</v>
          </cell>
        </row>
        <row r="2701">
          <cell r="B2701" t="b">
            <v>1</v>
          </cell>
          <cell r="E2701" t="str">
            <v>Esperanza</v>
          </cell>
          <cell r="H2701" t="str">
            <v>consulta_externa</v>
          </cell>
          <cell r="J2701" t="str">
            <v>bueno</v>
          </cell>
          <cell r="K2701" t="str">
            <v>probsi</v>
          </cell>
        </row>
        <row r="2702">
          <cell r="B2702" t="b">
            <v>1</v>
          </cell>
          <cell r="E2702" t="str">
            <v>Esperanza</v>
          </cell>
          <cell r="H2702" t="str">
            <v>salud_oral</v>
          </cell>
          <cell r="J2702" t="str">
            <v>bueno</v>
          </cell>
          <cell r="K2702" t="str">
            <v>probsi</v>
          </cell>
        </row>
        <row r="2703">
          <cell r="B2703" t="b">
            <v>1</v>
          </cell>
          <cell r="E2703" t="str">
            <v>Esperanza</v>
          </cell>
          <cell r="H2703" t="str">
            <v>salud_oral</v>
          </cell>
          <cell r="J2703" t="str">
            <v>bueno</v>
          </cell>
          <cell r="K2703" t="str">
            <v>probsi</v>
          </cell>
        </row>
        <row r="2704">
          <cell r="B2704" t="b">
            <v>1</v>
          </cell>
          <cell r="E2704" t="str">
            <v>Esperanza</v>
          </cell>
          <cell r="H2704" t="str">
            <v>urgencia</v>
          </cell>
          <cell r="J2704" t="str">
            <v>bueno</v>
          </cell>
          <cell r="K2704" t="str">
            <v>probsi</v>
          </cell>
        </row>
        <row r="2705">
          <cell r="B2705" t="b">
            <v>1</v>
          </cell>
          <cell r="E2705" t="str">
            <v>Esperanza</v>
          </cell>
          <cell r="H2705" t="str">
            <v>urgencia</v>
          </cell>
          <cell r="J2705" t="str">
            <v>bueno</v>
          </cell>
          <cell r="K2705" t="str">
            <v>probsi</v>
          </cell>
        </row>
        <row r="2706">
          <cell r="B2706" t="b">
            <v>1</v>
          </cell>
          <cell r="E2706" t="str">
            <v>Esperanza</v>
          </cell>
          <cell r="H2706" t="str">
            <v>urgencia</v>
          </cell>
          <cell r="J2706" t="str">
            <v>bueno</v>
          </cell>
          <cell r="K2706" t="str">
            <v>probsi</v>
          </cell>
        </row>
        <row r="2707">
          <cell r="B2707" t="b">
            <v>1</v>
          </cell>
          <cell r="E2707" t="str">
            <v>Esperanza</v>
          </cell>
          <cell r="H2707" t="str">
            <v>urgencia</v>
          </cell>
          <cell r="J2707" t="str">
            <v>bueno</v>
          </cell>
          <cell r="K2707" t="str">
            <v>probsi</v>
          </cell>
        </row>
        <row r="2708">
          <cell r="B2708" t="b">
            <v>1</v>
          </cell>
          <cell r="E2708" t="str">
            <v>Esperanza</v>
          </cell>
          <cell r="H2708" t="str">
            <v>urgencia</v>
          </cell>
          <cell r="J2708" t="str">
            <v>bueno</v>
          </cell>
          <cell r="K2708" t="str">
            <v>probsi</v>
          </cell>
        </row>
        <row r="2709">
          <cell r="B2709" t="b">
            <v>1</v>
          </cell>
          <cell r="E2709" t="str">
            <v>Esperanza</v>
          </cell>
          <cell r="H2709" t="str">
            <v>urgencia</v>
          </cell>
          <cell r="J2709" t="str">
            <v>bueno</v>
          </cell>
          <cell r="K2709" t="str">
            <v>probsi</v>
          </cell>
        </row>
        <row r="2710">
          <cell r="B2710" t="b">
            <v>1</v>
          </cell>
          <cell r="E2710" t="str">
            <v>Pasacaballos</v>
          </cell>
          <cell r="H2710" t="str">
            <v>consulta_externa</v>
          </cell>
          <cell r="J2710" t="str">
            <v>bueno</v>
          </cell>
          <cell r="K2710" t="str">
            <v>defsi</v>
          </cell>
        </row>
        <row r="2711">
          <cell r="B2711" t="b">
            <v>1</v>
          </cell>
          <cell r="E2711" t="str">
            <v>Pasacaballos</v>
          </cell>
          <cell r="H2711" t="str">
            <v>salud_oral</v>
          </cell>
          <cell r="J2711" t="str">
            <v>bueno</v>
          </cell>
          <cell r="K2711" t="str">
            <v>defsi</v>
          </cell>
        </row>
        <row r="2712">
          <cell r="B2712" t="b">
            <v>1</v>
          </cell>
          <cell r="E2712" t="str">
            <v>Pasacaballos</v>
          </cell>
          <cell r="H2712" t="str">
            <v>laboratorio</v>
          </cell>
          <cell r="J2712" t="str">
            <v>bueno</v>
          </cell>
          <cell r="K2712" t="str">
            <v>defsi</v>
          </cell>
        </row>
        <row r="2713">
          <cell r="B2713" t="b">
            <v>1</v>
          </cell>
          <cell r="E2713" t="str">
            <v>Pasacaballos</v>
          </cell>
          <cell r="H2713" t="str">
            <v>urgencia</v>
          </cell>
          <cell r="J2713" t="str">
            <v>bueno</v>
          </cell>
          <cell r="K2713" t="str">
            <v>defsi</v>
          </cell>
        </row>
        <row r="2714">
          <cell r="B2714" t="b">
            <v>1</v>
          </cell>
          <cell r="E2714" t="str">
            <v>Pasacaballos</v>
          </cell>
          <cell r="H2714" t="str">
            <v>consulta_externa</v>
          </cell>
          <cell r="J2714" t="str">
            <v>bueno</v>
          </cell>
          <cell r="K2714" t="str">
            <v>defsi</v>
          </cell>
        </row>
        <row r="2715">
          <cell r="B2715" t="b">
            <v>1</v>
          </cell>
          <cell r="E2715" t="str">
            <v>Pasacaballos</v>
          </cell>
          <cell r="H2715" t="str">
            <v>salud_oral</v>
          </cell>
          <cell r="J2715" t="str">
            <v>bueno</v>
          </cell>
          <cell r="K2715" t="str">
            <v>defsi</v>
          </cell>
        </row>
        <row r="2716">
          <cell r="B2716" t="b">
            <v>1</v>
          </cell>
          <cell r="E2716" t="str">
            <v>Pasacaballos</v>
          </cell>
          <cell r="H2716" t="str">
            <v>laboratorio</v>
          </cell>
          <cell r="J2716" t="str">
            <v>bueno</v>
          </cell>
          <cell r="K2716" t="str">
            <v>defsi</v>
          </cell>
        </row>
        <row r="2717">
          <cell r="B2717" t="b">
            <v>1</v>
          </cell>
          <cell r="E2717" t="str">
            <v>Pasacaballos</v>
          </cell>
          <cell r="H2717" t="str">
            <v>urgencia</v>
          </cell>
          <cell r="J2717" t="str">
            <v>bueno</v>
          </cell>
          <cell r="K2717" t="str">
            <v>defsi</v>
          </cell>
        </row>
        <row r="2718">
          <cell r="B2718" t="b">
            <v>1</v>
          </cell>
          <cell r="E2718" t="str">
            <v>Pasacaballos</v>
          </cell>
          <cell r="H2718" t="str">
            <v>consulta_externa</v>
          </cell>
          <cell r="J2718" t="str">
            <v>bueno</v>
          </cell>
          <cell r="K2718" t="str">
            <v>defsi</v>
          </cell>
        </row>
        <row r="2719">
          <cell r="B2719" t="b">
            <v>1</v>
          </cell>
          <cell r="E2719" t="str">
            <v>Pasacaballos</v>
          </cell>
          <cell r="H2719" t="str">
            <v>laboratorio</v>
          </cell>
          <cell r="J2719" t="str">
            <v>bueno</v>
          </cell>
          <cell r="K2719" t="str">
            <v>defsi</v>
          </cell>
        </row>
        <row r="2720">
          <cell r="B2720" t="b">
            <v>1</v>
          </cell>
          <cell r="E2720" t="str">
            <v>Pasacaballos</v>
          </cell>
          <cell r="H2720" t="str">
            <v>salud_oral</v>
          </cell>
          <cell r="J2720" t="str">
            <v>bueno</v>
          </cell>
          <cell r="K2720" t="str">
            <v>defsi</v>
          </cell>
        </row>
        <row r="2721">
          <cell r="B2721" t="b">
            <v>1</v>
          </cell>
          <cell r="E2721" t="str">
            <v>Pasacaballos</v>
          </cell>
          <cell r="H2721" t="str">
            <v>urgencia</v>
          </cell>
          <cell r="J2721" t="str">
            <v>bueno</v>
          </cell>
          <cell r="K2721" t="str">
            <v>defsi</v>
          </cell>
        </row>
        <row r="2722">
          <cell r="B2722" t="b">
            <v>1</v>
          </cell>
          <cell r="E2722" t="str">
            <v>Pasacaballos</v>
          </cell>
          <cell r="H2722" t="str">
            <v>consulta_externa</v>
          </cell>
          <cell r="J2722" t="str">
            <v>bueno</v>
          </cell>
          <cell r="K2722" t="str">
            <v>defsi</v>
          </cell>
        </row>
        <row r="2723">
          <cell r="B2723" t="b">
            <v>1</v>
          </cell>
          <cell r="E2723" t="str">
            <v>Pasacaballos</v>
          </cell>
          <cell r="H2723" t="str">
            <v>salud_oral</v>
          </cell>
          <cell r="J2723" t="str">
            <v>bueno</v>
          </cell>
          <cell r="K2723" t="str">
            <v>defsi</v>
          </cell>
        </row>
        <row r="2724">
          <cell r="B2724" t="b">
            <v>1</v>
          </cell>
          <cell r="E2724" t="str">
            <v>Pasacaballos</v>
          </cell>
          <cell r="H2724" t="str">
            <v>laboratorio</v>
          </cell>
          <cell r="J2724" t="str">
            <v>bueno</v>
          </cell>
          <cell r="K2724" t="str">
            <v>defsi</v>
          </cell>
        </row>
        <row r="2725">
          <cell r="B2725" t="b">
            <v>1</v>
          </cell>
          <cell r="E2725" t="str">
            <v>Pasacaballos</v>
          </cell>
          <cell r="H2725" t="str">
            <v>urgencia</v>
          </cell>
          <cell r="J2725" t="str">
            <v>bueno</v>
          </cell>
          <cell r="K2725" t="str">
            <v>defsi</v>
          </cell>
        </row>
        <row r="2726">
          <cell r="B2726" t="b">
            <v>1</v>
          </cell>
          <cell r="E2726" t="str">
            <v>Pasacaballos</v>
          </cell>
          <cell r="H2726" t="str">
            <v>consulta_externa</v>
          </cell>
          <cell r="J2726" t="str">
            <v>bueno</v>
          </cell>
          <cell r="K2726" t="str">
            <v>defsi</v>
          </cell>
        </row>
        <row r="2727">
          <cell r="B2727" t="b">
            <v>1</v>
          </cell>
          <cell r="E2727" t="str">
            <v>Pasacaballos</v>
          </cell>
          <cell r="H2727" t="str">
            <v>salud_oral</v>
          </cell>
          <cell r="J2727" t="str">
            <v>bueno</v>
          </cell>
          <cell r="K2727" t="str">
            <v>defsi</v>
          </cell>
        </row>
        <row r="2728">
          <cell r="B2728" t="b">
            <v>1</v>
          </cell>
          <cell r="E2728" t="str">
            <v>Pasacaballos</v>
          </cell>
          <cell r="H2728" t="str">
            <v>laboratorio</v>
          </cell>
          <cell r="J2728" t="str">
            <v>bueno</v>
          </cell>
          <cell r="K2728" t="str">
            <v>defsi</v>
          </cell>
        </row>
        <row r="2729">
          <cell r="B2729" t="b">
            <v>1</v>
          </cell>
          <cell r="E2729" t="str">
            <v>Pasacaballos</v>
          </cell>
          <cell r="H2729" t="str">
            <v>urgencia</v>
          </cell>
          <cell r="J2729" t="str">
            <v>bueno</v>
          </cell>
          <cell r="K2729" t="str">
            <v>defsi</v>
          </cell>
        </row>
        <row r="2730">
          <cell r="B2730" t="b">
            <v>1</v>
          </cell>
          <cell r="E2730" t="str">
            <v>Baru</v>
          </cell>
          <cell r="H2730" t="str">
            <v>consulta_externa</v>
          </cell>
          <cell r="J2730" t="str">
            <v>bueno</v>
          </cell>
          <cell r="K2730" t="str">
            <v>probsi</v>
          </cell>
        </row>
        <row r="2731">
          <cell r="B2731" t="b">
            <v>1</v>
          </cell>
          <cell r="E2731" t="str">
            <v>Baru</v>
          </cell>
          <cell r="H2731" t="str">
            <v>consulta_externa</v>
          </cell>
          <cell r="J2731" t="str">
            <v>bueno</v>
          </cell>
          <cell r="K2731" t="str">
            <v>probsi</v>
          </cell>
        </row>
        <row r="2732">
          <cell r="B2732" t="b">
            <v>1</v>
          </cell>
          <cell r="E2732" t="str">
            <v>Baru</v>
          </cell>
          <cell r="H2732" t="str">
            <v>consulta_externa</v>
          </cell>
          <cell r="J2732" t="str">
            <v>bueno</v>
          </cell>
          <cell r="K2732" t="str">
            <v>probsi</v>
          </cell>
        </row>
        <row r="2733">
          <cell r="B2733" t="b">
            <v>1</v>
          </cell>
          <cell r="E2733" t="str">
            <v>Baru</v>
          </cell>
          <cell r="H2733" t="str">
            <v>consulta_externa</v>
          </cell>
          <cell r="J2733" t="str">
            <v>bueno</v>
          </cell>
          <cell r="K2733" t="str">
            <v>probsi</v>
          </cell>
        </row>
        <row r="2734">
          <cell r="B2734" t="b">
            <v>1</v>
          </cell>
          <cell r="E2734" t="str">
            <v>Baru</v>
          </cell>
          <cell r="H2734" t="str">
            <v>laboratorio</v>
          </cell>
          <cell r="J2734" t="str">
            <v>bueno</v>
          </cell>
          <cell r="K2734" t="str">
            <v>probsi</v>
          </cell>
        </row>
        <row r="2735">
          <cell r="B2735" t="b">
            <v>1</v>
          </cell>
          <cell r="E2735" t="str">
            <v>Baru</v>
          </cell>
          <cell r="H2735" t="str">
            <v>laboratorio</v>
          </cell>
          <cell r="J2735" t="str">
            <v>bueno</v>
          </cell>
          <cell r="K2735" t="str">
            <v>probsi</v>
          </cell>
        </row>
        <row r="2736">
          <cell r="B2736" t="b">
            <v>1</v>
          </cell>
          <cell r="E2736" t="str">
            <v>Baru</v>
          </cell>
          <cell r="H2736" t="str">
            <v>laboratorio</v>
          </cell>
          <cell r="J2736" t="str">
            <v>bueno</v>
          </cell>
          <cell r="K2736" t="str">
            <v>probsi</v>
          </cell>
        </row>
        <row r="2737">
          <cell r="B2737" t="b">
            <v>1</v>
          </cell>
          <cell r="E2737" t="str">
            <v>Baru</v>
          </cell>
          <cell r="H2737" t="str">
            <v>urgencia</v>
          </cell>
          <cell r="J2737" t="str">
            <v>bueno</v>
          </cell>
          <cell r="K2737" t="str">
            <v>probsi</v>
          </cell>
        </row>
        <row r="2738">
          <cell r="B2738" t="b">
            <v>1</v>
          </cell>
          <cell r="E2738" t="str">
            <v>Baru</v>
          </cell>
          <cell r="H2738" t="str">
            <v>urgencia</v>
          </cell>
          <cell r="J2738" t="str">
            <v>bueno</v>
          </cell>
          <cell r="K2738" t="str">
            <v>probsi</v>
          </cell>
        </row>
        <row r="2739">
          <cell r="B2739" t="b">
            <v>1</v>
          </cell>
          <cell r="E2739" t="str">
            <v>Baru</v>
          </cell>
          <cell r="H2739" t="str">
            <v>urgencia</v>
          </cell>
          <cell r="J2739" t="str">
            <v>bueno</v>
          </cell>
          <cell r="K2739" t="str">
            <v>probsi</v>
          </cell>
        </row>
        <row r="2740">
          <cell r="B2740" t="b">
            <v>1</v>
          </cell>
          <cell r="E2740" t="str">
            <v>Baru</v>
          </cell>
          <cell r="H2740" t="str">
            <v>urgencia</v>
          </cell>
          <cell r="J2740" t="str">
            <v>bueno</v>
          </cell>
          <cell r="K2740" t="str">
            <v>probsi</v>
          </cell>
        </row>
        <row r="2741">
          <cell r="B2741" t="b">
            <v>1</v>
          </cell>
          <cell r="E2741" t="str">
            <v>Baru</v>
          </cell>
          <cell r="H2741" t="str">
            <v>urgencia</v>
          </cell>
          <cell r="J2741" t="str">
            <v>bueno</v>
          </cell>
          <cell r="K2741" t="str">
            <v>probsi</v>
          </cell>
        </row>
        <row r="2742">
          <cell r="B2742" t="b">
            <v>1</v>
          </cell>
          <cell r="E2742" t="str">
            <v>Baru</v>
          </cell>
          <cell r="H2742" t="str">
            <v>urgencia</v>
          </cell>
          <cell r="J2742" t="str">
            <v>bueno</v>
          </cell>
          <cell r="K2742" t="str">
            <v>probsi</v>
          </cell>
        </row>
        <row r="2743">
          <cell r="B2743" t="b">
            <v>1</v>
          </cell>
          <cell r="E2743" t="str">
            <v>Baru</v>
          </cell>
          <cell r="H2743" t="str">
            <v>urgencia</v>
          </cell>
          <cell r="J2743" t="str">
            <v>bueno</v>
          </cell>
          <cell r="K2743" t="str">
            <v>probsi</v>
          </cell>
        </row>
        <row r="2744">
          <cell r="B2744" t="b">
            <v>1</v>
          </cell>
          <cell r="E2744" t="str">
            <v>Baru</v>
          </cell>
          <cell r="H2744" t="str">
            <v>urgencia</v>
          </cell>
          <cell r="J2744" t="str">
            <v>bueno</v>
          </cell>
          <cell r="K2744" t="str">
            <v>probsi</v>
          </cell>
        </row>
        <row r="2745">
          <cell r="B2745" t="b">
            <v>1</v>
          </cell>
          <cell r="E2745" t="str">
            <v>Baru</v>
          </cell>
          <cell r="H2745" t="str">
            <v>urgencia</v>
          </cell>
          <cell r="J2745" t="str">
            <v>bueno</v>
          </cell>
          <cell r="K2745" t="str">
            <v>probsi</v>
          </cell>
        </row>
        <row r="2746">
          <cell r="B2746" t="b">
            <v>1</v>
          </cell>
          <cell r="E2746" t="str">
            <v>Baru</v>
          </cell>
          <cell r="H2746" t="str">
            <v>urgencia</v>
          </cell>
          <cell r="J2746" t="str">
            <v>bueno</v>
          </cell>
          <cell r="K2746" t="str">
            <v>probsi</v>
          </cell>
        </row>
        <row r="2747">
          <cell r="B2747" t="b">
            <v>1</v>
          </cell>
          <cell r="E2747" t="str">
            <v>Baru</v>
          </cell>
          <cell r="H2747" t="str">
            <v>urgencia</v>
          </cell>
          <cell r="J2747" t="str">
            <v>bueno</v>
          </cell>
          <cell r="K2747" t="str">
            <v>probsi</v>
          </cell>
        </row>
        <row r="2748">
          <cell r="B2748" t="b">
            <v>1</v>
          </cell>
          <cell r="E2748" t="str">
            <v>Baru</v>
          </cell>
          <cell r="H2748" t="str">
            <v>urgencia</v>
          </cell>
          <cell r="J2748" t="str">
            <v>bueno</v>
          </cell>
          <cell r="K2748" t="str">
            <v>probsi</v>
          </cell>
        </row>
        <row r="2749">
          <cell r="B2749" t="b">
            <v>1</v>
          </cell>
          <cell r="E2749" t="str">
            <v>Blasdelezo</v>
          </cell>
          <cell r="H2749" t="str">
            <v>consulta_externa</v>
          </cell>
          <cell r="J2749" t="str">
            <v>bueno</v>
          </cell>
          <cell r="K2749" t="str">
            <v>defsi</v>
          </cell>
        </row>
        <row r="2750">
          <cell r="B2750" t="b">
            <v>1</v>
          </cell>
          <cell r="E2750" t="str">
            <v>Blasdelezo</v>
          </cell>
          <cell r="H2750" t="str">
            <v>laboratorio</v>
          </cell>
          <cell r="J2750" t="str">
            <v>bueno</v>
          </cell>
          <cell r="K2750" t="str">
            <v>defsi</v>
          </cell>
        </row>
        <row r="2751">
          <cell r="B2751" t="b">
            <v>1</v>
          </cell>
          <cell r="E2751" t="str">
            <v>Blasdelezo</v>
          </cell>
          <cell r="H2751" t="str">
            <v>salud_oral</v>
          </cell>
          <cell r="J2751" t="str">
            <v>bueno</v>
          </cell>
          <cell r="K2751" t="str">
            <v>defsi</v>
          </cell>
        </row>
        <row r="2752">
          <cell r="B2752" t="b">
            <v>1</v>
          </cell>
          <cell r="E2752" t="str">
            <v>Blasdelezo</v>
          </cell>
          <cell r="H2752" t="str">
            <v>salud_oral</v>
          </cell>
          <cell r="J2752" t="str">
            <v>bueno</v>
          </cell>
          <cell r="K2752" t="str">
            <v>defsi</v>
          </cell>
        </row>
        <row r="2753">
          <cell r="B2753" t="b">
            <v>1</v>
          </cell>
          <cell r="E2753" t="str">
            <v>Blasdelezo</v>
          </cell>
          <cell r="H2753" t="str">
            <v>urgencia</v>
          </cell>
          <cell r="J2753" t="str">
            <v>bueno</v>
          </cell>
          <cell r="K2753" t="str">
            <v>defsi</v>
          </cell>
        </row>
        <row r="2754">
          <cell r="B2754" t="b">
            <v>1</v>
          </cell>
          <cell r="E2754" t="str">
            <v>Blasdelezo</v>
          </cell>
          <cell r="H2754" t="str">
            <v>urgencia</v>
          </cell>
          <cell r="J2754" t="str">
            <v>bueno</v>
          </cell>
          <cell r="K2754" t="str">
            <v>defsi</v>
          </cell>
        </row>
        <row r="2755">
          <cell r="B2755" t="b">
            <v>1</v>
          </cell>
          <cell r="E2755" t="str">
            <v>Blasdelezo</v>
          </cell>
          <cell r="H2755" t="str">
            <v>urgencia</v>
          </cell>
          <cell r="J2755" t="str">
            <v>bueno</v>
          </cell>
          <cell r="K2755" t="str">
            <v>defsi</v>
          </cell>
        </row>
        <row r="2756">
          <cell r="B2756" t="b">
            <v>1</v>
          </cell>
          <cell r="E2756" t="str">
            <v>Pasacaballos</v>
          </cell>
          <cell r="H2756" t="str">
            <v>consulta_externa</v>
          </cell>
          <cell r="J2756" t="str">
            <v>bueno</v>
          </cell>
          <cell r="K2756" t="str">
            <v>defsi</v>
          </cell>
        </row>
        <row r="2757">
          <cell r="B2757" t="b">
            <v>1</v>
          </cell>
          <cell r="E2757" t="str">
            <v>Pasacaballos</v>
          </cell>
          <cell r="H2757" t="str">
            <v>salud_oral</v>
          </cell>
          <cell r="J2757" t="str">
            <v>bueno</v>
          </cell>
          <cell r="K2757" t="str">
            <v>defsi</v>
          </cell>
        </row>
        <row r="2758">
          <cell r="B2758" t="b">
            <v>1</v>
          </cell>
          <cell r="E2758" t="str">
            <v>Pasacaballos</v>
          </cell>
          <cell r="H2758" t="str">
            <v>laboratorio</v>
          </cell>
          <cell r="J2758" t="str">
            <v>bueno</v>
          </cell>
          <cell r="K2758" t="str">
            <v>defsi</v>
          </cell>
        </row>
        <row r="2759">
          <cell r="B2759" t="b">
            <v>1</v>
          </cell>
          <cell r="E2759" t="str">
            <v>Pasacaballos</v>
          </cell>
          <cell r="H2759" t="str">
            <v>urgencia</v>
          </cell>
          <cell r="J2759" t="str">
            <v>bueno</v>
          </cell>
          <cell r="K2759" t="str">
            <v>defsi</v>
          </cell>
        </row>
        <row r="2760">
          <cell r="B2760" t="b">
            <v>0</v>
          </cell>
          <cell r="E2760" t="str">
            <v>Blasdelezo</v>
          </cell>
          <cell r="H2760" t="str">
            <v>urgencia</v>
          </cell>
          <cell r="J2760" t="str">
            <v>regular</v>
          </cell>
          <cell r="K2760" t="str">
            <v>defsi</v>
          </cell>
        </row>
        <row r="2761">
          <cell r="B2761" t="b">
            <v>1</v>
          </cell>
          <cell r="E2761" t="str">
            <v>Pasacaballos</v>
          </cell>
          <cell r="H2761" t="str">
            <v>consulta_externa</v>
          </cell>
          <cell r="J2761" t="str">
            <v>bueno</v>
          </cell>
          <cell r="K2761" t="str">
            <v>defsi</v>
          </cell>
        </row>
        <row r="2762">
          <cell r="B2762" t="b">
            <v>1</v>
          </cell>
          <cell r="E2762" t="str">
            <v>Pasacaballos</v>
          </cell>
          <cell r="H2762" t="str">
            <v>salud_oral</v>
          </cell>
          <cell r="J2762" t="str">
            <v>bueno</v>
          </cell>
          <cell r="K2762" t="str">
            <v>defsi</v>
          </cell>
        </row>
        <row r="2763">
          <cell r="B2763" t="b">
            <v>1</v>
          </cell>
          <cell r="E2763" t="str">
            <v>Pasacaballos</v>
          </cell>
          <cell r="H2763" t="str">
            <v>laboratorio</v>
          </cell>
          <cell r="J2763" t="str">
            <v>bueno</v>
          </cell>
          <cell r="K2763" t="str">
            <v>defsi</v>
          </cell>
        </row>
        <row r="2764">
          <cell r="B2764" t="b">
            <v>1</v>
          </cell>
          <cell r="E2764" t="str">
            <v>Blasdelezo</v>
          </cell>
          <cell r="H2764" t="str">
            <v>urgencia</v>
          </cell>
          <cell r="J2764" t="str">
            <v>bueno</v>
          </cell>
          <cell r="K2764" t="str">
            <v>defsi</v>
          </cell>
        </row>
        <row r="2765">
          <cell r="B2765" t="b">
            <v>1</v>
          </cell>
          <cell r="E2765" t="str">
            <v>Pasacaballos</v>
          </cell>
          <cell r="H2765" t="str">
            <v>urgencia</v>
          </cell>
          <cell r="J2765" t="str">
            <v>bueno</v>
          </cell>
          <cell r="K2765" t="str">
            <v>defsi</v>
          </cell>
        </row>
        <row r="2766">
          <cell r="B2766" t="b">
            <v>0</v>
          </cell>
          <cell r="E2766" t="str">
            <v>Blasdelezo</v>
          </cell>
          <cell r="H2766" t="str">
            <v>urgencia</v>
          </cell>
          <cell r="J2766" t="str">
            <v>regular</v>
          </cell>
          <cell r="K2766" t="str">
            <v>probsi</v>
          </cell>
        </row>
        <row r="2767">
          <cell r="B2767" t="b">
            <v>1</v>
          </cell>
          <cell r="E2767" t="str">
            <v>Blasdelezo</v>
          </cell>
          <cell r="H2767" t="str">
            <v>urgencia</v>
          </cell>
          <cell r="J2767" t="str">
            <v>bueno</v>
          </cell>
          <cell r="K2767" t="str">
            <v>defsi</v>
          </cell>
        </row>
        <row r="2768">
          <cell r="B2768" t="b">
            <v>1</v>
          </cell>
          <cell r="E2768" t="str">
            <v>Pasacaballos</v>
          </cell>
          <cell r="H2768" t="str">
            <v>consulta_externa</v>
          </cell>
          <cell r="J2768" t="str">
            <v>bueno</v>
          </cell>
          <cell r="K2768" t="str">
            <v>defsi</v>
          </cell>
        </row>
        <row r="2769">
          <cell r="B2769" t="b">
            <v>1</v>
          </cell>
          <cell r="E2769" t="str">
            <v>Pasacaballos</v>
          </cell>
          <cell r="H2769" t="str">
            <v>salud_oral</v>
          </cell>
          <cell r="J2769" t="str">
            <v>bueno</v>
          </cell>
          <cell r="K2769" t="str">
            <v>defsi</v>
          </cell>
        </row>
        <row r="2770">
          <cell r="B2770" t="b">
            <v>1</v>
          </cell>
          <cell r="E2770" t="str">
            <v>Pasacaballos</v>
          </cell>
          <cell r="H2770" t="str">
            <v>laboratorio</v>
          </cell>
          <cell r="J2770" t="str">
            <v>bueno</v>
          </cell>
          <cell r="K2770" t="str">
            <v>defsi</v>
          </cell>
        </row>
        <row r="2771">
          <cell r="B2771" t="b">
            <v>1</v>
          </cell>
          <cell r="E2771" t="str">
            <v>Pasacaballos</v>
          </cell>
          <cell r="H2771" t="str">
            <v>urgencia</v>
          </cell>
          <cell r="J2771" t="str">
            <v>bueno</v>
          </cell>
          <cell r="K2771" t="str">
            <v>defsi</v>
          </cell>
        </row>
        <row r="2772">
          <cell r="B2772" t="b">
            <v>1</v>
          </cell>
          <cell r="E2772" t="str">
            <v>Pasacaballos</v>
          </cell>
          <cell r="H2772" t="str">
            <v>consulta_externa</v>
          </cell>
          <cell r="J2772" t="str">
            <v>bueno</v>
          </cell>
          <cell r="K2772" t="str">
            <v>defsi</v>
          </cell>
        </row>
        <row r="2773">
          <cell r="B2773" t="b">
            <v>1</v>
          </cell>
          <cell r="E2773" t="str">
            <v>Pasacaballos</v>
          </cell>
          <cell r="H2773" t="str">
            <v>salud_oral</v>
          </cell>
          <cell r="J2773" t="str">
            <v>bueno</v>
          </cell>
          <cell r="K2773" t="str">
            <v>defsi</v>
          </cell>
        </row>
        <row r="2774">
          <cell r="B2774" t="b">
            <v>1</v>
          </cell>
          <cell r="E2774" t="str">
            <v>San Pedro y Libertad</v>
          </cell>
          <cell r="H2774" t="str">
            <v>consulta_externa</v>
          </cell>
          <cell r="J2774" t="str">
            <v>bueno</v>
          </cell>
          <cell r="K2774" t="str">
            <v>probsi</v>
          </cell>
        </row>
        <row r="2775">
          <cell r="B2775" t="b">
            <v>1</v>
          </cell>
          <cell r="E2775" t="str">
            <v>San Pedro y Libertad</v>
          </cell>
          <cell r="H2775" t="str">
            <v>consulta_externa</v>
          </cell>
          <cell r="J2775" t="str">
            <v>bueno</v>
          </cell>
          <cell r="K2775" t="str">
            <v>probsi</v>
          </cell>
        </row>
        <row r="2776">
          <cell r="B2776" t="b">
            <v>1</v>
          </cell>
          <cell r="E2776" t="str">
            <v>San Pedro y Libertad</v>
          </cell>
          <cell r="H2776" t="str">
            <v>consulta_externa</v>
          </cell>
          <cell r="J2776" t="str">
            <v>bueno</v>
          </cell>
          <cell r="K2776" t="str">
            <v>probsi</v>
          </cell>
        </row>
        <row r="2777">
          <cell r="B2777" t="b">
            <v>1</v>
          </cell>
          <cell r="E2777" t="str">
            <v>San Pedro y Libertad</v>
          </cell>
          <cell r="H2777" t="str">
            <v>consulta_externa</v>
          </cell>
          <cell r="J2777" t="str">
            <v>bueno</v>
          </cell>
          <cell r="K2777" t="str">
            <v>probsi</v>
          </cell>
        </row>
        <row r="2778">
          <cell r="B2778" t="b">
            <v>1</v>
          </cell>
          <cell r="E2778" t="str">
            <v>San Pedro y Libertad</v>
          </cell>
          <cell r="H2778" t="str">
            <v>consulta_externa</v>
          </cell>
          <cell r="J2778" t="str">
            <v>bueno</v>
          </cell>
          <cell r="K2778" t="str">
            <v>probsi</v>
          </cell>
        </row>
        <row r="2779">
          <cell r="B2779" t="b">
            <v>1</v>
          </cell>
          <cell r="E2779" t="str">
            <v>San Pedro y Libertad</v>
          </cell>
          <cell r="H2779" t="str">
            <v>consulta_externa</v>
          </cell>
          <cell r="J2779" t="str">
            <v>bueno</v>
          </cell>
          <cell r="K2779" t="str">
            <v>probsi</v>
          </cell>
        </row>
        <row r="2780">
          <cell r="B2780" t="b">
            <v>0</v>
          </cell>
          <cell r="E2780" t="str">
            <v>San Pedro y Libertad</v>
          </cell>
          <cell r="H2780" t="str">
            <v>laboratorio</v>
          </cell>
          <cell r="J2780" t="str">
            <v>regular</v>
          </cell>
          <cell r="K2780" t="str">
            <v>probsi</v>
          </cell>
        </row>
        <row r="2781">
          <cell r="B2781" t="b">
            <v>0</v>
          </cell>
          <cell r="E2781" t="str">
            <v>San Pedro y Libertad</v>
          </cell>
          <cell r="H2781" t="str">
            <v>laboratorio</v>
          </cell>
          <cell r="J2781" t="str">
            <v>regular</v>
          </cell>
          <cell r="K2781" t="str">
            <v>probsi</v>
          </cell>
        </row>
        <row r="2782">
          <cell r="B2782" t="b">
            <v>1</v>
          </cell>
          <cell r="E2782" t="str">
            <v>San Pedro y Libertad</v>
          </cell>
          <cell r="H2782" t="str">
            <v>laboratorio</v>
          </cell>
          <cell r="J2782" t="str">
            <v>bueno</v>
          </cell>
          <cell r="K2782" t="str">
            <v>probsi</v>
          </cell>
        </row>
        <row r="2783">
          <cell r="B2783" t="b">
            <v>1</v>
          </cell>
          <cell r="E2783" t="str">
            <v>San Pedro y Libertad</v>
          </cell>
          <cell r="H2783" t="str">
            <v>laboratorio</v>
          </cell>
          <cell r="J2783" t="str">
            <v>bueno</v>
          </cell>
          <cell r="K2783" t="str">
            <v>probsi</v>
          </cell>
        </row>
        <row r="2784">
          <cell r="B2784" t="b">
            <v>1</v>
          </cell>
          <cell r="E2784" t="str">
            <v>San Pedro y Libertad</v>
          </cell>
          <cell r="H2784" t="str">
            <v>laboratorio</v>
          </cell>
          <cell r="J2784" t="str">
            <v>bueno</v>
          </cell>
          <cell r="K2784" t="str">
            <v>probsi</v>
          </cell>
        </row>
        <row r="2785">
          <cell r="B2785" t="b">
            <v>0</v>
          </cell>
          <cell r="E2785" t="str">
            <v>San Pedro y Libertad</v>
          </cell>
          <cell r="H2785" t="str">
            <v>laboratorio</v>
          </cell>
          <cell r="J2785" t="str">
            <v>regular</v>
          </cell>
          <cell r="K2785" t="str">
            <v>probno</v>
          </cell>
        </row>
        <row r="2786">
          <cell r="B2786" t="b">
            <v>1</v>
          </cell>
          <cell r="E2786" t="str">
            <v>San Pedro y Libertad</v>
          </cell>
          <cell r="H2786" t="str">
            <v>laboratorio</v>
          </cell>
          <cell r="J2786" t="str">
            <v>bueno</v>
          </cell>
          <cell r="K2786" t="str">
            <v>probsi</v>
          </cell>
        </row>
        <row r="2787">
          <cell r="B2787" t="b">
            <v>1</v>
          </cell>
          <cell r="E2787" t="str">
            <v>San Pedro y Libertad</v>
          </cell>
          <cell r="H2787" t="str">
            <v>laboratorio</v>
          </cell>
          <cell r="J2787" t="str">
            <v>bueno</v>
          </cell>
          <cell r="K2787" t="str">
            <v>probsi</v>
          </cell>
        </row>
        <row r="2788">
          <cell r="B2788" t="b">
            <v>1</v>
          </cell>
          <cell r="E2788" t="str">
            <v>San Pedro y Libertad</v>
          </cell>
          <cell r="H2788" t="str">
            <v>salud_oral</v>
          </cell>
          <cell r="J2788" t="str">
            <v>bueno</v>
          </cell>
          <cell r="K2788" t="str">
            <v>probsi</v>
          </cell>
        </row>
        <row r="2789">
          <cell r="B2789" t="b">
            <v>1</v>
          </cell>
          <cell r="E2789" t="str">
            <v>San Pedro y Libertad</v>
          </cell>
          <cell r="H2789" t="str">
            <v>salud_oral</v>
          </cell>
          <cell r="J2789" t="str">
            <v>bueno</v>
          </cell>
          <cell r="K2789" t="str">
            <v>probsi</v>
          </cell>
        </row>
        <row r="2790">
          <cell r="B2790" t="b">
            <v>1</v>
          </cell>
          <cell r="E2790" t="str">
            <v>San Pedro y Libertad</v>
          </cell>
          <cell r="H2790" t="str">
            <v>salud_oral</v>
          </cell>
          <cell r="J2790" t="str">
            <v>bueno</v>
          </cell>
          <cell r="K2790" t="str">
            <v>probsi</v>
          </cell>
        </row>
        <row r="2791">
          <cell r="B2791" t="b">
            <v>1</v>
          </cell>
          <cell r="E2791" t="str">
            <v>San Pedro y Libertad</v>
          </cell>
          <cell r="H2791" t="str">
            <v>salud_oral</v>
          </cell>
          <cell r="J2791" t="str">
            <v>bueno</v>
          </cell>
          <cell r="K2791" t="str">
            <v>probsi</v>
          </cell>
        </row>
        <row r="2792">
          <cell r="B2792" t="b">
            <v>1</v>
          </cell>
          <cell r="E2792" t="str">
            <v>San Pedro y Libertad</v>
          </cell>
          <cell r="H2792" t="str">
            <v>salud_oral</v>
          </cell>
          <cell r="J2792" t="str">
            <v>bueno</v>
          </cell>
          <cell r="K2792" t="str">
            <v>probsi</v>
          </cell>
        </row>
        <row r="2793">
          <cell r="B2793" t="b">
            <v>1</v>
          </cell>
          <cell r="E2793" t="str">
            <v>San Pedro y Libertad</v>
          </cell>
          <cell r="H2793" t="str">
            <v>salud_oral</v>
          </cell>
          <cell r="J2793" t="str">
            <v>bueno</v>
          </cell>
          <cell r="K2793" t="str">
            <v>probsi</v>
          </cell>
        </row>
        <row r="2794">
          <cell r="B2794" t="b">
            <v>1</v>
          </cell>
          <cell r="E2794" t="str">
            <v>Pontezuela</v>
          </cell>
          <cell r="H2794" t="str">
            <v>consulta_externa</v>
          </cell>
          <cell r="J2794" t="str">
            <v>bueno</v>
          </cell>
          <cell r="K2794" t="str">
            <v>defsi</v>
          </cell>
        </row>
        <row r="2795">
          <cell r="B2795" t="b">
            <v>1</v>
          </cell>
          <cell r="E2795" t="str">
            <v>Pontezuela</v>
          </cell>
          <cell r="H2795" t="str">
            <v>salud_oral</v>
          </cell>
          <cell r="J2795" t="str">
            <v>bueno</v>
          </cell>
          <cell r="K2795" t="str">
            <v>defsi</v>
          </cell>
        </row>
        <row r="2796">
          <cell r="B2796" t="b">
            <v>1</v>
          </cell>
          <cell r="E2796" t="str">
            <v>Pontezuela</v>
          </cell>
          <cell r="H2796" t="str">
            <v>consulta_externa</v>
          </cell>
          <cell r="J2796" t="str">
            <v>bueno</v>
          </cell>
          <cell r="K2796" t="str">
            <v>defsi</v>
          </cell>
        </row>
        <row r="2797">
          <cell r="B2797" t="b">
            <v>1</v>
          </cell>
          <cell r="E2797" t="str">
            <v>Pontezuela</v>
          </cell>
          <cell r="H2797" t="str">
            <v>salud_oral</v>
          </cell>
          <cell r="J2797" t="str">
            <v>bueno</v>
          </cell>
          <cell r="K2797" t="str">
            <v>defsi</v>
          </cell>
        </row>
        <row r="2798">
          <cell r="B2798" t="b">
            <v>1</v>
          </cell>
          <cell r="E2798" t="str">
            <v>Pontezuela</v>
          </cell>
          <cell r="H2798" t="str">
            <v>consulta_externa</v>
          </cell>
          <cell r="J2798" t="str">
            <v>bueno</v>
          </cell>
          <cell r="K2798" t="str">
            <v>defsi</v>
          </cell>
        </row>
        <row r="2799">
          <cell r="B2799" t="b">
            <v>1</v>
          </cell>
          <cell r="E2799" t="str">
            <v>Pontezuela</v>
          </cell>
          <cell r="H2799" t="str">
            <v>salud_oral</v>
          </cell>
          <cell r="J2799" t="str">
            <v>bueno</v>
          </cell>
          <cell r="K2799" t="str">
            <v>defsi</v>
          </cell>
        </row>
        <row r="2800">
          <cell r="B2800" t="b">
            <v>1</v>
          </cell>
          <cell r="E2800" t="str">
            <v>Pontezuela</v>
          </cell>
          <cell r="H2800" t="str">
            <v>consulta_externa</v>
          </cell>
          <cell r="J2800" t="str">
            <v>bueno</v>
          </cell>
          <cell r="K2800" t="str">
            <v>defsi</v>
          </cell>
        </row>
        <row r="2801">
          <cell r="B2801" t="b">
            <v>1</v>
          </cell>
          <cell r="E2801" t="str">
            <v>Pontezuela</v>
          </cell>
          <cell r="H2801" t="str">
            <v>salud_oral</v>
          </cell>
          <cell r="J2801" t="str">
            <v>bueno</v>
          </cell>
          <cell r="K2801" t="str">
            <v>defsi</v>
          </cell>
        </row>
        <row r="2802">
          <cell r="B2802" t="b">
            <v>1</v>
          </cell>
          <cell r="E2802" t="str">
            <v>Pontezuela</v>
          </cell>
          <cell r="H2802" t="str">
            <v>consulta_externa</v>
          </cell>
          <cell r="J2802" t="str">
            <v>bueno</v>
          </cell>
          <cell r="K2802" t="str">
            <v>defsi</v>
          </cell>
        </row>
        <row r="2803">
          <cell r="B2803" t="b">
            <v>1</v>
          </cell>
          <cell r="E2803" t="str">
            <v>Pontezuela</v>
          </cell>
          <cell r="H2803" t="str">
            <v>salud_oral</v>
          </cell>
          <cell r="J2803" t="str">
            <v>bueno</v>
          </cell>
          <cell r="K2803" t="str">
            <v>defsi</v>
          </cell>
        </row>
        <row r="2804">
          <cell r="B2804" t="b">
            <v>1</v>
          </cell>
          <cell r="E2804" t="str">
            <v>Pontezuela</v>
          </cell>
          <cell r="H2804" t="str">
            <v>consulta_externa</v>
          </cell>
          <cell r="J2804" t="str">
            <v>bueno</v>
          </cell>
          <cell r="K2804" t="str">
            <v>defsi</v>
          </cell>
        </row>
        <row r="2805">
          <cell r="B2805" t="b">
            <v>1</v>
          </cell>
          <cell r="E2805" t="str">
            <v>Pontezuela</v>
          </cell>
          <cell r="H2805" t="str">
            <v>salud_oral</v>
          </cell>
          <cell r="J2805" t="str">
            <v>bueno</v>
          </cell>
          <cell r="K2805" t="str">
            <v>defsi</v>
          </cell>
        </row>
        <row r="2806">
          <cell r="B2806" t="b">
            <v>1</v>
          </cell>
          <cell r="E2806" t="str">
            <v>Pontezuela</v>
          </cell>
          <cell r="H2806" t="str">
            <v>consulta_externa</v>
          </cell>
          <cell r="J2806" t="str">
            <v>bueno</v>
          </cell>
          <cell r="K2806" t="str">
            <v>defsi</v>
          </cell>
        </row>
        <row r="2807">
          <cell r="B2807" t="b">
            <v>1</v>
          </cell>
          <cell r="E2807" t="str">
            <v>Pontezuela</v>
          </cell>
          <cell r="H2807" t="str">
            <v>salud_oral</v>
          </cell>
          <cell r="J2807" t="str">
            <v>bueno</v>
          </cell>
          <cell r="K2807" t="str">
            <v>defsi</v>
          </cell>
        </row>
        <row r="2808">
          <cell r="B2808" t="b">
            <v>1</v>
          </cell>
          <cell r="E2808" t="str">
            <v>Pontezuela</v>
          </cell>
          <cell r="H2808" t="str">
            <v>consulta_externa</v>
          </cell>
          <cell r="J2808" t="str">
            <v>bueno</v>
          </cell>
          <cell r="K2808" t="str">
            <v>defsi</v>
          </cell>
        </row>
        <row r="2809">
          <cell r="B2809" t="b">
            <v>1</v>
          </cell>
          <cell r="E2809" t="str">
            <v>Pontezuela</v>
          </cell>
          <cell r="H2809" t="str">
            <v>salud_oral</v>
          </cell>
          <cell r="J2809" t="str">
            <v>bueno</v>
          </cell>
          <cell r="K2809" t="str">
            <v>defsi</v>
          </cell>
        </row>
        <row r="2810">
          <cell r="B2810" t="b">
            <v>0</v>
          </cell>
          <cell r="E2810" t="str">
            <v>Boquilla</v>
          </cell>
          <cell r="H2810" t="str">
            <v>consulta_externa</v>
          </cell>
          <cell r="J2810" t="str">
            <v>regular</v>
          </cell>
          <cell r="K2810" t="str">
            <v>probsi</v>
          </cell>
        </row>
        <row r="2811">
          <cell r="B2811" t="b">
            <v>0</v>
          </cell>
          <cell r="E2811" t="str">
            <v>Boquilla</v>
          </cell>
          <cell r="H2811" t="str">
            <v>laboratorio</v>
          </cell>
          <cell r="J2811" t="str">
            <v>regular</v>
          </cell>
          <cell r="K2811" t="str">
            <v>probsi</v>
          </cell>
        </row>
        <row r="2812">
          <cell r="B2812" t="b">
            <v>0</v>
          </cell>
          <cell r="E2812" t="str">
            <v>Boquilla</v>
          </cell>
          <cell r="H2812" t="str">
            <v>consulta_externa</v>
          </cell>
          <cell r="J2812" t="str">
            <v>regular</v>
          </cell>
          <cell r="K2812" t="str">
            <v>probsi</v>
          </cell>
        </row>
        <row r="2813">
          <cell r="B2813" t="b">
            <v>0</v>
          </cell>
          <cell r="E2813" t="str">
            <v>Boquilla</v>
          </cell>
          <cell r="H2813" t="str">
            <v>laboratorio</v>
          </cell>
          <cell r="J2813" t="str">
            <v>regular</v>
          </cell>
          <cell r="K2813" t="str">
            <v>probsi</v>
          </cell>
        </row>
        <row r="2814">
          <cell r="B2814" t="b">
            <v>1</v>
          </cell>
          <cell r="E2814" t="str">
            <v>Boquilla</v>
          </cell>
          <cell r="H2814" t="str">
            <v>salud_oral</v>
          </cell>
          <cell r="J2814" t="str">
            <v>bueno</v>
          </cell>
          <cell r="K2814" t="str">
            <v>probsi</v>
          </cell>
        </row>
        <row r="2815">
          <cell r="B2815" t="b">
            <v>0</v>
          </cell>
          <cell r="E2815" t="str">
            <v>Boquilla</v>
          </cell>
          <cell r="H2815" t="str">
            <v>consulta_externa</v>
          </cell>
          <cell r="J2815" t="str">
            <v>regular</v>
          </cell>
          <cell r="K2815" t="str">
            <v>probsi</v>
          </cell>
        </row>
        <row r="2816">
          <cell r="B2816" t="b">
            <v>0</v>
          </cell>
          <cell r="E2816" t="str">
            <v>Boquilla</v>
          </cell>
          <cell r="H2816" t="str">
            <v>laboratorio</v>
          </cell>
          <cell r="J2816" t="str">
            <v>regular</v>
          </cell>
          <cell r="K2816" t="str">
            <v>probsi</v>
          </cell>
        </row>
        <row r="2817">
          <cell r="B2817" t="b">
            <v>0</v>
          </cell>
          <cell r="E2817" t="str">
            <v>Boquilla</v>
          </cell>
          <cell r="H2817" t="str">
            <v>consulta_externa</v>
          </cell>
          <cell r="J2817" t="str">
            <v>regular</v>
          </cell>
          <cell r="K2817" t="str">
            <v>probsi</v>
          </cell>
        </row>
        <row r="2818">
          <cell r="B2818" t="b">
            <v>0</v>
          </cell>
          <cell r="E2818" t="str">
            <v>Boquilla</v>
          </cell>
          <cell r="H2818" t="str">
            <v>laboratorio</v>
          </cell>
          <cell r="J2818" t="str">
            <v>regular</v>
          </cell>
          <cell r="K2818" t="str">
            <v>probsi</v>
          </cell>
        </row>
        <row r="2819">
          <cell r="B2819" t="b">
            <v>1</v>
          </cell>
          <cell r="E2819" t="str">
            <v>Boquilla</v>
          </cell>
          <cell r="H2819" t="str">
            <v>urgencia</v>
          </cell>
          <cell r="J2819" t="str">
            <v>bueno</v>
          </cell>
          <cell r="K2819" t="str">
            <v>probsi</v>
          </cell>
        </row>
        <row r="2820">
          <cell r="B2820" t="b">
            <v>1</v>
          </cell>
          <cell r="E2820" t="str">
            <v>Boquilla</v>
          </cell>
          <cell r="H2820" t="str">
            <v>salud_oral</v>
          </cell>
          <cell r="J2820" t="str">
            <v>bueno</v>
          </cell>
          <cell r="K2820" t="str">
            <v>probsi</v>
          </cell>
        </row>
        <row r="2821">
          <cell r="B2821" t="b">
            <v>1</v>
          </cell>
          <cell r="E2821" t="str">
            <v>Boquilla</v>
          </cell>
          <cell r="H2821" t="str">
            <v>consulta_externa</v>
          </cell>
          <cell r="J2821" t="str">
            <v>bueno</v>
          </cell>
          <cell r="K2821" t="str">
            <v>probsi</v>
          </cell>
        </row>
        <row r="2822">
          <cell r="B2822" t="b">
            <v>1</v>
          </cell>
          <cell r="E2822" t="str">
            <v>Boquilla</v>
          </cell>
          <cell r="H2822" t="str">
            <v>consulta_externa</v>
          </cell>
          <cell r="J2822" t="str">
            <v>bueno</v>
          </cell>
          <cell r="K2822" t="str">
            <v>probsi</v>
          </cell>
        </row>
        <row r="2823">
          <cell r="B2823" t="b">
            <v>1</v>
          </cell>
          <cell r="E2823" t="str">
            <v>Boquilla</v>
          </cell>
          <cell r="H2823" t="str">
            <v>consulta_externa</v>
          </cell>
          <cell r="J2823" t="str">
            <v>bueno</v>
          </cell>
          <cell r="K2823" t="str">
            <v>probsi</v>
          </cell>
        </row>
        <row r="2824">
          <cell r="B2824" t="b">
            <v>1</v>
          </cell>
          <cell r="E2824" t="str">
            <v>Boquilla</v>
          </cell>
          <cell r="H2824" t="str">
            <v>salud_oral</v>
          </cell>
          <cell r="J2824" t="str">
            <v>bueno</v>
          </cell>
          <cell r="K2824" t="str">
            <v>probsi</v>
          </cell>
        </row>
        <row r="2825">
          <cell r="B2825" t="b">
            <v>1</v>
          </cell>
          <cell r="E2825" t="str">
            <v>Boquilla</v>
          </cell>
          <cell r="H2825" t="str">
            <v>laboratorio</v>
          </cell>
          <cell r="J2825" t="str">
            <v>bueno</v>
          </cell>
          <cell r="K2825" t="str">
            <v>probsi</v>
          </cell>
        </row>
        <row r="2826">
          <cell r="B2826" t="b">
            <v>1</v>
          </cell>
          <cell r="E2826" t="str">
            <v>Boquilla</v>
          </cell>
          <cell r="H2826" t="str">
            <v>consulta_externa</v>
          </cell>
          <cell r="J2826" t="str">
            <v>bueno</v>
          </cell>
          <cell r="K2826" t="str">
            <v>probsi</v>
          </cell>
        </row>
        <row r="2827">
          <cell r="B2827" t="b">
            <v>1</v>
          </cell>
          <cell r="E2827" t="str">
            <v>Boquilla</v>
          </cell>
          <cell r="H2827" t="str">
            <v>laboratorio</v>
          </cell>
          <cell r="J2827" t="str">
            <v>bueno</v>
          </cell>
          <cell r="K2827" t="str">
            <v>probsi</v>
          </cell>
        </row>
        <row r="2828">
          <cell r="B2828" t="b">
            <v>1</v>
          </cell>
          <cell r="E2828" t="str">
            <v>Pontezuela</v>
          </cell>
          <cell r="H2828" t="str">
            <v>consulta_externa</v>
          </cell>
          <cell r="J2828" t="str">
            <v>bueno</v>
          </cell>
          <cell r="K2828" t="str">
            <v>defsi</v>
          </cell>
        </row>
        <row r="2829">
          <cell r="B2829" t="b">
            <v>1</v>
          </cell>
          <cell r="E2829" t="str">
            <v>Pontezuela</v>
          </cell>
          <cell r="H2829" t="str">
            <v>salud_oral</v>
          </cell>
          <cell r="J2829" t="str">
            <v>bueno</v>
          </cell>
          <cell r="K2829" t="str">
            <v>defsi</v>
          </cell>
        </row>
        <row r="2830">
          <cell r="B2830" t="b">
            <v>1</v>
          </cell>
          <cell r="E2830" t="str">
            <v>Pontezuela</v>
          </cell>
          <cell r="H2830" t="str">
            <v>consulta_externa</v>
          </cell>
          <cell r="J2830" t="str">
            <v>bueno</v>
          </cell>
          <cell r="K2830" t="str">
            <v>defsi</v>
          </cell>
        </row>
        <row r="2831">
          <cell r="B2831" t="b">
            <v>1</v>
          </cell>
          <cell r="E2831" t="str">
            <v>Pontezuela</v>
          </cell>
          <cell r="H2831" t="str">
            <v>salud_oral</v>
          </cell>
          <cell r="J2831" t="str">
            <v>bueno</v>
          </cell>
          <cell r="K2831" t="str">
            <v>defsi</v>
          </cell>
        </row>
        <row r="2832">
          <cell r="B2832" t="b">
            <v>1</v>
          </cell>
          <cell r="E2832" t="str">
            <v>Boquilla</v>
          </cell>
          <cell r="H2832" t="str">
            <v>consulta_externa</v>
          </cell>
          <cell r="J2832" t="str">
            <v>bueno</v>
          </cell>
          <cell r="K2832" t="str">
            <v>probsi</v>
          </cell>
        </row>
        <row r="2833">
          <cell r="B2833" t="b">
            <v>1</v>
          </cell>
          <cell r="E2833" t="str">
            <v>Boquilla</v>
          </cell>
          <cell r="H2833" t="str">
            <v>laboratorio</v>
          </cell>
          <cell r="J2833" t="str">
            <v>bueno</v>
          </cell>
          <cell r="K2833" t="str">
            <v>probsi</v>
          </cell>
        </row>
        <row r="2834">
          <cell r="B2834" t="b">
            <v>1</v>
          </cell>
          <cell r="E2834" t="str">
            <v>Boquilla</v>
          </cell>
          <cell r="H2834" t="str">
            <v>consulta_externa</v>
          </cell>
          <cell r="J2834" t="str">
            <v>bueno</v>
          </cell>
          <cell r="K2834" t="str">
            <v>probsi</v>
          </cell>
        </row>
        <row r="2835">
          <cell r="B2835" t="b">
            <v>1</v>
          </cell>
          <cell r="E2835" t="str">
            <v>Boquilla</v>
          </cell>
          <cell r="H2835" t="str">
            <v>consulta_externa</v>
          </cell>
          <cell r="J2835" t="str">
            <v>bueno</v>
          </cell>
          <cell r="K2835" t="str">
            <v>probsi</v>
          </cell>
        </row>
        <row r="2836">
          <cell r="B2836" t="b">
            <v>1</v>
          </cell>
          <cell r="E2836" t="str">
            <v>Boquilla</v>
          </cell>
          <cell r="H2836" t="str">
            <v>salud_oral</v>
          </cell>
          <cell r="J2836" t="str">
            <v>bueno</v>
          </cell>
          <cell r="K2836" t="str">
            <v>probsi</v>
          </cell>
        </row>
        <row r="2837">
          <cell r="B2837" t="b">
            <v>1</v>
          </cell>
          <cell r="E2837" t="str">
            <v>Boquilla</v>
          </cell>
          <cell r="H2837" t="str">
            <v>laboratorio</v>
          </cell>
          <cell r="J2837" t="str">
            <v>bueno</v>
          </cell>
          <cell r="K2837" t="str">
            <v>probsi</v>
          </cell>
        </row>
        <row r="2838">
          <cell r="B2838" t="b">
            <v>1</v>
          </cell>
          <cell r="E2838" t="str">
            <v>Boquilla</v>
          </cell>
          <cell r="H2838" t="str">
            <v>salud_oral</v>
          </cell>
          <cell r="J2838" t="str">
            <v>bueno</v>
          </cell>
          <cell r="K2838" t="str">
            <v>probsi</v>
          </cell>
        </row>
        <row r="2839">
          <cell r="B2839" t="b">
            <v>0</v>
          </cell>
          <cell r="E2839" t="str">
            <v>Boquilla</v>
          </cell>
          <cell r="H2839" t="str">
            <v>urgencia</v>
          </cell>
          <cell r="J2839" t="str">
            <v>malo</v>
          </cell>
          <cell r="K2839" t="str">
            <v>probno</v>
          </cell>
        </row>
        <row r="2840">
          <cell r="B2840" t="b">
            <v>1</v>
          </cell>
          <cell r="E2840" t="str">
            <v>Boquilla</v>
          </cell>
          <cell r="H2840" t="str">
            <v>salud_oral</v>
          </cell>
          <cell r="J2840" t="str">
            <v>bueno</v>
          </cell>
          <cell r="K2840" t="str">
            <v>probsi</v>
          </cell>
        </row>
        <row r="2841">
          <cell r="B2841" t="b">
            <v>1</v>
          </cell>
          <cell r="E2841" t="str">
            <v>Boquilla</v>
          </cell>
          <cell r="H2841" t="str">
            <v>laboratorio</v>
          </cell>
          <cell r="J2841" t="str">
            <v>bueno</v>
          </cell>
          <cell r="K2841" t="str">
            <v>probsi</v>
          </cell>
        </row>
        <row r="2842">
          <cell r="B2842" t="b">
            <v>1</v>
          </cell>
          <cell r="E2842" t="str">
            <v>Pontezuela</v>
          </cell>
          <cell r="H2842" t="str">
            <v>consulta_externa</v>
          </cell>
          <cell r="J2842" t="str">
            <v>bueno</v>
          </cell>
          <cell r="K2842" t="str">
            <v>defsi</v>
          </cell>
        </row>
        <row r="2843">
          <cell r="B2843" t="b">
            <v>0</v>
          </cell>
          <cell r="E2843" t="str">
            <v>Boquilla</v>
          </cell>
          <cell r="H2843" t="str">
            <v>urgencia</v>
          </cell>
          <cell r="J2843" t="str">
            <v>malo</v>
          </cell>
          <cell r="K2843" t="str">
            <v>probno</v>
          </cell>
        </row>
        <row r="2844">
          <cell r="B2844" t="b">
            <v>1</v>
          </cell>
          <cell r="E2844" t="str">
            <v>Pontezuela</v>
          </cell>
          <cell r="H2844" t="str">
            <v>salud_oral</v>
          </cell>
          <cell r="J2844" t="str">
            <v>bueno</v>
          </cell>
          <cell r="K2844" t="str">
            <v>defsi</v>
          </cell>
        </row>
        <row r="2845">
          <cell r="B2845" t="b">
            <v>0</v>
          </cell>
          <cell r="E2845" t="str">
            <v>Boquilla</v>
          </cell>
          <cell r="H2845" t="str">
            <v>consulta_externa</v>
          </cell>
          <cell r="J2845" t="str">
            <v>regular</v>
          </cell>
          <cell r="K2845" t="str">
            <v>probsi</v>
          </cell>
        </row>
        <row r="2846">
          <cell r="B2846" t="b">
            <v>0</v>
          </cell>
          <cell r="E2846" t="str">
            <v>Boquilla</v>
          </cell>
          <cell r="H2846" t="str">
            <v>salud_oral</v>
          </cell>
          <cell r="J2846" t="str">
            <v>regular</v>
          </cell>
          <cell r="K2846" t="str">
            <v>probsi</v>
          </cell>
        </row>
        <row r="2847">
          <cell r="B2847" t="b">
            <v>0</v>
          </cell>
          <cell r="E2847" t="str">
            <v>Boquilla</v>
          </cell>
          <cell r="H2847" t="str">
            <v>consulta_externa</v>
          </cell>
          <cell r="J2847" t="str">
            <v>malo</v>
          </cell>
          <cell r="K2847" t="str">
            <v>probno</v>
          </cell>
        </row>
        <row r="2848">
          <cell r="B2848" t="b">
            <v>0</v>
          </cell>
          <cell r="E2848" t="str">
            <v>Boquilla</v>
          </cell>
          <cell r="H2848" t="str">
            <v>urgencia</v>
          </cell>
          <cell r="J2848" t="str">
            <v>malo</v>
          </cell>
          <cell r="K2848" t="str">
            <v>probno</v>
          </cell>
        </row>
        <row r="2849">
          <cell r="B2849" t="b">
            <v>0</v>
          </cell>
          <cell r="E2849" t="str">
            <v>Boquilla</v>
          </cell>
          <cell r="H2849" t="str">
            <v>salud_oral</v>
          </cell>
          <cell r="J2849" t="str">
            <v>malo</v>
          </cell>
          <cell r="K2849" t="str">
            <v>probno</v>
          </cell>
        </row>
        <row r="2850">
          <cell r="B2850" t="b">
            <v>1</v>
          </cell>
          <cell r="E2850" t="str">
            <v>Pontezuela</v>
          </cell>
          <cell r="H2850" t="str">
            <v>consulta_externa</v>
          </cell>
          <cell r="J2850" t="str">
            <v>bueno</v>
          </cell>
          <cell r="K2850" t="str">
            <v>defsi</v>
          </cell>
        </row>
        <row r="2851">
          <cell r="B2851" t="b">
            <v>1</v>
          </cell>
          <cell r="E2851" t="str">
            <v>Pontezuela</v>
          </cell>
          <cell r="H2851" t="str">
            <v>salud_oral</v>
          </cell>
          <cell r="J2851" t="str">
            <v>bueno</v>
          </cell>
          <cell r="K2851" t="str">
            <v>defsi</v>
          </cell>
        </row>
        <row r="2852">
          <cell r="B2852" t="b">
            <v>1</v>
          </cell>
          <cell r="E2852" t="str">
            <v>Pontezuela</v>
          </cell>
          <cell r="H2852" t="str">
            <v>salud_oral</v>
          </cell>
          <cell r="J2852" t="str">
            <v>bueno</v>
          </cell>
          <cell r="K2852" t="str">
            <v>defsi</v>
          </cell>
        </row>
        <row r="2853">
          <cell r="B2853" t="b">
            <v>1</v>
          </cell>
          <cell r="E2853" t="str">
            <v>Pontezuela</v>
          </cell>
          <cell r="H2853" t="str">
            <v>salud_oral</v>
          </cell>
          <cell r="J2853" t="str">
            <v>bueno</v>
          </cell>
          <cell r="K2853" t="str">
            <v>defno</v>
          </cell>
        </row>
        <row r="2854">
          <cell r="B2854" t="b">
            <v>1</v>
          </cell>
          <cell r="E2854" t="str">
            <v>Pontezuela</v>
          </cell>
          <cell r="H2854" t="str">
            <v>salud_oral</v>
          </cell>
          <cell r="J2854" t="str">
            <v>bueno</v>
          </cell>
          <cell r="K2854" t="str">
            <v>defno</v>
          </cell>
        </row>
        <row r="2855">
          <cell r="B2855" t="b">
            <v>1</v>
          </cell>
          <cell r="E2855" t="str">
            <v>Pontezuela</v>
          </cell>
          <cell r="H2855" t="str">
            <v>salud_oral</v>
          </cell>
          <cell r="J2855" t="str">
            <v>bueno</v>
          </cell>
          <cell r="K2855" t="str">
            <v>defno</v>
          </cell>
        </row>
        <row r="2856">
          <cell r="B2856" t="b">
            <v>1</v>
          </cell>
          <cell r="E2856" t="str">
            <v>Boquilla</v>
          </cell>
          <cell r="H2856" t="str">
            <v>urgencia</v>
          </cell>
          <cell r="J2856" t="str">
            <v>bueno</v>
          </cell>
          <cell r="K2856" t="str">
            <v>probsi</v>
          </cell>
        </row>
        <row r="2857">
          <cell r="B2857" t="b">
            <v>0</v>
          </cell>
          <cell r="E2857" t="str">
            <v>Boquilla</v>
          </cell>
          <cell r="H2857" t="str">
            <v>urgencia</v>
          </cell>
          <cell r="J2857" t="str">
            <v>regular</v>
          </cell>
          <cell r="K2857" t="str">
            <v>probsi</v>
          </cell>
        </row>
        <row r="2858">
          <cell r="B2858" t="b">
            <v>0</v>
          </cell>
          <cell r="E2858" t="str">
            <v>Boquilla</v>
          </cell>
          <cell r="H2858" t="str">
            <v>salud_oral</v>
          </cell>
          <cell r="J2858" t="str">
            <v>regular</v>
          </cell>
          <cell r="K2858" t="str">
            <v>probsi</v>
          </cell>
        </row>
        <row r="2859">
          <cell r="B2859" t="b">
            <v>1</v>
          </cell>
          <cell r="E2859" t="str">
            <v>Pontezuela</v>
          </cell>
          <cell r="H2859" t="str">
            <v>consulta_externa</v>
          </cell>
          <cell r="J2859" t="str">
            <v>bueno</v>
          </cell>
          <cell r="K2859" t="str">
            <v>defsi</v>
          </cell>
        </row>
        <row r="2860">
          <cell r="B2860" t="b">
            <v>1</v>
          </cell>
          <cell r="E2860" t="str">
            <v>Pontezuela</v>
          </cell>
          <cell r="H2860" t="str">
            <v>consulta_externa</v>
          </cell>
          <cell r="J2860" t="str">
            <v>bueno</v>
          </cell>
          <cell r="K2860" t="str">
            <v>defsi</v>
          </cell>
        </row>
        <row r="2861">
          <cell r="B2861" t="b">
            <v>1</v>
          </cell>
          <cell r="E2861" t="str">
            <v>Pontezuela</v>
          </cell>
          <cell r="H2861" t="str">
            <v>consulta_externa</v>
          </cell>
          <cell r="J2861" t="str">
            <v>bueno</v>
          </cell>
          <cell r="K2861" t="str">
            <v>defsi</v>
          </cell>
        </row>
        <row r="2862">
          <cell r="B2862" t="b">
            <v>0</v>
          </cell>
          <cell r="E2862" t="str">
            <v>Boquilla</v>
          </cell>
          <cell r="H2862" t="str">
            <v>salud_oral</v>
          </cell>
          <cell r="J2862" t="str">
            <v>regular</v>
          </cell>
          <cell r="K2862" t="str">
            <v>probsi</v>
          </cell>
        </row>
        <row r="2863">
          <cell r="B2863" t="b">
            <v>0</v>
          </cell>
          <cell r="E2863" t="str">
            <v>Boquilla</v>
          </cell>
          <cell r="H2863" t="str">
            <v>salud_oral</v>
          </cell>
          <cell r="J2863" t="str">
            <v>regular</v>
          </cell>
          <cell r="K2863" t="str">
            <v>probsi</v>
          </cell>
        </row>
        <row r="2864">
          <cell r="B2864" t="b">
            <v>1</v>
          </cell>
          <cell r="E2864" t="str">
            <v>Boquilla</v>
          </cell>
          <cell r="H2864" t="str">
            <v>salud_oral</v>
          </cell>
          <cell r="J2864" t="str">
            <v>bueno</v>
          </cell>
          <cell r="K2864" t="str">
            <v>probsi</v>
          </cell>
        </row>
        <row r="2865">
          <cell r="B2865" t="b">
            <v>1</v>
          </cell>
          <cell r="E2865" t="str">
            <v>Blasdelezo</v>
          </cell>
          <cell r="H2865" t="str">
            <v>consulta_externa</v>
          </cell>
          <cell r="J2865" t="str">
            <v>bueno</v>
          </cell>
          <cell r="K2865" t="str">
            <v>defsi</v>
          </cell>
        </row>
        <row r="2866">
          <cell r="B2866" t="b">
            <v>1</v>
          </cell>
          <cell r="E2866" t="str">
            <v>Boquilla</v>
          </cell>
          <cell r="H2866" t="str">
            <v>laboratorio</v>
          </cell>
          <cell r="J2866" t="str">
            <v>bueno</v>
          </cell>
          <cell r="K2866" t="str">
            <v>probsi</v>
          </cell>
        </row>
        <row r="2867">
          <cell r="B2867" t="b">
            <v>1</v>
          </cell>
          <cell r="E2867" t="str">
            <v>Boquilla</v>
          </cell>
          <cell r="H2867" t="str">
            <v>laboratorio</v>
          </cell>
          <cell r="J2867" t="str">
            <v>bueno</v>
          </cell>
          <cell r="K2867" t="str">
            <v>probsi</v>
          </cell>
        </row>
        <row r="2868">
          <cell r="B2868" t="b">
            <v>1</v>
          </cell>
          <cell r="E2868" t="str">
            <v>Boquilla</v>
          </cell>
          <cell r="H2868" t="str">
            <v>laboratorio</v>
          </cell>
          <cell r="J2868" t="str">
            <v>bueno</v>
          </cell>
          <cell r="K2868" t="str">
            <v>probsi</v>
          </cell>
        </row>
        <row r="2869">
          <cell r="B2869" t="b">
            <v>1</v>
          </cell>
          <cell r="E2869" t="str">
            <v>Blasdelezo</v>
          </cell>
          <cell r="H2869" t="str">
            <v>laboratorio</v>
          </cell>
          <cell r="J2869" t="str">
            <v>bueno</v>
          </cell>
          <cell r="K2869" t="str">
            <v>defsi</v>
          </cell>
        </row>
        <row r="2870">
          <cell r="B2870" t="b">
            <v>1</v>
          </cell>
          <cell r="E2870" t="str">
            <v>Boquilla</v>
          </cell>
          <cell r="H2870" t="str">
            <v>laboratorio</v>
          </cell>
          <cell r="J2870" t="str">
            <v>bueno</v>
          </cell>
          <cell r="K2870" t="str">
            <v>probsi</v>
          </cell>
        </row>
        <row r="2871">
          <cell r="B2871" t="b">
            <v>1</v>
          </cell>
          <cell r="E2871" t="str">
            <v>Boquilla</v>
          </cell>
          <cell r="H2871" t="str">
            <v>laboratorio</v>
          </cell>
          <cell r="J2871" t="str">
            <v>bueno</v>
          </cell>
          <cell r="K2871" t="str">
            <v>probsi</v>
          </cell>
        </row>
        <row r="2872">
          <cell r="B2872" t="b">
            <v>0</v>
          </cell>
          <cell r="E2872" t="str">
            <v>Boquilla</v>
          </cell>
          <cell r="H2872" t="str">
            <v>urgencia</v>
          </cell>
          <cell r="J2872" t="str">
            <v>regular</v>
          </cell>
          <cell r="K2872" t="str">
            <v>probsi</v>
          </cell>
        </row>
        <row r="2873">
          <cell r="B2873" t="b">
            <v>0</v>
          </cell>
          <cell r="E2873" t="str">
            <v>Boquilla</v>
          </cell>
          <cell r="H2873" t="str">
            <v>urgencia</v>
          </cell>
          <cell r="J2873" t="str">
            <v>regular</v>
          </cell>
          <cell r="K2873" t="str">
            <v>probsi</v>
          </cell>
        </row>
        <row r="2874">
          <cell r="B2874" t="b">
            <v>1</v>
          </cell>
          <cell r="E2874" t="str">
            <v>Boquilla</v>
          </cell>
          <cell r="H2874" t="str">
            <v>urgencia</v>
          </cell>
          <cell r="J2874" t="str">
            <v>bueno</v>
          </cell>
          <cell r="K2874" t="str">
            <v>probsi</v>
          </cell>
        </row>
        <row r="2875">
          <cell r="B2875" t="b">
            <v>1</v>
          </cell>
          <cell r="E2875" t="str">
            <v>Boquilla</v>
          </cell>
          <cell r="H2875" t="str">
            <v>urgencia</v>
          </cell>
          <cell r="J2875" t="str">
            <v>bueno</v>
          </cell>
          <cell r="K2875" t="str">
            <v>probsi</v>
          </cell>
        </row>
        <row r="2876">
          <cell r="B2876" t="b">
            <v>1</v>
          </cell>
          <cell r="E2876" t="str">
            <v>Boquilla</v>
          </cell>
          <cell r="H2876" t="str">
            <v>urgencia</v>
          </cell>
          <cell r="J2876" t="str">
            <v>bueno</v>
          </cell>
          <cell r="K2876" t="str">
            <v>probsi</v>
          </cell>
        </row>
        <row r="2877">
          <cell r="B2877" t="b">
            <v>0</v>
          </cell>
          <cell r="E2877" t="str">
            <v>Boquilla</v>
          </cell>
          <cell r="H2877" t="str">
            <v>urgencia</v>
          </cell>
          <cell r="J2877" t="str">
            <v>regular</v>
          </cell>
          <cell r="K2877" t="str">
            <v>probsi</v>
          </cell>
        </row>
        <row r="2878">
          <cell r="B2878" t="b">
            <v>1</v>
          </cell>
          <cell r="E2878" t="str">
            <v>Blasdelezo</v>
          </cell>
          <cell r="H2878" t="str">
            <v>laboratorio</v>
          </cell>
          <cell r="J2878" t="str">
            <v>bueno</v>
          </cell>
          <cell r="K2878" t="str">
            <v>defsi</v>
          </cell>
        </row>
        <row r="2879">
          <cell r="B2879" t="b">
            <v>1</v>
          </cell>
          <cell r="E2879" t="str">
            <v>Blasdelezo</v>
          </cell>
          <cell r="H2879" t="str">
            <v>consulta_externa</v>
          </cell>
          <cell r="J2879" t="str">
            <v>bueno</v>
          </cell>
          <cell r="K2879" t="str">
            <v>defsi</v>
          </cell>
        </row>
        <row r="2880">
          <cell r="B2880" t="b">
            <v>1</v>
          </cell>
          <cell r="E2880" t="str">
            <v>Blasdelezo</v>
          </cell>
          <cell r="H2880" t="str">
            <v>laboratorio</v>
          </cell>
          <cell r="J2880" t="str">
            <v>bueno</v>
          </cell>
          <cell r="K2880" t="str">
            <v>defsi</v>
          </cell>
        </row>
        <row r="2881">
          <cell r="B2881" t="b">
            <v>0</v>
          </cell>
          <cell r="E2881" t="str">
            <v>Blasdelezo</v>
          </cell>
          <cell r="H2881" t="str">
            <v>consulta_externa</v>
          </cell>
          <cell r="J2881" t="str">
            <v>regular</v>
          </cell>
          <cell r="K2881" t="str">
            <v>defno</v>
          </cell>
        </row>
        <row r="2882">
          <cell r="B2882" t="b">
            <v>1</v>
          </cell>
          <cell r="E2882" t="str">
            <v>Blasdelezo</v>
          </cell>
          <cell r="H2882" t="str">
            <v>consulta_externa</v>
          </cell>
          <cell r="J2882" t="str">
            <v>bueno</v>
          </cell>
          <cell r="K2882" t="str">
            <v>defsi</v>
          </cell>
        </row>
        <row r="2883">
          <cell r="B2883" t="b">
            <v>1</v>
          </cell>
          <cell r="E2883" t="str">
            <v>Blasdelezo</v>
          </cell>
          <cell r="H2883" t="str">
            <v>laboratorio</v>
          </cell>
          <cell r="J2883" t="str">
            <v>bueno</v>
          </cell>
          <cell r="K2883" t="str">
            <v>defsi</v>
          </cell>
        </row>
        <row r="2884">
          <cell r="B2884" t="b">
            <v>0</v>
          </cell>
          <cell r="E2884" t="str">
            <v>Blasdelezo</v>
          </cell>
          <cell r="H2884" t="str">
            <v>consulta_externa</v>
          </cell>
          <cell r="J2884" t="str">
            <v>regular</v>
          </cell>
          <cell r="K2884" t="str">
            <v>defsi</v>
          </cell>
        </row>
        <row r="2885">
          <cell r="B2885" t="b">
            <v>1</v>
          </cell>
          <cell r="E2885" t="str">
            <v>Blasdelezo</v>
          </cell>
          <cell r="H2885" t="str">
            <v>laboratorio</v>
          </cell>
          <cell r="J2885" t="str">
            <v>bueno</v>
          </cell>
          <cell r="K2885" t="str">
            <v>defsi</v>
          </cell>
        </row>
        <row r="2886">
          <cell r="B2886" t="b">
            <v>0</v>
          </cell>
          <cell r="E2886" t="str">
            <v>Blasdelezo</v>
          </cell>
          <cell r="H2886" t="str">
            <v>laboratorio</v>
          </cell>
          <cell r="J2886" t="str">
            <v>regular</v>
          </cell>
          <cell r="K2886" t="str">
            <v>probno</v>
          </cell>
        </row>
        <row r="2887">
          <cell r="B2887" t="b">
            <v>1</v>
          </cell>
          <cell r="E2887" t="str">
            <v>Blasdelezo</v>
          </cell>
          <cell r="H2887" t="str">
            <v>consulta_externa</v>
          </cell>
          <cell r="J2887" t="str">
            <v>bueno</v>
          </cell>
          <cell r="K2887" t="str">
            <v>defsi</v>
          </cell>
        </row>
        <row r="2888">
          <cell r="B2888" t="b">
            <v>1</v>
          </cell>
          <cell r="E2888" t="str">
            <v>Blasdelezo</v>
          </cell>
          <cell r="H2888" t="str">
            <v>laboratorio</v>
          </cell>
          <cell r="J2888" t="str">
            <v>bueno</v>
          </cell>
          <cell r="K2888" t="str">
            <v>defsi</v>
          </cell>
        </row>
        <row r="2889">
          <cell r="B2889" t="b">
            <v>1</v>
          </cell>
          <cell r="E2889" t="str">
            <v>Blasdelezo</v>
          </cell>
          <cell r="H2889" t="str">
            <v>consulta_externa</v>
          </cell>
          <cell r="J2889" t="str">
            <v>bueno</v>
          </cell>
          <cell r="K2889" t="str">
            <v>defsi</v>
          </cell>
        </row>
        <row r="2890">
          <cell r="B2890" t="b">
            <v>1</v>
          </cell>
          <cell r="E2890" t="str">
            <v>Blasdelezo</v>
          </cell>
          <cell r="H2890" t="str">
            <v>consulta_externa</v>
          </cell>
          <cell r="J2890" t="str">
            <v>bueno</v>
          </cell>
          <cell r="K2890" t="str">
            <v>defsi</v>
          </cell>
        </row>
        <row r="2891">
          <cell r="B2891" t="b">
            <v>1</v>
          </cell>
          <cell r="E2891" t="str">
            <v>Manzanillo</v>
          </cell>
          <cell r="H2891" t="str">
            <v>consulta_externa</v>
          </cell>
          <cell r="J2891" t="str">
            <v>bueno</v>
          </cell>
          <cell r="K2891" t="str">
            <v>probsi</v>
          </cell>
        </row>
        <row r="2892">
          <cell r="B2892" t="b">
            <v>1</v>
          </cell>
          <cell r="E2892" t="str">
            <v>Manzanillo</v>
          </cell>
          <cell r="H2892" t="str">
            <v>consulta_externa</v>
          </cell>
          <cell r="J2892" t="str">
            <v>bueno</v>
          </cell>
          <cell r="K2892" t="str">
            <v>probsi</v>
          </cell>
        </row>
        <row r="2893">
          <cell r="B2893" t="b">
            <v>1</v>
          </cell>
          <cell r="E2893" t="str">
            <v>Manzanillo</v>
          </cell>
          <cell r="H2893" t="str">
            <v>consulta_externa</v>
          </cell>
          <cell r="J2893" t="str">
            <v>bueno</v>
          </cell>
          <cell r="K2893" t="str">
            <v>probsi</v>
          </cell>
        </row>
        <row r="2894">
          <cell r="B2894" t="b">
            <v>1</v>
          </cell>
          <cell r="E2894" t="str">
            <v>Manzanillo</v>
          </cell>
          <cell r="H2894" t="str">
            <v>consulta_externa</v>
          </cell>
          <cell r="J2894" t="str">
            <v>bueno</v>
          </cell>
          <cell r="K2894" t="str">
            <v>probsi</v>
          </cell>
        </row>
        <row r="2895">
          <cell r="B2895" t="b">
            <v>1</v>
          </cell>
          <cell r="E2895" t="str">
            <v>Manzanillo</v>
          </cell>
          <cell r="H2895" t="str">
            <v>consulta_externa</v>
          </cell>
          <cell r="J2895" t="str">
            <v>bueno</v>
          </cell>
          <cell r="K2895" t="str">
            <v>probsi</v>
          </cell>
        </row>
        <row r="2896">
          <cell r="B2896" t="b">
            <v>1</v>
          </cell>
          <cell r="E2896" t="str">
            <v>Manzanillo</v>
          </cell>
          <cell r="H2896" t="str">
            <v>consulta_externa</v>
          </cell>
          <cell r="J2896" t="str">
            <v>bueno</v>
          </cell>
          <cell r="K2896" t="str">
            <v>probsi</v>
          </cell>
        </row>
        <row r="2897">
          <cell r="B2897" t="b">
            <v>1</v>
          </cell>
          <cell r="E2897" t="str">
            <v>Manzanillo</v>
          </cell>
          <cell r="H2897" t="str">
            <v>consulta_externa</v>
          </cell>
          <cell r="J2897" t="str">
            <v>bueno</v>
          </cell>
          <cell r="K2897" t="str">
            <v>probsi</v>
          </cell>
        </row>
        <row r="2898">
          <cell r="B2898" t="b">
            <v>1</v>
          </cell>
          <cell r="E2898" t="str">
            <v>Manzanillo</v>
          </cell>
          <cell r="H2898" t="str">
            <v>consulta_externa</v>
          </cell>
          <cell r="J2898" t="str">
            <v>bueno</v>
          </cell>
          <cell r="K2898" t="str">
            <v>probsi</v>
          </cell>
        </row>
        <row r="2899">
          <cell r="B2899" t="b">
            <v>1</v>
          </cell>
          <cell r="E2899" t="str">
            <v>Manzanillo</v>
          </cell>
          <cell r="H2899" t="str">
            <v>consulta_externa</v>
          </cell>
          <cell r="J2899" t="str">
            <v>bueno</v>
          </cell>
          <cell r="K2899" t="str">
            <v>probsi</v>
          </cell>
        </row>
        <row r="2900">
          <cell r="B2900" t="b">
            <v>1</v>
          </cell>
          <cell r="E2900" t="str">
            <v>Manzanillo</v>
          </cell>
          <cell r="H2900" t="str">
            <v>consulta_externa</v>
          </cell>
          <cell r="J2900" t="str">
            <v>bueno</v>
          </cell>
          <cell r="K2900" t="str">
            <v>probsi</v>
          </cell>
        </row>
        <row r="2901">
          <cell r="B2901" t="b">
            <v>1</v>
          </cell>
          <cell r="E2901" t="str">
            <v>Arroyo Grande</v>
          </cell>
          <cell r="H2901" t="str">
            <v>consulta_externa</v>
          </cell>
          <cell r="J2901" t="str">
            <v>bueno</v>
          </cell>
          <cell r="K2901" t="str">
            <v>probsi</v>
          </cell>
        </row>
        <row r="2902">
          <cell r="B2902" t="b">
            <v>1</v>
          </cell>
          <cell r="E2902" t="str">
            <v>Arroyo Grande</v>
          </cell>
          <cell r="H2902" t="str">
            <v>consulta_externa</v>
          </cell>
          <cell r="J2902" t="str">
            <v>bueno</v>
          </cell>
          <cell r="K2902" t="str">
            <v>probsi</v>
          </cell>
        </row>
        <row r="2903">
          <cell r="B2903" t="b">
            <v>1</v>
          </cell>
          <cell r="E2903" t="str">
            <v>Arroyo Grande</v>
          </cell>
          <cell r="H2903" t="str">
            <v>consulta_externa</v>
          </cell>
          <cell r="J2903" t="str">
            <v>bueno</v>
          </cell>
          <cell r="K2903" t="str">
            <v>probsi</v>
          </cell>
        </row>
        <row r="2904">
          <cell r="B2904" t="b">
            <v>1</v>
          </cell>
          <cell r="E2904" t="str">
            <v>Arroyo Grande</v>
          </cell>
          <cell r="H2904" t="str">
            <v>consulta_externa</v>
          </cell>
          <cell r="J2904" t="str">
            <v>bueno</v>
          </cell>
          <cell r="K2904" t="str">
            <v>probsi</v>
          </cell>
        </row>
        <row r="2905">
          <cell r="B2905" t="b">
            <v>1</v>
          </cell>
          <cell r="E2905" t="str">
            <v>Arroyo Grande</v>
          </cell>
          <cell r="H2905" t="str">
            <v>consulta_externa</v>
          </cell>
          <cell r="J2905" t="str">
            <v>bueno</v>
          </cell>
          <cell r="K2905" t="str">
            <v>probsi</v>
          </cell>
        </row>
        <row r="2906">
          <cell r="B2906" t="b">
            <v>1</v>
          </cell>
          <cell r="E2906" t="str">
            <v>Arroyo Grande</v>
          </cell>
          <cell r="H2906" t="str">
            <v>consulta_externa</v>
          </cell>
          <cell r="J2906" t="str">
            <v>bueno</v>
          </cell>
          <cell r="K2906" t="str">
            <v>probsi</v>
          </cell>
        </row>
        <row r="2907">
          <cell r="B2907" t="b">
            <v>1</v>
          </cell>
          <cell r="E2907" t="str">
            <v>Arroyo Grande</v>
          </cell>
          <cell r="H2907" t="str">
            <v>consulta_externa</v>
          </cell>
          <cell r="J2907" t="str">
            <v>bueno</v>
          </cell>
          <cell r="K2907" t="str">
            <v>probsi</v>
          </cell>
        </row>
        <row r="2908">
          <cell r="B2908" t="b">
            <v>1</v>
          </cell>
          <cell r="E2908" t="str">
            <v>Arroyo Grande</v>
          </cell>
          <cell r="H2908" t="str">
            <v>salud_oral</v>
          </cell>
          <cell r="J2908" t="str">
            <v>bueno</v>
          </cell>
          <cell r="K2908" t="str">
            <v>probsi</v>
          </cell>
        </row>
        <row r="2909">
          <cell r="B2909" t="b">
            <v>1</v>
          </cell>
          <cell r="E2909" t="str">
            <v>Arroyo Grande</v>
          </cell>
          <cell r="H2909" t="str">
            <v>salud_oral</v>
          </cell>
          <cell r="J2909" t="str">
            <v>bueno</v>
          </cell>
          <cell r="K2909" t="str">
            <v>probsi</v>
          </cell>
        </row>
        <row r="2910">
          <cell r="B2910" t="b">
            <v>1</v>
          </cell>
          <cell r="E2910" t="str">
            <v>Arroyo Grande</v>
          </cell>
          <cell r="H2910" t="str">
            <v>salud_oral</v>
          </cell>
          <cell r="J2910" t="str">
            <v>bueno</v>
          </cell>
          <cell r="K2910" t="str">
            <v>probsi</v>
          </cell>
        </row>
        <row r="2911">
          <cell r="B2911" t="b">
            <v>1</v>
          </cell>
          <cell r="E2911" t="str">
            <v>Arroyo Grande</v>
          </cell>
          <cell r="H2911" t="str">
            <v>salud_oral</v>
          </cell>
          <cell r="J2911" t="str">
            <v>bueno</v>
          </cell>
          <cell r="K2911" t="str">
            <v>probsi</v>
          </cell>
        </row>
        <row r="2912">
          <cell r="B2912" t="b">
            <v>1</v>
          </cell>
          <cell r="E2912" t="str">
            <v>Arroyo Grande</v>
          </cell>
          <cell r="H2912" t="str">
            <v>salud_oral</v>
          </cell>
          <cell r="J2912" t="str">
            <v>bueno</v>
          </cell>
          <cell r="K2912" t="str">
            <v>probsi</v>
          </cell>
        </row>
        <row r="2913">
          <cell r="B2913" t="b">
            <v>1</v>
          </cell>
          <cell r="E2913" t="str">
            <v>Arroyo Grande</v>
          </cell>
          <cell r="H2913" t="str">
            <v>salud_oral</v>
          </cell>
          <cell r="J2913" t="str">
            <v>bueno</v>
          </cell>
          <cell r="K2913" t="str">
            <v>probsi</v>
          </cell>
        </row>
        <row r="2914">
          <cell r="B2914" t="b">
            <v>1</v>
          </cell>
          <cell r="E2914" t="str">
            <v>Arroyo Grande</v>
          </cell>
          <cell r="H2914" t="str">
            <v>salud_oral</v>
          </cell>
          <cell r="J2914" t="str">
            <v>bueno</v>
          </cell>
          <cell r="K2914" t="str">
            <v>probsi</v>
          </cell>
        </row>
        <row r="2915">
          <cell r="B2915" t="b">
            <v>1</v>
          </cell>
          <cell r="E2915" t="str">
            <v>Arroyo Grande</v>
          </cell>
          <cell r="H2915" t="str">
            <v>salud_oral</v>
          </cell>
          <cell r="J2915" t="str">
            <v>bueno</v>
          </cell>
          <cell r="K2915" t="str">
            <v>probsi</v>
          </cell>
        </row>
        <row r="2916">
          <cell r="B2916" t="b">
            <v>1</v>
          </cell>
          <cell r="E2916" t="str">
            <v>Arroyo Grande</v>
          </cell>
          <cell r="H2916" t="str">
            <v>salud_oral</v>
          </cell>
          <cell r="J2916" t="str">
            <v>bueno</v>
          </cell>
          <cell r="K2916" t="str">
            <v>probsi</v>
          </cell>
        </row>
        <row r="2917">
          <cell r="B2917" t="b">
            <v>1</v>
          </cell>
          <cell r="E2917" t="str">
            <v>Arroyo Grande</v>
          </cell>
          <cell r="H2917" t="str">
            <v>salud_oral</v>
          </cell>
          <cell r="J2917" t="str">
            <v>bueno</v>
          </cell>
          <cell r="K2917" t="str">
            <v>probsi</v>
          </cell>
        </row>
        <row r="2918">
          <cell r="B2918" t="b">
            <v>1</v>
          </cell>
          <cell r="E2918" t="str">
            <v>Arroyo Grande</v>
          </cell>
          <cell r="H2918" t="str">
            <v>salud_oral</v>
          </cell>
          <cell r="J2918" t="str">
            <v>bueno</v>
          </cell>
          <cell r="K2918" t="str">
            <v>probsi</v>
          </cell>
        </row>
        <row r="2919">
          <cell r="B2919" t="b">
            <v>1</v>
          </cell>
          <cell r="E2919" t="str">
            <v>Arroyo Grande</v>
          </cell>
          <cell r="H2919" t="str">
            <v>laboratorio</v>
          </cell>
          <cell r="J2919" t="str">
            <v>bueno</v>
          </cell>
          <cell r="K2919" t="str">
            <v>probsi</v>
          </cell>
        </row>
        <row r="2920">
          <cell r="B2920" t="b">
            <v>1</v>
          </cell>
          <cell r="E2920" t="str">
            <v>Arroyo Grande</v>
          </cell>
          <cell r="H2920" t="str">
            <v>laboratorio</v>
          </cell>
          <cell r="J2920" t="str">
            <v>bueno</v>
          </cell>
          <cell r="K2920" t="str">
            <v>probsi</v>
          </cell>
        </row>
        <row r="2921">
          <cell r="B2921" t="b">
            <v>1</v>
          </cell>
          <cell r="E2921" t="str">
            <v>Arroyo Grande</v>
          </cell>
          <cell r="H2921" t="str">
            <v>laboratorio</v>
          </cell>
          <cell r="J2921" t="str">
            <v>bueno</v>
          </cell>
          <cell r="K2921" t="str">
            <v>probsi</v>
          </cell>
        </row>
        <row r="2922">
          <cell r="B2922" t="b">
            <v>1</v>
          </cell>
          <cell r="E2922" t="str">
            <v>Arroyo Grande</v>
          </cell>
          <cell r="H2922" t="str">
            <v>laboratorio</v>
          </cell>
          <cell r="J2922" t="str">
            <v>bueno</v>
          </cell>
          <cell r="K2922" t="str">
            <v>probsi</v>
          </cell>
        </row>
        <row r="2923">
          <cell r="B2923" t="b">
            <v>1</v>
          </cell>
          <cell r="E2923" t="str">
            <v>Arroyo Grande</v>
          </cell>
          <cell r="H2923" t="str">
            <v>laboratorio</v>
          </cell>
          <cell r="J2923" t="str">
            <v>bueno</v>
          </cell>
          <cell r="K2923" t="str">
            <v>probsi</v>
          </cell>
        </row>
        <row r="2924">
          <cell r="B2924" t="b">
            <v>1</v>
          </cell>
          <cell r="E2924" t="str">
            <v>Arroyo Grande</v>
          </cell>
          <cell r="H2924" t="str">
            <v>laboratorio</v>
          </cell>
          <cell r="J2924" t="str">
            <v>bueno</v>
          </cell>
          <cell r="K2924" t="str">
            <v>probsi</v>
          </cell>
        </row>
        <row r="2925">
          <cell r="B2925" t="b">
            <v>1</v>
          </cell>
          <cell r="E2925" t="str">
            <v>Arroyo Grande</v>
          </cell>
          <cell r="H2925" t="str">
            <v>laboratorio</v>
          </cell>
          <cell r="J2925" t="str">
            <v>bueno</v>
          </cell>
          <cell r="K2925" t="str">
            <v>probsi</v>
          </cell>
        </row>
        <row r="2926">
          <cell r="B2926" t="b">
            <v>1</v>
          </cell>
          <cell r="E2926" t="str">
            <v>Arroyo Grande</v>
          </cell>
          <cell r="H2926" t="str">
            <v>laboratorio</v>
          </cell>
          <cell r="J2926" t="str">
            <v>bueno</v>
          </cell>
          <cell r="K2926" t="str">
            <v>probsi</v>
          </cell>
        </row>
        <row r="2927">
          <cell r="B2927" t="b">
            <v>1</v>
          </cell>
          <cell r="E2927" t="str">
            <v>Arroyo Grande</v>
          </cell>
          <cell r="H2927" t="str">
            <v>laboratorio</v>
          </cell>
          <cell r="J2927" t="str">
            <v>bueno</v>
          </cell>
          <cell r="K2927" t="str">
            <v>probsi</v>
          </cell>
        </row>
        <row r="2928">
          <cell r="B2928" t="b">
            <v>1</v>
          </cell>
          <cell r="E2928" t="str">
            <v>Pontezuela</v>
          </cell>
          <cell r="H2928" t="str">
            <v>consulta_externa</v>
          </cell>
          <cell r="J2928" t="str">
            <v>bueno</v>
          </cell>
          <cell r="K2928" t="str">
            <v>defsi</v>
          </cell>
        </row>
        <row r="2929">
          <cell r="B2929" t="b">
            <v>1</v>
          </cell>
          <cell r="E2929" t="str">
            <v>Pontezuela</v>
          </cell>
          <cell r="H2929" t="str">
            <v>consulta_externa</v>
          </cell>
          <cell r="J2929" t="str">
            <v>bueno</v>
          </cell>
          <cell r="K2929" t="str">
            <v>defsi</v>
          </cell>
        </row>
        <row r="2930">
          <cell r="B2930" t="b">
            <v>1</v>
          </cell>
          <cell r="E2930" t="str">
            <v>Arroyo de Piedra</v>
          </cell>
          <cell r="H2930" t="str">
            <v>consulta_externa</v>
          </cell>
          <cell r="J2930" t="str">
            <v>bueno</v>
          </cell>
          <cell r="K2930" t="str">
            <v>probsi</v>
          </cell>
        </row>
        <row r="2931">
          <cell r="B2931" t="b">
            <v>1</v>
          </cell>
          <cell r="E2931" t="str">
            <v>Arroyo de Piedra</v>
          </cell>
          <cell r="H2931" t="str">
            <v>consulta_externa</v>
          </cell>
          <cell r="J2931" t="str">
            <v>bueno</v>
          </cell>
          <cell r="K2931" t="str">
            <v>probsi</v>
          </cell>
        </row>
        <row r="2932">
          <cell r="B2932" t="b">
            <v>1</v>
          </cell>
          <cell r="E2932" t="str">
            <v>Arroyo de Piedra</v>
          </cell>
          <cell r="H2932" t="str">
            <v>consulta_externa</v>
          </cell>
          <cell r="J2932" t="str">
            <v>bueno</v>
          </cell>
          <cell r="K2932" t="str">
            <v>probsi</v>
          </cell>
        </row>
        <row r="2933">
          <cell r="B2933" t="b">
            <v>1</v>
          </cell>
          <cell r="E2933" t="str">
            <v>Arroyo de Piedra</v>
          </cell>
          <cell r="H2933" t="str">
            <v>laboratorio</v>
          </cell>
          <cell r="J2933" t="str">
            <v>bueno</v>
          </cell>
          <cell r="K2933" t="str">
            <v>probsi</v>
          </cell>
        </row>
        <row r="2934">
          <cell r="B2934" t="b">
            <v>1</v>
          </cell>
          <cell r="E2934" t="str">
            <v>Arroyo de Piedra</v>
          </cell>
          <cell r="H2934" t="str">
            <v>laboratorio</v>
          </cell>
          <cell r="J2934" t="str">
            <v>bueno</v>
          </cell>
          <cell r="K2934" t="str">
            <v>probsi</v>
          </cell>
        </row>
        <row r="2935">
          <cell r="B2935" t="b">
            <v>1</v>
          </cell>
          <cell r="E2935" t="str">
            <v>Arroyo de Piedra</v>
          </cell>
          <cell r="H2935" t="str">
            <v>laboratorio</v>
          </cell>
          <cell r="J2935" t="str">
            <v>bueno</v>
          </cell>
          <cell r="K2935" t="str">
            <v>probsi</v>
          </cell>
        </row>
        <row r="2936">
          <cell r="B2936" t="b">
            <v>1</v>
          </cell>
          <cell r="E2936" t="str">
            <v>Pontezuela</v>
          </cell>
          <cell r="H2936" t="str">
            <v>consulta_externa</v>
          </cell>
          <cell r="J2936" t="str">
            <v>bueno</v>
          </cell>
          <cell r="K2936" t="str">
            <v>defsi</v>
          </cell>
        </row>
        <row r="2937">
          <cell r="B2937" t="b">
            <v>1</v>
          </cell>
          <cell r="E2937" t="str">
            <v>Arroyo de Piedra</v>
          </cell>
          <cell r="H2937" t="str">
            <v>salud_oral</v>
          </cell>
          <cell r="J2937" t="str">
            <v>bueno</v>
          </cell>
          <cell r="K2937" t="str">
            <v>probsi</v>
          </cell>
        </row>
        <row r="2938">
          <cell r="B2938" t="b">
            <v>1</v>
          </cell>
          <cell r="E2938" t="str">
            <v>Pontezuela</v>
          </cell>
          <cell r="H2938" t="str">
            <v>consulta_externa</v>
          </cell>
          <cell r="J2938" t="str">
            <v>bueno</v>
          </cell>
          <cell r="K2938" t="str">
            <v>defsi</v>
          </cell>
        </row>
        <row r="2939">
          <cell r="B2939" t="b">
            <v>1</v>
          </cell>
          <cell r="E2939" t="str">
            <v>Arroyo de Piedra</v>
          </cell>
          <cell r="H2939" t="str">
            <v>salud_oral</v>
          </cell>
          <cell r="J2939" t="str">
            <v>bueno</v>
          </cell>
          <cell r="K2939" t="str">
            <v>probsi</v>
          </cell>
        </row>
        <row r="2940">
          <cell r="B2940" t="b">
            <v>1</v>
          </cell>
          <cell r="E2940" t="str">
            <v>Arroyo de Piedra</v>
          </cell>
          <cell r="H2940" t="str">
            <v>salud_oral</v>
          </cell>
          <cell r="J2940" t="str">
            <v>bueno</v>
          </cell>
          <cell r="K2940" t="str">
            <v>probsi</v>
          </cell>
        </row>
        <row r="2941">
          <cell r="B2941" t="b">
            <v>1</v>
          </cell>
          <cell r="E2941" t="str">
            <v>Arroyo de Piedra</v>
          </cell>
          <cell r="H2941" t="str">
            <v>salud_oral</v>
          </cell>
          <cell r="J2941" t="str">
            <v>bueno</v>
          </cell>
          <cell r="K2941" t="str">
            <v>probsi</v>
          </cell>
        </row>
        <row r="2942">
          <cell r="B2942" t="b">
            <v>1</v>
          </cell>
          <cell r="E2942" t="str">
            <v>Arroyo de Piedra</v>
          </cell>
          <cell r="H2942" t="str">
            <v>salud_oral</v>
          </cell>
          <cell r="J2942" t="str">
            <v>bueno</v>
          </cell>
          <cell r="K2942" t="str">
            <v>probsi</v>
          </cell>
        </row>
        <row r="2943">
          <cell r="B2943" t="b">
            <v>1</v>
          </cell>
          <cell r="E2943" t="str">
            <v>Arroyo de Piedra</v>
          </cell>
          <cell r="H2943" t="str">
            <v>salud_oral</v>
          </cell>
          <cell r="J2943" t="str">
            <v>bueno</v>
          </cell>
          <cell r="K2943" t="str">
            <v>probsi</v>
          </cell>
        </row>
        <row r="2944">
          <cell r="B2944" t="b">
            <v>1</v>
          </cell>
          <cell r="E2944" t="str">
            <v>Pontezuela</v>
          </cell>
          <cell r="H2944" t="str">
            <v>consulta_externa</v>
          </cell>
          <cell r="J2944" t="str">
            <v>bueno</v>
          </cell>
          <cell r="K2944" t="str">
            <v>defsi</v>
          </cell>
        </row>
        <row r="2945">
          <cell r="B2945" t="b">
            <v>1</v>
          </cell>
          <cell r="E2945" t="str">
            <v>Arroyo de Piedra</v>
          </cell>
          <cell r="H2945" t="str">
            <v>salud_oral</v>
          </cell>
          <cell r="J2945" t="str">
            <v>bueno</v>
          </cell>
          <cell r="K2945" t="str">
            <v>probsi</v>
          </cell>
        </row>
        <row r="2946">
          <cell r="B2946" t="b">
            <v>1</v>
          </cell>
          <cell r="E2946" t="str">
            <v>Arroyo de Piedra</v>
          </cell>
          <cell r="H2946" t="str">
            <v>salud_oral</v>
          </cell>
          <cell r="J2946" t="str">
            <v>bueno</v>
          </cell>
          <cell r="K2946" t="str">
            <v>probsi</v>
          </cell>
        </row>
        <row r="2947">
          <cell r="B2947" t="b">
            <v>1</v>
          </cell>
          <cell r="E2947" t="str">
            <v>Arroyo de Piedra</v>
          </cell>
          <cell r="H2947" t="str">
            <v>salud_oral</v>
          </cell>
          <cell r="J2947" t="str">
            <v>bueno</v>
          </cell>
          <cell r="K2947" t="str">
            <v>probsi</v>
          </cell>
        </row>
        <row r="2948">
          <cell r="B2948" t="b">
            <v>1</v>
          </cell>
          <cell r="E2948" t="str">
            <v>Pontezuela</v>
          </cell>
          <cell r="H2948" t="str">
            <v>consulta_externa</v>
          </cell>
          <cell r="J2948" t="str">
            <v>bueno</v>
          </cell>
          <cell r="K2948" t="str">
            <v>defsi</v>
          </cell>
        </row>
        <row r="2949">
          <cell r="B2949" t="b">
            <v>1</v>
          </cell>
          <cell r="E2949" t="str">
            <v>Arroyo de Piedra</v>
          </cell>
          <cell r="H2949" t="str">
            <v>salud_oral</v>
          </cell>
          <cell r="J2949" t="str">
            <v>bueno</v>
          </cell>
          <cell r="K2949" t="str">
            <v>probsi</v>
          </cell>
        </row>
        <row r="2950">
          <cell r="B2950" t="b">
            <v>1</v>
          </cell>
          <cell r="E2950" t="str">
            <v>Arroyo de Piedra</v>
          </cell>
          <cell r="H2950" t="str">
            <v>salud_oral</v>
          </cell>
          <cell r="J2950" t="str">
            <v>bueno</v>
          </cell>
          <cell r="K2950" t="str">
            <v>probsi</v>
          </cell>
        </row>
        <row r="2951">
          <cell r="B2951" t="b">
            <v>1</v>
          </cell>
          <cell r="E2951" t="str">
            <v>Arroyo de Piedra</v>
          </cell>
          <cell r="H2951" t="str">
            <v>salud_oral</v>
          </cell>
          <cell r="J2951" t="str">
            <v>bueno</v>
          </cell>
          <cell r="K2951" t="str">
            <v>probsi</v>
          </cell>
        </row>
        <row r="2952">
          <cell r="B2952" t="b">
            <v>1</v>
          </cell>
          <cell r="E2952" t="str">
            <v>Arroyo de Piedra</v>
          </cell>
          <cell r="H2952" t="str">
            <v>salud_oral</v>
          </cell>
          <cell r="J2952" t="str">
            <v>bueno</v>
          </cell>
          <cell r="K2952" t="str">
            <v>probsi</v>
          </cell>
        </row>
        <row r="2953">
          <cell r="B2953" t="b">
            <v>1</v>
          </cell>
          <cell r="E2953" t="str">
            <v>Arroyo de Piedra</v>
          </cell>
          <cell r="H2953" t="str">
            <v>salud_oral</v>
          </cell>
          <cell r="J2953" t="str">
            <v>bueno</v>
          </cell>
          <cell r="K2953" t="str">
            <v>probsi</v>
          </cell>
        </row>
        <row r="2954">
          <cell r="B2954" t="b">
            <v>1</v>
          </cell>
          <cell r="E2954" t="str">
            <v>Pontezuela</v>
          </cell>
          <cell r="H2954" t="str">
            <v>consulta_externa</v>
          </cell>
          <cell r="J2954" t="str">
            <v>bueno</v>
          </cell>
          <cell r="K2954" t="str">
            <v>defsi</v>
          </cell>
        </row>
        <row r="2955">
          <cell r="B2955" t="b">
            <v>1</v>
          </cell>
          <cell r="E2955" t="str">
            <v>Arroyo de Piedra</v>
          </cell>
          <cell r="H2955" t="str">
            <v>laboratorio</v>
          </cell>
          <cell r="J2955" t="str">
            <v>bueno</v>
          </cell>
          <cell r="K2955" t="str">
            <v>probsi</v>
          </cell>
        </row>
        <row r="2956">
          <cell r="B2956" t="b">
            <v>1</v>
          </cell>
          <cell r="E2956" t="str">
            <v>Arroyo de Piedra</v>
          </cell>
          <cell r="H2956" t="str">
            <v>laboratorio</v>
          </cell>
          <cell r="J2956" t="str">
            <v>bueno</v>
          </cell>
          <cell r="K2956" t="str">
            <v>probsi</v>
          </cell>
        </row>
        <row r="2957">
          <cell r="B2957" t="b">
            <v>1</v>
          </cell>
          <cell r="E2957" t="str">
            <v>Pontezuela</v>
          </cell>
          <cell r="H2957" t="str">
            <v>consulta_externa</v>
          </cell>
          <cell r="J2957" t="str">
            <v>bueno</v>
          </cell>
          <cell r="K2957" t="str">
            <v>defsi</v>
          </cell>
        </row>
        <row r="2958">
          <cell r="B2958" t="b">
            <v>1</v>
          </cell>
          <cell r="E2958" t="str">
            <v>Arroyo de Piedra</v>
          </cell>
          <cell r="H2958" t="str">
            <v>laboratorio</v>
          </cell>
          <cell r="J2958" t="str">
            <v>bueno</v>
          </cell>
          <cell r="K2958" t="str">
            <v>probsi</v>
          </cell>
        </row>
        <row r="2959">
          <cell r="B2959" t="b">
            <v>1</v>
          </cell>
          <cell r="E2959" t="str">
            <v>Arroyo de Piedra</v>
          </cell>
          <cell r="H2959" t="str">
            <v>laboratorio</v>
          </cell>
          <cell r="J2959" t="str">
            <v>bueno</v>
          </cell>
          <cell r="K2959" t="str">
            <v>probsi</v>
          </cell>
        </row>
        <row r="2960">
          <cell r="B2960" t="b">
            <v>1</v>
          </cell>
          <cell r="E2960" t="str">
            <v>Arroyo de Piedra</v>
          </cell>
          <cell r="H2960" t="str">
            <v>laboratorio</v>
          </cell>
          <cell r="J2960" t="str">
            <v>bueno</v>
          </cell>
          <cell r="K2960" t="str">
            <v>probsi</v>
          </cell>
        </row>
        <row r="2961">
          <cell r="B2961" t="b">
            <v>1</v>
          </cell>
          <cell r="E2961" t="str">
            <v>Arroyo de Piedra</v>
          </cell>
          <cell r="H2961" t="str">
            <v>laboratorio</v>
          </cell>
          <cell r="J2961" t="str">
            <v>bueno</v>
          </cell>
          <cell r="K2961" t="str">
            <v>probsi</v>
          </cell>
        </row>
        <row r="2962">
          <cell r="B2962" t="b">
            <v>1</v>
          </cell>
          <cell r="E2962" t="str">
            <v>Arroyo de Piedra</v>
          </cell>
          <cell r="H2962" t="str">
            <v>laboratorio</v>
          </cell>
          <cell r="J2962" t="str">
            <v>bueno</v>
          </cell>
          <cell r="K2962" t="str">
            <v>probsi</v>
          </cell>
        </row>
        <row r="2963">
          <cell r="B2963" t="b">
            <v>1</v>
          </cell>
          <cell r="E2963" t="str">
            <v>Arroyo de Piedra</v>
          </cell>
          <cell r="H2963" t="str">
            <v>consulta_externa</v>
          </cell>
          <cell r="J2963" t="str">
            <v>bueno</v>
          </cell>
          <cell r="K2963" t="str">
            <v>probsi</v>
          </cell>
        </row>
        <row r="2964">
          <cell r="B2964" t="b">
            <v>1</v>
          </cell>
          <cell r="E2964" t="str">
            <v>Arroyo de Piedra</v>
          </cell>
          <cell r="H2964" t="str">
            <v>consulta_externa</v>
          </cell>
          <cell r="J2964" t="str">
            <v>bueno</v>
          </cell>
          <cell r="K2964" t="str">
            <v>probsi</v>
          </cell>
        </row>
        <row r="2965">
          <cell r="B2965" t="b">
            <v>1</v>
          </cell>
          <cell r="E2965" t="str">
            <v>Arroyo de Piedra</v>
          </cell>
          <cell r="H2965" t="str">
            <v>consulta_externa</v>
          </cell>
          <cell r="J2965" t="str">
            <v>bueno</v>
          </cell>
          <cell r="K2965" t="str">
            <v>probsi</v>
          </cell>
        </row>
        <row r="2966">
          <cell r="B2966" t="b">
            <v>1</v>
          </cell>
          <cell r="E2966" t="str">
            <v>Pontezuela</v>
          </cell>
          <cell r="H2966" t="str">
            <v>consulta_externa</v>
          </cell>
          <cell r="J2966" t="str">
            <v>bueno</v>
          </cell>
          <cell r="K2966" t="str">
            <v>defsi</v>
          </cell>
        </row>
        <row r="2967">
          <cell r="B2967" t="b">
            <v>1</v>
          </cell>
          <cell r="E2967" t="str">
            <v>Arroyo de Piedra</v>
          </cell>
          <cell r="H2967" t="str">
            <v>consulta_externa</v>
          </cell>
          <cell r="J2967" t="str">
            <v>bueno</v>
          </cell>
          <cell r="K2967" t="str">
            <v>probsi</v>
          </cell>
        </row>
        <row r="2968">
          <cell r="B2968" t="b">
            <v>1</v>
          </cell>
          <cell r="E2968" t="str">
            <v>Arroyo de Piedra</v>
          </cell>
          <cell r="H2968" t="str">
            <v>consulta_externa</v>
          </cell>
          <cell r="J2968" t="str">
            <v>bueno</v>
          </cell>
          <cell r="K2968" t="str">
            <v>probsi</v>
          </cell>
        </row>
        <row r="2969">
          <cell r="B2969" t="b">
            <v>1</v>
          </cell>
          <cell r="E2969" t="str">
            <v>Arroyo de Piedra</v>
          </cell>
          <cell r="H2969" t="str">
            <v>consulta_externa</v>
          </cell>
          <cell r="J2969" t="str">
            <v>bueno</v>
          </cell>
          <cell r="K2969" t="str">
            <v>probsi</v>
          </cell>
        </row>
        <row r="2970">
          <cell r="B2970" t="b">
            <v>1</v>
          </cell>
          <cell r="E2970" t="str">
            <v>Arroyo de Piedra</v>
          </cell>
          <cell r="H2970" t="str">
            <v>consulta_externa</v>
          </cell>
          <cell r="J2970" t="str">
            <v>bueno</v>
          </cell>
          <cell r="K2970" t="str">
            <v>probsi</v>
          </cell>
        </row>
        <row r="2971">
          <cell r="B2971" t="b">
            <v>1</v>
          </cell>
          <cell r="E2971" t="str">
            <v>Arroyo de Piedra</v>
          </cell>
          <cell r="H2971" t="str">
            <v>consulta_externa</v>
          </cell>
          <cell r="J2971" t="str">
            <v>bueno</v>
          </cell>
          <cell r="K2971" t="str">
            <v>probsi</v>
          </cell>
        </row>
        <row r="2972">
          <cell r="B2972" t="b">
            <v>1</v>
          </cell>
          <cell r="E2972" t="str">
            <v>Arroyo de Piedra</v>
          </cell>
          <cell r="H2972" t="str">
            <v>consulta_externa</v>
          </cell>
          <cell r="J2972" t="str">
            <v>bueno</v>
          </cell>
          <cell r="K2972" t="str">
            <v>probsi</v>
          </cell>
        </row>
        <row r="2973">
          <cell r="B2973" t="b">
            <v>1</v>
          </cell>
          <cell r="E2973" t="str">
            <v>Arroyo de Piedra</v>
          </cell>
          <cell r="H2973" t="str">
            <v>consulta_externa</v>
          </cell>
          <cell r="J2973" t="str">
            <v>bueno</v>
          </cell>
          <cell r="K2973" t="str">
            <v>probsi</v>
          </cell>
        </row>
        <row r="2974">
          <cell r="B2974" t="b">
            <v>1</v>
          </cell>
          <cell r="E2974" t="str">
            <v>Arroyo de Piedra</v>
          </cell>
          <cell r="H2974" t="str">
            <v>laboratorio</v>
          </cell>
          <cell r="J2974" t="str">
            <v>bueno</v>
          </cell>
          <cell r="K2974" t="str">
            <v>probsi</v>
          </cell>
        </row>
        <row r="2975">
          <cell r="B2975" t="b">
            <v>1</v>
          </cell>
          <cell r="E2975" t="str">
            <v>Arroyo de Piedra</v>
          </cell>
          <cell r="H2975" t="str">
            <v>laboratorio</v>
          </cell>
          <cell r="J2975" t="str">
            <v>bueno</v>
          </cell>
          <cell r="K2975" t="str">
            <v>probsi</v>
          </cell>
        </row>
        <row r="2976">
          <cell r="B2976" t="b">
            <v>1</v>
          </cell>
          <cell r="E2976" t="str">
            <v>Arroyo de Piedra</v>
          </cell>
          <cell r="H2976" t="str">
            <v>laboratorio</v>
          </cell>
          <cell r="J2976" t="str">
            <v>bueno</v>
          </cell>
          <cell r="K2976" t="str">
            <v>probsi</v>
          </cell>
        </row>
        <row r="2977">
          <cell r="B2977" t="b">
            <v>1</v>
          </cell>
          <cell r="E2977" t="str">
            <v>Arroyo de Piedra</v>
          </cell>
          <cell r="H2977" t="str">
            <v>salud_oral</v>
          </cell>
          <cell r="J2977" t="str">
            <v>bueno</v>
          </cell>
          <cell r="K2977" t="str">
            <v>probsi</v>
          </cell>
        </row>
        <row r="2978">
          <cell r="B2978" t="b">
            <v>1</v>
          </cell>
          <cell r="E2978" t="str">
            <v>Arroyo de Piedra</v>
          </cell>
          <cell r="H2978" t="str">
            <v>salud_oral</v>
          </cell>
          <cell r="J2978" t="str">
            <v>bueno</v>
          </cell>
          <cell r="K2978" t="str">
            <v>probsi</v>
          </cell>
        </row>
        <row r="2979">
          <cell r="B2979" t="b">
            <v>1</v>
          </cell>
          <cell r="E2979" t="str">
            <v>Manzanillo</v>
          </cell>
          <cell r="H2979" t="str">
            <v>laboratorio</v>
          </cell>
          <cell r="J2979" t="str">
            <v>bueno</v>
          </cell>
          <cell r="K2979" t="str">
            <v>probsi</v>
          </cell>
        </row>
        <row r="2980">
          <cell r="B2980" t="b">
            <v>1</v>
          </cell>
          <cell r="E2980" t="str">
            <v>Manzanillo</v>
          </cell>
          <cell r="H2980" t="str">
            <v>laboratorio</v>
          </cell>
          <cell r="J2980" t="str">
            <v>bueno</v>
          </cell>
          <cell r="K2980" t="str">
            <v>probsi</v>
          </cell>
        </row>
        <row r="2981">
          <cell r="B2981" t="b">
            <v>1</v>
          </cell>
          <cell r="E2981" t="str">
            <v>Manzanillo</v>
          </cell>
          <cell r="H2981" t="str">
            <v>laboratorio</v>
          </cell>
          <cell r="J2981" t="str">
            <v>bueno</v>
          </cell>
          <cell r="K2981" t="str">
            <v>probsi</v>
          </cell>
        </row>
        <row r="2982">
          <cell r="B2982" t="b">
            <v>1</v>
          </cell>
          <cell r="E2982" t="str">
            <v>Manzanillo</v>
          </cell>
          <cell r="H2982" t="str">
            <v>laboratorio</v>
          </cell>
          <cell r="J2982" t="str">
            <v>bueno</v>
          </cell>
          <cell r="K2982" t="str">
            <v>probsi</v>
          </cell>
        </row>
        <row r="2983">
          <cell r="B2983" t="b">
            <v>1</v>
          </cell>
          <cell r="E2983" t="str">
            <v>Manzanillo</v>
          </cell>
          <cell r="H2983" t="str">
            <v>laboratorio</v>
          </cell>
          <cell r="J2983" t="str">
            <v>bueno</v>
          </cell>
          <cell r="K2983" t="str">
            <v>probsi</v>
          </cell>
        </row>
        <row r="2984">
          <cell r="B2984" t="b">
            <v>1</v>
          </cell>
          <cell r="E2984" t="str">
            <v>Manzanillo</v>
          </cell>
          <cell r="H2984" t="str">
            <v>laboratorio</v>
          </cell>
          <cell r="J2984" t="str">
            <v>bueno</v>
          </cell>
          <cell r="K2984" t="str">
            <v>probsi</v>
          </cell>
        </row>
        <row r="2985">
          <cell r="B2985" t="b">
            <v>1</v>
          </cell>
          <cell r="E2985" t="str">
            <v>Manzanillo</v>
          </cell>
          <cell r="H2985" t="str">
            <v>laboratorio</v>
          </cell>
          <cell r="J2985" t="str">
            <v>bueno</v>
          </cell>
          <cell r="K2985" t="str">
            <v>probsi</v>
          </cell>
        </row>
        <row r="2986">
          <cell r="B2986" t="b">
            <v>1</v>
          </cell>
          <cell r="E2986" t="str">
            <v>Manzanillo</v>
          </cell>
          <cell r="H2986" t="str">
            <v>laboratorio</v>
          </cell>
          <cell r="J2986" t="str">
            <v>bueno</v>
          </cell>
          <cell r="K2986" t="str">
            <v>probsi</v>
          </cell>
        </row>
        <row r="2987">
          <cell r="B2987" t="b">
            <v>1</v>
          </cell>
          <cell r="E2987" t="str">
            <v>Manzanillo</v>
          </cell>
          <cell r="H2987" t="str">
            <v>laboratorio</v>
          </cell>
          <cell r="J2987" t="str">
            <v>bueno</v>
          </cell>
          <cell r="K2987" t="str">
            <v>probsi</v>
          </cell>
        </row>
        <row r="2988">
          <cell r="B2988" t="b">
            <v>1</v>
          </cell>
          <cell r="E2988" t="str">
            <v>Manzanillo</v>
          </cell>
          <cell r="H2988" t="str">
            <v>laboratorio</v>
          </cell>
          <cell r="J2988" t="str">
            <v>bueno</v>
          </cell>
          <cell r="K2988" t="str">
            <v>probsi</v>
          </cell>
        </row>
        <row r="2989">
          <cell r="B2989" t="b">
            <v>1</v>
          </cell>
          <cell r="E2989" t="str">
            <v>Bayunca</v>
          </cell>
          <cell r="H2989" t="str">
            <v>consulta_externa</v>
          </cell>
          <cell r="J2989" t="str">
            <v>bueno</v>
          </cell>
          <cell r="K2989" t="str">
            <v>defsi</v>
          </cell>
        </row>
        <row r="2990">
          <cell r="B2990" t="b">
            <v>1</v>
          </cell>
          <cell r="E2990" t="str">
            <v>Bayunca</v>
          </cell>
          <cell r="H2990" t="str">
            <v>salud_oral</v>
          </cell>
          <cell r="J2990" t="str">
            <v>bueno</v>
          </cell>
          <cell r="K2990" t="str">
            <v>defsi</v>
          </cell>
        </row>
        <row r="2991">
          <cell r="B2991" t="b">
            <v>1</v>
          </cell>
          <cell r="E2991" t="str">
            <v>Bayunca</v>
          </cell>
          <cell r="H2991" t="str">
            <v>laboratorio</v>
          </cell>
          <cell r="J2991" t="str">
            <v>bueno</v>
          </cell>
          <cell r="K2991" t="str">
            <v>defsi</v>
          </cell>
        </row>
        <row r="2992">
          <cell r="B2992" t="b">
            <v>1</v>
          </cell>
          <cell r="E2992" t="str">
            <v>Bayunca</v>
          </cell>
          <cell r="H2992" t="str">
            <v>urgencia</v>
          </cell>
          <cell r="J2992" t="str">
            <v>bueno</v>
          </cell>
          <cell r="K2992" t="str">
            <v>defsi</v>
          </cell>
        </row>
        <row r="2993">
          <cell r="B2993" t="b">
            <v>1</v>
          </cell>
          <cell r="E2993" t="str">
            <v>Bayunca</v>
          </cell>
          <cell r="H2993" t="str">
            <v>consulta_externa</v>
          </cell>
          <cell r="J2993" t="str">
            <v>bueno</v>
          </cell>
          <cell r="K2993" t="str">
            <v>defsi</v>
          </cell>
        </row>
        <row r="2994">
          <cell r="B2994" t="b">
            <v>1</v>
          </cell>
          <cell r="E2994" t="str">
            <v>Bayunca</v>
          </cell>
          <cell r="H2994" t="str">
            <v>salud_oral</v>
          </cell>
          <cell r="J2994" t="str">
            <v>bueno</v>
          </cell>
          <cell r="K2994" t="str">
            <v>defsi</v>
          </cell>
        </row>
        <row r="2995">
          <cell r="B2995" t="b">
            <v>1</v>
          </cell>
          <cell r="E2995" t="str">
            <v>Bayunca</v>
          </cell>
          <cell r="H2995" t="str">
            <v>laboratorio</v>
          </cell>
          <cell r="J2995" t="str">
            <v>bueno</v>
          </cell>
          <cell r="K2995" t="str">
            <v>defsi</v>
          </cell>
        </row>
        <row r="2996">
          <cell r="B2996" t="b">
            <v>1</v>
          </cell>
          <cell r="E2996" t="str">
            <v>Bayunca</v>
          </cell>
          <cell r="H2996" t="str">
            <v>urgencia</v>
          </cell>
          <cell r="J2996" t="str">
            <v>bueno</v>
          </cell>
          <cell r="K2996" t="str">
            <v>defsi</v>
          </cell>
        </row>
        <row r="2997">
          <cell r="B2997" t="b">
            <v>1</v>
          </cell>
          <cell r="E2997" t="str">
            <v>Manzanillo</v>
          </cell>
          <cell r="H2997" t="str">
            <v>salud_oral</v>
          </cell>
          <cell r="J2997" t="str">
            <v>bueno</v>
          </cell>
          <cell r="K2997" t="str">
            <v>probsi</v>
          </cell>
        </row>
        <row r="2998">
          <cell r="B2998" t="b">
            <v>1</v>
          </cell>
          <cell r="E2998" t="str">
            <v>Manzanillo</v>
          </cell>
          <cell r="H2998" t="str">
            <v>salud_oral</v>
          </cell>
          <cell r="J2998" t="str">
            <v>bueno</v>
          </cell>
          <cell r="K2998" t="str">
            <v>probsi</v>
          </cell>
        </row>
        <row r="2999">
          <cell r="B2999" t="b">
            <v>1</v>
          </cell>
          <cell r="E2999" t="str">
            <v>Manzanillo</v>
          </cell>
          <cell r="H2999" t="str">
            <v>salud_oral</v>
          </cell>
          <cell r="J2999" t="str">
            <v>bueno</v>
          </cell>
          <cell r="K2999" t="str">
            <v>probsi</v>
          </cell>
        </row>
        <row r="3000">
          <cell r="B3000" t="b">
            <v>1</v>
          </cell>
          <cell r="E3000" t="str">
            <v>Manzanillo</v>
          </cell>
          <cell r="H3000" t="str">
            <v>salud_oral</v>
          </cell>
          <cell r="J3000" t="str">
            <v>bueno</v>
          </cell>
          <cell r="K3000" t="str">
            <v>probsi</v>
          </cell>
        </row>
        <row r="3001">
          <cell r="B3001" t="b">
            <v>1</v>
          </cell>
          <cell r="E3001" t="str">
            <v>Manzanillo</v>
          </cell>
          <cell r="H3001" t="str">
            <v>salud_oral</v>
          </cell>
          <cell r="J3001" t="str">
            <v>bueno</v>
          </cell>
          <cell r="K3001" t="str">
            <v>probsi</v>
          </cell>
        </row>
        <row r="3002">
          <cell r="B3002" t="b">
            <v>1</v>
          </cell>
          <cell r="E3002" t="str">
            <v>Manzanillo</v>
          </cell>
          <cell r="H3002" t="str">
            <v>salud_oral</v>
          </cell>
          <cell r="J3002" t="str">
            <v>bueno</v>
          </cell>
          <cell r="K3002" t="str">
            <v>probsi</v>
          </cell>
        </row>
        <row r="3003">
          <cell r="B3003" t="b">
            <v>1</v>
          </cell>
          <cell r="E3003" t="str">
            <v>Manzanillo</v>
          </cell>
          <cell r="H3003" t="str">
            <v>salud_oral</v>
          </cell>
          <cell r="J3003" t="str">
            <v>bueno</v>
          </cell>
          <cell r="K3003" t="str">
            <v>probsi</v>
          </cell>
        </row>
        <row r="3004">
          <cell r="B3004" t="b">
            <v>1</v>
          </cell>
          <cell r="E3004" t="str">
            <v>Manzanillo</v>
          </cell>
          <cell r="H3004" t="str">
            <v>salud_oral</v>
          </cell>
          <cell r="J3004" t="str">
            <v>bueno</v>
          </cell>
          <cell r="K3004" t="str">
            <v>probsi</v>
          </cell>
        </row>
        <row r="3005">
          <cell r="B3005" t="b">
            <v>1</v>
          </cell>
          <cell r="E3005" t="str">
            <v>Manzanillo</v>
          </cell>
          <cell r="H3005" t="str">
            <v>salud_oral</v>
          </cell>
          <cell r="J3005" t="str">
            <v>bueno</v>
          </cell>
          <cell r="K3005" t="str">
            <v>probsi</v>
          </cell>
        </row>
        <row r="3006">
          <cell r="B3006" t="b">
            <v>1</v>
          </cell>
          <cell r="E3006" t="str">
            <v>Blasdelezo</v>
          </cell>
          <cell r="H3006" t="str">
            <v>salud_oral</v>
          </cell>
          <cell r="J3006" t="str">
            <v>bueno</v>
          </cell>
          <cell r="K3006" t="str">
            <v>defsi</v>
          </cell>
        </row>
        <row r="3007">
          <cell r="B3007" t="b">
            <v>1</v>
          </cell>
          <cell r="E3007" t="str">
            <v>Blasdelezo</v>
          </cell>
          <cell r="H3007" t="str">
            <v>salud_oral</v>
          </cell>
          <cell r="J3007" t="str">
            <v>bueno</v>
          </cell>
          <cell r="K3007" t="str">
            <v>defsi</v>
          </cell>
        </row>
        <row r="3008">
          <cell r="B3008" t="b">
            <v>1</v>
          </cell>
          <cell r="E3008" t="str">
            <v>Blasdelezo</v>
          </cell>
          <cell r="H3008" t="str">
            <v>salud_oral</v>
          </cell>
          <cell r="J3008" t="str">
            <v>bueno</v>
          </cell>
          <cell r="K3008" t="str">
            <v>defsi</v>
          </cell>
        </row>
        <row r="3009">
          <cell r="B3009" t="b">
            <v>1</v>
          </cell>
          <cell r="E3009" t="str">
            <v>Blasdelezo</v>
          </cell>
          <cell r="H3009" t="str">
            <v>consulta_externa</v>
          </cell>
          <cell r="J3009" t="str">
            <v>bueno</v>
          </cell>
          <cell r="K3009" t="str">
            <v>defsi</v>
          </cell>
        </row>
        <row r="3010">
          <cell r="B3010" t="b">
            <v>1</v>
          </cell>
          <cell r="E3010" t="str">
            <v>Blasdelezo</v>
          </cell>
          <cell r="H3010" t="str">
            <v>salud_oral</v>
          </cell>
          <cell r="J3010" t="str">
            <v>bueno</v>
          </cell>
          <cell r="K3010" t="str">
            <v>defsi</v>
          </cell>
        </row>
        <row r="3011">
          <cell r="B3011" t="b">
            <v>1</v>
          </cell>
          <cell r="E3011" t="str">
            <v>Blasdelezo</v>
          </cell>
          <cell r="H3011" t="str">
            <v>salud_oral</v>
          </cell>
          <cell r="J3011" t="str">
            <v>bueno</v>
          </cell>
          <cell r="K3011" t="str">
            <v>defsi</v>
          </cell>
        </row>
        <row r="3012">
          <cell r="B3012" t="b">
            <v>1</v>
          </cell>
          <cell r="E3012" t="str">
            <v>Blasdelezo</v>
          </cell>
          <cell r="H3012" t="str">
            <v>salud_oral</v>
          </cell>
          <cell r="J3012" t="str">
            <v>bueno</v>
          </cell>
          <cell r="K3012" t="str">
            <v>defsi</v>
          </cell>
        </row>
        <row r="3013">
          <cell r="B3013" t="b">
            <v>1</v>
          </cell>
          <cell r="E3013" t="str">
            <v>Blasdelezo</v>
          </cell>
          <cell r="H3013" t="str">
            <v>salud_oral</v>
          </cell>
          <cell r="J3013" t="str">
            <v>bueno</v>
          </cell>
          <cell r="K3013" t="str">
            <v>defsi</v>
          </cell>
        </row>
        <row r="3014">
          <cell r="B3014" t="b">
            <v>1</v>
          </cell>
          <cell r="E3014" t="str">
            <v>Blasdelezo</v>
          </cell>
          <cell r="H3014" t="str">
            <v>salud_oral</v>
          </cell>
          <cell r="J3014" t="str">
            <v>bueno</v>
          </cell>
          <cell r="K3014" t="str">
            <v>defsi</v>
          </cell>
        </row>
        <row r="3015">
          <cell r="B3015" t="b">
            <v>1</v>
          </cell>
          <cell r="E3015" t="str">
            <v>Bayunca</v>
          </cell>
          <cell r="H3015" t="str">
            <v>consulta_externa</v>
          </cell>
          <cell r="J3015" t="str">
            <v>bueno</v>
          </cell>
          <cell r="K3015" t="str">
            <v>defsi</v>
          </cell>
        </row>
        <row r="3016">
          <cell r="B3016" t="b">
            <v>1</v>
          </cell>
          <cell r="E3016" t="str">
            <v>Bayunca</v>
          </cell>
          <cell r="H3016" t="str">
            <v>salud_oral</v>
          </cell>
          <cell r="J3016" t="str">
            <v>bueno</v>
          </cell>
          <cell r="K3016" t="str">
            <v>defsi</v>
          </cell>
        </row>
        <row r="3017">
          <cell r="B3017" t="b">
            <v>1</v>
          </cell>
          <cell r="E3017" t="str">
            <v>Bayunca</v>
          </cell>
          <cell r="H3017" t="str">
            <v>laboratorio</v>
          </cell>
          <cell r="J3017" t="str">
            <v>bueno</v>
          </cell>
          <cell r="K3017" t="str">
            <v>defsi</v>
          </cell>
        </row>
        <row r="3018">
          <cell r="B3018" t="b">
            <v>1</v>
          </cell>
          <cell r="E3018" t="str">
            <v>Bayunca</v>
          </cell>
          <cell r="H3018" t="str">
            <v>urgencia</v>
          </cell>
          <cell r="J3018" t="str">
            <v>bueno</v>
          </cell>
          <cell r="K3018" t="str">
            <v>defsi</v>
          </cell>
        </row>
        <row r="3019">
          <cell r="B3019" t="b">
            <v>1</v>
          </cell>
          <cell r="E3019" t="str">
            <v>Arroyo de Piedra</v>
          </cell>
          <cell r="H3019" t="str">
            <v>consulta_externa</v>
          </cell>
          <cell r="J3019" t="str">
            <v>bueno</v>
          </cell>
          <cell r="K3019" t="str">
            <v>probsi</v>
          </cell>
        </row>
        <row r="3020">
          <cell r="B3020" t="b">
            <v>1</v>
          </cell>
          <cell r="E3020" t="str">
            <v>Arroyo de Piedra</v>
          </cell>
          <cell r="H3020" t="str">
            <v>consulta_externa</v>
          </cell>
          <cell r="J3020" t="str">
            <v>bueno</v>
          </cell>
          <cell r="K3020" t="str">
            <v>probsi</v>
          </cell>
        </row>
        <row r="3021">
          <cell r="B3021" t="b">
            <v>1</v>
          </cell>
          <cell r="E3021" t="str">
            <v>Bayunca</v>
          </cell>
          <cell r="H3021" t="str">
            <v>consulta_externa</v>
          </cell>
          <cell r="J3021" t="str">
            <v>bueno</v>
          </cell>
          <cell r="K3021" t="str">
            <v>defsi</v>
          </cell>
        </row>
        <row r="3022">
          <cell r="B3022" t="b">
            <v>1</v>
          </cell>
          <cell r="E3022" t="str">
            <v>Arroyo de Piedra</v>
          </cell>
          <cell r="H3022" t="str">
            <v>consulta_externa</v>
          </cell>
          <cell r="J3022" t="str">
            <v>bueno</v>
          </cell>
          <cell r="K3022" t="str">
            <v>probsi</v>
          </cell>
        </row>
        <row r="3023">
          <cell r="B3023" t="b">
            <v>1</v>
          </cell>
          <cell r="E3023" t="str">
            <v>Arroyo de Piedra</v>
          </cell>
          <cell r="H3023" t="str">
            <v>consulta_externa</v>
          </cell>
          <cell r="J3023" t="str">
            <v>bueno</v>
          </cell>
          <cell r="K3023" t="str">
            <v>probsi</v>
          </cell>
        </row>
        <row r="3024">
          <cell r="B3024" t="b">
            <v>1</v>
          </cell>
          <cell r="E3024" t="str">
            <v>Arroyo de Piedra</v>
          </cell>
          <cell r="H3024" t="str">
            <v>consulta_externa</v>
          </cell>
          <cell r="J3024" t="str">
            <v>bueno</v>
          </cell>
          <cell r="K3024" t="str">
            <v>probsi</v>
          </cell>
        </row>
        <row r="3025">
          <cell r="B3025" t="b">
            <v>1</v>
          </cell>
          <cell r="E3025" t="str">
            <v>Arroyo de Piedra</v>
          </cell>
          <cell r="H3025" t="str">
            <v>consulta_externa</v>
          </cell>
          <cell r="J3025" t="str">
            <v>bueno</v>
          </cell>
          <cell r="K3025" t="str">
            <v>probsi</v>
          </cell>
        </row>
        <row r="3026">
          <cell r="B3026" t="b">
            <v>1</v>
          </cell>
          <cell r="E3026" t="str">
            <v>Bayunca</v>
          </cell>
          <cell r="H3026" t="str">
            <v>salud_oral</v>
          </cell>
          <cell r="J3026" t="str">
            <v>bueno</v>
          </cell>
          <cell r="K3026" t="str">
            <v>defsi</v>
          </cell>
        </row>
        <row r="3027">
          <cell r="B3027" t="b">
            <v>1</v>
          </cell>
          <cell r="E3027" t="str">
            <v>Arroyo de Piedra</v>
          </cell>
          <cell r="H3027" t="str">
            <v>consulta_externa</v>
          </cell>
          <cell r="J3027" t="str">
            <v>bueno</v>
          </cell>
          <cell r="K3027" t="str">
            <v>probsi</v>
          </cell>
        </row>
        <row r="3028">
          <cell r="B3028" t="b">
            <v>1</v>
          </cell>
          <cell r="E3028" t="str">
            <v>Arroyo de Piedra</v>
          </cell>
          <cell r="H3028" t="str">
            <v>consulta_externa</v>
          </cell>
          <cell r="J3028" t="str">
            <v>bueno</v>
          </cell>
          <cell r="K3028" t="str">
            <v>probsi</v>
          </cell>
        </row>
        <row r="3029">
          <cell r="B3029" t="b">
            <v>1</v>
          </cell>
          <cell r="E3029" t="str">
            <v>Arroyo de Piedra</v>
          </cell>
          <cell r="H3029" t="str">
            <v>salud_oral</v>
          </cell>
          <cell r="J3029" t="str">
            <v>bueno</v>
          </cell>
          <cell r="K3029" t="str">
            <v>probsi</v>
          </cell>
        </row>
        <row r="3030">
          <cell r="B3030" t="b">
            <v>1</v>
          </cell>
          <cell r="E3030" t="str">
            <v>Bayunca</v>
          </cell>
          <cell r="H3030" t="str">
            <v>laboratorio</v>
          </cell>
          <cell r="J3030" t="str">
            <v>bueno</v>
          </cell>
          <cell r="K3030" t="str">
            <v>defsi</v>
          </cell>
        </row>
        <row r="3031">
          <cell r="B3031" t="b">
            <v>1</v>
          </cell>
          <cell r="E3031" t="str">
            <v>Arroyo de Piedra</v>
          </cell>
          <cell r="H3031" t="str">
            <v>salud_oral</v>
          </cell>
          <cell r="J3031" t="str">
            <v>bueno</v>
          </cell>
          <cell r="K3031" t="str">
            <v>probsi</v>
          </cell>
        </row>
        <row r="3032">
          <cell r="B3032" t="b">
            <v>1</v>
          </cell>
          <cell r="E3032" t="str">
            <v>Arroyo de Piedra</v>
          </cell>
          <cell r="H3032" t="str">
            <v>salud_oral</v>
          </cell>
          <cell r="J3032" t="str">
            <v>bueno</v>
          </cell>
          <cell r="K3032" t="str">
            <v>probsi</v>
          </cell>
        </row>
        <row r="3033">
          <cell r="B3033" t="b">
            <v>1</v>
          </cell>
          <cell r="E3033" t="str">
            <v>Arroyo de Piedra</v>
          </cell>
          <cell r="H3033" t="str">
            <v>salud_oral</v>
          </cell>
          <cell r="J3033" t="str">
            <v>bueno</v>
          </cell>
          <cell r="K3033" t="str">
            <v>probsi</v>
          </cell>
        </row>
        <row r="3034">
          <cell r="B3034" t="b">
            <v>1</v>
          </cell>
          <cell r="E3034" t="str">
            <v>Arroyo de Piedra</v>
          </cell>
          <cell r="H3034" t="str">
            <v>salud_oral</v>
          </cell>
          <cell r="J3034" t="str">
            <v>bueno</v>
          </cell>
          <cell r="K3034" t="str">
            <v>probsi</v>
          </cell>
        </row>
        <row r="3035">
          <cell r="B3035" t="b">
            <v>1</v>
          </cell>
          <cell r="E3035" t="str">
            <v>Arroyo de Piedra</v>
          </cell>
          <cell r="H3035" t="str">
            <v>salud_oral</v>
          </cell>
          <cell r="J3035" t="str">
            <v>bueno</v>
          </cell>
          <cell r="K3035" t="str">
            <v>probsi</v>
          </cell>
        </row>
        <row r="3036">
          <cell r="B3036" t="b">
            <v>1</v>
          </cell>
          <cell r="E3036" t="str">
            <v>Bayunca</v>
          </cell>
          <cell r="H3036" t="str">
            <v>urgencia</v>
          </cell>
          <cell r="J3036" t="str">
            <v>bueno</v>
          </cell>
          <cell r="K3036" t="str">
            <v>defsi</v>
          </cell>
        </row>
        <row r="3037">
          <cell r="B3037" t="b">
            <v>1</v>
          </cell>
          <cell r="E3037" t="str">
            <v>Arroyo de Piedra</v>
          </cell>
          <cell r="H3037" t="str">
            <v>laboratorio</v>
          </cell>
          <cell r="J3037" t="str">
            <v>bueno</v>
          </cell>
          <cell r="K3037" t="str">
            <v>probsi</v>
          </cell>
        </row>
        <row r="3038">
          <cell r="B3038" t="b">
            <v>1</v>
          </cell>
          <cell r="E3038" t="str">
            <v>Arroyo de Piedra</v>
          </cell>
          <cell r="H3038" t="str">
            <v>laboratorio</v>
          </cell>
          <cell r="J3038" t="str">
            <v>bueno</v>
          </cell>
          <cell r="K3038" t="str">
            <v>probsi</v>
          </cell>
        </row>
        <row r="3039">
          <cell r="B3039" t="b">
            <v>1</v>
          </cell>
          <cell r="E3039" t="str">
            <v>Arroyo de Piedra</v>
          </cell>
          <cell r="H3039" t="str">
            <v>laboratorio</v>
          </cell>
          <cell r="J3039" t="str">
            <v>bueno</v>
          </cell>
          <cell r="K3039" t="str">
            <v>probsi</v>
          </cell>
        </row>
        <row r="3040">
          <cell r="B3040" t="b">
            <v>1</v>
          </cell>
          <cell r="E3040" t="str">
            <v>Arroyo de Piedra</v>
          </cell>
          <cell r="H3040" t="str">
            <v>laboratorio</v>
          </cell>
          <cell r="J3040" t="str">
            <v>bueno</v>
          </cell>
          <cell r="K3040" t="str">
            <v>probsi</v>
          </cell>
        </row>
        <row r="3041">
          <cell r="B3041" t="b">
            <v>1</v>
          </cell>
          <cell r="E3041" t="str">
            <v>Arroyo de Piedra</v>
          </cell>
          <cell r="H3041" t="str">
            <v>laboratorio</v>
          </cell>
          <cell r="J3041" t="str">
            <v>bueno</v>
          </cell>
          <cell r="K3041" t="str">
            <v>probsi</v>
          </cell>
        </row>
        <row r="3042">
          <cell r="B3042" t="b">
            <v>1</v>
          </cell>
          <cell r="E3042" t="str">
            <v>Arroyo de Piedra</v>
          </cell>
          <cell r="H3042" t="str">
            <v>laboratorio</v>
          </cell>
          <cell r="J3042" t="str">
            <v>bueno</v>
          </cell>
          <cell r="K3042" t="str">
            <v>probsi</v>
          </cell>
        </row>
        <row r="3043">
          <cell r="B3043" t="b">
            <v>1</v>
          </cell>
          <cell r="E3043" t="str">
            <v>Arroyo de Piedra</v>
          </cell>
          <cell r="H3043" t="str">
            <v>laboratorio</v>
          </cell>
          <cell r="J3043" t="str">
            <v>bueno</v>
          </cell>
          <cell r="K3043" t="str">
            <v>probsi</v>
          </cell>
        </row>
        <row r="3044">
          <cell r="B3044" t="b">
            <v>1</v>
          </cell>
          <cell r="E3044" t="str">
            <v>Bayunca</v>
          </cell>
          <cell r="H3044" t="str">
            <v>consulta_externa</v>
          </cell>
          <cell r="J3044" t="str">
            <v>bueno</v>
          </cell>
          <cell r="K3044" t="str">
            <v>defsi</v>
          </cell>
        </row>
        <row r="3045">
          <cell r="B3045" t="b">
            <v>1</v>
          </cell>
          <cell r="E3045" t="str">
            <v>Bayunca</v>
          </cell>
          <cell r="H3045" t="str">
            <v>salud_oral</v>
          </cell>
          <cell r="J3045" t="str">
            <v>bueno</v>
          </cell>
          <cell r="K3045" t="str">
            <v>defsi</v>
          </cell>
        </row>
        <row r="3046">
          <cell r="B3046" t="b">
            <v>1</v>
          </cell>
          <cell r="E3046" t="str">
            <v>Bayunca</v>
          </cell>
          <cell r="H3046" t="str">
            <v>laboratorio</v>
          </cell>
          <cell r="J3046" t="str">
            <v>bueno</v>
          </cell>
          <cell r="K3046" t="str">
            <v>defsi</v>
          </cell>
        </row>
        <row r="3047">
          <cell r="B3047" t="b">
            <v>1</v>
          </cell>
          <cell r="E3047" t="str">
            <v>Arroyo Grande</v>
          </cell>
          <cell r="H3047" t="str">
            <v>consulta_externa</v>
          </cell>
          <cell r="J3047" t="str">
            <v>bueno</v>
          </cell>
          <cell r="K3047" t="str">
            <v>probsi</v>
          </cell>
        </row>
        <row r="3048">
          <cell r="B3048" t="b">
            <v>1</v>
          </cell>
          <cell r="E3048" t="str">
            <v>Blasdelezo</v>
          </cell>
          <cell r="H3048" t="str">
            <v>medicina_interna</v>
          </cell>
          <cell r="J3048" t="str">
            <v>bueno</v>
          </cell>
          <cell r="K3048" t="str">
            <v>defsi</v>
          </cell>
        </row>
        <row r="3049">
          <cell r="B3049" t="b">
            <v>1</v>
          </cell>
          <cell r="E3049" t="str">
            <v>Arroyo Grande</v>
          </cell>
          <cell r="H3049" t="str">
            <v>laboratorio</v>
          </cell>
          <cell r="J3049" t="str">
            <v>bueno</v>
          </cell>
          <cell r="K3049" t="str">
            <v>probsi</v>
          </cell>
        </row>
        <row r="3050">
          <cell r="B3050" t="b">
            <v>1</v>
          </cell>
          <cell r="E3050" t="str">
            <v>Arroyo Grande</v>
          </cell>
          <cell r="H3050" t="str">
            <v>laboratorio</v>
          </cell>
          <cell r="J3050" t="str">
            <v>bueno</v>
          </cell>
          <cell r="K3050" t="str">
            <v>probsi</v>
          </cell>
        </row>
        <row r="3051">
          <cell r="B3051" t="b">
            <v>1</v>
          </cell>
          <cell r="E3051" t="str">
            <v>Arroyo Grande</v>
          </cell>
          <cell r="H3051" t="str">
            <v>laboratorio</v>
          </cell>
          <cell r="J3051" t="str">
            <v>bueno</v>
          </cell>
          <cell r="K3051" t="str">
            <v>probsi</v>
          </cell>
        </row>
        <row r="3052">
          <cell r="B3052" t="b">
            <v>1</v>
          </cell>
          <cell r="E3052" t="str">
            <v>Arroyo Grande</v>
          </cell>
          <cell r="H3052" t="str">
            <v>laboratorio</v>
          </cell>
          <cell r="J3052" t="str">
            <v>bueno</v>
          </cell>
          <cell r="K3052" t="str">
            <v>probsi</v>
          </cell>
        </row>
        <row r="3053">
          <cell r="B3053" t="b">
            <v>1</v>
          </cell>
          <cell r="E3053" t="str">
            <v>Arroyo Grande</v>
          </cell>
          <cell r="H3053" t="str">
            <v>laboratorio</v>
          </cell>
          <cell r="J3053" t="str">
            <v>bueno</v>
          </cell>
          <cell r="K3053" t="str">
            <v>probsi</v>
          </cell>
        </row>
        <row r="3054">
          <cell r="B3054" t="b">
            <v>1</v>
          </cell>
          <cell r="E3054" t="str">
            <v>Arroyo Grande</v>
          </cell>
          <cell r="H3054" t="str">
            <v>laboratorio</v>
          </cell>
          <cell r="J3054" t="str">
            <v>bueno</v>
          </cell>
          <cell r="K3054" t="str">
            <v>probsi</v>
          </cell>
        </row>
        <row r="3055">
          <cell r="B3055" t="b">
            <v>1</v>
          </cell>
          <cell r="E3055" t="str">
            <v>Arroyo Grande</v>
          </cell>
          <cell r="H3055" t="str">
            <v>laboratorio</v>
          </cell>
          <cell r="J3055" t="str">
            <v>bueno</v>
          </cell>
          <cell r="K3055" t="str">
            <v>probsi</v>
          </cell>
        </row>
        <row r="3056">
          <cell r="B3056" t="b">
            <v>1</v>
          </cell>
          <cell r="E3056" t="str">
            <v>Arroyo Grande</v>
          </cell>
          <cell r="H3056" t="str">
            <v>laboratorio</v>
          </cell>
          <cell r="J3056" t="str">
            <v>bueno</v>
          </cell>
          <cell r="K3056" t="str">
            <v>probsi</v>
          </cell>
        </row>
        <row r="3057">
          <cell r="B3057" t="b">
            <v>1</v>
          </cell>
          <cell r="E3057" t="str">
            <v>Arroyo Grande</v>
          </cell>
          <cell r="H3057" t="str">
            <v>laboratorio</v>
          </cell>
          <cell r="J3057" t="str">
            <v>bueno</v>
          </cell>
          <cell r="K3057" t="str">
            <v>probsi</v>
          </cell>
        </row>
        <row r="3058">
          <cell r="B3058" t="b">
            <v>1</v>
          </cell>
          <cell r="E3058" t="str">
            <v>Arroyo Grande</v>
          </cell>
          <cell r="H3058" t="str">
            <v>laboratorio</v>
          </cell>
          <cell r="J3058" t="str">
            <v>bueno</v>
          </cell>
          <cell r="K3058" t="str">
            <v>probsi</v>
          </cell>
        </row>
        <row r="3059">
          <cell r="B3059" t="b">
            <v>1</v>
          </cell>
          <cell r="E3059" t="str">
            <v>Arroyo Grande</v>
          </cell>
          <cell r="H3059" t="str">
            <v>laboratorio</v>
          </cell>
          <cell r="J3059" t="str">
            <v>bueno</v>
          </cell>
          <cell r="K3059" t="str">
            <v>probsi</v>
          </cell>
        </row>
        <row r="3060">
          <cell r="B3060" t="b">
            <v>1</v>
          </cell>
          <cell r="E3060" t="str">
            <v>Arroyo Grande</v>
          </cell>
          <cell r="H3060" t="str">
            <v>laboratorio</v>
          </cell>
          <cell r="J3060" t="str">
            <v>bueno</v>
          </cell>
          <cell r="K3060" t="str">
            <v>probsi</v>
          </cell>
        </row>
        <row r="3061">
          <cell r="B3061" t="b">
            <v>1</v>
          </cell>
          <cell r="E3061" t="str">
            <v>Arroyo Grande</v>
          </cell>
          <cell r="H3061" t="str">
            <v>laboratorio</v>
          </cell>
          <cell r="J3061" t="str">
            <v>bueno</v>
          </cell>
          <cell r="K3061" t="str">
            <v>probsi</v>
          </cell>
        </row>
        <row r="3062">
          <cell r="B3062" t="b">
            <v>1</v>
          </cell>
          <cell r="E3062" t="str">
            <v>Arroyo Grande</v>
          </cell>
          <cell r="H3062" t="str">
            <v>laboratorio</v>
          </cell>
          <cell r="J3062" t="str">
            <v>bueno</v>
          </cell>
          <cell r="K3062" t="str">
            <v>probsi</v>
          </cell>
        </row>
        <row r="3063">
          <cell r="B3063" t="b">
            <v>1</v>
          </cell>
          <cell r="E3063" t="str">
            <v>Arroyo Grande</v>
          </cell>
          <cell r="H3063" t="str">
            <v>laboratorio</v>
          </cell>
          <cell r="J3063" t="str">
            <v>bueno</v>
          </cell>
          <cell r="K3063" t="str">
            <v>probsi</v>
          </cell>
        </row>
        <row r="3064">
          <cell r="B3064" t="b">
            <v>1</v>
          </cell>
          <cell r="E3064" t="str">
            <v>Arroyo Grande</v>
          </cell>
          <cell r="H3064" t="str">
            <v>laboratorio</v>
          </cell>
          <cell r="J3064" t="str">
            <v>bueno</v>
          </cell>
          <cell r="K3064" t="str">
            <v>probsi</v>
          </cell>
        </row>
        <row r="3065">
          <cell r="B3065" t="b">
            <v>1</v>
          </cell>
          <cell r="E3065" t="str">
            <v>Arroyo Grande</v>
          </cell>
          <cell r="H3065" t="str">
            <v>consulta_externa</v>
          </cell>
          <cell r="J3065" t="str">
            <v>bueno</v>
          </cell>
          <cell r="K3065" t="str">
            <v>probsi</v>
          </cell>
        </row>
        <row r="3066">
          <cell r="B3066" t="b">
            <v>1</v>
          </cell>
          <cell r="E3066" t="str">
            <v>Arroyo Grande</v>
          </cell>
          <cell r="H3066" t="str">
            <v>consulta_externa</v>
          </cell>
          <cell r="J3066" t="str">
            <v>bueno</v>
          </cell>
          <cell r="K3066" t="str">
            <v>probsi</v>
          </cell>
        </row>
        <row r="3067">
          <cell r="B3067" t="b">
            <v>1</v>
          </cell>
          <cell r="E3067" t="str">
            <v>Arroyo Grande</v>
          </cell>
          <cell r="H3067" t="str">
            <v>consulta_externa</v>
          </cell>
          <cell r="J3067" t="str">
            <v>bueno</v>
          </cell>
          <cell r="K3067" t="str">
            <v>probsi</v>
          </cell>
        </row>
        <row r="3068">
          <cell r="B3068" t="b">
            <v>1</v>
          </cell>
          <cell r="E3068" t="str">
            <v>Arroyo Grande</v>
          </cell>
          <cell r="H3068" t="str">
            <v>consulta_externa</v>
          </cell>
          <cell r="J3068" t="str">
            <v>bueno</v>
          </cell>
          <cell r="K3068" t="str">
            <v>probsi</v>
          </cell>
        </row>
        <row r="3069">
          <cell r="B3069" t="b">
            <v>1</v>
          </cell>
          <cell r="E3069" t="str">
            <v>Arroyo Grande</v>
          </cell>
          <cell r="H3069" t="str">
            <v>consulta_externa</v>
          </cell>
          <cell r="J3069" t="str">
            <v>bueno</v>
          </cell>
          <cell r="K3069" t="str">
            <v>probsi</v>
          </cell>
        </row>
        <row r="3070">
          <cell r="B3070" t="b">
            <v>1</v>
          </cell>
          <cell r="E3070" t="str">
            <v>Blasdelezo</v>
          </cell>
          <cell r="H3070" t="str">
            <v>medicina_interna</v>
          </cell>
          <cell r="J3070" t="str">
            <v>bueno</v>
          </cell>
          <cell r="K3070" t="str">
            <v>defsi</v>
          </cell>
        </row>
        <row r="3071">
          <cell r="B3071" t="b">
            <v>1</v>
          </cell>
          <cell r="E3071" t="str">
            <v>Arroyo Grande</v>
          </cell>
          <cell r="H3071" t="str">
            <v>consulta_externa</v>
          </cell>
          <cell r="J3071" t="str">
            <v>bueno</v>
          </cell>
          <cell r="K3071" t="str">
            <v>probsi</v>
          </cell>
        </row>
        <row r="3072">
          <cell r="B3072" t="b">
            <v>1</v>
          </cell>
          <cell r="E3072" t="str">
            <v>Arroyo Grande</v>
          </cell>
          <cell r="H3072" t="str">
            <v>consulta_externa</v>
          </cell>
          <cell r="J3072" t="str">
            <v>bueno</v>
          </cell>
          <cell r="K3072" t="str">
            <v>probsi</v>
          </cell>
        </row>
        <row r="3073">
          <cell r="B3073" t="b">
            <v>1</v>
          </cell>
          <cell r="E3073" t="str">
            <v>Blasdelezo</v>
          </cell>
          <cell r="H3073" t="str">
            <v>laboratorio</v>
          </cell>
          <cell r="J3073" t="str">
            <v>bueno</v>
          </cell>
          <cell r="K3073" t="str">
            <v>defsi</v>
          </cell>
        </row>
        <row r="3074">
          <cell r="B3074" t="b">
            <v>1</v>
          </cell>
          <cell r="E3074" t="str">
            <v>Arroyo Grande</v>
          </cell>
          <cell r="H3074" t="str">
            <v>consulta_externa</v>
          </cell>
          <cell r="J3074" t="str">
            <v>bueno</v>
          </cell>
          <cell r="K3074" t="str">
            <v>probsi</v>
          </cell>
        </row>
        <row r="3075">
          <cell r="B3075" t="b">
            <v>1</v>
          </cell>
          <cell r="E3075" t="str">
            <v>Arroyo Grande</v>
          </cell>
          <cell r="H3075" t="str">
            <v>consulta_externa</v>
          </cell>
          <cell r="J3075" t="str">
            <v>bueno</v>
          </cell>
          <cell r="K3075" t="str">
            <v>probsi</v>
          </cell>
        </row>
        <row r="3076">
          <cell r="B3076" t="b">
            <v>1</v>
          </cell>
          <cell r="E3076" t="str">
            <v>Blasdelezo</v>
          </cell>
          <cell r="H3076" t="str">
            <v>laboratorio</v>
          </cell>
          <cell r="J3076" t="str">
            <v>bueno</v>
          </cell>
          <cell r="K3076" t="str">
            <v>defsi</v>
          </cell>
        </row>
        <row r="3077">
          <cell r="B3077" t="b">
            <v>1</v>
          </cell>
          <cell r="E3077" t="str">
            <v>Arroyo Grande</v>
          </cell>
          <cell r="H3077" t="str">
            <v>salud_oral</v>
          </cell>
          <cell r="J3077" t="str">
            <v>bueno</v>
          </cell>
          <cell r="K3077" t="str">
            <v>defsi</v>
          </cell>
        </row>
        <row r="3078">
          <cell r="B3078" t="b">
            <v>0</v>
          </cell>
          <cell r="E3078" t="str">
            <v>Blasdelezo</v>
          </cell>
          <cell r="H3078" t="str">
            <v>consulta_externa</v>
          </cell>
          <cell r="J3078" t="str">
            <v>regular</v>
          </cell>
          <cell r="K3078" t="str">
            <v>probsi</v>
          </cell>
        </row>
        <row r="3079">
          <cell r="B3079" t="b">
            <v>1</v>
          </cell>
          <cell r="E3079" t="str">
            <v>Arroyo Grande</v>
          </cell>
          <cell r="H3079" t="str">
            <v>salud_oral</v>
          </cell>
          <cell r="J3079" t="str">
            <v>bueno</v>
          </cell>
          <cell r="K3079" t="str">
            <v>defsi</v>
          </cell>
        </row>
        <row r="3080">
          <cell r="B3080" t="b">
            <v>1</v>
          </cell>
          <cell r="E3080" t="str">
            <v>Arroyo Grande</v>
          </cell>
          <cell r="H3080" t="str">
            <v>salud_oral</v>
          </cell>
          <cell r="J3080" t="str">
            <v>bueno</v>
          </cell>
          <cell r="K3080" t="str">
            <v>defsi</v>
          </cell>
        </row>
        <row r="3081">
          <cell r="B3081" t="b">
            <v>1</v>
          </cell>
          <cell r="E3081" t="str">
            <v>Bayunca</v>
          </cell>
          <cell r="H3081" t="str">
            <v>urgencia</v>
          </cell>
          <cell r="J3081" t="str">
            <v>bueno</v>
          </cell>
          <cell r="K3081" t="str">
            <v>defsi</v>
          </cell>
        </row>
        <row r="3082">
          <cell r="B3082" t="b">
            <v>1</v>
          </cell>
          <cell r="E3082" t="str">
            <v>Blasdelezo</v>
          </cell>
          <cell r="H3082" t="str">
            <v>consulta_externa</v>
          </cell>
          <cell r="J3082" t="str">
            <v>bueno</v>
          </cell>
          <cell r="K3082" t="str">
            <v>probsi</v>
          </cell>
        </row>
        <row r="3083">
          <cell r="B3083" t="b">
            <v>0</v>
          </cell>
          <cell r="E3083" t="str">
            <v>Blasdelezo</v>
          </cell>
          <cell r="H3083" t="str">
            <v>laboratorio</v>
          </cell>
          <cell r="J3083" t="str">
            <v>regular</v>
          </cell>
          <cell r="K3083" t="str">
            <v>probsi</v>
          </cell>
        </row>
        <row r="3084">
          <cell r="B3084" t="b">
            <v>0</v>
          </cell>
          <cell r="E3084" t="str">
            <v>Blasdelezo</v>
          </cell>
          <cell r="H3084" t="str">
            <v>consulta_externa</v>
          </cell>
          <cell r="J3084" t="str">
            <v>regular</v>
          </cell>
          <cell r="K3084" t="str">
            <v>probsi</v>
          </cell>
        </row>
        <row r="3085">
          <cell r="B3085" t="b">
            <v>0</v>
          </cell>
          <cell r="E3085" t="str">
            <v>Blasdelezo</v>
          </cell>
          <cell r="H3085" t="str">
            <v>laboratorio</v>
          </cell>
          <cell r="J3085" t="str">
            <v>regular</v>
          </cell>
          <cell r="K3085" t="str">
            <v>probsi</v>
          </cell>
        </row>
        <row r="3086">
          <cell r="B3086" t="b">
            <v>1</v>
          </cell>
          <cell r="E3086" t="str">
            <v>Bayunca</v>
          </cell>
          <cell r="H3086" t="str">
            <v>consulta_externa</v>
          </cell>
          <cell r="J3086" t="str">
            <v>bueno</v>
          </cell>
          <cell r="K3086" t="str">
            <v>defsi</v>
          </cell>
        </row>
        <row r="3087">
          <cell r="B3087" t="b">
            <v>0</v>
          </cell>
          <cell r="E3087" t="str">
            <v>Blasdelezo</v>
          </cell>
          <cell r="H3087" t="str">
            <v>consulta_externa</v>
          </cell>
          <cell r="J3087" t="str">
            <v>regular</v>
          </cell>
          <cell r="K3087" t="str">
            <v>probsi</v>
          </cell>
        </row>
        <row r="3088">
          <cell r="B3088" t="b">
            <v>1</v>
          </cell>
          <cell r="E3088" t="str">
            <v>Bayunca</v>
          </cell>
          <cell r="H3088" t="str">
            <v>salud_oral</v>
          </cell>
          <cell r="J3088" t="str">
            <v>bueno</v>
          </cell>
          <cell r="K3088" t="str">
            <v>defsi</v>
          </cell>
        </row>
        <row r="3089">
          <cell r="B3089" t="b">
            <v>1</v>
          </cell>
          <cell r="E3089" t="str">
            <v>Bayunca</v>
          </cell>
          <cell r="H3089" t="str">
            <v>laboratorio</v>
          </cell>
          <cell r="J3089" t="str">
            <v>bueno</v>
          </cell>
          <cell r="K3089" t="str">
            <v>defsi</v>
          </cell>
        </row>
        <row r="3090">
          <cell r="B3090" t="b">
            <v>1</v>
          </cell>
          <cell r="E3090" t="str">
            <v>Blasdelezo</v>
          </cell>
          <cell r="H3090" t="str">
            <v>medicina_interna</v>
          </cell>
          <cell r="J3090" t="str">
            <v>bueno</v>
          </cell>
          <cell r="K3090" t="str">
            <v>defsi</v>
          </cell>
        </row>
        <row r="3091">
          <cell r="B3091" t="b">
            <v>1</v>
          </cell>
          <cell r="E3091" t="str">
            <v>Bayunca</v>
          </cell>
          <cell r="H3091" t="str">
            <v>urgencia</v>
          </cell>
          <cell r="J3091" t="str">
            <v>bueno</v>
          </cell>
          <cell r="K3091" t="str">
            <v>defsi</v>
          </cell>
        </row>
        <row r="3092">
          <cell r="B3092" t="b">
            <v>1</v>
          </cell>
          <cell r="E3092" t="str">
            <v>Blasdelezo</v>
          </cell>
          <cell r="H3092" t="str">
            <v>pediatria</v>
          </cell>
          <cell r="J3092" t="str">
            <v>bueno</v>
          </cell>
          <cell r="K3092" t="str">
            <v>defsi</v>
          </cell>
        </row>
        <row r="3093">
          <cell r="B3093" t="b">
            <v>1</v>
          </cell>
          <cell r="E3093" t="str">
            <v>Bayunca</v>
          </cell>
          <cell r="H3093" t="str">
            <v>consulta_externa</v>
          </cell>
          <cell r="J3093" t="str">
            <v>bueno</v>
          </cell>
          <cell r="K3093" t="str">
            <v>defsi</v>
          </cell>
        </row>
        <row r="3094">
          <cell r="B3094" t="b">
            <v>1</v>
          </cell>
          <cell r="E3094" t="str">
            <v>Bayunca</v>
          </cell>
          <cell r="H3094" t="str">
            <v>salud_oral</v>
          </cell>
          <cell r="J3094" t="str">
            <v>bueno</v>
          </cell>
          <cell r="K3094" t="str">
            <v>defsi</v>
          </cell>
        </row>
        <row r="3095">
          <cell r="B3095" t="b">
            <v>1</v>
          </cell>
          <cell r="E3095" t="str">
            <v>Blasdelezo</v>
          </cell>
          <cell r="H3095" t="str">
            <v>medicina_interna</v>
          </cell>
          <cell r="J3095" t="str">
            <v>bueno</v>
          </cell>
          <cell r="K3095" t="str">
            <v>defsi</v>
          </cell>
        </row>
        <row r="3096">
          <cell r="B3096" t="b">
            <v>1</v>
          </cell>
          <cell r="E3096" t="str">
            <v>Bayunca</v>
          </cell>
          <cell r="H3096" t="str">
            <v>laboratorio</v>
          </cell>
          <cell r="J3096" t="str">
            <v>bueno</v>
          </cell>
          <cell r="K3096" t="str">
            <v>defsi</v>
          </cell>
        </row>
        <row r="3097">
          <cell r="B3097" t="b">
            <v>1</v>
          </cell>
          <cell r="E3097" t="str">
            <v>Bayunca</v>
          </cell>
          <cell r="H3097" t="str">
            <v>urgencia</v>
          </cell>
          <cell r="J3097" t="str">
            <v>bueno</v>
          </cell>
          <cell r="K3097" t="str">
            <v>defsi</v>
          </cell>
        </row>
        <row r="3098">
          <cell r="B3098" t="b">
            <v>1</v>
          </cell>
          <cell r="E3098" t="str">
            <v>Blasdelezo</v>
          </cell>
          <cell r="H3098" t="str">
            <v>pediatria</v>
          </cell>
          <cell r="J3098" t="str">
            <v>bueno</v>
          </cell>
          <cell r="K3098" t="str">
            <v>defsi</v>
          </cell>
        </row>
        <row r="3099">
          <cell r="B3099" t="b">
            <v>1</v>
          </cell>
          <cell r="E3099" t="str">
            <v>Blasdelezo</v>
          </cell>
          <cell r="H3099" t="str">
            <v>medicina_interna</v>
          </cell>
          <cell r="J3099" t="str">
            <v>bueno</v>
          </cell>
          <cell r="K3099" t="str">
            <v>defsi</v>
          </cell>
        </row>
        <row r="3100">
          <cell r="B3100" t="b">
            <v>1</v>
          </cell>
          <cell r="E3100" t="str">
            <v>Blasdelezo</v>
          </cell>
          <cell r="H3100" t="str">
            <v>medicina_interna</v>
          </cell>
          <cell r="J3100" t="str">
            <v>bueno</v>
          </cell>
          <cell r="K3100" t="str">
            <v>defsi</v>
          </cell>
        </row>
        <row r="3101">
          <cell r="B3101" t="b">
            <v>1</v>
          </cell>
          <cell r="E3101" t="str">
            <v>Blasdelezo</v>
          </cell>
          <cell r="H3101" t="str">
            <v>medicina_interna</v>
          </cell>
          <cell r="J3101" t="str">
            <v>muybueno</v>
          </cell>
          <cell r="K3101" t="str">
            <v>defsi</v>
          </cell>
        </row>
        <row r="3102">
          <cell r="B3102" t="b">
            <v>1</v>
          </cell>
          <cell r="E3102" t="str">
            <v>Blasdelezo</v>
          </cell>
          <cell r="H3102" t="str">
            <v>pediatria</v>
          </cell>
          <cell r="J3102" t="str">
            <v>muybueno</v>
          </cell>
          <cell r="K3102" t="str">
            <v>defsi</v>
          </cell>
        </row>
        <row r="3103">
          <cell r="B3103" t="b">
            <v>1</v>
          </cell>
          <cell r="E3103" t="str">
            <v>Bayunca</v>
          </cell>
          <cell r="H3103" t="str">
            <v>consulta_externa</v>
          </cell>
          <cell r="J3103" t="str">
            <v>bueno</v>
          </cell>
          <cell r="K3103" t="str">
            <v>defsi</v>
          </cell>
        </row>
        <row r="3104">
          <cell r="B3104" t="b">
            <v>1</v>
          </cell>
          <cell r="E3104" t="str">
            <v>Bayunca</v>
          </cell>
          <cell r="H3104" t="str">
            <v>salud_oral</v>
          </cell>
          <cell r="J3104" t="str">
            <v>bueno</v>
          </cell>
          <cell r="K3104" t="str">
            <v>defsi</v>
          </cell>
        </row>
        <row r="3105">
          <cell r="B3105" t="b">
            <v>1</v>
          </cell>
          <cell r="E3105" t="str">
            <v>Bayunca</v>
          </cell>
          <cell r="H3105" t="str">
            <v>laboratorio</v>
          </cell>
          <cell r="J3105" t="str">
            <v>bueno</v>
          </cell>
          <cell r="K3105" t="str">
            <v>defsi</v>
          </cell>
        </row>
        <row r="3106">
          <cell r="B3106" t="b">
            <v>1</v>
          </cell>
          <cell r="E3106" t="str">
            <v>Bayunca</v>
          </cell>
          <cell r="H3106" t="str">
            <v>urgencia</v>
          </cell>
          <cell r="J3106" t="str">
            <v>bueno</v>
          </cell>
          <cell r="K3106" t="str">
            <v>defsi</v>
          </cell>
        </row>
        <row r="3107">
          <cell r="B3107" t="b">
            <v>1</v>
          </cell>
          <cell r="E3107" t="str">
            <v>Daniel Lemaitre</v>
          </cell>
          <cell r="H3107" t="str">
            <v>consulta_externa</v>
          </cell>
          <cell r="J3107" t="str">
            <v>bueno</v>
          </cell>
          <cell r="K3107" t="str">
            <v>probsi</v>
          </cell>
        </row>
        <row r="3108">
          <cell r="B3108" t="b">
            <v>1</v>
          </cell>
          <cell r="E3108" t="str">
            <v>Daniel Lemaitre</v>
          </cell>
          <cell r="H3108" t="str">
            <v>consulta_externa</v>
          </cell>
          <cell r="J3108" t="str">
            <v>bueno</v>
          </cell>
          <cell r="K3108" t="str">
            <v>probsi</v>
          </cell>
        </row>
        <row r="3109">
          <cell r="B3109" t="b">
            <v>1</v>
          </cell>
          <cell r="E3109" t="str">
            <v>Daniel Lemaitre</v>
          </cell>
          <cell r="H3109" t="str">
            <v>consulta_externa</v>
          </cell>
          <cell r="J3109" t="str">
            <v>bueno</v>
          </cell>
          <cell r="K3109" t="str">
            <v>probsi</v>
          </cell>
        </row>
        <row r="3110">
          <cell r="B3110" t="b">
            <v>1</v>
          </cell>
          <cell r="E3110" t="str">
            <v>Daniel Lemaitre</v>
          </cell>
          <cell r="H3110" t="str">
            <v>consulta_externa</v>
          </cell>
          <cell r="J3110" t="str">
            <v>bueno</v>
          </cell>
          <cell r="K3110" t="str">
            <v>probsi</v>
          </cell>
        </row>
        <row r="3111">
          <cell r="B3111" t="b">
            <v>1</v>
          </cell>
          <cell r="E3111" t="str">
            <v>Daniel Lemaitre</v>
          </cell>
          <cell r="H3111" t="str">
            <v>consulta_externa</v>
          </cell>
          <cell r="J3111" t="str">
            <v>bueno</v>
          </cell>
          <cell r="K3111" t="str">
            <v>probsi</v>
          </cell>
        </row>
        <row r="3112">
          <cell r="B3112" t="b">
            <v>1</v>
          </cell>
          <cell r="E3112" t="str">
            <v>Daniel Lemaitre</v>
          </cell>
          <cell r="H3112" t="str">
            <v>consulta_externa</v>
          </cell>
          <cell r="J3112" t="str">
            <v>bueno</v>
          </cell>
          <cell r="K3112" t="str">
            <v>probsi</v>
          </cell>
        </row>
        <row r="3113">
          <cell r="B3113" t="b">
            <v>1</v>
          </cell>
          <cell r="E3113" t="str">
            <v>Daniel Lemaitre</v>
          </cell>
          <cell r="H3113" t="str">
            <v>consulta_externa</v>
          </cell>
          <cell r="J3113" t="str">
            <v>bueno</v>
          </cell>
          <cell r="K3113" t="str">
            <v>probsi</v>
          </cell>
        </row>
        <row r="3114">
          <cell r="B3114" t="b">
            <v>1</v>
          </cell>
          <cell r="E3114" t="str">
            <v>Daniel Lemaitre</v>
          </cell>
          <cell r="H3114" t="str">
            <v>consulta_externa</v>
          </cell>
          <cell r="J3114" t="str">
            <v>bueno</v>
          </cell>
          <cell r="K3114" t="str">
            <v>probsi</v>
          </cell>
        </row>
        <row r="3115">
          <cell r="B3115" t="b">
            <v>1</v>
          </cell>
          <cell r="E3115" t="str">
            <v>Daniel Lemaitre</v>
          </cell>
          <cell r="H3115" t="str">
            <v>consulta_externa</v>
          </cell>
          <cell r="J3115" t="str">
            <v>bueno</v>
          </cell>
          <cell r="K3115" t="str">
            <v>probsi</v>
          </cell>
        </row>
        <row r="3116">
          <cell r="B3116" t="b">
            <v>1</v>
          </cell>
          <cell r="E3116" t="str">
            <v>Daniel Lemaitre</v>
          </cell>
          <cell r="H3116" t="str">
            <v>consulta_externa</v>
          </cell>
          <cell r="J3116" t="str">
            <v>bueno</v>
          </cell>
          <cell r="K3116" t="str">
            <v>probsi</v>
          </cell>
        </row>
        <row r="3117">
          <cell r="B3117" t="b">
            <v>1</v>
          </cell>
          <cell r="E3117" t="str">
            <v>Daniel Lemaitre</v>
          </cell>
          <cell r="H3117" t="str">
            <v>consulta_externa</v>
          </cell>
          <cell r="J3117" t="str">
            <v>bueno</v>
          </cell>
          <cell r="K3117" t="str">
            <v>probsi</v>
          </cell>
        </row>
        <row r="3118">
          <cell r="B3118" t="b">
            <v>1</v>
          </cell>
          <cell r="E3118" t="str">
            <v>Daniel Lemaitre</v>
          </cell>
          <cell r="H3118" t="str">
            <v>consulta_externa</v>
          </cell>
          <cell r="J3118" t="str">
            <v>bueno</v>
          </cell>
          <cell r="K3118" t="str">
            <v>probsi</v>
          </cell>
        </row>
        <row r="3119">
          <cell r="B3119" t="b">
            <v>1</v>
          </cell>
          <cell r="E3119" t="str">
            <v>Arroyo Grande</v>
          </cell>
          <cell r="H3119" t="str">
            <v>consulta_externa</v>
          </cell>
          <cell r="J3119" t="str">
            <v>bueno</v>
          </cell>
          <cell r="K3119" t="str">
            <v>probsi</v>
          </cell>
        </row>
        <row r="3120">
          <cell r="B3120" t="b">
            <v>1</v>
          </cell>
          <cell r="E3120" t="str">
            <v>Arroyo Grande</v>
          </cell>
          <cell r="H3120" t="str">
            <v>consulta_externa</v>
          </cell>
          <cell r="J3120" t="str">
            <v>bueno</v>
          </cell>
          <cell r="K3120" t="str">
            <v>probsi</v>
          </cell>
        </row>
        <row r="3121">
          <cell r="B3121" t="b">
            <v>1</v>
          </cell>
          <cell r="E3121" t="str">
            <v>Arroyo Grande</v>
          </cell>
          <cell r="H3121" t="str">
            <v>consulta_externa</v>
          </cell>
          <cell r="J3121" t="str">
            <v>bueno</v>
          </cell>
          <cell r="K3121" t="str">
            <v>probsi</v>
          </cell>
        </row>
        <row r="3122">
          <cell r="B3122" t="b">
            <v>1</v>
          </cell>
          <cell r="E3122" t="str">
            <v>Arroyo Grande</v>
          </cell>
          <cell r="H3122" t="str">
            <v>consulta_externa</v>
          </cell>
          <cell r="J3122" t="str">
            <v>bueno</v>
          </cell>
          <cell r="K3122" t="str">
            <v>probsi</v>
          </cell>
        </row>
        <row r="3123">
          <cell r="B3123" t="b">
            <v>1</v>
          </cell>
          <cell r="E3123" t="str">
            <v>Arroyo Grande</v>
          </cell>
          <cell r="H3123" t="str">
            <v>consulta_externa</v>
          </cell>
          <cell r="J3123" t="str">
            <v>bueno</v>
          </cell>
          <cell r="K3123" t="str">
            <v>probsi</v>
          </cell>
        </row>
        <row r="3124">
          <cell r="B3124" t="b">
            <v>1</v>
          </cell>
          <cell r="E3124" t="str">
            <v>Arroyo Grande</v>
          </cell>
          <cell r="H3124" t="str">
            <v>consulta_externa</v>
          </cell>
          <cell r="J3124" t="str">
            <v>bueno</v>
          </cell>
          <cell r="K3124" t="str">
            <v>probsi</v>
          </cell>
        </row>
        <row r="3125">
          <cell r="B3125" t="b">
            <v>1</v>
          </cell>
          <cell r="E3125" t="str">
            <v>Arroyo Grande</v>
          </cell>
          <cell r="H3125" t="str">
            <v>laboratorio</v>
          </cell>
          <cell r="J3125" t="str">
            <v>bueno</v>
          </cell>
          <cell r="K3125" t="str">
            <v>probsi</v>
          </cell>
        </row>
        <row r="3126">
          <cell r="B3126" t="b">
            <v>1</v>
          </cell>
          <cell r="E3126" t="str">
            <v>Arroyo Grande</v>
          </cell>
          <cell r="H3126" t="str">
            <v>laboratorio</v>
          </cell>
          <cell r="J3126" t="str">
            <v>bueno</v>
          </cell>
          <cell r="K3126" t="str">
            <v>probsi</v>
          </cell>
        </row>
        <row r="3127">
          <cell r="B3127" t="b">
            <v>0</v>
          </cell>
          <cell r="E3127" t="str">
            <v>Daniel Lemaitre</v>
          </cell>
          <cell r="H3127" t="str">
            <v>salud_oral</v>
          </cell>
          <cell r="J3127" t="str">
            <v>regular</v>
          </cell>
          <cell r="K3127" t="str">
            <v>probsi</v>
          </cell>
        </row>
        <row r="3128">
          <cell r="B3128" t="b">
            <v>0</v>
          </cell>
          <cell r="E3128" t="str">
            <v>Daniel Lemaitre</v>
          </cell>
          <cell r="H3128" t="str">
            <v>salud_oral</v>
          </cell>
          <cell r="J3128" t="str">
            <v>regular</v>
          </cell>
          <cell r="K3128" t="str">
            <v>probsi</v>
          </cell>
        </row>
        <row r="3129">
          <cell r="B3129" t="b">
            <v>1</v>
          </cell>
          <cell r="E3129" t="str">
            <v>Arroyo Grande</v>
          </cell>
          <cell r="H3129" t="str">
            <v>salud_oral</v>
          </cell>
          <cell r="J3129" t="str">
            <v>bueno</v>
          </cell>
          <cell r="K3129" t="str">
            <v>probsi</v>
          </cell>
        </row>
        <row r="3130">
          <cell r="B3130" t="b">
            <v>1</v>
          </cell>
          <cell r="E3130" t="str">
            <v>Daniel Lemaitre</v>
          </cell>
          <cell r="H3130" t="str">
            <v>salud_oral</v>
          </cell>
          <cell r="J3130" t="str">
            <v>bueno</v>
          </cell>
          <cell r="K3130" t="str">
            <v>probsi</v>
          </cell>
        </row>
        <row r="3131">
          <cell r="B3131" t="b">
            <v>1</v>
          </cell>
          <cell r="E3131" t="str">
            <v>Arroyo Grande</v>
          </cell>
          <cell r="H3131" t="str">
            <v>salud_oral</v>
          </cell>
          <cell r="J3131" t="str">
            <v>bueno</v>
          </cell>
          <cell r="K3131" t="str">
            <v>probsi</v>
          </cell>
        </row>
        <row r="3132">
          <cell r="B3132" t="b">
            <v>1</v>
          </cell>
          <cell r="E3132" t="str">
            <v>Daniel Lemaitre</v>
          </cell>
          <cell r="H3132" t="str">
            <v>salud_oral</v>
          </cell>
          <cell r="J3132" t="str">
            <v>bueno</v>
          </cell>
          <cell r="K3132" t="str">
            <v>probsi</v>
          </cell>
        </row>
        <row r="3133">
          <cell r="B3133" t="b">
            <v>1</v>
          </cell>
          <cell r="E3133" t="str">
            <v>Arroyo Grande</v>
          </cell>
          <cell r="H3133" t="str">
            <v>salud_oral</v>
          </cell>
          <cell r="J3133" t="str">
            <v>bueno</v>
          </cell>
          <cell r="K3133" t="str">
            <v>probsi</v>
          </cell>
        </row>
        <row r="3134">
          <cell r="B3134" t="b">
            <v>1</v>
          </cell>
          <cell r="E3134" t="str">
            <v>Daniel Lemaitre</v>
          </cell>
          <cell r="H3134" t="str">
            <v>salud_oral</v>
          </cell>
          <cell r="J3134" t="str">
            <v>bueno</v>
          </cell>
          <cell r="K3134" t="str">
            <v>probsi</v>
          </cell>
        </row>
        <row r="3135">
          <cell r="B3135" t="b">
            <v>1</v>
          </cell>
          <cell r="E3135" t="str">
            <v>Daniel Lemaitre</v>
          </cell>
          <cell r="H3135" t="str">
            <v>salud_oral</v>
          </cell>
          <cell r="J3135" t="str">
            <v>bueno</v>
          </cell>
          <cell r="K3135" t="str">
            <v>probsi</v>
          </cell>
        </row>
        <row r="3136">
          <cell r="B3136" t="b">
            <v>1</v>
          </cell>
          <cell r="E3136" t="str">
            <v>Daniel Lemaitre</v>
          </cell>
          <cell r="H3136" t="str">
            <v>salud_oral</v>
          </cell>
          <cell r="J3136" t="str">
            <v>bueno</v>
          </cell>
          <cell r="K3136" t="str">
            <v>probsi</v>
          </cell>
        </row>
        <row r="3137">
          <cell r="B3137" t="b">
            <v>1</v>
          </cell>
          <cell r="E3137" t="str">
            <v>Daniel Lemaitre</v>
          </cell>
          <cell r="H3137" t="str">
            <v>salud_oral</v>
          </cell>
          <cell r="J3137" t="str">
            <v>bueno</v>
          </cell>
          <cell r="K3137" t="str">
            <v>probsi</v>
          </cell>
        </row>
        <row r="3138">
          <cell r="B3138" t="b">
            <v>1</v>
          </cell>
          <cell r="E3138" t="str">
            <v>Daniel Lemaitre</v>
          </cell>
          <cell r="H3138" t="str">
            <v>salud_oral</v>
          </cell>
          <cell r="J3138" t="str">
            <v>bueno</v>
          </cell>
          <cell r="K3138" t="str">
            <v>probsi</v>
          </cell>
        </row>
        <row r="3139">
          <cell r="B3139" t="b">
            <v>1</v>
          </cell>
          <cell r="E3139" t="str">
            <v>Daniel Lemaitre</v>
          </cell>
          <cell r="H3139" t="str">
            <v>salud_oral</v>
          </cell>
          <cell r="J3139" t="str">
            <v>bueno</v>
          </cell>
          <cell r="K3139" t="str">
            <v>probsi</v>
          </cell>
        </row>
        <row r="3140">
          <cell r="B3140" t="b">
            <v>1</v>
          </cell>
          <cell r="E3140" t="str">
            <v>Daniel Lemaitre</v>
          </cell>
          <cell r="H3140" t="str">
            <v>salud_oral</v>
          </cell>
          <cell r="J3140" t="str">
            <v>bueno</v>
          </cell>
          <cell r="K3140" t="str">
            <v>probsi</v>
          </cell>
        </row>
        <row r="3141">
          <cell r="B3141" t="b">
            <v>1</v>
          </cell>
          <cell r="E3141" t="str">
            <v>Daniel Lemaitre</v>
          </cell>
          <cell r="H3141" t="str">
            <v>salud_oral</v>
          </cell>
          <cell r="J3141" t="str">
            <v>bueno</v>
          </cell>
          <cell r="K3141" t="str">
            <v>probsi</v>
          </cell>
        </row>
        <row r="3142">
          <cell r="B3142" t="b">
            <v>1</v>
          </cell>
          <cell r="E3142" t="str">
            <v>Daniel Lemaitre</v>
          </cell>
          <cell r="H3142" t="str">
            <v>laboratorio</v>
          </cell>
          <cell r="J3142" t="str">
            <v>bueno</v>
          </cell>
          <cell r="K3142" t="str">
            <v>probsi</v>
          </cell>
        </row>
        <row r="3143">
          <cell r="B3143" t="b">
            <v>1</v>
          </cell>
          <cell r="E3143" t="str">
            <v>Daniel Lemaitre</v>
          </cell>
          <cell r="H3143" t="str">
            <v>laboratorio</v>
          </cell>
          <cell r="J3143" t="str">
            <v>bueno</v>
          </cell>
          <cell r="K3143" t="str">
            <v>probsi</v>
          </cell>
        </row>
        <row r="3144">
          <cell r="B3144" t="b">
            <v>1</v>
          </cell>
          <cell r="E3144" t="str">
            <v>Daniel Lemaitre</v>
          </cell>
          <cell r="H3144" t="str">
            <v>laboratorio</v>
          </cell>
          <cell r="J3144" t="str">
            <v>bueno</v>
          </cell>
          <cell r="K3144" t="str">
            <v>probsi</v>
          </cell>
        </row>
        <row r="3145">
          <cell r="B3145" t="b">
            <v>1</v>
          </cell>
          <cell r="E3145" t="str">
            <v>Daniel Lemaitre</v>
          </cell>
          <cell r="H3145" t="str">
            <v>laboratorio</v>
          </cell>
          <cell r="J3145" t="str">
            <v>bueno</v>
          </cell>
          <cell r="K3145" t="str">
            <v>probsi</v>
          </cell>
        </row>
        <row r="3146">
          <cell r="B3146" t="b">
            <v>1</v>
          </cell>
          <cell r="E3146" t="str">
            <v>Daniel Lemaitre</v>
          </cell>
          <cell r="H3146" t="str">
            <v>laboratorio</v>
          </cell>
          <cell r="J3146" t="str">
            <v>bueno</v>
          </cell>
          <cell r="K3146" t="str">
            <v>probsi</v>
          </cell>
        </row>
        <row r="3147">
          <cell r="B3147" t="b">
            <v>1</v>
          </cell>
          <cell r="E3147" t="str">
            <v>Daniel Lemaitre</v>
          </cell>
          <cell r="H3147" t="str">
            <v>laboratorio</v>
          </cell>
          <cell r="J3147" t="str">
            <v>bueno</v>
          </cell>
          <cell r="K3147" t="str">
            <v>probsi</v>
          </cell>
        </row>
        <row r="3148">
          <cell r="B3148" t="b">
            <v>1</v>
          </cell>
          <cell r="E3148" t="str">
            <v>Daniel Lemaitre</v>
          </cell>
          <cell r="H3148" t="str">
            <v>laboratorio</v>
          </cell>
          <cell r="J3148" t="str">
            <v>bueno</v>
          </cell>
          <cell r="K3148" t="str">
            <v>probsi</v>
          </cell>
        </row>
        <row r="3149">
          <cell r="B3149" t="b">
            <v>1</v>
          </cell>
          <cell r="E3149" t="str">
            <v>Daniel Lemaitre</v>
          </cell>
          <cell r="H3149" t="str">
            <v>laboratorio</v>
          </cell>
          <cell r="J3149" t="str">
            <v>bueno</v>
          </cell>
          <cell r="K3149" t="str">
            <v>probsi</v>
          </cell>
        </row>
        <row r="3150">
          <cell r="B3150" t="b">
            <v>1</v>
          </cell>
          <cell r="E3150" t="str">
            <v>Daniel Lemaitre</v>
          </cell>
          <cell r="H3150" t="str">
            <v>laboratorio</v>
          </cell>
          <cell r="J3150" t="str">
            <v>bueno</v>
          </cell>
          <cell r="K3150" t="str">
            <v>probsi</v>
          </cell>
        </row>
        <row r="3151">
          <cell r="B3151" t="b">
            <v>1</v>
          </cell>
          <cell r="E3151" t="str">
            <v>Daniel Lemaitre</v>
          </cell>
          <cell r="H3151" t="str">
            <v>laboratorio</v>
          </cell>
          <cell r="J3151" t="str">
            <v>bueno</v>
          </cell>
          <cell r="K3151" t="str">
            <v>probsi</v>
          </cell>
        </row>
        <row r="3152">
          <cell r="B3152" t="b">
            <v>1</v>
          </cell>
          <cell r="E3152" t="str">
            <v>Daniel Lemaitre</v>
          </cell>
          <cell r="H3152" t="str">
            <v>laboratorio</v>
          </cell>
          <cell r="J3152" t="str">
            <v>bueno</v>
          </cell>
          <cell r="K3152" t="str">
            <v>probsi</v>
          </cell>
        </row>
        <row r="3153">
          <cell r="B3153" t="b">
            <v>1</v>
          </cell>
          <cell r="E3153" t="str">
            <v>Bayunca</v>
          </cell>
          <cell r="H3153" t="str">
            <v>consulta_externa</v>
          </cell>
          <cell r="J3153" t="str">
            <v>bueno</v>
          </cell>
          <cell r="K3153" t="str">
            <v>defsi</v>
          </cell>
        </row>
        <row r="3154">
          <cell r="B3154" t="b">
            <v>1</v>
          </cell>
          <cell r="E3154" t="str">
            <v>Bayunca</v>
          </cell>
          <cell r="H3154" t="str">
            <v>salud_oral</v>
          </cell>
          <cell r="J3154" t="str">
            <v>bueno</v>
          </cell>
          <cell r="K3154" t="str">
            <v>defsi</v>
          </cell>
        </row>
        <row r="3155">
          <cell r="B3155" t="b">
            <v>1</v>
          </cell>
          <cell r="E3155" t="str">
            <v>Arroyo Grande</v>
          </cell>
          <cell r="H3155" t="str">
            <v>consulta_externa</v>
          </cell>
          <cell r="J3155" t="str">
            <v>bueno</v>
          </cell>
          <cell r="K3155" t="str">
            <v>probsi</v>
          </cell>
        </row>
        <row r="3156">
          <cell r="B3156" t="b">
            <v>1</v>
          </cell>
          <cell r="E3156" t="str">
            <v>Arroyo Grande</v>
          </cell>
          <cell r="H3156" t="str">
            <v>consulta_externa</v>
          </cell>
          <cell r="J3156" t="str">
            <v>bueno</v>
          </cell>
          <cell r="K3156" t="str">
            <v>probsi</v>
          </cell>
        </row>
        <row r="3157">
          <cell r="B3157" t="b">
            <v>1</v>
          </cell>
          <cell r="E3157" t="str">
            <v>Arroyo Grande</v>
          </cell>
          <cell r="H3157" t="str">
            <v>consulta_externa</v>
          </cell>
          <cell r="J3157" t="str">
            <v>bueno</v>
          </cell>
          <cell r="K3157" t="str">
            <v>probsi</v>
          </cell>
        </row>
        <row r="3158">
          <cell r="B3158" t="b">
            <v>1</v>
          </cell>
          <cell r="E3158" t="str">
            <v>Arroyo Grande</v>
          </cell>
          <cell r="H3158" t="str">
            <v>consulta_externa</v>
          </cell>
          <cell r="J3158" t="str">
            <v>bueno</v>
          </cell>
          <cell r="K3158" t="str">
            <v>probsi</v>
          </cell>
        </row>
        <row r="3159">
          <cell r="B3159" t="b">
            <v>1</v>
          </cell>
          <cell r="E3159" t="str">
            <v>Arroyo Grande</v>
          </cell>
          <cell r="H3159" t="str">
            <v>consulta_externa</v>
          </cell>
          <cell r="J3159" t="str">
            <v>bueno</v>
          </cell>
          <cell r="K3159" t="str">
            <v>probsi</v>
          </cell>
        </row>
        <row r="3160">
          <cell r="B3160" t="b">
            <v>1</v>
          </cell>
          <cell r="E3160" t="str">
            <v>Arroyo Grande</v>
          </cell>
          <cell r="H3160" t="str">
            <v>consulta_externa</v>
          </cell>
          <cell r="J3160" t="str">
            <v>bueno</v>
          </cell>
          <cell r="K3160" t="str">
            <v>probsi</v>
          </cell>
        </row>
        <row r="3161">
          <cell r="B3161" t="b">
            <v>1</v>
          </cell>
          <cell r="E3161" t="str">
            <v>Bayunca</v>
          </cell>
          <cell r="H3161" t="str">
            <v>laboratorio</v>
          </cell>
          <cell r="J3161" t="str">
            <v>bueno</v>
          </cell>
          <cell r="K3161" t="str">
            <v>defsi</v>
          </cell>
        </row>
        <row r="3162">
          <cell r="B3162" t="b">
            <v>1</v>
          </cell>
          <cell r="E3162" t="str">
            <v>Bayunca</v>
          </cell>
          <cell r="H3162" t="str">
            <v>urgencia</v>
          </cell>
          <cell r="J3162" t="str">
            <v>bueno</v>
          </cell>
          <cell r="K3162" t="str">
            <v>defsi</v>
          </cell>
        </row>
        <row r="3163">
          <cell r="B3163" t="b">
            <v>1</v>
          </cell>
          <cell r="E3163" t="str">
            <v>Bayunca</v>
          </cell>
          <cell r="H3163" t="str">
            <v>consulta_externa</v>
          </cell>
          <cell r="J3163" t="str">
            <v>bueno</v>
          </cell>
          <cell r="K3163" t="str">
            <v>defsi</v>
          </cell>
        </row>
        <row r="3164">
          <cell r="B3164" t="b">
            <v>1</v>
          </cell>
          <cell r="E3164" t="str">
            <v>Bayunca</v>
          </cell>
          <cell r="H3164" t="str">
            <v>salud_oral</v>
          </cell>
          <cell r="J3164" t="str">
            <v>bueno</v>
          </cell>
          <cell r="K3164" t="str">
            <v>defsi</v>
          </cell>
        </row>
        <row r="3165">
          <cell r="B3165" t="b">
            <v>1</v>
          </cell>
          <cell r="E3165" t="str">
            <v>Bayunca</v>
          </cell>
          <cell r="H3165" t="str">
            <v>laboratorio</v>
          </cell>
          <cell r="J3165" t="str">
            <v>bueno</v>
          </cell>
          <cell r="K3165" t="str">
            <v>defsi</v>
          </cell>
        </row>
        <row r="3166">
          <cell r="B3166" t="b">
            <v>1</v>
          </cell>
          <cell r="E3166" t="str">
            <v>Bayunca</v>
          </cell>
          <cell r="H3166" t="str">
            <v>urgencia</v>
          </cell>
          <cell r="J3166" t="str">
            <v>bueno</v>
          </cell>
          <cell r="K3166" t="str">
            <v>defsi</v>
          </cell>
        </row>
        <row r="3167">
          <cell r="B3167" t="b">
            <v>1</v>
          </cell>
          <cell r="E3167" t="str">
            <v>Arroyo de las Canoas</v>
          </cell>
          <cell r="H3167" t="str">
            <v>consulta_externa</v>
          </cell>
          <cell r="J3167" t="str">
            <v>bueno</v>
          </cell>
          <cell r="K3167" t="str">
            <v>probsi</v>
          </cell>
        </row>
        <row r="3168">
          <cell r="B3168" t="b">
            <v>1</v>
          </cell>
          <cell r="E3168" t="str">
            <v>Arroyo de las Canoas</v>
          </cell>
          <cell r="H3168" t="str">
            <v>consulta_externa</v>
          </cell>
          <cell r="J3168" t="str">
            <v>bueno</v>
          </cell>
          <cell r="K3168" t="str">
            <v>probsi</v>
          </cell>
        </row>
        <row r="3169">
          <cell r="B3169" t="b">
            <v>1</v>
          </cell>
          <cell r="E3169" t="str">
            <v>Bayunca</v>
          </cell>
          <cell r="H3169" t="str">
            <v>consulta_externa</v>
          </cell>
          <cell r="J3169" t="str">
            <v>bueno</v>
          </cell>
          <cell r="K3169" t="str">
            <v>defsi</v>
          </cell>
        </row>
        <row r="3170">
          <cell r="B3170" t="b">
            <v>1</v>
          </cell>
          <cell r="E3170" t="str">
            <v>Arroyo de las Canoas</v>
          </cell>
          <cell r="H3170" t="str">
            <v>consulta_externa</v>
          </cell>
          <cell r="J3170" t="str">
            <v>bueno</v>
          </cell>
          <cell r="K3170" t="str">
            <v>probsi</v>
          </cell>
        </row>
        <row r="3171">
          <cell r="B3171" t="b">
            <v>1</v>
          </cell>
          <cell r="E3171" t="str">
            <v>Arroyo de las Canoas</v>
          </cell>
          <cell r="H3171" t="str">
            <v>consulta_externa</v>
          </cell>
          <cell r="J3171" t="str">
            <v>bueno</v>
          </cell>
          <cell r="K3171" t="str">
            <v>probsi</v>
          </cell>
        </row>
        <row r="3172">
          <cell r="B3172" t="b">
            <v>1</v>
          </cell>
          <cell r="E3172" t="str">
            <v>Arroyo de las Canoas</v>
          </cell>
          <cell r="H3172" t="str">
            <v>consulta_externa</v>
          </cell>
          <cell r="J3172" t="str">
            <v>bueno</v>
          </cell>
          <cell r="K3172" t="str">
            <v>probsi</v>
          </cell>
        </row>
        <row r="3173">
          <cell r="B3173" t="b">
            <v>1</v>
          </cell>
          <cell r="E3173" t="str">
            <v>Arroyo de las Canoas</v>
          </cell>
          <cell r="H3173" t="str">
            <v>consulta_externa</v>
          </cell>
          <cell r="J3173" t="str">
            <v>bueno</v>
          </cell>
          <cell r="K3173" t="str">
            <v>probsi</v>
          </cell>
        </row>
        <row r="3174">
          <cell r="B3174" t="b">
            <v>1</v>
          </cell>
          <cell r="E3174" t="str">
            <v>Arroyo de las Canoas</v>
          </cell>
          <cell r="H3174" t="str">
            <v>consulta_externa</v>
          </cell>
          <cell r="J3174" t="str">
            <v>bueno</v>
          </cell>
          <cell r="K3174" t="str">
            <v>probsi</v>
          </cell>
        </row>
        <row r="3175">
          <cell r="B3175" t="b">
            <v>1</v>
          </cell>
          <cell r="E3175" t="str">
            <v>Bayunca</v>
          </cell>
          <cell r="H3175" t="str">
            <v>salud_oral</v>
          </cell>
          <cell r="J3175" t="str">
            <v>bueno</v>
          </cell>
          <cell r="K3175" t="str">
            <v>defsi</v>
          </cell>
        </row>
        <row r="3176">
          <cell r="B3176" t="b">
            <v>1</v>
          </cell>
          <cell r="E3176" t="str">
            <v>Bayunca</v>
          </cell>
          <cell r="H3176" t="str">
            <v>laboratorio</v>
          </cell>
          <cell r="J3176" t="str">
            <v>bueno</v>
          </cell>
          <cell r="K3176" t="str">
            <v>defsi</v>
          </cell>
        </row>
        <row r="3177">
          <cell r="B3177" t="b">
            <v>1</v>
          </cell>
          <cell r="E3177" t="str">
            <v>Bayunca</v>
          </cell>
          <cell r="H3177" t="str">
            <v>urgencia</v>
          </cell>
          <cell r="J3177" t="str">
            <v>bueno</v>
          </cell>
          <cell r="K3177" t="str">
            <v>defsi</v>
          </cell>
        </row>
        <row r="3178">
          <cell r="B3178" t="b">
            <v>1</v>
          </cell>
          <cell r="E3178" t="str">
            <v>Bayunca</v>
          </cell>
          <cell r="H3178" t="str">
            <v>consulta_externa</v>
          </cell>
          <cell r="J3178" t="str">
            <v>bueno</v>
          </cell>
          <cell r="K3178" t="str">
            <v>defsi</v>
          </cell>
        </row>
        <row r="3179">
          <cell r="B3179" t="b">
            <v>1</v>
          </cell>
          <cell r="E3179" t="str">
            <v>Bayunca</v>
          </cell>
          <cell r="H3179" t="str">
            <v>salud_oral</v>
          </cell>
          <cell r="J3179" t="str">
            <v>bueno</v>
          </cell>
          <cell r="K3179" t="str">
            <v>defsi</v>
          </cell>
        </row>
        <row r="3180">
          <cell r="B3180" t="b">
            <v>1</v>
          </cell>
          <cell r="E3180" t="str">
            <v>Bayunca</v>
          </cell>
          <cell r="H3180" t="str">
            <v>laboratorio</v>
          </cell>
          <cell r="J3180" t="str">
            <v>bueno</v>
          </cell>
          <cell r="K3180" t="str">
            <v>defsi</v>
          </cell>
        </row>
        <row r="3181">
          <cell r="B3181" t="b">
            <v>1</v>
          </cell>
          <cell r="E3181" t="str">
            <v>Bayunca</v>
          </cell>
          <cell r="H3181" t="str">
            <v>urgencia</v>
          </cell>
          <cell r="J3181" t="str">
            <v>bueno</v>
          </cell>
          <cell r="K3181" t="str">
            <v>defsi</v>
          </cell>
        </row>
        <row r="3182">
          <cell r="B3182" t="b">
            <v>1</v>
          </cell>
          <cell r="E3182" t="str">
            <v>Canapote</v>
          </cell>
          <cell r="H3182" t="str">
            <v>salud_oral</v>
          </cell>
          <cell r="J3182" t="str">
            <v>bueno</v>
          </cell>
          <cell r="K3182" t="str">
            <v>probsi</v>
          </cell>
        </row>
        <row r="3183">
          <cell r="B3183" t="b">
            <v>1</v>
          </cell>
          <cell r="E3183" t="str">
            <v>Canapote</v>
          </cell>
          <cell r="H3183" t="str">
            <v>salud_oral</v>
          </cell>
          <cell r="J3183" t="str">
            <v>bueno</v>
          </cell>
          <cell r="K3183" t="str">
            <v>probsi</v>
          </cell>
        </row>
        <row r="3184">
          <cell r="B3184" t="b">
            <v>1</v>
          </cell>
          <cell r="E3184" t="str">
            <v>Canapote</v>
          </cell>
          <cell r="H3184" t="str">
            <v>salud_oral</v>
          </cell>
          <cell r="J3184" t="str">
            <v>bueno</v>
          </cell>
          <cell r="K3184" t="str">
            <v>probsi</v>
          </cell>
        </row>
        <row r="3185">
          <cell r="B3185" t="b">
            <v>1</v>
          </cell>
          <cell r="E3185" t="str">
            <v>Canapote</v>
          </cell>
          <cell r="H3185" t="str">
            <v>salud_oral</v>
          </cell>
          <cell r="J3185" t="str">
            <v>bueno</v>
          </cell>
          <cell r="K3185" t="str">
            <v>probsi</v>
          </cell>
        </row>
        <row r="3186">
          <cell r="B3186" t="b">
            <v>1</v>
          </cell>
          <cell r="E3186" t="str">
            <v>Canapote</v>
          </cell>
          <cell r="H3186" t="str">
            <v>salud_oral</v>
          </cell>
          <cell r="J3186" t="str">
            <v>bueno</v>
          </cell>
          <cell r="K3186" t="str">
            <v>probsi</v>
          </cell>
        </row>
        <row r="3187">
          <cell r="B3187" t="b">
            <v>1</v>
          </cell>
          <cell r="E3187" t="str">
            <v>Canapote</v>
          </cell>
          <cell r="H3187" t="str">
            <v>salud_oral</v>
          </cell>
          <cell r="J3187" t="str">
            <v>bueno</v>
          </cell>
          <cell r="K3187" t="str">
            <v>probsi</v>
          </cell>
        </row>
        <row r="3188">
          <cell r="B3188" t="b">
            <v>1</v>
          </cell>
          <cell r="E3188" t="str">
            <v>Canapote</v>
          </cell>
          <cell r="H3188" t="str">
            <v>salud_oral</v>
          </cell>
          <cell r="J3188" t="str">
            <v>bueno</v>
          </cell>
          <cell r="K3188" t="str">
            <v>probsi</v>
          </cell>
        </row>
        <row r="3189">
          <cell r="B3189" t="b">
            <v>1</v>
          </cell>
          <cell r="E3189" t="str">
            <v>Canapote</v>
          </cell>
          <cell r="H3189" t="str">
            <v>consulta_externa</v>
          </cell>
          <cell r="J3189" t="str">
            <v>bueno</v>
          </cell>
          <cell r="K3189" t="str">
            <v>probsi</v>
          </cell>
        </row>
        <row r="3190">
          <cell r="B3190" t="b">
            <v>1</v>
          </cell>
          <cell r="E3190" t="str">
            <v>Canapote</v>
          </cell>
          <cell r="H3190" t="str">
            <v>consulta_externa</v>
          </cell>
          <cell r="J3190" t="str">
            <v>bueno</v>
          </cell>
          <cell r="K3190" t="str">
            <v>probsi</v>
          </cell>
        </row>
        <row r="3191">
          <cell r="B3191" t="b">
            <v>1</v>
          </cell>
          <cell r="E3191" t="str">
            <v>Canapote</v>
          </cell>
          <cell r="H3191" t="str">
            <v>consulta_externa</v>
          </cell>
          <cell r="J3191" t="str">
            <v>bueno</v>
          </cell>
          <cell r="K3191" t="str">
            <v>probsi</v>
          </cell>
        </row>
        <row r="3192">
          <cell r="B3192" t="b">
            <v>1</v>
          </cell>
          <cell r="E3192" t="str">
            <v>Canapote</v>
          </cell>
          <cell r="H3192" t="str">
            <v>consulta_externa</v>
          </cell>
          <cell r="J3192" t="str">
            <v>bueno</v>
          </cell>
          <cell r="K3192" t="str">
            <v>probsi</v>
          </cell>
        </row>
        <row r="3193">
          <cell r="B3193" t="b">
            <v>1</v>
          </cell>
          <cell r="E3193" t="str">
            <v>Canapote</v>
          </cell>
          <cell r="H3193" t="str">
            <v>laboratorio</v>
          </cell>
          <cell r="J3193" t="str">
            <v>bueno</v>
          </cell>
          <cell r="K3193" t="str">
            <v>probsi</v>
          </cell>
        </row>
        <row r="3194">
          <cell r="B3194" t="b">
            <v>0</v>
          </cell>
          <cell r="E3194" t="str">
            <v>Canapote</v>
          </cell>
          <cell r="H3194" t="str">
            <v>laboratorio</v>
          </cell>
          <cell r="J3194" t="str">
            <v>regular</v>
          </cell>
          <cell r="K3194" t="str">
            <v>probsi</v>
          </cell>
        </row>
        <row r="3195">
          <cell r="B3195" t="b">
            <v>1</v>
          </cell>
          <cell r="E3195" t="str">
            <v>Canapote</v>
          </cell>
          <cell r="H3195" t="str">
            <v>laboratorio</v>
          </cell>
          <cell r="J3195" t="str">
            <v>bueno</v>
          </cell>
          <cell r="K3195" t="str">
            <v>probsi</v>
          </cell>
        </row>
        <row r="3196">
          <cell r="B3196" t="b">
            <v>1</v>
          </cell>
          <cell r="E3196" t="str">
            <v>Canapote</v>
          </cell>
          <cell r="H3196" t="str">
            <v>laboratorio</v>
          </cell>
          <cell r="J3196" t="str">
            <v>bueno</v>
          </cell>
          <cell r="K3196" t="str">
            <v>probsi</v>
          </cell>
        </row>
        <row r="3197">
          <cell r="B3197" t="b">
            <v>1</v>
          </cell>
          <cell r="E3197" t="str">
            <v>Canapote</v>
          </cell>
          <cell r="H3197" t="str">
            <v>laboratorio</v>
          </cell>
          <cell r="J3197" t="str">
            <v>bueno</v>
          </cell>
          <cell r="K3197" t="str">
            <v>probsi</v>
          </cell>
        </row>
        <row r="3198">
          <cell r="B3198" t="b">
            <v>1</v>
          </cell>
          <cell r="E3198" t="str">
            <v>Santa Ana</v>
          </cell>
          <cell r="H3198" t="str">
            <v>urgencia</v>
          </cell>
          <cell r="J3198" t="str">
            <v>bueno</v>
          </cell>
          <cell r="K3198" t="str">
            <v>defsi</v>
          </cell>
        </row>
        <row r="3199">
          <cell r="B3199" t="b">
            <v>1</v>
          </cell>
          <cell r="E3199" t="str">
            <v>Santa Ana</v>
          </cell>
          <cell r="H3199" t="str">
            <v>urgencia</v>
          </cell>
          <cell r="J3199" t="str">
            <v>bueno</v>
          </cell>
          <cell r="K3199" t="str">
            <v>defsi</v>
          </cell>
        </row>
        <row r="3200">
          <cell r="B3200" t="b">
            <v>1</v>
          </cell>
          <cell r="E3200" t="str">
            <v>Santa Ana</v>
          </cell>
          <cell r="H3200" t="str">
            <v>urgencia</v>
          </cell>
          <cell r="J3200" t="str">
            <v>bueno</v>
          </cell>
          <cell r="K3200" t="str">
            <v>defsi</v>
          </cell>
        </row>
        <row r="3201">
          <cell r="B3201" t="b">
            <v>1</v>
          </cell>
          <cell r="E3201" t="str">
            <v>Santa Ana</v>
          </cell>
          <cell r="H3201" t="str">
            <v>consulta_externa</v>
          </cell>
          <cell r="J3201" t="str">
            <v>bueno</v>
          </cell>
          <cell r="K3201" t="str">
            <v>defsi</v>
          </cell>
        </row>
        <row r="3202">
          <cell r="B3202" t="b">
            <v>1</v>
          </cell>
          <cell r="E3202" t="str">
            <v>Santa Ana</v>
          </cell>
          <cell r="H3202" t="str">
            <v>salud_oral</v>
          </cell>
          <cell r="J3202" t="str">
            <v>bueno</v>
          </cell>
          <cell r="K3202" t="str">
            <v>defsi</v>
          </cell>
        </row>
        <row r="3203">
          <cell r="B3203" t="b">
            <v>1</v>
          </cell>
          <cell r="E3203" t="str">
            <v>Santa Ana</v>
          </cell>
          <cell r="H3203" t="str">
            <v>laboratorio</v>
          </cell>
          <cell r="J3203" t="str">
            <v>bueno</v>
          </cell>
          <cell r="K3203" t="str">
            <v>defsi</v>
          </cell>
        </row>
        <row r="3204">
          <cell r="B3204" t="b">
            <v>1</v>
          </cell>
          <cell r="E3204" t="str">
            <v>Santa Ana</v>
          </cell>
          <cell r="H3204" t="str">
            <v>laboratorio</v>
          </cell>
          <cell r="J3204" t="str">
            <v>bueno</v>
          </cell>
          <cell r="K3204" t="str">
            <v>defsi</v>
          </cell>
        </row>
        <row r="3205">
          <cell r="B3205" t="b">
            <v>1</v>
          </cell>
          <cell r="E3205" t="str">
            <v>Santa Ana</v>
          </cell>
          <cell r="H3205" t="str">
            <v>consulta_externa</v>
          </cell>
          <cell r="J3205" t="str">
            <v>bueno</v>
          </cell>
          <cell r="K3205" t="str">
            <v>defsi</v>
          </cell>
        </row>
        <row r="3206">
          <cell r="B3206" t="b">
            <v>0</v>
          </cell>
          <cell r="E3206" t="str">
            <v>Santa Ana</v>
          </cell>
          <cell r="H3206" t="str">
            <v>urgencia</v>
          </cell>
          <cell r="J3206" t="str">
            <v>regular</v>
          </cell>
          <cell r="K3206" t="str">
            <v>defsi</v>
          </cell>
        </row>
        <row r="3207">
          <cell r="B3207" t="b">
            <v>1</v>
          </cell>
          <cell r="E3207" t="str">
            <v>Santa Ana</v>
          </cell>
          <cell r="H3207" t="str">
            <v>laboratorio</v>
          </cell>
          <cell r="J3207" t="str">
            <v>bueno</v>
          </cell>
          <cell r="K3207" t="str">
            <v>defsi</v>
          </cell>
        </row>
        <row r="3208">
          <cell r="B3208" t="b">
            <v>1</v>
          </cell>
          <cell r="E3208" t="str">
            <v>Santa Ana</v>
          </cell>
          <cell r="H3208" t="str">
            <v>laboratorio</v>
          </cell>
          <cell r="J3208" t="str">
            <v>bueno</v>
          </cell>
          <cell r="K3208" t="str">
            <v>defsi</v>
          </cell>
        </row>
        <row r="3209">
          <cell r="B3209" t="b">
            <v>1</v>
          </cell>
          <cell r="E3209" t="str">
            <v>Santa Ana</v>
          </cell>
          <cell r="H3209" t="str">
            <v>consulta_externa</v>
          </cell>
          <cell r="J3209" t="str">
            <v>bueno</v>
          </cell>
          <cell r="K3209" t="str">
            <v>defsi</v>
          </cell>
        </row>
        <row r="3210">
          <cell r="B3210" t="b">
            <v>0</v>
          </cell>
          <cell r="E3210" t="str">
            <v>Santa Ana</v>
          </cell>
          <cell r="H3210" t="str">
            <v>urgencia</v>
          </cell>
          <cell r="J3210" t="str">
            <v>regular</v>
          </cell>
          <cell r="K3210" t="str">
            <v>defsi</v>
          </cell>
        </row>
        <row r="3211">
          <cell r="B3211" t="b">
            <v>0</v>
          </cell>
          <cell r="E3211" t="str">
            <v>Santa Ana</v>
          </cell>
          <cell r="H3211" t="str">
            <v>urgencia</v>
          </cell>
          <cell r="J3211" t="str">
            <v>regular</v>
          </cell>
          <cell r="K3211" t="str">
            <v>defsi</v>
          </cell>
        </row>
        <row r="3212">
          <cell r="B3212" t="b">
            <v>1</v>
          </cell>
          <cell r="E3212" t="str">
            <v>Santa Ana</v>
          </cell>
          <cell r="H3212" t="str">
            <v>urgencia</v>
          </cell>
          <cell r="J3212" t="str">
            <v>bueno</v>
          </cell>
          <cell r="K3212" t="str">
            <v>defsi</v>
          </cell>
        </row>
        <row r="3213">
          <cell r="B3213" t="b">
            <v>1</v>
          </cell>
          <cell r="E3213" t="str">
            <v>Santa Ana</v>
          </cell>
          <cell r="H3213" t="str">
            <v>salud_oral</v>
          </cell>
          <cell r="J3213" t="str">
            <v>bueno</v>
          </cell>
          <cell r="K3213" t="str">
            <v>defsi</v>
          </cell>
        </row>
        <row r="3214">
          <cell r="B3214" t="b">
            <v>1</v>
          </cell>
          <cell r="E3214" t="str">
            <v>Santa Ana</v>
          </cell>
          <cell r="H3214" t="str">
            <v>salud_oral</v>
          </cell>
          <cell r="J3214" t="str">
            <v>bueno</v>
          </cell>
          <cell r="K3214" t="str">
            <v>defsi</v>
          </cell>
        </row>
        <row r="3215">
          <cell r="B3215" t="b">
            <v>1</v>
          </cell>
          <cell r="E3215" t="str">
            <v>Santa Ana</v>
          </cell>
          <cell r="H3215" t="str">
            <v>salud_oral</v>
          </cell>
          <cell r="J3215" t="str">
            <v>bueno</v>
          </cell>
          <cell r="K3215" t="str">
            <v>defsi</v>
          </cell>
        </row>
        <row r="3216">
          <cell r="B3216" t="b">
            <v>1</v>
          </cell>
          <cell r="E3216" t="str">
            <v>Santa Ana</v>
          </cell>
          <cell r="H3216" t="str">
            <v>consulta_externa</v>
          </cell>
          <cell r="J3216" t="str">
            <v>bueno</v>
          </cell>
          <cell r="K3216" t="str">
            <v>defsi</v>
          </cell>
        </row>
        <row r="3217">
          <cell r="B3217" t="b">
            <v>1</v>
          </cell>
          <cell r="E3217" t="str">
            <v>Santa Ana</v>
          </cell>
          <cell r="H3217" t="str">
            <v>urgencia</v>
          </cell>
          <cell r="J3217" t="str">
            <v>bueno</v>
          </cell>
          <cell r="K3217" t="str">
            <v>defsi</v>
          </cell>
        </row>
        <row r="3218">
          <cell r="B3218" t="b">
            <v>1</v>
          </cell>
          <cell r="E3218" t="str">
            <v>Santa Ana</v>
          </cell>
          <cell r="H3218" t="str">
            <v>salud_oral</v>
          </cell>
          <cell r="J3218" t="str">
            <v>bueno</v>
          </cell>
          <cell r="K3218" t="str">
            <v>defsi</v>
          </cell>
        </row>
        <row r="3219">
          <cell r="B3219" t="b">
            <v>1</v>
          </cell>
          <cell r="E3219" t="str">
            <v>Santa Ana</v>
          </cell>
          <cell r="H3219" t="str">
            <v>salud_oral</v>
          </cell>
          <cell r="J3219" t="str">
            <v>bueno</v>
          </cell>
          <cell r="K3219" t="str">
            <v>defsi</v>
          </cell>
        </row>
        <row r="3220">
          <cell r="B3220" t="b">
            <v>1</v>
          </cell>
          <cell r="E3220" t="str">
            <v>Santa Ana</v>
          </cell>
          <cell r="H3220" t="str">
            <v>salud_oral</v>
          </cell>
          <cell r="J3220" t="str">
            <v>bueno</v>
          </cell>
          <cell r="K3220" t="str">
            <v>defsi</v>
          </cell>
        </row>
        <row r="3221">
          <cell r="B3221" t="b">
            <v>0</v>
          </cell>
          <cell r="E3221" t="str">
            <v>Santa Ana</v>
          </cell>
          <cell r="H3221" t="str">
            <v>salud_oral</v>
          </cell>
          <cell r="J3221" t="str">
            <v>regular</v>
          </cell>
          <cell r="K3221" t="str">
            <v>defsi</v>
          </cell>
        </row>
        <row r="3222">
          <cell r="B3222" t="b">
            <v>0</v>
          </cell>
          <cell r="E3222" t="str">
            <v>Santa Ana</v>
          </cell>
          <cell r="H3222" t="str">
            <v>urgencia</v>
          </cell>
          <cell r="J3222" t="str">
            <v>regular</v>
          </cell>
          <cell r="K3222" t="str">
            <v>defsi</v>
          </cell>
        </row>
        <row r="3223">
          <cell r="B3223" t="b">
            <v>0</v>
          </cell>
          <cell r="E3223" t="str">
            <v>Santa Ana</v>
          </cell>
          <cell r="H3223" t="str">
            <v>urgencia</v>
          </cell>
          <cell r="J3223" t="str">
            <v>regular</v>
          </cell>
          <cell r="K3223" t="str">
            <v>defsi</v>
          </cell>
        </row>
        <row r="3224">
          <cell r="B3224" t="b">
            <v>1</v>
          </cell>
          <cell r="E3224" t="str">
            <v>Santa Ana</v>
          </cell>
          <cell r="H3224" t="str">
            <v>urgencia</v>
          </cell>
          <cell r="J3224" t="str">
            <v>bueno</v>
          </cell>
          <cell r="K3224" t="str">
            <v>defsi</v>
          </cell>
        </row>
        <row r="3225">
          <cell r="B3225" t="b">
            <v>1</v>
          </cell>
          <cell r="E3225" t="str">
            <v>Santa Ana</v>
          </cell>
          <cell r="H3225" t="str">
            <v>urgencia</v>
          </cell>
          <cell r="J3225" t="str">
            <v>bueno</v>
          </cell>
          <cell r="K3225" t="str">
            <v>defsi</v>
          </cell>
        </row>
        <row r="3226">
          <cell r="B3226" t="b">
            <v>0</v>
          </cell>
          <cell r="E3226" t="str">
            <v>Santa Ana</v>
          </cell>
          <cell r="H3226" t="str">
            <v>urgencia</v>
          </cell>
          <cell r="J3226" t="str">
            <v>regular</v>
          </cell>
          <cell r="K3226" t="str">
            <v>defsi</v>
          </cell>
        </row>
        <row r="3227">
          <cell r="B3227" t="b">
            <v>1</v>
          </cell>
          <cell r="E3227" t="str">
            <v>Santa Ana</v>
          </cell>
          <cell r="H3227" t="str">
            <v>consulta_externa</v>
          </cell>
          <cell r="J3227" t="str">
            <v>bueno</v>
          </cell>
          <cell r="K3227" t="str">
            <v>defsi</v>
          </cell>
        </row>
        <row r="3228">
          <cell r="B3228" t="b">
            <v>1</v>
          </cell>
          <cell r="E3228" t="str">
            <v>Santa Ana</v>
          </cell>
          <cell r="H3228" t="str">
            <v>consulta_externa</v>
          </cell>
          <cell r="J3228" t="str">
            <v>bueno</v>
          </cell>
          <cell r="K3228" t="str">
            <v>defsi</v>
          </cell>
        </row>
        <row r="3229">
          <cell r="B3229" t="b">
            <v>1</v>
          </cell>
          <cell r="E3229" t="str">
            <v>Santa Ana</v>
          </cell>
          <cell r="H3229" t="str">
            <v>laboratorio</v>
          </cell>
          <cell r="J3229" t="str">
            <v>bueno</v>
          </cell>
          <cell r="K3229" t="str">
            <v>defsi</v>
          </cell>
        </row>
        <row r="3230">
          <cell r="B3230" t="b">
            <v>1</v>
          </cell>
          <cell r="E3230" t="str">
            <v>Santa Ana</v>
          </cell>
          <cell r="H3230" t="str">
            <v>laboratorio</v>
          </cell>
          <cell r="J3230" t="str">
            <v>bueno</v>
          </cell>
          <cell r="K3230" t="str">
            <v>defsi</v>
          </cell>
        </row>
        <row r="3231">
          <cell r="B3231" t="b">
            <v>1</v>
          </cell>
          <cell r="E3231" t="str">
            <v>Santa Ana</v>
          </cell>
          <cell r="H3231" t="str">
            <v>laboratorio</v>
          </cell>
          <cell r="J3231" t="str">
            <v>bueno</v>
          </cell>
          <cell r="K3231" t="str">
            <v>defsi</v>
          </cell>
        </row>
        <row r="3232">
          <cell r="B3232" t="b">
            <v>0</v>
          </cell>
          <cell r="E3232" t="str">
            <v>Santa Ana</v>
          </cell>
          <cell r="H3232" t="str">
            <v>laboratorio</v>
          </cell>
          <cell r="J3232" t="str">
            <v>regular</v>
          </cell>
          <cell r="K3232" t="str">
            <v>defsi</v>
          </cell>
        </row>
        <row r="3233">
          <cell r="B3233" t="b">
            <v>1</v>
          </cell>
          <cell r="E3233" t="str">
            <v>Santa Ana</v>
          </cell>
          <cell r="H3233" t="str">
            <v>salud_oral</v>
          </cell>
          <cell r="J3233" t="str">
            <v>bueno</v>
          </cell>
          <cell r="K3233" t="str">
            <v>probsi</v>
          </cell>
        </row>
        <row r="3234">
          <cell r="B3234" t="b">
            <v>1</v>
          </cell>
          <cell r="E3234" t="str">
            <v>Santa Ana</v>
          </cell>
          <cell r="H3234" t="str">
            <v>salud_oral</v>
          </cell>
          <cell r="J3234" t="str">
            <v>bueno</v>
          </cell>
          <cell r="K3234" t="str">
            <v>probsi</v>
          </cell>
        </row>
        <row r="3235">
          <cell r="B3235" t="b">
            <v>1</v>
          </cell>
          <cell r="E3235" t="str">
            <v>Santa Ana</v>
          </cell>
          <cell r="H3235" t="str">
            <v>salud_oral</v>
          </cell>
          <cell r="J3235" t="str">
            <v>bueno</v>
          </cell>
          <cell r="K3235" t="str">
            <v>defsi</v>
          </cell>
        </row>
        <row r="3236">
          <cell r="B3236" t="b">
            <v>1</v>
          </cell>
          <cell r="E3236" t="str">
            <v>Santa Ana</v>
          </cell>
          <cell r="H3236" t="str">
            <v>urgencia</v>
          </cell>
          <cell r="J3236" t="str">
            <v>bueno</v>
          </cell>
          <cell r="K3236" t="str">
            <v>defsi</v>
          </cell>
        </row>
        <row r="3237">
          <cell r="B3237" t="b">
            <v>1</v>
          </cell>
          <cell r="E3237" t="str">
            <v>Santa Ana</v>
          </cell>
          <cell r="H3237" t="str">
            <v>laboratorio</v>
          </cell>
          <cell r="J3237" t="str">
            <v>bueno</v>
          </cell>
          <cell r="K3237" t="str">
            <v>defsi</v>
          </cell>
        </row>
        <row r="3238">
          <cell r="B3238" t="b">
            <v>1</v>
          </cell>
          <cell r="E3238" t="str">
            <v>Santa Ana</v>
          </cell>
          <cell r="H3238" t="str">
            <v>laboratorio</v>
          </cell>
          <cell r="J3238" t="str">
            <v>bueno</v>
          </cell>
          <cell r="K3238" t="str">
            <v>defsi</v>
          </cell>
        </row>
        <row r="3239">
          <cell r="B3239" t="b">
            <v>1</v>
          </cell>
          <cell r="E3239" t="str">
            <v>Santa Ana</v>
          </cell>
          <cell r="H3239" t="str">
            <v>laboratorio</v>
          </cell>
          <cell r="J3239" t="str">
            <v>bueno</v>
          </cell>
          <cell r="K3239" t="str">
            <v>defsi</v>
          </cell>
        </row>
        <row r="3240">
          <cell r="B3240" t="b">
            <v>1</v>
          </cell>
          <cell r="E3240" t="str">
            <v>San Vicente de Paul</v>
          </cell>
          <cell r="H3240" t="str">
            <v>consulta_externa</v>
          </cell>
          <cell r="J3240" t="str">
            <v>bueno</v>
          </cell>
          <cell r="K3240" t="str">
            <v>defsi</v>
          </cell>
        </row>
        <row r="3241">
          <cell r="B3241" t="b">
            <v>1</v>
          </cell>
          <cell r="E3241" t="str">
            <v>San Vicente de Paul</v>
          </cell>
          <cell r="H3241" t="str">
            <v>laboratorio</v>
          </cell>
          <cell r="J3241" t="str">
            <v>bueno</v>
          </cell>
          <cell r="K3241" t="str">
            <v>defsi</v>
          </cell>
        </row>
        <row r="3242">
          <cell r="B3242" t="b">
            <v>1</v>
          </cell>
          <cell r="E3242" t="str">
            <v>Socorro</v>
          </cell>
          <cell r="H3242" t="str">
            <v>consulta_externa</v>
          </cell>
          <cell r="J3242" t="str">
            <v>bueno</v>
          </cell>
          <cell r="K3242" t="str">
            <v>defsi</v>
          </cell>
        </row>
        <row r="3243">
          <cell r="B3243" t="b">
            <v>1</v>
          </cell>
          <cell r="E3243" t="str">
            <v>Socorro</v>
          </cell>
          <cell r="H3243" t="str">
            <v>salud_oral</v>
          </cell>
          <cell r="J3243" t="str">
            <v>bueno</v>
          </cell>
          <cell r="K3243" t="str">
            <v>defsi</v>
          </cell>
        </row>
        <row r="3244">
          <cell r="B3244" t="b">
            <v>1</v>
          </cell>
          <cell r="E3244" t="str">
            <v>Socorro</v>
          </cell>
          <cell r="H3244" t="str">
            <v>laboratorio</v>
          </cell>
          <cell r="J3244" t="str">
            <v>bueno</v>
          </cell>
          <cell r="K3244" t="str">
            <v>defsi</v>
          </cell>
        </row>
        <row r="3245">
          <cell r="B3245" t="b">
            <v>1</v>
          </cell>
          <cell r="E3245" t="str">
            <v>Socorro</v>
          </cell>
          <cell r="H3245" t="str">
            <v>ecografias</v>
          </cell>
          <cell r="J3245" t="str">
            <v>bueno</v>
          </cell>
          <cell r="K3245" t="str">
            <v>defsi</v>
          </cell>
        </row>
        <row r="3246">
          <cell r="B3246" t="b">
            <v>1</v>
          </cell>
          <cell r="E3246" t="str">
            <v>San Vicente de Paul</v>
          </cell>
          <cell r="H3246" t="str">
            <v>consulta_externa</v>
          </cell>
          <cell r="J3246" t="str">
            <v>bueno</v>
          </cell>
          <cell r="K3246" t="str">
            <v>defsi</v>
          </cell>
        </row>
        <row r="3247">
          <cell r="B3247" t="b">
            <v>1</v>
          </cell>
          <cell r="E3247" t="str">
            <v>Socorro</v>
          </cell>
          <cell r="H3247" t="str">
            <v>consulta_externa</v>
          </cell>
          <cell r="J3247" t="str">
            <v>bueno</v>
          </cell>
          <cell r="K3247" t="str">
            <v>defsi</v>
          </cell>
        </row>
        <row r="3248">
          <cell r="B3248" t="b">
            <v>1</v>
          </cell>
          <cell r="E3248" t="str">
            <v>Socorro</v>
          </cell>
          <cell r="H3248" t="str">
            <v>salud_oral</v>
          </cell>
          <cell r="J3248" t="str">
            <v>bueno</v>
          </cell>
          <cell r="K3248" t="str">
            <v>defsi</v>
          </cell>
        </row>
        <row r="3249">
          <cell r="B3249" t="b">
            <v>1</v>
          </cell>
          <cell r="E3249" t="str">
            <v>Socorro</v>
          </cell>
          <cell r="H3249" t="str">
            <v>laboratorio</v>
          </cell>
          <cell r="J3249" t="str">
            <v>bueno</v>
          </cell>
          <cell r="K3249" t="str">
            <v>defsi</v>
          </cell>
        </row>
        <row r="3250">
          <cell r="B3250" t="b">
            <v>1</v>
          </cell>
          <cell r="E3250" t="str">
            <v>Socorro</v>
          </cell>
          <cell r="H3250" t="str">
            <v>ecografias</v>
          </cell>
          <cell r="J3250" t="str">
            <v>bueno</v>
          </cell>
          <cell r="K3250" t="str">
            <v>defsi</v>
          </cell>
        </row>
        <row r="3251">
          <cell r="B3251" t="b">
            <v>1</v>
          </cell>
          <cell r="E3251" t="str">
            <v>San Vicente de Paul</v>
          </cell>
          <cell r="H3251" t="str">
            <v>salud_oral</v>
          </cell>
          <cell r="J3251" t="str">
            <v>bueno</v>
          </cell>
          <cell r="K3251" t="str">
            <v>defsi</v>
          </cell>
        </row>
        <row r="3252">
          <cell r="B3252" t="b">
            <v>1</v>
          </cell>
          <cell r="E3252" t="str">
            <v>San Vicente de Paul</v>
          </cell>
          <cell r="H3252" t="str">
            <v>consulta_externa</v>
          </cell>
          <cell r="J3252" t="str">
            <v>bueno</v>
          </cell>
          <cell r="K3252" t="str">
            <v>defsi</v>
          </cell>
        </row>
        <row r="3253">
          <cell r="B3253" t="b">
            <v>1</v>
          </cell>
          <cell r="E3253" t="str">
            <v>Socorro</v>
          </cell>
          <cell r="H3253" t="str">
            <v>consulta_externa</v>
          </cell>
          <cell r="J3253" t="str">
            <v>bueno</v>
          </cell>
          <cell r="K3253" t="str">
            <v>defsi</v>
          </cell>
        </row>
        <row r="3254">
          <cell r="B3254" t="b">
            <v>1</v>
          </cell>
          <cell r="E3254" t="str">
            <v>San Vicente de Paul</v>
          </cell>
          <cell r="H3254" t="str">
            <v>consulta_externa</v>
          </cell>
          <cell r="J3254" t="str">
            <v>bueno</v>
          </cell>
          <cell r="K3254" t="str">
            <v>defsi</v>
          </cell>
        </row>
        <row r="3255">
          <cell r="B3255" t="b">
            <v>1</v>
          </cell>
          <cell r="E3255" t="str">
            <v>San Vicente de Paul</v>
          </cell>
          <cell r="H3255" t="str">
            <v>laboratorio</v>
          </cell>
          <cell r="J3255" t="str">
            <v>bueno</v>
          </cell>
          <cell r="K3255" t="str">
            <v>defsi</v>
          </cell>
        </row>
        <row r="3256">
          <cell r="B3256" t="b">
            <v>1</v>
          </cell>
          <cell r="E3256" t="str">
            <v>Socorro</v>
          </cell>
          <cell r="H3256" t="str">
            <v>salud_oral</v>
          </cell>
          <cell r="J3256" t="str">
            <v>bueno</v>
          </cell>
          <cell r="K3256" t="str">
            <v>defsi</v>
          </cell>
        </row>
        <row r="3257">
          <cell r="B3257" t="b">
            <v>1</v>
          </cell>
          <cell r="E3257" t="str">
            <v>Socorro</v>
          </cell>
          <cell r="H3257" t="str">
            <v>laboratorio</v>
          </cell>
          <cell r="J3257" t="str">
            <v>bueno</v>
          </cell>
          <cell r="K3257" t="str">
            <v>defsi</v>
          </cell>
        </row>
        <row r="3258">
          <cell r="B3258" t="b">
            <v>1</v>
          </cell>
          <cell r="E3258" t="str">
            <v>Socorro</v>
          </cell>
          <cell r="H3258" t="str">
            <v>ecografias</v>
          </cell>
          <cell r="J3258" t="str">
            <v>bueno</v>
          </cell>
          <cell r="K3258" t="str">
            <v>defsi</v>
          </cell>
        </row>
        <row r="3259">
          <cell r="B3259" t="b">
            <v>1</v>
          </cell>
          <cell r="E3259" t="str">
            <v>Socorro</v>
          </cell>
          <cell r="H3259" t="str">
            <v>consulta_externa</v>
          </cell>
          <cell r="J3259" t="str">
            <v>bueno</v>
          </cell>
          <cell r="K3259" t="str">
            <v>defsi</v>
          </cell>
        </row>
        <row r="3260">
          <cell r="B3260" t="b">
            <v>1</v>
          </cell>
          <cell r="E3260" t="str">
            <v>Socorro</v>
          </cell>
          <cell r="H3260" t="str">
            <v>laboratorio</v>
          </cell>
          <cell r="J3260" t="str">
            <v>bueno</v>
          </cell>
          <cell r="K3260" t="str">
            <v>defsi</v>
          </cell>
        </row>
        <row r="3261">
          <cell r="B3261" t="b">
            <v>1</v>
          </cell>
          <cell r="E3261" t="str">
            <v>Socorro</v>
          </cell>
          <cell r="H3261" t="str">
            <v>salud_oral</v>
          </cell>
          <cell r="J3261" t="str">
            <v>bueno</v>
          </cell>
          <cell r="K3261" t="str">
            <v>defsi</v>
          </cell>
        </row>
        <row r="3262">
          <cell r="B3262" t="b">
            <v>1</v>
          </cell>
          <cell r="E3262" t="str">
            <v>Socorro</v>
          </cell>
          <cell r="H3262" t="str">
            <v>ecografias</v>
          </cell>
          <cell r="J3262" t="str">
            <v>bueno</v>
          </cell>
          <cell r="K3262" t="str">
            <v>defsi</v>
          </cell>
        </row>
        <row r="3263">
          <cell r="B3263" t="b">
            <v>1</v>
          </cell>
          <cell r="E3263" t="str">
            <v>Hospital Pozon</v>
          </cell>
          <cell r="H3263" t="str">
            <v>ecografias</v>
          </cell>
          <cell r="J3263" t="str">
            <v>bueno</v>
          </cell>
          <cell r="K3263" t="str">
            <v>probsi</v>
          </cell>
        </row>
        <row r="3264">
          <cell r="B3264" t="b">
            <v>1</v>
          </cell>
          <cell r="E3264" t="str">
            <v>Hospital Pozon</v>
          </cell>
          <cell r="H3264" t="str">
            <v>ecografias</v>
          </cell>
          <cell r="J3264" t="str">
            <v>bueno</v>
          </cell>
          <cell r="K3264" t="str">
            <v>probsi</v>
          </cell>
        </row>
        <row r="3265">
          <cell r="B3265" t="b">
            <v>1</v>
          </cell>
          <cell r="E3265" t="str">
            <v>Hospital Pozon</v>
          </cell>
          <cell r="H3265" t="str">
            <v>ecografias</v>
          </cell>
          <cell r="J3265" t="str">
            <v>muybueno</v>
          </cell>
          <cell r="K3265" t="str">
            <v>probsi</v>
          </cell>
        </row>
        <row r="3266">
          <cell r="B3266" t="b">
            <v>1</v>
          </cell>
          <cell r="E3266" t="str">
            <v>Hospital Pozon</v>
          </cell>
          <cell r="H3266" t="str">
            <v>consulta_externa</v>
          </cell>
          <cell r="J3266" t="str">
            <v>bueno</v>
          </cell>
          <cell r="K3266" t="str">
            <v>probsi</v>
          </cell>
        </row>
        <row r="3267">
          <cell r="B3267" t="b">
            <v>1</v>
          </cell>
          <cell r="E3267" t="str">
            <v>Hospital Pozon</v>
          </cell>
          <cell r="H3267" t="str">
            <v>laboratorio</v>
          </cell>
          <cell r="J3267" t="str">
            <v>bueno</v>
          </cell>
          <cell r="K3267" t="str">
            <v>probsi</v>
          </cell>
        </row>
        <row r="3268">
          <cell r="B3268" t="b">
            <v>1</v>
          </cell>
          <cell r="E3268" t="str">
            <v>Hospital Pozon</v>
          </cell>
          <cell r="H3268" t="str">
            <v>salud_oral</v>
          </cell>
          <cell r="J3268" t="str">
            <v>bueno</v>
          </cell>
          <cell r="K3268" t="str">
            <v>probsi</v>
          </cell>
        </row>
        <row r="3269">
          <cell r="B3269" t="b">
            <v>1</v>
          </cell>
          <cell r="E3269" t="str">
            <v>Hospital Pozon</v>
          </cell>
          <cell r="H3269" t="str">
            <v>consulta_externa</v>
          </cell>
          <cell r="J3269" t="str">
            <v>bueno</v>
          </cell>
          <cell r="K3269" t="str">
            <v>probsi</v>
          </cell>
        </row>
        <row r="3270">
          <cell r="B3270" t="b">
            <v>1</v>
          </cell>
          <cell r="E3270" t="str">
            <v>Hospital Pozon</v>
          </cell>
          <cell r="H3270" t="str">
            <v>rx</v>
          </cell>
          <cell r="J3270" t="str">
            <v>bueno</v>
          </cell>
          <cell r="K3270" t="str">
            <v>probsi</v>
          </cell>
        </row>
        <row r="3271">
          <cell r="B3271" t="b">
            <v>1</v>
          </cell>
          <cell r="E3271" t="str">
            <v>Hospital Pozon</v>
          </cell>
          <cell r="H3271" t="str">
            <v>rx</v>
          </cell>
          <cell r="J3271" t="str">
            <v>bueno</v>
          </cell>
          <cell r="K3271" t="str">
            <v>probsi</v>
          </cell>
        </row>
        <row r="3272">
          <cell r="B3272" t="b">
            <v>1</v>
          </cell>
          <cell r="E3272" t="str">
            <v>Hospital Pozon</v>
          </cell>
          <cell r="H3272" t="str">
            <v>rx</v>
          </cell>
          <cell r="J3272" t="str">
            <v>bueno</v>
          </cell>
          <cell r="K3272" t="str">
            <v>probsi</v>
          </cell>
        </row>
        <row r="3273">
          <cell r="B3273" t="b">
            <v>1</v>
          </cell>
          <cell r="E3273" t="str">
            <v>Hospital Pozon</v>
          </cell>
          <cell r="H3273" t="str">
            <v>ecografias</v>
          </cell>
          <cell r="J3273" t="str">
            <v>bueno</v>
          </cell>
          <cell r="K3273" t="str">
            <v>probsi</v>
          </cell>
        </row>
        <row r="3274">
          <cell r="B3274" t="b">
            <v>1</v>
          </cell>
          <cell r="E3274" t="str">
            <v>Hospital Pozon</v>
          </cell>
          <cell r="H3274" t="str">
            <v>consulta_externa</v>
          </cell>
          <cell r="J3274" t="str">
            <v>bueno</v>
          </cell>
          <cell r="K3274" t="str">
            <v>probsi</v>
          </cell>
        </row>
        <row r="3275">
          <cell r="B3275" t="b">
            <v>1</v>
          </cell>
          <cell r="E3275" t="str">
            <v>Hospital Pozon</v>
          </cell>
          <cell r="H3275" t="str">
            <v>consulta_externa</v>
          </cell>
          <cell r="J3275" t="str">
            <v>bueno</v>
          </cell>
          <cell r="K3275" t="str">
            <v>probsi</v>
          </cell>
        </row>
        <row r="3276">
          <cell r="B3276" t="b">
            <v>1</v>
          </cell>
          <cell r="E3276" t="str">
            <v>Hospital Pozon</v>
          </cell>
          <cell r="H3276" t="str">
            <v>ecografias</v>
          </cell>
          <cell r="J3276" t="str">
            <v>bueno</v>
          </cell>
          <cell r="K3276" t="str">
            <v>probsi</v>
          </cell>
        </row>
        <row r="3277">
          <cell r="B3277" t="b">
            <v>1</v>
          </cell>
          <cell r="E3277" t="str">
            <v>Hospital Pozon</v>
          </cell>
          <cell r="H3277" t="str">
            <v>ecografias</v>
          </cell>
          <cell r="J3277" t="str">
            <v>bueno</v>
          </cell>
          <cell r="K3277" t="str">
            <v>probsi</v>
          </cell>
        </row>
        <row r="3278">
          <cell r="B3278" t="b">
            <v>1</v>
          </cell>
          <cell r="E3278" t="str">
            <v>Hospital Pozon</v>
          </cell>
          <cell r="H3278" t="str">
            <v>consulta_externa</v>
          </cell>
          <cell r="J3278" t="str">
            <v>bueno</v>
          </cell>
          <cell r="K3278" t="str">
            <v>probsi</v>
          </cell>
        </row>
        <row r="3279">
          <cell r="B3279" t="b">
            <v>1</v>
          </cell>
          <cell r="E3279" t="str">
            <v>Hospital Pozon</v>
          </cell>
          <cell r="H3279" t="str">
            <v>laboratorio</v>
          </cell>
          <cell r="J3279" t="str">
            <v>bueno</v>
          </cell>
          <cell r="K3279" t="str">
            <v>probsi</v>
          </cell>
        </row>
        <row r="3280">
          <cell r="B3280" t="b">
            <v>1</v>
          </cell>
          <cell r="E3280" t="str">
            <v>Hospital Pozon</v>
          </cell>
          <cell r="H3280" t="str">
            <v>consulta_externa</v>
          </cell>
          <cell r="J3280" t="str">
            <v>bueno</v>
          </cell>
          <cell r="K3280" t="str">
            <v>probsi</v>
          </cell>
        </row>
        <row r="3281">
          <cell r="B3281" t="b">
            <v>1</v>
          </cell>
          <cell r="E3281" t="str">
            <v>Hospital Pozon</v>
          </cell>
          <cell r="H3281" t="str">
            <v>consulta_externa</v>
          </cell>
          <cell r="J3281" t="str">
            <v>bueno</v>
          </cell>
          <cell r="K3281" t="str">
            <v>probsi</v>
          </cell>
        </row>
        <row r="3282">
          <cell r="B3282" t="b">
            <v>1</v>
          </cell>
          <cell r="E3282" t="str">
            <v>Socorro</v>
          </cell>
          <cell r="H3282" t="str">
            <v>consulta_externa</v>
          </cell>
          <cell r="J3282" t="str">
            <v>bueno</v>
          </cell>
          <cell r="K3282" t="str">
            <v>defsi</v>
          </cell>
        </row>
        <row r="3283">
          <cell r="B3283" t="b">
            <v>1</v>
          </cell>
          <cell r="E3283" t="str">
            <v>Socorro</v>
          </cell>
          <cell r="H3283" t="str">
            <v>salud_oral</v>
          </cell>
          <cell r="J3283" t="str">
            <v>bueno</v>
          </cell>
          <cell r="K3283" t="str">
            <v>defsi</v>
          </cell>
        </row>
        <row r="3284">
          <cell r="B3284" t="b">
            <v>1</v>
          </cell>
          <cell r="E3284" t="str">
            <v>Socorro</v>
          </cell>
          <cell r="H3284" t="str">
            <v>laboratorio</v>
          </cell>
          <cell r="J3284" t="str">
            <v>bueno</v>
          </cell>
          <cell r="K3284" t="str">
            <v>defsi</v>
          </cell>
        </row>
        <row r="3285">
          <cell r="B3285" t="b">
            <v>1</v>
          </cell>
          <cell r="E3285" t="str">
            <v>Socorro</v>
          </cell>
          <cell r="H3285" t="str">
            <v>ecografias</v>
          </cell>
          <cell r="J3285" t="str">
            <v>bueno</v>
          </cell>
          <cell r="K3285" t="str">
            <v>defsi</v>
          </cell>
        </row>
        <row r="3286">
          <cell r="B3286" t="b">
            <v>1</v>
          </cell>
          <cell r="E3286" t="str">
            <v>Socorro</v>
          </cell>
          <cell r="H3286" t="str">
            <v>consulta_externa</v>
          </cell>
          <cell r="J3286" t="str">
            <v>bueno</v>
          </cell>
          <cell r="K3286" t="str">
            <v>defsi</v>
          </cell>
        </row>
        <row r="3287">
          <cell r="B3287" t="b">
            <v>1</v>
          </cell>
          <cell r="E3287" t="str">
            <v>Socorro</v>
          </cell>
          <cell r="H3287" t="str">
            <v>salud_oral</v>
          </cell>
          <cell r="J3287" t="str">
            <v>bueno</v>
          </cell>
          <cell r="K3287" t="str">
            <v>defsi</v>
          </cell>
        </row>
        <row r="3288">
          <cell r="B3288" t="b">
            <v>1</v>
          </cell>
          <cell r="E3288" t="str">
            <v>Socorro</v>
          </cell>
          <cell r="H3288" t="str">
            <v>laboratorio</v>
          </cell>
          <cell r="J3288" t="str">
            <v>bueno</v>
          </cell>
          <cell r="K3288" t="str">
            <v>defsi</v>
          </cell>
        </row>
        <row r="3289">
          <cell r="B3289" t="b">
            <v>1</v>
          </cell>
          <cell r="E3289" t="str">
            <v>Socorro</v>
          </cell>
          <cell r="H3289" t="str">
            <v>ecografias</v>
          </cell>
          <cell r="J3289" t="str">
            <v>bueno</v>
          </cell>
          <cell r="K3289" t="str">
            <v>defsi</v>
          </cell>
        </row>
        <row r="3290">
          <cell r="B3290" t="b">
            <v>1</v>
          </cell>
          <cell r="E3290" t="str">
            <v>Socorro</v>
          </cell>
          <cell r="H3290" t="str">
            <v>consulta_externa</v>
          </cell>
          <cell r="J3290" t="str">
            <v>bueno</v>
          </cell>
          <cell r="K3290" t="str">
            <v>defsi</v>
          </cell>
        </row>
        <row r="3291">
          <cell r="B3291" t="b">
            <v>1</v>
          </cell>
          <cell r="E3291" t="str">
            <v>Socorro</v>
          </cell>
          <cell r="H3291" t="str">
            <v>salud_oral</v>
          </cell>
          <cell r="J3291" t="str">
            <v>bueno</v>
          </cell>
          <cell r="K3291" t="str">
            <v>defsi</v>
          </cell>
        </row>
        <row r="3292">
          <cell r="B3292" t="b">
            <v>1</v>
          </cell>
          <cell r="E3292" t="str">
            <v>Socorro</v>
          </cell>
          <cell r="H3292" t="str">
            <v>laboratorio</v>
          </cell>
          <cell r="J3292" t="str">
            <v>bueno</v>
          </cell>
          <cell r="K3292" t="str">
            <v>defsi</v>
          </cell>
        </row>
        <row r="3293">
          <cell r="B3293" t="b">
            <v>1</v>
          </cell>
          <cell r="E3293" t="str">
            <v>Socorro</v>
          </cell>
          <cell r="H3293" t="str">
            <v>ecografias</v>
          </cell>
          <cell r="J3293" t="str">
            <v>bueno</v>
          </cell>
          <cell r="K3293" t="str">
            <v>defsi</v>
          </cell>
        </row>
        <row r="3294">
          <cell r="B3294" t="b">
            <v>1</v>
          </cell>
          <cell r="E3294" t="str">
            <v>Socorro</v>
          </cell>
          <cell r="H3294" t="str">
            <v>consulta_externa</v>
          </cell>
          <cell r="J3294" t="str">
            <v>bueno</v>
          </cell>
          <cell r="K3294" t="str">
            <v>defsi</v>
          </cell>
        </row>
        <row r="3295">
          <cell r="B3295" t="b">
            <v>1</v>
          </cell>
          <cell r="E3295" t="str">
            <v>Hospital Pozon</v>
          </cell>
          <cell r="H3295" t="str">
            <v>consulta_externa</v>
          </cell>
          <cell r="J3295" t="str">
            <v>bueno</v>
          </cell>
          <cell r="K3295" t="str">
            <v>probsi</v>
          </cell>
        </row>
        <row r="3296">
          <cell r="B3296" t="b">
            <v>1</v>
          </cell>
          <cell r="E3296" t="str">
            <v>Hospital Pozon</v>
          </cell>
          <cell r="H3296" t="str">
            <v>salud_oral</v>
          </cell>
          <cell r="J3296" t="str">
            <v>bueno</v>
          </cell>
          <cell r="K3296" t="str">
            <v>probsi</v>
          </cell>
        </row>
        <row r="3297">
          <cell r="B3297" t="b">
            <v>1</v>
          </cell>
          <cell r="E3297" t="str">
            <v>Socorro</v>
          </cell>
          <cell r="H3297" t="str">
            <v>salud_oral</v>
          </cell>
          <cell r="J3297" t="str">
            <v>bueno</v>
          </cell>
          <cell r="K3297" t="str">
            <v>defsi</v>
          </cell>
        </row>
        <row r="3298">
          <cell r="B3298" t="b">
            <v>1</v>
          </cell>
          <cell r="E3298" t="str">
            <v>Hospital Pozon</v>
          </cell>
          <cell r="H3298" t="str">
            <v>laboratorio</v>
          </cell>
          <cell r="J3298" t="str">
            <v>bueno</v>
          </cell>
          <cell r="K3298" t="str">
            <v>probsi</v>
          </cell>
        </row>
        <row r="3299">
          <cell r="B3299" t="b">
            <v>1</v>
          </cell>
          <cell r="E3299" t="str">
            <v>Hospital Pozon</v>
          </cell>
          <cell r="H3299" t="str">
            <v>urgencia</v>
          </cell>
          <cell r="J3299" t="str">
            <v>bueno</v>
          </cell>
          <cell r="K3299" t="str">
            <v>probsi</v>
          </cell>
        </row>
        <row r="3300">
          <cell r="B3300" t="b">
            <v>1</v>
          </cell>
          <cell r="E3300" t="str">
            <v>Socorro</v>
          </cell>
          <cell r="H3300" t="str">
            <v>laboratorio</v>
          </cell>
          <cell r="J3300" t="str">
            <v>bueno</v>
          </cell>
          <cell r="K3300" t="str">
            <v>defsi</v>
          </cell>
        </row>
        <row r="3301">
          <cell r="B3301" t="b">
            <v>1</v>
          </cell>
          <cell r="E3301" t="str">
            <v>Hospital Pozon</v>
          </cell>
          <cell r="H3301" t="str">
            <v>urgencia</v>
          </cell>
          <cell r="J3301" t="str">
            <v>bueno</v>
          </cell>
          <cell r="K3301" t="str">
            <v>probsi</v>
          </cell>
        </row>
        <row r="3302">
          <cell r="B3302" t="b">
            <v>1</v>
          </cell>
          <cell r="E3302" t="str">
            <v>Hospital Pozon</v>
          </cell>
          <cell r="H3302" t="str">
            <v>consulta_externa</v>
          </cell>
          <cell r="J3302" t="str">
            <v>bueno</v>
          </cell>
          <cell r="K3302" t="str">
            <v>probsi</v>
          </cell>
        </row>
        <row r="3303">
          <cell r="B3303" t="b">
            <v>1</v>
          </cell>
          <cell r="E3303" t="str">
            <v>Socorro</v>
          </cell>
          <cell r="H3303" t="str">
            <v>ecografias</v>
          </cell>
          <cell r="J3303" t="str">
            <v>bueno</v>
          </cell>
          <cell r="K3303" t="str">
            <v>defsi</v>
          </cell>
        </row>
        <row r="3304">
          <cell r="B3304" t="b">
            <v>1</v>
          </cell>
          <cell r="E3304" t="str">
            <v>Hospital Pozon</v>
          </cell>
          <cell r="H3304" t="str">
            <v>salud_oral</v>
          </cell>
          <cell r="J3304" t="str">
            <v>bueno</v>
          </cell>
          <cell r="K3304" t="str">
            <v>probsi</v>
          </cell>
        </row>
        <row r="3305">
          <cell r="B3305" t="b">
            <v>1</v>
          </cell>
          <cell r="E3305" t="str">
            <v>Hospital Pozon</v>
          </cell>
          <cell r="H3305" t="str">
            <v>consulta_externa</v>
          </cell>
          <cell r="J3305" t="str">
            <v>bueno</v>
          </cell>
          <cell r="K3305" t="str">
            <v>probsi</v>
          </cell>
        </row>
        <row r="3306">
          <cell r="B3306" t="b">
            <v>1</v>
          </cell>
          <cell r="E3306" t="str">
            <v>Hospital Pozon</v>
          </cell>
          <cell r="H3306" t="str">
            <v>ecografias</v>
          </cell>
          <cell r="J3306" t="str">
            <v>bueno</v>
          </cell>
          <cell r="K3306" t="str">
            <v>probsi</v>
          </cell>
        </row>
        <row r="3307">
          <cell r="B3307" t="b">
            <v>1</v>
          </cell>
          <cell r="E3307" t="str">
            <v>Hospital Pozon</v>
          </cell>
          <cell r="H3307" t="str">
            <v>salud_oral</v>
          </cell>
          <cell r="J3307" t="str">
            <v>bueno</v>
          </cell>
          <cell r="K3307" t="str">
            <v>probsi</v>
          </cell>
        </row>
        <row r="3308">
          <cell r="B3308" t="b">
            <v>1</v>
          </cell>
          <cell r="E3308" t="str">
            <v>Hospital Pozon</v>
          </cell>
          <cell r="H3308" t="str">
            <v>laboratorio</v>
          </cell>
          <cell r="J3308" t="str">
            <v>bueno</v>
          </cell>
          <cell r="K3308" t="str">
            <v>probsi</v>
          </cell>
        </row>
        <row r="3309">
          <cell r="B3309" t="b">
            <v>1</v>
          </cell>
          <cell r="E3309" t="str">
            <v>Hospital Pozon</v>
          </cell>
          <cell r="H3309" t="str">
            <v>consulta_externa</v>
          </cell>
          <cell r="J3309" t="str">
            <v>bueno</v>
          </cell>
          <cell r="K3309" t="str">
            <v>probsi</v>
          </cell>
        </row>
        <row r="3310">
          <cell r="B3310" t="b">
            <v>1</v>
          </cell>
          <cell r="E3310" t="str">
            <v>Hospital Pozon</v>
          </cell>
          <cell r="H3310" t="str">
            <v>salud_oral</v>
          </cell>
          <cell r="J3310" t="str">
            <v>muybueno</v>
          </cell>
          <cell r="K3310" t="str">
            <v>probsi</v>
          </cell>
        </row>
        <row r="3311">
          <cell r="B3311" t="b">
            <v>1</v>
          </cell>
          <cell r="E3311" t="str">
            <v>Hospital Pozon</v>
          </cell>
          <cell r="H3311" t="str">
            <v>laboratorio</v>
          </cell>
          <cell r="J3311" t="str">
            <v>bueno</v>
          </cell>
          <cell r="K3311" t="str">
            <v>probsi</v>
          </cell>
        </row>
        <row r="3312">
          <cell r="B3312" t="b">
            <v>1</v>
          </cell>
          <cell r="E3312" t="str">
            <v>Hospital Pozon</v>
          </cell>
          <cell r="H3312" t="str">
            <v>consulta_externa</v>
          </cell>
          <cell r="J3312" t="str">
            <v>bueno</v>
          </cell>
          <cell r="K3312" t="str">
            <v>probsi</v>
          </cell>
        </row>
        <row r="3313">
          <cell r="B3313" t="b">
            <v>0</v>
          </cell>
          <cell r="E3313" t="str">
            <v>Hospital Pozon</v>
          </cell>
          <cell r="H3313" t="str">
            <v>urgencia</v>
          </cell>
          <cell r="J3313" t="str">
            <v>regular</v>
          </cell>
          <cell r="K3313" t="str">
            <v>probsi</v>
          </cell>
        </row>
        <row r="3314">
          <cell r="B3314" t="b">
            <v>1</v>
          </cell>
          <cell r="E3314" t="str">
            <v>Hospital Pozon</v>
          </cell>
          <cell r="H3314" t="str">
            <v>urgencia</v>
          </cell>
          <cell r="J3314" t="str">
            <v>bueno</v>
          </cell>
          <cell r="K3314" t="str">
            <v>probsi</v>
          </cell>
        </row>
        <row r="3315">
          <cell r="B3315" t="b">
            <v>1</v>
          </cell>
          <cell r="E3315" t="str">
            <v>Hospital Pozon</v>
          </cell>
          <cell r="H3315" t="str">
            <v>urgencia</v>
          </cell>
          <cell r="J3315" t="str">
            <v>bueno</v>
          </cell>
          <cell r="K3315" t="str">
            <v>probsi</v>
          </cell>
        </row>
        <row r="3316">
          <cell r="B3316" t="b">
            <v>0</v>
          </cell>
          <cell r="E3316" t="str">
            <v>Hospital Pozon</v>
          </cell>
          <cell r="H3316" t="str">
            <v>urgencia</v>
          </cell>
          <cell r="J3316" t="str">
            <v>regular</v>
          </cell>
          <cell r="K3316" t="str">
            <v>probsi</v>
          </cell>
        </row>
        <row r="3317">
          <cell r="B3317" t="b">
            <v>0</v>
          </cell>
          <cell r="E3317" t="str">
            <v>Hospital Pozon</v>
          </cell>
          <cell r="H3317" t="str">
            <v>urgencia</v>
          </cell>
          <cell r="J3317" t="str">
            <v>regular</v>
          </cell>
          <cell r="K3317" t="str">
            <v>probsi</v>
          </cell>
        </row>
        <row r="3318">
          <cell r="B3318" t="b">
            <v>1</v>
          </cell>
          <cell r="E3318" t="str">
            <v>Hospital Pozon</v>
          </cell>
          <cell r="H3318" t="str">
            <v>urgencia</v>
          </cell>
          <cell r="J3318" t="str">
            <v>bueno</v>
          </cell>
          <cell r="K3318" t="str">
            <v>probsi</v>
          </cell>
        </row>
        <row r="3319">
          <cell r="B3319" t="b">
            <v>1</v>
          </cell>
          <cell r="E3319" t="str">
            <v>Hospital Pozon</v>
          </cell>
          <cell r="H3319" t="str">
            <v>urgencia</v>
          </cell>
          <cell r="J3319" t="str">
            <v>bueno</v>
          </cell>
          <cell r="K3319" t="str">
            <v>probsi</v>
          </cell>
        </row>
        <row r="3320">
          <cell r="B3320" t="b">
            <v>1</v>
          </cell>
          <cell r="E3320" t="str">
            <v>Hospital Pozon</v>
          </cell>
          <cell r="H3320" t="str">
            <v>urgencia</v>
          </cell>
          <cell r="J3320" t="str">
            <v>bueno</v>
          </cell>
          <cell r="K3320" t="str">
            <v>probsi</v>
          </cell>
        </row>
        <row r="3321">
          <cell r="B3321" t="b">
            <v>1</v>
          </cell>
          <cell r="E3321" t="str">
            <v>Hospital Pozon</v>
          </cell>
          <cell r="H3321" t="str">
            <v>urgencia</v>
          </cell>
          <cell r="J3321" t="str">
            <v>bueno</v>
          </cell>
          <cell r="K3321" t="str">
            <v>probsi</v>
          </cell>
        </row>
        <row r="3322">
          <cell r="B3322" t="b">
            <v>1</v>
          </cell>
          <cell r="E3322" t="str">
            <v>Hospital Pozon</v>
          </cell>
          <cell r="H3322" t="str">
            <v>urgencia</v>
          </cell>
          <cell r="J3322" t="str">
            <v>bueno</v>
          </cell>
          <cell r="K3322" t="str">
            <v>probsi</v>
          </cell>
        </row>
        <row r="3323">
          <cell r="B3323" t="b">
            <v>1</v>
          </cell>
          <cell r="E3323" t="str">
            <v>Hospital Pozon</v>
          </cell>
          <cell r="H3323" t="str">
            <v>urgencia</v>
          </cell>
          <cell r="J3323" t="str">
            <v>bueno</v>
          </cell>
          <cell r="K3323" t="str">
            <v>probsi</v>
          </cell>
        </row>
        <row r="3324">
          <cell r="B3324" t="b">
            <v>1</v>
          </cell>
          <cell r="E3324" t="str">
            <v>Socorro</v>
          </cell>
          <cell r="H3324" t="str">
            <v>consulta_externa</v>
          </cell>
          <cell r="J3324" t="str">
            <v>bueno</v>
          </cell>
          <cell r="K3324" t="str">
            <v>defsi</v>
          </cell>
        </row>
        <row r="3325">
          <cell r="B3325" t="b">
            <v>1</v>
          </cell>
          <cell r="E3325" t="str">
            <v>Socorro</v>
          </cell>
          <cell r="H3325" t="str">
            <v>salud_oral</v>
          </cell>
          <cell r="J3325" t="str">
            <v>bueno</v>
          </cell>
          <cell r="K3325" t="str">
            <v>defsi</v>
          </cell>
        </row>
        <row r="3326">
          <cell r="B3326" t="b">
            <v>1</v>
          </cell>
          <cell r="E3326" t="str">
            <v>Socorro</v>
          </cell>
          <cell r="H3326" t="str">
            <v>laboratorio</v>
          </cell>
          <cell r="J3326" t="str">
            <v>bueno</v>
          </cell>
          <cell r="K3326" t="str">
            <v>defsi</v>
          </cell>
        </row>
        <row r="3327">
          <cell r="B3327" t="b">
            <v>1</v>
          </cell>
          <cell r="E3327" t="str">
            <v>Socorro</v>
          </cell>
          <cell r="H3327" t="str">
            <v>ecografias</v>
          </cell>
          <cell r="J3327" t="str">
            <v>bueno</v>
          </cell>
          <cell r="K3327" t="str">
            <v>defsi</v>
          </cell>
        </row>
        <row r="3328">
          <cell r="B3328" t="b">
            <v>1</v>
          </cell>
          <cell r="E3328" t="str">
            <v>Socorro</v>
          </cell>
          <cell r="H3328" t="str">
            <v>consulta_externa</v>
          </cell>
          <cell r="J3328" t="str">
            <v>bueno</v>
          </cell>
          <cell r="K3328" t="str">
            <v>defsi</v>
          </cell>
        </row>
        <row r="3329">
          <cell r="B3329" t="b">
            <v>0</v>
          </cell>
          <cell r="E3329" t="str">
            <v>Hospital Pozon</v>
          </cell>
          <cell r="H3329" t="str">
            <v>consulta_externa</v>
          </cell>
          <cell r="J3329" t="str">
            <v>malo</v>
          </cell>
          <cell r="K3329" t="str">
            <v>probno</v>
          </cell>
        </row>
        <row r="3330">
          <cell r="B3330" t="b">
            <v>0</v>
          </cell>
          <cell r="E3330" t="str">
            <v>Hospital Pozon</v>
          </cell>
          <cell r="H3330" t="str">
            <v>consulta_externa</v>
          </cell>
          <cell r="J3330" t="str">
            <v>malo</v>
          </cell>
          <cell r="K3330" t="str">
            <v>probno</v>
          </cell>
        </row>
        <row r="3331">
          <cell r="B3331" t="b">
            <v>1</v>
          </cell>
          <cell r="E3331" t="str">
            <v>Socorro</v>
          </cell>
          <cell r="H3331" t="str">
            <v>salud_oral</v>
          </cell>
          <cell r="J3331" t="str">
            <v>bueno</v>
          </cell>
          <cell r="K3331" t="str">
            <v>defsi</v>
          </cell>
        </row>
        <row r="3332">
          <cell r="B3332" t="b">
            <v>1</v>
          </cell>
          <cell r="E3332" t="str">
            <v>Socorro</v>
          </cell>
          <cell r="H3332" t="str">
            <v>laboratorio</v>
          </cell>
          <cell r="J3332" t="str">
            <v>bueno</v>
          </cell>
          <cell r="K3332" t="str">
            <v>defsi</v>
          </cell>
        </row>
        <row r="3333">
          <cell r="B3333" t="b">
            <v>1</v>
          </cell>
          <cell r="E3333" t="str">
            <v>Socorro</v>
          </cell>
          <cell r="H3333" t="str">
            <v>consulta_externa</v>
          </cell>
          <cell r="J3333" t="str">
            <v>bueno</v>
          </cell>
          <cell r="K3333" t="str">
            <v>defsi</v>
          </cell>
        </row>
        <row r="3334">
          <cell r="B3334" t="b">
            <v>1</v>
          </cell>
          <cell r="E3334" t="str">
            <v>Socorro</v>
          </cell>
          <cell r="H3334" t="str">
            <v>salud_oral</v>
          </cell>
          <cell r="J3334" t="str">
            <v>bueno</v>
          </cell>
          <cell r="K3334" t="str">
            <v>defsi</v>
          </cell>
        </row>
        <row r="3335">
          <cell r="B3335" t="b">
            <v>1</v>
          </cell>
          <cell r="E3335" t="str">
            <v>Socorro</v>
          </cell>
          <cell r="H3335" t="str">
            <v>laboratorio</v>
          </cell>
          <cell r="J3335" t="str">
            <v>bueno</v>
          </cell>
          <cell r="K3335" t="str">
            <v>defsi</v>
          </cell>
        </row>
        <row r="3336">
          <cell r="B3336" t="b">
            <v>1</v>
          </cell>
          <cell r="E3336" t="str">
            <v>Socorro</v>
          </cell>
          <cell r="H3336" t="str">
            <v>consulta_externa</v>
          </cell>
          <cell r="J3336" t="str">
            <v>bueno</v>
          </cell>
          <cell r="K3336" t="str">
            <v>defsi</v>
          </cell>
        </row>
        <row r="3337">
          <cell r="B3337" t="b">
            <v>1</v>
          </cell>
          <cell r="E3337" t="str">
            <v>Socorro</v>
          </cell>
          <cell r="H3337" t="str">
            <v>salud_oral</v>
          </cell>
          <cell r="J3337" t="str">
            <v>bueno</v>
          </cell>
          <cell r="K3337" t="str">
            <v>defsi</v>
          </cell>
        </row>
        <row r="3338">
          <cell r="B3338" t="b">
            <v>0</v>
          </cell>
          <cell r="E3338" t="str">
            <v>Hospital Pozon</v>
          </cell>
          <cell r="H3338" t="str">
            <v>laboratorio</v>
          </cell>
          <cell r="J3338" t="str">
            <v>regular</v>
          </cell>
          <cell r="K3338" t="str">
            <v>probsi</v>
          </cell>
        </row>
        <row r="3339">
          <cell r="B3339" t="b">
            <v>0</v>
          </cell>
          <cell r="E3339" t="str">
            <v>Hospital Pozon</v>
          </cell>
          <cell r="H3339" t="str">
            <v>laboratorio</v>
          </cell>
          <cell r="J3339" t="str">
            <v>regular</v>
          </cell>
          <cell r="K3339" t="str">
            <v>probsi</v>
          </cell>
        </row>
        <row r="3340">
          <cell r="B3340" t="b">
            <v>1</v>
          </cell>
          <cell r="E3340" t="str">
            <v>Hospital Pozon</v>
          </cell>
          <cell r="H3340" t="str">
            <v>laboratorio</v>
          </cell>
          <cell r="J3340" t="str">
            <v>bueno</v>
          </cell>
          <cell r="K3340" t="str">
            <v>probsi</v>
          </cell>
        </row>
        <row r="3341">
          <cell r="B3341" t="b">
            <v>1</v>
          </cell>
          <cell r="E3341" t="str">
            <v>Hospital Pozon</v>
          </cell>
          <cell r="H3341" t="str">
            <v>laboratorio</v>
          </cell>
          <cell r="J3341" t="str">
            <v>bueno</v>
          </cell>
          <cell r="K3341" t="str">
            <v>probsi</v>
          </cell>
        </row>
        <row r="3342">
          <cell r="B3342" t="b">
            <v>1</v>
          </cell>
          <cell r="E3342" t="str">
            <v>Hospital Pozon</v>
          </cell>
          <cell r="H3342" t="str">
            <v>laboratorio</v>
          </cell>
          <cell r="J3342" t="str">
            <v>bueno</v>
          </cell>
          <cell r="K3342" t="str">
            <v>probsi</v>
          </cell>
        </row>
        <row r="3343">
          <cell r="B3343" t="b">
            <v>1</v>
          </cell>
          <cell r="E3343" t="str">
            <v>Hospital Pozon</v>
          </cell>
          <cell r="H3343" t="str">
            <v>laboratorio</v>
          </cell>
          <cell r="J3343" t="str">
            <v>bueno</v>
          </cell>
          <cell r="K3343" t="str">
            <v>probsi</v>
          </cell>
        </row>
        <row r="3344">
          <cell r="B3344" t="b">
            <v>1</v>
          </cell>
          <cell r="E3344" t="str">
            <v>Hospital Pozon</v>
          </cell>
          <cell r="H3344" t="str">
            <v>salud_oral</v>
          </cell>
          <cell r="J3344" t="str">
            <v>bueno</v>
          </cell>
          <cell r="K3344" t="str">
            <v>probsi</v>
          </cell>
        </row>
        <row r="3345">
          <cell r="B3345" t="b">
            <v>1</v>
          </cell>
          <cell r="E3345" t="str">
            <v>Hospital Pozon</v>
          </cell>
          <cell r="H3345" t="str">
            <v>salud_oral</v>
          </cell>
          <cell r="J3345" t="str">
            <v>bueno</v>
          </cell>
          <cell r="K3345" t="str">
            <v>probsi</v>
          </cell>
        </row>
        <row r="3346">
          <cell r="B3346" t="b">
            <v>1</v>
          </cell>
          <cell r="E3346" t="str">
            <v>Hospital Pozon</v>
          </cell>
          <cell r="H3346" t="str">
            <v>salud_oral</v>
          </cell>
          <cell r="J3346" t="str">
            <v>bueno</v>
          </cell>
          <cell r="K3346" t="str">
            <v>probsi</v>
          </cell>
        </row>
        <row r="3347">
          <cell r="B3347" t="b">
            <v>1</v>
          </cell>
          <cell r="E3347" t="str">
            <v>Hospital Pozon</v>
          </cell>
          <cell r="H3347" t="str">
            <v>salud_oral</v>
          </cell>
          <cell r="J3347" t="str">
            <v>bueno</v>
          </cell>
          <cell r="K3347" t="str">
            <v>probsi</v>
          </cell>
        </row>
        <row r="3348">
          <cell r="B3348" t="b">
            <v>1</v>
          </cell>
          <cell r="E3348" t="str">
            <v>Hospital Pozon</v>
          </cell>
          <cell r="H3348" t="str">
            <v>salud_oral</v>
          </cell>
          <cell r="J3348" t="str">
            <v>bueno</v>
          </cell>
          <cell r="K3348" t="str">
            <v>probsi</v>
          </cell>
        </row>
        <row r="3349">
          <cell r="B3349" t="b">
            <v>1</v>
          </cell>
          <cell r="E3349" t="str">
            <v>Pozon</v>
          </cell>
          <cell r="H3349" t="str">
            <v>consulta_externa</v>
          </cell>
          <cell r="J3349" t="str">
            <v>bueno</v>
          </cell>
          <cell r="K3349" t="str">
            <v>probsi</v>
          </cell>
        </row>
        <row r="3350">
          <cell r="B3350" t="b">
            <v>1</v>
          </cell>
          <cell r="E3350" t="str">
            <v>Pozon</v>
          </cell>
          <cell r="H3350" t="str">
            <v>consulta_externa</v>
          </cell>
          <cell r="J3350" t="str">
            <v>bueno</v>
          </cell>
          <cell r="K3350" t="str">
            <v>probsi</v>
          </cell>
        </row>
        <row r="3351">
          <cell r="B3351" t="b">
            <v>1</v>
          </cell>
          <cell r="E3351" t="str">
            <v>Pozon</v>
          </cell>
          <cell r="H3351" t="str">
            <v>salud_oral</v>
          </cell>
          <cell r="J3351" t="str">
            <v>bueno</v>
          </cell>
          <cell r="K3351" t="str">
            <v>probsi</v>
          </cell>
        </row>
        <row r="3352">
          <cell r="B3352" t="b">
            <v>1</v>
          </cell>
          <cell r="E3352" t="str">
            <v>Pozon</v>
          </cell>
          <cell r="H3352" t="str">
            <v>salud_oral</v>
          </cell>
          <cell r="J3352" t="str">
            <v>bueno</v>
          </cell>
          <cell r="K3352" t="str">
            <v>probsi</v>
          </cell>
        </row>
        <row r="3353">
          <cell r="B3353" t="b">
            <v>1</v>
          </cell>
          <cell r="E3353" t="str">
            <v>Pozon</v>
          </cell>
          <cell r="H3353" t="str">
            <v>consulta_externa</v>
          </cell>
          <cell r="J3353" t="str">
            <v>bueno</v>
          </cell>
          <cell r="K3353" t="str">
            <v>probsi</v>
          </cell>
        </row>
        <row r="3354">
          <cell r="B3354" t="b">
            <v>1</v>
          </cell>
          <cell r="E3354" t="str">
            <v>Pozon</v>
          </cell>
          <cell r="H3354" t="str">
            <v>salud_oral</v>
          </cell>
          <cell r="J3354" t="str">
            <v>bueno</v>
          </cell>
          <cell r="K3354" t="str">
            <v>probsi</v>
          </cell>
        </row>
        <row r="3355">
          <cell r="B3355" t="b">
            <v>1</v>
          </cell>
          <cell r="E3355" t="str">
            <v>Pozon</v>
          </cell>
          <cell r="H3355" t="str">
            <v>consulta_externa</v>
          </cell>
          <cell r="J3355" t="str">
            <v>bueno</v>
          </cell>
          <cell r="K3355" t="str">
            <v>probsi</v>
          </cell>
        </row>
        <row r="3356">
          <cell r="B3356" t="b">
            <v>1</v>
          </cell>
          <cell r="E3356" t="str">
            <v>Pozon</v>
          </cell>
          <cell r="H3356" t="str">
            <v>salud_oral</v>
          </cell>
          <cell r="J3356" t="str">
            <v>bueno</v>
          </cell>
          <cell r="K3356" t="str">
            <v>probsi</v>
          </cell>
        </row>
        <row r="3357">
          <cell r="B3357" t="b">
            <v>1</v>
          </cell>
          <cell r="E3357" t="str">
            <v>Pozon</v>
          </cell>
          <cell r="H3357" t="str">
            <v>laboratorio</v>
          </cell>
          <cell r="J3357" t="str">
            <v>bueno</v>
          </cell>
          <cell r="K3357" t="str">
            <v>probsi</v>
          </cell>
        </row>
        <row r="3358">
          <cell r="B3358" t="b">
            <v>1</v>
          </cell>
          <cell r="E3358" t="str">
            <v>Pozon</v>
          </cell>
          <cell r="H3358" t="str">
            <v>consulta_externa</v>
          </cell>
          <cell r="J3358" t="str">
            <v>bueno</v>
          </cell>
          <cell r="K3358" t="str">
            <v>probsi</v>
          </cell>
        </row>
        <row r="3359">
          <cell r="B3359" t="b">
            <v>1</v>
          </cell>
          <cell r="E3359" t="str">
            <v>Pozon</v>
          </cell>
          <cell r="H3359" t="str">
            <v>laboratorio</v>
          </cell>
          <cell r="J3359" t="str">
            <v>bueno</v>
          </cell>
          <cell r="K3359" t="str">
            <v>probsi</v>
          </cell>
        </row>
        <row r="3360">
          <cell r="B3360" t="b">
            <v>1</v>
          </cell>
          <cell r="E3360" t="str">
            <v>Pozon</v>
          </cell>
          <cell r="H3360" t="str">
            <v>consulta_externa</v>
          </cell>
          <cell r="J3360" t="str">
            <v>bueno</v>
          </cell>
          <cell r="K3360" t="str">
            <v>probsi</v>
          </cell>
        </row>
        <row r="3361">
          <cell r="B3361" t="b">
            <v>1</v>
          </cell>
          <cell r="E3361" t="str">
            <v>Pozon</v>
          </cell>
          <cell r="H3361" t="str">
            <v>salud_oral</v>
          </cell>
          <cell r="J3361" t="str">
            <v>bueno</v>
          </cell>
          <cell r="K3361" t="str">
            <v>probsi</v>
          </cell>
        </row>
        <row r="3362">
          <cell r="B3362" t="b">
            <v>1</v>
          </cell>
          <cell r="E3362" t="str">
            <v>Pozon</v>
          </cell>
          <cell r="H3362" t="str">
            <v>consulta_externa</v>
          </cell>
          <cell r="J3362" t="str">
            <v>bueno</v>
          </cell>
          <cell r="K3362" t="str">
            <v>probsi</v>
          </cell>
        </row>
        <row r="3363">
          <cell r="B3363" t="b">
            <v>1</v>
          </cell>
          <cell r="E3363" t="str">
            <v>Ternera</v>
          </cell>
          <cell r="H3363" t="str">
            <v>consulta_externa</v>
          </cell>
          <cell r="J3363" t="str">
            <v>bueno</v>
          </cell>
          <cell r="K3363" t="str">
            <v>defsi</v>
          </cell>
        </row>
        <row r="3364">
          <cell r="B3364" t="b">
            <v>1</v>
          </cell>
          <cell r="E3364" t="str">
            <v>Ternera</v>
          </cell>
          <cell r="H3364" t="str">
            <v>salud_oral</v>
          </cell>
          <cell r="J3364" t="str">
            <v>bueno</v>
          </cell>
          <cell r="K3364" t="str">
            <v>defsi</v>
          </cell>
        </row>
        <row r="3365">
          <cell r="B3365" t="b">
            <v>1</v>
          </cell>
          <cell r="E3365" t="str">
            <v>Ternera</v>
          </cell>
          <cell r="H3365" t="str">
            <v>laboratorio</v>
          </cell>
          <cell r="J3365" t="str">
            <v>bueno</v>
          </cell>
          <cell r="K3365" t="str">
            <v>defsi</v>
          </cell>
        </row>
        <row r="3366">
          <cell r="B3366" t="b">
            <v>1</v>
          </cell>
          <cell r="E3366" t="str">
            <v>Ternera</v>
          </cell>
          <cell r="H3366" t="str">
            <v>consulta_externa</v>
          </cell>
          <cell r="J3366" t="str">
            <v>bueno</v>
          </cell>
          <cell r="K3366" t="str">
            <v>defsi</v>
          </cell>
        </row>
        <row r="3367">
          <cell r="B3367" t="b">
            <v>1</v>
          </cell>
          <cell r="E3367" t="str">
            <v>Ternera</v>
          </cell>
          <cell r="H3367" t="str">
            <v>salud_oral</v>
          </cell>
          <cell r="J3367" t="str">
            <v>bueno</v>
          </cell>
          <cell r="K3367" t="str">
            <v>defsi</v>
          </cell>
        </row>
        <row r="3368">
          <cell r="B3368" t="b">
            <v>1</v>
          </cell>
          <cell r="E3368" t="str">
            <v>Pozon</v>
          </cell>
          <cell r="H3368" t="str">
            <v>consulta_externa</v>
          </cell>
          <cell r="J3368" t="str">
            <v>bueno</v>
          </cell>
          <cell r="K3368" t="str">
            <v>probsi</v>
          </cell>
        </row>
        <row r="3369">
          <cell r="B3369" t="b">
            <v>1</v>
          </cell>
          <cell r="E3369" t="str">
            <v>Pozon</v>
          </cell>
          <cell r="H3369" t="str">
            <v>salud_oral</v>
          </cell>
          <cell r="J3369" t="str">
            <v>bueno</v>
          </cell>
          <cell r="K3369" t="str">
            <v>probsi</v>
          </cell>
        </row>
        <row r="3370">
          <cell r="B3370" t="b">
            <v>1</v>
          </cell>
          <cell r="E3370" t="str">
            <v>Pozon</v>
          </cell>
          <cell r="H3370" t="str">
            <v>laboratorio</v>
          </cell>
          <cell r="J3370" t="str">
            <v>bueno</v>
          </cell>
          <cell r="K3370" t="str">
            <v>probsi</v>
          </cell>
        </row>
        <row r="3371">
          <cell r="B3371" t="b">
            <v>1</v>
          </cell>
          <cell r="E3371" t="str">
            <v>Pozon</v>
          </cell>
          <cell r="H3371" t="str">
            <v>consulta_externa</v>
          </cell>
          <cell r="J3371" t="str">
            <v>bueno</v>
          </cell>
          <cell r="K3371" t="str">
            <v>probsi</v>
          </cell>
        </row>
        <row r="3372">
          <cell r="B3372" t="b">
            <v>1</v>
          </cell>
          <cell r="E3372" t="str">
            <v>Pozon</v>
          </cell>
          <cell r="H3372" t="str">
            <v>laboratorio</v>
          </cell>
          <cell r="J3372" t="str">
            <v>bueno</v>
          </cell>
          <cell r="K3372" t="str">
            <v>probsi</v>
          </cell>
        </row>
        <row r="3373">
          <cell r="B3373" t="b">
            <v>1</v>
          </cell>
          <cell r="E3373" t="str">
            <v>Ternera</v>
          </cell>
          <cell r="H3373" t="str">
            <v>consulta_externa</v>
          </cell>
          <cell r="J3373" t="str">
            <v>bueno</v>
          </cell>
          <cell r="K3373" t="str">
            <v>defsi</v>
          </cell>
        </row>
        <row r="3374">
          <cell r="B3374" t="b">
            <v>1</v>
          </cell>
          <cell r="E3374" t="str">
            <v>Ternera</v>
          </cell>
          <cell r="H3374" t="str">
            <v>salud_oral</v>
          </cell>
          <cell r="J3374" t="str">
            <v>bueno</v>
          </cell>
          <cell r="K3374" t="str">
            <v>defsi</v>
          </cell>
        </row>
        <row r="3375">
          <cell r="B3375" t="b">
            <v>1</v>
          </cell>
          <cell r="E3375" t="str">
            <v>Ternera</v>
          </cell>
          <cell r="H3375" t="str">
            <v>laboratorio</v>
          </cell>
          <cell r="J3375" t="str">
            <v>bueno</v>
          </cell>
          <cell r="K3375" t="str">
            <v>defsi</v>
          </cell>
        </row>
        <row r="3376">
          <cell r="B3376" t="b">
            <v>1</v>
          </cell>
          <cell r="E3376" t="str">
            <v>Ternera</v>
          </cell>
          <cell r="H3376" t="str">
            <v>consulta_externa</v>
          </cell>
          <cell r="J3376" t="str">
            <v>bueno</v>
          </cell>
          <cell r="K3376" t="str">
            <v>defsi</v>
          </cell>
        </row>
        <row r="3377">
          <cell r="B3377" t="b">
            <v>1</v>
          </cell>
          <cell r="E3377" t="str">
            <v>Ternera</v>
          </cell>
          <cell r="H3377" t="str">
            <v>salud_oral</v>
          </cell>
          <cell r="J3377" t="str">
            <v>bueno</v>
          </cell>
          <cell r="K3377" t="str">
            <v>defsi</v>
          </cell>
        </row>
        <row r="3378">
          <cell r="B3378" t="b">
            <v>1</v>
          </cell>
          <cell r="E3378" t="str">
            <v>Ternera</v>
          </cell>
          <cell r="H3378" t="str">
            <v>laboratorio</v>
          </cell>
          <cell r="J3378" t="str">
            <v>bueno</v>
          </cell>
          <cell r="K3378" t="str">
            <v>defsi</v>
          </cell>
        </row>
        <row r="3379">
          <cell r="B3379" t="b">
            <v>1</v>
          </cell>
          <cell r="E3379" t="str">
            <v>Ternera</v>
          </cell>
          <cell r="H3379" t="str">
            <v>consulta_externa</v>
          </cell>
          <cell r="J3379" t="str">
            <v>bueno</v>
          </cell>
          <cell r="K3379" t="str">
            <v>defsi</v>
          </cell>
        </row>
        <row r="3380">
          <cell r="B3380" t="b">
            <v>1</v>
          </cell>
          <cell r="E3380" t="str">
            <v>Ternera</v>
          </cell>
          <cell r="H3380" t="str">
            <v>salud_oral</v>
          </cell>
          <cell r="J3380" t="str">
            <v>bueno</v>
          </cell>
          <cell r="K3380" t="str">
            <v>defsi</v>
          </cell>
        </row>
        <row r="3381">
          <cell r="B3381" t="b">
            <v>1</v>
          </cell>
          <cell r="E3381" t="str">
            <v>Ternera</v>
          </cell>
          <cell r="H3381" t="str">
            <v>laboratorio</v>
          </cell>
          <cell r="J3381" t="str">
            <v>bueno</v>
          </cell>
          <cell r="K3381" t="str">
            <v>defsi</v>
          </cell>
        </row>
        <row r="3382">
          <cell r="B3382" t="b">
            <v>1</v>
          </cell>
          <cell r="E3382" t="str">
            <v>Los Cerros</v>
          </cell>
          <cell r="H3382" t="str">
            <v>consulta_externa</v>
          </cell>
          <cell r="J3382" t="str">
            <v>bueno</v>
          </cell>
          <cell r="K3382" t="str">
            <v>defsi</v>
          </cell>
        </row>
        <row r="3383">
          <cell r="B3383" t="b">
            <v>1</v>
          </cell>
          <cell r="E3383" t="str">
            <v>Los Cerros</v>
          </cell>
          <cell r="H3383" t="str">
            <v>laboratorio</v>
          </cell>
          <cell r="J3383" t="str">
            <v>bueno</v>
          </cell>
          <cell r="K3383" t="str">
            <v>defsi</v>
          </cell>
        </row>
        <row r="3384">
          <cell r="B3384" t="b">
            <v>1</v>
          </cell>
          <cell r="E3384" t="str">
            <v>Ternera</v>
          </cell>
          <cell r="H3384" t="str">
            <v>consulta_externa</v>
          </cell>
          <cell r="J3384" t="str">
            <v>bueno</v>
          </cell>
          <cell r="K3384" t="str">
            <v>defsi</v>
          </cell>
        </row>
        <row r="3385">
          <cell r="B3385" t="b">
            <v>1</v>
          </cell>
          <cell r="E3385" t="str">
            <v>Ternera</v>
          </cell>
          <cell r="H3385" t="str">
            <v>salud_oral</v>
          </cell>
          <cell r="J3385" t="str">
            <v>bueno</v>
          </cell>
          <cell r="K3385" t="str">
            <v>defsi</v>
          </cell>
        </row>
        <row r="3386">
          <cell r="B3386" t="b">
            <v>1</v>
          </cell>
          <cell r="E3386" t="str">
            <v>Los Cerros</v>
          </cell>
          <cell r="H3386" t="str">
            <v>salud_oral</v>
          </cell>
          <cell r="J3386" t="str">
            <v>bueno</v>
          </cell>
          <cell r="K3386" t="str">
            <v>defsi</v>
          </cell>
        </row>
        <row r="3387">
          <cell r="B3387" t="b">
            <v>1</v>
          </cell>
          <cell r="E3387" t="str">
            <v>Los Cerros</v>
          </cell>
          <cell r="H3387" t="str">
            <v>salud_oral</v>
          </cell>
          <cell r="J3387" t="str">
            <v>bueno</v>
          </cell>
          <cell r="K3387" t="str">
            <v>defsi</v>
          </cell>
        </row>
        <row r="3388">
          <cell r="B3388" t="b">
            <v>1</v>
          </cell>
          <cell r="E3388" t="str">
            <v>Ternera</v>
          </cell>
          <cell r="H3388" t="str">
            <v>laboratorio</v>
          </cell>
          <cell r="J3388" t="str">
            <v>bueno</v>
          </cell>
          <cell r="K3388" t="str">
            <v>defsi</v>
          </cell>
        </row>
        <row r="3389">
          <cell r="B3389" t="b">
            <v>1</v>
          </cell>
          <cell r="E3389" t="str">
            <v>Los Cerros</v>
          </cell>
          <cell r="H3389" t="str">
            <v>consulta_externa</v>
          </cell>
          <cell r="J3389" t="str">
            <v>bueno</v>
          </cell>
          <cell r="K3389" t="str">
            <v>defsi</v>
          </cell>
        </row>
        <row r="3390">
          <cell r="B3390" t="b">
            <v>1</v>
          </cell>
          <cell r="E3390" t="str">
            <v>Los Cerros</v>
          </cell>
          <cell r="H3390" t="str">
            <v>salud_oral</v>
          </cell>
          <cell r="J3390" t="str">
            <v>bueno</v>
          </cell>
          <cell r="K3390" t="str">
            <v>defsi</v>
          </cell>
        </row>
        <row r="3391">
          <cell r="B3391" t="b">
            <v>1</v>
          </cell>
          <cell r="E3391" t="str">
            <v>Los Cerros</v>
          </cell>
          <cell r="H3391" t="str">
            <v>salud_oral</v>
          </cell>
          <cell r="J3391" t="str">
            <v>bueno</v>
          </cell>
          <cell r="K3391" t="str">
            <v>defsi</v>
          </cell>
        </row>
        <row r="3392">
          <cell r="B3392" t="b">
            <v>0</v>
          </cell>
          <cell r="E3392" t="str">
            <v>Los Cerros</v>
          </cell>
          <cell r="H3392" t="str">
            <v>consulta_externa</v>
          </cell>
          <cell r="J3392" t="str">
            <v>regular</v>
          </cell>
          <cell r="K3392" t="str">
            <v>probsi</v>
          </cell>
        </row>
        <row r="3393">
          <cell r="B3393" t="b">
            <v>1</v>
          </cell>
          <cell r="E3393" t="str">
            <v>Los Cerros</v>
          </cell>
          <cell r="H3393" t="str">
            <v>consulta_externa</v>
          </cell>
          <cell r="J3393" t="str">
            <v>bueno</v>
          </cell>
          <cell r="K3393" t="str">
            <v>defsi</v>
          </cell>
        </row>
        <row r="3394">
          <cell r="B3394" t="b">
            <v>1</v>
          </cell>
          <cell r="E3394" t="str">
            <v>Los Cerros</v>
          </cell>
          <cell r="H3394" t="str">
            <v>salud_oral</v>
          </cell>
          <cell r="J3394" t="str">
            <v>bueno</v>
          </cell>
          <cell r="K3394" t="str">
            <v>defsi</v>
          </cell>
        </row>
        <row r="3395">
          <cell r="B3395" t="b">
            <v>0</v>
          </cell>
          <cell r="E3395" t="str">
            <v>Los Cerros</v>
          </cell>
          <cell r="H3395" t="str">
            <v>electros</v>
          </cell>
          <cell r="J3395" t="str">
            <v>regular</v>
          </cell>
          <cell r="K3395" t="str">
            <v>defsi</v>
          </cell>
        </row>
        <row r="3396">
          <cell r="B3396" t="b">
            <v>1</v>
          </cell>
          <cell r="E3396" t="str">
            <v>Los Cerros</v>
          </cell>
          <cell r="H3396" t="str">
            <v>electros</v>
          </cell>
          <cell r="J3396" t="str">
            <v>bueno</v>
          </cell>
          <cell r="K3396" t="str">
            <v>defsi</v>
          </cell>
        </row>
        <row r="3397">
          <cell r="B3397" t="b">
            <v>1</v>
          </cell>
          <cell r="E3397" t="str">
            <v>Los Cerros</v>
          </cell>
          <cell r="H3397" t="str">
            <v>consulta_externa</v>
          </cell>
          <cell r="J3397" t="str">
            <v>bueno</v>
          </cell>
          <cell r="K3397" t="str">
            <v>defsi</v>
          </cell>
        </row>
        <row r="3398">
          <cell r="B3398" t="b">
            <v>1</v>
          </cell>
          <cell r="E3398" t="str">
            <v>Los Cerros</v>
          </cell>
          <cell r="H3398" t="str">
            <v>laboratorio</v>
          </cell>
          <cell r="J3398" t="str">
            <v>bueno</v>
          </cell>
          <cell r="K3398" t="str">
            <v>defsi</v>
          </cell>
        </row>
        <row r="3399">
          <cell r="B3399" t="b">
            <v>1</v>
          </cell>
          <cell r="E3399" t="str">
            <v>Los Cerros</v>
          </cell>
          <cell r="H3399" t="str">
            <v>laboratorio</v>
          </cell>
          <cell r="J3399" t="str">
            <v>bueno</v>
          </cell>
          <cell r="K3399" t="str">
            <v>defsi</v>
          </cell>
        </row>
        <row r="3400">
          <cell r="B3400" t="b">
            <v>1</v>
          </cell>
          <cell r="E3400" t="str">
            <v>Los Cerros</v>
          </cell>
          <cell r="H3400" t="str">
            <v>electros</v>
          </cell>
          <cell r="J3400" t="str">
            <v>bueno</v>
          </cell>
          <cell r="K3400" t="str">
            <v>defsi</v>
          </cell>
        </row>
        <row r="3401">
          <cell r="B3401" t="b">
            <v>1</v>
          </cell>
          <cell r="E3401" t="str">
            <v>Los Cerros</v>
          </cell>
          <cell r="H3401" t="str">
            <v>electros</v>
          </cell>
          <cell r="J3401" t="str">
            <v>bueno</v>
          </cell>
          <cell r="K3401" t="str">
            <v>defsi</v>
          </cell>
        </row>
        <row r="3402">
          <cell r="B3402" t="b">
            <v>1</v>
          </cell>
          <cell r="E3402" t="str">
            <v>Hospital Pozon</v>
          </cell>
          <cell r="H3402" t="str">
            <v>rx</v>
          </cell>
          <cell r="J3402" t="str">
            <v>bueno</v>
          </cell>
          <cell r="K3402" t="str">
            <v>probsi</v>
          </cell>
        </row>
        <row r="3403">
          <cell r="B3403" t="b">
            <v>1</v>
          </cell>
          <cell r="E3403" t="str">
            <v>Hospital Pozon</v>
          </cell>
          <cell r="H3403" t="str">
            <v>rx</v>
          </cell>
          <cell r="J3403" t="str">
            <v>bueno</v>
          </cell>
          <cell r="K3403" t="str">
            <v>probsi</v>
          </cell>
        </row>
        <row r="3404">
          <cell r="B3404" t="b">
            <v>1</v>
          </cell>
          <cell r="E3404" t="str">
            <v>Hospital Pozon</v>
          </cell>
          <cell r="H3404" t="str">
            <v>rx</v>
          </cell>
          <cell r="J3404" t="str">
            <v>bueno</v>
          </cell>
          <cell r="K3404" t="str">
            <v>probsi</v>
          </cell>
        </row>
        <row r="3405">
          <cell r="B3405" t="b">
            <v>1</v>
          </cell>
          <cell r="E3405" t="str">
            <v>Hospital Pozon</v>
          </cell>
          <cell r="H3405" t="str">
            <v>rx</v>
          </cell>
          <cell r="J3405" t="str">
            <v>bueno</v>
          </cell>
          <cell r="K3405" t="str">
            <v>probsi</v>
          </cell>
        </row>
        <row r="3406">
          <cell r="B3406" t="b">
            <v>0</v>
          </cell>
          <cell r="E3406" t="str">
            <v>Hospital Pozon</v>
          </cell>
          <cell r="H3406" t="str">
            <v>rx</v>
          </cell>
          <cell r="J3406" t="str">
            <v>regular</v>
          </cell>
          <cell r="K3406" t="str">
            <v>probsi</v>
          </cell>
        </row>
        <row r="3407">
          <cell r="B3407" t="b">
            <v>1</v>
          </cell>
          <cell r="E3407" t="str">
            <v>Hospital Pozon</v>
          </cell>
          <cell r="H3407" t="str">
            <v>rx</v>
          </cell>
          <cell r="J3407" t="str">
            <v>bueno</v>
          </cell>
          <cell r="K3407" t="str">
            <v>probsi</v>
          </cell>
        </row>
        <row r="3408">
          <cell r="B3408" t="b">
            <v>1</v>
          </cell>
          <cell r="E3408" t="str">
            <v>Hospital Pozon</v>
          </cell>
          <cell r="H3408" t="str">
            <v>rx</v>
          </cell>
          <cell r="J3408" t="str">
            <v>bueno</v>
          </cell>
          <cell r="K3408" t="str">
            <v>probsi</v>
          </cell>
        </row>
        <row r="3409">
          <cell r="B3409" t="b">
            <v>1</v>
          </cell>
          <cell r="E3409" t="str">
            <v>Hospital Pozon</v>
          </cell>
          <cell r="H3409" t="str">
            <v>rx</v>
          </cell>
          <cell r="J3409" t="str">
            <v>bueno</v>
          </cell>
          <cell r="K3409" t="str">
            <v>probsi</v>
          </cell>
        </row>
        <row r="3410">
          <cell r="B3410" t="b">
            <v>1</v>
          </cell>
          <cell r="E3410" t="str">
            <v>Hospital Pozon</v>
          </cell>
          <cell r="H3410" t="str">
            <v>rx</v>
          </cell>
          <cell r="J3410" t="str">
            <v>bueno</v>
          </cell>
          <cell r="K3410" t="str">
            <v>probsi</v>
          </cell>
        </row>
        <row r="3411">
          <cell r="B3411" t="b">
            <v>1</v>
          </cell>
          <cell r="E3411" t="str">
            <v>Hospital Pozon</v>
          </cell>
          <cell r="H3411" t="str">
            <v>rx</v>
          </cell>
          <cell r="J3411" t="str">
            <v>bueno</v>
          </cell>
          <cell r="K3411" t="str">
            <v>probsi</v>
          </cell>
        </row>
        <row r="3412">
          <cell r="B3412" t="b">
            <v>1</v>
          </cell>
          <cell r="E3412" t="str">
            <v>Los Cerros</v>
          </cell>
          <cell r="H3412" t="str">
            <v>consulta_externa</v>
          </cell>
          <cell r="J3412" t="str">
            <v>bueno</v>
          </cell>
          <cell r="K3412" t="str">
            <v>defsi</v>
          </cell>
        </row>
        <row r="3413">
          <cell r="B3413" t="b">
            <v>1</v>
          </cell>
          <cell r="E3413" t="str">
            <v>Los Cerros</v>
          </cell>
          <cell r="H3413" t="str">
            <v>consulta_externa</v>
          </cell>
          <cell r="J3413" t="str">
            <v>bueno</v>
          </cell>
          <cell r="K3413" t="str">
            <v>defsi</v>
          </cell>
        </row>
        <row r="3414">
          <cell r="B3414" t="b">
            <v>1</v>
          </cell>
          <cell r="E3414" t="str">
            <v>Los Cerros</v>
          </cell>
          <cell r="H3414" t="str">
            <v>salud_oral</v>
          </cell>
          <cell r="J3414" t="str">
            <v>bueno</v>
          </cell>
          <cell r="K3414" t="str">
            <v>defsi</v>
          </cell>
        </row>
        <row r="3415">
          <cell r="B3415" t="b">
            <v>1</v>
          </cell>
          <cell r="E3415" t="str">
            <v>Los Cerros</v>
          </cell>
          <cell r="H3415" t="str">
            <v>ecografias</v>
          </cell>
          <cell r="J3415" t="str">
            <v>bueno</v>
          </cell>
          <cell r="K3415" t="str">
            <v>defsi</v>
          </cell>
        </row>
        <row r="3416">
          <cell r="B3416" t="b">
            <v>1</v>
          </cell>
          <cell r="E3416" t="str">
            <v>Los Cerros</v>
          </cell>
          <cell r="H3416" t="str">
            <v>ginecologia</v>
          </cell>
          <cell r="J3416" t="str">
            <v>bueno</v>
          </cell>
          <cell r="K3416" t="str">
            <v>defsi</v>
          </cell>
        </row>
        <row r="3417">
          <cell r="B3417" t="b">
            <v>0</v>
          </cell>
          <cell r="E3417" t="str">
            <v>Los Cerros</v>
          </cell>
          <cell r="H3417" t="str">
            <v>ecografias</v>
          </cell>
          <cell r="J3417" t="str">
            <v>regular</v>
          </cell>
          <cell r="K3417" t="str">
            <v>probno</v>
          </cell>
        </row>
        <row r="3418">
          <cell r="B3418" t="b">
            <v>1</v>
          </cell>
          <cell r="E3418" t="str">
            <v>Los Cerros</v>
          </cell>
          <cell r="H3418" t="str">
            <v>ecografias</v>
          </cell>
          <cell r="J3418" t="str">
            <v>bueno</v>
          </cell>
          <cell r="K3418" t="str">
            <v>defsi</v>
          </cell>
        </row>
        <row r="3419">
          <cell r="B3419" t="b">
            <v>1</v>
          </cell>
          <cell r="E3419" t="str">
            <v>Los Cerros</v>
          </cell>
          <cell r="H3419" t="str">
            <v>ecografias</v>
          </cell>
          <cell r="J3419" t="str">
            <v>bueno</v>
          </cell>
          <cell r="K3419" t="str">
            <v>defsi</v>
          </cell>
        </row>
        <row r="3420">
          <cell r="B3420" t="b">
            <v>1</v>
          </cell>
          <cell r="E3420" t="str">
            <v>Los Cerros</v>
          </cell>
          <cell r="H3420" t="str">
            <v>salud_oral</v>
          </cell>
          <cell r="J3420" t="str">
            <v>bueno</v>
          </cell>
          <cell r="K3420" t="str">
            <v>defsi</v>
          </cell>
        </row>
        <row r="3421">
          <cell r="B3421" t="b">
            <v>1</v>
          </cell>
          <cell r="E3421" t="str">
            <v>Los Cerros</v>
          </cell>
          <cell r="H3421" t="str">
            <v>salud_oral</v>
          </cell>
          <cell r="J3421" t="str">
            <v>bueno</v>
          </cell>
          <cell r="K3421" t="str">
            <v>defsi</v>
          </cell>
        </row>
        <row r="3422">
          <cell r="B3422" t="b">
            <v>1</v>
          </cell>
          <cell r="E3422" t="str">
            <v>Los Cerros</v>
          </cell>
          <cell r="H3422" t="str">
            <v>ecografias</v>
          </cell>
          <cell r="J3422" t="str">
            <v>bueno</v>
          </cell>
          <cell r="K3422" t="str">
            <v>defsi</v>
          </cell>
        </row>
        <row r="3423">
          <cell r="B3423" t="b">
            <v>1</v>
          </cell>
          <cell r="E3423" t="str">
            <v>Los Cerros</v>
          </cell>
          <cell r="H3423" t="str">
            <v>salud_oral</v>
          </cell>
          <cell r="J3423" t="str">
            <v>bueno</v>
          </cell>
          <cell r="K3423" t="str">
            <v>defsi</v>
          </cell>
        </row>
        <row r="3424">
          <cell r="B3424" t="b">
            <v>1</v>
          </cell>
          <cell r="E3424" t="str">
            <v>Los Cerros</v>
          </cell>
          <cell r="H3424" t="str">
            <v>consulta_externa</v>
          </cell>
          <cell r="J3424" t="str">
            <v>bueno</v>
          </cell>
          <cell r="K3424" t="str">
            <v>defsi</v>
          </cell>
        </row>
        <row r="3425">
          <cell r="B3425" t="b">
            <v>1</v>
          </cell>
          <cell r="E3425" t="str">
            <v>Los Cerros</v>
          </cell>
          <cell r="H3425" t="str">
            <v>medicina_interna</v>
          </cell>
          <cell r="J3425" t="str">
            <v>bueno</v>
          </cell>
          <cell r="K3425" t="str">
            <v>defsi</v>
          </cell>
        </row>
        <row r="3426">
          <cell r="B3426" t="b">
            <v>1</v>
          </cell>
          <cell r="E3426" t="str">
            <v>Ternera</v>
          </cell>
          <cell r="H3426" t="str">
            <v>consulta_externa</v>
          </cell>
          <cell r="J3426" t="str">
            <v>bueno</v>
          </cell>
          <cell r="K3426" t="str">
            <v>defsi</v>
          </cell>
        </row>
        <row r="3427">
          <cell r="B3427" t="b">
            <v>1</v>
          </cell>
          <cell r="E3427" t="str">
            <v>Ternera</v>
          </cell>
          <cell r="H3427" t="str">
            <v>salud_oral</v>
          </cell>
          <cell r="J3427" t="str">
            <v>bueno</v>
          </cell>
          <cell r="K3427" t="str">
            <v>defsi</v>
          </cell>
        </row>
        <row r="3428">
          <cell r="B3428" t="b">
            <v>1</v>
          </cell>
          <cell r="E3428" t="str">
            <v>Ternera</v>
          </cell>
          <cell r="H3428" t="str">
            <v>laboratorio</v>
          </cell>
          <cell r="J3428" t="str">
            <v>bueno</v>
          </cell>
          <cell r="K3428" t="str">
            <v>defsi</v>
          </cell>
        </row>
        <row r="3429">
          <cell r="B3429" t="b">
            <v>1</v>
          </cell>
          <cell r="E3429" t="str">
            <v>Ternera</v>
          </cell>
          <cell r="H3429" t="str">
            <v>consulta_externa</v>
          </cell>
          <cell r="J3429" t="str">
            <v>bueno</v>
          </cell>
          <cell r="K3429" t="str">
            <v>defsi</v>
          </cell>
        </row>
        <row r="3430">
          <cell r="B3430" t="b">
            <v>1</v>
          </cell>
          <cell r="E3430" t="str">
            <v>Ternera</v>
          </cell>
          <cell r="H3430" t="str">
            <v>salud_oral</v>
          </cell>
          <cell r="J3430" t="str">
            <v>bueno</v>
          </cell>
          <cell r="K3430" t="str">
            <v>defsi</v>
          </cell>
        </row>
        <row r="3431">
          <cell r="B3431" t="b">
            <v>1</v>
          </cell>
          <cell r="E3431" t="str">
            <v>Ternera</v>
          </cell>
          <cell r="H3431" t="str">
            <v>laboratorio</v>
          </cell>
          <cell r="J3431" t="str">
            <v>bueno</v>
          </cell>
          <cell r="K3431" t="str">
            <v>defsi</v>
          </cell>
        </row>
        <row r="3432">
          <cell r="B3432" t="b">
            <v>1</v>
          </cell>
          <cell r="E3432" t="str">
            <v>Ternera</v>
          </cell>
          <cell r="H3432" t="str">
            <v>consulta_externa</v>
          </cell>
          <cell r="J3432" t="str">
            <v>bueno</v>
          </cell>
          <cell r="K3432" t="str">
            <v>defsi</v>
          </cell>
        </row>
        <row r="3433">
          <cell r="B3433" t="b">
            <v>1</v>
          </cell>
          <cell r="E3433" t="str">
            <v>Ternera</v>
          </cell>
          <cell r="H3433" t="str">
            <v>salud_oral</v>
          </cell>
          <cell r="J3433" t="str">
            <v>bueno</v>
          </cell>
          <cell r="K3433" t="str">
            <v>defsi</v>
          </cell>
        </row>
        <row r="3434">
          <cell r="B3434" t="b">
            <v>1</v>
          </cell>
          <cell r="E3434" t="str">
            <v>Ternera</v>
          </cell>
          <cell r="H3434" t="str">
            <v>laboratorio</v>
          </cell>
          <cell r="J3434" t="str">
            <v>bueno</v>
          </cell>
          <cell r="K3434" t="str">
            <v>defsi</v>
          </cell>
        </row>
        <row r="3435">
          <cell r="B3435" t="b">
            <v>1</v>
          </cell>
          <cell r="E3435" t="str">
            <v>Pozon</v>
          </cell>
          <cell r="H3435" t="str">
            <v>consulta_externa</v>
          </cell>
          <cell r="J3435" t="str">
            <v>bueno</v>
          </cell>
          <cell r="K3435" t="str">
            <v>probsi</v>
          </cell>
        </row>
        <row r="3436">
          <cell r="B3436" t="b">
            <v>1</v>
          </cell>
          <cell r="E3436" t="str">
            <v>Pozon</v>
          </cell>
          <cell r="H3436" t="str">
            <v>consulta_externa</v>
          </cell>
          <cell r="J3436" t="str">
            <v>bueno</v>
          </cell>
          <cell r="K3436" t="str">
            <v>probsi</v>
          </cell>
        </row>
        <row r="3437">
          <cell r="B3437" t="b">
            <v>1</v>
          </cell>
          <cell r="E3437" t="str">
            <v>Pozon</v>
          </cell>
          <cell r="H3437" t="str">
            <v>consulta_externa</v>
          </cell>
          <cell r="J3437" t="str">
            <v>bueno</v>
          </cell>
          <cell r="K3437" t="str">
            <v>probsi</v>
          </cell>
        </row>
        <row r="3438">
          <cell r="B3438" t="b">
            <v>1</v>
          </cell>
          <cell r="E3438" t="str">
            <v>Pozon</v>
          </cell>
          <cell r="H3438" t="str">
            <v>laboratorio</v>
          </cell>
          <cell r="J3438" t="str">
            <v>bueno</v>
          </cell>
          <cell r="K3438" t="str">
            <v>probsi</v>
          </cell>
        </row>
        <row r="3439">
          <cell r="B3439" t="b">
            <v>1</v>
          </cell>
          <cell r="E3439" t="str">
            <v>Pozon</v>
          </cell>
          <cell r="H3439" t="str">
            <v>laboratorio</v>
          </cell>
          <cell r="J3439" t="str">
            <v>bueno</v>
          </cell>
          <cell r="K3439" t="str">
            <v>probsi</v>
          </cell>
        </row>
        <row r="3440">
          <cell r="B3440" t="b">
            <v>1</v>
          </cell>
          <cell r="E3440" t="str">
            <v>Pozon</v>
          </cell>
          <cell r="H3440" t="str">
            <v>laboratorio</v>
          </cell>
          <cell r="J3440" t="str">
            <v>bueno</v>
          </cell>
          <cell r="K3440" t="str">
            <v>probsi</v>
          </cell>
        </row>
        <row r="3441">
          <cell r="B3441" t="b">
            <v>1</v>
          </cell>
          <cell r="E3441" t="str">
            <v>Pozon</v>
          </cell>
          <cell r="H3441" t="str">
            <v>laboratorio</v>
          </cell>
          <cell r="J3441" t="str">
            <v>bueno</v>
          </cell>
          <cell r="K3441" t="str">
            <v>probsi</v>
          </cell>
        </row>
        <row r="3442">
          <cell r="B3442" t="b">
            <v>1</v>
          </cell>
          <cell r="E3442" t="str">
            <v>Pozon</v>
          </cell>
          <cell r="H3442" t="str">
            <v>laboratorio</v>
          </cell>
          <cell r="J3442" t="str">
            <v>bueno</v>
          </cell>
          <cell r="K3442" t="str">
            <v>probsi</v>
          </cell>
        </row>
        <row r="3443">
          <cell r="B3443" t="b">
            <v>1</v>
          </cell>
          <cell r="E3443" t="str">
            <v>Pozon</v>
          </cell>
          <cell r="H3443" t="str">
            <v>laboratorio</v>
          </cell>
          <cell r="J3443" t="str">
            <v>bueno</v>
          </cell>
          <cell r="K3443" t="str">
            <v>probsi</v>
          </cell>
        </row>
        <row r="3444">
          <cell r="B3444" t="b">
            <v>1</v>
          </cell>
          <cell r="E3444" t="str">
            <v>Pozon</v>
          </cell>
          <cell r="H3444" t="str">
            <v>laboratorio</v>
          </cell>
          <cell r="J3444" t="str">
            <v>bueno</v>
          </cell>
          <cell r="K3444" t="str">
            <v>probsi</v>
          </cell>
        </row>
        <row r="3445">
          <cell r="B3445" t="b">
            <v>1</v>
          </cell>
          <cell r="E3445" t="str">
            <v>Pozon</v>
          </cell>
          <cell r="H3445" t="str">
            <v>salud_oral</v>
          </cell>
          <cell r="J3445" t="str">
            <v>bueno</v>
          </cell>
          <cell r="K3445" t="str">
            <v>probsi</v>
          </cell>
        </row>
        <row r="3446">
          <cell r="B3446" t="b">
            <v>1</v>
          </cell>
          <cell r="E3446" t="str">
            <v>Pozon</v>
          </cell>
          <cell r="H3446" t="str">
            <v>salud_oral</v>
          </cell>
          <cell r="J3446" t="str">
            <v>bueno</v>
          </cell>
          <cell r="K3446" t="str">
            <v>probsi</v>
          </cell>
        </row>
        <row r="3447">
          <cell r="B3447" t="b">
            <v>1</v>
          </cell>
          <cell r="E3447" t="str">
            <v>Pozon</v>
          </cell>
          <cell r="H3447" t="str">
            <v>salud_oral</v>
          </cell>
          <cell r="J3447" t="str">
            <v>bueno</v>
          </cell>
          <cell r="K3447" t="str">
            <v>probsi</v>
          </cell>
        </row>
        <row r="3448">
          <cell r="B3448" t="b">
            <v>1</v>
          </cell>
          <cell r="E3448" t="str">
            <v>Pozon</v>
          </cell>
          <cell r="H3448" t="str">
            <v>salud_oral</v>
          </cell>
          <cell r="J3448" t="str">
            <v>bueno</v>
          </cell>
          <cell r="K3448" t="str">
            <v>probsi</v>
          </cell>
        </row>
        <row r="3449">
          <cell r="B3449" t="b">
            <v>1</v>
          </cell>
          <cell r="E3449" t="str">
            <v>Pozon</v>
          </cell>
          <cell r="H3449" t="str">
            <v>salud_oral</v>
          </cell>
          <cell r="J3449" t="str">
            <v>bueno</v>
          </cell>
          <cell r="K3449" t="str">
            <v>probsi</v>
          </cell>
        </row>
        <row r="3450">
          <cell r="B3450" t="b">
            <v>1</v>
          </cell>
          <cell r="E3450" t="str">
            <v>Hospital Pozon</v>
          </cell>
          <cell r="H3450" t="str">
            <v>salud_oral</v>
          </cell>
          <cell r="J3450" t="str">
            <v>bueno</v>
          </cell>
          <cell r="K3450" t="str">
            <v>probsi</v>
          </cell>
        </row>
        <row r="3451">
          <cell r="B3451" t="b">
            <v>1</v>
          </cell>
          <cell r="E3451" t="str">
            <v>Hospital Pozon</v>
          </cell>
          <cell r="H3451" t="str">
            <v>salud_oral</v>
          </cell>
          <cell r="J3451" t="str">
            <v>bueno</v>
          </cell>
          <cell r="K3451" t="str">
            <v>probsi</v>
          </cell>
        </row>
        <row r="3452">
          <cell r="B3452" t="b">
            <v>1</v>
          </cell>
          <cell r="E3452" t="str">
            <v>Ternera</v>
          </cell>
          <cell r="H3452" t="str">
            <v>consulta_externa</v>
          </cell>
          <cell r="J3452" t="str">
            <v>bueno</v>
          </cell>
          <cell r="K3452" t="str">
            <v>defsi</v>
          </cell>
        </row>
        <row r="3453">
          <cell r="B3453" t="b">
            <v>1</v>
          </cell>
          <cell r="E3453" t="str">
            <v>Ternera</v>
          </cell>
          <cell r="H3453" t="str">
            <v>salud_oral</v>
          </cell>
          <cell r="J3453" t="str">
            <v>bueno</v>
          </cell>
          <cell r="K3453" t="str">
            <v>defsi</v>
          </cell>
        </row>
        <row r="3454">
          <cell r="B3454" t="b">
            <v>1</v>
          </cell>
          <cell r="E3454" t="str">
            <v>Ternera</v>
          </cell>
          <cell r="H3454" t="str">
            <v>laboratorio</v>
          </cell>
          <cell r="J3454" t="str">
            <v>bueno</v>
          </cell>
          <cell r="K3454" t="str">
            <v>defsi</v>
          </cell>
        </row>
        <row r="3455">
          <cell r="B3455" t="b">
            <v>1</v>
          </cell>
          <cell r="E3455" t="str">
            <v>Ternera</v>
          </cell>
          <cell r="H3455" t="str">
            <v>consulta_externa</v>
          </cell>
          <cell r="J3455" t="str">
            <v>bueno</v>
          </cell>
          <cell r="K3455" t="str">
            <v>defsi</v>
          </cell>
        </row>
        <row r="3456">
          <cell r="B3456" t="b">
            <v>1</v>
          </cell>
          <cell r="E3456" t="str">
            <v>Ternera</v>
          </cell>
          <cell r="H3456" t="str">
            <v>salud_oral</v>
          </cell>
          <cell r="J3456" t="str">
            <v>bueno</v>
          </cell>
          <cell r="K3456" t="str">
            <v>defsi</v>
          </cell>
        </row>
        <row r="3457">
          <cell r="B3457" t="b">
            <v>1</v>
          </cell>
          <cell r="E3457" t="str">
            <v>Ternera</v>
          </cell>
          <cell r="H3457" t="str">
            <v>laboratorio</v>
          </cell>
          <cell r="J3457" t="str">
            <v>bueno</v>
          </cell>
          <cell r="K3457" t="str">
            <v>defsi</v>
          </cell>
        </row>
        <row r="3458">
          <cell r="B3458" t="b">
            <v>1</v>
          </cell>
          <cell r="E3458" t="str">
            <v>Ternera</v>
          </cell>
          <cell r="H3458" t="str">
            <v>consulta_externa</v>
          </cell>
          <cell r="J3458" t="str">
            <v>bueno</v>
          </cell>
          <cell r="K3458" t="str">
            <v>defsi</v>
          </cell>
        </row>
        <row r="3459">
          <cell r="B3459" t="b">
            <v>1</v>
          </cell>
          <cell r="E3459" t="str">
            <v>Ternera</v>
          </cell>
          <cell r="H3459" t="str">
            <v>salud_oral</v>
          </cell>
          <cell r="J3459" t="str">
            <v>bueno</v>
          </cell>
          <cell r="K3459" t="str">
            <v>defsi</v>
          </cell>
        </row>
        <row r="3460">
          <cell r="B3460" t="b">
            <v>1</v>
          </cell>
          <cell r="E3460" t="str">
            <v>Ternera</v>
          </cell>
          <cell r="H3460" t="str">
            <v>laboratorio</v>
          </cell>
          <cell r="J3460" t="str">
            <v>bueno</v>
          </cell>
          <cell r="K3460" t="str">
            <v>defsi</v>
          </cell>
        </row>
        <row r="3461">
          <cell r="B3461" t="b">
            <v>1</v>
          </cell>
          <cell r="E3461" t="str">
            <v>Ternera</v>
          </cell>
          <cell r="H3461" t="str">
            <v>consulta_externa</v>
          </cell>
          <cell r="J3461" t="str">
            <v>bueno</v>
          </cell>
          <cell r="K3461" t="str">
            <v>defsi</v>
          </cell>
        </row>
        <row r="3462">
          <cell r="B3462" t="b">
            <v>1</v>
          </cell>
          <cell r="E3462" t="str">
            <v>Islote de San Bernardo</v>
          </cell>
          <cell r="H3462" t="str">
            <v>consulta_externa</v>
          </cell>
          <cell r="J3462" t="str">
            <v>bueno</v>
          </cell>
          <cell r="K3462" t="str">
            <v>probsi</v>
          </cell>
        </row>
        <row r="3463">
          <cell r="B3463" t="b">
            <v>1</v>
          </cell>
          <cell r="E3463" t="str">
            <v>Islote de San Bernardo</v>
          </cell>
          <cell r="H3463" t="str">
            <v>consulta_externa</v>
          </cell>
          <cell r="J3463" t="str">
            <v>bueno</v>
          </cell>
          <cell r="K3463" t="str">
            <v>probsi</v>
          </cell>
        </row>
        <row r="3464">
          <cell r="B3464" t="b">
            <v>0</v>
          </cell>
          <cell r="E3464" t="str">
            <v>Islote de San Bernardo</v>
          </cell>
          <cell r="H3464" t="str">
            <v>consulta_externa</v>
          </cell>
          <cell r="J3464" t="str">
            <v>regular</v>
          </cell>
          <cell r="K3464" t="str">
            <v>probsi</v>
          </cell>
        </row>
        <row r="3465">
          <cell r="B3465" t="b">
            <v>1</v>
          </cell>
          <cell r="E3465" t="str">
            <v>Islote de San Bernardo</v>
          </cell>
          <cell r="H3465" t="str">
            <v>consulta_externa</v>
          </cell>
          <cell r="J3465" t="str">
            <v>bueno</v>
          </cell>
          <cell r="K3465" t="str">
            <v>probsi</v>
          </cell>
        </row>
        <row r="3466">
          <cell r="B3466" t="b">
            <v>1</v>
          </cell>
          <cell r="E3466" t="str">
            <v>Islote de San Bernardo</v>
          </cell>
          <cell r="H3466" t="str">
            <v>consulta_externa</v>
          </cell>
          <cell r="J3466" t="str">
            <v>bueno</v>
          </cell>
          <cell r="K3466" t="str">
            <v>probsi</v>
          </cell>
        </row>
        <row r="3467">
          <cell r="B3467" t="b">
            <v>1</v>
          </cell>
          <cell r="E3467" t="str">
            <v>Islote de San Bernardo</v>
          </cell>
          <cell r="H3467" t="str">
            <v>consulta_externa</v>
          </cell>
          <cell r="J3467" t="str">
            <v>bueno</v>
          </cell>
          <cell r="K3467" t="str">
            <v>probsi</v>
          </cell>
        </row>
        <row r="3468">
          <cell r="B3468" t="b">
            <v>1</v>
          </cell>
          <cell r="E3468" t="str">
            <v>Islote de San Bernardo</v>
          </cell>
          <cell r="H3468" t="str">
            <v>consulta_externa</v>
          </cell>
          <cell r="J3468" t="str">
            <v>bueno</v>
          </cell>
          <cell r="K3468" t="str">
            <v>probsi</v>
          </cell>
        </row>
        <row r="3469">
          <cell r="B3469" t="b">
            <v>1</v>
          </cell>
          <cell r="E3469" t="str">
            <v>Islote de San Bernardo</v>
          </cell>
          <cell r="H3469" t="str">
            <v>laboratorio</v>
          </cell>
          <cell r="J3469" t="str">
            <v>bueno</v>
          </cell>
          <cell r="K3469" t="str">
            <v>probsi</v>
          </cell>
        </row>
        <row r="3470">
          <cell r="B3470" t="b">
            <v>1</v>
          </cell>
          <cell r="E3470" t="str">
            <v>Islote de San Bernardo</v>
          </cell>
          <cell r="H3470" t="str">
            <v>laboratorio</v>
          </cell>
          <cell r="J3470" t="str">
            <v>bueno</v>
          </cell>
          <cell r="K3470" t="str">
            <v>probsi</v>
          </cell>
        </row>
        <row r="3471">
          <cell r="B3471" t="b">
            <v>1</v>
          </cell>
          <cell r="E3471" t="str">
            <v>Islote de San Bernardo</v>
          </cell>
          <cell r="H3471" t="str">
            <v>laboratorio</v>
          </cell>
          <cell r="J3471" t="str">
            <v>bueno</v>
          </cell>
          <cell r="K3471" t="str">
            <v>probsi</v>
          </cell>
        </row>
        <row r="3472">
          <cell r="B3472" t="b">
            <v>1</v>
          </cell>
          <cell r="E3472" t="str">
            <v>Islote de San Bernardo</v>
          </cell>
          <cell r="H3472" t="str">
            <v>laboratorio</v>
          </cell>
          <cell r="J3472" t="str">
            <v>bueno</v>
          </cell>
          <cell r="K3472" t="str">
            <v>probsi</v>
          </cell>
        </row>
        <row r="3473">
          <cell r="B3473" t="b">
            <v>1</v>
          </cell>
          <cell r="E3473" t="str">
            <v>Islote de San Bernardo</v>
          </cell>
          <cell r="H3473" t="str">
            <v>laboratorio</v>
          </cell>
          <cell r="J3473" t="str">
            <v>bueno</v>
          </cell>
          <cell r="K3473" t="str">
            <v>probsi</v>
          </cell>
        </row>
        <row r="3474">
          <cell r="B3474" t="b">
            <v>1</v>
          </cell>
          <cell r="E3474" t="str">
            <v>Islote de San Bernardo</v>
          </cell>
          <cell r="H3474" t="str">
            <v>laboratorio</v>
          </cell>
          <cell r="J3474" t="str">
            <v>bueno</v>
          </cell>
          <cell r="K3474" t="str">
            <v>probsi</v>
          </cell>
        </row>
        <row r="3475">
          <cell r="B3475" t="b">
            <v>1</v>
          </cell>
          <cell r="E3475" t="str">
            <v>Islote de San Bernardo</v>
          </cell>
          <cell r="H3475" t="str">
            <v>laboratorio</v>
          </cell>
          <cell r="J3475" t="str">
            <v>bueno</v>
          </cell>
          <cell r="K3475" t="str">
            <v>probsi</v>
          </cell>
        </row>
        <row r="3476">
          <cell r="B3476" t="b">
            <v>1</v>
          </cell>
          <cell r="E3476" t="str">
            <v>Islote de San Bernardo</v>
          </cell>
          <cell r="H3476" t="str">
            <v>laboratorio</v>
          </cell>
          <cell r="J3476" t="str">
            <v>bueno</v>
          </cell>
          <cell r="K3476" t="str">
            <v>probsi</v>
          </cell>
        </row>
        <row r="3477">
          <cell r="B3477" t="b">
            <v>0</v>
          </cell>
          <cell r="E3477" t="str">
            <v>Islote de San Bernardo</v>
          </cell>
          <cell r="H3477" t="str">
            <v>consulta_externa</v>
          </cell>
          <cell r="J3477" t="str">
            <v>regular</v>
          </cell>
          <cell r="K3477" t="str">
            <v>probsi</v>
          </cell>
        </row>
        <row r="3478">
          <cell r="B3478" t="b">
            <v>0</v>
          </cell>
          <cell r="E3478" t="str">
            <v>Islote de San Bernardo</v>
          </cell>
          <cell r="H3478" t="str">
            <v>consulta_externa</v>
          </cell>
          <cell r="J3478" t="str">
            <v>regular</v>
          </cell>
          <cell r="K3478" t="str">
            <v>probsi</v>
          </cell>
        </row>
        <row r="3479">
          <cell r="B3479" t="b">
            <v>1</v>
          </cell>
          <cell r="E3479" t="str">
            <v>Islote de San Bernardo</v>
          </cell>
          <cell r="H3479" t="str">
            <v>consulta_externa</v>
          </cell>
          <cell r="J3479" t="str">
            <v>bueno</v>
          </cell>
          <cell r="K3479" t="str">
            <v>probsi</v>
          </cell>
        </row>
        <row r="3480">
          <cell r="B3480" t="b">
            <v>1</v>
          </cell>
          <cell r="E3480" t="str">
            <v>Islote de San Bernardo</v>
          </cell>
          <cell r="H3480" t="str">
            <v>consulta_externa</v>
          </cell>
          <cell r="J3480" t="str">
            <v>bueno</v>
          </cell>
          <cell r="K3480" t="str">
            <v>probsi</v>
          </cell>
        </row>
        <row r="3481">
          <cell r="B3481" t="b">
            <v>1</v>
          </cell>
          <cell r="E3481" t="str">
            <v>Islote de San Bernardo</v>
          </cell>
          <cell r="H3481" t="str">
            <v>consulta_externa</v>
          </cell>
          <cell r="J3481" t="str">
            <v>bueno</v>
          </cell>
          <cell r="K3481" t="str">
            <v>probsi</v>
          </cell>
        </row>
        <row r="3482">
          <cell r="B3482" t="b">
            <v>1</v>
          </cell>
          <cell r="E3482" t="str">
            <v>Islote de San Bernardo</v>
          </cell>
          <cell r="H3482" t="str">
            <v>consulta_externa</v>
          </cell>
          <cell r="J3482" t="str">
            <v>bueno</v>
          </cell>
          <cell r="K3482" t="str">
            <v>probsi</v>
          </cell>
        </row>
        <row r="3483">
          <cell r="B3483" t="b">
            <v>1</v>
          </cell>
          <cell r="E3483" t="str">
            <v>Los Cerros</v>
          </cell>
          <cell r="H3483" t="str">
            <v>laboratorio</v>
          </cell>
          <cell r="J3483" t="str">
            <v>bueno</v>
          </cell>
          <cell r="K3483" t="str">
            <v>defsi</v>
          </cell>
        </row>
        <row r="3484">
          <cell r="B3484" t="b">
            <v>1</v>
          </cell>
          <cell r="E3484" t="str">
            <v>Los Cerros</v>
          </cell>
          <cell r="H3484" t="str">
            <v>consulta_externa</v>
          </cell>
          <cell r="J3484" t="str">
            <v>bueno</v>
          </cell>
          <cell r="K3484" t="str">
            <v>defsi</v>
          </cell>
        </row>
        <row r="3485">
          <cell r="B3485" t="b">
            <v>1</v>
          </cell>
          <cell r="E3485" t="str">
            <v>Los Cerros</v>
          </cell>
          <cell r="H3485" t="str">
            <v>laboratorio</v>
          </cell>
          <cell r="J3485" t="str">
            <v>bueno</v>
          </cell>
          <cell r="K3485" t="str">
            <v>defsi</v>
          </cell>
        </row>
        <row r="3486">
          <cell r="B3486" t="b">
            <v>1</v>
          </cell>
          <cell r="E3486" t="str">
            <v>Los Cerros</v>
          </cell>
          <cell r="H3486" t="str">
            <v>laboratorio</v>
          </cell>
          <cell r="J3486" t="str">
            <v>bueno</v>
          </cell>
          <cell r="K3486" t="str">
            <v>defsi</v>
          </cell>
        </row>
        <row r="3487">
          <cell r="B3487" t="b">
            <v>1</v>
          </cell>
          <cell r="E3487" t="str">
            <v>Los Cerros</v>
          </cell>
          <cell r="H3487" t="str">
            <v>laboratorio</v>
          </cell>
          <cell r="J3487" t="str">
            <v>bueno</v>
          </cell>
          <cell r="K3487" t="str">
            <v>defsi</v>
          </cell>
        </row>
        <row r="3488">
          <cell r="B3488" t="b">
            <v>1</v>
          </cell>
          <cell r="E3488" t="str">
            <v>Los Cerros</v>
          </cell>
          <cell r="H3488" t="str">
            <v>laboratorio</v>
          </cell>
          <cell r="J3488" t="str">
            <v>bueno</v>
          </cell>
          <cell r="K3488" t="str">
            <v>defsi</v>
          </cell>
        </row>
        <row r="3489">
          <cell r="B3489" t="b">
            <v>0</v>
          </cell>
          <cell r="E3489" t="str">
            <v>Los Cerros</v>
          </cell>
          <cell r="H3489" t="str">
            <v>laboratorio</v>
          </cell>
          <cell r="J3489" t="str">
            <v>regular</v>
          </cell>
          <cell r="K3489" t="str">
            <v>probsi</v>
          </cell>
        </row>
        <row r="3490">
          <cell r="B3490" t="b">
            <v>1</v>
          </cell>
          <cell r="E3490" t="str">
            <v>Los Cerros</v>
          </cell>
          <cell r="H3490" t="str">
            <v>laboratorio</v>
          </cell>
          <cell r="J3490" t="str">
            <v>bueno</v>
          </cell>
          <cell r="K3490" t="str">
            <v>defsi</v>
          </cell>
        </row>
        <row r="3491">
          <cell r="B3491" t="b">
            <v>1</v>
          </cell>
          <cell r="E3491" t="str">
            <v>Los Cerros</v>
          </cell>
          <cell r="H3491" t="str">
            <v>laboratorio</v>
          </cell>
          <cell r="J3491" t="str">
            <v>muybueno</v>
          </cell>
          <cell r="K3491" t="str">
            <v>defsi</v>
          </cell>
        </row>
        <row r="3492">
          <cell r="B3492" t="b">
            <v>1</v>
          </cell>
          <cell r="E3492" t="str">
            <v>Los Cerros</v>
          </cell>
          <cell r="H3492" t="str">
            <v>laboratorio</v>
          </cell>
          <cell r="J3492" t="str">
            <v>bueno</v>
          </cell>
          <cell r="K3492" t="str">
            <v>defsi</v>
          </cell>
        </row>
        <row r="3493">
          <cell r="B3493" t="b">
            <v>1</v>
          </cell>
          <cell r="E3493" t="str">
            <v>Los Cerros</v>
          </cell>
          <cell r="H3493" t="str">
            <v>consulta_externa</v>
          </cell>
          <cell r="J3493" t="str">
            <v>bueno</v>
          </cell>
          <cell r="K3493" t="str">
            <v>defsi</v>
          </cell>
        </row>
        <row r="3494">
          <cell r="B3494" t="b">
            <v>1</v>
          </cell>
          <cell r="E3494" t="str">
            <v>Los Cerros</v>
          </cell>
          <cell r="H3494" t="str">
            <v>salud_oral</v>
          </cell>
          <cell r="J3494" t="str">
            <v>bueno</v>
          </cell>
          <cell r="K3494" t="str">
            <v>defsi</v>
          </cell>
        </row>
        <row r="3495">
          <cell r="B3495" t="b">
            <v>1</v>
          </cell>
          <cell r="E3495" t="str">
            <v>Isla Fuerte</v>
          </cell>
          <cell r="H3495" t="str">
            <v>salud_oral</v>
          </cell>
          <cell r="J3495" t="str">
            <v>bueno</v>
          </cell>
          <cell r="K3495" t="str">
            <v>defsi</v>
          </cell>
        </row>
        <row r="3496">
          <cell r="B3496" t="b">
            <v>0</v>
          </cell>
          <cell r="E3496" t="str">
            <v>Los Cerros</v>
          </cell>
          <cell r="H3496" t="str">
            <v>salud_oral</v>
          </cell>
          <cell r="J3496" t="str">
            <v>regular</v>
          </cell>
          <cell r="K3496" t="str">
            <v>defsi</v>
          </cell>
        </row>
        <row r="3497">
          <cell r="B3497" t="b">
            <v>1</v>
          </cell>
          <cell r="E3497" t="str">
            <v>Los Cerros</v>
          </cell>
          <cell r="H3497" t="str">
            <v>electros</v>
          </cell>
          <cell r="J3497" t="str">
            <v>bueno</v>
          </cell>
          <cell r="K3497" t="str">
            <v>defsi</v>
          </cell>
        </row>
        <row r="3498">
          <cell r="B3498" t="b">
            <v>1</v>
          </cell>
          <cell r="E3498" t="str">
            <v>Isla Fuerte</v>
          </cell>
          <cell r="H3498" t="str">
            <v>laboratorio</v>
          </cell>
          <cell r="J3498" t="str">
            <v>bueno</v>
          </cell>
          <cell r="K3498" t="str">
            <v>defsi</v>
          </cell>
        </row>
        <row r="3499">
          <cell r="B3499" t="b">
            <v>1</v>
          </cell>
          <cell r="E3499" t="str">
            <v>Isla Fuerte</v>
          </cell>
          <cell r="H3499" t="str">
            <v>consulta_externa</v>
          </cell>
          <cell r="J3499" t="str">
            <v>bueno</v>
          </cell>
          <cell r="K3499" t="str">
            <v>defsi</v>
          </cell>
        </row>
        <row r="3500">
          <cell r="B3500" t="b">
            <v>1</v>
          </cell>
          <cell r="E3500" t="str">
            <v>Isla Fuerte</v>
          </cell>
          <cell r="H3500" t="str">
            <v>consulta_externa</v>
          </cell>
          <cell r="J3500" t="str">
            <v>bueno</v>
          </cell>
          <cell r="K3500" t="str">
            <v>defsi</v>
          </cell>
        </row>
        <row r="3501">
          <cell r="B3501" t="b">
            <v>1</v>
          </cell>
          <cell r="E3501" t="str">
            <v>Isla Fuerte</v>
          </cell>
          <cell r="H3501" t="str">
            <v>salud_oral</v>
          </cell>
          <cell r="J3501" t="str">
            <v>bueno</v>
          </cell>
          <cell r="K3501" t="str">
            <v>defsi</v>
          </cell>
        </row>
        <row r="3502">
          <cell r="B3502" t="b">
            <v>1</v>
          </cell>
          <cell r="E3502" t="str">
            <v>Isla Fuerte</v>
          </cell>
          <cell r="H3502" t="str">
            <v>laboratorio</v>
          </cell>
          <cell r="J3502" t="str">
            <v>bueno</v>
          </cell>
          <cell r="K3502" t="str">
            <v>defsi</v>
          </cell>
        </row>
        <row r="3503">
          <cell r="B3503" t="b">
            <v>1</v>
          </cell>
          <cell r="E3503" t="str">
            <v>Isla Fuerte</v>
          </cell>
          <cell r="H3503" t="str">
            <v>consulta_externa</v>
          </cell>
          <cell r="J3503" t="str">
            <v>bueno</v>
          </cell>
          <cell r="K3503" t="str">
            <v>defsi</v>
          </cell>
        </row>
        <row r="3504">
          <cell r="B3504" t="b">
            <v>1</v>
          </cell>
          <cell r="E3504" t="str">
            <v>Isla Fuerte</v>
          </cell>
          <cell r="H3504" t="str">
            <v>salud_oral</v>
          </cell>
          <cell r="J3504" t="str">
            <v>bueno</v>
          </cell>
          <cell r="K3504" t="str">
            <v>defsi</v>
          </cell>
        </row>
        <row r="3505">
          <cell r="B3505" t="b">
            <v>1</v>
          </cell>
          <cell r="E3505" t="str">
            <v>Isla Fuerte</v>
          </cell>
          <cell r="H3505" t="str">
            <v>laboratorio</v>
          </cell>
          <cell r="J3505" t="str">
            <v>bueno</v>
          </cell>
          <cell r="K3505" t="str">
            <v>defsi</v>
          </cell>
        </row>
        <row r="3506">
          <cell r="B3506" t="b">
            <v>1</v>
          </cell>
          <cell r="E3506" t="str">
            <v>Los Cerros</v>
          </cell>
          <cell r="H3506" t="str">
            <v>consulta_externa</v>
          </cell>
          <cell r="J3506" t="str">
            <v>bueno</v>
          </cell>
          <cell r="K3506" t="str">
            <v>defsi</v>
          </cell>
        </row>
        <row r="3507">
          <cell r="B3507" t="b">
            <v>1</v>
          </cell>
          <cell r="E3507" t="str">
            <v>Los Cerros</v>
          </cell>
          <cell r="H3507" t="str">
            <v>laboratorio</v>
          </cell>
          <cell r="J3507" t="str">
            <v>bueno</v>
          </cell>
          <cell r="K3507" t="str">
            <v>defsi</v>
          </cell>
        </row>
        <row r="3508">
          <cell r="B3508" t="b">
            <v>1</v>
          </cell>
          <cell r="E3508" t="str">
            <v>Los Cerros</v>
          </cell>
          <cell r="H3508" t="str">
            <v>laboratorio</v>
          </cell>
          <cell r="J3508" t="str">
            <v>bueno</v>
          </cell>
          <cell r="K3508" t="str">
            <v>defsi</v>
          </cell>
        </row>
        <row r="3509">
          <cell r="B3509" t="b">
            <v>1</v>
          </cell>
          <cell r="E3509" t="str">
            <v>Isla Fuerte</v>
          </cell>
          <cell r="H3509" t="str">
            <v>consulta_externa</v>
          </cell>
          <cell r="J3509" t="str">
            <v>bueno</v>
          </cell>
          <cell r="K3509" t="str">
            <v>defsi</v>
          </cell>
        </row>
        <row r="3510">
          <cell r="B3510" t="b">
            <v>1</v>
          </cell>
          <cell r="E3510" t="str">
            <v>Isla Fuerte</v>
          </cell>
          <cell r="H3510" t="str">
            <v>salud_oral</v>
          </cell>
          <cell r="J3510" t="str">
            <v>bueno</v>
          </cell>
          <cell r="K3510" t="str">
            <v>defsi</v>
          </cell>
        </row>
        <row r="3511">
          <cell r="B3511" t="b">
            <v>1</v>
          </cell>
          <cell r="E3511" t="str">
            <v>Isla Fuerte</v>
          </cell>
          <cell r="H3511" t="str">
            <v>laboratorio</v>
          </cell>
          <cell r="J3511" t="str">
            <v>bueno</v>
          </cell>
          <cell r="K3511" t="str">
            <v>defsi</v>
          </cell>
        </row>
        <row r="3512">
          <cell r="B3512" t="b">
            <v>1</v>
          </cell>
          <cell r="E3512" t="str">
            <v>Isla Fuerte</v>
          </cell>
          <cell r="H3512" t="str">
            <v>consulta_externa</v>
          </cell>
          <cell r="J3512" t="str">
            <v>bueno</v>
          </cell>
          <cell r="K3512" t="str">
            <v>defsi</v>
          </cell>
        </row>
        <row r="3513">
          <cell r="B3513" t="b">
            <v>1</v>
          </cell>
          <cell r="E3513" t="str">
            <v>Isla Fuerte</v>
          </cell>
          <cell r="H3513" t="str">
            <v>salud_oral</v>
          </cell>
          <cell r="J3513" t="str">
            <v>bueno</v>
          </cell>
          <cell r="K3513" t="str">
            <v>defsi</v>
          </cell>
        </row>
        <row r="3514">
          <cell r="B3514" t="b">
            <v>1</v>
          </cell>
          <cell r="E3514" t="str">
            <v>Los Cerros</v>
          </cell>
          <cell r="H3514" t="str">
            <v>laboratorio</v>
          </cell>
          <cell r="J3514" t="str">
            <v>bueno</v>
          </cell>
          <cell r="K3514" t="str">
            <v>defsi</v>
          </cell>
        </row>
        <row r="3515">
          <cell r="B3515" t="b">
            <v>1</v>
          </cell>
          <cell r="E3515" t="str">
            <v>Isla Fuerte</v>
          </cell>
          <cell r="H3515" t="str">
            <v>laboratorio</v>
          </cell>
          <cell r="J3515" t="str">
            <v>bueno</v>
          </cell>
          <cell r="K3515" t="str">
            <v>defsi</v>
          </cell>
        </row>
        <row r="3516">
          <cell r="B3516" t="b">
            <v>1</v>
          </cell>
          <cell r="E3516" t="str">
            <v>Los Cerros</v>
          </cell>
          <cell r="H3516" t="str">
            <v>pediatria</v>
          </cell>
          <cell r="J3516" t="str">
            <v>bueno</v>
          </cell>
          <cell r="K3516" t="str">
            <v>defsi</v>
          </cell>
        </row>
        <row r="3517">
          <cell r="B3517" t="b">
            <v>1</v>
          </cell>
          <cell r="E3517" t="str">
            <v>Los Cerros</v>
          </cell>
          <cell r="H3517" t="str">
            <v>pediatria</v>
          </cell>
          <cell r="J3517" t="str">
            <v>bueno</v>
          </cell>
          <cell r="K3517" t="str">
            <v>defsi</v>
          </cell>
        </row>
        <row r="3518">
          <cell r="B3518" t="b">
            <v>1</v>
          </cell>
          <cell r="E3518" t="str">
            <v>Isla Fuerte</v>
          </cell>
          <cell r="H3518" t="str">
            <v>consulta_externa</v>
          </cell>
          <cell r="J3518" t="str">
            <v>bueno</v>
          </cell>
          <cell r="K3518" t="str">
            <v>defsi</v>
          </cell>
        </row>
        <row r="3519">
          <cell r="B3519" t="b">
            <v>1</v>
          </cell>
          <cell r="E3519" t="str">
            <v>Isla Fuerte</v>
          </cell>
          <cell r="H3519" t="str">
            <v>salud_oral</v>
          </cell>
          <cell r="J3519" t="str">
            <v>bueno</v>
          </cell>
          <cell r="K3519" t="str">
            <v>defsi</v>
          </cell>
        </row>
        <row r="3520">
          <cell r="B3520" t="b">
            <v>1</v>
          </cell>
          <cell r="E3520" t="str">
            <v>Isla Fuerte</v>
          </cell>
          <cell r="H3520" t="str">
            <v>laboratorio</v>
          </cell>
          <cell r="J3520" t="str">
            <v>bueno</v>
          </cell>
          <cell r="K3520" t="str">
            <v>defsi</v>
          </cell>
        </row>
        <row r="3521">
          <cell r="B3521" t="b">
            <v>1</v>
          </cell>
          <cell r="E3521" t="str">
            <v>Isla Fuerte</v>
          </cell>
          <cell r="H3521" t="str">
            <v>consulta_externa</v>
          </cell>
          <cell r="J3521" t="str">
            <v>bueno</v>
          </cell>
          <cell r="K3521" t="str">
            <v>defsi</v>
          </cell>
        </row>
        <row r="3522">
          <cell r="B3522" t="b">
            <v>1</v>
          </cell>
          <cell r="E3522" t="str">
            <v>Los Cerros</v>
          </cell>
          <cell r="H3522" t="str">
            <v>medicina_interna</v>
          </cell>
          <cell r="J3522" t="str">
            <v>bueno</v>
          </cell>
          <cell r="K3522" t="str">
            <v>defsi</v>
          </cell>
        </row>
        <row r="3523">
          <cell r="B3523" t="b">
            <v>1</v>
          </cell>
          <cell r="E3523" t="str">
            <v>Isla Fuerte</v>
          </cell>
          <cell r="H3523" t="str">
            <v>consulta_externa</v>
          </cell>
          <cell r="J3523" t="str">
            <v>bueno</v>
          </cell>
          <cell r="K3523" t="str">
            <v>defsi</v>
          </cell>
        </row>
        <row r="3524">
          <cell r="B3524" t="b">
            <v>1</v>
          </cell>
          <cell r="E3524" t="str">
            <v>Los Cerros</v>
          </cell>
          <cell r="H3524" t="str">
            <v>medicina_interna</v>
          </cell>
          <cell r="J3524" t="str">
            <v>muybueno</v>
          </cell>
          <cell r="K3524" t="str">
            <v>defsi</v>
          </cell>
        </row>
        <row r="3525">
          <cell r="B3525" t="b">
            <v>1</v>
          </cell>
          <cell r="E3525" t="str">
            <v>Los Cerros</v>
          </cell>
          <cell r="H3525" t="str">
            <v>pediatria</v>
          </cell>
          <cell r="J3525" t="str">
            <v>bueno</v>
          </cell>
          <cell r="K3525" t="str">
            <v>defsi</v>
          </cell>
        </row>
        <row r="3526">
          <cell r="B3526" t="b">
            <v>1</v>
          </cell>
          <cell r="E3526" t="str">
            <v>Los Cerros</v>
          </cell>
          <cell r="H3526" t="str">
            <v>pediatria</v>
          </cell>
          <cell r="J3526" t="str">
            <v>bueno</v>
          </cell>
          <cell r="K3526" t="str">
            <v>defsi</v>
          </cell>
        </row>
        <row r="3527">
          <cell r="B3527" t="b">
            <v>1</v>
          </cell>
          <cell r="E3527" t="str">
            <v>Los Cerros</v>
          </cell>
          <cell r="H3527" t="str">
            <v>pediatria</v>
          </cell>
          <cell r="J3527" t="str">
            <v>muybueno</v>
          </cell>
          <cell r="K3527" t="str">
            <v>defsi</v>
          </cell>
        </row>
        <row r="3528">
          <cell r="B3528" t="b">
            <v>1</v>
          </cell>
          <cell r="E3528" t="str">
            <v>Los Cerros</v>
          </cell>
          <cell r="H3528" t="str">
            <v>consulta_externa</v>
          </cell>
          <cell r="J3528" t="str">
            <v>bueno</v>
          </cell>
          <cell r="K3528" t="str">
            <v>defsi</v>
          </cell>
        </row>
        <row r="3529">
          <cell r="B3529" t="b">
            <v>0</v>
          </cell>
          <cell r="E3529" t="str">
            <v>Bosque</v>
          </cell>
          <cell r="H3529" t="str">
            <v>laboratorio</v>
          </cell>
          <cell r="J3529" t="str">
            <v>regular</v>
          </cell>
          <cell r="K3529" t="str">
            <v>probsi</v>
          </cell>
        </row>
        <row r="3530">
          <cell r="B3530" t="b">
            <v>0</v>
          </cell>
          <cell r="E3530" t="str">
            <v>Bosque</v>
          </cell>
          <cell r="H3530" t="str">
            <v>laboratorio</v>
          </cell>
          <cell r="J3530" t="str">
            <v>regular</v>
          </cell>
          <cell r="K3530" t="str">
            <v>probsi</v>
          </cell>
        </row>
        <row r="3531">
          <cell r="B3531" t="b">
            <v>1</v>
          </cell>
          <cell r="E3531" t="str">
            <v>Bosque</v>
          </cell>
          <cell r="H3531" t="str">
            <v>laboratorio</v>
          </cell>
          <cell r="J3531" t="str">
            <v>bueno</v>
          </cell>
          <cell r="K3531" t="str">
            <v>defsi</v>
          </cell>
        </row>
        <row r="3532">
          <cell r="B3532" t="b">
            <v>1</v>
          </cell>
          <cell r="E3532" t="str">
            <v>Bosque</v>
          </cell>
          <cell r="H3532" t="str">
            <v>consulta_externa</v>
          </cell>
          <cell r="J3532" t="str">
            <v>bueno</v>
          </cell>
          <cell r="K3532" t="str">
            <v>defsi</v>
          </cell>
        </row>
        <row r="3533">
          <cell r="B3533" t="b">
            <v>1</v>
          </cell>
          <cell r="E3533" t="str">
            <v>Bosque</v>
          </cell>
          <cell r="H3533" t="str">
            <v>laboratorio</v>
          </cell>
          <cell r="J3533" t="str">
            <v>bueno</v>
          </cell>
          <cell r="K3533" t="str">
            <v>defsi</v>
          </cell>
        </row>
        <row r="3534">
          <cell r="B3534" t="b">
            <v>1</v>
          </cell>
          <cell r="E3534" t="str">
            <v>Bosque</v>
          </cell>
          <cell r="H3534" t="str">
            <v>consulta_externa</v>
          </cell>
          <cell r="J3534" t="str">
            <v>muybueno</v>
          </cell>
          <cell r="K3534" t="str">
            <v>defsi</v>
          </cell>
        </row>
        <row r="3535">
          <cell r="B3535" t="b">
            <v>1</v>
          </cell>
          <cell r="E3535" t="str">
            <v>Bosque</v>
          </cell>
          <cell r="H3535" t="str">
            <v>consulta_externa</v>
          </cell>
          <cell r="J3535" t="str">
            <v>muybueno</v>
          </cell>
          <cell r="K3535" t="str">
            <v>defsi</v>
          </cell>
        </row>
        <row r="3536">
          <cell r="B3536" t="b">
            <v>1</v>
          </cell>
          <cell r="E3536" t="str">
            <v>Bosque</v>
          </cell>
          <cell r="H3536" t="str">
            <v>consulta_externa</v>
          </cell>
          <cell r="J3536" t="str">
            <v>muybueno</v>
          </cell>
          <cell r="K3536" t="str">
            <v>defsi</v>
          </cell>
        </row>
        <row r="3537">
          <cell r="B3537" t="b">
            <v>1</v>
          </cell>
          <cell r="E3537" t="str">
            <v>Bosque</v>
          </cell>
          <cell r="H3537" t="str">
            <v>laboratorio</v>
          </cell>
          <cell r="J3537" t="str">
            <v>bueno</v>
          </cell>
          <cell r="K3537" t="str">
            <v>defsi</v>
          </cell>
        </row>
        <row r="3538">
          <cell r="B3538" t="b">
            <v>1</v>
          </cell>
          <cell r="E3538" t="str">
            <v>Foco Rojo</v>
          </cell>
          <cell r="H3538" t="str">
            <v>consulta_externa</v>
          </cell>
          <cell r="J3538" t="str">
            <v>bueno</v>
          </cell>
          <cell r="K3538" t="str">
            <v>defsi</v>
          </cell>
        </row>
        <row r="3539">
          <cell r="B3539" t="b">
            <v>1</v>
          </cell>
          <cell r="E3539" t="str">
            <v>Foco Rojo</v>
          </cell>
          <cell r="H3539" t="str">
            <v>salud_oral</v>
          </cell>
          <cell r="J3539" t="str">
            <v>bueno</v>
          </cell>
          <cell r="K3539" t="str">
            <v>defsi</v>
          </cell>
        </row>
        <row r="3540">
          <cell r="B3540" t="b">
            <v>1</v>
          </cell>
          <cell r="E3540" t="str">
            <v>Foco Rojo</v>
          </cell>
          <cell r="H3540" t="str">
            <v>laboratorio</v>
          </cell>
          <cell r="J3540" t="str">
            <v>bueno</v>
          </cell>
          <cell r="K3540" t="str">
            <v>defsi</v>
          </cell>
        </row>
        <row r="3541">
          <cell r="B3541" t="b">
            <v>1</v>
          </cell>
          <cell r="E3541" t="str">
            <v>Foco Rojo</v>
          </cell>
          <cell r="H3541" t="str">
            <v>consulta_externa</v>
          </cell>
          <cell r="J3541" t="str">
            <v>bueno</v>
          </cell>
          <cell r="K3541" t="str">
            <v>defsi</v>
          </cell>
        </row>
        <row r="3542">
          <cell r="B3542" t="b">
            <v>1</v>
          </cell>
          <cell r="E3542" t="str">
            <v>Foco Rojo</v>
          </cell>
          <cell r="H3542" t="str">
            <v>salud_oral</v>
          </cell>
          <cell r="J3542" t="str">
            <v>bueno</v>
          </cell>
          <cell r="K3542" t="str">
            <v>defsi</v>
          </cell>
        </row>
        <row r="3543">
          <cell r="B3543" t="b">
            <v>1</v>
          </cell>
          <cell r="E3543" t="str">
            <v>Foco Rojo</v>
          </cell>
          <cell r="H3543" t="str">
            <v>laboratorio</v>
          </cell>
          <cell r="J3543" t="str">
            <v>bueno</v>
          </cell>
          <cell r="K3543" t="str">
            <v>defsi</v>
          </cell>
        </row>
        <row r="3544">
          <cell r="B3544" t="b">
            <v>1</v>
          </cell>
          <cell r="E3544" t="str">
            <v>Foco Rojo</v>
          </cell>
          <cell r="H3544" t="str">
            <v>consulta_externa</v>
          </cell>
          <cell r="J3544" t="str">
            <v>bueno</v>
          </cell>
          <cell r="K3544" t="str">
            <v>defsi</v>
          </cell>
        </row>
        <row r="3545">
          <cell r="B3545" t="b">
            <v>1</v>
          </cell>
          <cell r="E3545" t="str">
            <v>Foco Rojo</v>
          </cell>
          <cell r="H3545" t="str">
            <v>laboratorio</v>
          </cell>
          <cell r="J3545" t="str">
            <v>bueno</v>
          </cell>
          <cell r="K3545" t="str">
            <v>defsi</v>
          </cell>
        </row>
        <row r="3546">
          <cell r="B3546" t="b">
            <v>1</v>
          </cell>
          <cell r="E3546" t="str">
            <v>Foco Rojo</v>
          </cell>
          <cell r="H3546" t="str">
            <v>salud_oral</v>
          </cell>
          <cell r="J3546" t="str">
            <v>bueno</v>
          </cell>
          <cell r="K3546" t="str">
            <v>defsi</v>
          </cell>
        </row>
        <row r="3547">
          <cell r="B3547" t="b">
            <v>1</v>
          </cell>
          <cell r="E3547" t="str">
            <v>Foco Rojo</v>
          </cell>
          <cell r="H3547" t="str">
            <v>consulta_externa</v>
          </cell>
          <cell r="J3547" t="str">
            <v>bueno</v>
          </cell>
          <cell r="K3547" t="str">
            <v>defsi</v>
          </cell>
        </row>
        <row r="3548">
          <cell r="B3548" t="b">
            <v>1</v>
          </cell>
          <cell r="E3548" t="str">
            <v>Foco Rojo</v>
          </cell>
          <cell r="H3548" t="str">
            <v>salud_oral</v>
          </cell>
          <cell r="J3548" t="str">
            <v>bueno</v>
          </cell>
          <cell r="K3548" t="str">
            <v>defsi</v>
          </cell>
        </row>
        <row r="3549">
          <cell r="B3549" t="b">
            <v>1</v>
          </cell>
          <cell r="E3549" t="str">
            <v>Foco Rojo</v>
          </cell>
          <cell r="H3549" t="str">
            <v>laboratorio</v>
          </cell>
          <cell r="J3549" t="str">
            <v>bueno</v>
          </cell>
          <cell r="K3549" t="str">
            <v>defsi</v>
          </cell>
        </row>
        <row r="3550">
          <cell r="B3550" t="b">
            <v>1</v>
          </cell>
          <cell r="E3550" t="str">
            <v>Foco Rojo</v>
          </cell>
          <cell r="H3550" t="str">
            <v>consulta_externa</v>
          </cell>
          <cell r="J3550" t="str">
            <v>bueno</v>
          </cell>
          <cell r="K3550" t="str">
            <v>defsi</v>
          </cell>
        </row>
        <row r="3551">
          <cell r="B3551" t="b">
            <v>1</v>
          </cell>
          <cell r="E3551" t="str">
            <v>Foco Rojo</v>
          </cell>
          <cell r="H3551" t="str">
            <v>salud_oral</v>
          </cell>
          <cell r="J3551" t="str">
            <v>bueno</v>
          </cell>
          <cell r="K3551" t="str">
            <v>defsi</v>
          </cell>
        </row>
        <row r="3552">
          <cell r="B3552" t="b">
            <v>1</v>
          </cell>
          <cell r="E3552" t="str">
            <v>Foco Rojo</v>
          </cell>
          <cell r="H3552" t="str">
            <v>laboratorio</v>
          </cell>
          <cell r="J3552" t="str">
            <v>bueno</v>
          </cell>
          <cell r="K3552" t="str">
            <v>defsi</v>
          </cell>
        </row>
        <row r="3553">
          <cell r="B3553" t="b">
            <v>1</v>
          </cell>
          <cell r="E3553" t="str">
            <v>Foco Rojo</v>
          </cell>
          <cell r="H3553" t="str">
            <v>consulta_externa</v>
          </cell>
          <cell r="J3553" t="str">
            <v>bueno</v>
          </cell>
          <cell r="K3553" t="str">
            <v>defsi</v>
          </cell>
        </row>
        <row r="3554">
          <cell r="B3554" t="b">
            <v>1</v>
          </cell>
          <cell r="E3554" t="str">
            <v>Foco Rojo</v>
          </cell>
          <cell r="H3554" t="str">
            <v>salud_oral</v>
          </cell>
          <cell r="J3554" t="str">
            <v>bueno</v>
          </cell>
          <cell r="K3554" t="str">
            <v>defsi</v>
          </cell>
        </row>
        <row r="3555">
          <cell r="B3555" t="b">
            <v>1</v>
          </cell>
          <cell r="E3555" t="str">
            <v>Foco Rojo</v>
          </cell>
          <cell r="H3555" t="str">
            <v>laboratorio</v>
          </cell>
          <cell r="J3555" t="str">
            <v>bueno</v>
          </cell>
          <cell r="K3555" t="str">
            <v>defsi</v>
          </cell>
        </row>
        <row r="3556">
          <cell r="B3556" t="b">
            <v>1</v>
          </cell>
          <cell r="E3556" t="str">
            <v>Foco Rojo</v>
          </cell>
          <cell r="H3556" t="str">
            <v>consulta_externa</v>
          </cell>
          <cell r="J3556" t="str">
            <v>bueno</v>
          </cell>
          <cell r="K3556" t="str">
            <v>defsi</v>
          </cell>
        </row>
        <row r="3557">
          <cell r="B3557" t="b">
            <v>1</v>
          </cell>
          <cell r="E3557" t="str">
            <v>Foco Rojo</v>
          </cell>
          <cell r="H3557" t="str">
            <v>salud_oral</v>
          </cell>
          <cell r="J3557" t="str">
            <v>bueno</v>
          </cell>
          <cell r="K3557" t="str">
            <v>defsi</v>
          </cell>
        </row>
        <row r="3558">
          <cell r="B3558" t="b">
            <v>1</v>
          </cell>
          <cell r="E3558" t="str">
            <v>Foco Rojo</v>
          </cell>
          <cell r="H3558" t="str">
            <v>laboratorio</v>
          </cell>
          <cell r="J3558" t="str">
            <v>bueno</v>
          </cell>
          <cell r="K3558" t="str">
            <v>defsi</v>
          </cell>
        </row>
        <row r="3559">
          <cell r="B3559" t="b">
            <v>0</v>
          </cell>
          <cell r="E3559" t="str">
            <v>Bicentenario</v>
          </cell>
          <cell r="H3559" t="str">
            <v>consulta_externa</v>
          </cell>
          <cell r="J3559" t="str">
            <v>regular</v>
          </cell>
          <cell r="K3559" t="str">
            <v>probsi</v>
          </cell>
        </row>
        <row r="3560">
          <cell r="B3560" t="b">
            <v>0</v>
          </cell>
          <cell r="E3560" t="str">
            <v>Bicentenario</v>
          </cell>
          <cell r="H3560" t="str">
            <v>salud_oral</v>
          </cell>
          <cell r="J3560" t="str">
            <v>regular</v>
          </cell>
          <cell r="K3560" t="str">
            <v>probsi</v>
          </cell>
        </row>
        <row r="3561">
          <cell r="B3561" t="b">
            <v>1</v>
          </cell>
          <cell r="E3561" t="str">
            <v>Foco Rojo</v>
          </cell>
          <cell r="H3561" t="str">
            <v>consulta_externa</v>
          </cell>
          <cell r="J3561" t="str">
            <v>bueno</v>
          </cell>
          <cell r="K3561" t="str">
            <v>defsi</v>
          </cell>
        </row>
        <row r="3562">
          <cell r="B3562" t="b">
            <v>0</v>
          </cell>
          <cell r="E3562" t="str">
            <v>Bicentenario</v>
          </cell>
          <cell r="H3562" t="str">
            <v>laboratorio</v>
          </cell>
          <cell r="J3562" t="str">
            <v>regular</v>
          </cell>
          <cell r="K3562" t="str">
            <v>probsi</v>
          </cell>
        </row>
        <row r="3563">
          <cell r="B3563" t="b">
            <v>1</v>
          </cell>
          <cell r="E3563" t="str">
            <v>Foco Rojo</v>
          </cell>
          <cell r="H3563" t="str">
            <v>salud_oral</v>
          </cell>
          <cell r="J3563" t="str">
            <v>bueno</v>
          </cell>
          <cell r="K3563" t="str">
            <v>defsi</v>
          </cell>
        </row>
        <row r="3564">
          <cell r="B3564" t="b">
            <v>1</v>
          </cell>
          <cell r="E3564" t="str">
            <v>Foco Rojo</v>
          </cell>
          <cell r="H3564" t="str">
            <v>laboratorio</v>
          </cell>
          <cell r="J3564" t="str">
            <v>bueno</v>
          </cell>
          <cell r="K3564" t="str">
            <v>defsi</v>
          </cell>
        </row>
        <row r="3565">
          <cell r="B3565" t="b">
            <v>1</v>
          </cell>
          <cell r="E3565" t="str">
            <v>Bicentenario</v>
          </cell>
          <cell r="H3565" t="str">
            <v>consulta_externa</v>
          </cell>
          <cell r="J3565" t="str">
            <v>bueno</v>
          </cell>
          <cell r="K3565" t="str">
            <v>probsi</v>
          </cell>
        </row>
        <row r="3566">
          <cell r="B3566" t="b">
            <v>1</v>
          </cell>
          <cell r="E3566" t="str">
            <v>Bicentenario</v>
          </cell>
          <cell r="H3566" t="str">
            <v>salud_oral</v>
          </cell>
          <cell r="J3566" t="str">
            <v>bueno</v>
          </cell>
          <cell r="K3566" t="str">
            <v>probsi</v>
          </cell>
        </row>
        <row r="3567">
          <cell r="B3567" t="b">
            <v>1</v>
          </cell>
          <cell r="E3567" t="str">
            <v>Bicentenario</v>
          </cell>
          <cell r="H3567" t="str">
            <v>laboratorio</v>
          </cell>
          <cell r="J3567" t="str">
            <v>bueno</v>
          </cell>
          <cell r="K3567" t="str">
            <v>probsi</v>
          </cell>
        </row>
        <row r="3568">
          <cell r="B3568" t="b">
            <v>1</v>
          </cell>
          <cell r="E3568" t="str">
            <v>Bosque</v>
          </cell>
          <cell r="H3568" t="str">
            <v>consulta_externa</v>
          </cell>
          <cell r="J3568" t="str">
            <v>bueno</v>
          </cell>
          <cell r="K3568" t="str">
            <v>defsi</v>
          </cell>
        </row>
        <row r="3569">
          <cell r="B3569" t="b">
            <v>1</v>
          </cell>
          <cell r="E3569" t="str">
            <v>Bosque</v>
          </cell>
          <cell r="H3569" t="str">
            <v>laboratorio</v>
          </cell>
          <cell r="J3569" t="str">
            <v>bueno</v>
          </cell>
          <cell r="K3569" t="str">
            <v>defsi</v>
          </cell>
        </row>
        <row r="3570">
          <cell r="B3570" t="b">
            <v>1</v>
          </cell>
          <cell r="E3570" t="str">
            <v>Bosque</v>
          </cell>
          <cell r="H3570" t="str">
            <v>laboratorio</v>
          </cell>
          <cell r="J3570" t="str">
            <v>bueno</v>
          </cell>
          <cell r="K3570" t="str">
            <v>defsi</v>
          </cell>
        </row>
        <row r="3571">
          <cell r="B3571" t="b">
            <v>1</v>
          </cell>
          <cell r="E3571" t="str">
            <v>Bosque</v>
          </cell>
          <cell r="H3571" t="str">
            <v>laboratorio</v>
          </cell>
          <cell r="J3571" t="str">
            <v>bueno</v>
          </cell>
          <cell r="K3571" t="str">
            <v>defsi</v>
          </cell>
        </row>
        <row r="3572">
          <cell r="B3572" t="b">
            <v>1</v>
          </cell>
          <cell r="E3572" t="str">
            <v>Bosque</v>
          </cell>
          <cell r="H3572" t="str">
            <v>laboratorio</v>
          </cell>
          <cell r="J3572" t="str">
            <v>bueno</v>
          </cell>
          <cell r="K3572" t="str">
            <v>defsi</v>
          </cell>
        </row>
        <row r="3573">
          <cell r="B3573" t="b">
            <v>0</v>
          </cell>
          <cell r="E3573" t="str">
            <v>Bosque</v>
          </cell>
          <cell r="H3573" t="str">
            <v>laboratorio</v>
          </cell>
          <cell r="J3573" t="str">
            <v>regular</v>
          </cell>
          <cell r="K3573" t="str">
            <v>probsi</v>
          </cell>
        </row>
        <row r="3574">
          <cell r="B3574" t="b">
            <v>0</v>
          </cell>
          <cell r="E3574" t="str">
            <v>Bosque</v>
          </cell>
          <cell r="H3574" t="str">
            <v>laboratorio</v>
          </cell>
          <cell r="J3574" t="str">
            <v>regular</v>
          </cell>
          <cell r="K3574" t="str">
            <v>probsi</v>
          </cell>
        </row>
        <row r="3575">
          <cell r="B3575" t="b">
            <v>0</v>
          </cell>
          <cell r="E3575" t="str">
            <v>Bosque</v>
          </cell>
          <cell r="H3575" t="str">
            <v>laboratorio</v>
          </cell>
          <cell r="J3575" t="str">
            <v>regular</v>
          </cell>
          <cell r="K3575" t="str">
            <v>probno</v>
          </cell>
        </row>
        <row r="3576">
          <cell r="B3576" t="b">
            <v>1</v>
          </cell>
          <cell r="E3576" t="str">
            <v>Foco Rojo</v>
          </cell>
          <cell r="H3576" t="str">
            <v>consulta_externa</v>
          </cell>
          <cell r="J3576" t="str">
            <v>bueno</v>
          </cell>
          <cell r="K3576" t="str">
            <v>defsi</v>
          </cell>
        </row>
        <row r="3577">
          <cell r="B3577" t="b">
            <v>0</v>
          </cell>
          <cell r="E3577" t="str">
            <v>Bosque</v>
          </cell>
          <cell r="H3577" t="str">
            <v>laboratorio</v>
          </cell>
          <cell r="J3577" t="str">
            <v>regular</v>
          </cell>
          <cell r="K3577" t="str">
            <v>probsi</v>
          </cell>
        </row>
        <row r="3578">
          <cell r="B3578" t="b">
            <v>1</v>
          </cell>
          <cell r="E3578" t="str">
            <v>Foco Rojo</v>
          </cell>
          <cell r="H3578" t="str">
            <v>salud_oral</v>
          </cell>
          <cell r="J3578" t="str">
            <v>bueno</v>
          </cell>
          <cell r="K3578" t="str">
            <v>defsi</v>
          </cell>
        </row>
        <row r="3579">
          <cell r="B3579" t="b">
            <v>1</v>
          </cell>
          <cell r="E3579" t="str">
            <v>Foco Rojo</v>
          </cell>
          <cell r="H3579" t="str">
            <v>laboratorio</v>
          </cell>
          <cell r="J3579" t="str">
            <v>bueno</v>
          </cell>
          <cell r="K3579" t="str">
            <v>defsi</v>
          </cell>
        </row>
        <row r="3580">
          <cell r="B3580" t="b">
            <v>1</v>
          </cell>
          <cell r="E3580" t="str">
            <v>Bosque</v>
          </cell>
          <cell r="H3580" t="str">
            <v>salud_oral</v>
          </cell>
          <cell r="J3580" t="str">
            <v>bueno</v>
          </cell>
          <cell r="K3580" t="str">
            <v>defsi</v>
          </cell>
        </row>
        <row r="3581">
          <cell r="B3581" t="b">
            <v>1</v>
          </cell>
          <cell r="E3581" t="str">
            <v>Bicentenario</v>
          </cell>
          <cell r="H3581" t="str">
            <v>consulta_externa</v>
          </cell>
          <cell r="J3581" t="str">
            <v>bueno</v>
          </cell>
          <cell r="K3581" t="str">
            <v>probsi</v>
          </cell>
        </row>
        <row r="3582">
          <cell r="B3582" t="b">
            <v>1</v>
          </cell>
          <cell r="E3582" t="str">
            <v>Bicentenario</v>
          </cell>
          <cell r="H3582" t="str">
            <v>consulta_externa</v>
          </cell>
          <cell r="J3582" t="str">
            <v>bueno</v>
          </cell>
          <cell r="K3582" t="str">
            <v>probsi</v>
          </cell>
        </row>
        <row r="3583">
          <cell r="B3583" t="b">
            <v>1</v>
          </cell>
          <cell r="E3583" t="str">
            <v>Bosque</v>
          </cell>
          <cell r="H3583" t="str">
            <v>salud_oral</v>
          </cell>
          <cell r="J3583" t="str">
            <v>muybueno</v>
          </cell>
          <cell r="K3583" t="str">
            <v>defsi</v>
          </cell>
        </row>
        <row r="3584">
          <cell r="B3584" t="b">
            <v>1</v>
          </cell>
          <cell r="E3584" t="str">
            <v>Foco Rojo</v>
          </cell>
          <cell r="H3584" t="str">
            <v>consulta_externa</v>
          </cell>
          <cell r="J3584" t="str">
            <v>bueno</v>
          </cell>
          <cell r="K3584" t="str">
            <v>defsi</v>
          </cell>
        </row>
        <row r="3585">
          <cell r="B3585" t="b">
            <v>0</v>
          </cell>
          <cell r="E3585" t="str">
            <v>Bicentenario</v>
          </cell>
          <cell r="H3585" t="str">
            <v>salud_oral</v>
          </cell>
          <cell r="J3585" t="str">
            <v>regular</v>
          </cell>
          <cell r="K3585" t="str">
            <v>probsi</v>
          </cell>
        </row>
        <row r="3586">
          <cell r="B3586" t="b">
            <v>0</v>
          </cell>
          <cell r="E3586" t="str">
            <v>Bicentenario</v>
          </cell>
          <cell r="H3586" t="str">
            <v>salud_oral</v>
          </cell>
          <cell r="J3586" t="str">
            <v>regular</v>
          </cell>
          <cell r="K3586" t="str">
            <v>probsi</v>
          </cell>
        </row>
        <row r="3587">
          <cell r="B3587" t="b">
            <v>1</v>
          </cell>
          <cell r="E3587" t="str">
            <v>Bosque</v>
          </cell>
          <cell r="H3587" t="str">
            <v>salud_oral</v>
          </cell>
          <cell r="J3587" t="str">
            <v>bueno</v>
          </cell>
          <cell r="K3587" t="str">
            <v>defsi</v>
          </cell>
        </row>
        <row r="3588">
          <cell r="B3588" t="b">
            <v>1</v>
          </cell>
          <cell r="E3588" t="str">
            <v>Bicentenario</v>
          </cell>
          <cell r="H3588" t="str">
            <v>rx</v>
          </cell>
          <cell r="J3588" t="str">
            <v>bueno</v>
          </cell>
          <cell r="K3588" t="str">
            <v>probsi</v>
          </cell>
        </row>
        <row r="3589">
          <cell r="B3589" t="b">
            <v>1</v>
          </cell>
          <cell r="E3589" t="str">
            <v>Foco Rojo</v>
          </cell>
          <cell r="H3589" t="str">
            <v>salud_oral</v>
          </cell>
          <cell r="J3589" t="str">
            <v>bueno</v>
          </cell>
          <cell r="K3589" t="str">
            <v>defsi</v>
          </cell>
        </row>
        <row r="3590">
          <cell r="B3590" t="b">
            <v>1</v>
          </cell>
          <cell r="E3590" t="str">
            <v>Bicentenario</v>
          </cell>
          <cell r="H3590" t="str">
            <v>rx</v>
          </cell>
          <cell r="J3590" t="str">
            <v>bueno</v>
          </cell>
          <cell r="K3590" t="str">
            <v>probsi</v>
          </cell>
        </row>
        <row r="3591">
          <cell r="B3591" t="b">
            <v>1</v>
          </cell>
          <cell r="E3591" t="str">
            <v>Bicentenario</v>
          </cell>
          <cell r="H3591" t="str">
            <v>rx</v>
          </cell>
          <cell r="J3591" t="str">
            <v>bueno</v>
          </cell>
          <cell r="K3591" t="str">
            <v>probsi</v>
          </cell>
        </row>
        <row r="3592">
          <cell r="B3592" t="b">
            <v>1</v>
          </cell>
          <cell r="E3592" t="str">
            <v>Bosque</v>
          </cell>
          <cell r="H3592" t="str">
            <v>salud_oral</v>
          </cell>
          <cell r="J3592" t="str">
            <v>bueno</v>
          </cell>
          <cell r="K3592" t="str">
            <v>defsi</v>
          </cell>
        </row>
        <row r="3593">
          <cell r="B3593" t="b">
            <v>1</v>
          </cell>
          <cell r="E3593" t="str">
            <v>Bicentenario</v>
          </cell>
          <cell r="H3593" t="str">
            <v>rx</v>
          </cell>
          <cell r="J3593" t="str">
            <v>bueno</v>
          </cell>
          <cell r="K3593" t="str">
            <v>probsi</v>
          </cell>
        </row>
        <row r="3594">
          <cell r="B3594" t="b">
            <v>1</v>
          </cell>
          <cell r="E3594" t="str">
            <v>Foco Rojo</v>
          </cell>
          <cell r="H3594" t="str">
            <v>laboratorio</v>
          </cell>
          <cell r="J3594" t="str">
            <v>bueno</v>
          </cell>
          <cell r="K3594" t="str">
            <v>defsi</v>
          </cell>
        </row>
        <row r="3595">
          <cell r="B3595" t="b">
            <v>1</v>
          </cell>
          <cell r="E3595" t="str">
            <v>Foco Rojo</v>
          </cell>
          <cell r="H3595" t="str">
            <v>consulta_externa</v>
          </cell>
          <cell r="J3595" t="str">
            <v>bueno</v>
          </cell>
          <cell r="K3595" t="str">
            <v>defsi</v>
          </cell>
        </row>
        <row r="3596">
          <cell r="B3596" t="b">
            <v>1</v>
          </cell>
          <cell r="E3596" t="str">
            <v>Foco Rojo</v>
          </cell>
          <cell r="H3596" t="str">
            <v>salud_oral</v>
          </cell>
          <cell r="J3596" t="str">
            <v>bueno</v>
          </cell>
          <cell r="K3596" t="str">
            <v>defsi</v>
          </cell>
        </row>
        <row r="3597">
          <cell r="B3597" t="b">
            <v>1</v>
          </cell>
          <cell r="E3597" t="str">
            <v>Foco Rojo</v>
          </cell>
          <cell r="H3597" t="str">
            <v>laboratorio</v>
          </cell>
          <cell r="J3597" t="str">
            <v>bueno</v>
          </cell>
          <cell r="K3597" t="str">
            <v>defsi</v>
          </cell>
        </row>
        <row r="3598">
          <cell r="B3598" t="b">
            <v>1</v>
          </cell>
          <cell r="E3598" t="str">
            <v>Foco Rojo</v>
          </cell>
          <cell r="H3598" t="str">
            <v>consulta_externa</v>
          </cell>
          <cell r="J3598" t="str">
            <v>bueno</v>
          </cell>
          <cell r="K3598" t="str">
            <v>defsi</v>
          </cell>
        </row>
        <row r="3599">
          <cell r="B3599" t="b">
            <v>1</v>
          </cell>
          <cell r="E3599" t="str">
            <v>Bicentenario</v>
          </cell>
          <cell r="H3599" t="str">
            <v>rx</v>
          </cell>
          <cell r="J3599" t="str">
            <v>bueno</v>
          </cell>
          <cell r="K3599" t="str">
            <v>probsi</v>
          </cell>
        </row>
        <row r="3600">
          <cell r="B3600" t="b">
            <v>1</v>
          </cell>
          <cell r="E3600" t="str">
            <v>Bicentenario</v>
          </cell>
          <cell r="H3600" t="str">
            <v>salud_oral</v>
          </cell>
          <cell r="J3600" t="str">
            <v>bueno</v>
          </cell>
          <cell r="K3600" t="str">
            <v>probsi</v>
          </cell>
        </row>
        <row r="3601">
          <cell r="B3601" t="b">
            <v>1</v>
          </cell>
          <cell r="E3601" t="str">
            <v>Bicentenario</v>
          </cell>
          <cell r="H3601" t="str">
            <v>consulta_externa</v>
          </cell>
          <cell r="J3601" t="str">
            <v>bueno</v>
          </cell>
          <cell r="K3601" t="str">
            <v>probsi</v>
          </cell>
        </row>
        <row r="3602">
          <cell r="B3602" t="b">
            <v>1</v>
          </cell>
          <cell r="E3602" t="str">
            <v>Foco Rojo</v>
          </cell>
          <cell r="H3602" t="str">
            <v>salud_oral</v>
          </cell>
          <cell r="J3602" t="str">
            <v>bueno</v>
          </cell>
          <cell r="K3602" t="str">
            <v>defsi</v>
          </cell>
        </row>
        <row r="3603">
          <cell r="B3603" t="b">
            <v>1</v>
          </cell>
          <cell r="E3603" t="str">
            <v>Bicentenario</v>
          </cell>
          <cell r="H3603" t="str">
            <v>consulta_externa</v>
          </cell>
          <cell r="J3603" t="str">
            <v>bueno</v>
          </cell>
          <cell r="K3603" t="str">
            <v>probsi</v>
          </cell>
        </row>
        <row r="3604">
          <cell r="B3604" t="b">
            <v>1</v>
          </cell>
          <cell r="E3604" t="str">
            <v>Foco Rojo</v>
          </cell>
          <cell r="H3604" t="str">
            <v>laboratorio</v>
          </cell>
          <cell r="J3604" t="str">
            <v>bueno</v>
          </cell>
          <cell r="K3604" t="str">
            <v>defsi</v>
          </cell>
        </row>
        <row r="3605">
          <cell r="B3605" t="b">
            <v>1</v>
          </cell>
          <cell r="E3605" t="str">
            <v>Foco Rojo</v>
          </cell>
          <cell r="H3605" t="str">
            <v>consulta_externa</v>
          </cell>
          <cell r="J3605" t="str">
            <v>bueno</v>
          </cell>
          <cell r="K3605" t="str">
            <v>defsi</v>
          </cell>
        </row>
        <row r="3606">
          <cell r="B3606" t="b">
            <v>1</v>
          </cell>
          <cell r="E3606" t="str">
            <v>Foco Rojo</v>
          </cell>
          <cell r="H3606" t="str">
            <v>salud_oral</v>
          </cell>
          <cell r="J3606" t="str">
            <v>bueno</v>
          </cell>
          <cell r="K3606" t="str">
            <v>defsi</v>
          </cell>
        </row>
        <row r="3607">
          <cell r="B3607" t="b">
            <v>0</v>
          </cell>
          <cell r="E3607" t="str">
            <v>Bicentenario</v>
          </cell>
          <cell r="H3607" t="str">
            <v>laboratorio</v>
          </cell>
          <cell r="J3607" t="str">
            <v>regular</v>
          </cell>
          <cell r="K3607" t="str">
            <v>probsi</v>
          </cell>
        </row>
        <row r="3608">
          <cell r="B3608" t="b">
            <v>0</v>
          </cell>
          <cell r="E3608" t="str">
            <v>Bicentenario</v>
          </cell>
          <cell r="H3608" t="str">
            <v>laboratorio</v>
          </cell>
          <cell r="J3608" t="str">
            <v>regular</v>
          </cell>
          <cell r="K3608" t="str">
            <v>probsi</v>
          </cell>
        </row>
        <row r="3609">
          <cell r="B3609" t="b">
            <v>1</v>
          </cell>
          <cell r="E3609" t="str">
            <v>Bicentenario</v>
          </cell>
          <cell r="H3609" t="str">
            <v>laboratorio</v>
          </cell>
          <cell r="J3609" t="str">
            <v>bueno</v>
          </cell>
          <cell r="K3609" t="str">
            <v>probsi</v>
          </cell>
        </row>
        <row r="3610">
          <cell r="B3610" t="b">
            <v>1</v>
          </cell>
          <cell r="E3610" t="str">
            <v>Bicentenario</v>
          </cell>
          <cell r="H3610" t="str">
            <v>laboratorio</v>
          </cell>
          <cell r="J3610" t="str">
            <v>bueno</v>
          </cell>
          <cell r="K3610" t="str">
            <v>probsi</v>
          </cell>
        </row>
        <row r="3611">
          <cell r="B3611" t="b">
            <v>1</v>
          </cell>
          <cell r="E3611" t="str">
            <v>Bicentenario</v>
          </cell>
          <cell r="H3611" t="str">
            <v>consulta_externa</v>
          </cell>
          <cell r="J3611" t="str">
            <v>bueno</v>
          </cell>
          <cell r="K3611" t="str">
            <v>probsi</v>
          </cell>
        </row>
        <row r="3612">
          <cell r="B3612" t="b">
            <v>1</v>
          </cell>
          <cell r="E3612" t="str">
            <v>Bicentenario</v>
          </cell>
          <cell r="H3612" t="str">
            <v>rx</v>
          </cell>
          <cell r="J3612" t="str">
            <v>bueno</v>
          </cell>
          <cell r="K3612" t="str">
            <v>probsi</v>
          </cell>
        </row>
        <row r="3613">
          <cell r="B3613" t="b">
            <v>1</v>
          </cell>
          <cell r="E3613" t="str">
            <v>Bicentenario</v>
          </cell>
          <cell r="H3613" t="str">
            <v>laboratorio</v>
          </cell>
          <cell r="J3613" t="str">
            <v>bueno</v>
          </cell>
          <cell r="K3613" t="str">
            <v>probsi</v>
          </cell>
        </row>
        <row r="3614">
          <cell r="B3614" t="b">
            <v>0</v>
          </cell>
          <cell r="E3614" t="str">
            <v>Bicentenario</v>
          </cell>
          <cell r="H3614" t="str">
            <v>consulta_externa</v>
          </cell>
          <cell r="J3614" t="str">
            <v>regular</v>
          </cell>
          <cell r="K3614" t="str">
            <v>probsi</v>
          </cell>
        </row>
        <row r="3615">
          <cell r="B3615" t="b">
            <v>1</v>
          </cell>
          <cell r="E3615" t="str">
            <v>Bicentenario</v>
          </cell>
          <cell r="H3615" t="str">
            <v>salud_oral</v>
          </cell>
          <cell r="J3615" t="str">
            <v>bueno</v>
          </cell>
          <cell r="K3615" t="str">
            <v>probsi</v>
          </cell>
        </row>
        <row r="3616">
          <cell r="B3616" t="b">
            <v>1</v>
          </cell>
          <cell r="E3616" t="str">
            <v>Bicentenario</v>
          </cell>
          <cell r="H3616" t="str">
            <v>laboratorio</v>
          </cell>
          <cell r="J3616" t="str">
            <v>bueno</v>
          </cell>
          <cell r="K3616" t="str">
            <v>probsi</v>
          </cell>
        </row>
        <row r="3617">
          <cell r="B3617" t="b">
            <v>1</v>
          </cell>
          <cell r="E3617" t="str">
            <v>Bicentenario</v>
          </cell>
          <cell r="H3617" t="str">
            <v>urgencia</v>
          </cell>
          <cell r="J3617" t="str">
            <v>bueno</v>
          </cell>
          <cell r="K3617" t="str">
            <v>probsi</v>
          </cell>
        </row>
        <row r="3618">
          <cell r="B3618" t="b">
            <v>1</v>
          </cell>
          <cell r="E3618" t="str">
            <v>Bicentenario</v>
          </cell>
          <cell r="H3618" t="str">
            <v>consulta_externa</v>
          </cell>
          <cell r="J3618" t="str">
            <v>bueno</v>
          </cell>
          <cell r="K3618" t="str">
            <v>probsi</v>
          </cell>
        </row>
        <row r="3619">
          <cell r="B3619" t="b">
            <v>1</v>
          </cell>
          <cell r="E3619" t="str">
            <v>Bicentenario</v>
          </cell>
          <cell r="H3619" t="str">
            <v>salud_oral</v>
          </cell>
          <cell r="J3619" t="str">
            <v>bueno</v>
          </cell>
          <cell r="K3619" t="str">
            <v>probsi</v>
          </cell>
        </row>
        <row r="3620">
          <cell r="B3620" t="b">
            <v>0</v>
          </cell>
          <cell r="E3620" t="str">
            <v>Bicentenario</v>
          </cell>
          <cell r="H3620" t="str">
            <v>rx</v>
          </cell>
          <cell r="J3620" t="str">
            <v>regular</v>
          </cell>
          <cell r="K3620" t="str">
            <v>probsi</v>
          </cell>
        </row>
        <row r="3621">
          <cell r="B3621" t="b">
            <v>0</v>
          </cell>
          <cell r="E3621" t="str">
            <v>Bicentenario</v>
          </cell>
          <cell r="H3621" t="str">
            <v>rx</v>
          </cell>
          <cell r="J3621" t="str">
            <v>regular</v>
          </cell>
          <cell r="K3621" t="str">
            <v>probsi</v>
          </cell>
        </row>
        <row r="3622">
          <cell r="B3622" t="b">
            <v>1</v>
          </cell>
          <cell r="E3622" t="str">
            <v>Bicentenario</v>
          </cell>
          <cell r="H3622" t="str">
            <v>rx</v>
          </cell>
          <cell r="J3622" t="str">
            <v>bueno</v>
          </cell>
          <cell r="K3622" t="str">
            <v>probsi</v>
          </cell>
        </row>
        <row r="3623">
          <cell r="B3623" t="b">
            <v>1</v>
          </cell>
          <cell r="E3623" t="str">
            <v>Bicentenario</v>
          </cell>
          <cell r="H3623" t="str">
            <v>consulta_externa</v>
          </cell>
          <cell r="J3623" t="str">
            <v>bueno</v>
          </cell>
          <cell r="K3623" t="str">
            <v>probsi</v>
          </cell>
        </row>
        <row r="3624">
          <cell r="B3624" t="b">
            <v>1</v>
          </cell>
          <cell r="E3624" t="str">
            <v>Bicentenario</v>
          </cell>
          <cell r="H3624" t="str">
            <v>laboratorio</v>
          </cell>
          <cell r="J3624" t="str">
            <v>bueno</v>
          </cell>
          <cell r="K3624" t="str">
            <v>probsi</v>
          </cell>
        </row>
        <row r="3625">
          <cell r="B3625" t="b">
            <v>1</v>
          </cell>
          <cell r="E3625" t="str">
            <v>Bicentenario</v>
          </cell>
          <cell r="H3625" t="str">
            <v>urgencia</v>
          </cell>
          <cell r="J3625" t="str">
            <v>bueno</v>
          </cell>
          <cell r="K3625" t="str">
            <v>probsi</v>
          </cell>
        </row>
        <row r="3626">
          <cell r="B3626" t="b">
            <v>1</v>
          </cell>
          <cell r="E3626" t="str">
            <v>Bicentenario</v>
          </cell>
          <cell r="H3626" t="str">
            <v>consulta_externa</v>
          </cell>
          <cell r="J3626" t="str">
            <v>bueno</v>
          </cell>
          <cell r="K3626" t="str">
            <v>probsi</v>
          </cell>
        </row>
        <row r="3627">
          <cell r="B3627" t="b">
            <v>1</v>
          </cell>
          <cell r="E3627" t="str">
            <v>Bicentenario</v>
          </cell>
          <cell r="H3627" t="str">
            <v>urgencia</v>
          </cell>
          <cell r="J3627" t="str">
            <v>bueno</v>
          </cell>
          <cell r="K3627" t="str">
            <v>probsi</v>
          </cell>
        </row>
        <row r="3628">
          <cell r="B3628" t="b">
            <v>1</v>
          </cell>
          <cell r="E3628" t="str">
            <v>Bicentenario</v>
          </cell>
          <cell r="H3628" t="str">
            <v>urgencia</v>
          </cell>
          <cell r="J3628" t="str">
            <v>bueno</v>
          </cell>
          <cell r="K3628" t="str">
            <v>probsi</v>
          </cell>
        </row>
        <row r="3629">
          <cell r="B3629" t="b">
            <v>0</v>
          </cell>
          <cell r="E3629" t="str">
            <v>Bicentenario</v>
          </cell>
          <cell r="H3629" t="str">
            <v>urgencia</v>
          </cell>
          <cell r="J3629" t="str">
            <v>regular</v>
          </cell>
          <cell r="K3629" t="str">
            <v>probsi</v>
          </cell>
        </row>
        <row r="3630">
          <cell r="B3630" t="b">
            <v>0</v>
          </cell>
          <cell r="E3630" t="str">
            <v>Bicentenario</v>
          </cell>
          <cell r="H3630" t="str">
            <v>salud_oral</v>
          </cell>
          <cell r="J3630" t="str">
            <v>regular</v>
          </cell>
          <cell r="K3630" t="str">
            <v>probsi</v>
          </cell>
        </row>
        <row r="3631">
          <cell r="B3631" t="b">
            <v>0</v>
          </cell>
          <cell r="E3631" t="str">
            <v>Bicentenario</v>
          </cell>
          <cell r="H3631" t="str">
            <v>salud_oral</v>
          </cell>
          <cell r="J3631" t="str">
            <v>regular</v>
          </cell>
          <cell r="K3631" t="str">
            <v>probsi</v>
          </cell>
        </row>
        <row r="3632">
          <cell r="B3632" t="b">
            <v>1</v>
          </cell>
          <cell r="E3632" t="str">
            <v>Bicentenario</v>
          </cell>
          <cell r="H3632" t="str">
            <v>salud_oral</v>
          </cell>
          <cell r="J3632" t="str">
            <v>bueno</v>
          </cell>
          <cell r="K3632" t="str">
            <v>probsi</v>
          </cell>
        </row>
        <row r="3633">
          <cell r="B3633" t="b">
            <v>1</v>
          </cell>
          <cell r="E3633" t="str">
            <v>Candelaria</v>
          </cell>
          <cell r="H3633" t="str">
            <v>consulta_externa</v>
          </cell>
          <cell r="J3633" t="str">
            <v>bueno</v>
          </cell>
          <cell r="K3633" t="str">
            <v>defsi</v>
          </cell>
        </row>
        <row r="3634">
          <cell r="B3634" t="b">
            <v>1</v>
          </cell>
          <cell r="E3634" t="str">
            <v>Candelaria</v>
          </cell>
          <cell r="H3634" t="str">
            <v>salud_oral</v>
          </cell>
          <cell r="J3634" t="str">
            <v>bueno</v>
          </cell>
          <cell r="K3634" t="str">
            <v>defsi</v>
          </cell>
        </row>
        <row r="3635">
          <cell r="B3635" t="b">
            <v>1</v>
          </cell>
          <cell r="E3635" t="str">
            <v>Bicentenario</v>
          </cell>
          <cell r="H3635" t="str">
            <v>laboratorio</v>
          </cell>
          <cell r="J3635" t="str">
            <v>bueno</v>
          </cell>
          <cell r="K3635" t="str">
            <v>probsi</v>
          </cell>
        </row>
        <row r="3636">
          <cell r="B3636" t="b">
            <v>1</v>
          </cell>
          <cell r="E3636" t="str">
            <v>Candelaria</v>
          </cell>
          <cell r="H3636" t="str">
            <v>laboratorio</v>
          </cell>
          <cell r="J3636" t="str">
            <v>bueno</v>
          </cell>
          <cell r="K3636" t="str">
            <v>defsi</v>
          </cell>
        </row>
        <row r="3637">
          <cell r="B3637" t="b">
            <v>1</v>
          </cell>
          <cell r="E3637" t="str">
            <v>Candelaria</v>
          </cell>
          <cell r="H3637" t="str">
            <v>urgencia</v>
          </cell>
          <cell r="J3637" t="str">
            <v>bueno</v>
          </cell>
          <cell r="K3637" t="str">
            <v>defsi</v>
          </cell>
        </row>
        <row r="3638">
          <cell r="B3638" t="b">
            <v>1</v>
          </cell>
          <cell r="E3638" t="str">
            <v>Bosque</v>
          </cell>
          <cell r="H3638" t="str">
            <v>salud_oral</v>
          </cell>
          <cell r="J3638" t="str">
            <v>bueno</v>
          </cell>
          <cell r="K3638" t="str">
            <v>defsi</v>
          </cell>
        </row>
        <row r="3639">
          <cell r="B3639" t="b">
            <v>1</v>
          </cell>
          <cell r="E3639" t="str">
            <v>Bosque</v>
          </cell>
          <cell r="H3639" t="str">
            <v>salud_oral</v>
          </cell>
          <cell r="J3639" t="str">
            <v>bueno</v>
          </cell>
          <cell r="K3639" t="str">
            <v>defsi</v>
          </cell>
        </row>
        <row r="3640">
          <cell r="B3640" t="b">
            <v>1</v>
          </cell>
          <cell r="E3640" t="str">
            <v>Bosque</v>
          </cell>
          <cell r="H3640" t="str">
            <v>consulta_externa</v>
          </cell>
          <cell r="J3640" t="str">
            <v>bueno</v>
          </cell>
          <cell r="K3640" t="str">
            <v>defsi</v>
          </cell>
        </row>
        <row r="3641">
          <cell r="B3641" t="b">
            <v>0</v>
          </cell>
          <cell r="E3641" t="str">
            <v>Bosque</v>
          </cell>
          <cell r="H3641" t="str">
            <v>consulta_externa</v>
          </cell>
          <cell r="J3641" t="str">
            <v>regular</v>
          </cell>
          <cell r="K3641" t="str">
            <v>probsi</v>
          </cell>
        </row>
        <row r="3642">
          <cell r="B3642" t="b">
            <v>1</v>
          </cell>
          <cell r="E3642" t="str">
            <v>Bosque</v>
          </cell>
          <cell r="H3642" t="str">
            <v>consulta_externa</v>
          </cell>
          <cell r="J3642" t="str">
            <v>bueno</v>
          </cell>
          <cell r="K3642" t="str">
            <v>defsi</v>
          </cell>
        </row>
        <row r="3643">
          <cell r="B3643" t="b">
            <v>1</v>
          </cell>
          <cell r="E3643" t="str">
            <v>Candelaria</v>
          </cell>
          <cell r="H3643" t="str">
            <v>electros</v>
          </cell>
          <cell r="J3643" t="str">
            <v>bueno</v>
          </cell>
          <cell r="K3643" t="str">
            <v>defsi</v>
          </cell>
        </row>
        <row r="3644">
          <cell r="B3644" t="b">
            <v>1</v>
          </cell>
          <cell r="E3644" t="str">
            <v>Bosque</v>
          </cell>
          <cell r="H3644" t="str">
            <v>salud_oral</v>
          </cell>
          <cell r="J3644" t="str">
            <v>bueno</v>
          </cell>
          <cell r="K3644" t="str">
            <v>defsi</v>
          </cell>
        </row>
        <row r="3645">
          <cell r="B3645" t="b">
            <v>1</v>
          </cell>
          <cell r="E3645" t="str">
            <v>Candelaria</v>
          </cell>
          <cell r="H3645" t="str">
            <v>pediatria</v>
          </cell>
          <cell r="J3645" t="str">
            <v>bueno</v>
          </cell>
          <cell r="K3645" t="str">
            <v>defsi</v>
          </cell>
        </row>
        <row r="3646">
          <cell r="B3646" t="b">
            <v>1</v>
          </cell>
          <cell r="E3646" t="str">
            <v>Bosque</v>
          </cell>
          <cell r="H3646" t="str">
            <v>salud_oral</v>
          </cell>
          <cell r="J3646" t="str">
            <v>bueno</v>
          </cell>
          <cell r="K3646" t="str">
            <v>defsi</v>
          </cell>
        </row>
        <row r="3647">
          <cell r="B3647" t="b">
            <v>1</v>
          </cell>
          <cell r="E3647" t="str">
            <v>Bosque</v>
          </cell>
          <cell r="H3647" t="str">
            <v>consulta_externa</v>
          </cell>
          <cell r="J3647" t="str">
            <v>bueno</v>
          </cell>
          <cell r="K3647" t="str">
            <v>defsi</v>
          </cell>
        </row>
        <row r="3648">
          <cell r="B3648" t="b">
            <v>0</v>
          </cell>
          <cell r="E3648" t="str">
            <v>Bosque</v>
          </cell>
          <cell r="H3648" t="str">
            <v>laboratorio</v>
          </cell>
          <cell r="J3648" t="str">
            <v>regular</v>
          </cell>
          <cell r="K3648" t="str">
            <v>probsi</v>
          </cell>
        </row>
        <row r="3649">
          <cell r="B3649" t="b">
            <v>0</v>
          </cell>
          <cell r="E3649" t="str">
            <v>Bosque</v>
          </cell>
          <cell r="H3649" t="str">
            <v>laboratorio</v>
          </cell>
          <cell r="J3649" t="str">
            <v>regular</v>
          </cell>
          <cell r="K3649" t="str">
            <v>defsi</v>
          </cell>
        </row>
        <row r="3650">
          <cell r="B3650" t="b">
            <v>1</v>
          </cell>
          <cell r="E3650" t="str">
            <v>Bosque</v>
          </cell>
          <cell r="H3650" t="str">
            <v>consulta_externa</v>
          </cell>
          <cell r="J3650" t="str">
            <v>bueno</v>
          </cell>
          <cell r="K3650" t="str">
            <v>defsi</v>
          </cell>
        </row>
        <row r="3651">
          <cell r="B3651" t="b">
            <v>0</v>
          </cell>
          <cell r="E3651" t="str">
            <v>Bosque</v>
          </cell>
          <cell r="H3651" t="str">
            <v>consulta_externa</v>
          </cell>
          <cell r="J3651" t="str">
            <v>regular</v>
          </cell>
          <cell r="K3651" t="str">
            <v>defsi</v>
          </cell>
        </row>
        <row r="3652">
          <cell r="B3652" t="b">
            <v>1</v>
          </cell>
          <cell r="E3652" t="str">
            <v>Candelaria</v>
          </cell>
          <cell r="H3652" t="str">
            <v>consulta_externa</v>
          </cell>
          <cell r="J3652" t="str">
            <v>bueno</v>
          </cell>
          <cell r="K3652" t="str">
            <v>defsi</v>
          </cell>
        </row>
        <row r="3653">
          <cell r="B3653" t="b">
            <v>1</v>
          </cell>
          <cell r="E3653" t="str">
            <v>Candelaria</v>
          </cell>
          <cell r="H3653" t="str">
            <v>salud_oral</v>
          </cell>
          <cell r="J3653" t="str">
            <v>bueno</v>
          </cell>
          <cell r="K3653" t="str">
            <v>defsi</v>
          </cell>
        </row>
        <row r="3654">
          <cell r="B3654" t="b">
            <v>1</v>
          </cell>
          <cell r="E3654" t="str">
            <v>Candelaria</v>
          </cell>
          <cell r="H3654" t="str">
            <v>laboratorio</v>
          </cell>
          <cell r="J3654" t="str">
            <v>bueno</v>
          </cell>
          <cell r="K3654" t="str">
            <v>defsi</v>
          </cell>
        </row>
        <row r="3655">
          <cell r="B3655" t="b">
            <v>1</v>
          </cell>
          <cell r="E3655" t="str">
            <v>Candelaria</v>
          </cell>
          <cell r="H3655" t="str">
            <v>urgencia</v>
          </cell>
          <cell r="J3655" t="str">
            <v>bueno</v>
          </cell>
          <cell r="K3655" t="str">
            <v>defsi</v>
          </cell>
        </row>
        <row r="3656">
          <cell r="B3656" t="b">
            <v>1</v>
          </cell>
          <cell r="E3656" t="str">
            <v>Candelaria</v>
          </cell>
          <cell r="H3656" t="str">
            <v>electros</v>
          </cell>
          <cell r="J3656" t="str">
            <v>bueno</v>
          </cell>
          <cell r="K3656" t="str">
            <v>defsi</v>
          </cell>
        </row>
        <row r="3657">
          <cell r="B3657" t="b">
            <v>1</v>
          </cell>
          <cell r="E3657" t="str">
            <v>Candelaria</v>
          </cell>
          <cell r="H3657" t="str">
            <v>pediatria</v>
          </cell>
          <cell r="J3657" t="str">
            <v>bueno</v>
          </cell>
          <cell r="K3657" t="str">
            <v>defsi</v>
          </cell>
        </row>
        <row r="3658">
          <cell r="B3658" t="b">
            <v>1</v>
          </cell>
          <cell r="E3658" t="str">
            <v>Candelaria</v>
          </cell>
          <cell r="H3658" t="str">
            <v>medicina_interna</v>
          </cell>
          <cell r="J3658" t="str">
            <v>bueno</v>
          </cell>
          <cell r="K3658" t="str">
            <v>defsi</v>
          </cell>
        </row>
        <row r="3659">
          <cell r="B3659" t="b">
            <v>1</v>
          </cell>
          <cell r="E3659" t="str">
            <v>Candelaria</v>
          </cell>
          <cell r="H3659" t="str">
            <v>consulta_externa</v>
          </cell>
          <cell r="J3659" t="str">
            <v>bueno</v>
          </cell>
          <cell r="K3659" t="str">
            <v>defsi</v>
          </cell>
        </row>
        <row r="3660">
          <cell r="B3660" t="b">
            <v>1</v>
          </cell>
          <cell r="E3660" t="str">
            <v>Candelaria</v>
          </cell>
          <cell r="H3660" t="str">
            <v>salud_oral</v>
          </cell>
          <cell r="J3660" t="str">
            <v>bueno</v>
          </cell>
          <cell r="K3660" t="str">
            <v>defsi</v>
          </cell>
        </row>
        <row r="3661">
          <cell r="B3661" t="b">
            <v>1</v>
          </cell>
          <cell r="E3661" t="str">
            <v>Candelaria</v>
          </cell>
          <cell r="H3661" t="str">
            <v>laboratorio</v>
          </cell>
          <cell r="J3661" t="str">
            <v>bueno</v>
          </cell>
          <cell r="K3661" t="str">
            <v>defsi</v>
          </cell>
        </row>
        <row r="3662">
          <cell r="B3662" t="b">
            <v>1</v>
          </cell>
          <cell r="E3662" t="str">
            <v>Candelaria</v>
          </cell>
          <cell r="H3662" t="str">
            <v>urgencia</v>
          </cell>
          <cell r="J3662" t="str">
            <v>bueno</v>
          </cell>
          <cell r="K3662" t="str">
            <v>defsi</v>
          </cell>
        </row>
        <row r="3663">
          <cell r="B3663" t="b">
            <v>1</v>
          </cell>
          <cell r="E3663" t="str">
            <v>Candelaria</v>
          </cell>
          <cell r="H3663" t="str">
            <v>electros</v>
          </cell>
          <cell r="J3663" t="str">
            <v>bueno</v>
          </cell>
          <cell r="K3663" t="str">
            <v>defsi</v>
          </cell>
        </row>
        <row r="3664">
          <cell r="B3664" t="b">
            <v>1</v>
          </cell>
          <cell r="E3664" t="str">
            <v>Candelaria</v>
          </cell>
          <cell r="H3664" t="str">
            <v>pediatria</v>
          </cell>
          <cell r="J3664" t="str">
            <v>bueno</v>
          </cell>
          <cell r="K3664" t="str">
            <v>defsi</v>
          </cell>
        </row>
        <row r="3665">
          <cell r="B3665" t="b">
            <v>1</v>
          </cell>
          <cell r="E3665" t="str">
            <v>Candelaria</v>
          </cell>
          <cell r="H3665" t="str">
            <v>medicina_interna</v>
          </cell>
          <cell r="J3665" t="str">
            <v>bueno</v>
          </cell>
          <cell r="K3665" t="str">
            <v>defsi</v>
          </cell>
        </row>
        <row r="3666">
          <cell r="B3666" t="b">
            <v>1</v>
          </cell>
          <cell r="E3666" t="str">
            <v>Candelaria</v>
          </cell>
          <cell r="H3666" t="str">
            <v>consulta_externa</v>
          </cell>
          <cell r="J3666" t="str">
            <v>bueno</v>
          </cell>
          <cell r="K3666" t="str">
            <v>defsi</v>
          </cell>
        </row>
        <row r="3667">
          <cell r="B3667" t="b">
            <v>1</v>
          </cell>
          <cell r="E3667" t="str">
            <v>Candelaria</v>
          </cell>
          <cell r="H3667" t="str">
            <v>salud_oral</v>
          </cell>
          <cell r="J3667" t="str">
            <v>bueno</v>
          </cell>
          <cell r="K3667" t="str">
            <v>defsi</v>
          </cell>
        </row>
        <row r="3668">
          <cell r="B3668" t="b">
            <v>1</v>
          </cell>
          <cell r="E3668" t="str">
            <v>Candelaria</v>
          </cell>
          <cell r="H3668" t="str">
            <v>laboratorio</v>
          </cell>
          <cell r="J3668" t="str">
            <v>bueno</v>
          </cell>
          <cell r="K3668" t="str">
            <v>defsi</v>
          </cell>
        </row>
        <row r="3669">
          <cell r="B3669" t="b">
            <v>1</v>
          </cell>
          <cell r="E3669" t="str">
            <v>Candelaria</v>
          </cell>
          <cell r="H3669" t="str">
            <v>urgencia</v>
          </cell>
          <cell r="J3669" t="str">
            <v>bueno</v>
          </cell>
          <cell r="K3669" t="str">
            <v>defsi</v>
          </cell>
        </row>
        <row r="3670">
          <cell r="B3670" t="b">
            <v>1</v>
          </cell>
          <cell r="E3670" t="str">
            <v>Candelaria</v>
          </cell>
          <cell r="H3670" t="str">
            <v>electros</v>
          </cell>
          <cell r="J3670" t="str">
            <v>bueno</v>
          </cell>
          <cell r="K3670" t="str">
            <v>defsi</v>
          </cell>
        </row>
        <row r="3671">
          <cell r="B3671" t="b">
            <v>1</v>
          </cell>
          <cell r="E3671" t="str">
            <v>Candelaria</v>
          </cell>
          <cell r="H3671" t="str">
            <v>pediatria</v>
          </cell>
          <cell r="J3671" t="str">
            <v>bueno</v>
          </cell>
          <cell r="K3671" t="str">
            <v>defsi</v>
          </cell>
        </row>
        <row r="3672">
          <cell r="B3672" t="b">
            <v>1</v>
          </cell>
          <cell r="E3672" t="str">
            <v>Candelaria</v>
          </cell>
          <cell r="H3672" t="str">
            <v>medicina_interna</v>
          </cell>
          <cell r="J3672" t="str">
            <v>bueno</v>
          </cell>
          <cell r="K3672" t="str">
            <v>defsi</v>
          </cell>
        </row>
        <row r="3673">
          <cell r="B3673" t="b">
            <v>1</v>
          </cell>
          <cell r="E3673" t="str">
            <v>Candelaria</v>
          </cell>
          <cell r="H3673" t="str">
            <v>consulta_externa</v>
          </cell>
          <cell r="J3673" t="str">
            <v>bueno</v>
          </cell>
          <cell r="K3673" t="str">
            <v>defsi</v>
          </cell>
        </row>
        <row r="3674">
          <cell r="B3674" t="b">
            <v>1</v>
          </cell>
          <cell r="E3674" t="str">
            <v>Candelaria</v>
          </cell>
          <cell r="H3674" t="str">
            <v>salud_oral</v>
          </cell>
          <cell r="J3674" t="str">
            <v>bueno</v>
          </cell>
          <cell r="K3674" t="str">
            <v>defsi</v>
          </cell>
        </row>
        <row r="3675">
          <cell r="B3675" t="b">
            <v>1</v>
          </cell>
          <cell r="E3675" t="str">
            <v>Candelaria</v>
          </cell>
          <cell r="H3675" t="str">
            <v>laboratorio</v>
          </cell>
          <cell r="J3675" t="str">
            <v>bueno</v>
          </cell>
          <cell r="K3675" t="str">
            <v>defsi</v>
          </cell>
        </row>
        <row r="3676">
          <cell r="B3676" t="b">
            <v>1</v>
          </cell>
          <cell r="E3676" t="str">
            <v>Candelaria</v>
          </cell>
          <cell r="H3676" t="str">
            <v>electros</v>
          </cell>
          <cell r="J3676" t="str">
            <v>bueno</v>
          </cell>
          <cell r="K3676" t="str">
            <v>defsi</v>
          </cell>
        </row>
        <row r="3677">
          <cell r="B3677" t="b">
            <v>1</v>
          </cell>
          <cell r="E3677" t="str">
            <v>Candelaria</v>
          </cell>
          <cell r="H3677" t="str">
            <v>pediatria</v>
          </cell>
          <cell r="J3677" t="str">
            <v>bueno</v>
          </cell>
          <cell r="K3677" t="str">
            <v>defsi</v>
          </cell>
        </row>
        <row r="3678">
          <cell r="B3678" t="b">
            <v>1</v>
          </cell>
          <cell r="E3678" t="str">
            <v>Candelaria</v>
          </cell>
          <cell r="H3678" t="str">
            <v>medicina_interna</v>
          </cell>
          <cell r="J3678" t="str">
            <v>bueno</v>
          </cell>
          <cell r="K3678" t="str">
            <v>defsi</v>
          </cell>
        </row>
        <row r="3679">
          <cell r="B3679" t="b">
            <v>1</v>
          </cell>
          <cell r="E3679" t="str">
            <v>Candelaria</v>
          </cell>
          <cell r="H3679" t="str">
            <v>consulta_externa</v>
          </cell>
          <cell r="J3679" t="str">
            <v>bueno</v>
          </cell>
          <cell r="K3679" t="str">
            <v>defsi</v>
          </cell>
        </row>
        <row r="3680">
          <cell r="B3680" t="b">
            <v>1</v>
          </cell>
          <cell r="E3680" t="str">
            <v>Candelaria</v>
          </cell>
          <cell r="H3680" t="str">
            <v>salud_oral</v>
          </cell>
          <cell r="J3680" t="str">
            <v>bueno</v>
          </cell>
          <cell r="K3680" t="str">
            <v>defsi</v>
          </cell>
        </row>
        <row r="3681">
          <cell r="B3681" t="b">
            <v>1</v>
          </cell>
          <cell r="E3681" t="str">
            <v>Candelaria</v>
          </cell>
          <cell r="H3681" t="str">
            <v>laboratorio</v>
          </cell>
          <cell r="J3681" t="str">
            <v>bueno</v>
          </cell>
          <cell r="K3681" t="str">
            <v>defsi</v>
          </cell>
        </row>
        <row r="3682">
          <cell r="B3682" t="b">
            <v>1</v>
          </cell>
          <cell r="E3682" t="str">
            <v>Candelaria</v>
          </cell>
          <cell r="H3682" t="str">
            <v>urgencia</v>
          </cell>
          <cell r="J3682" t="str">
            <v>bueno</v>
          </cell>
          <cell r="K3682" t="str">
            <v>defsi</v>
          </cell>
        </row>
        <row r="3683">
          <cell r="B3683" t="b">
            <v>1</v>
          </cell>
          <cell r="E3683" t="str">
            <v>Candelaria</v>
          </cell>
          <cell r="H3683" t="str">
            <v>electros</v>
          </cell>
          <cell r="J3683" t="str">
            <v>bueno</v>
          </cell>
          <cell r="K3683" t="str">
            <v>defsi</v>
          </cell>
        </row>
        <row r="3684">
          <cell r="B3684" t="b">
            <v>1</v>
          </cell>
          <cell r="E3684" t="str">
            <v>Candelaria</v>
          </cell>
          <cell r="H3684" t="str">
            <v>pediatria</v>
          </cell>
          <cell r="J3684" t="str">
            <v>bueno</v>
          </cell>
          <cell r="K3684" t="str">
            <v>defsi</v>
          </cell>
        </row>
        <row r="3685">
          <cell r="B3685" t="b">
            <v>1</v>
          </cell>
          <cell r="E3685" t="str">
            <v>Candelaria</v>
          </cell>
          <cell r="H3685" t="str">
            <v>medicina_interna</v>
          </cell>
          <cell r="J3685" t="str">
            <v>bueno</v>
          </cell>
          <cell r="K3685" t="str">
            <v>defsi</v>
          </cell>
        </row>
        <row r="3686">
          <cell r="B3686" t="b">
            <v>0</v>
          </cell>
          <cell r="E3686" t="str">
            <v>Bicentenario</v>
          </cell>
          <cell r="H3686" t="str">
            <v>urgencia</v>
          </cell>
          <cell r="J3686" t="str">
            <v>regular</v>
          </cell>
          <cell r="K3686" t="str">
            <v>probsi</v>
          </cell>
        </row>
        <row r="3687">
          <cell r="B3687" t="b">
            <v>1</v>
          </cell>
          <cell r="E3687" t="str">
            <v>Bicentenario</v>
          </cell>
          <cell r="H3687" t="str">
            <v>urgencia</v>
          </cell>
          <cell r="J3687" t="str">
            <v>bueno</v>
          </cell>
          <cell r="K3687" t="str">
            <v>probsi</v>
          </cell>
        </row>
        <row r="3688">
          <cell r="B3688" t="b">
            <v>1</v>
          </cell>
          <cell r="E3688" t="str">
            <v>Bicentenario</v>
          </cell>
          <cell r="H3688" t="str">
            <v>urgencia</v>
          </cell>
          <cell r="J3688" t="str">
            <v>bueno</v>
          </cell>
          <cell r="K3688" t="str">
            <v>probsi</v>
          </cell>
        </row>
        <row r="3689">
          <cell r="B3689" t="b">
            <v>0</v>
          </cell>
          <cell r="E3689" t="str">
            <v>Bicentenario</v>
          </cell>
          <cell r="H3689" t="str">
            <v>urgencia</v>
          </cell>
          <cell r="J3689" t="str">
            <v>regular</v>
          </cell>
          <cell r="K3689" t="str">
            <v>probno</v>
          </cell>
        </row>
        <row r="3690">
          <cell r="B3690" t="b">
            <v>1</v>
          </cell>
          <cell r="E3690" t="str">
            <v>Bicentenario</v>
          </cell>
          <cell r="H3690" t="str">
            <v>urgencia</v>
          </cell>
          <cell r="J3690" t="str">
            <v>bueno</v>
          </cell>
          <cell r="K3690" t="str">
            <v>probsi</v>
          </cell>
        </row>
        <row r="3691">
          <cell r="B3691" t="b">
            <v>1</v>
          </cell>
          <cell r="E3691" t="str">
            <v>Bicentenario</v>
          </cell>
          <cell r="H3691" t="str">
            <v>salud_oral</v>
          </cell>
          <cell r="J3691" t="str">
            <v>bueno</v>
          </cell>
          <cell r="K3691" t="str">
            <v>probsi</v>
          </cell>
        </row>
        <row r="3692">
          <cell r="B3692" t="b">
            <v>1</v>
          </cell>
          <cell r="E3692" t="str">
            <v>Bicentenario</v>
          </cell>
          <cell r="H3692" t="str">
            <v>salud_oral</v>
          </cell>
          <cell r="J3692" t="str">
            <v>bueno</v>
          </cell>
          <cell r="K3692" t="str">
            <v>probsi</v>
          </cell>
        </row>
        <row r="3693">
          <cell r="B3693" t="b">
            <v>1</v>
          </cell>
          <cell r="E3693" t="str">
            <v>Bicentenario</v>
          </cell>
          <cell r="H3693" t="str">
            <v>salud_oral</v>
          </cell>
          <cell r="J3693" t="str">
            <v>bueno</v>
          </cell>
          <cell r="K3693" t="str">
            <v>probsi</v>
          </cell>
        </row>
        <row r="3694">
          <cell r="B3694" t="b">
            <v>1</v>
          </cell>
          <cell r="E3694" t="str">
            <v>Bicentenario</v>
          </cell>
          <cell r="H3694" t="str">
            <v>laboratorio</v>
          </cell>
          <cell r="J3694" t="str">
            <v>bueno</v>
          </cell>
          <cell r="K3694" t="str">
            <v>probsi</v>
          </cell>
        </row>
        <row r="3695">
          <cell r="B3695" t="b">
            <v>1</v>
          </cell>
          <cell r="E3695" t="str">
            <v>Bicentenario</v>
          </cell>
          <cell r="H3695" t="str">
            <v>laboratorio</v>
          </cell>
          <cell r="J3695" t="str">
            <v>bueno</v>
          </cell>
          <cell r="K3695" t="str">
            <v>probsi</v>
          </cell>
        </row>
        <row r="3696">
          <cell r="B3696" t="b">
            <v>1</v>
          </cell>
          <cell r="E3696" t="str">
            <v>Bicentenario</v>
          </cell>
          <cell r="H3696" t="str">
            <v>laboratorio</v>
          </cell>
          <cell r="J3696" t="str">
            <v>bueno</v>
          </cell>
          <cell r="K3696" t="str">
            <v>probsi</v>
          </cell>
        </row>
        <row r="3697">
          <cell r="B3697" t="b">
            <v>1</v>
          </cell>
          <cell r="E3697" t="str">
            <v>Bicentenario</v>
          </cell>
          <cell r="H3697" t="str">
            <v>rx</v>
          </cell>
          <cell r="J3697" t="str">
            <v>bueno</v>
          </cell>
          <cell r="K3697" t="str">
            <v>probsi</v>
          </cell>
        </row>
        <row r="3698">
          <cell r="B3698" t="b">
            <v>0</v>
          </cell>
          <cell r="E3698" t="str">
            <v>Bicentenario</v>
          </cell>
          <cell r="H3698" t="str">
            <v>rx</v>
          </cell>
          <cell r="J3698" t="str">
            <v>regular</v>
          </cell>
          <cell r="K3698" t="str">
            <v>probsi</v>
          </cell>
        </row>
        <row r="3699">
          <cell r="B3699" t="b">
            <v>0</v>
          </cell>
          <cell r="E3699" t="str">
            <v>Bicentenario</v>
          </cell>
          <cell r="H3699" t="str">
            <v>rx</v>
          </cell>
          <cell r="J3699" t="str">
            <v>regular</v>
          </cell>
          <cell r="K3699" t="str">
            <v>probsi</v>
          </cell>
        </row>
        <row r="3700">
          <cell r="B3700" t="b">
            <v>1</v>
          </cell>
          <cell r="E3700" t="str">
            <v>Bicentenario</v>
          </cell>
          <cell r="H3700" t="str">
            <v>salud_oral</v>
          </cell>
          <cell r="J3700" t="str">
            <v>bueno</v>
          </cell>
          <cell r="K3700" t="str">
            <v>probsi</v>
          </cell>
        </row>
        <row r="3701">
          <cell r="B3701" t="b">
            <v>1</v>
          </cell>
          <cell r="E3701" t="str">
            <v>Bicentenario</v>
          </cell>
          <cell r="H3701" t="str">
            <v>rx</v>
          </cell>
          <cell r="J3701" t="str">
            <v>bueno</v>
          </cell>
          <cell r="K3701" t="str">
            <v>probsi</v>
          </cell>
        </row>
        <row r="3702">
          <cell r="B3702" t="b">
            <v>1</v>
          </cell>
          <cell r="E3702" t="str">
            <v>Bicentenario</v>
          </cell>
          <cell r="H3702" t="str">
            <v>laboratorio</v>
          </cell>
          <cell r="J3702" t="str">
            <v>bueno</v>
          </cell>
          <cell r="K3702" t="str">
            <v>probsi</v>
          </cell>
        </row>
        <row r="3703">
          <cell r="B3703" t="b">
            <v>0</v>
          </cell>
          <cell r="E3703" t="str">
            <v>Bicentenario</v>
          </cell>
          <cell r="H3703" t="str">
            <v>urgencia</v>
          </cell>
          <cell r="J3703" t="str">
            <v>regular</v>
          </cell>
          <cell r="K3703" t="str">
            <v>probsi</v>
          </cell>
        </row>
        <row r="3704">
          <cell r="B3704" t="b">
            <v>0</v>
          </cell>
          <cell r="E3704" t="str">
            <v>Bicentenario</v>
          </cell>
          <cell r="H3704" t="str">
            <v>urgencia</v>
          </cell>
          <cell r="J3704" t="str">
            <v>regular</v>
          </cell>
          <cell r="K3704" t="str">
            <v>probsi</v>
          </cell>
        </row>
        <row r="3705">
          <cell r="B3705" t="b">
            <v>1</v>
          </cell>
          <cell r="E3705" t="str">
            <v>Bicentenario</v>
          </cell>
          <cell r="H3705" t="str">
            <v>urgencia</v>
          </cell>
          <cell r="J3705" t="str">
            <v>bueno</v>
          </cell>
          <cell r="K3705" t="str">
            <v>probsi</v>
          </cell>
        </row>
        <row r="3706">
          <cell r="B3706" t="b">
            <v>1</v>
          </cell>
          <cell r="E3706" t="str">
            <v>Bicentenario</v>
          </cell>
          <cell r="H3706" t="str">
            <v>urgencia</v>
          </cell>
          <cell r="J3706" t="str">
            <v>bueno</v>
          </cell>
          <cell r="K3706" t="str">
            <v>probsi</v>
          </cell>
        </row>
        <row r="3707">
          <cell r="B3707" t="b">
            <v>1</v>
          </cell>
          <cell r="E3707" t="str">
            <v>Bicentenario</v>
          </cell>
          <cell r="H3707" t="str">
            <v>urgencia</v>
          </cell>
          <cell r="J3707" t="str">
            <v>bueno</v>
          </cell>
          <cell r="K3707" t="str">
            <v>probsi</v>
          </cell>
        </row>
        <row r="3708">
          <cell r="B3708" t="b">
            <v>1</v>
          </cell>
          <cell r="E3708" t="str">
            <v>Candelaria</v>
          </cell>
          <cell r="H3708" t="str">
            <v>consulta_externa</v>
          </cell>
          <cell r="J3708" t="str">
            <v>bueno</v>
          </cell>
          <cell r="K3708" t="str">
            <v>defsi</v>
          </cell>
        </row>
        <row r="3709">
          <cell r="B3709" t="b">
            <v>1</v>
          </cell>
          <cell r="E3709" t="str">
            <v>Candelaria</v>
          </cell>
          <cell r="H3709" t="str">
            <v>salud_oral</v>
          </cell>
          <cell r="J3709" t="str">
            <v>bueno</v>
          </cell>
          <cell r="K3709" t="str">
            <v>defsi</v>
          </cell>
        </row>
        <row r="3710">
          <cell r="B3710" t="b">
            <v>1</v>
          </cell>
          <cell r="E3710" t="str">
            <v>Candelaria</v>
          </cell>
          <cell r="H3710" t="str">
            <v>laboratorio</v>
          </cell>
          <cell r="J3710" t="str">
            <v>bueno</v>
          </cell>
          <cell r="K3710" t="str">
            <v>defsi</v>
          </cell>
        </row>
        <row r="3711">
          <cell r="B3711" t="b">
            <v>1</v>
          </cell>
          <cell r="E3711" t="str">
            <v>Candelaria</v>
          </cell>
          <cell r="H3711" t="str">
            <v>urgencia</v>
          </cell>
          <cell r="J3711" t="str">
            <v>bueno</v>
          </cell>
          <cell r="K3711" t="str">
            <v>defsi</v>
          </cell>
        </row>
        <row r="3712">
          <cell r="B3712" t="b">
            <v>1</v>
          </cell>
          <cell r="E3712" t="str">
            <v>Candelaria</v>
          </cell>
          <cell r="H3712" t="str">
            <v>electros</v>
          </cell>
          <cell r="J3712" t="str">
            <v>bueno</v>
          </cell>
          <cell r="K3712" t="str">
            <v>defsi</v>
          </cell>
        </row>
        <row r="3713">
          <cell r="B3713" t="b">
            <v>1</v>
          </cell>
          <cell r="E3713" t="str">
            <v>Candelaria</v>
          </cell>
          <cell r="H3713" t="str">
            <v>medicina_interna</v>
          </cell>
          <cell r="J3713" t="str">
            <v>bueno</v>
          </cell>
          <cell r="K3713" t="str">
            <v>defsi</v>
          </cell>
        </row>
        <row r="3714">
          <cell r="B3714" t="b">
            <v>1</v>
          </cell>
          <cell r="E3714" t="str">
            <v>Candelaria</v>
          </cell>
          <cell r="H3714" t="str">
            <v>consulta_externa</v>
          </cell>
          <cell r="J3714" t="str">
            <v>bueno</v>
          </cell>
          <cell r="K3714" t="str">
            <v>defsi</v>
          </cell>
        </row>
        <row r="3715">
          <cell r="B3715" t="b">
            <v>1</v>
          </cell>
          <cell r="E3715" t="str">
            <v>Candelaria</v>
          </cell>
          <cell r="H3715" t="str">
            <v>salud_oral</v>
          </cell>
          <cell r="J3715" t="str">
            <v>bueno</v>
          </cell>
          <cell r="K3715" t="str">
            <v>defsi</v>
          </cell>
        </row>
        <row r="3716">
          <cell r="B3716" t="b">
            <v>1</v>
          </cell>
          <cell r="E3716" t="str">
            <v>Candelaria</v>
          </cell>
          <cell r="H3716" t="str">
            <v>laboratorio</v>
          </cell>
          <cell r="J3716" t="str">
            <v>bueno</v>
          </cell>
          <cell r="K3716" t="str">
            <v>defsi</v>
          </cell>
        </row>
        <row r="3717">
          <cell r="B3717" t="b">
            <v>1</v>
          </cell>
          <cell r="E3717" t="str">
            <v>Candelaria</v>
          </cell>
          <cell r="H3717" t="str">
            <v>electros</v>
          </cell>
          <cell r="J3717" t="str">
            <v>bueno</v>
          </cell>
          <cell r="K3717" t="str">
            <v>defsi</v>
          </cell>
        </row>
        <row r="3718">
          <cell r="B3718" t="b">
            <v>1</v>
          </cell>
          <cell r="E3718" t="str">
            <v>Candelaria</v>
          </cell>
          <cell r="H3718" t="str">
            <v>medicina_interna</v>
          </cell>
          <cell r="J3718" t="str">
            <v>bueno</v>
          </cell>
          <cell r="K3718" t="str">
            <v>defsi</v>
          </cell>
        </row>
        <row r="3719">
          <cell r="B3719" t="b">
            <v>1</v>
          </cell>
          <cell r="E3719" t="str">
            <v>Candelaria</v>
          </cell>
          <cell r="H3719" t="str">
            <v>consulta_externa</v>
          </cell>
          <cell r="J3719" t="str">
            <v>bueno</v>
          </cell>
          <cell r="K3719" t="str">
            <v>defsi</v>
          </cell>
        </row>
        <row r="3720">
          <cell r="B3720" t="b">
            <v>1</v>
          </cell>
          <cell r="E3720" t="str">
            <v>Candelaria</v>
          </cell>
          <cell r="H3720" t="str">
            <v>salud_oral</v>
          </cell>
          <cell r="J3720" t="str">
            <v>bueno</v>
          </cell>
          <cell r="K3720" t="str">
            <v>defsi</v>
          </cell>
        </row>
        <row r="3721">
          <cell r="B3721" t="b">
            <v>1</v>
          </cell>
          <cell r="E3721" t="str">
            <v>Candelaria</v>
          </cell>
          <cell r="H3721" t="str">
            <v>laboratorio</v>
          </cell>
          <cell r="J3721" t="str">
            <v>bueno</v>
          </cell>
          <cell r="K3721" t="str">
            <v>defsi</v>
          </cell>
        </row>
        <row r="3722">
          <cell r="B3722" t="b">
            <v>1</v>
          </cell>
          <cell r="E3722" t="str">
            <v>Candelaria</v>
          </cell>
          <cell r="H3722" t="str">
            <v>urgencia</v>
          </cell>
          <cell r="J3722" t="str">
            <v>bueno</v>
          </cell>
          <cell r="K3722" t="str">
            <v>defsi</v>
          </cell>
        </row>
        <row r="3723">
          <cell r="B3723" t="b">
            <v>1</v>
          </cell>
          <cell r="E3723" t="str">
            <v>Candelaria</v>
          </cell>
          <cell r="H3723" t="str">
            <v>electros</v>
          </cell>
          <cell r="J3723" t="str">
            <v>bueno</v>
          </cell>
          <cell r="K3723" t="str">
            <v>defsi</v>
          </cell>
        </row>
        <row r="3724">
          <cell r="B3724" t="b">
            <v>1</v>
          </cell>
          <cell r="E3724" t="str">
            <v>Candelaria</v>
          </cell>
          <cell r="H3724" t="str">
            <v>medicina_interna</v>
          </cell>
          <cell r="J3724" t="str">
            <v>bueno</v>
          </cell>
          <cell r="K3724" t="str">
            <v>defsi</v>
          </cell>
        </row>
        <row r="3725">
          <cell r="B3725" t="b">
            <v>1</v>
          </cell>
          <cell r="E3725" t="str">
            <v>Candelaria</v>
          </cell>
          <cell r="H3725" t="str">
            <v>consulta_externa</v>
          </cell>
          <cell r="J3725" t="str">
            <v>bueno</v>
          </cell>
          <cell r="K3725" t="str">
            <v>defsi</v>
          </cell>
        </row>
        <row r="3726">
          <cell r="B3726" t="b">
            <v>1</v>
          </cell>
          <cell r="E3726" t="str">
            <v>Candelaria</v>
          </cell>
          <cell r="H3726" t="str">
            <v>salud_oral</v>
          </cell>
          <cell r="J3726" t="str">
            <v>bueno</v>
          </cell>
          <cell r="K3726" t="str">
            <v>defsi</v>
          </cell>
        </row>
        <row r="3727">
          <cell r="B3727" t="b">
            <v>1</v>
          </cell>
          <cell r="E3727" t="str">
            <v>Candelaria</v>
          </cell>
          <cell r="H3727" t="str">
            <v>laboratorio</v>
          </cell>
          <cell r="J3727" t="str">
            <v>bueno</v>
          </cell>
          <cell r="K3727" t="str">
            <v>defsi</v>
          </cell>
        </row>
        <row r="3728">
          <cell r="B3728" t="b">
            <v>1</v>
          </cell>
          <cell r="E3728" t="str">
            <v>Candelaria</v>
          </cell>
          <cell r="H3728" t="str">
            <v>urgencia</v>
          </cell>
          <cell r="J3728" t="str">
            <v>bueno</v>
          </cell>
          <cell r="K3728" t="str">
            <v>defsi</v>
          </cell>
        </row>
        <row r="3729">
          <cell r="B3729" t="b">
            <v>1</v>
          </cell>
          <cell r="E3729" t="str">
            <v>Candelaria</v>
          </cell>
          <cell r="H3729" t="str">
            <v>electros</v>
          </cell>
          <cell r="J3729" t="str">
            <v>bueno</v>
          </cell>
          <cell r="K3729" t="str">
            <v>defsi</v>
          </cell>
        </row>
        <row r="3730">
          <cell r="B3730" t="b">
            <v>1</v>
          </cell>
          <cell r="E3730" t="str">
            <v>Candelaria</v>
          </cell>
          <cell r="H3730" t="str">
            <v>consulta_externa</v>
          </cell>
          <cell r="J3730" t="str">
            <v>bueno</v>
          </cell>
          <cell r="K3730" t="str">
            <v>defsi</v>
          </cell>
        </row>
        <row r="3731">
          <cell r="B3731" t="b">
            <v>1</v>
          </cell>
          <cell r="E3731" t="str">
            <v>Candelaria</v>
          </cell>
          <cell r="H3731" t="str">
            <v>salud_oral</v>
          </cell>
          <cell r="J3731" t="str">
            <v>bueno</v>
          </cell>
          <cell r="K3731" t="str">
            <v>defsi</v>
          </cell>
        </row>
        <row r="3732">
          <cell r="B3732" t="b">
            <v>1</v>
          </cell>
          <cell r="E3732" t="str">
            <v>Candelaria</v>
          </cell>
          <cell r="H3732" t="str">
            <v>laboratorio</v>
          </cell>
          <cell r="J3732" t="str">
            <v>bueno</v>
          </cell>
          <cell r="K3732" t="str">
            <v>defsi</v>
          </cell>
        </row>
        <row r="3733">
          <cell r="B3733" t="b">
            <v>1</v>
          </cell>
          <cell r="E3733" t="str">
            <v>Candelaria</v>
          </cell>
          <cell r="H3733" t="str">
            <v>urgencia</v>
          </cell>
          <cell r="J3733" t="str">
            <v>bueno</v>
          </cell>
          <cell r="K3733" t="str">
            <v>defsi</v>
          </cell>
        </row>
        <row r="3734">
          <cell r="B3734" t="b">
            <v>1</v>
          </cell>
          <cell r="E3734" t="str">
            <v>Candelaria</v>
          </cell>
          <cell r="H3734" t="str">
            <v>consulta_externa</v>
          </cell>
          <cell r="J3734" t="str">
            <v>bueno</v>
          </cell>
          <cell r="K3734" t="str">
            <v>defsi</v>
          </cell>
        </row>
        <row r="3735">
          <cell r="B3735" t="b">
            <v>1</v>
          </cell>
          <cell r="E3735" t="str">
            <v>Candelaria</v>
          </cell>
          <cell r="H3735" t="str">
            <v>salud_oral</v>
          </cell>
          <cell r="J3735" t="str">
            <v>bueno</v>
          </cell>
          <cell r="K3735" t="str">
            <v>defsi</v>
          </cell>
        </row>
        <row r="3736">
          <cell r="B3736" t="b">
            <v>1</v>
          </cell>
          <cell r="E3736" t="str">
            <v>Candelaria</v>
          </cell>
          <cell r="H3736" t="str">
            <v>laboratorio</v>
          </cell>
          <cell r="J3736" t="str">
            <v>bueno</v>
          </cell>
          <cell r="K3736" t="str">
            <v>defsi</v>
          </cell>
        </row>
        <row r="3737">
          <cell r="B3737" t="b">
            <v>1</v>
          </cell>
          <cell r="E3737" t="str">
            <v>Candelaria</v>
          </cell>
          <cell r="H3737" t="str">
            <v>urgencia</v>
          </cell>
          <cell r="J3737" t="str">
            <v>bueno</v>
          </cell>
          <cell r="K3737" t="str">
            <v>defsi</v>
          </cell>
        </row>
        <row r="3738">
          <cell r="B3738" t="b">
            <v>1</v>
          </cell>
          <cell r="E3738" t="str">
            <v>Los Cerros</v>
          </cell>
          <cell r="H3738" t="str">
            <v>electros</v>
          </cell>
          <cell r="J3738" t="str">
            <v>bueno</v>
          </cell>
          <cell r="K3738" t="str">
            <v>defsi</v>
          </cell>
        </row>
        <row r="3739">
          <cell r="B3739" t="b">
            <v>1</v>
          </cell>
          <cell r="E3739" t="str">
            <v>Los Cerros</v>
          </cell>
          <cell r="H3739" t="str">
            <v>electros</v>
          </cell>
          <cell r="J3739" t="str">
            <v>bueno</v>
          </cell>
          <cell r="K3739" t="str">
            <v>defsi</v>
          </cell>
        </row>
        <row r="3740">
          <cell r="B3740" t="b">
            <v>1</v>
          </cell>
          <cell r="E3740" t="str">
            <v>Daniel Lemaitre</v>
          </cell>
          <cell r="H3740" t="str">
            <v>consulta_externa</v>
          </cell>
          <cell r="J3740" t="str">
            <v>bueno</v>
          </cell>
          <cell r="K3740" t="str">
            <v>probsi</v>
          </cell>
        </row>
        <row r="3741">
          <cell r="B3741" t="b">
            <v>1</v>
          </cell>
          <cell r="E3741" t="str">
            <v>Daniel Lemaitre</v>
          </cell>
          <cell r="H3741" t="str">
            <v>consulta_externa</v>
          </cell>
          <cell r="J3741" t="str">
            <v>bueno</v>
          </cell>
          <cell r="K3741" t="str">
            <v>probsi</v>
          </cell>
        </row>
        <row r="3742">
          <cell r="B3742" t="b">
            <v>1</v>
          </cell>
          <cell r="E3742" t="str">
            <v>Daniel Lemaitre</v>
          </cell>
          <cell r="H3742" t="str">
            <v>laboratorio</v>
          </cell>
          <cell r="J3742" t="str">
            <v>bueno</v>
          </cell>
          <cell r="K3742" t="str">
            <v>probsi</v>
          </cell>
        </row>
        <row r="3743">
          <cell r="B3743" t="b">
            <v>1</v>
          </cell>
          <cell r="E3743" t="str">
            <v>Daniel Lemaitre</v>
          </cell>
          <cell r="H3743" t="str">
            <v>salud_oral</v>
          </cell>
          <cell r="J3743" t="str">
            <v>bueno</v>
          </cell>
          <cell r="K3743" t="str">
            <v>probsi</v>
          </cell>
        </row>
        <row r="3744">
          <cell r="B3744" t="b">
            <v>0</v>
          </cell>
          <cell r="E3744" t="str">
            <v>Daniel Lemaitre</v>
          </cell>
          <cell r="H3744" t="str">
            <v>consulta_externa</v>
          </cell>
          <cell r="J3744" t="str">
            <v>regular</v>
          </cell>
          <cell r="K3744" t="str">
            <v>probsi</v>
          </cell>
        </row>
        <row r="3745">
          <cell r="B3745" t="b">
            <v>0</v>
          </cell>
          <cell r="E3745" t="str">
            <v>Daniel Lemaitre</v>
          </cell>
          <cell r="H3745" t="str">
            <v>laboratorio</v>
          </cell>
          <cell r="J3745" t="str">
            <v>regular</v>
          </cell>
          <cell r="K3745" t="str">
            <v>probsi</v>
          </cell>
        </row>
        <row r="3746">
          <cell r="B3746" t="b">
            <v>0</v>
          </cell>
          <cell r="E3746" t="str">
            <v>Daniel Lemaitre</v>
          </cell>
          <cell r="H3746" t="str">
            <v>consulta_externa</v>
          </cell>
          <cell r="J3746" t="str">
            <v>regular</v>
          </cell>
          <cell r="K3746" t="str">
            <v>probsi</v>
          </cell>
        </row>
        <row r="3747">
          <cell r="B3747" t="b">
            <v>0</v>
          </cell>
          <cell r="E3747" t="str">
            <v>Daniel Lemaitre</v>
          </cell>
          <cell r="H3747" t="str">
            <v>salud_oral</v>
          </cell>
          <cell r="J3747" t="str">
            <v>regular</v>
          </cell>
          <cell r="K3747" t="str">
            <v>probsi</v>
          </cell>
        </row>
        <row r="3748">
          <cell r="B3748" t="b">
            <v>0</v>
          </cell>
          <cell r="E3748" t="str">
            <v>Daniel Lemaitre</v>
          </cell>
          <cell r="H3748" t="str">
            <v>salud_oral</v>
          </cell>
          <cell r="J3748" t="str">
            <v>regular</v>
          </cell>
          <cell r="K3748" t="str">
            <v>probsi</v>
          </cell>
        </row>
        <row r="3749">
          <cell r="B3749" t="b">
            <v>0</v>
          </cell>
          <cell r="E3749" t="str">
            <v>Daniel Lemaitre</v>
          </cell>
          <cell r="H3749" t="str">
            <v>laboratorio</v>
          </cell>
          <cell r="J3749" t="str">
            <v>regular</v>
          </cell>
          <cell r="K3749" t="str">
            <v>probsi</v>
          </cell>
        </row>
        <row r="3750">
          <cell r="B3750" t="b">
            <v>1</v>
          </cell>
          <cell r="E3750" t="str">
            <v>Nuevo Porvenir</v>
          </cell>
          <cell r="H3750" t="str">
            <v>consulta_externa</v>
          </cell>
          <cell r="J3750" t="str">
            <v>bueno</v>
          </cell>
          <cell r="K3750" t="str">
            <v>probsi</v>
          </cell>
        </row>
        <row r="3751">
          <cell r="B3751" t="b">
            <v>1</v>
          </cell>
          <cell r="E3751" t="str">
            <v>Daniel Lemaitre</v>
          </cell>
          <cell r="H3751" t="str">
            <v>consulta_externa</v>
          </cell>
          <cell r="J3751" t="str">
            <v>bueno</v>
          </cell>
          <cell r="K3751" t="str">
            <v>probsi</v>
          </cell>
        </row>
        <row r="3752">
          <cell r="B3752" t="b">
            <v>0</v>
          </cell>
          <cell r="E3752" t="str">
            <v>Daniel Lemaitre</v>
          </cell>
          <cell r="H3752" t="str">
            <v>salud_oral</v>
          </cell>
          <cell r="J3752" t="str">
            <v>regular</v>
          </cell>
          <cell r="K3752" t="str">
            <v>probsi</v>
          </cell>
        </row>
        <row r="3753">
          <cell r="B3753" t="b">
            <v>0</v>
          </cell>
          <cell r="E3753" t="str">
            <v>Daniel Lemaitre</v>
          </cell>
          <cell r="H3753" t="str">
            <v>consulta_externa</v>
          </cell>
          <cell r="J3753" t="str">
            <v>regular</v>
          </cell>
          <cell r="K3753" t="str">
            <v>probsi</v>
          </cell>
        </row>
        <row r="3754">
          <cell r="B3754" t="b">
            <v>0</v>
          </cell>
          <cell r="E3754" t="str">
            <v>Daniel Lemaitre</v>
          </cell>
          <cell r="H3754" t="str">
            <v>salud_oral</v>
          </cell>
          <cell r="J3754" t="str">
            <v>regular</v>
          </cell>
          <cell r="K3754" t="str">
            <v>probsi</v>
          </cell>
        </row>
        <row r="3755">
          <cell r="B3755" t="b">
            <v>0</v>
          </cell>
          <cell r="E3755" t="str">
            <v>Daniel Lemaitre</v>
          </cell>
          <cell r="H3755" t="str">
            <v>laboratorio</v>
          </cell>
          <cell r="J3755" t="str">
            <v>regular</v>
          </cell>
          <cell r="K3755" t="str">
            <v>probsi</v>
          </cell>
        </row>
        <row r="3756">
          <cell r="B3756" t="b">
            <v>1</v>
          </cell>
          <cell r="E3756" t="str">
            <v>Daniel Lemaitre</v>
          </cell>
          <cell r="H3756" t="str">
            <v>consulta_externa</v>
          </cell>
          <cell r="J3756" t="str">
            <v>bueno</v>
          </cell>
          <cell r="K3756" t="str">
            <v>probsi</v>
          </cell>
        </row>
        <row r="3757">
          <cell r="B3757" t="b">
            <v>1</v>
          </cell>
          <cell r="E3757" t="str">
            <v>Daniel Lemaitre</v>
          </cell>
          <cell r="H3757" t="str">
            <v>laboratorio</v>
          </cell>
          <cell r="J3757" t="str">
            <v>bueno</v>
          </cell>
          <cell r="K3757" t="str">
            <v>probsi</v>
          </cell>
        </row>
        <row r="3758">
          <cell r="B3758" t="b">
            <v>1</v>
          </cell>
          <cell r="E3758" t="str">
            <v>Daniel Lemaitre</v>
          </cell>
          <cell r="H3758" t="str">
            <v>consulta_externa</v>
          </cell>
          <cell r="J3758" t="str">
            <v>bueno</v>
          </cell>
          <cell r="K3758" t="str">
            <v>probsi</v>
          </cell>
        </row>
        <row r="3759">
          <cell r="B3759" t="b">
            <v>1</v>
          </cell>
          <cell r="E3759" t="str">
            <v>Arroz Barato</v>
          </cell>
          <cell r="H3759" t="str">
            <v>consulta_externa</v>
          </cell>
          <cell r="J3759" t="str">
            <v>bueno</v>
          </cell>
          <cell r="K3759" t="str">
            <v>defsi</v>
          </cell>
        </row>
        <row r="3760">
          <cell r="B3760" t="b">
            <v>1</v>
          </cell>
          <cell r="E3760" t="str">
            <v>Nuevo Porvenir</v>
          </cell>
          <cell r="H3760" t="str">
            <v>consulta_externa</v>
          </cell>
          <cell r="J3760" t="str">
            <v>bueno</v>
          </cell>
          <cell r="K3760" t="str">
            <v>probsi</v>
          </cell>
        </row>
        <row r="3761">
          <cell r="B3761" t="b">
            <v>1</v>
          </cell>
          <cell r="E3761" t="str">
            <v>Nuevo Porvenir</v>
          </cell>
          <cell r="H3761" t="str">
            <v>consulta_externa</v>
          </cell>
          <cell r="J3761" t="str">
            <v>bueno</v>
          </cell>
          <cell r="K3761" t="str">
            <v>probsi</v>
          </cell>
        </row>
        <row r="3762">
          <cell r="B3762" t="b">
            <v>1</v>
          </cell>
          <cell r="E3762" t="str">
            <v>Daniel Lemaitre</v>
          </cell>
          <cell r="H3762" t="str">
            <v>salud_oral</v>
          </cell>
          <cell r="J3762" t="str">
            <v>bueno</v>
          </cell>
          <cell r="K3762" t="str">
            <v>probsi</v>
          </cell>
        </row>
        <row r="3763">
          <cell r="B3763" t="b">
            <v>1</v>
          </cell>
          <cell r="E3763" t="str">
            <v>Nuevo Porvenir</v>
          </cell>
          <cell r="H3763" t="str">
            <v>consulta_externa</v>
          </cell>
          <cell r="J3763" t="str">
            <v>bueno</v>
          </cell>
          <cell r="K3763" t="str">
            <v>probsi</v>
          </cell>
        </row>
        <row r="3764">
          <cell r="B3764" t="b">
            <v>1</v>
          </cell>
          <cell r="E3764" t="str">
            <v>Nuevo Porvenir</v>
          </cell>
          <cell r="H3764" t="str">
            <v>consulta_externa</v>
          </cell>
          <cell r="J3764" t="str">
            <v>bueno</v>
          </cell>
          <cell r="K3764" t="str">
            <v>probsi</v>
          </cell>
        </row>
        <row r="3765">
          <cell r="B3765" t="b">
            <v>1</v>
          </cell>
          <cell r="E3765" t="str">
            <v>Nuevo Porvenir</v>
          </cell>
          <cell r="H3765" t="str">
            <v>consulta_externa</v>
          </cell>
          <cell r="J3765" t="str">
            <v>bueno</v>
          </cell>
          <cell r="K3765" t="str">
            <v>probsi</v>
          </cell>
        </row>
        <row r="3766">
          <cell r="B3766" t="b">
            <v>1</v>
          </cell>
          <cell r="E3766" t="str">
            <v>Arroz Barato</v>
          </cell>
          <cell r="H3766" t="str">
            <v>salud_oral</v>
          </cell>
          <cell r="J3766" t="str">
            <v>bueno</v>
          </cell>
          <cell r="K3766" t="str">
            <v>defsi</v>
          </cell>
        </row>
        <row r="3767">
          <cell r="B3767" t="b">
            <v>1</v>
          </cell>
          <cell r="E3767" t="str">
            <v>Nuevo Porvenir</v>
          </cell>
          <cell r="H3767" t="str">
            <v>laboratorio</v>
          </cell>
          <cell r="J3767" t="str">
            <v>bueno</v>
          </cell>
          <cell r="K3767" t="str">
            <v>probsi</v>
          </cell>
        </row>
        <row r="3768">
          <cell r="B3768" t="b">
            <v>1</v>
          </cell>
          <cell r="E3768" t="str">
            <v>Nuevo Porvenir</v>
          </cell>
          <cell r="H3768" t="str">
            <v>laboratorio</v>
          </cell>
          <cell r="J3768" t="str">
            <v>bueno</v>
          </cell>
          <cell r="K3768" t="str">
            <v>probsi</v>
          </cell>
        </row>
        <row r="3769">
          <cell r="B3769" t="b">
            <v>1</v>
          </cell>
          <cell r="E3769" t="str">
            <v>Nuevo Porvenir</v>
          </cell>
          <cell r="H3769" t="str">
            <v>laboratorio</v>
          </cell>
          <cell r="J3769" t="str">
            <v>bueno</v>
          </cell>
          <cell r="K3769" t="str">
            <v>probsi</v>
          </cell>
        </row>
        <row r="3770">
          <cell r="B3770" t="b">
            <v>1</v>
          </cell>
          <cell r="E3770" t="str">
            <v>Nuevo Porvenir</v>
          </cell>
          <cell r="H3770" t="str">
            <v>laboratorio</v>
          </cell>
          <cell r="J3770" t="str">
            <v>bueno</v>
          </cell>
          <cell r="K3770" t="str">
            <v>probsi</v>
          </cell>
        </row>
        <row r="3771">
          <cell r="B3771" t="b">
            <v>0</v>
          </cell>
          <cell r="E3771" t="str">
            <v>Daniel Lemaitre</v>
          </cell>
          <cell r="H3771" t="str">
            <v>laboratorio</v>
          </cell>
          <cell r="J3771" t="str">
            <v>regular</v>
          </cell>
          <cell r="K3771" t="str">
            <v>probsi</v>
          </cell>
        </row>
        <row r="3772">
          <cell r="B3772" t="b">
            <v>1</v>
          </cell>
          <cell r="E3772" t="str">
            <v>Arroz Barato</v>
          </cell>
          <cell r="H3772" t="str">
            <v>laboratorio</v>
          </cell>
          <cell r="J3772" t="str">
            <v>bueno</v>
          </cell>
          <cell r="K3772" t="str">
            <v>defsi</v>
          </cell>
        </row>
        <row r="3773">
          <cell r="B3773" t="b">
            <v>1</v>
          </cell>
          <cell r="E3773" t="str">
            <v>Arroz Barato</v>
          </cell>
          <cell r="H3773" t="str">
            <v>urgencia</v>
          </cell>
          <cell r="J3773" t="str">
            <v>bueno</v>
          </cell>
          <cell r="K3773" t="str">
            <v>defsi</v>
          </cell>
        </row>
        <row r="3774">
          <cell r="B3774" t="b">
            <v>1</v>
          </cell>
          <cell r="E3774" t="str">
            <v>Arroz Barato</v>
          </cell>
          <cell r="H3774" t="str">
            <v>ecografias</v>
          </cell>
          <cell r="J3774" t="str">
            <v>bueno</v>
          </cell>
          <cell r="K3774" t="str">
            <v>defsi</v>
          </cell>
        </row>
        <row r="3775">
          <cell r="B3775" t="b">
            <v>1</v>
          </cell>
          <cell r="E3775" t="str">
            <v>Arroz Barato</v>
          </cell>
          <cell r="H3775" t="str">
            <v>consulta_externa</v>
          </cell>
          <cell r="J3775" t="str">
            <v>bueno</v>
          </cell>
          <cell r="K3775" t="str">
            <v>defsi</v>
          </cell>
        </row>
        <row r="3776">
          <cell r="B3776" t="b">
            <v>1</v>
          </cell>
          <cell r="E3776" t="str">
            <v>Daniel Lemaitre</v>
          </cell>
          <cell r="H3776" t="str">
            <v>consulta_externa</v>
          </cell>
          <cell r="J3776" t="str">
            <v>bueno</v>
          </cell>
          <cell r="K3776" t="str">
            <v>probsi</v>
          </cell>
        </row>
        <row r="3777">
          <cell r="B3777" t="b">
            <v>1</v>
          </cell>
          <cell r="E3777" t="str">
            <v>Daniel Lemaitre</v>
          </cell>
          <cell r="H3777" t="str">
            <v>salud_oral</v>
          </cell>
          <cell r="J3777" t="str">
            <v>bueno</v>
          </cell>
          <cell r="K3777" t="str">
            <v>probsi</v>
          </cell>
        </row>
        <row r="3778">
          <cell r="B3778" t="b">
            <v>1</v>
          </cell>
          <cell r="E3778" t="str">
            <v>Daniel Lemaitre</v>
          </cell>
          <cell r="H3778" t="str">
            <v>laboratorio</v>
          </cell>
          <cell r="J3778" t="str">
            <v>bueno</v>
          </cell>
          <cell r="K3778" t="str">
            <v>probsi</v>
          </cell>
        </row>
        <row r="3779">
          <cell r="B3779" t="b">
            <v>1</v>
          </cell>
          <cell r="E3779" t="str">
            <v>Arroz Barato</v>
          </cell>
          <cell r="H3779" t="str">
            <v>salud_oral</v>
          </cell>
          <cell r="J3779" t="str">
            <v>bueno</v>
          </cell>
          <cell r="K3779" t="str">
            <v>defsi</v>
          </cell>
        </row>
        <row r="3780">
          <cell r="B3780" t="b">
            <v>1</v>
          </cell>
          <cell r="E3780" t="str">
            <v>Arroz Barato</v>
          </cell>
          <cell r="H3780" t="str">
            <v>laboratorio</v>
          </cell>
          <cell r="J3780" t="str">
            <v>bueno</v>
          </cell>
          <cell r="K3780" t="str">
            <v>defsi</v>
          </cell>
        </row>
        <row r="3781">
          <cell r="B3781" t="b">
            <v>1</v>
          </cell>
          <cell r="E3781" t="str">
            <v>Arroz Barato</v>
          </cell>
          <cell r="H3781" t="str">
            <v>urgencia</v>
          </cell>
          <cell r="J3781" t="str">
            <v>bueno</v>
          </cell>
          <cell r="K3781" t="str">
            <v>defsi</v>
          </cell>
        </row>
        <row r="3782">
          <cell r="B3782" t="b">
            <v>1</v>
          </cell>
          <cell r="E3782" t="str">
            <v>Arroz Barato</v>
          </cell>
          <cell r="H3782" t="str">
            <v>ecografias</v>
          </cell>
          <cell r="J3782" t="str">
            <v>bueno</v>
          </cell>
          <cell r="K3782" t="str">
            <v>defsi</v>
          </cell>
        </row>
        <row r="3783">
          <cell r="B3783" t="b">
            <v>1</v>
          </cell>
          <cell r="E3783" t="str">
            <v>Daniel Lemaitre</v>
          </cell>
          <cell r="H3783" t="str">
            <v>consulta_externa</v>
          </cell>
          <cell r="J3783" t="str">
            <v>bueno</v>
          </cell>
          <cell r="K3783" t="str">
            <v>probsi</v>
          </cell>
        </row>
        <row r="3784">
          <cell r="B3784" t="b">
            <v>1</v>
          </cell>
          <cell r="E3784" t="str">
            <v>Arroz Barato</v>
          </cell>
          <cell r="H3784" t="str">
            <v>consulta_externa</v>
          </cell>
          <cell r="J3784" t="str">
            <v>bueno</v>
          </cell>
          <cell r="K3784" t="str">
            <v>defsi</v>
          </cell>
        </row>
        <row r="3785">
          <cell r="B3785" t="b">
            <v>1</v>
          </cell>
          <cell r="E3785" t="str">
            <v>Daniel Lemaitre</v>
          </cell>
          <cell r="H3785" t="str">
            <v>salud_oral</v>
          </cell>
          <cell r="J3785" t="str">
            <v>bueno</v>
          </cell>
          <cell r="K3785" t="str">
            <v>probsi</v>
          </cell>
        </row>
        <row r="3786">
          <cell r="B3786" t="b">
            <v>1</v>
          </cell>
          <cell r="E3786" t="str">
            <v>Arroz Barato</v>
          </cell>
          <cell r="H3786" t="str">
            <v>salud_oral</v>
          </cell>
          <cell r="J3786" t="str">
            <v>bueno</v>
          </cell>
          <cell r="K3786" t="str">
            <v>defsi</v>
          </cell>
        </row>
        <row r="3787">
          <cell r="B3787" t="b">
            <v>1</v>
          </cell>
          <cell r="E3787" t="str">
            <v>Arroz Barato</v>
          </cell>
          <cell r="H3787" t="str">
            <v>laboratorio</v>
          </cell>
          <cell r="J3787" t="str">
            <v>bueno</v>
          </cell>
          <cell r="K3787" t="str">
            <v>defsi</v>
          </cell>
        </row>
        <row r="3788">
          <cell r="B3788" t="b">
            <v>1</v>
          </cell>
          <cell r="E3788" t="str">
            <v>Arroz Barato</v>
          </cell>
          <cell r="H3788" t="str">
            <v>urgencia</v>
          </cell>
          <cell r="J3788" t="str">
            <v>bueno</v>
          </cell>
          <cell r="K3788" t="str">
            <v>defsi</v>
          </cell>
        </row>
        <row r="3789">
          <cell r="B3789" t="b">
            <v>1</v>
          </cell>
          <cell r="E3789" t="str">
            <v>Arroz Barato</v>
          </cell>
          <cell r="H3789" t="str">
            <v>ecografias</v>
          </cell>
          <cell r="J3789" t="str">
            <v>bueno</v>
          </cell>
          <cell r="K3789" t="str">
            <v>defsi</v>
          </cell>
        </row>
        <row r="3790">
          <cell r="B3790" t="b">
            <v>1</v>
          </cell>
          <cell r="E3790" t="str">
            <v>Arroz Barato</v>
          </cell>
          <cell r="H3790" t="str">
            <v>consulta_externa</v>
          </cell>
          <cell r="J3790" t="str">
            <v>bueno</v>
          </cell>
          <cell r="K3790" t="str">
            <v>defsi</v>
          </cell>
        </row>
        <row r="3791">
          <cell r="B3791" t="b">
            <v>1</v>
          </cell>
          <cell r="E3791" t="str">
            <v>Arroz Barato</v>
          </cell>
          <cell r="H3791" t="str">
            <v>salud_oral</v>
          </cell>
          <cell r="J3791" t="str">
            <v>bueno</v>
          </cell>
          <cell r="K3791" t="str">
            <v>defsi</v>
          </cell>
        </row>
        <row r="3792">
          <cell r="B3792" t="b">
            <v>1</v>
          </cell>
          <cell r="E3792" t="str">
            <v>Arroz Barato</v>
          </cell>
          <cell r="H3792" t="str">
            <v>laboratorio</v>
          </cell>
          <cell r="J3792" t="str">
            <v>bueno</v>
          </cell>
          <cell r="K3792" t="str">
            <v>defsi</v>
          </cell>
        </row>
        <row r="3793">
          <cell r="B3793" t="b">
            <v>1</v>
          </cell>
          <cell r="E3793" t="str">
            <v>Arroz Barato</v>
          </cell>
          <cell r="H3793" t="str">
            <v>urgencia</v>
          </cell>
          <cell r="J3793" t="str">
            <v>bueno</v>
          </cell>
          <cell r="K3793" t="str">
            <v>defsi</v>
          </cell>
        </row>
        <row r="3794">
          <cell r="B3794" t="b">
            <v>1</v>
          </cell>
          <cell r="E3794" t="str">
            <v>Arroz Barato</v>
          </cell>
          <cell r="H3794" t="str">
            <v>ecografias</v>
          </cell>
          <cell r="J3794" t="str">
            <v>bueno</v>
          </cell>
          <cell r="K3794" t="str">
            <v>defsi</v>
          </cell>
        </row>
        <row r="3795">
          <cell r="B3795" t="b">
            <v>0</v>
          </cell>
          <cell r="E3795" t="str">
            <v>Daniel Lemaitre</v>
          </cell>
          <cell r="H3795" t="str">
            <v>laboratorio</v>
          </cell>
          <cell r="J3795" t="str">
            <v>regular</v>
          </cell>
          <cell r="K3795" t="str">
            <v>probsi</v>
          </cell>
        </row>
        <row r="3796">
          <cell r="B3796" t="b">
            <v>0</v>
          </cell>
          <cell r="E3796" t="str">
            <v>Daniel Lemaitre</v>
          </cell>
          <cell r="H3796" t="str">
            <v>laboratorio</v>
          </cell>
          <cell r="J3796" t="str">
            <v>regular</v>
          </cell>
          <cell r="K3796" t="str">
            <v>probsi</v>
          </cell>
        </row>
        <row r="3797">
          <cell r="B3797" t="b">
            <v>1</v>
          </cell>
          <cell r="E3797" t="str">
            <v>Daniel Lemaitre</v>
          </cell>
          <cell r="H3797" t="str">
            <v>laboratorio</v>
          </cell>
          <cell r="J3797" t="str">
            <v>bueno</v>
          </cell>
          <cell r="K3797" t="str">
            <v>probsi</v>
          </cell>
        </row>
        <row r="3798">
          <cell r="B3798" t="b">
            <v>1</v>
          </cell>
          <cell r="E3798" t="str">
            <v>Daniel Lemaitre</v>
          </cell>
          <cell r="H3798" t="str">
            <v>laboratorio</v>
          </cell>
          <cell r="J3798" t="str">
            <v>bueno</v>
          </cell>
          <cell r="K3798" t="str">
            <v>probsi</v>
          </cell>
        </row>
        <row r="3799">
          <cell r="B3799" t="b">
            <v>1</v>
          </cell>
          <cell r="E3799" t="str">
            <v>Daniel Lemaitre</v>
          </cell>
          <cell r="H3799" t="str">
            <v>laboratorio</v>
          </cell>
          <cell r="J3799" t="str">
            <v>bueno</v>
          </cell>
          <cell r="K3799" t="str">
            <v>probsi</v>
          </cell>
        </row>
        <row r="3800">
          <cell r="B3800" t="b">
            <v>1</v>
          </cell>
          <cell r="E3800" t="str">
            <v>Daniel Lemaitre</v>
          </cell>
          <cell r="H3800" t="str">
            <v>salud_oral</v>
          </cell>
          <cell r="J3800" t="str">
            <v>bueno</v>
          </cell>
          <cell r="K3800" t="str">
            <v>probsi</v>
          </cell>
        </row>
        <row r="3801">
          <cell r="B3801" t="b">
            <v>1</v>
          </cell>
          <cell r="E3801" t="str">
            <v>Daniel Lemaitre</v>
          </cell>
          <cell r="H3801" t="str">
            <v>salud_oral</v>
          </cell>
          <cell r="J3801" t="str">
            <v>bueno</v>
          </cell>
          <cell r="K3801" t="str">
            <v>probsi</v>
          </cell>
        </row>
        <row r="3802">
          <cell r="B3802" t="b">
            <v>1</v>
          </cell>
          <cell r="E3802" t="str">
            <v>Daniel Lemaitre</v>
          </cell>
          <cell r="H3802" t="str">
            <v>salud_oral</v>
          </cell>
          <cell r="J3802" t="str">
            <v>bueno</v>
          </cell>
          <cell r="K3802" t="str">
            <v>probsi</v>
          </cell>
        </row>
        <row r="3803">
          <cell r="B3803" t="b">
            <v>1</v>
          </cell>
          <cell r="E3803" t="str">
            <v>Daniel Lemaitre</v>
          </cell>
          <cell r="H3803" t="str">
            <v>salud_oral</v>
          </cell>
          <cell r="J3803" t="str">
            <v>bueno</v>
          </cell>
          <cell r="K3803" t="str">
            <v>probsi</v>
          </cell>
        </row>
        <row r="3804">
          <cell r="B3804" t="b">
            <v>1</v>
          </cell>
          <cell r="E3804" t="str">
            <v>Los Cerros</v>
          </cell>
          <cell r="H3804" t="str">
            <v>laboratorio</v>
          </cell>
          <cell r="J3804" t="str">
            <v>bueno</v>
          </cell>
          <cell r="K3804" t="str">
            <v>defsi</v>
          </cell>
        </row>
        <row r="3805">
          <cell r="B3805" t="b">
            <v>1</v>
          </cell>
          <cell r="E3805" t="str">
            <v>Los Cerros</v>
          </cell>
          <cell r="H3805" t="str">
            <v>laboratorio</v>
          </cell>
          <cell r="J3805" t="str">
            <v>bueno</v>
          </cell>
          <cell r="K3805" t="str">
            <v>defsi</v>
          </cell>
        </row>
        <row r="3806">
          <cell r="B3806" t="b">
            <v>1</v>
          </cell>
          <cell r="E3806" t="str">
            <v>Los Cerros</v>
          </cell>
          <cell r="H3806" t="str">
            <v>laboratorio</v>
          </cell>
          <cell r="J3806" t="str">
            <v>bueno</v>
          </cell>
          <cell r="K3806" t="str">
            <v>defsi</v>
          </cell>
        </row>
        <row r="3807">
          <cell r="B3807" t="b">
            <v>1</v>
          </cell>
          <cell r="E3807" t="str">
            <v>Los Cerros</v>
          </cell>
          <cell r="H3807" t="str">
            <v>salud_oral</v>
          </cell>
          <cell r="J3807" t="str">
            <v>bueno</v>
          </cell>
          <cell r="K3807" t="str">
            <v>defsi</v>
          </cell>
        </row>
        <row r="3808">
          <cell r="B3808" t="b">
            <v>1</v>
          </cell>
          <cell r="E3808" t="str">
            <v>Los Cerros</v>
          </cell>
          <cell r="H3808" t="str">
            <v>salud_oral</v>
          </cell>
          <cell r="J3808" t="str">
            <v>bueno</v>
          </cell>
          <cell r="K3808" t="str">
            <v>defsi</v>
          </cell>
        </row>
        <row r="3809">
          <cell r="B3809" t="b">
            <v>0</v>
          </cell>
          <cell r="E3809" t="str">
            <v>Los Cerros</v>
          </cell>
          <cell r="H3809" t="str">
            <v>consulta_externa</v>
          </cell>
          <cell r="J3809" t="str">
            <v>regular</v>
          </cell>
          <cell r="K3809" t="str">
            <v>defsi</v>
          </cell>
        </row>
        <row r="3810">
          <cell r="B3810" t="b">
            <v>1</v>
          </cell>
          <cell r="E3810" t="str">
            <v>Canapote</v>
          </cell>
          <cell r="H3810" t="str">
            <v>consulta_externa</v>
          </cell>
          <cell r="J3810" t="str">
            <v>bueno</v>
          </cell>
          <cell r="K3810" t="str">
            <v>probsi</v>
          </cell>
        </row>
        <row r="3811">
          <cell r="B3811" t="b">
            <v>1</v>
          </cell>
          <cell r="E3811" t="str">
            <v>Canapote</v>
          </cell>
          <cell r="H3811" t="str">
            <v>laboratorio</v>
          </cell>
          <cell r="J3811" t="str">
            <v>bueno</v>
          </cell>
          <cell r="K3811" t="str">
            <v>probsi</v>
          </cell>
        </row>
        <row r="3812">
          <cell r="B3812" t="b">
            <v>1</v>
          </cell>
          <cell r="E3812" t="str">
            <v>Canapote</v>
          </cell>
          <cell r="H3812" t="str">
            <v>consulta_externa</v>
          </cell>
          <cell r="J3812" t="str">
            <v>bueno</v>
          </cell>
          <cell r="K3812" t="str">
            <v>probsi</v>
          </cell>
        </row>
        <row r="3813">
          <cell r="B3813" t="b">
            <v>1</v>
          </cell>
          <cell r="E3813" t="str">
            <v>Canapote</v>
          </cell>
          <cell r="H3813" t="str">
            <v>consulta_externa</v>
          </cell>
          <cell r="J3813" t="str">
            <v>bueno</v>
          </cell>
          <cell r="K3813" t="str">
            <v>probsi</v>
          </cell>
        </row>
        <row r="3814">
          <cell r="B3814" t="b">
            <v>0</v>
          </cell>
          <cell r="E3814" t="str">
            <v>Los Cerros</v>
          </cell>
          <cell r="H3814" t="str">
            <v>consulta_externa</v>
          </cell>
          <cell r="J3814" t="str">
            <v>malo</v>
          </cell>
          <cell r="K3814" t="str">
            <v>defno</v>
          </cell>
        </row>
        <row r="3815">
          <cell r="B3815" t="b">
            <v>1</v>
          </cell>
          <cell r="E3815" t="str">
            <v>Canapote</v>
          </cell>
          <cell r="H3815" t="str">
            <v>consulta_externa</v>
          </cell>
          <cell r="J3815" t="str">
            <v>bueno</v>
          </cell>
          <cell r="K3815" t="str">
            <v>probsi</v>
          </cell>
        </row>
        <row r="3816">
          <cell r="B3816" t="b">
            <v>1</v>
          </cell>
          <cell r="E3816" t="str">
            <v>Canapote</v>
          </cell>
          <cell r="H3816" t="str">
            <v>laboratorio</v>
          </cell>
          <cell r="J3816" t="str">
            <v>bueno</v>
          </cell>
          <cell r="K3816" t="str">
            <v>probsi</v>
          </cell>
        </row>
        <row r="3817">
          <cell r="B3817" t="b">
            <v>1</v>
          </cell>
          <cell r="E3817" t="str">
            <v>Canapote</v>
          </cell>
          <cell r="H3817" t="str">
            <v>laboratorio</v>
          </cell>
          <cell r="J3817" t="str">
            <v>bueno</v>
          </cell>
          <cell r="K3817" t="str">
            <v>probsi</v>
          </cell>
        </row>
        <row r="3818">
          <cell r="B3818" t="b">
            <v>1</v>
          </cell>
          <cell r="E3818" t="str">
            <v>Los Cerros</v>
          </cell>
          <cell r="H3818" t="str">
            <v>consulta_externa</v>
          </cell>
          <cell r="J3818" t="str">
            <v>bueno</v>
          </cell>
          <cell r="K3818" t="str">
            <v>defsi</v>
          </cell>
        </row>
        <row r="3819">
          <cell r="B3819" t="b">
            <v>1</v>
          </cell>
          <cell r="E3819" t="str">
            <v>Canapote</v>
          </cell>
          <cell r="H3819" t="str">
            <v>laboratorio</v>
          </cell>
          <cell r="J3819" t="str">
            <v>bueno</v>
          </cell>
          <cell r="K3819" t="str">
            <v>probsi</v>
          </cell>
        </row>
        <row r="3820">
          <cell r="B3820" t="b">
            <v>1</v>
          </cell>
          <cell r="E3820" t="str">
            <v>Canapote</v>
          </cell>
          <cell r="H3820" t="str">
            <v>consulta_externa</v>
          </cell>
          <cell r="J3820" t="str">
            <v>bueno</v>
          </cell>
          <cell r="K3820" t="str">
            <v>probsi</v>
          </cell>
        </row>
        <row r="3821">
          <cell r="B3821" t="b">
            <v>1</v>
          </cell>
          <cell r="E3821" t="str">
            <v>Canapote</v>
          </cell>
          <cell r="H3821" t="str">
            <v>salud_oral</v>
          </cell>
          <cell r="J3821" t="str">
            <v>bueno</v>
          </cell>
          <cell r="K3821" t="str">
            <v>probsi</v>
          </cell>
        </row>
        <row r="3822">
          <cell r="B3822" t="b">
            <v>1</v>
          </cell>
          <cell r="E3822" t="str">
            <v>Los Cerros</v>
          </cell>
          <cell r="H3822" t="str">
            <v>salud_oral</v>
          </cell>
          <cell r="J3822" t="str">
            <v>bueno</v>
          </cell>
          <cell r="K3822" t="str">
            <v>defsi</v>
          </cell>
        </row>
        <row r="3823">
          <cell r="B3823" t="b">
            <v>1</v>
          </cell>
          <cell r="E3823" t="str">
            <v>Canapote</v>
          </cell>
          <cell r="H3823" t="str">
            <v>salud_oral</v>
          </cell>
          <cell r="J3823" t="str">
            <v>bueno</v>
          </cell>
          <cell r="K3823" t="str">
            <v>probsi</v>
          </cell>
        </row>
        <row r="3824">
          <cell r="B3824" t="b">
            <v>1</v>
          </cell>
          <cell r="E3824" t="str">
            <v>Los Cerros</v>
          </cell>
          <cell r="H3824" t="str">
            <v>salud_oral</v>
          </cell>
          <cell r="J3824" t="str">
            <v>bueno</v>
          </cell>
          <cell r="K3824" t="str">
            <v>defsi</v>
          </cell>
        </row>
        <row r="3825">
          <cell r="B3825" t="b">
            <v>1</v>
          </cell>
          <cell r="E3825" t="str">
            <v>Los Cerros</v>
          </cell>
          <cell r="H3825" t="str">
            <v>salud_oral</v>
          </cell>
          <cell r="J3825" t="str">
            <v>bueno</v>
          </cell>
          <cell r="K3825" t="str">
            <v>defsi</v>
          </cell>
        </row>
        <row r="3826">
          <cell r="B3826" t="b">
            <v>1</v>
          </cell>
          <cell r="E3826" t="str">
            <v>Los Cerros</v>
          </cell>
          <cell r="H3826" t="str">
            <v>pediatria</v>
          </cell>
          <cell r="J3826" t="str">
            <v>bueno</v>
          </cell>
          <cell r="K3826" t="str">
            <v>defsi</v>
          </cell>
        </row>
        <row r="3827">
          <cell r="B3827" t="b">
            <v>1</v>
          </cell>
          <cell r="E3827" t="str">
            <v>Canapote</v>
          </cell>
          <cell r="H3827" t="str">
            <v>consulta_externa</v>
          </cell>
          <cell r="J3827" t="str">
            <v>muybueno</v>
          </cell>
          <cell r="K3827" t="str">
            <v>probsi</v>
          </cell>
        </row>
        <row r="3828">
          <cell r="B3828" t="b">
            <v>1</v>
          </cell>
          <cell r="E3828" t="str">
            <v>Canapote</v>
          </cell>
          <cell r="H3828" t="str">
            <v>salud_oral</v>
          </cell>
          <cell r="J3828" t="str">
            <v>bueno</v>
          </cell>
          <cell r="K3828" t="str">
            <v>probsi</v>
          </cell>
        </row>
        <row r="3829">
          <cell r="B3829" t="b">
            <v>1</v>
          </cell>
          <cell r="E3829" t="str">
            <v>Los Cerros</v>
          </cell>
          <cell r="H3829" t="str">
            <v>pediatria</v>
          </cell>
          <cell r="J3829" t="str">
            <v>bueno</v>
          </cell>
          <cell r="K3829" t="str">
            <v>defsi</v>
          </cell>
        </row>
        <row r="3830">
          <cell r="B3830" t="b">
            <v>1</v>
          </cell>
          <cell r="E3830" t="str">
            <v>Los Cerros</v>
          </cell>
          <cell r="H3830" t="str">
            <v>consulta_externa</v>
          </cell>
          <cell r="J3830" t="str">
            <v>bueno</v>
          </cell>
          <cell r="K3830" t="str">
            <v>defsi</v>
          </cell>
        </row>
        <row r="3831">
          <cell r="B3831" t="b">
            <v>1</v>
          </cell>
          <cell r="E3831" t="str">
            <v>Canapote</v>
          </cell>
          <cell r="H3831" t="str">
            <v>consulta_externa</v>
          </cell>
          <cell r="J3831" t="str">
            <v>bueno</v>
          </cell>
          <cell r="K3831" t="str">
            <v>probsi</v>
          </cell>
        </row>
        <row r="3832">
          <cell r="B3832" t="b">
            <v>1</v>
          </cell>
          <cell r="E3832" t="str">
            <v>Los Cerros</v>
          </cell>
          <cell r="H3832" t="str">
            <v>medicina_interna</v>
          </cell>
          <cell r="J3832" t="str">
            <v>bueno</v>
          </cell>
          <cell r="K3832" t="str">
            <v>defsi</v>
          </cell>
        </row>
        <row r="3833">
          <cell r="B3833" t="b">
            <v>1</v>
          </cell>
          <cell r="E3833" t="str">
            <v>Canapote</v>
          </cell>
          <cell r="H3833" t="str">
            <v>consulta_externa</v>
          </cell>
          <cell r="J3833" t="str">
            <v>bueno</v>
          </cell>
          <cell r="K3833" t="str">
            <v>probsi</v>
          </cell>
        </row>
        <row r="3834">
          <cell r="B3834" t="b">
            <v>1</v>
          </cell>
          <cell r="E3834" t="str">
            <v>Los Cerros</v>
          </cell>
          <cell r="H3834" t="str">
            <v>pediatria</v>
          </cell>
          <cell r="J3834" t="str">
            <v>bueno</v>
          </cell>
          <cell r="K3834" t="str">
            <v>defsi</v>
          </cell>
        </row>
        <row r="3835">
          <cell r="B3835" t="b">
            <v>1</v>
          </cell>
          <cell r="E3835" t="str">
            <v>Los Cerros</v>
          </cell>
          <cell r="H3835" t="str">
            <v>consulta_externa</v>
          </cell>
          <cell r="J3835" t="str">
            <v>bueno</v>
          </cell>
          <cell r="K3835" t="str">
            <v>defsi</v>
          </cell>
        </row>
        <row r="3836">
          <cell r="B3836" t="b">
            <v>1</v>
          </cell>
          <cell r="E3836" t="str">
            <v>Los Cerros</v>
          </cell>
          <cell r="H3836" t="str">
            <v>laboratorio</v>
          </cell>
          <cell r="J3836" t="str">
            <v>bueno</v>
          </cell>
          <cell r="K3836" t="str">
            <v>defsi</v>
          </cell>
        </row>
        <row r="3837">
          <cell r="B3837" t="b">
            <v>1</v>
          </cell>
          <cell r="E3837" t="str">
            <v>Los Cerros</v>
          </cell>
          <cell r="H3837" t="str">
            <v>pediatria</v>
          </cell>
          <cell r="J3837" t="str">
            <v>bueno</v>
          </cell>
          <cell r="K3837" t="str">
            <v>defsi</v>
          </cell>
        </row>
        <row r="3838">
          <cell r="B3838" t="b">
            <v>1</v>
          </cell>
          <cell r="E3838" t="str">
            <v>Los Cerros</v>
          </cell>
          <cell r="H3838" t="str">
            <v>consulta_externa</v>
          </cell>
          <cell r="J3838" t="str">
            <v>bueno</v>
          </cell>
          <cell r="K3838" t="str">
            <v>defsi</v>
          </cell>
        </row>
        <row r="3839">
          <cell r="B3839" t="b">
            <v>1</v>
          </cell>
          <cell r="E3839" t="str">
            <v>Los Cerros</v>
          </cell>
          <cell r="H3839" t="str">
            <v>laboratorio</v>
          </cell>
          <cell r="J3839" t="str">
            <v>bueno</v>
          </cell>
          <cell r="K3839" t="str">
            <v>defsi</v>
          </cell>
        </row>
        <row r="3840">
          <cell r="B3840" t="b">
            <v>1</v>
          </cell>
          <cell r="E3840" t="str">
            <v>Los Cerros</v>
          </cell>
          <cell r="H3840" t="str">
            <v>salud_oral</v>
          </cell>
          <cell r="J3840" t="str">
            <v>bueno</v>
          </cell>
          <cell r="K3840" t="str">
            <v>defsi</v>
          </cell>
        </row>
        <row r="3841">
          <cell r="B3841" t="b">
            <v>1</v>
          </cell>
          <cell r="E3841" t="str">
            <v>Los Cerros</v>
          </cell>
          <cell r="H3841" t="str">
            <v>laboratorio</v>
          </cell>
          <cell r="J3841" t="str">
            <v>bueno</v>
          </cell>
          <cell r="K3841" t="str">
            <v>defsi</v>
          </cell>
        </row>
        <row r="3842">
          <cell r="B3842" t="b">
            <v>1</v>
          </cell>
          <cell r="E3842" t="str">
            <v>Arroz Barato</v>
          </cell>
          <cell r="H3842" t="str">
            <v>consulta_externa</v>
          </cell>
          <cell r="J3842" t="str">
            <v>bueno</v>
          </cell>
          <cell r="K3842" t="str">
            <v>defsi</v>
          </cell>
        </row>
        <row r="3843">
          <cell r="B3843" t="b">
            <v>1</v>
          </cell>
          <cell r="E3843" t="str">
            <v>Canapote</v>
          </cell>
          <cell r="H3843" t="str">
            <v>consulta_externa</v>
          </cell>
          <cell r="J3843" t="str">
            <v>bueno</v>
          </cell>
          <cell r="K3843" t="str">
            <v>probsi</v>
          </cell>
        </row>
        <row r="3844">
          <cell r="B3844" t="b">
            <v>1</v>
          </cell>
          <cell r="E3844" t="str">
            <v>Arroz Barato</v>
          </cell>
          <cell r="H3844" t="str">
            <v>salud_oral</v>
          </cell>
          <cell r="J3844" t="str">
            <v>bueno</v>
          </cell>
          <cell r="K3844" t="str">
            <v>defsi</v>
          </cell>
        </row>
        <row r="3845">
          <cell r="B3845" t="b">
            <v>0</v>
          </cell>
          <cell r="E3845" t="str">
            <v>Canapote</v>
          </cell>
          <cell r="H3845" t="str">
            <v>laboratorio</v>
          </cell>
          <cell r="J3845" t="str">
            <v>regular</v>
          </cell>
          <cell r="K3845" t="str">
            <v>probsi</v>
          </cell>
        </row>
        <row r="3846">
          <cell r="B3846" t="b">
            <v>1</v>
          </cell>
          <cell r="E3846" t="str">
            <v>Canapote</v>
          </cell>
          <cell r="H3846" t="str">
            <v>salud_oral</v>
          </cell>
          <cell r="J3846" t="str">
            <v>bueno</v>
          </cell>
          <cell r="K3846" t="str">
            <v>probsi</v>
          </cell>
        </row>
        <row r="3847">
          <cell r="B3847" t="b">
            <v>1</v>
          </cell>
          <cell r="E3847" t="str">
            <v>Arroz Barato</v>
          </cell>
          <cell r="H3847" t="str">
            <v>laboratorio</v>
          </cell>
          <cell r="J3847" t="str">
            <v>bueno</v>
          </cell>
          <cell r="K3847" t="str">
            <v>defsi</v>
          </cell>
        </row>
        <row r="3848">
          <cell r="B3848" t="b">
            <v>1</v>
          </cell>
          <cell r="E3848" t="str">
            <v>Arroz Barato</v>
          </cell>
          <cell r="H3848" t="str">
            <v>urgencia</v>
          </cell>
          <cell r="J3848" t="str">
            <v>bueno</v>
          </cell>
          <cell r="K3848" t="str">
            <v>defsi</v>
          </cell>
        </row>
        <row r="3849">
          <cell r="B3849" t="b">
            <v>1</v>
          </cell>
          <cell r="E3849" t="str">
            <v>Canapote</v>
          </cell>
          <cell r="H3849" t="str">
            <v>consulta_externa</v>
          </cell>
          <cell r="J3849" t="str">
            <v>bueno</v>
          </cell>
          <cell r="K3849" t="str">
            <v>probsi</v>
          </cell>
        </row>
        <row r="3850">
          <cell r="B3850" t="b">
            <v>1</v>
          </cell>
          <cell r="E3850" t="str">
            <v>Canapote</v>
          </cell>
          <cell r="H3850" t="str">
            <v>laboratorio</v>
          </cell>
          <cell r="J3850" t="str">
            <v>bueno</v>
          </cell>
          <cell r="K3850" t="str">
            <v>probsi</v>
          </cell>
        </row>
        <row r="3851">
          <cell r="B3851" t="b">
            <v>1</v>
          </cell>
          <cell r="E3851" t="str">
            <v>Arroz Barato</v>
          </cell>
          <cell r="H3851" t="str">
            <v>ecografias</v>
          </cell>
          <cell r="J3851" t="str">
            <v>bueno</v>
          </cell>
          <cell r="K3851" t="str">
            <v>defsi</v>
          </cell>
        </row>
        <row r="3852">
          <cell r="B3852" t="b">
            <v>1</v>
          </cell>
          <cell r="E3852" t="str">
            <v>Canapote</v>
          </cell>
          <cell r="H3852" t="str">
            <v>consulta_externa</v>
          </cell>
          <cell r="J3852" t="str">
            <v>bueno</v>
          </cell>
          <cell r="K3852" t="str">
            <v>probsi</v>
          </cell>
        </row>
        <row r="3853">
          <cell r="B3853" t="b">
            <v>1</v>
          </cell>
          <cell r="E3853" t="str">
            <v>Arroz Barato</v>
          </cell>
          <cell r="H3853" t="str">
            <v>consulta_externa</v>
          </cell>
          <cell r="J3853" t="str">
            <v>bueno</v>
          </cell>
          <cell r="K3853" t="str">
            <v>defsi</v>
          </cell>
        </row>
        <row r="3854">
          <cell r="B3854" t="b">
            <v>1</v>
          </cell>
          <cell r="E3854" t="str">
            <v>Canapote</v>
          </cell>
          <cell r="H3854" t="str">
            <v>consulta_externa</v>
          </cell>
          <cell r="J3854" t="str">
            <v>bueno</v>
          </cell>
          <cell r="K3854" t="str">
            <v>probsi</v>
          </cell>
        </row>
        <row r="3855">
          <cell r="B3855" t="b">
            <v>1</v>
          </cell>
          <cell r="E3855" t="str">
            <v>Canapote</v>
          </cell>
          <cell r="H3855" t="str">
            <v>laboratorio</v>
          </cell>
          <cell r="J3855" t="str">
            <v>bueno</v>
          </cell>
          <cell r="K3855" t="str">
            <v>probsi</v>
          </cell>
        </row>
        <row r="3856">
          <cell r="B3856" t="b">
            <v>1</v>
          </cell>
          <cell r="E3856" t="str">
            <v>Arroz Barato</v>
          </cell>
          <cell r="H3856" t="str">
            <v>salud_oral</v>
          </cell>
          <cell r="J3856" t="str">
            <v>bueno</v>
          </cell>
          <cell r="K3856" t="str">
            <v>defsi</v>
          </cell>
        </row>
        <row r="3857">
          <cell r="B3857" t="b">
            <v>1</v>
          </cell>
          <cell r="E3857" t="str">
            <v>Canapote</v>
          </cell>
          <cell r="H3857" t="str">
            <v>consulta_externa</v>
          </cell>
          <cell r="J3857" t="str">
            <v>bueno</v>
          </cell>
          <cell r="K3857" t="str">
            <v>probsi</v>
          </cell>
        </row>
        <row r="3858">
          <cell r="B3858" t="b">
            <v>1</v>
          </cell>
          <cell r="E3858" t="str">
            <v>Arroz Barato</v>
          </cell>
          <cell r="H3858" t="str">
            <v>laboratorio</v>
          </cell>
          <cell r="J3858" t="str">
            <v>bueno</v>
          </cell>
          <cell r="K3858" t="str">
            <v>defsi</v>
          </cell>
        </row>
        <row r="3859">
          <cell r="B3859" t="b">
            <v>1</v>
          </cell>
          <cell r="E3859" t="str">
            <v>Canapote</v>
          </cell>
          <cell r="H3859" t="str">
            <v>consulta_externa</v>
          </cell>
          <cell r="J3859" t="str">
            <v>bueno</v>
          </cell>
          <cell r="K3859" t="str">
            <v>probsi</v>
          </cell>
        </row>
        <row r="3860">
          <cell r="B3860" t="b">
            <v>1</v>
          </cell>
          <cell r="E3860" t="str">
            <v>Arroz Barato</v>
          </cell>
          <cell r="H3860" t="str">
            <v>urgencia</v>
          </cell>
          <cell r="J3860" t="str">
            <v>bueno</v>
          </cell>
          <cell r="K3860" t="str">
            <v>defsi</v>
          </cell>
        </row>
        <row r="3861">
          <cell r="B3861" t="b">
            <v>0</v>
          </cell>
          <cell r="E3861" t="str">
            <v>Canapote</v>
          </cell>
          <cell r="H3861" t="str">
            <v>laboratorio</v>
          </cell>
          <cell r="J3861" t="str">
            <v>regular</v>
          </cell>
          <cell r="K3861" t="str">
            <v>probsi</v>
          </cell>
        </row>
        <row r="3862">
          <cell r="B3862" t="b">
            <v>0</v>
          </cell>
          <cell r="E3862" t="str">
            <v>Canapote</v>
          </cell>
          <cell r="H3862" t="str">
            <v>laboratorio</v>
          </cell>
          <cell r="J3862" t="str">
            <v>regular</v>
          </cell>
          <cell r="K3862" t="str">
            <v>probsi</v>
          </cell>
        </row>
        <row r="3863">
          <cell r="B3863" t="b">
            <v>1</v>
          </cell>
          <cell r="E3863" t="str">
            <v>Las Reinas</v>
          </cell>
          <cell r="H3863" t="str">
            <v>consulta_externa</v>
          </cell>
          <cell r="J3863" t="str">
            <v>bueno</v>
          </cell>
          <cell r="K3863" t="str">
            <v>probsi</v>
          </cell>
        </row>
        <row r="3864">
          <cell r="B3864" t="b">
            <v>1</v>
          </cell>
          <cell r="E3864" t="str">
            <v>Canapote</v>
          </cell>
          <cell r="H3864" t="str">
            <v>consulta_externa</v>
          </cell>
          <cell r="J3864" t="str">
            <v>bueno</v>
          </cell>
          <cell r="K3864" t="str">
            <v>probsi</v>
          </cell>
        </row>
        <row r="3865">
          <cell r="B3865" t="b">
            <v>1</v>
          </cell>
          <cell r="E3865" t="str">
            <v>Las Reinas</v>
          </cell>
          <cell r="H3865" t="str">
            <v>consulta_externa</v>
          </cell>
          <cell r="J3865" t="str">
            <v>bueno</v>
          </cell>
          <cell r="K3865" t="str">
            <v>probsi</v>
          </cell>
        </row>
        <row r="3866">
          <cell r="B3866" t="b">
            <v>1</v>
          </cell>
          <cell r="E3866" t="str">
            <v>Arroz Barato</v>
          </cell>
          <cell r="H3866" t="str">
            <v>ecografias</v>
          </cell>
          <cell r="J3866" t="str">
            <v>bueno</v>
          </cell>
          <cell r="K3866" t="str">
            <v>defsi</v>
          </cell>
        </row>
        <row r="3867">
          <cell r="B3867" t="b">
            <v>1</v>
          </cell>
          <cell r="E3867" t="str">
            <v>Las Reinas</v>
          </cell>
          <cell r="H3867" t="str">
            <v>consulta_externa</v>
          </cell>
          <cell r="J3867" t="str">
            <v>bueno</v>
          </cell>
          <cell r="K3867" t="str">
            <v>probsi</v>
          </cell>
        </row>
        <row r="3868">
          <cell r="B3868" t="b">
            <v>1</v>
          </cell>
          <cell r="E3868" t="str">
            <v>Las Reinas</v>
          </cell>
          <cell r="H3868" t="str">
            <v>consulta_externa</v>
          </cell>
          <cell r="J3868" t="str">
            <v>bueno</v>
          </cell>
          <cell r="K3868" t="str">
            <v>probsi</v>
          </cell>
        </row>
        <row r="3869">
          <cell r="B3869" t="b">
            <v>1</v>
          </cell>
          <cell r="E3869" t="str">
            <v>Los Cerros</v>
          </cell>
          <cell r="H3869" t="str">
            <v>consulta_externa</v>
          </cell>
          <cell r="J3869" t="str">
            <v>bueno</v>
          </cell>
          <cell r="K3869" t="str">
            <v>defsi</v>
          </cell>
        </row>
        <row r="3870">
          <cell r="B3870" t="b">
            <v>1</v>
          </cell>
          <cell r="E3870" t="str">
            <v>Las Reinas</v>
          </cell>
          <cell r="H3870" t="str">
            <v>consulta_externa</v>
          </cell>
          <cell r="J3870" t="str">
            <v>bueno</v>
          </cell>
          <cell r="K3870" t="str">
            <v>probsi</v>
          </cell>
        </row>
        <row r="3871">
          <cell r="B3871" t="b">
            <v>1</v>
          </cell>
          <cell r="E3871" t="str">
            <v>Canapote</v>
          </cell>
          <cell r="H3871" t="str">
            <v>laboratorio</v>
          </cell>
          <cell r="J3871" t="str">
            <v>bueno</v>
          </cell>
          <cell r="K3871" t="str">
            <v>probsi</v>
          </cell>
        </row>
        <row r="3872">
          <cell r="B3872" t="b">
            <v>1</v>
          </cell>
          <cell r="E3872" t="str">
            <v>Arroz Barato</v>
          </cell>
          <cell r="H3872" t="str">
            <v>consulta_externa</v>
          </cell>
          <cell r="J3872" t="str">
            <v>bueno</v>
          </cell>
          <cell r="K3872" t="str">
            <v>defsi</v>
          </cell>
        </row>
        <row r="3873">
          <cell r="B3873" t="b">
            <v>1</v>
          </cell>
          <cell r="E3873" t="str">
            <v>Las Reinas</v>
          </cell>
          <cell r="H3873" t="str">
            <v>consulta_externa</v>
          </cell>
          <cell r="J3873" t="str">
            <v>bueno</v>
          </cell>
          <cell r="K3873" t="str">
            <v>probsi</v>
          </cell>
        </row>
        <row r="3874">
          <cell r="B3874" t="b">
            <v>1</v>
          </cell>
          <cell r="E3874" t="str">
            <v>Las Reinas</v>
          </cell>
          <cell r="H3874" t="str">
            <v>consulta_externa</v>
          </cell>
          <cell r="J3874" t="str">
            <v>bueno</v>
          </cell>
          <cell r="K3874" t="str">
            <v>probsi</v>
          </cell>
        </row>
        <row r="3875">
          <cell r="B3875" t="b">
            <v>1</v>
          </cell>
          <cell r="E3875" t="str">
            <v>Las Reinas</v>
          </cell>
          <cell r="H3875" t="str">
            <v>consulta_externa</v>
          </cell>
          <cell r="J3875" t="str">
            <v>bueno</v>
          </cell>
          <cell r="K3875" t="str">
            <v>probsi</v>
          </cell>
        </row>
        <row r="3876">
          <cell r="B3876" t="b">
            <v>1</v>
          </cell>
          <cell r="E3876" t="str">
            <v>Las Reinas</v>
          </cell>
          <cell r="H3876" t="str">
            <v>laboratorio</v>
          </cell>
          <cell r="J3876" t="str">
            <v>bueno</v>
          </cell>
          <cell r="K3876" t="str">
            <v>probsi</v>
          </cell>
        </row>
        <row r="3877">
          <cell r="B3877" t="b">
            <v>1</v>
          </cell>
          <cell r="E3877" t="str">
            <v>Las Reinas</v>
          </cell>
          <cell r="H3877" t="str">
            <v>laboratorio</v>
          </cell>
          <cell r="J3877" t="str">
            <v>bueno</v>
          </cell>
          <cell r="K3877" t="str">
            <v>probsi</v>
          </cell>
        </row>
        <row r="3878">
          <cell r="B3878" t="b">
            <v>1</v>
          </cell>
          <cell r="E3878" t="str">
            <v>Arroz Barato</v>
          </cell>
          <cell r="H3878" t="str">
            <v>salud_oral</v>
          </cell>
          <cell r="J3878" t="str">
            <v>bueno</v>
          </cell>
          <cell r="K3878" t="str">
            <v>defsi</v>
          </cell>
        </row>
        <row r="3879">
          <cell r="B3879" t="b">
            <v>1</v>
          </cell>
          <cell r="E3879" t="str">
            <v>Las Reinas</v>
          </cell>
          <cell r="H3879" t="str">
            <v>laboratorio</v>
          </cell>
          <cell r="J3879" t="str">
            <v>bueno</v>
          </cell>
          <cell r="K3879" t="str">
            <v>probsi</v>
          </cell>
        </row>
        <row r="3880">
          <cell r="B3880" t="b">
            <v>1</v>
          </cell>
          <cell r="E3880" t="str">
            <v>Las Reinas</v>
          </cell>
          <cell r="H3880" t="str">
            <v>laboratorio</v>
          </cell>
          <cell r="J3880" t="str">
            <v>bueno</v>
          </cell>
          <cell r="K3880" t="str">
            <v>probsi</v>
          </cell>
        </row>
        <row r="3881">
          <cell r="B3881" t="b">
            <v>1</v>
          </cell>
          <cell r="E3881" t="str">
            <v>Las Reinas</v>
          </cell>
          <cell r="H3881" t="str">
            <v>salud_oral</v>
          </cell>
          <cell r="J3881" t="str">
            <v>bueno</v>
          </cell>
          <cell r="K3881" t="str">
            <v>probsi</v>
          </cell>
        </row>
        <row r="3882">
          <cell r="B3882" t="b">
            <v>1</v>
          </cell>
          <cell r="E3882" t="str">
            <v>Las Reinas</v>
          </cell>
          <cell r="H3882" t="str">
            <v>salud_oral</v>
          </cell>
          <cell r="J3882" t="str">
            <v>bueno</v>
          </cell>
          <cell r="K3882" t="str">
            <v>probsi</v>
          </cell>
        </row>
        <row r="3883">
          <cell r="B3883" t="b">
            <v>1</v>
          </cell>
          <cell r="E3883" t="str">
            <v>Arroz Barato</v>
          </cell>
          <cell r="H3883" t="str">
            <v>laboratorio</v>
          </cell>
          <cell r="J3883" t="str">
            <v>bueno</v>
          </cell>
          <cell r="K3883" t="str">
            <v>defsi</v>
          </cell>
        </row>
        <row r="3884">
          <cell r="B3884" t="b">
            <v>1</v>
          </cell>
          <cell r="E3884" t="str">
            <v>Las Reinas</v>
          </cell>
          <cell r="H3884" t="str">
            <v>salud_oral</v>
          </cell>
          <cell r="J3884" t="str">
            <v>bueno</v>
          </cell>
          <cell r="K3884" t="str">
            <v>probsi</v>
          </cell>
        </row>
        <row r="3885">
          <cell r="B3885" t="b">
            <v>1</v>
          </cell>
          <cell r="E3885" t="str">
            <v>Las Reinas</v>
          </cell>
          <cell r="H3885" t="str">
            <v>salud_oral</v>
          </cell>
          <cell r="J3885" t="str">
            <v>bueno</v>
          </cell>
          <cell r="K3885" t="str">
            <v>probsi</v>
          </cell>
        </row>
        <row r="3886">
          <cell r="B3886" t="b">
            <v>1</v>
          </cell>
          <cell r="E3886" t="str">
            <v>Las Reinas</v>
          </cell>
          <cell r="H3886" t="str">
            <v>salud_oral</v>
          </cell>
          <cell r="J3886" t="str">
            <v>bueno</v>
          </cell>
          <cell r="K3886" t="str">
            <v>probsi</v>
          </cell>
        </row>
        <row r="3887">
          <cell r="B3887" t="b">
            <v>1</v>
          </cell>
          <cell r="E3887" t="str">
            <v>Las Reinas</v>
          </cell>
          <cell r="H3887" t="str">
            <v>laboratorio</v>
          </cell>
          <cell r="J3887" t="str">
            <v>bueno</v>
          </cell>
          <cell r="K3887" t="str">
            <v>probsi</v>
          </cell>
        </row>
        <row r="3888">
          <cell r="B3888" t="b">
            <v>1</v>
          </cell>
          <cell r="E3888" t="str">
            <v>Arroz Barato</v>
          </cell>
          <cell r="H3888" t="str">
            <v>urgencia</v>
          </cell>
          <cell r="J3888" t="str">
            <v>bueno</v>
          </cell>
          <cell r="K3888" t="str">
            <v>defsi</v>
          </cell>
        </row>
        <row r="3889">
          <cell r="B3889" t="b">
            <v>1</v>
          </cell>
          <cell r="E3889" t="str">
            <v>Arroz Barato</v>
          </cell>
          <cell r="H3889" t="str">
            <v>ecografias</v>
          </cell>
          <cell r="J3889" t="str">
            <v>bueno</v>
          </cell>
          <cell r="K3889" t="str">
            <v>defsi</v>
          </cell>
        </row>
        <row r="3890">
          <cell r="B3890" t="b">
            <v>1</v>
          </cell>
          <cell r="E3890" t="str">
            <v>Los Cerros</v>
          </cell>
          <cell r="H3890" t="str">
            <v>consulta_externa</v>
          </cell>
          <cell r="J3890" t="str">
            <v>bueno</v>
          </cell>
          <cell r="K3890" t="str">
            <v>defsi</v>
          </cell>
        </row>
        <row r="3891">
          <cell r="B3891" t="b">
            <v>1</v>
          </cell>
          <cell r="E3891" t="str">
            <v>Los Cerros</v>
          </cell>
          <cell r="H3891" t="str">
            <v>electros</v>
          </cell>
          <cell r="J3891" t="str">
            <v>bueno</v>
          </cell>
          <cell r="K3891" t="str">
            <v>defsi</v>
          </cell>
        </row>
        <row r="3892">
          <cell r="B3892" t="b">
            <v>1</v>
          </cell>
          <cell r="E3892" t="str">
            <v>Los Cerros</v>
          </cell>
          <cell r="H3892" t="str">
            <v>pediatria</v>
          </cell>
          <cell r="J3892" t="str">
            <v>bueno</v>
          </cell>
          <cell r="K3892" t="str">
            <v>defsi</v>
          </cell>
        </row>
        <row r="3893">
          <cell r="B3893" t="b">
            <v>1</v>
          </cell>
          <cell r="E3893" t="str">
            <v>Canapote</v>
          </cell>
          <cell r="H3893" t="str">
            <v>consulta_externa</v>
          </cell>
          <cell r="J3893" t="str">
            <v>bueno</v>
          </cell>
          <cell r="K3893" t="str">
            <v>probsi</v>
          </cell>
        </row>
        <row r="3894">
          <cell r="B3894" t="b">
            <v>1</v>
          </cell>
          <cell r="E3894" t="str">
            <v>Arroz Barato</v>
          </cell>
          <cell r="H3894" t="str">
            <v>consulta_externa</v>
          </cell>
          <cell r="J3894" t="str">
            <v>bueno</v>
          </cell>
          <cell r="K3894" t="str">
            <v>defsi</v>
          </cell>
        </row>
        <row r="3895">
          <cell r="B3895" t="b">
            <v>1</v>
          </cell>
          <cell r="E3895" t="str">
            <v>Arroz Barato</v>
          </cell>
          <cell r="H3895" t="str">
            <v>salud_oral</v>
          </cell>
          <cell r="J3895" t="str">
            <v>bueno</v>
          </cell>
          <cell r="K3895" t="str">
            <v>defsi</v>
          </cell>
        </row>
        <row r="3896">
          <cell r="B3896" t="b">
            <v>1</v>
          </cell>
          <cell r="E3896" t="str">
            <v>Arroz Barato</v>
          </cell>
          <cell r="H3896" t="str">
            <v>laboratorio</v>
          </cell>
          <cell r="J3896" t="str">
            <v>bueno</v>
          </cell>
          <cell r="K3896" t="str">
            <v>defsi</v>
          </cell>
        </row>
        <row r="3897">
          <cell r="B3897" t="b">
            <v>1</v>
          </cell>
          <cell r="E3897" t="str">
            <v>Arroz Barato</v>
          </cell>
          <cell r="H3897" t="str">
            <v>urgencia</v>
          </cell>
          <cell r="J3897" t="str">
            <v>bueno</v>
          </cell>
          <cell r="K3897" t="str">
            <v>defsi</v>
          </cell>
        </row>
        <row r="3898">
          <cell r="B3898" t="b">
            <v>1</v>
          </cell>
          <cell r="E3898" t="str">
            <v>Arroz Barato</v>
          </cell>
          <cell r="H3898" t="str">
            <v>consulta_externa</v>
          </cell>
          <cell r="J3898" t="str">
            <v>bueno</v>
          </cell>
          <cell r="K3898" t="str">
            <v>defsi</v>
          </cell>
        </row>
        <row r="3899">
          <cell r="B3899" t="b">
            <v>1</v>
          </cell>
          <cell r="E3899" t="str">
            <v>Arroz Barato</v>
          </cell>
          <cell r="H3899" t="str">
            <v>salud_oral</v>
          </cell>
          <cell r="J3899" t="str">
            <v>bueno</v>
          </cell>
          <cell r="K3899" t="str">
            <v>defsi</v>
          </cell>
        </row>
        <row r="3900">
          <cell r="B3900" t="b">
            <v>1</v>
          </cell>
          <cell r="E3900" t="str">
            <v>Arroz Barato</v>
          </cell>
          <cell r="H3900" t="str">
            <v>laboratorio</v>
          </cell>
          <cell r="J3900" t="str">
            <v>bueno</v>
          </cell>
          <cell r="K3900" t="str">
            <v>defsi</v>
          </cell>
        </row>
        <row r="3901">
          <cell r="B3901" t="b">
            <v>1</v>
          </cell>
          <cell r="E3901" t="str">
            <v>Arroz Barato</v>
          </cell>
          <cell r="H3901" t="str">
            <v>urgencia</v>
          </cell>
          <cell r="J3901" t="str">
            <v>bueno</v>
          </cell>
          <cell r="K3901" t="str">
            <v>defsi</v>
          </cell>
        </row>
        <row r="3902">
          <cell r="B3902" t="b">
            <v>1</v>
          </cell>
          <cell r="E3902" t="str">
            <v>Arroz Barato</v>
          </cell>
          <cell r="H3902" t="str">
            <v>consulta_externa</v>
          </cell>
          <cell r="J3902" t="str">
            <v>bueno</v>
          </cell>
          <cell r="K3902" t="str">
            <v>defsi</v>
          </cell>
        </row>
        <row r="3903">
          <cell r="B3903" t="b">
            <v>1</v>
          </cell>
          <cell r="E3903" t="str">
            <v>Arroz Barato</v>
          </cell>
          <cell r="H3903" t="str">
            <v>consulta_externa</v>
          </cell>
          <cell r="J3903" t="str">
            <v>bueno</v>
          </cell>
          <cell r="K3903" t="str">
            <v>defsi</v>
          </cell>
        </row>
        <row r="3904">
          <cell r="B3904" t="b">
            <v>1</v>
          </cell>
          <cell r="E3904" t="str">
            <v>Arroz Barato</v>
          </cell>
          <cell r="H3904" t="str">
            <v>salud_oral</v>
          </cell>
          <cell r="J3904" t="str">
            <v>bueno</v>
          </cell>
          <cell r="K3904" t="str">
            <v>defsi</v>
          </cell>
        </row>
        <row r="3905">
          <cell r="B3905" t="b">
            <v>1</v>
          </cell>
          <cell r="E3905" t="str">
            <v>Arroz Barato</v>
          </cell>
          <cell r="H3905" t="str">
            <v>laboratorio</v>
          </cell>
          <cell r="J3905" t="str">
            <v>bueno</v>
          </cell>
          <cell r="K3905" t="str">
            <v>defsi</v>
          </cell>
        </row>
        <row r="3906">
          <cell r="B3906" t="b">
            <v>1</v>
          </cell>
          <cell r="E3906" t="str">
            <v>Arroz Barato</v>
          </cell>
          <cell r="H3906" t="str">
            <v>urgencia</v>
          </cell>
          <cell r="J3906" t="str">
            <v>bueno</v>
          </cell>
          <cell r="K3906" t="str">
            <v>defsi</v>
          </cell>
        </row>
        <row r="3907">
          <cell r="B3907" t="b">
            <v>1</v>
          </cell>
          <cell r="E3907" t="str">
            <v>Arroz Barato</v>
          </cell>
          <cell r="H3907" t="str">
            <v>consulta_externa</v>
          </cell>
          <cell r="J3907" t="str">
            <v>bueno</v>
          </cell>
          <cell r="K3907" t="str">
            <v>defsi</v>
          </cell>
        </row>
        <row r="3908">
          <cell r="B3908" t="b">
            <v>1</v>
          </cell>
          <cell r="E3908" t="str">
            <v>Arroz Barato</v>
          </cell>
          <cell r="H3908" t="str">
            <v>salud_oral</v>
          </cell>
          <cell r="J3908" t="str">
            <v>bueno</v>
          </cell>
          <cell r="K3908" t="str">
            <v>defsi</v>
          </cell>
        </row>
        <row r="3909">
          <cell r="B3909" t="b">
            <v>1</v>
          </cell>
          <cell r="E3909" t="str">
            <v>Arroz Barato</v>
          </cell>
          <cell r="H3909" t="str">
            <v>laboratorio</v>
          </cell>
          <cell r="J3909" t="str">
            <v>bueno</v>
          </cell>
          <cell r="K3909" t="str">
            <v>defsi</v>
          </cell>
        </row>
        <row r="3910">
          <cell r="B3910" t="b">
            <v>1</v>
          </cell>
          <cell r="E3910" t="str">
            <v>Arroz Barato</v>
          </cell>
          <cell r="H3910" t="str">
            <v>urgencia</v>
          </cell>
          <cell r="J3910" t="str">
            <v>bueno</v>
          </cell>
          <cell r="K3910" t="str">
            <v>defsi</v>
          </cell>
        </row>
        <row r="3911">
          <cell r="B3911" t="b">
            <v>1</v>
          </cell>
          <cell r="E3911" t="str">
            <v>Arroz Barato</v>
          </cell>
          <cell r="H3911" t="str">
            <v>consulta_externa</v>
          </cell>
          <cell r="J3911" t="str">
            <v>bueno</v>
          </cell>
          <cell r="K3911" t="str">
            <v>defsi</v>
          </cell>
        </row>
        <row r="3912">
          <cell r="B3912" t="b">
            <v>1</v>
          </cell>
          <cell r="E3912" t="str">
            <v>Arroz Barato</v>
          </cell>
          <cell r="H3912" t="str">
            <v>salud_oral</v>
          </cell>
          <cell r="J3912" t="str">
            <v>bueno</v>
          </cell>
          <cell r="K3912" t="str">
            <v>defsi</v>
          </cell>
        </row>
        <row r="3913">
          <cell r="B3913" t="b">
            <v>1</v>
          </cell>
          <cell r="E3913" t="str">
            <v>Arroz Barato</v>
          </cell>
          <cell r="H3913" t="str">
            <v>laboratorio</v>
          </cell>
          <cell r="J3913" t="str">
            <v>bueno</v>
          </cell>
          <cell r="K3913" t="str">
            <v>defsi</v>
          </cell>
        </row>
        <row r="3914">
          <cell r="B3914" t="b">
            <v>1</v>
          </cell>
          <cell r="E3914" t="str">
            <v>Arroz Barato</v>
          </cell>
          <cell r="H3914" t="str">
            <v>urgencia</v>
          </cell>
          <cell r="J3914" t="str">
            <v>bueno</v>
          </cell>
          <cell r="K3914" t="str">
            <v>defsi</v>
          </cell>
        </row>
        <row r="3915">
          <cell r="B3915" t="b">
            <v>1</v>
          </cell>
          <cell r="E3915" t="str">
            <v>Los Cerros</v>
          </cell>
          <cell r="H3915" t="str">
            <v>electros</v>
          </cell>
          <cell r="J3915" t="str">
            <v>bueno</v>
          </cell>
          <cell r="K3915" t="str">
            <v>probsi</v>
          </cell>
        </row>
        <row r="3916">
          <cell r="B3916" t="b">
            <v>1</v>
          </cell>
          <cell r="E3916" t="str">
            <v>Pasacaballos</v>
          </cell>
          <cell r="H3916" t="str">
            <v>consulta_externa</v>
          </cell>
          <cell r="J3916" t="str">
            <v>bueno</v>
          </cell>
          <cell r="K3916" t="str">
            <v>defsi</v>
          </cell>
        </row>
        <row r="3917">
          <cell r="B3917" t="b">
            <v>1</v>
          </cell>
          <cell r="E3917" t="str">
            <v>Pasacaballos</v>
          </cell>
          <cell r="H3917" t="str">
            <v>salud_oral</v>
          </cell>
          <cell r="J3917" t="str">
            <v>bueno</v>
          </cell>
          <cell r="K3917" t="str">
            <v>defsi</v>
          </cell>
        </row>
        <row r="3918">
          <cell r="B3918" t="b">
            <v>1</v>
          </cell>
          <cell r="E3918" t="str">
            <v>Pasacaballos</v>
          </cell>
          <cell r="H3918" t="str">
            <v>laboratorio</v>
          </cell>
          <cell r="J3918" t="str">
            <v>bueno</v>
          </cell>
          <cell r="K3918" t="str">
            <v>defsi</v>
          </cell>
        </row>
        <row r="3919">
          <cell r="B3919" t="b">
            <v>1</v>
          </cell>
          <cell r="E3919" t="str">
            <v>Pasacaballos</v>
          </cell>
          <cell r="H3919" t="str">
            <v>urgencia</v>
          </cell>
          <cell r="J3919" t="str">
            <v>bueno</v>
          </cell>
          <cell r="K3919" t="str">
            <v>defsi</v>
          </cell>
        </row>
        <row r="3920">
          <cell r="B3920" t="b">
            <v>1</v>
          </cell>
          <cell r="E3920" t="str">
            <v>Pasacaballos</v>
          </cell>
          <cell r="H3920" t="str">
            <v>consulta_externa</v>
          </cell>
          <cell r="J3920" t="str">
            <v>bueno</v>
          </cell>
          <cell r="K3920" t="str">
            <v>defsi</v>
          </cell>
        </row>
        <row r="3921">
          <cell r="B3921" t="b">
            <v>1</v>
          </cell>
          <cell r="E3921" t="str">
            <v>Pasacaballos</v>
          </cell>
          <cell r="H3921" t="str">
            <v>salud_oral</v>
          </cell>
          <cell r="J3921" t="str">
            <v>bueno</v>
          </cell>
          <cell r="K3921" t="str">
            <v>defsi</v>
          </cell>
        </row>
        <row r="3922">
          <cell r="B3922" t="b">
            <v>1</v>
          </cell>
          <cell r="E3922" t="str">
            <v>Pasacaballos</v>
          </cell>
          <cell r="H3922" t="str">
            <v>laboratorio</v>
          </cell>
          <cell r="J3922" t="str">
            <v>bueno</v>
          </cell>
          <cell r="K3922" t="str">
            <v>defsi</v>
          </cell>
        </row>
        <row r="3923">
          <cell r="B3923" t="b">
            <v>1</v>
          </cell>
          <cell r="E3923" t="str">
            <v>Pasacaballos</v>
          </cell>
          <cell r="H3923" t="str">
            <v>urgencia</v>
          </cell>
          <cell r="J3923" t="str">
            <v>bueno</v>
          </cell>
          <cell r="K3923" t="str">
            <v>defsi</v>
          </cell>
        </row>
        <row r="3924">
          <cell r="B3924" t="b">
            <v>1</v>
          </cell>
          <cell r="E3924" t="str">
            <v>Pasacaballos</v>
          </cell>
          <cell r="H3924" t="str">
            <v>consulta_externa</v>
          </cell>
          <cell r="J3924" t="str">
            <v>bueno</v>
          </cell>
          <cell r="K3924" t="str">
            <v>defsi</v>
          </cell>
        </row>
        <row r="3925">
          <cell r="B3925" t="b">
            <v>1</v>
          </cell>
          <cell r="E3925" t="str">
            <v>Pasacaballos</v>
          </cell>
          <cell r="H3925" t="str">
            <v>salud_oral</v>
          </cell>
          <cell r="J3925" t="str">
            <v>bueno</v>
          </cell>
          <cell r="K3925" t="str">
            <v>defsi</v>
          </cell>
        </row>
        <row r="3926">
          <cell r="B3926" t="b">
            <v>1</v>
          </cell>
          <cell r="E3926" t="str">
            <v>Pasacaballos</v>
          </cell>
          <cell r="H3926" t="str">
            <v>laboratorio</v>
          </cell>
          <cell r="J3926" t="str">
            <v>bueno</v>
          </cell>
          <cell r="K3926" t="str">
            <v>defsi</v>
          </cell>
        </row>
        <row r="3927">
          <cell r="B3927" t="b">
            <v>1</v>
          </cell>
          <cell r="E3927" t="str">
            <v>Pasacaballos</v>
          </cell>
          <cell r="H3927" t="str">
            <v>urgencia</v>
          </cell>
          <cell r="J3927" t="str">
            <v>bueno</v>
          </cell>
          <cell r="K3927" t="str">
            <v>defsi</v>
          </cell>
        </row>
        <row r="3928">
          <cell r="B3928" t="b">
            <v>1</v>
          </cell>
          <cell r="E3928" t="str">
            <v>Pasacaballos</v>
          </cell>
          <cell r="H3928" t="str">
            <v>consulta_externa</v>
          </cell>
          <cell r="J3928" t="str">
            <v>bueno</v>
          </cell>
          <cell r="K3928" t="str">
            <v>defsi</v>
          </cell>
        </row>
        <row r="3929">
          <cell r="B3929" t="b">
            <v>1</v>
          </cell>
          <cell r="E3929" t="str">
            <v>Pasacaballos</v>
          </cell>
          <cell r="H3929" t="str">
            <v>salud_oral</v>
          </cell>
          <cell r="J3929" t="str">
            <v>bueno</v>
          </cell>
          <cell r="K3929" t="str">
            <v>defsi</v>
          </cell>
        </row>
        <row r="3930">
          <cell r="B3930" t="b">
            <v>1</v>
          </cell>
          <cell r="E3930" t="str">
            <v>Pasacaballos</v>
          </cell>
          <cell r="H3930" t="str">
            <v>laboratorio</v>
          </cell>
          <cell r="J3930" t="str">
            <v>bueno</v>
          </cell>
          <cell r="K3930" t="str">
            <v>defsi</v>
          </cell>
        </row>
        <row r="3931">
          <cell r="B3931" t="b">
            <v>1</v>
          </cell>
          <cell r="E3931" t="str">
            <v>Pasacaballos</v>
          </cell>
          <cell r="H3931" t="str">
            <v>urgencia</v>
          </cell>
          <cell r="J3931" t="str">
            <v>bueno</v>
          </cell>
          <cell r="K3931" t="str">
            <v>defsi</v>
          </cell>
        </row>
        <row r="3932">
          <cell r="B3932" t="b">
            <v>1</v>
          </cell>
          <cell r="E3932" t="str">
            <v>Pasacaballos</v>
          </cell>
          <cell r="H3932" t="str">
            <v>consulta_externa</v>
          </cell>
          <cell r="J3932" t="str">
            <v>bueno</v>
          </cell>
          <cell r="K3932" t="str">
            <v>defsi</v>
          </cell>
        </row>
        <row r="3933">
          <cell r="B3933" t="b">
            <v>1</v>
          </cell>
          <cell r="E3933" t="str">
            <v>Pasacaballos</v>
          </cell>
          <cell r="H3933" t="str">
            <v>salud_oral</v>
          </cell>
          <cell r="J3933" t="str">
            <v>bueno</v>
          </cell>
          <cell r="K3933" t="str">
            <v>defsi</v>
          </cell>
        </row>
        <row r="3934">
          <cell r="B3934" t="b">
            <v>0</v>
          </cell>
          <cell r="E3934" t="str">
            <v>Los Cerros</v>
          </cell>
          <cell r="H3934" t="str">
            <v>consulta_externa</v>
          </cell>
          <cell r="J3934" t="str">
            <v>regular</v>
          </cell>
          <cell r="K3934" t="str">
            <v>defsi</v>
          </cell>
        </row>
        <row r="3935">
          <cell r="B3935" t="b">
            <v>1</v>
          </cell>
          <cell r="E3935" t="str">
            <v>Pasacaballos</v>
          </cell>
          <cell r="H3935" t="str">
            <v>laboratorio</v>
          </cell>
          <cell r="J3935" t="str">
            <v>bueno</v>
          </cell>
          <cell r="K3935" t="str">
            <v>defsi</v>
          </cell>
        </row>
        <row r="3936">
          <cell r="B3936" t="b">
            <v>1</v>
          </cell>
          <cell r="E3936" t="str">
            <v>Los Cerros</v>
          </cell>
          <cell r="H3936" t="str">
            <v>laboratorio</v>
          </cell>
          <cell r="J3936" t="str">
            <v>bueno</v>
          </cell>
          <cell r="K3936" t="str">
            <v>defsi</v>
          </cell>
        </row>
        <row r="3937">
          <cell r="B3937" t="b">
            <v>1</v>
          </cell>
          <cell r="E3937" t="str">
            <v>Pasacaballos</v>
          </cell>
          <cell r="H3937" t="str">
            <v>urgencia</v>
          </cell>
          <cell r="J3937" t="str">
            <v>bueno</v>
          </cell>
          <cell r="K3937" t="str">
            <v>defsi</v>
          </cell>
        </row>
        <row r="3938">
          <cell r="B3938" t="b">
            <v>1</v>
          </cell>
          <cell r="E3938" t="str">
            <v>Los Cerros</v>
          </cell>
          <cell r="H3938" t="str">
            <v>laboratorio</v>
          </cell>
          <cell r="J3938" t="str">
            <v>bueno</v>
          </cell>
          <cell r="K3938" t="str">
            <v>defsi</v>
          </cell>
        </row>
        <row r="3939">
          <cell r="B3939" t="b">
            <v>1</v>
          </cell>
          <cell r="E3939" t="str">
            <v>Los Cerros</v>
          </cell>
          <cell r="H3939" t="str">
            <v>laboratorio</v>
          </cell>
          <cell r="J3939" t="str">
            <v>bueno</v>
          </cell>
          <cell r="K3939" t="str">
            <v>defsi</v>
          </cell>
        </row>
        <row r="3940">
          <cell r="B3940" t="b">
            <v>1</v>
          </cell>
          <cell r="E3940" t="str">
            <v>Pasacaballos</v>
          </cell>
          <cell r="H3940" t="str">
            <v>consulta_externa</v>
          </cell>
          <cell r="J3940" t="str">
            <v>bueno</v>
          </cell>
          <cell r="K3940" t="str">
            <v>defsi</v>
          </cell>
        </row>
        <row r="3941">
          <cell r="B3941" t="b">
            <v>1</v>
          </cell>
          <cell r="E3941" t="str">
            <v>Los Cerros</v>
          </cell>
          <cell r="H3941" t="str">
            <v>medicina_interna</v>
          </cell>
          <cell r="J3941" t="str">
            <v>bueno</v>
          </cell>
          <cell r="K3941" t="str">
            <v>defsi</v>
          </cell>
        </row>
        <row r="3942">
          <cell r="B3942" t="b">
            <v>1</v>
          </cell>
          <cell r="E3942" t="str">
            <v>Pasacaballos</v>
          </cell>
          <cell r="H3942" t="str">
            <v>salud_oral</v>
          </cell>
          <cell r="J3942" t="str">
            <v>bueno</v>
          </cell>
          <cell r="K3942" t="str">
            <v>defsi</v>
          </cell>
        </row>
        <row r="3943">
          <cell r="B3943" t="b">
            <v>1</v>
          </cell>
          <cell r="E3943" t="str">
            <v>Los Cerros</v>
          </cell>
          <cell r="H3943" t="str">
            <v>medicina_interna</v>
          </cell>
          <cell r="J3943" t="str">
            <v>muybueno</v>
          </cell>
          <cell r="K3943" t="str">
            <v>defsi</v>
          </cell>
        </row>
        <row r="3944">
          <cell r="B3944" t="b">
            <v>1</v>
          </cell>
          <cell r="E3944" t="str">
            <v>Pasacaballos</v>
          </cell>
          <cell r="H3944" t="str">
            <v>laboratorio</v>
          </cell>
          <cell r="J3944" t="str">
            <v>bueno</v>
          </cell>
          <cell r="K3944" t="str">
            <v>defsi</v>
          </cell>
        </row>
        <row r="3945">
          <cell r="B3945" t="b">
            <v>1</v>
          </cell>
          <cell r="E3945" t="str">
            <v>Los Cerros</v>
          </cell>
          <cell r="H3945" t="str">
            <v>pediatria</v>
          </cell>
          <cell r="J3945" t="str">
            <v>bueno</v>
          </cell>
          <cell r="K3945" t="str">
            <v>defsi</v>
          </cell>
        </row>
        <row r="3946">
          <cell r="B3946" t="b">
            <v>1</v>
          </cell>
          <cell r="E3946" t="str">
            <v>Pasacaballos</v>
          </cell>
          <cell r="H3946" t="str">
            <v>urgencia</v>
          </cell>
          <cell r="J3946" t="str">
            <v>bueno</v>
          </cell>
          <cell r="K3946" t="str">
            <v>defsi</v>
          </cell>
        </row>
        <row r="3947">
          <cell r="B3947" t="b">
            <v>1</v>
          </cell>
          <cell r="E3947" t="str">
            <v>Los Cerros</v>
          </cell>
          <cell r="H3947" t="str">
            <v>consulta_externa</v>
          </cell>
          <cell r="J3947" t="str">
            <v>bueno</v>
          </cell>
          <cell r="K3947" t="str">
            <v>defsi</v>
          </cell>
        </row>
        <row r="3948">
          <cell r="B3948" t="b">
            <v>1</v>
          </cell>
          <cell r="E3948" t="str">
            <v>Los Cerros</v>
          </cell>
          <cell r="H3948" t="str">
            <v>consulta_externa</v>
          </cell>
          <cell r="J3948" t="str">
            <v>bueno</v>
          </cell>
          <cell r="K3948" t="str">
            <v>defsi</v>
          </cell>
        </row>
        <row r="3949">
          <cell r="B3949" t="b">
            <v>1</v>
          </cell>
          <cell r="E3949" t="str">
            <v>Los Cerros</v>
          </cell>
          <cell r="H3949" t="str">
            <v>salud_oral</v>
          </cell>
          <cell r="J3949" t="str">
            <v>bueno</v>
          </cell>
          <cell r="K3949" t="str">
            <v>defsi</v>
          </cell>
        </row>
        <row r="3950">
          <cell r="B3950" t="b">
            <v>1</v>
          </cell>
          <cell r="E3950" t="str">
            <v>Los Cerros</v>
          </cell>
          <cell r="H3950" t="str">
            <v>salud_oral</v>
          </cell>
          <cell r="J3950" t="str">
            <v>bueno</v>
          </cell>
          <cell r="K3950" t="str">
            <v>defsi</v>
          </cell>
        </row>
        <row r="3951">
          <cell r="B3951" t="b">
            <v>1</v>
          </cell>
          <cell r="E3951" t="str">
            <v>Los Cerros</v>
          </cell>
          <cell r="H3951" t="str">
            <v>salud_oral</v>
          </cell>
          <cell r="J3951" t="str">
            <v>bueno</v>
          </cell>
          <cell r="K3951" t="str">
            <v>defsi</v>
          </cell>
        </row>
        <row r="3952">
          <cell r="B3952" t="b">
            <v>1</v>
          </cell>
          <cell r="E3952" t="str">
            <v>Los Cerros</v>
          </cell>
          <cell r="H3952" t="str">
            <v>electros</v>
          </cell>
          <cell r="J3952" t="str">
            <v>bueno</v>
          </cell>
          <cell r="K3952" t="str">
            <v>defsi</v>
          </cell>
        </row>
        <row r="3953">
          <cell r="B3953" t="b">
            <v>1</v>
          </cell>
          <cell r="E3953" t="str">
            <v>Los Cerros</v>
          </cell>
          <cell r="H3953" t="str">
            <v>electros</v>
          </cell>
          <cell r="J3953" t="str">
            <v>bueno</v>
          </cell>
          <cell r="K3953" t="str">
            <v>defsi</v>
          </cell>
        </row>
        <row r="3954">
          <cell r="B3954" t="b">
            <v>1</v>
          </cell>
          <cell r="E3954" t="str">
            <v>Los Cerros</v>
          </cell>
          <cell r="H3954" t="str">
            <v>electros</v>
          </cell>
          <cell r="J3954" t="str">
            <v>bueno</v>
          </cell>
          <cell r="K3954" t="str">
            <v>defsi</v>
          </cell>
        </row>
        <row r="3955">
          <cell r="B3955" t="b">
            <v>1</v>
          </cell>
          <cell r="E3955" t="str">
            <v>Los Cerros</v>
          </cell>
          <cell r="H3955" t="str">
            <v>electros</v>
          </cell>
          <cell r="J3955" t="str">
            <v>bueno</v>
          </cell>
          <cell r="K3955" t="str">
            <v>defsi</v>
          </cell>
        </row>
        <row r="3956">
          <cell r="B3956" t="b">
            <v>1</v>
          </cell>
          <cell r="E3956" t="str">
            <v>Los Cerros</v>
          </cell>
          <cell r="H3956" t="str">
            <v>electros</v>
          </cell>
          <cell r="J3956" t="str">
            <v>bueno</v>
          </cell>
          <cell r="K3956" t="str">
            <v>defsi</v>
          </cell>
        </row>
        <row r="3957">
          <cell r="B3957" t="b">
            <v>1</v>
          </cell>
          <cell r="E3957" t="str">
            <v>Pasacaballos</v>
          </cell>
          <cell r="H3957" t="str">
            <v>consulta_externa</v>
          </cell>
          <cell r="J3957" t="str">
            <v>bueno</v>
          </cell>
          <cell r="K3957" t="str">
            <v>defsi</v>
          </cell>
        </row>
        <row r="3958">
          <cell r="B3958" t="b">
            <v>1</v>
          </cell>
          <cell r="E3958" t="str">
            <v>Pasacaballos</v>
          </cell>
          <cell r="H3958" t="str">
            <v>salud_oral</v>
          </cell>
          <cell r="J3958" t="str">
            <v>bueno</v>
          </cell>
          <cell r="K3958" t="str">
            <v>defsi</v>
          </cell>
        </row>
        <row r="3959">
          <cell r="B3959" t="b">
            <v>1</v>
          </cell>
          <cell r="E3959" t="str">
            <v>Pasacaballos</v>
          </cell>
          <cell r="H3959" t="str">
            <v>laboratorio</v>
          </cell>
          <cell r="J3959" t="str">
            <v>bueno</v>
          </cell>
          <cell r="K3959" t="str">
            <v>defsi</v>
          </cell>
        </row>
        <row r="3960">
          <cell r="B3960" t="b">
            <v>1</v>
          </cell>
          <cell r="E3960" t="str">
            <v>Pasacaballos</v>
          </cell>
          <cell r="H3960" t="str">
            <v>urgencia</v>
          </cell>
          <cell r="J3960" t="str">
            <v>bueno</v>
          </cell>
          <cell r="K3960" t="str">
            <v>defsi</v>
          </cell>
        </row>
        <row r="3961">
          <cell r="B3961" t="b">
            <v>1</v>
          </cell>
          <cell r="E3961" t="str">
            <v>Pasacaballos</v>
          </cell>
          <cell r="H3961" t="str">
            <v>consulta_externa</v>
          </cell>
          <cell r="J3961" t="str">
            <v>bueno</v>
          </cell>
          <cell r="K3961" t="str">
            <v>defsi</v>
          </cell>
        </row>
        <row r="3962">
          <cell r="B3962" t="b">
            <v>1</v>
          </cell>
          <cell r="E3962" t="str">
            <v>Pasacaballos</v>
          </cell>
          <cell r="H3962" t="str">
            <v>salud_oral</v>
          </cell>
          <cell r="J3962" t="str">
            <v>bueno</v>
          </cell>
          <cell r="K3962" t="str">
            <v>defsi</v>
          </cell>
        </row>
        <row r="3963">
          <cell r="B3963" t="b">
            <v>1</v>
          </cell>
          <cell r="E3963" t="str">
            <v>Pasacaballos</v>
          </cell>
          <cell r="H3963" t="str">
            <v>laboratorio</v>
          </cell>
          <cell r="J3963" t="str">
            <v>bueno</v>
          </cell>
          <cell r="K3963" t="str">
            <v>defsi</v>
          </cell>
        </row>
        <row r="3964">
          <cell r="B3964" t="b">
            <v>1</v>
          </cell>
          <cell r="E3964" t="str">
            <v>Pasacaballos</v>
          </cell>
          <cell r="H3964" t="str">
            <v>urgencia</v>
          </cell>
          <cell r="J3964" t="str">
            <v>bueno</v>
          </cell>
          <cell r="K3964" t="str">
            <v>defsi</v>
          </cell>
        </row>
        <row r="3965">
          <cell r="B3965" t="b">
            <v>1</v>
          </cell>
          <cell r="E3965" t="str">
            <v>Los Cerros</v>
          </cell>
          <cell r="H3965" t="str">
            <v>salud_oral</v>
          </cell>
          <cell r="J3965" t="str">
            <v>bueno</v>
          </cell>
          <cell r="K3965" t="str">
            <v>defsi</v>
          </cell>
        </row>
        <row r="3966">
          <cell r="B3966" t="b">
            <v>1</v>
          </cell>
          <cell r="E3966" t="str">
            <v>Los Cerros</v>
          </cell>
          <cell r="H3966" t="str">
            <v>pediatria</v>
          </cell>
          <cell r="J3966" t="str">
            <v>bueno</v>
          </cell>
          <cell r="K3966" t="str">
            <v>defsi</v>
          </cell>
        </row>
        <row r="3967">
          <cell r="B3967" t="b">
            <v>1</v>
          </cell>
          <cell r="E3967" t="str">
            <v>Pasacaballos</v>
          </cell>
          <cell r="H3967" t="str">
            <v>consulta_externa</v>
          </cell>
          <cell r="J3967" t="str">
            <v>bueno</v>
          </cell>
          <cell r="K3967" t="str">
            <v>defsi</v>
          </cell>
        </row>
        <row r="3968">
          <cell r="B3968" t="b">
            <v>1</v>
          </cell>
          <cell r="E3968" t="str">
            <v>Pasacaballos</v>
          </cell>
          <cell r="H3968" t="str">
            <v>salud_oral</v>
          </cell>
          <cell r="J3968" t="str">
            <v>bueno</v>
          </cell>
          <cell r="K3968" t="str">
            <v>defsi</v>
          </cell>
        </row>
        <row r="3969">
          <cell r="B3969" t="b">
            <v>1</v>
          </cell>
          <cell r="E3969" t="str">
            <v>Pasacaballos</v>
          </cell>
          <cell r="H3969" t="str">
            <v>laboratorio</v>
          </cell>
          <cell r="J3969" t="str">
            <v>bueno</v>
          </cell>
          <cell r="K3969" t="str">
            <v>defsi</v>
          </cell>
        </row>
        <row r="3970">
          <cell r="B3970" t="b">
            <v>1</v>
          </cell>
          <cell r="E3970" t="str">
            <v>Pasacaballos</v>
          </cell>
          <cell r="H3970" t="str">
            <v>urgencia</v>
          </cell>
          <cell r="J3970" t="str">
            <v>bueno</v>
          </cell>
          <cell r="K3970" t="str">
            <v>defsi</v>
          </cell>
        </row>
        <row r="3971">
          <cell r="B3971" t="b">
            <v>1</v>
          </cell>
          <cell r="E3971" t="str">
            <v>Pasacaballos</v>
          </cell>
          <cell r="H3971" t="str">
            <v>consulta_externa</v>
          </cell>
          <cell r="J3971" t="str">
            <v>bueno</v>
          </cell>
          <cell r="K3971" t="str">
            <v>defsi</v>
          </cell>
        </row>
        <row r="3972">
          <cell r="B3972" t="b">
            <v>1</v>
          </cell>
          <cell r="E3972" t="str">
            <v>Los Cerros</v>
          </cell>
          <cell r="H3972" t="str">
            <v>ginecologia</v>
          </cell>
          <cell r="J3972" t="str">
            <v>bueno</v>
          </cell>
          <cell r="K3972" t="str">
            <v>defsi</v>
          </cell>
        </row>
        <row r="3973">
          <cell r="B3973" t="b">
            <v>1</v>
          </cell>
          <cell r="E3973" t="str">
            <v>Pasacaballos</v>
          </cell>
          <cell r="H3973" t="str">
            <v>salud_oral</v>
          </cell>
          <cell r="J3973" t="str">
            <v>bueno</v>
          </cell>
          <cell r="K3973" t="str">
            <v>defsi</v>
          </cell>
        </row>
        <row r="3974">
          <cell r="B3974" t="b">
            <v>1</v>
          </cell>
          <cell r="E3974" t="str">
            <v>Pasacaballos</v>
          </cell>
          <cell r="H3974" t="str">
            <v>laboratorio</v>
          </cell>
          <cell r="J3974" t="str">
            <v>bueno</v>
          </cell>
          <cell r="K3974" t="str">
            <v>defsi</v>
          </cell>
        </row>
        <row r="3975">
          <cell r="B3975" t="b">
            <v>1</v>
          </cell>
          <cell r="E3975" t="str">
            <v>Pasacaballos</v>
          </cell>
          <cell r="H3975" t="str">
            <v>urgencia</v>
          </cell>
          <cell r="J3975" t="str">
            <v>bueno</v>
          </cell>
          <cell r="K3975" t="str">
            <v>defsi</v>
          </cell>
        </row>
        <row r="3976">
          <cell r="B3976" t="b">
            <v>1</v>
          </cell>
          <cell r="E3976" t="str">
            <v>Pasacaballos</v>
          </cell>
          <cell r="H3976" t="str">
            <v>consulta_externa</v>
          </cell>
          <cell r="J3976" t="str">
            <v>bueno</v>
          </cell>
          <cell r="K3976" t="str">
            <v>defsi</v>
          </cell>
        </row>
        <row r="3977">
          <cell r="B3977" t="b">
            <v>1</v>
          </cell>
          <cell r="E3977" t="str">
            <v>Pasacaballos</v>
          </cell>
          <cell r="H3977" t="str">
            <v>salud_oral</v>
          </cell>
          <cell r="J3977" t="str">
            <v>bueno</v>
          </cell>
          <cell r="K3977" t="str">
            <v>defsi</v>
          </cell>
        </row>
        <row r="3978">
          <cell r="B3978" t="b">
            <v>1</v>
          </cell>
          <cell r="E3978" t="str">
            <v>Pasacaballos</v>
          </cell>
          <cell r="H3978" t="str">
            <v>laboratorio</v>
          </cell>
          <cell r="J3978" t="str">
            <v>bueno</v>
          </cell>
          <cell r="K3978" t="str">
            <v>defsi</v>
          </cell>
        </row>
        <row r="3979">
          <cell r="B3979" t="b">
            <v>1</v>
          </cell>
          <cell r="E3979" t="str">
            <v>Pasacaballos</v>
          </cell>
          <cell r="H3979" t="str">
            <v>urgencia</v>
          </cell>
          <cell r="J3979" t="str">
            <v>bueno</v>
          </cell>
          <cell r="K3979" t="str">
            <v>defsi</v>
          </cell>
        </row>
        <row r="3980">
          <cell r="B3980" t="b">
            <v>1</v>
          </cell>
          <cell r="E3980" t="str">
            <v>Pasacaballos</v>
          </cell>
          <cell r="H3980" t="str">
            <v>consulta_externa</v>
          </cell>
          <cell r="J3980" t="str">
            <v>bueno</v>
          </cell>
          <cell r="K3980" t="str">
            <v>defsi</v>
          </cell>
        </row>
        <row r="3981">
          <cell r="B3981" t="b">
            <v>1</v>
          </cell>
          <cell r="E3981" t="str">
            <v>Pasacaballos</v>
          </cell>
          <cell r="H3981" t="str">
            <v>salud_oral</v>
          </cell>
          <cell r="J3981" t="str">
            <v>bueno</v>
          </cell>
          <cell r="K3981" t="str">
            <v>defsi</v>
          </cell>
        </row>
        <row r="3982">
          <cell r="B3982" t="b">
            <v>1</v>
          </cell>
          <cell r="E3982" t="str">
            <v>Pasacaballos</v>
          </cell>
          <cell r="H3982" t="str">
            <v>laboratorio</v>
          </cell>
          <cell r="J3982" t="str">
            <v>bueno</v>
          </cell>
          <cell r="K3982" t="str">
            <v>defsi</v>
          </cell>
        </row>
        <row r="3983">
          <cell r="B3983" t="b">
            <v>1</v>
          </cell>
          <cell r="E3983" t="str">
            <v>Pasacaballos</v>
          </cell>
          <cell r="H3983" t="str">
            <v>urgencia</v>
          </cell>
          <cell r="J3983" t="str">
            <v>bueno</v>
          </cell>
          <cell r="K3983" t="str">
            <v>defsi</v>
          </cell>
        </row>
        <row r="3984">
          <cell r="B3984" t="b">
            <v>1</v>
          </cell>
          <cell r="E3984" t="str">
            <v>Canapote</v>
          </cell>
          <cell r="H3984" t="str">
            <v>salud_oral</v>
          </cell>
          <cell r="J3984" t="str">
            <v>bueno</v>
          </cell>
          <cell r="K3984" t="str">
            <v>probsi</v>
          </cell>
        </row>
        <row r="3985">
          <cell r="B3985" t="b">
            <v>1</v>
          </cell>
          <cell r="E3985" t="str">
            <v>Canapote</v>
          </cell>
          <cell r="H3985" t="str">
            <v>salud_oral</v>
          </cell>
          <cell r="J3985" t="str">
            <v>bueno</v>
          </cell>
          <cell r="K3985" t="str">
            <v>probsi</v>
          </cell>
        </row>
        <row r="3986">
          <cell r="B3986" t="b">
            <v>1</v>
          </cell>
          <cell r="E3986" t="str">
            <v>Canapote</v>
          </cell>
          <cell r="H3986" t="str">
            <v>salud_oral</v>
          </cell>
          <cell r="J3986" t="str">
            <v>bueno</v>
          </cell>
          <cell r="K3986" t="str">
            <v>probsi</v>
          </cell>
        </row>
        <row r="3987">
          <cell r="B3987" t="b">
            <v>0</v>
          </cell>
          <cell r="E3987" t="str">
            <v>Canapote</v>
          </cell>
          <cell r="H3987" t="str">
            <v>laboratorio</v>
          </cell>
          <cell r="J3987" t="str">
            <v>regular</v>
          </cell>
          <cell r="K3987" t="str">
            <v>probsi</v>
          </cell>
        </row>
        <row r="3988">
          <cell r="B3988" t="b">
            <v>1</v>
          </cell>
          <cell r="E3988" t="str">
            <v>Canapote</v>
          </cell>
          <cell r="H3988" t="str">
            <v>laboratorio</v>
          </cell>
          <cell r="J3988" t="str">
            <v>bueno</v>
          </cell>
          <cell r="K3988" t="str">
            <v>probsi</v>
          </cell>
        </row>
        <row r="3989">
          <cell r="B3989" t="b">
            <v>1</v>
          </cell>
          <cell r="E3989" t="str">
            <v>Canapote</v>
          </cell>
          <cell r="H3989" t="str">
            <v>laboratorio</v>
          </cell>
          <cell r="J3989" t="str">
            <v>bueno</v>
          </cell>
          <cell r="K3989" t="str">
            <v>probsi</v>
          </cell>
        </row>
        <row r="3990">
          <cell r="B3990" t="b">
            <v>1</v>
          </cell>
          <cell r="E3990" t="str">
            <v>Canapote</v>
          </cell>
          <cell r="H3990" t="str">
            <v>salud_oral</v>
          </cell>
          <cell r="J3990" t="str">
            <v>bueno</v>
          </cell>
          <cell r="K3990" t="str">
            <v>probsi</v>
          </cell>
        </row>
        <row r="3991">
          <cell r="B3991" t="b">
            <v>1</v>
          </cell>
          <cell r="E3991" t="str">
            <v>Canapote</v>
          </cell>
          <cell r="H3991" t="str">
            <v>salud_oral</v>
          </cell>
          <cell r="J3991" t="str">
            <v>bueno</v>
          </cell>
          <cell r="K3991" t="str">
            <v>probsi</v>
          </cell>
        </row>
        <row r="3992">
          <cell r="B3992" t="b">
            <v>1</v>
          </cell>
          <cell r="E3992" t="str">
            <v>Canapote</v>
          </cell>
          <cell r="H3992" t="str">
            <v>salud_oral</v>
          </cell>
          <cell r="J3992" t="str">
            <v>bueno</v>
          </cell>
          <cell r="K3992" t="str">
            <v>probsi</v>
          </cell>
        </row>
        <row r="3993">
          <cell r="B3993" t="b">
            <v>1</v>
          </cell>
          <cell r="E3993" t="str">
            <v>Canapote</v>
          </cell>
          <cell r="H3993" t="str">
            <v>salud_oral</v>
          </cell>
          <cell r="J3993" t="str">
            <v>bueno</v>
          </cell>
          <cell r="K3993" t="str">
            <v>probsi</v>
          </cell>
        </row>
        <row r="3994">
          <cell r="B3994" t="b">
            <v>1</v>
          </cell>
          <cell r="E3994" t="str">
            <v>Daniel Lemaitre</v>
          </cell>
          <cell r="H3994" t="str">
            <v>consulta_externa</v>
          </cell>
          <cell r="J3994" t="str">
            <v>bueno</v>
          </cell>
          <cell r="K3994" t="str">
            <v>probsi</v>
          </cell>
        </row>
        <row r="3995">
          <cell r="B3995" t="b">
            <v>1</v>
          </cell>
          <cell r="E3995" t="str">
            <v>Daniel Lemaitre</v>
          </cell>
          <cell r="H3995" t="str">
            <v>consulta_externa</v>
          </cell>
          <cell r="J3995" t="str">
            <v>bueno</v>
          </cell>
          <cell r="K3995" t="str">
            <v>probsi</v>
          </cell>
        </row>
        <row r="3996">
          <cell r="B3996" t="b">
            <v>0</v>
          </cell>
          <cell r="E3996" t="str">
            <v>Daniel Lemaitre</v>
          </cell>
          <cell r="H3996" t="str">
            <v>laboratorio</v>
          </cell>
          <cell r="J3996" t="str">
            <v>regular</v>
          </cell>
          <cell r="K3996" t="str">
            <v>probsi</v>
          </cell>
        </row>
        <row r="3997">
          <cell r="B3997" t="b">
            <v>1</v>
          </cell>
          <cell r="E3997" t="str">
            <v>Daniel Lemaitre</v>
          </cell>
          <cell r="H3997" t="str">
            <v>laboratorio</v>
          </cell>
          <cell r="J3997" t="str">
            <v>bueno</v>
          </cell>
          <cell r="K3997" t="str">
            <v>probsi</v>
          </cell>
        </row>
        <row r="3998">
          <cell r="B3998" t="b">
            <v>1</v>
          </cell>
          <cell r="E3998" t="str">
            <v>Daniel Lemaitre</v>
          </cell>
          <cell r="H3998" t="str">
            <v>laboratorio</v>
          </cell>
          <cell r="J3998" t="str">
            <v>bueno</v>
          </cell>
          <cell r="K3998" t="str">
            <v>probsi</v>
          </cell>
        </row>
        <row r="3999">
          <cell r="B3999" t="b">
            <v>1</v>
          </cell>
          <cell r="E3999" t="str">
            <v>Los Cerros</v>
          </cell>
          <cell r="H3999" t="str">
            <v>medicina_interna</v>
          </cell>
          <cell r="J3999" t="str">
            <v>bueno</v>
          </cell>
          <cell r="K3999" t="str">
            <v>defsi</v>
          </cell>
        </row>
        <row r="4000">
          <cell r="B4000" t="b">
            <v>1</v>
          </cell>
          <cell r="E4000" t="str">
            <v>Los Cerros</v>
          </cell>
          <cell r="H4000" t="str">
            <v>medicina_interna</v>
          </cell>
          <cell r="J4000" t="str">
            <v>muybueno</v>
          </cell>
          <cell r="K4000" t="str">
            <v>defsi</v>
          </cell>
        </row>
        <row r="4001">
          <cell r="B4001" t="b">
            <v>1</v>
          </cell>
          <cell r="E4001" t="str">
            <v>Los Cerros</v>
          </cell>
          <cell r="H4001" t="str">
            <v>electros</v>
          </cell>
          <cell r="J4001" t="str">
            <v>bueno</v>
          </cell>
          <cell r="K4001" t="str">
            <v>defsi</v>
          </cell>
        </row>
        <row r="4002">
          <cell r="B4002" t="b">
            <v>1</v>
          </cell>
          <cell r="E4002" t="str">
            <v>Los Cerros</v>
          </cell>
          <cell r="H4002" t="str">
            <v>electros</v>
          </cell>
          <cell r="J4002" t="str">
            <v>bueno</v>
          </cell>
          <cell r="K4002" t="str">
            <v>defsi</v>
          </cell>
        </row>
        <row r="4003">
          <cell r="B4003" t="b">
            <v>1</v>
          </cell>
          <cell r="E4003" t="str">
            <v>Los Cerros</v>
          </cell>
          <cell r="H4003" t="str">
            <v>ginecologia</v>
          </cell>
          <cell r="J4003" t="str">
            <v>bueno</v>
          </cell>
          <cell r="K4003" t="str">
            <v>defsi</v>
          </cell>
        </row>
        <row r="4004">
          <cell r="B4004" t="b">
            <v>1</v>
          </cell>
          <cell r="E4004" t="str">
            <v>Los Cerros</v>
          </cell>
          <cell r="H4004" t="str">
            <v>ginecologia</v>
          </cell>
          <cell r="J4004" t="str">
            <v>bueno</v>
          </cell>
          <cell r="K4004" t="str">
            <v>defsi</v>
          </cell>
        </row>
        <row r="4005">
          <cell r="B4005" t="b">
            <v>1</v>
          </cell>
          <cell r="E4005" t="str">
            <v>Los Cerros</v>
          </cell>
          <cell r="H4005" t="str">
            <v>ginecologia</v>
          </cell>
          <cell r="J4005" t="str">
            <v>muybueno</v>
          </cell>
          <cell r="K4005" t="str">
            <v>defsi</v>
          </cell>
        </row>
        <row r="4006">
          <cell r="B4006" t="b">
            <v>1</v>
          </cell>
          <cell r="E4006" t="str">
            <v>Los Cerros</v>
          </cell>
          <cell r="H4006" t="str">
            <v>medicina_interna</v>
          </cell>
          <cell r="J4006" t="str">
            <v>bueno</v>
          </cell>
          <cell r="K4006" t="str">
            <v>defsi</v>
          </cell>
        </row>
        <row r="4007">
          <cell r="B4007" t="b">
            <v>1</v>
          </cell>
          <cell r="E4007" t="str">
            <v>Los Cerros</v>
          </cell>
          <cell r="H4007" t="str">
            <v>medicina_interna</v>
          </cell>
          <cell r="J4007" t="str">
            <v>muybueno</v>
          </cell>
          <cell r="K4007" t="str">
            <v>defsi</v>
          </cell>
        </row>
        <row r="4008">
          <cell r="B4008" t="b">
            <v>1</v>
          </cell>
          <cell r="E4008" t="str">
            <v>Los Cerros</v>
          </cell>
          <cell r="H4008" t="str">
            <v>ginecologia</v>
          </cell>
          <cell r="J4008" t="str">
            <v>bueno</v>
          </cell>
          <cell r="K4008" t="str">
            <v>defsi</v>
          </cell>
        </row>
        <row r="4009">
          <cell r="B4009" t="b">
            <v>1</v>
          </cell>
          <cell r="E4009" t="str">
            <v>Los Cerros</v>
          </cell>
          <cell r="H4009" t="str">
            <v>ginecologia</v>
          </cell>
          <cell r="J4009" t="str">
            <v>bueno</v>
          </cell>
          <cell r="K4009" t="str">
            <v>defsi</v>
          </cell>
        </row>
        <row r="4010">
          <cell r="B4010" t="b">
            <v>1</v>
          </cell>
          <cell r="E4010" t="str">
            <v>Los Cerros</v>
          </cell>
          <cell r="H4010" t="str">
            <v>ginecologia</v>
          </cell>
          <cell r="J4010" t="str">
            <v>bueno</v>
          </cell>
          <cell r="K4010" t="str">
            <v>defsi</v>
          </cell>
        </row>
        <row r="4011">
          <cell r="B4011" t="b">
            <v>1</v>
          </cell>
          <cell r="E4011" t="str">
            <v>Los Cerros</v>
          </cell>
          <cell r="H4011" t="str">
            <v>ginecologia</v>
          </cell>
          <cell r="J4011" t="str">
            <v>bueno</v>
          </cell>
          <cell r="K4011" t="str">
            <v>defsi</v>
          </cell>
        </row>
        <row r="4012">
          <cell r="B4012" t="b">
            <v>1</v>
          </cell>
          <cell r="E4012" t="str">
            <v>Isla del Rosario</v>
          </cell>
          <cell r="H4012" t="str">
            <v>consulta_externa</v>
          </cell>
          <cell r="J4012" t="str">
            <v>bueno</v>
          </cell>
          <cell r="K4012" t="str">
            <v>probsi</v>
          </cell>
        </row>
        <row r="4013">
          <cell r="B4013" t="b">
            <v>1</v>
          </cell>
          <cell r="E4013" t="str">
            <v>Isla del Rosario</v>
          </cell>
          <cell r="H4013" t="str">
            <v>consulta_externa</v>
          </cell>
          <cell r="J4013" t="str">
            <v>bueno</v>
          </cell>
          <cell r="K4013" t="str">
            <v>probsi</v>
          </cell>
        </row>
        <row r="4014">
          <cell r="B4014" t="b">
            <v>1</v>
          </cell>
          <cell r="E4014" t="str">
            <v>Isla del Rosario</v>
          </cell>
          <cell r="H4014" t="str">
            <v>consulta_externa</v>
          </cell>
          <cell r="J4014" t="str">
            <v>bueno</v>
          </cell>
          <cell r="K4014" t="str">
            <v>probsi</v>
          </cell>
        </row>
        <row r="4015">
          <cell r="B4015" t="b">
            <v>1</v>
          </cell>
          <cell r="E4015" t="str">
            <v>Isla del Rosario</v>
          </cell>
          <cell r="H4015" t="str">
            <v>consulta_externa</v>
          </cell>
          <cell r="J4015" t="str">
            <v>bueno</v>
          </cell>
          <cell r="K4015" t="str">
            <v>probsi</v>
          </cell>
        </row>
        <row r="4016">
          <cell r="B4016" t="b">
            <v>1</v>
          </cell>
          <cell r="E4016" t="str">
            <v>Isla del Rosario</v>
          </cell>
          <cell r="H4016" t="str">
            <v>consulta_externa</v>
          </cell>
          <cell r="J4016" t="str">
            <v>bueno</v>
          </cell>
          <cell r="K4016" t="str">
            <v>probsi</v>
          </cell>
        </row>
        <row r="4017">
          <cell r="B4017" t="b">
            <v>1</v>
          </cell>
          <cell r="E4017" t="str">
            <v>Isla del Rosario</v>
          </cell>
          <cell r="H4017" t="str">
            <v>consulta_externa</v>
          </cell>
          <cell r="J4017" t="str">
            <v>bueno</v>
          </cell>
          <cell r="K4017" t="str">
            <v>probsi</v>
          </cell>
        </row>
        <row r="4018">
          <cell r="B4018" t="b">
            <v>1</v>
          </cell>
          <cell r="E4018" t="str">
            <v>Isla del Rosario</v>
          </cell>
          <cell r="H4018" t="str">
            <v>consulta_externa</v>
          </cell>
          <cell r="J4018" t="str">
            <v>bueno</v>
          </cell>
          <cell r="K4018" t="str">
            <v>probsi</v>
          </cell>
        </row>
        <row r="4019">
          <cell r="B4019" t="b">
            <v>1</v>
          </cell>
          <cell r="E4019" t="str">
            <v>Isla del Rosario</v>
          </cell>
          <cell r="H4019" t="str">
            <v>consulta_externa</v>
          </cell>
          <cell r="J4019" t="str">
            <v>bueno</v>
          </cell>
          <cell r="K4019" t="str">
            <v>probsi</v>
          </cell>
        </row>
        <row r="4020">
          <cell r="B4020" t="b">
            <v>1</v>
          </cell>
          <cell r="E4020" t="str">
            <v>Isla del Rosario</v>
          </cell>
          <cell r="H4020" t="str">
            <v>salud_oral</v>
          </cell>
          <cell r="J4020" t="str">
            <v>bueno</v>
          </cell>
          <cell r="K4020" t="str">
            <v>probsi</v>
          </cell>
        </row>
        <row r="4021">
          <cell r="B4021" t="b">
            <v>1</v>
          </cell>
          <cell r="E4021" t="str">
            <v>Isla del Rosario</v>
          </cell>
          <cell r="H4021" t="str">
            <v>salud_oral</v>
          </cell>
          <cell r="J4021" t="str">
            <v>bueno</v>
          </cell>
          <cell r="K4021" t="str">
            <v>probsi</v>
          </cell>
        </row>
        <row r="4022">
          <cell r="B4022" t="b">
            <v>1</v>
          </cell>
          <cell r="E4022" t="str">
            <v>Isla del Rosario</v>
          </cell>
          <cell r="H4022" t="str">
            <v>salud_oral</v>
          </cell>
          <cell r="J4022" t="str">
            <v>bueno</v>
          </cell>
          <cell r="K4022" t="str">
            <v>probsi</v>
          </cell>
        </row>
        <row r="4023">
          <cell r="B4023" t="b">
            <v>1</v>
          </cell>
          <cell r="E4023" t="str">
            <v>Isla del Rosario</v>
          </cell>
          <cell r="H4023" t="str">
            <v>laboratorio</v>
          </cell>
          <cell r="J4023" t="str">
            <v>bueno</v>
          </cell>
          <cell r="K4023" t="str">
            <v>probsi</v>
          </cell>
        </row>
        <row r="4024">
          <cell r="B4024" t="b">
            <v>1</v>
          </cell>
          <cell r="E4024" t="str">
            <v>Isla del Rosario</v>
          </cell>
          <cell r="H4024" t="str">
            <v>laboratorio</v>
          </cell>
          <cell r="J4024" t="str">
            <v>bueno</v>
          </cell>
          <cell r="K4024" t="str">
            <v>probsi</v>
          </cell>
        </row>
        <row r="4025">
          <cell r="B4025" t="b">
            <v>1</v>
          </cell>
          <cell r="E4025" t="str">
            <v>Isla del Rosario</v>
          </cell>
          <cell r="H4025" t="str">
            <v>laboratorio</v>
          </cell>
          <cell r="J4025" t="str">
            <v>bueno</v>
          </cell>
          <cell r="K4025" t="str">
            <v>probsi</v>
          </cell>
        </row>
        <row r="4026">
          <cell r="B4026" t="b">
            <v>1</v>
          </cell>
          <cell r="E4026" t="str">
            <v>Los Cerros</v>
          </cell>
          <cell r="H4026" t="str">
            <v>salud_oral</v>
          </cell>
          <cell r="J4026" t="str">
            <v>bueno</v>
          </cell>
          <cell r="K4026" t="str">
            <v>defsi</v>
          </cell>
        </row>
        <row r="4027">
          <cell r="B4027" t="b">
            <v>1</v>
          </cell>
          <cell r="E4027" t="str">
            <v>Los Cerros</v>
          </cell>
          <cell r="H4027" t="str">
            <v>salud_oral</v>
          </cell>
          <cell r="J4027" t="str">
            <v>muybueno</v>
          </cell>
          <cell r="K4027" t="str">
            <v>defsi</v>
          </cell>
        </row>
        <row r="4028">
          <cell r="B4028" t="b">
            <v>1</v>
          </cell>
          <cell r="E4028" t="str">
            <v>Los Cerros</v>
          </cell>
          <cell r="H4028" t="str">
            <v>salud_oral</v>
          </cell>
          <cell r="J4028" t="str">
            <v>muybueno</v>
          </cell>
          <cell r="K4028" t="str">
            <v>defsi</v>
          </cell>
        </row>
        <row r="4029">
          <cell r="B4029" t="b">
            <v>1</v>
          </cell>
          <cell r="E4029" t="str">
            <v>Las Reinas</v>
          </cell>
          <cell r="H4029" t="str">
            <v>consulta_externa</v>
          </cell>
          <cell r="J4029" t="str">
            <v>bueno</v>
          </cell>
          <cell r="K4029" t="str">
            <v>probsi</v>
          </cell>
        </row>
        <row r="4030">
          <cell r="B4030" t="b">
            <v>1</v>
          </cell>
          <cell r="E4030" t="str">
            <v>Las Reinas</v>
          </cell>
          <cell r="H4030" t="str">
            <v>consulta_externa</v>
          </cell>
          <cell r="J4030" t="str">
            <v>bueno</v>
          </cell>
          <cell r="K4030" t="str">
            <v>probsi</v>
          </cell>
        </row>
        <row r="4031">
          <cell r="B4031" t="b">
            <v>1</v>
          </cell>
          <cell r="E4031" t="str">
            <v>Las Reinas</v>
          </cell>
          <cell r="H4031" t="str">
            <v>consulta_externa</v>
          </cell>
          <cell r="J4031" t="str">
            <v>bueno</v>
          </cell>
          <cell r="K4031" t="str">
            <v>probsi</v>
          </cell>
        </row>
        <row r="4032">
          <cell r="B4032" t="b">
            <v>1</v>
          </cell>
          <cell r="E4032" t="str">
            <v>Las Reinas</v>
          </cell>
          <cell r="H4032" t="str">
            <v>consulta_externa</v>
          </cell>
          <cell r="J4032" t="str">
            <v>bueno</v>
          </cell>
          <cell r="K4032" t="str">
            <v>probsi</v>
          </cell>
        </row>
        <row r="4033">
          <cell r="B4033" t="b">
            <v>1</v>
          </cell>
          <cell r="E4033" t="str">
            <v>Las Reinas</v>
          </cell>
          <cell r="H4033" t="str">
            <v>consulta_externa</v>
          </cell>
          <cell r="J4033" t="str">
            <v>bueno</v>
          </cell>
          <cell r="K4033" t="str">
            <v>probsi</v>
          </cell>
        </row>
        <row r="4034">
          <cell r="B4034" t="b">
            <v>1</v>
          </cell>
          <cell r="E4034" t="str">
            <v>Las Reinas</v>
          </cell>
          <cell r="H4034" t="str">
            <v>consulta_externa</v>
          </cell>
          <cell r="J4034" t="str">
            <v>bueno</v>
          </cell>
          <cell r="K4034" t="str">
            <v>probsi</v>
          </cell>
        </row>
        <row r="4035">
          <cell r="B4035" t="b">
            <v>1</v>
          </cell>
          <cell r="E4035" t="str">
            <v>Las Reinas</v>
          </cell>
          <cell r="H4035" t="str">
            <v>consulta_externa</v>
          </cell>
          <cell r="J4035" t="str">
            <v>bueno</v>
          </cell>
          <cell r="K4035" t="str">
            <v>probsi</v>
          </cell>
        </row>
        <row r="4036">
          <cell r="B4036" t="b">
            <v>1</v>
          </cell>
          <cell r="E4036" t="str">
            <v>Las Reinas</v>
          </cell>
          <cell r="H4036" t="str">
            <v>consulta_externa</v>
          </cell>
          <cell r="J4036" t="str">
            <v>bueno</v>
          </cell>
          <cell r="K4036" t="str">
            <v>probsi</v>
          </cell>
        </row>
        <row r="4037">
          <cell r="B4037" t="b">
            <v>1</v>
          </cell>
          <cell r="E4037" t="str">
            <v>Las Reinas</v>
          </cell>
          <cell r="H4037" t="str">
            <v>laboratorio</v>
          </cell>
          <cell r="J4037" t="str">
            <v>bueno</v>
          </cell>
          <cell r="K4037" t="str">
            <v>probsi</v>
          </cell>
        </row>
        <row r="4038">
          <cell r="B4038" t="b">
            <v>1</v>
          </cell>
          <cell r="E4038" t="str">
            <v>Las Reinas</v>
          </cell>
          <cell r="H4038" t="str">
            <v>laboratorio</v>
          </cell>
          <cell r="J4038" t="str">
            <v>bueno</v>
          </cell>
          <cell r="K4038" t="str">
            <v>probsi</v>
          </cell>
        </row>
        <row r="4039">
          <cell r="B4039" t="b">
            <v>1</v>
          </cell>
          <cell r="E4039" t="str">
            <v>Las Reinas</v>
          </cell>
          <cell r="H4039" t="str">
            <v>laboratorio</v>
          </cell>
          <cell r="J4039" t="str">
            <v>bueno</v>
          </cell>
          <cell r="K4039" t="str">
            <v>probsi</v>
          </cell>
        </row>
        <row r="4040">
          <cell r="B4040" t="b">
            <v>1</v>
          </cell>
          <cell r="E4040" t="str">
            <v>Las Reinas</v>
          </cell>
          <cell r="H4040" t="str">
            <v>laboratorio</v>
          </cell>
          <cell r="J4040" t="str">
            <v>bueno</v>
          </cell>
          <cell r="K4040" t="str">
            <v>probsi</v>
          </cell>
        </row>
        <row r="4041">
          <cell r="B4041" t="b">
            <v>1</v>
          </cell>
          <cell r="E4041" t="str">
            <v>Las Reinas</v>
          </cell>
          <cell r="H4041" t="str">
            <v>laboratorio</v>
          </cell>
          <cell r="J4041" t="str">
            <v>bueno</v>
          </cell>
          <cell r="K4041" t="str">
            <v>probsi</v>
          </cell>
        </row>
        <row r="4042">
          <cell r="B4042" t="b">
            <v>1</v>
          </cell>
          <cell r="E4042" t="str">
            <v>Las Reinas</v>
          </cell>
          <cell r="H4042" t="str">
            <v>laboratorio</v>
          </cell>
          <cell r="J4042" t="str">
            <v>bueno</v>
          </cell>
          <cell r="K4042" t="str">
            <v>probsi</v>
          </cell>
        </row>
        <row r="4043">
          <cell r="B4043" t="b">
            <v>1</v>
          </cell>
          <cell r="E4043" t="str">
            <v>Las Reinas</v>
          </cell>
          <cell r="H4043" t="str">
            <v>salud_oral</v>
          </cell>
          <cell r="J4043" t="str">
            <v>bueno</v>
          </cell>
          <cell r="K4043" t="str">
            <v>probsi</v>
          </cell>
        </row>
        <row r="4044">
          <cell r="B4044" t="b">
            <v>1</v>
          </cell>
          <cell r="E4044" t="str">
            <v>Las Reinas</v>
          </cell>
          <cell r="H4044" t="str">
            <v>salud_oral</v>
          </cell>
          <cell r="J4044" t="str">
            <v>bueno</v>
          </cell>
          <cell r="K4044" t="str">
            <v>probsi</v>
          </cell>
        </row>
        <row r="4045">
          <cell r="B4045" t="b">
            <v>1</v>
          </cell>
          <cell r="E4045" t="str">
            <v>Las Reinas</v>
          </cell>
          <cell r="H4045" t="str">
            <v>salud_oral</v>
          </cell>
          <cell r="J4045" t="str">
            <v>bueno</v>
          </cell>
          <cell r="K4045" t="str">
            <v>probsi</v>
          </cell>
        </row>
        <row r="4046">
          <cell r="B4046" t="b">
            <v>1</v>
          </cell>
          <cell r="E4046" t="str">
            <v>Las Reinas</v>
          </cell>
          <cell r="H4046" t="str">
            <v>salud_oral</v>
          </cell>
          <cell r="J4046" t="str">
            <v>bueno</v>
          </cell>
          <cell r="K4046" t="str">
            <v>probsi</v>
          </cell>
        </row>
        <row r="4047">
          <cell r="B4047" t="b">
            <v>1</v>
          </cell>
          <cell r="E4047" t="str">
            <v>Las Reinas</v>
          </cell>
          <cell r="H4047" t="str">
            <v>salud_oral</v>
          </cell>
          <cell r="J4047" t="str">
            <v>bueno</v>
          </cell>
          <cell r="K4047" t="str">
            <v>probsi</v>
          </cell>
        </row>
        <row r="4048">
          <cell r="B4048" t="b">
            <v>1</v>
          </cell>
          <cell r="E4048" t="str">
            <v>Las Reinas</v>
          </cell>
          <cell r="H4048" t="str">
            <v>salud_oral</v>
          </cell>
          <cell r="J4048" t="str">
            <v>bueno</v>
          </cell>
          <cell r="K4048" t="str">
            <v>probsi</v>
          </cell>
        </row>
        <row r="4049">
          <cell r="B4049" t="b">
            <v>1</v>
          </cell>
          <cell r="E4049" t="str">
            <v>Las Reinas</v>
          </cell>
          <cell r="H4049" t="str">
            <v>salud_oral</v>
          </cell>
          <cell r="J4049" t="str">
            <v>bueno</v>
          </cell>
          <cell r="K4049" t="str">
            <v>probsi</v>
          </cell>
        </row>
        <row r="4050">
          <cell r="B4050" t="b">
            <v>0</v>
          </cell>
          <cell r="E4050" t="str">
            <v>Islote de San Bernardo</v>
          </cell>
          <cell r="H4050" t="str">
            <v>consulta_externa</v>
          </cell>
          <cell r="J4050" t="str">
            <v>regular</v>
          </cell>
          <cell r="K4050" t="str">
            <v>probsi</v>
          </cell>
        </row>
        <row r="4051">
          <cell r="B4051" t="b">
            <v>0</v>
          </cell>
          <cell r="E4051" t="str">
            <v>Islote de San Bernardo</v>
          </cell>
          <cell r="H4051" t="str">
            <v>consulta_externa</v>
          </cell>
          <cell r="J4051" t="str">
            <v>regular</v>
          </cell>
          <cell r="K4051" t="str">
            <v>probsi</v>
          </cell>
        </row>
        <row r="4052">
          <cell r="B4052" t="b">
            <v>1</v>
          </cell>
          <cell r="E4052" t="str">
            <v>Las Reinas</v>
          </cell>
          <cell r="H4052" t="str">
            <v>consulta_externa</v>
          </cell>
          <cell r="J4052" t="str">
            <v>bueno</v>
          </cell>
          <cell r="K4052" t="str">
            <v>probsi</v>
          </cell>
        </row>
        <row r="4053">
          <cell r="B4053" t="b">
            <v>1</v>
          </cell>
          <cell r="E4053" t="str">
            <v>Las Reinas</v>
          </cell>
          <cell r="H4053" t="str">
            <v>consulta_externa</v>
          </cell>
          <cell r="J4053" t="str">
            <v>bueno</v>
          </cell>
          <cell r="K4053" t="str">
            <v>probsi</v>
          </cell>
        </row>
        <row r="4054">
          <cell r="B4054" t="b">
            <v>1</v>
          </cell>
          <cell r="E4054" t="str">
            <v>Islote de San Bernardo</v>
          </cell>
          <cell r="H4054" t="str">
            <v>consulta_externa</v>
          </cell>
          <cell r="J4054" t="str">
            <v>bueno</v>
          </cell>
          <cell r="K4054" t="str">
            <v>probsi</v>
          </cell>
        </row>
        <row r="4055">
          <cell r="B4055" t="b">
            <v>1</v>
          </cell>
          <cell r="E4055" t="str">
            <v>Las Reinas</v>
          </cell>
          <cell r="H4055" t="str">
            <v>consulta_externa</v>
          </cell>
          <cell r="J4055" t="str">
            <v>bueno</v>
          </cell>
          <cell r="K4055" t="str">
            <v>probsi</v>
          </cell>
        </row>
        <row r="4056">
          <cell r="B4056" t="b">
            <v>1</v>
          </cell>
          <cell r="E4056" t="str">
            <v>Islote de San Bernardo</v>
          </cell>
          <cell r="H4056" t="str">
            <v>consulta_externa</v>
          </cell>
          <cell r="J4056" t="str">
            <v>bueno</v>
          </cell>
          <cell r="K4056" t="str">
            <v>probsi</v>
          </cell>
        </row>
        <row r="4057">
          <cell r="B4057" t="b">
            <v>1</v>
          </cell>
          <cell r="E4057" t="str">
            <v>Las Reinas</v>
          </cell>
          <cell r="H4057" t="str">
            <v>consulta_externa</v>
          </cell>
          <cell r="J4057" t="str">
            <v>bueno</v>
          </cell>
          <cell r="K4057" t="str">
            <v>probsi</v>
          </cell>
        </row>
        <row r="4058">
          <cell r="B4058" t="b">
            <v>1</v>
          </cell>
          <cell r="E4058" t="str">
            <v>Islote de San Bernardo</v>
          </cell>
          <cell r="H4058" t="str">
            <v>consulta_externa</v>
          </cell>
          <cell r="J4058" t="str">
            <v>bueno</v>
          </cell>
          <cell r="K4058" t="str">
            <v>probsi</v>
          </cell>
        </row>
        <row r="4059">
          <cell r="B4059" t="b">
            <v>1</v>
          </cell>
          <cell r="E4059" t="str">
            <v>Las Reinas</v>
          </cell>
          <cell r="H4059" t="str">
            <v>consulta_externa</v>
          </cell>
          <cell r="J4059" t="str">
            <v>bueno</v>
          </cell>
          <cell r="K4059" t="str">
            <v>probsi</v>
          </cell>
        </row>
        <row r="4060">
          <cell r="B4060" t="b">
            <v>1</v>
          </cell>
          <cell r="E4060" t="str">
            <v>Las Reinas</v>
          </cell>
          <cell r="H4060" t="str">
            <v>consulta_externa</v>
          </cell>
          <cell r="J4060" t="str">
            <v>bueno</v>
          </cell>
          <cell r="K4060" t="str">
            <v>probsi</v>
          </cell>
        </row>
        <row r="4061">
          <cell r="B4061" t="b">
            <v>1</v>
          </cell>
          <cell r="E4061" t="str">
            <v>Islote de San Bernardo</v>
          </cell>
          <cell r="H4061" t="str">
            <v>consulta_externa</v>
          </cell>
          <cell r="J4061" t="str">
            <v>bueno</v>
          </cell>
          <cell r="K4061" t="str">
            <v>probsi</v>
          </cell>
        </row>
        <row r="4062">
          <cell r="B4062" t="b">
            <v>1</v>
          </cell>
          <cell r="E4062" t="str">
            <v>Las Reinas</v>
          </cell>
          <cell r="H4062" t="str">
            <v>laboratorio</v>
          </cell>
          <cell r="J4062" t="str">
            <v>bueno</v>
          </cell>
          <cell r="K4062" t="str">
            <v>probsi</v>
          </cell>
        </row>
        <row r="4063">
          <cell r="B4063" t="b">
            <v>1</v>
          </cell>
          <cell r="E4063" t="str">
            <v>Las Reinas</v>
          </cell>
          <cell r="H4063" t="str">
            <v>laboratorio</v>
          </cell>
          <cell r="J4063" t="str">
            <v>bueno</v>
          </cell>
          <cell r="K4063" t="str">
            <v>probsi</v>
          </cell>
        </row>
        <row r="4064">
          <cell r="B4064" t="b">
            <v>1</v>
          </cell>
          <cell r="E4064" t="str">
            <v>Las Reinas</v>
          </cell>
          <cell r="H4064" t="str">
            <v>laboratorio</v>
          </cell>
          <cell r="J4064" t="str">
            <v>bueno</v>
          </cell>
          <cell r="K4064" t="str">
            <v>probsi</v>
          </cell>
        </row>
        <row r="4065">
          <cell r="B4065" t="b">
            <v>1</v>
          </cell>
          <cell r="E4065" t="str">
            <v>Las Reinas</v>
          </cell>
          <cell r="H4065" t="str">
            <v>salud_oral</v>
          </cell>
          <cell r="J4065" t="str">
            <v>bueno</v>
          </cell>
          <cell r="K4065" t="str">
            <v>probsi</v>
          </cell>
        </row>
        <row r="4066">
          <cell r="B4066" t="b">
            <v>1</v>
          </cell>
          <cell r="E4066" t="str">
            <v>Las Reinas</v>
          </cell>
          <cell r="H4066" t="str">
            <v>salud_oral</v>
          </cell>
          <cell r="J4066" t="str">
            <v>bueno</v>
          </cell>
          <cell r="K4066" t="str">
            <v>probsi</v>
          </cell>
        </row>
        <row r="4067">
          <cell r="B4067" t="b">
            <v>0</v>
          </cell>
          <cell r="E4067" t="str">
            <v>Islote de San Bernardo</v>
          </cell>
          <cell r="H4067" t="str">
            <v>laboratorio</v>
          </cell>
          <cell r="J4067" t="str">
            <v>regular</v>
          </cell>
          <cell r="K4067" t="str">
            <v>probsi</v>
          </cell>
        </row>
        <row r="4068">
          <cell r="B4068" t="b">
            <v>0</v>
          </cell>
          <cell r="E4068" t="str">
            <v>Islote de San Bernardo</v>
          </cell>
          <cell r="H4068" t="str">
            <v>laboratorio</v>
          </cell>
          <cell r="J4068" t="str">
            <v>regular</v>
          </cell>
          <cell r="K4068" t="str">
            <v>probsi</v>
          </cell>
        </row>
        <row r="4069">
          <cell r="B4069" t="b">
            <v>0</v>
          </cell>
          <cell r="E4069" t="str">
            <v>Islote de San Bernardo</v>
          </cell>
          <cell r="H4069" t="str">
            <v>laboratorio</v>
          </cell>
          <cell r="J4069" t="str">
            <v>regular</v>
          </cell>
          <cell r="K4069" t="str">
            <v>probsi</v>
          </cell>
        </row>
        <row r="4070">
          <cell r="B4070" t="b">
            <v>0</v>
          </cell>
          <cell r="E4070" t="str">
            <v>Islote de San Bernardo</v>
          </cell>
          <cell r="H4070" t="str">
            <v>laboratorio</v>
          </cell>
          <cell r="J4070" t="str">
            <v>regular</v>
          </cell>
          <cell r="K4070" t="str">
            <v>probsi</v>
          </cell>
        </row>
        <row r="4071">
          <cell r="B4071" t="b">
            <v>1</v>
          </cell>
          <cell r="E4071" t="str">
            <v>Las Reinas</v>
          </cell>
          <cell r="H4071" t="str">
            <v>consulta_externa</v>
          </cell>
          <cell r="J4071" t="str">
            <v>bueno</v>
          </cell>
          <cell r="K4071" t="str">
            <v>probsi</v>
          </cell>
        </row>
        <row r="4072">
          <cell r="B4072" t="b">
            <v>1</v>
          </cell>
          <cell r="E4072" t="str">
            <v>Las Reinas</v>
          </cell>
          <cell r="H4072" t="str">
            <v>consulta_externa</v>
          </cell>
          <cell r="J4072" t="str">
            <v>bueno</v>
          </cell>
          <cell r="K4072" t="str">
            <v>probsi</v>
          </cell>
        </row>
        <row r="4073">
          <cell r="B4073" t="b">
            <v>1</v>
          </cell>
          <cell r="E4073" t="str">
            <v>Las Reinas</v>
          </cell>
          <cell r="H4073" t="str">
            <v>consulta_externa</v>
          </cell>
          <cell r="J4073" t="str">
            <v>bueno</v>
          </cell>
          <cell r="K4073" t="str">
            <v>probsi</v>
          </cell>
        </row>
        <row r="4074">
          <cell r="B4074" t="b">
            <v>1</v>
          </cell>
          <cell r="E4074" t="str">
            <v>Las Reinas</v>
          </cell>
          <cell r="H4074" t="str">
            <v>consulta_externa</v>
          </cell>
          <cell r="J4074" t="str">
            <v>bueno</v>
          </cell>
          <cell r="K4074" t="str">
            <v>probsi</v>
          </cell>
        </row>
        <row r="4075">
          <cell r="B4075" t="b">
            <v>1</v>
          </cell>
          <cell r="E4075" t="str">
            <v>Las Reinas</v>
          </cell>
          <cell r="H4075" t="str">
            <v>consulta_externa</v>
          </cell>
          <cell r="J4075" t="str">
            <v>bueno</v>
          </cell>
          <cell r="K4075" t="str">
            <v>probsi</v>
          </cell>
        </row>
        <row r="4076">
          <cell r="B4076" t="b">
            <v>1</v>
          </cell>
          <cell r="E4076" t="str">
            <v>Las Reinas</v>
          </cell>
          <cell r="H4076" t="str">
            <v>laboratorio</v>
          </cell>
          <cell r="J4076" t="str">
            <v>bueno</v>
          </cell>
          <cell r="K4076" t="str">
            <v>probsi</v>
          </cell>
        </row>
        <row r="4077">
          <cell r="B4077" t="b">
            <v>1</v>
          </cell>
          <cell r="E4077" t="str">
            <v>Las Reinas</v>
          </cell>
          <cell r="H4077" t="str">
            <v>laboratorio</v>
          </cell>
          <cell r="J4077" t="str">
            <v>bueno</v>
          </cell>
          <cell r="K4077" t="str">
            <v>probsi</v>
          </cell>
        </row>
        <row r="4078">
          <cell r="B4078" t="b">
            <v>1</v>
          </cell>
          <cell r="E4078" t="str">
            <v>Pasacaballos</v>
          </cell>
          <cell r="H4078" t="str">
            <v>consulta_externa</v>
          </cell>
          <cell r="J4078" t="str">
            <v>bueno</v>
          </cell>
          <cell r="K4078" t="str">
            <v>defsi</v>
          </cell>
        </row>
        <row r="4079">
          <cell r="B4079" t="b">
            <v>1</v>
          </cell>
          <cell r="E4079" t="str">
            <v>Pasacaballos</v>
          </cell>
          <cell r="H4079" t="str">
            <v>salud_oral</v>
          </cell>
          <cell r="J4079" t="str">
            <v>bueno</v>
          </cell>
          <cell r="K4079" t="str">
            <v>defsi</v>
          </cell>
        </row>
        <row r="4080">
          <cell r="B4080" t="b">
            <v>1</v>
          </cell>
          <cell r="E4080" t="str">
            <v>Pasacaballos</v>
          </cell>
          <cell r="H4080" t="str">
            <v>laboratorio</v>
          </cell>
          <cell r="J4080" t="str">
            <v>bueno</v>
          </cell>
          <cell r="K4080" t="str">
            <v>defsi</v>
          </cell>
        </row>
        <row r="4081">
          <cell r="B4081" t="b">
            <v>1</v>
          </cell>
          <cell r="E4081" t="str">
            <v>Pasacaballos</v>
          </cell>
          <cell r="H4081" t="str">
            <v>consulta_externa</v>
          </cell>
          <cell r="J4081" t="str">
            <v>bueno</v>
          </cell>
          <cell r="K4081" t="str">
            <v>defsi</v>
          </cell>
        </row>
        <row r="4082">
          <cell r="B4082" t="b">
            <v>1</v>
          </cell>
          <cell r="E4082" t="str">
            <v>Isla Fuerte</v>
          </cell>
          <cell r="H4082" t="str">
            <v>consulta_externa</v>
          </cell>
          <cell r="J4082" t="str">
            <v>bueno</v>
          </cell>
          <cell r="K4082" t="str">
            <v>defsi</v>
          </cell>
        </row>
        <row r="4083">
          <cell r="B4083" t="b">
            <v>1</v>
          </cell>
          <cell r="E4083" t="str">
            <v>Isla Fuerte</v>
          </cell>
          <cell r="H4083" t="str">
            <v>consulta_externa</v>
          </cell>
          <cell r="J4083" t="str">
            <v>bueno</v>
          </cell>
          <cell r="K4083" t="str">
            <v>defsi</v>
          </cell>
        </row>
        <row r="4084">
          <cell r="B4084" t="b">
            <v>1</v>
          </cell>
          <cell r="E4084" t="str">
            <v>Isla Fuerte</v>
          </cell>
          <cell r="H4084" t="str">
            <v>salud_oral</v>
          </cell>
          <cell r="J4084" t="str">
            <v>bueno</v>
          </cell>
          <cell r="K4084" t="str">
            <v>defsi</v>
          </cell>
        </row>
        <row r="4085">
          <cell r="B4085" t="b">
            <v>1</v>
          </cell>
          <cell r="E4085" t="str">
            <v>Isla Fuerte</v>
          </cell>
          <cell r="H4085" t="str">
            <v>laboratorio</v>
          </cell>
          <cell r="J4085" t="str">
            <v>bueno</v>
          </cell>
          <cell r="K4085" t="str">
            <v>defsi</v>
          </cell>
        </row>
        <row r="4086">
          <cell r="B4086" t="b">
            <v>1</v>
          </cell>
          <cell r="E4086" t="str">
            <v>Isla Fuerte</v>
          </cell>
          <cell r="H4086" t="str">
            <v>salud_oral</v>
          </cell>
          <cell r="J4086" t="str">
            <v>bueno</v>
          </cell>
          <cell r="K4086" t="str">
            <v>defsi</v>
          </cell>
        </row>
        <row r="4087">
          <cell r="B4087" t="b">
            <v>1</v>
          </cell>
          <cell r="E4087" t="str">
            <v>Isla Fuerte</v>
          </cell>
          <cell r="H4087" t="str">
            <v>laboratorio</v>
          </cell>
          <cell r="J4087" t="str">
            <v>bueno</v>
          </cell>
          <cell r="K4087" t="str">
            <v>defsi</v>
          </cell>
        </row>
        <row r="4088">
          <cell r="B4088" t="b">
            <v>1</v>
          </cell>
          <cell r="E4088" t="str">
            <v>Isla Fuerte</v>
          </cell>
          <cell r="H4088" t="str">
            <v>consulta_externa</v>
          </cell>
          <cell r="J4088" t="str">
            <v>bueno</v>
          </cell>
          <cell r="K4088" t="str">
            <v>defsi</v>
          </cell>
        </row>
        <row r="4089">
          <cell r="B4089" t="b">
            <v>1</v>
          </cell>
          <cell r="E4089" t="str">
            <v>Isla Fuerte</v>
          </cell>
          <cell r="H4089" t="str">
            <v>salud_oral</v>
          </cell>
          <cell r="J4089" t="str">
            <v>bueno</v>
          </cell>
          <cell r="K4089" t="str">
            <v>defsi</v>
          </cell>
        </row>
        <row r="4090">
          <cell r="B4090" t="b">
            <v>1</v>
          </cell>
          <cell r="E4090" t="str">
            <v>Isla Fuerte</v>
          </cell>
          <cell r="H4090" t="str">
            <v>laboratorio</v>
          </cell>
          <cell r="J4090" t="str">
            <v>bueno</v>
          </cell>
          <cell r="K4090" t="str">
            <v>defsi</v>
          </cell>
        </row>
        <row r="4091">
          <cell r="B4091" t="b">
            <v>1</v>
          </cell>
          <cell r="E4091" t="str">
            <v>Isla Fuerte</v>
          </cell>
          <cell r="H4091" t="str">
            <v>consulta_externa</v>
          </cell>
          <cell r="J4091" t="str">
            <v>bueno</v>
          </cell>
          <cell r="K4091" t="str">
            <v>defsi</v>
          </cell>
        </row>
        <row r="4092">
          <cell r="B4092" t="b">
            <v>1</v>
          </cell>
          <cell r="E4092" t="str">
            <v>Isla Fuerte</v>
          </cell>
          <cell r="H4092" t="str">
            <v>salud_oral</v>
          </cell>
          <cell r="J4092" t="str">
            <v>bueno</v>
          </cell>
          <cell r="K4092" t="str">
            <v>defsi</v>
          </cell>
        </row>
        <row r="4093">
          <cell r="B4093" t="b">
            <v>1</v>
          </cell>
          <cell r="E4093" t="str">
            <v>Isla Fuerte</v>
          </cell>
          <cell r="H4093" t="str">
            <v>laboratorio</v>
          </cell>
          <cell r="J4093" t="str">
            <v>bueno</v>
          </cell>
          <cell r="K4093" t="str">
            <v>defsi</v>
          </cell>
        </row>
        <row r="4094">
          <cell r="B4094" t="b">
            <v>1</v>
          </cell>
          <cell r="E4094" t="str">
            <v>Isla Fuerte</v>
          </cell>
          <cell r="H4094" t="str">
            <v>consulta_externa</v>
          </cell>
          <cell r="J4094" t="str">
            <v>bueno</v>
          </cell>
          <cell r="K4094" t="str">
            <v>defsi</v>
          </cell>
        </row>
        <row r="4095">
          <cell r="B4095" t="b">
            <v>1</v>
          </cell>
          <cell r="E4095" t="str">
            <v>Isla Fuerte</v>
          </cell>
          <cell r="H4095" t="str">
            <v>laboratorio</v>
          </cell>
          <cell r="J4095" t="str">
            <v>bueno</v>
          </cell>
          <cell r="K4095" t="str">
            <v>defsi</v>
          </cell>
        </row>
        <row r="4096">
          <cell r="B4096" t="b">
            <v>1</v>
          </cell>
          <cell r="E4096" t="str">
            <v>Isla Fuerte</v>
          </cell>
          <cell r="H4096" t="str">
            <v>salud_oral</v>
          </cell>
          <cell r="J4096" t="str">
            <v>bueno</v>
          </cell>
          <cell r="K4096" t="str">
            <v>defsi</v>
          </cell>
        </row>
        <row r="4097">
          <cell r="B4097" t="b">
            <v>1</v>
          </cell>
          <cell r="E4097" t="str">
            <v>Santa Ana</v>
          </cell>
          <cell r="H4097" t="str">
            <v>consulta_externa</v>
          </cell>
          <cell r="J4097" t="str">
            <v>bueno</v>
          </cell>
          <cell r="K4097" t="str">
            <v>defsi</v>
          </cell>
        </row>
        <row r="4098">
          <cell r="B4098" t="b">
            <v>1</v>
          </cell>
          <cell r="E4098" t="str">
            <v>Santa Ana</v>
          </cell>
          <cell r="H4098" t="str">
            <v>urgencia</v>
          </cell>
          <cell r="J4098" t="str">
            <v>bueno</v>
          </cell>
          <cell r="K4098" t="str">
            <v>defsi</v>
          </cell>
        </row>
        <row r="4099">
          <cell r="B4099" t="b">
            <v>0</v>
          </cell>
          <cell r="E4099" t="str">
            <v>Santa Ana</v>
          </cell>
          <cell r="H4099" t="str">
            <v>urgencia</v>
          </cell>
          <cell r="J4099" t="str">
            <v>regular</v>
          </cell>
          <cell r="K4099" t="str">
            <v>probsi</v>
          </cell>
        </row>
        <row r="4100">
          <cell r="B4100" t="b">
            <v>0</v>
          </cell>
          <cell r="E4100" t="str">
            <v>Santa Ana</v>
          </cell>
          <cell r="H4100" t="str">
            <v>urgencia</v>
          </cell>
          <cell r="J4100" t="str">
            <v>regular</v>
          </cell>
          <cell r="K4100" t="str">
            <v>probsi</v>
          </cell>
        </row>
        <row r="4101">
          <cell r="B4101" t="b">
            <v>1</v>
          </cell>
          <cell r="E4101" t="str">
            <v>Santa Ana</v>
          </cell>
          <cell r="H4101" t="str">
            <v>salud_oral</v>
          </cell>
          <cell r="J4101" t="str">
            <v>bueno</v>
          </cell>
          <cell r="K4101" t="str">
            <v>defsi</v>
          </cell>
        </row>
        <row r="4102">
          <cell r="B4102" t="b">
            <v>1</v>
          </cell>
          <cell r="E4102" t="str">
            <v>Santa Ana</v>
          </cell>
          <cell r="H4102" t="str">
            <v>salud_oral</v>
          </cell>
          <cell r="J4102" t="str">
            <v>bueno</v>
          </cell>
          <cell r="K4102" t="str">
            <v>defsi</v>
          </cell>
        </row>
        <row r="4103">
          <cell r="B4103" t="b">
            <v>1</v>
          </cell>
          <cell r="E4103" t="str">
            <v>San Pedro y Libertad</v>
          </cell>
          <cell r="H4103" t="str">
            <v>laboratorio</v>
          </cell>
          <cell r="J4103" t="str">
            <v>bueno</v>
          </cell>
          <cell r="K4103" t="str">
            <v>probsi</v>
          </cell>
        </row>
        <row r="4104">
          <cell r="B4104" t="b">
            <v>1</v>
          </cell>
          <cell r="E4104" t="str">
            <v>San Pedro y Libertad</v>
          </cell>
          <cell r="H4104" t="str">
            <v>consulta_externa</v>
          </cell>
          <cell r="J4104" t="str">
            <v>bueno</v>
          </cell>
          <cell r="K4104" t="str">
            <v>probsi</v>
          </cell>
        </row>
        <row r="4105">
          <cell r="B4105" t="b">
            <v>1</v>
          </cell>
          <cell r="E4105" t="str">
            <v>San Pedro y Libertad</v>
          </cell>
          <cell r="H4105" t="str">
            <v>consulta_externa</v>
          </cell>
          <cell r="J4105" t="str">
            <v>bueno</v>
          </cell>
          <cell r="K4105" t="str">
            <v>probsi</v>
          </cell>
        </row>
        <row r="4106">
          <cell r="B4106" t="b">
            <v>1</v>
          </cell>
          <cell r="E4106" t="str">
            <v>San Pedro y Libertad</v>
          </cell>
          <cell r="H4106" t="str">
            <v>laboratorio</v>
          </cell>
          <cell r="J4106" t="str">
            <v>bueno</v>
          </cell>
          <cell r="K4106" t="str">
            <v>probsi</v>
          </cell>
        </row>
        <row r="4107">
          <cell r="B4107" t="b">
            <v>1</v>
          </cell>
          <cell r="E4107" t="str">
            <v>San Pedro y Libertad</v>
          </cell>
          <cell r="H4107" t="str">
            <v>consulta_externa</v>
          </cell>
          <cell r="J4107" t="str">
            <v>bueno</v>
          </cell>
          <cell r="K4107" t="str">
            <v>probsi</v>
          </cell>
        </row>
        <row r="4108">
          <cell r="B4108" t="b">
            <v>1</v>
          </cell>
          <cell r="E4108" t="str">
            <v>San Pedro y Libertad</v>
          </cell>
          <cell r="H4108" t="str">
            <v>laboratorio</v>
          </cell>
          <cell r="J4108" t="str">
            <v>bueno</v>
          </cell>
          <cell r="K4108" t="str">
            <v>probsi</v>
          </cell>
        </row>
        <row r="4109">
          <cell r="B4109" t="b">
            <v>1</v>
          </cell>
          <cell r="E4109" t="str">
            <v>San Pedro y Libertad</v>
          </cell>
          <cell r="H4109" t="str">
            <v>consulta_externa</v>
          </cell>
          <cell r="J4109" t="str">
            <v>bueno</v>
          </cell>
          <cell r="K4109" t="str">
            <v>probsi</v>
          </cell>
        </row>
        <row r="4110">
          <cell r="B4110" t="b">
            <v>1</v>
          </cell>
          <cell r="E4110" t="str">
            <v>San Pedro y Libertad</v>
          </cell>
          <cell r="H4110" t="str">
            <v>salud_oral</v>
          </cell>
          <cell r="J4110" t="str">
            <v>bueno</v>
          </cell>
          <cell r="K4110" t="str">
            <v>probsi</v>
          </cell>
        </row>
        <row r="4111">
          <cell r="B4111" t="b">
            <v>1</v>
          </cell>
          <cell r="E4111" t="str">
            <v>San Pedro y Libertad</v>
          </cell>
          <cell r="H4111" t="str">
            <v>laboratorio</v>
          </cell>
          <cell r="J4111" t="str">
            <v>bueno</v>
          </cell>
          <cell r="K4111" t="str">
            <v>probsi</v>
          </cell>
        </row>
        <row r="4112">
          <cell r="B4112" t="b">
            <v>1</v>
          </cell>
          <cell r="E4112" t="str">
            <v>San Pedro y Libertad</v>
          </cell>
          <cell r="H4112" t="str">
            <v>consulta_externa</v>
          </cell>
          <cell r="J4112" t="str">
            <v>bueno</v>
          </cell>
          <cell r="K4112" t="str">
            <v>probsi</v>
          </cell>
        </row>
        <row r="4113">
          <cell r="B4113" t="b">
            <v>1</v>
          </cell>
          <cell r="E4113" t="str">
            <v>San Pedro y Libertad</v>
          </cell>
          <cell r="H4113" t="str">
            <v>laboratorio</v>
          </cell>
          <cell r="J4113" t="str">
            <v>bueno</v>
          </cell>
          <cell r="K4113" t="str">
            <v>probsi</v>
          </cell>
        </row>
        <row r="4114">
          <cell r="B4114" t="b">
            <v>0</v>
          </cell>
          <cell r="E4114" t="str">
            <v>San Pedro y Libertad</v>
          </cell>
          <cell r="H4114" t="str">
            <v>consulta_externa</v>
          </cell>
          <cell r="J4114" t="str">
            <v>regular</v>
          </cell>
          <cell r="K4114" t="str">
            <v>probsi</v>
          </cell>
        </row>
        <row r="4115">
          <cell r="B4115" t="b">
            <v>0</v>
          </cell>
          <cell r="E4115" t="str">
            <v>San Pedro y Libertad</v>
          </cell>
          <cell r="H4115" t="str">
            <v>salud_oral</v>
          </cell>
          <cell r="J4115" t="str">
            <v>regular</v>
          </cell>
          <cell r="K4115" t="str">
            <v>probsi</v>
          </cell>
        </row>
        <row r="4116">
          <cell r="B4116" t="b">
            <v>0</v>
          </cell>
          <cell r="E4116" t="str">
            <v>San Pedro y Libertad</v>
          </cell>
          <cell r="H4116" t="str">
            <v>laboratorio</v>
          </cell>
          <cell r="J4116" t="str">
            <v>regular</v>
          </cell>
          <cell r="K4116" t="str">
            <v>probsi</v>
          </cell>
        </row>
        <row r="4117">
          <cell r="B4117" t="b">
            <v>1</v>
          </cell>
          <cell r="E4117" t="str">
            <v>San Pedro y Libertad</v>
          </cell>
          <cell r="H4117" t="str">
            <v>consulta_externa</v>
          </cell>
          <cell r="J4117" t="str">
            <v>bueno</v>
          </cell>
          <cell r="K4117" t="str">
            <v>probsi</v>
          </cell>
        </row>
        <row r="4118">
          <cell r="B4118" t="b">
            <v>0</v>
          </cell>
          <cell r="E4118" t="str">
            <v>San Pedro y Libertad</v>
          </cell>
          <cell r="H4118" t="str">
            <v>laboratorio</v>
          </cell>
          <cell r="J4118" t="str">
            <v>regular</v>
          </cell>
          <cell r="K4118" t="str">
            <v>probsi</v>
          </cell>
        </row>
        <row r="4119">
          <cell r="B4119" t="b">
            <v>0</v>
          </cell>
          <cell r="E4119" t="str">
            <v>San Pedro y Libertad</v>
          </cell>
          <cell r="H4119" t="str">
            <v>laboratorio</v>
          </cell>
          <cell r="J4119" t="str">
            <v>regular</v>
          </cell>
          <cell r="K4119" t="str">
            <v>probsi</v>
          </cell>
        </row>
        <row r="4120">
          <cell r="B4120" t="b">
            <v>1</v>
          </cell>
          <cell r="E4120" t="str">
            <v>San Pedro y Libertad</v>
          </cell>
          <cell r="H4120" t="str">
            <v>consulta_externa</v>
          </cell>
          <cell r="J4120" t="str">
            <v>bueno</v>
          </cell>
          <cell r="K4120" t="str">
            <v>probsi</v>
          </cell>
        </row>
        <row r="4121">
          <cell r="B4121" t="b">
            <v>1</v>
          </cell>
          <cell r="E4121" t="str">
            <v>San Pedro y Libertad</v>
          </cell>
          <cell r="H4121" t="str">
            <v>laboratorio</v>
          </cell>
          <cell r="J4121" t="str">
            <v>bueno</v>
          </cell>
          <cell r="K4121" t="str">
            <v>probsi</v>
          </cell>
        </row>
        <row r="4122">
          <cell r="B4122" t="b">
            <v>0</v>
          </cell>
          <cell r="E4122" t="str">
            <v>San Pedro y Libertad</v>
          </cell>
          <cell r="H4122" t="str">
            <v>consulta_externa</v>
          </cell>
          <cell r="J4122" t="str">
            <v>regular</v>
          </cell>
          <cell r="K4122" t="str">
            <v>probsi</v>
          </cell>
        </row>
        <row r="4123">
          <cell r="B4123" t="b">
            <v>0</v>
          </cell>
          <cell r="E4123" t="str">
            <v>San Pedro y Libertad</v>
          </cell>
          <cell r="H4123" t="str">
            <v>laboratorio</v>
          </cell>
          <cell r="J4123" t="str">
            <v>regular</v>
          </cell>
          <cell r="K4123" t="str">
            <v>probsi</v>
          </cell>
        </row>
        <row r="4124">
          <cell r="B4124" t="b">
            <v>0</v>
          </cell>
          <cell r="E4124" t="str">
            <v>San Pedro y Libertad</v>
          </cell>
          <cell r="H4124" t="str">
            <v>consulta_externa</v>
          </cell>
          <cell r="J4124" t="str">
            <v>regular</v>
          </cell>
          <cell r="K4124" t="str">
            <v>probsi</v>
          </cell>
        </row>
        <row r="4125">
          <cell r="B4125" t="b">
            <v>1</v>
          </cell>
          <cell r="E4125" t="str">
            <v>San Pedro y Libertad</v>
          </cell>
          <cell r="H4125" t="str">
            <v>salud_oral</v>
          </cell>
          <cell r="J4125" t="str">
            <v>bueno</v>
          </cell>
          <cell r="K4125" t="str">
            <v>probsi</v>
          </cell>
        </row>
        <row r="4126">
          <cell r="B4126" t="b">
            <v>0</v>
          </cell>
          <cell r="E4126" t="str">
            <v>San Pedro y Libertad</v>
          </cell>
          <cell r="H4126" t="str">
            <v>laboratorio</v>
          </cell>
          <cell r="J4126" t="str">
            <v>malo</v>
          </cell>
          <cell r="K4126" t="str">
            <v>probno</v>
          </cell>
        </row>
        <row r="4127">
          <cell r="B4127" t="b">
            <v>1</v>
          </cell>
          <cell r="E4127" t="str">
            <v>Punta Canoa</v>
          </cell>
          <cell r="H4127" t="str">
            <v>consulta_externa</v>
          </cell>
          <cell r="J4127" t="str">
            <v>bueno</v>
          </cell>
          <cell r="K4127" t="str">
            <v>defsi</v>
          </cell>
        </row>
        <row r="4128">
          <cell r="B4128" t="b">
            <v>1</v>
          </cell>
          <cell r="E4128" t="str">
            <v>Punta Canoa</v>
          </cell>
          <cell r="H4128" t="str">
            <v>salud_oral</v>
          </cell>
          <cell r="J4128" t="str">
            <v>bueno</v>
          </cell>
          <cell r="K4128" t="str">
            <v>defsi</v>
          </cell>
        </row>
        <row r="4129">
          <cell r="B4129" t="b">
            <v>1</v>
          </cell>
          <cell r="E4129" t="str">
            <v>Punta Canoa</v>
          </cell>
          <cell r="H4129" t="str">
            <v>laboratorio</v>
          </cell>
          <cell r="J4129" t="str">
            <v>bueno</v>
          </cell>
          <cell r="K4129" t="str">
            <v>defsi</v>
          </cell>
        </row>
        <row r="4130">
          <cell r="B4130" t="b">
            <v>1</v>
          </cell>
          <cell r="E4130" t="str">
            <v>Punta Canoa</v>
          </cell>
          <cell r="H4130" t="str">
            <v>consulta_externa</v>
          </cell>
          <cell r="J4130" t="str">
            <v>bueno</v>
          </cell>
          <cell r="K4130" t="str">
            <v>defsi</v>
          </cell>
        </row>
        <row r="4131">
          <cell r="B4131" t="b">
            <v>1</v>
          </cell>
          <cell r="E4131" t="str">
            <v>San Pedro y Libertad</v>
          </cell>
          <cell r="H4131" t="str">
            <v>salud_oral</v>
          </cell>
          <cell r="J4131" t="str">
            <v>bueno</v>
          </cell>
          <cell r="K4131" t="str">
            <v>probsi</v>
          </cell>
        </row>
        <row r="4132">
          <cell r="B4132" t="b">
            <v>1</v>
          </cell>
          <cell r="E4132" t="str">
            <v>San Pedro y Libertad</v>
          </cell>
          <cell r="H4132" t="str">
            <v>salud_oral</v>
          </cell>
          <cell r="J4132" t="str">
            <v>bueno</v>
          </cell>
          <cell r="K4132" t="str">
            <v>probsi</v>
          </cell>
        </row>
        <row r="4133">
          <cell r="B4133" t="b">
            <v>1</v>
          </cell>
          <cell r="E4133" t="str">
            <v>San Pedro y Libertad</v>
          </cell>
          <cell r="H4133" t="str">
            <v>salud_oral</v>
          </cell>
          <cell r="J4133" t="str">
            <v>bueno</v>
          </cell>
          <cell r="K4133" t="str">
            <v>probsi</v>
          </cell>
        </row>
        <row r="4134">
          <cell r="B4134" t="b">
            <v>1</v>
          </cell>
          <cell r="E4134" t="str">
            <v>Punta Canoa</v>
          </cell>
          <cell r="H4134" t="str">
            <v>salud_oral</v>
          </cell>
          <cell r="J4134" t="str">
            <v>bueno</v>
          </cell>
          <cell r="K4134" t="str">
            <v>defsi</v>
          </cell>
        </row>
        <row r="4135">
          <cell r="B4135" t="b">
            <v>1</v>
          </cell>
          <cell r="E4135" t="str">
            <v>San Pedro y Libertad</v>
          </cell>
          <cell r="H4135" t="str">
            <v>salud_oral</v>
          </cell>
          <cell r="J4135" t="str">
            <v>bueno</v>
          </cell>
          <cell r="K4135" t="str">
            <v>probsi</v>
          </cell>
        </row>
        <row r="4136">
          <cell r="B4136" t="b">
            <v>1</v>
          </cell>
          <cell r="E4136" t="str">
            <v>Punta Canoa</v>
          </cell>
          <cell r="H4136" t="str">
            <v>laboratorio</v>
          </cell>
          <cell r="J4136" t="str">
            <v>bueno</v>
          </cell>
          <cell r="K4136" t="str">
            <v>defsi</v>
          </cell>
        </row>
        <row r="4137">
          <cell r="B4137" t="b">
            <v>1</v>
          </cell>
          <cell r="E4137" t="str">
            <v>Punta Canoa</v>
          </cell>
          <cell r="H4137" t="str">
            <v>consulta_externa</v>
          </cell>
          <cell r="J4137" t="str">
            <v>bueno</v>
          </cell>
          <cell r="K4137" t="str">
            <v>defsi</v>
          </cell>
        </row>
        <row r="4138">
          <cell r="B4138" t="b">
            <v>1</v>
          </cell>
          <cell r="E4138" t="str">
            <v>Punta Canoa</v>
          </cell>
          <cell r="H4138" t="str">
            <v>salud_oral</v>
          </cell>
          <cell r="J4138" t="str">
            <v>bueno</v>
          </cell>
          <cell r="K4138" t="str">
            <v>defsi</v>
          </cell>
        </row>
        <row r="4139">
          <cell r="B4139" t="b">
            <v>1</v>
          </cell>
          <cell r="E4139" t="str">
            <v>Punta Canoa</v>
          </cell>
          <cell r="H4139" t="str">
            <v>laboratorio</v>
          </cell>
          <cell r="J4139" t="str">
            <v>bueno</v>
          </cell>
          <cell r="K4139" t="str">
            <v>defsi</v>
          </cell>
        </row>
        <row r="4140">
          <cell r="B4140" t="b">
            <v>1</v>
          </cell>
          <cell r="E4140" t="str">
            <v>Punta Canoa</v>
          </cell>
          <cell r="H4140" t="str">
            <v>consulta_externa</v>
          </cell>
          <cell r="J4140" t="str">
            <v>bueno</v>
          </cell>
          <cell r="K4140" t="str">
            <v>defsi</v>
          </cell>
        </row>
        <row r="4141">
          <cell r="B4141" t="b">
            <v>1</v>
          </cell>
          <cell r="E4141" t="str">
            <v>Punta Canoa</v>
          </cell>
          <cell r="H4141" t="str">
            <v>salud_oral</v>
          </cell>
          <cell r="J4141" t="str">
            <v>bueno</v>
          </cell>
          <cell r="K4141" t="str">
            <v>defsi</v>
          </cell>
        </row>
        <row r="4142">
          <cell r="B4142" t="b">
            <v>1</v>
          </cell>
          <cell r="E4142" t="str">
            <v>Punta Canoa</v>
          </cell>
          <cell r="H4142" t="str">
            <v>laboratorio</v>
          </cell>
          <cell r="J4142" t="str">
            <v>bueno</v>
          </cell>
          <cell r="K4142" t="str">
            <v>defsi</v>
          </cell>
        </row>
        <row r="4143">
          <cell r="B4143" t="b">
            <v>0</v>
          </cell>
          <cell r="E4143" t="str">
            <v>San Pedro y Libertad</v>
          </cell>
          <cell r="H4143" t="str">
            <v>consulta_externa</v>
          </cell>
          <cell r="J4143" t="str">
            <v>regular</v>
          </cell>
          <cell r="K4143" t="str">
            <v>probsi</v>
          </cell>
        </row>
        <row r="4144">
          <cell r="B4144" t="b">
            <v>0</v>
          </cell>
          <cell r="E4144" t="str">
            <v>San Pedro y Libertad</v>
          </cell>
          <cell r="H4144" t="str">
            <v>consulta_externa</v>
          </cell>
          <cell r="J4144" t="str">
            <v>regular</v>
          </cell>
          <cell r="K4144" t="str">
            <v>probsi</v>
          </cell>
        </row>
        <row r="4145">
          <cell r="B4145" t="b">
            <v>1</v>
          </cell>
          <cell r="E4145" t="str">
            <v>San Pedro y Libertad</v>
          </cell>
          <cell r="H4145" t="str">
            <v>consulta_externa</v>
          </cell>
          <cell r="J4145" t="str">
            <v>bueno</v>
          </cell>
          <cell r="K4145" t="str">
            <v>probsi</v>
          </cell>
        </row>
        <row r="4146">
          <cell r="B4146" t="b">
            <v>1</v>
          </cell>
          <cell r="E4146" t="str">
            <v>San Pedro y Libertad</v>
          </cell>
          <cell r="H4146" t="str">
            <v>salud_oral</v>
          </cell>
          <cell r="J4146" t="str">
            <v>bueno</v>
          </cell>
          <cell r="K4146" t="str">
            <v>probsi</v>
          </cell>
        </row>
        <row r="4147">
          <cell r="B4147" t="b">
            <v>1</v>
          </cell>
          <cell r="E4147" t="str">
            <v>San Vicente de Paul</v>
          </cell>
          <cell r="H4147" t="str">
            <v>consulta_externa</v>
          </cell>
          <cell r="J4147" t="str">
            <v>bueno</v>
          </cell>
          <cell r="K4147" t="str">
            <v>defsi</v>
          </cell>
        </row>
        <row r="4148">
          <cell r="B4148" t="b">
            <v>1</v>
          </cell>
          <cell r="E4148" t="str">
            <v>San Vicente de Paul</v>
          </cell>
          <cell r="H4148" t="str">
            <v>laboratorio</v>
          </cell>
          <cell r="J4148" t="str">
            <v>bueno</v>
          </cell>
          <cell r="K4148" t="str">
            <v>defsi</v>
          </cell>
        </row>
        <row r="4149">
          <cell r="B4149" t="b">
            <v>1</v>
          </cell>
          <cell r="E4149" t="str">
            <v>San Vicente de Paul</v>
          </cell>
          <cell r="H4149" t="str">
            <v>consulta_externa</v>
          </cell>
          <cell r="J4149" t="str">
            <v>bueno</v>
          </cell>
          <cell r="K4149" t="str">
            <v>defsi</v>
          </cell>
        </row>
        <row r="4150">
          <cell r="B4150" t="b">
            <v>1</v>
          </cell>
          <cell r="E4150" t="str">
            <v>San Vicente de Paul</v>
          </cell>
          <cell r="H4150" t="str">
            <v>laboratorio</v>
          </cell>
          <cell r="J4150" t="str">
            <v>bueno</v>
          </cell>
          <cell r="K4150" t="str">
            <v>defsi</v>
          </cell>
        </row>
        <row r="4151">
          <cell r="B4151" t="b">
            <v>1</v>
          </cell>
          <cell r="E4151" t="str">
            <v>San Vicente de Paul</v>
          </cell>
          <cell r="H4151" t="str">
            <v>consulta_externa</v>
          </cell>
          <cell r="J4151" t="str">
            <v>bueno</v>
          </cell>
          <cell r="K4151" t="str">
            <v>defsi</v>
          </cell>
        </row>
        <row r="4152">
          <cell r="B4152" t="b">
            <v>1</v>
          </cell>
          <cell r="E4152" t="str">
            <v>San Vicente de Paul</v>
          </cell>
          <cell r="H4152" t="str">
            <v>laboratorio</v>
          </cell>
          <cell r="J4152" t="str">
            <v>bueno</v>
          </cell>
          <cell r="K4152" t="str">
            <v>defsi</v>
          </cell>
        </row>
        <row r="4153">
          <cell r="B4153" t="b">
            <v>1</v>
          </cell>
          <cell r="E4153" t="str">
            <v>Gaviotas</v>
          </cell>
          <cell r="H4153" t="str">
            <v>consulta_externa</v>
          </cell>
          <cell r="J4153" t="str">
            <v>bueno</v>
          </cell>
          <cell r="K4153" t="str">
            <v>probsi</v>
          </cell>
        </row>
        <row r="4154">
          <cell r="B4154" t="b">
            <v>1</v>
          </cell>
          <cell r="E4154" t="str">
            <v>Gaviotas</v>
          </cell>
          <cell r="H4154" t="str">
            <v>laboratorio</v>
          </cell>
          <cell r="J4154" t="str">
            <v>bueno</v>
          </cell>
          <cell r="K4154" t="str">
            <v>probsi</v>
          </cell>
        </row>
        <row r="4155">
          <cell r="B4155" t="b">
            <v>1</v>
          </cell>
          <cell r="E4155" t="str">
            <v>Gaviotas</v>
          </cell>
          <cell r="H4155" t="str">
            <v>laboratorio</v>
          </cell>
          <cell r="J4155" t="str">
            <v>bueno</v>
          </cell>
          <cell r="K4155" t="str">
            <v>probsi</v>
          </cell>
        </row>
        <row r="4156">
          <cell r="B4156" t="b">
            <v>1</v>
          </cell>
          <cell r="E4156" t="str">
            <v>San Vicente de Paul</v>
          </cell>
          <cell r="H4156" t="str">
            <v>laboratorio</v>
          </cell>
          <cell r="J4156" t="str">
            <v>bueno</v>
          </cell>
          <cell r="K4156" t="str">
            <v>defsi</v>
          </cell>
        </row>
        <row r="4157">
          <cell r="B4157" t="b">
            <v>1</v>
          </cell>
          <cell r="E4157" t="str">
            <v>Gaviotas</v>
          </cell>
          <cell r="H4157" t="str">
            <v>laboratorio</v>
          </cell>
          <cell r="J4157" t="str">
            <v>bueno</v>
          </cell>
          <cell r="K4157" t="str">
            <v>probsi</v>
          </cell>
        </row>
        <row r="4158">
          <cell r="B4158" t="b">
            <v>1</v>
          </cell>
          <cell r="E4158" t="str">
            <v>Gaviotas</v>
          </cell>
          <cell r="H4158" t="str">
            <v>laboratorio</v>
          </cell>
          <cell r="J4158" t="str">
            <v>bueno</v>
          </cell>
          <cell r="K4158" t="str">
            <v>probsi</v>
          </cell>
        </row>
        <row r="4159">
          <cell r="B4159" t="b">
            <v>1</v>
          </cell>
          <cell r="E4159" t="str">
            <v>Gaviotas</v>
          </cell>
          <cell r="H4159" t="str">
            <v>consulta_externa</v>
          </cell>
          <cell r="J4159" t="str">
            <v>bueno</v>
          </cell>
          <cell r="K4159" t="str">
            <v>probsi</v>
          </cell>
        </row>
        <row r="4160">
          <cell r="B4160" t="b">
            <v>1</v>
          </cell>
          <cell r="E4160" t="str">
            <v>Gaviotas</v>
          </cell>
          <cell r="H4160" t="str">
            <v>consulta_externa</v>
          </cell>
          <cell r="J4160" t="str">
            <v>bueno</v>
          </cell>
          <cell r="K4160" t="str">
            <v>probsi</v>
          </cell>
        </row>
        <row r="4161">
          <cell r="B4161" t="b">
            <v>1</v>
          </cell>
          <cell r="E4161" t="str">
            <v>Gaviotas</v>
          </cell>
          <cell r="H4161" t="str">
            <v>consulta_externa</v>
          </cell>
          <cell r="J4161" t="str">
            <v>bueno</v>
          </cell>
          <cell r="K4161" t="str">
            <v>probsi</v>
          </cell>
        </row>
        <row r="4162">
          <cell r="B4162" t="b">
            <v>1</v>
          </cell>
          <cell r="E4162" t="str">
            <v>San Vicente de Paul</v>
          </cell>
          <cell r="H4162" t="str">
            <v>salud_oral</v>
          </cell>
          <cell r="J4162" t="str">
            <v>bueno</v>
          </cell>
          <cell r="K4162" t="str">
            <v>defsi</v>
          </cell>
        </row>
        <row r="4163">
          <cell r="B4163" t="b">
            <v>1</v>
          </cell>
          <cell r="E4163" t="str">
            <v>Gaviotas</v>
          </cell>
          <cell r="H4163" t="str">
            <v>salud_oral</v>
          </cell>
          <cell r="J4163" t="str">
            <v>bueno</v>
          </cell>
          <cell r="K4163" t="str">
            <v>probsi</v>
          </cell>
        </row>
        <row r="4164">
          <cell r="B4164" t="b">
            <v>1</v>
          </cell>
          <cell r="E4164" t="str">
            <v>Gaviotas</v>
          </cell>
          <cell r="H4164" t="str">
            <v>salud_oral</v>
          </cell>
          <cell r="J4164" t="str">
            <v>bueno</v>
          </cell>
          <cell r="K4164" t="str">
            <v>probsi</v>
          </cell>
        </row>
        <row r="4165">
          <cell r="B4165" t="b">
            <v>1</v>
          </cell>
          <cell r="E4165" t="str">
            <v>San Vicente de Paul</v>
          </cell>
          <cell r="H4165" t="str">
            <v>laboratorio</v>
          </cell>
          <cell r="J4165" t="str">
            <v>muybueno</v>
          </cell>
          <cell r="K4165" t="str">
            <v>defsi</v>
          </cell>
        </row>
        <row r="4166">
          <cell r="B4166" t="b">
            <v>1</v>
          </cell>
          <cell r="E4166" t="str">
            <v>Punta Canoa</v>
          </cell>
          <cell r="H4166" t="str">
            <v>consulta_externa</v>
          </cell>
          <cell r="J4166" t="str">
            <v>bueno</v>
          </cell>
          <cell r="K4166" t="str">
            <v>defsi</v>
          </cell>
        </row>
        <row r="4167">
          <cell r="B4167" t="b">
            <v>1</v>
          </cell>
          <cell r="E4167" t="str">
            <v>San Vicente de Paul</v>
          </cell>
          <cell r="H4167" t="str">
            <v>consulta_externa</v>
          </cell>
          <cell r="J4167" t="str">
            <v>bueno</v>
          </cell>
          <cell r="K4167" t="str">
            <v>defsi</v>
          </cell>
        </row>
        <row r="4168">
          <cell r="B4168" t="b">
            <v>1</v>
          </cell>
          <cell r="E4168" t="str">
            <v>San Vicente de Paul</v>
          </cell>
          <cell r="H4168" t="str">
            <v>laboratorio</v>
          </cell>
          <cell r="J4168" t="str">
            <v>bueno</v>
          </cell>
          <cell r="K4168" t="str">
            <v>defsi</v>
          </cell>
        </row>
        <row r="4169">
          <cell r="B4169" t="b">
            <v>1</v>
          </cell>
          <cell r="E4169" t="str">
            <v>Punta Canoa</v>
          </cell>
          <cell r="H4169" t="str">
            <v>salud_oral</v>
          </cell>
          <cell r="J4169" t="str">
            <v>bueno</v>
          </cell>
          <cell r="K4169" t="str">
            <v>defsi</v>
          </cell>
        </row>
        <row r="4170">
          <cell r="B4170" t="b">
            <v>1</v>
          </cell>
          <cell r="E4170" t="str">
            <v>Punta Canoa</v>
          </cell>
          <cell r="H4170" t="str">
            <v>laboratorio</v>
          </cell>
          <cell r="J4170" t="str">
            <v>bueno</v>
          </cell>
          <cell r="K4170" t="str">
            <v>defsi</v>
          </cell>
        </row>
        <row r="4171">
          <cell r="B4171" t="b">
            <v>1</v>
          </cell>
          <cell r="E4171" t="str">
            <v>San Vicente de Paul</v>
          </cell>
          <cell r="H4171" t="str">
            <v>laboratorio</v>
          </cell>
          <cell r="J4171" t="str">
            <v>bueno</v>
          </cell>
          <cell r="K4171" t="str">
            <v>defsi</v>
          </cell>
        </row>
        <row r="4172">
          <cell r="B4172" t="b">
            <v>1</v>
          </cell>
          <cell r="E4172" t="str">
            <v>Punta Canoa</v>
          </cell>
          <cell r="H4172" t="str">
            <v>consulta_externa</v>
          </cell>
          <cell r="J4172" t="str">
            <v>bueno</v>
          </cell>
          <cell r="K4172" t="str">
            <v>defsi</v>
          </cell>
        </row>
        <row r="4173">
          <cell r="B4173" t="b">
            <v>1</v>
          </cell>
          <cell r="E4173" t="str">
            <v>Punta Canoa</v>
          </cell>
          <cell r="H4173" t="str">
            <v>salud_oral</v>
          </cell>
          <cell r="J4173" t="str">
            <v>bueno</v>
          </cell>
          <cell r="K4173" t="str">
            <v>defsi</v>
          </cell>
        </row>
        <row r="4174">
          <cell r="B4174" t="b">
            <v>1</v>
          </cell>
          <cell r="E4174" t="str">
            <v>Punta Canoa</v>
          </cell>
          <cell r="H4174" t="str">
            <v>laboratorio</v>
          </cell>
          <cell r="J4174" t="str">
            <v>bueno</v>
          </cell>
          <cell r="K4174" t="str">
            <v>defsi</v>
          </cell>
        </row>
        <row r="4175">
          <cell r="B4175" t="b">
            <v>1</v>
          </cell>
          <cell r="E4175" t="str">
            <v>Punta Canoa</v>
          </cell>
          <cell r="H4175" t="str">
            <v>consulta_externa</v>
          </cell>
          <cell r="J4175" t="str">
            <v>bueno</v>
          </cell>
          <cell r="K4175" t="str">
            <v>defsi</v>
          </cell>
        </row>
        <row r="4176">
          <cell r="B4176" t="b">
            <v>1</v>
          </cell>
          <cell r="E4176" t="str">
            <v>Punta Canoa</v>
          </cell>
          <cell r="H4176" t="str">
            <v>salud_oral</v>
          </cell>
          <cell r="J4176" t="str">
            <v>bueno</v>
          </cell>
          <cell r="K4176" t="str">
            <v>defsi</v>
          </cell>
        </row>
        <row r="4177">
          <cell r="B4177" t="b">
            <v>1</v>
          </cell>
          <cell r="E4177" t="str">
            <v>Punta Canoa</v>
          </cell>
          <cell r="H4177" t="str">
            <v>laboratorio</v>
          </cell>
          <cell r="J4177" t="str">
            <v>bueno</v>
          </cell>
          <cell r="K4177" t="str">
            <v>defsi</v>
          </cell>
        </row>
        <row r="4178">
          <cell r="B4178" t="b">
            <v>1</v>
          </cell>
          <cell r="E4178" t="str">
            <v>San Francisco I</v>
          </cell>
          <cell r="H4178" t="str">
            <v>consulta_externa</v>
          </cell>
          <cell r="J4178" t="str">
            <v>bueno</v>
          </cell>
          <cell r="K4178" t="str">
            <v>probsi</v>
          </cell>
        </row>
        <row r="4179">
          <cell r="B4179" t="b">
            <v>1</v>
          </cell>
          <cell r="E4179" t="str">
            <v>San Francisco I</v>
          </cell>
          <cell r="H4179" t="str">
            <v>laboratorio</v>
          </cell>
          <cell r="J4179" t="str">
            <v>bueno</v>
          </cell>
          <cell r="K4179" t="str">
            <v>probsi</v>
          </cell>
        </row>
        <row r="4180">
          <cell r="B4180" t="b">
            <v>1</v>
          </cell>
          <cell r="E4180" t="str">
            <v>San Vicente de Paul</v>
          </cell>
          <cell r="H4180" t="str">
            <v>consulta_externa</v>
          </cell>
          <cell r="J4180" t="str">
            <v>bueno</v>
          </cell>
          <cell r="K4180" t="str">
            <v>defsi</v>
          </cell>
        </row>
        <row r="4181">
          <cell r="B4181" t="b">
            <v>1</v>
          </cell>
          <cell r="E4181" t="str">
            <v>San Vicente de Paul</v>
          </cell>
          <cell r="H4181" t="str">
            <v>laboratorio</v>
          </cell>
          <cell r="J4181" t="str">
            <v>bueno</v>
          </cell>
          <cell r="K4181" t="str">
            <v>defsi</v>
          </cell>
        </row>
        <row r="4182">
          <cell r="B4182" t="b">
            <v>1</v>
          </cell>
          <cell r="E4182" t="str">
            <v>San Vicente de Paul</v>
          </cell>
          <cell r="H4182" t="str">
            <v>salud_oral</v>
          </cell>
          <cell r="J4182" t="str">
            <v>bueno</v>
          </cell>
          <cell r="K4182" t="str">
            <v>defsi</v>
          </cell>
        </row>
        <row r="4183">
          <cell r="B4183" t="b">
            <v>0</v>
          </cell>
          <cell r="E4183" t="str">
            <v>San Vicente de Paul</v>
          </cell>
          <cell r="H4183" t="str">
            <v>salud_oral</v>
          </cell>
          <cell r="J4183" t="str">
            <v>regular</v>
          </cell>
          <cell r="K4183" t="str">
            <v>defsi</v>
          </cell>
        </row>
        <row r="4184">
          <cell r="B4184" t="b">
            <v>1</v>
          </cell>
          <cell r="E4184" t="str">
            <v>San Francisco I</v>
          </cell>
          <cell r="H4184" t="str">
            <v>salud_oral</v>
          </cell>
          <cell r="J4184" t="str">
            <v>bueno</v>
          </cell>
          <cell r="K4184" t="str">
            <v>probsi</v>
          </cell>
        </row>
        <row r="4185">
          <cell r="B4185" t="b">
            <v>1</v>
          </cell>
          <cell r="E4185" t="str">
            <v>San Francisco I</v>
          </cell>
          <cell r="H4185" t="str">
            <v>consulta_externa</v>
          </cell>
          <cell r="J4185" t="str">
            <v>bueno</v>
          </cell>
          <cell r="K4185" t="str">
            <v>probsi</v>
          </cell>
        </row>
        <row r="4186">
          <cell r="B4186" t="b">
            <v>1</v>
          </cell>
          <cell r="E4186" t="str">
            <v>San Vicente de Paul</v>
          </cell>
          <cell r="H4186" t="str">
            <v>salud_oral</v>
          </cell>
          <cell r="J4186" t="str">
            <v>bueno</v>
          </cell>
          <cell r="K4186" t="str">
            <v>defsi</v>
          </cell>
        </row>
        <row r="4187">
          <cell r="B4187" t="b">
            <v>1</v>
          </cell>
          <cell r="E4187" t="str">
            <v>San Vicente de Paul</v>
          </cell>
          <cell r="H4187" t="str">
            <v>salud_oral</v>
          </cell>
          <cell r="J4187" t="str">
            <v>bueno</v>
          </cell>
          <cell r="K4187" t="str">
            <v>defsi</v>
          </cell>
        </row>
        <row r="4188">
          <cell r="B4188" t="b">
            <v>1</v>
          </cell>
          <cell r="E4188" t="str">
            <v>San Vicente de Paul</v>
          </cell>
          <cell r="H4188" t="str">
            <v>consulta_externa</v>
          </cell>
          <cell r="J4188" t="str">
            <v>bueno</v>
          </cell>
          <cell r="K4188" t="str">
            <v>defsi</v>
          </cell>
        </row>
        <row r="4189">
          <cell r="B4189" t="b">
            <v>1</v>
          </cell>
          <cell r="E4189" t="str">
            <v>San Vicente de Paul</v>
          </cell>
          <cell r="H4189" t="str">
            <v>salud_oral</v>
          </cell>
          <cell r="J4189" t="str">
            <v>bueno</v>
          </cell>
          <cell r="K4189" t="str">
            <v>defsi</v>
          </cell>
        </row>
        <row r="4190">
          <cell r="B4190" t="b">
            <v>0</v>
          </cell>
          <cell r="E4190" t="str">
            <v>San Francisco I</v>
          </cell>
          <cell r="H4190" t="str">
            <v>consulta_externa</v>
          </cell>
          <cell r="J4190" t="str">
            <v>regular</v>
          </cell>
          <cell r="K4190" t="str">
            <v>probsi</v>
          </cell>
        </row>
        <row r="4191">
          <cell r="B4191" t="b">
            <v>1</v>
          </cell>
          <cell r="E4191" t="str">
            <v>San Francisco I</v>
          </cell>
          <cell r="H4191" t="str">
            <v>consulta_externa</v>
          </cell>
          <cell r="J4191" t="str">
            <v>bueno</v>
          </cell>
          <cell r="K4191" t="str">
            <v>probsi</v>
          </cell>
        </row>
        <row r="4192">
          <cell r="B4192" t="b">
            <v>0</v>
          </cell>
          <cell r="E4192" t="str">
            <v>San Francisco I</v>
          </cell>
          <cell r="H4192" t="str">
            <v>laboratorio</v>
          </cell>
          <cell r="J4192" t="str">
            <v>regular</v>
          </cell>
          <cell r="K4192" t="str">
            <v>probsi</v>
          </cell>
        </row>
        <row r="4193">
          <cell r="B4193" t="b">
            <v>1</v>
          </cell>
          <cell r="E4193" t="str">
            <v>Gaviotas</v>
          </cell>
          <cell r="H4193" t="str">
            <v>consulta_externa</v>
          </cell>
          <cell r="J4193" t="str">
            <v>bueno</v>
          </cell>
          <cell r="K4193" t="str">
            <v>probsi</v>
          </cell>
        </row>
        <row r="4194">
          <cell r="B4194" t="b">
            <v>1</v>
          </cell>
          <cell r="E4194" t="str">
            <v>Gaviotas</v>
          </cell>
          <cell r="H4194" t="str">
            <v>consulta_externa</v>
          </cell>
          <cell r="J4194" t="str">
            <v>bueno</v>
          </cell>
          <cell r="K4194" t="str">
            <v>probsi</v>
          </cell>
        </row>
        <row r="4195">
          <cell r="B4195" t="b">
            <v>1</v>
          </cell>
          <cell r="E4195" t="str">
            <v>Gaviotas</v>
          </cell>
          <cell r="H4195" t="str">
            <v>laboratorio</v>
          </cell>
          <cell r="J4195" t="str">
            <v>bueno</v>
          </cell>
          <cell r="K4195" t="str">
            <v>probsi</v>
          </cell>
        </row>
        <row r="4196">
          <cell r="B4196" t="b">
            <v>1</v>
          </cell>
          <cell r="E4196" t="str">
            <v>Gaviotas</v>
          </cell>
          <cell r="H4196" t="str">
            <v>laboratorio</v>
          </cell>
          <cell r="J4196" t="str">
            <v>bueno</v>
          </cell>
          <cell r="K4196" t="str">
            <v>probsi</v>
          </cell>
        </row>
        <row r="4197">
          <cell r="B4197" t="b">
            <v>1</v>
          </cell>
          <cell r="E4197" t="str">
            <v>Gaviotas</v>
          </cell>
          <cell r="H4197" t="str">
            <v>consulta_externa</v>
          </cell>
          <cell r="J4197" t="str">
            <v>bueno</v>
          </cell>
          <cell r="K4197" t="str">
            <v>probsi</v>
          </cell>
        </row>
        <row r="4198">
          <cell r="B4198" t="b">
            <v>1</v>
          </cell>
          <cell r="E4198" t="str">
            <v>Gaviotas</v>
          </cell>
          <cell r="H4198" t="str">
            <v>consulta_externa</v>
          </cell>
          <cell r="J4198" t="str">
            <v>bueno</v>
          </cell>
          <cell r="K4198" t="str">
            <v>probsi</v>
          </cell>
        </row>
        <row r="4199">
          <cell r="B4199" t="b">
            <v>1</v>
          </cell>
          <cell r="E4199" t="str">
            <v>Gaviotas</v>
          </cell>
          <cell r="H4199" t="str">
            <v>laboratorio</v>
          </cell>
          <cell r="J4199" t="str">
            <v>bueno</v>
          </cell>
          <cell r="K4199" t="str">
            <v>probsi</v>
          </cell>
        </row>
        <row r="4200">
          <cell r="B4200" t="b">
            <v>1</v>
          </cell>
          <cell r="E4200" t="str">
            <v>San Vicente de Paul</v>
          </cell>
          <cell r="H4200" t="str">
            <v>laboratorio</v>
          </cell>
          <cell r="J4200" t="str">
            <v>bueno</v>
          </cell>
          <cell r="K4200" t="str">
            <v>defsi</v>
          </cell>
        </row>
        <row r="4201">
          <cell r="B4201" t="b">
            <v>1</v>
          </cell>
          <cell r="E4201" t="str">
            <v>Gaviotas</v>
          </cell>
          <cell r="H4201" t="str">
            <v>laboratorio</v>
          </cell>
          <cell r="J4201" t="str">
            <v>bueno</v>
          </cell>
          <cell r="K4201" t="str">
            <v>probsi</v>
          </cell>
        </row>
        <row r="4202">
          <cell r="B4202" t="b">
            <v>1</v>
          </cell>
          <cell r="E4202" t="str">
            <v>Gaviotas</v>
          </cell>
          <cell r="H4202" t="str">
            <v>laboratorio</v>
          </cell>
          <cell r="J4202" t="str">
            <v>bueno</v>
          </cell>
          <cell r="K4202" t="str">
            <v>probsi</v>
          </cell>
        </row>
        <row r="4203">
          <cell r="B4203" t="b">
            <v>1</v>
          </cell>
          <cell r="E4203" t="str">
            <v>Gaviotas</v>
          </cell>
          <cell r="H4203" t="str">
            <v>laboratorio</v>
          </cell>
          <cell r="J4203" t="str">
            <v>bueno</v>
          </cell>
          <cell r="K4203" t="str">
            <v>probsi</v>
          </cell>
        </row>
        <row r="4204">
          <cell r="B4204" t="b">
            <v>1</v>
          </cell>
          <cell r="E4204" t="str">
            <v>San Francisco I</v>
          </cell>
          <cell r="H4204" t="str">
            <v>consulta_externa</v>
          </cell>
          <cell r="J4204" t="str">
            <v>bueno</v>
          </cell>
          <cell r="K4204" t="str">
            <v>probsi</v>
          </cell>
        </row>
        <row r="4205">
          <cell r="B4205" t="b">
            <v>1</v>
          </cell>
          <cell r="E4205" t="str">
            <v>San Francisco I</v>
          </cell>
          <cell r="H4205" t="str">
            <v>salud_oral</v>
          </cell>
          <cell r="J4205" t="str">
            <v>bueno</v>
          </cell>
          <cell r="K4205" t="str">
            <v>probsi</v>
          </cell>
        </row>
        <row r="4206">
          <cell r="B4206" t="b">
            <v>1</v>
          </cell>
          <cell r="E4206" t="str">
            <v>Punta Canoa</v>
          </cell>
          <cell r="H4206" t="str">
            <v>consulta_externa</v>
          </cell>
          <cell r="J4206" t="str">
            <v>bueno</v>
          </cell>
          <cell r="K4206" t="str">
            <v>defsi</v>
          </cell>
        </row>
        <row r="4207">
          <cell r="B4207" t="b">
            <v>1</v>
          </cell>
          <cell r="E4207" t="str">
            <v>San Francisco I</v>
          </cell>
          <cell r="H4207" t="str">
            <v>consulta_externa</v>
          </cell>
          <cell r="J4207" t="str">
            <v>bueno</v>
          </cell>
          <cell r="K4207" t="str">
            <v>probsi</v>
          </cell>
        </row>
        <row r="4208">
          <cell r="B4208" t="b">
            <v>1</v>
          </cell>
          <cell r="E4208" t="str">
            <v>Punta Canoa</v>
          </cell>
          <cell r="H4208" t="str">
            <v>salud_oral</v>
          </cell>
          <cell r="J4208" t="str">
            <v>bueno</v>
          </cell>
          <cell r="K4208" t="str">
            <v>defsi</v>
          </cell>
        </row>
        <row r="4209">
          <cell r="B4209" t="b">
            <v>0</v>
          </cell>
          <cell r="E4209" t="str">
            <v>San Francisco I</v>
          </cell>
          <cell r="H4209" t="str">
            <v>salud_oral</v>
          </cell>
          <cell r="J4209" t="str">
            <v>regular</v>
          </cell>
          <cell r="K4209" t="str">
            <v>probsi</v>
          </cell>
        </row>
        <row r="4210">
          <cell r="B4210" t="b">
            <v>1</v>
          </cell>
          <cell r="E4210" t="str">
            <v>Punta Canoa</v>
          </cell>
          <cell r="H4210" t="str">
            <v>laboratorio</v>
          </cell>
          <cell r="J4210" t="str">
            <v>bueno</v>
          </cell>
          <cell r="K4210" t="str">
            <v>defsi</v>
          </cell>
        </row>
        <row r="4211">
          <cell r="B4211" t="b">
            <v>1</v>
          </cell>
          <cell r="E4211" t="str">
            <v>San Francisco I</v>
          </cell>
          <cell r="H4211" t="str">
            <v>laboratorio</v>
          </cell>
          <cell r="J4211" t="str">
            <v>bueno</v>
          </cell>
          <cell r="K4211" t="str">
            <v>probsi</v>
          </cell>
        </row>
        <row r="4212">
          <cell r="B4212" t="b">
            <v>1</v>
          </cell>
          <cell r="E4212" t="str">
            <v>Punta Canoa</v>
          </cell>
          <cell r="H4212" t="str">
            <v>consulta_externa</v>
          </cell>
          <cell r="J4212" t="str">
            <v>bueno</v>
          </cell>
          <cell r="K4212" t="str">
            <v>defsi</v>
          </cell>
        </row>
        <row r="4213">
          <cell r="B4213" t="b">
            <v>1</v>
          </cell>
          <cell r="E4213" t="str">
            <v>Punta Canoa</v>
          </cell>
          <cell r="H4213" t="str">
            <v>salud_oral</v>
          </cell>
          <cell r="J4213" t="str">
            <v>bueno</v>
          </cell>
          <cell r="K4213" t="str">
            <v>defsi</v>
          </cell>
        </row>
        <row r="4214">
          <cell r="B4214" t="b">
            <v>1</v>
          </cell>
          <cell r="E4214" t="str">
            <v>Punta Canoa</v>
          </cell>
          <cell r="H4214" t="str">
            <v>laboratorio</v>
          </cell>
          <cell r="J4214" t="str">
            <v>bueno</v>
          </cell>
          <cell r="K4214" t="str">
            <v>defsi</v>
          </cell>
        </row>
        <row r="4215">
          <cell r="B4215" t="b">
            <v>1</v>
          </cell>
          <cell r="E4215" t="str">
            <v>San Francisco I</v>
          </cell>
          <cell r="H4215" t="str">
            <v>consulta_externa</v>
          </cell>
          <cell r="J4215" t="str">
            <v>bueno</v>
          </cell>
          <cell r="K4215" t="str">
            <v>probsi</v>
          </cell>
        </row>
        <row r="4216">
          <cell r="B4216" t="b">
            <v>1</v>
          </cell>
          <cell r="E4216" t="str">
            <v>Punta Canoa</v>
          </cell>
          <cell r="H4216" t="str">
            <v>consulta_externa</v>
          </cell>
          <cell r="J4216" t="str">
            <v>bueno</v>
          </cell>
          <cell r="K4216" t="str">
            <v>defsi</v>
          </cell>
        </row>
        <row r="4217">
          <cell r="B4217" t="b">
            <v>1</v>
          </cell>
          <cell r="E4217" t="str">
            <v>San Francisco I</v>
          </cell>
          <cell r="H4217" t="str">
            <v>salud_oral</v>
          </cell>
          <cell r="J4217" t="str">
            <v>bueno</v>
          </cell>
          <cell r="K4217" t="str">
            <v>probsi</v>
          </cell>
        </row>
        <row r="4218">
          <cell r="B4218" t="b">
            <v>1</v>
          </cell>
          <cell r="E4218" t="str">
            <v>Punta Canoa</v>
          </cell>
          <cell r="H4218" t="str">
            <v>salud_oral</v>
          </cell>
          <cell r="J4218" t="str">
            <v>bueno</v>
          </cell>
          <cell r="K4218" t="str">
            <v>defsi</v>
          </cell>
        </row>
        <row r="4219">
          <cell r="B4219" t="b">
            <v>1</v>
          </cell>
          <cell r="E4219" t="str">
            <v>Punta Canoa</v>
          </cell>
          <cell r="H4219" t="str">
            <v>laboratorio</v>
          </cell>
          <cell r="J4219" t="str">
            <v>bueno</v>
          </cell>
          <cell r="K4219" t="str">
            <v>defsi</v>
          </cell>
        </row>
        <row r="4220">
          <cell r="B4220" t="b">
            <v>1</v>
          </cell>
          <cell r="E4220" t="str">
            <v>San Francisco I</v>
          </cell>
          <cell r="H4220" t="str">
            <v>consulta_externa</v>
          </cell>
          <cell r="J4220" t="str">
            <v>bueno</v>
          </cell>
          <cell r="K4220" t="str">
            <v>probsi</v>
          </cell>
        </row>
        <row r="4221">
          <cell r="B4221" t="b">
            <v>1</v>
          </cell>
          <cell r="E4221" t="str">
            <v>San Francisco I</v>
          </cell>
          <cell r="H4221" t="str">
            <v>laboratorio</v>
          </cell>
          <cell r="J4221" t="str">
            <v>bueno</v>
          </cell>
          <cell r="K4221" t="str">
            <v>probsi</v>
          </cell>
        </row>
        <row r="4222">
          <cell r="B4222" t="b">
            <v>1</v>
          </cell>
          <cell r="E4222" t="str">
            <v>San Vicente de Paul</v>
          </cell>
          <cell r="H4222" t="str">
            <v>laboratorio</v>
          </cell>
          <cell r="J4222" t="str">
            <v>bueno</v>
          </cell>
          <cell r="K4222" t="str">
            <v>defsi</v>
          </cell>
        </row>
        <row r="4223">
          <cell r="B4223" t="b">
            <v>1</v>
          </cell>
          <cell r="E4223" t="str">
            <v>San Vicente de Paul</v>
          </cell>
          <cell r="H4223" t="str">
            <v>salud_oral</v>
          </cell>
          <cell r="J4223" t="str">
            <v>bueno</v>
          </cell>
          <cell r="K4223" t="str">
            <v>defsi</v>
          </cell>
        </row>
        <row r="4224">
          <cell r="B4224" t="b">
            <v>1</v>
          </cell>
          <cell r="E4224" t="str">
            <v>Punta Canoa</v>
          </cell>
          <cell r="H4224" t="str">
            <v>consulta_externa</v>
          </cell>
          <cell r="J4224" t="str">
            <v>bueno</v>
          </cell>
          <cell r="K4224" t="str">
            <v>defsi</v>
          </cell>
        </row>
        <row r="4225">
          <cell r="B4225" t="b">
            <v>1</v>
          </cell>
          <cell r="E4225" t="str">
            <v>Punta Canoa</v>
          </cell>
          <cell r="H4225" t="str">
            <v>salud_oral</v>
          </cell>
          <cell r="J4225" t="str">
            <v>bueno</v>
          </cell>
          <cell r="K4225" t="str">
            <v>defsi</v>
          </cell>
        </row>
        <row r="4226">
          <cell r="B4226" t="b">
            <v>1</v>
          </cell>
          <cell r="E4226" t="str">
            <v>Punta Canoa</v>
          </cell>
          <cell r="H4226" t="str">
            <v>laboratorio</v>
          </cell>
          <cell r="J4226" t="str">
            <v>bueno</v>
          </cell>
          <cell r="K4226" t="str">
            <v>defsi</v>
          </cell>
        </row>
        <row r="4227">
          <cell r="B4227" t="b">
            <v>1</v>
          </cell>
          <cell r="E4227" t="str">
            <v>San Francisco I</v>
          </cell>
          <cell r="H4227" t="str">
            <v>consulta_externa</v>
          </cell>
          <cell r="J4227" t="str">
            <v>muybueno</v>
          </cell>
          <cell r="K4227" t="str">
            <v>probsi</v>
          </cell>
        </row>
        <row r="4228">
          <cell r="B4228" t="b">
            <v>1</v>
          </cell>
          <cell r="E4228" t="str">
            <v>Punta Canoa</v>
          </cell>
          <cell r="H4228" t="str">
            <v>consulta_externa</v>
          </cell>
          <cell r="J4228" t="str">
            <v>bueno</v>
          </cell>
          <cell r="K4228" t="str">
            <v>defsi</v>
          </cell>
        </row>
        <row r="4229">
          <cell r="B4229" t="b">
            <v>1</v>
          </cell>
          <cell r="E4229" t="str">
            <v>San Vicente de Paul</v>
          </cell>
          <cell r="H4229" t="str">
            <v>consulta_externa</v>
          </cell>
          <cell r="J4229" t="str">
            <v>bueno</v>
          </cell>
          <cell r="K4229" t="str">
            <v>defsi</v>
          </cell>
        </row>
        <row r="4230">
          <cell r="B4230" t="b">
            <v>1</v>
          </cell>
          <cell r="E4230" t="str">
            <v>Punta Canoa</v>
          </cell>
          <cell r="H4230" t="str">
            <v>laboratorio</v>
          </cell>
          <cell r="J4230" t="str">
            <v>bueno</v>
          </cell>
          <cell r="K4230" t="str">
            <v>defsi</v>
          </cell>
        </row>
        <row r="4231">
          <cell r="B4231" t="b">
            <v>1</v>
          </cell>
          <cell r="E4231" t="str">
            <v>Punta Canoa</v>
          </cell>
          <cell r="H4231" t="str">
            <v>consulta_externa</v>
          </cell>
          <cell r="J4231" t="str">
            <v>bueno</v>
          </cell>
          <cell r="K4231" t="str">
            <v>defsi</v>
          </cell>
        </row>
        <row r="4232">
          <cell r="B4232" t="b">
            <v>1</v>
          </cell>
          <cell r="E4232" t="str">
            <v>San Francisco I</v>
          </cell>
          <cell r="H4232" t="str">
            <v>laboratorio</v>
          </cell>
          <cell r="J4232" t="str">
            <v>bueno</v>
          </cell>
          <cell r="K4232" t="str">
            <v>probsi</v>
          </cell>
        </row>
        <row r="4233">
          <cell r="B4233" t="b">
            <v>1</v>
          </cell>
          <cell r="E4233" t="str">
            <v>San Vicente de Paul</v>
          </cell>
          <cell r="H4233" t="str">
            <v>consulta_externa</v>
          </cell>
          <cell r="J4233" t="str">
            <v>bueno</v>
          </cell>
          <cell r="K4233" t="str">
            <v>defsi</v>
          </cell>
        </row>
        <row r="4234">
          <cell r="B4234" t="b">
            <v>1</v>
          </cell>
          <cell r="E4234" t="str">
            <v>San Vicente de Paul</v>
          </cell>
          <cell r="H4234" t="str">
            <v>consulta_externa</v>
          </cell>
          <cell r="J4234" t="str">
            <v>bueno</v>
          </cell>
          <cell r="K4234" t="str">
            <v>defsi</v>
          </cell>
        </row>
        <row r="4235">
          <cell r="B4235" t="b">
            <v>1</v>
          </cell>
          <cell r="E4235" t="str">
            <v>Punta Canoa</v>
          </cell>
          <cell r="H4235" t="str">
            <v>salud_oral</v>
          </cell>
          <cell r="J4235" t="str">
            <v>bueno</v>
          </cell>
          <cell r="K4235" t="str">
            <v>defsi</v>
          </cell>
        </row>
        <row r="4236">
          <cell r="B4236" t="b">
            <v>1</v>
          </cell>
          <cell r="E4236" t="str">
            <v>Punta Canoa</v>
          </cell>
          <cell r="H4236" t="str">
            <v>consulta_externa</v>
          </cell>
          <cell r="J4236" t="str">
            <v>bueno</v>
          </cell>
          <cell r="K4236" t="str">
            <v>defsi</v>
          </cell>
        </row>
        <row r="4237">
          <cell r="B4237" t="b">
            <v>1</v>
          </cell>
          <cell r="E4237" t="str">
            <v>Punta Canoa</v>
          </cell>
          <cell r="H4237" t="str">
            <v>salud_oral</v>
          </cell>
          <cell r="J4237" t="str">
            <v>bueno</v>
          </cell>
          <cell r="K4237" t="str">
            <v>defsi</v>
          </cell>
        </row>
        <row r="4238">
          <cell r="B4238" t="b">
            <v>1</v>
          </cell>
          <cell r="E4238" t="str">
            <v>San Francisco I</v>
          </cell>
          <cell r="H4238" t="str">
            <v>salud_oral</v>
          </cell>
          <cell r="J4238" t="str">
            <v>bueno</v>
          </cell>
          <cell r="K4238" t="str">
            <v>probsi</v>
          </cell>
        </row>
        <row r="4239">
          <cell r="B4239" t="b">
            <v>0</v>
          </cell>
          <cell r="E4239" t="str">
            <v>San Francisco I</v>
          </cell>
          <cell r="H4239" t="str">
            <v>laboratorio</v>
          </cell>
          <cell r="J4239" t="str">
            <v>regular</v>
          </cell>
          <cell r="K4239" t="str">
            <v>probsi</v>
          </cell>
        </row>
        <row r="4240">
          <cell r="B4240" t="b">
            <v>1</v>
          </cell>
          <cell r="E4240" t="str">
            <v>San Francisco I</v>
          </cell>
          <cell r="H4240" t="str">
            <v>salud_oral</v>
          </cell>
          <cell r="J4240" t="str">
            <v>bueno</v>
          </cell>
          <cell r="K4240" t="str">
            <v>probsi</v>
          </cell>
        </row>
        <row r="4241">
          <cell r="B4241" t="b">
            <v>1</v>
          </cell>
          <cell r="E4241" t="str">
            <v>San Francisco I</v>
          </cell>
          <cell r="H4241" t="str">
            <v>salud_oral</v>
          </cell>
          <cell r="J4241" t="str">
            <v>bueno</v>
          </cell>
          <cell r="K4241" t="str">
            <v>probsi</v>
          </cell>
        </row>
        <row r="4242">
          <cell r="B4242" t="b">
            <v>1</v>
          </cell>
          <cell r="E4242" t="str">
            <v>San Francisco I</v>
          </cell>
          <cell r="H4242" t="str">
            <v>salud_oral</v>
          </cell>
          <cell r="J4242" t="str">
            <v>bueno</v>
          </cell>
          <cell r="K4242" t="str">
            <v>probsi</v>
          </cell>
        </row>
        <row r="4243">
          <cell r="B4243" t="b">
            <v>0</v>
          </cell>
          <cell r="E4243" t="str">
            <v>San Francisco I</v>
          </cell>
          <cell r="H4243" t="str">
            <v>salud_oral</v>
          </cell>
          <cell r="J4243" t="str">
            <v>regular</v>
          </cell>
          <cell r="K4243" t="str">
            <v>probsi</v>
          </cell>
        </row>
        <row r="4244">
          <cell r="B4244" t="b">
            <v>0</v>
          </cell>
          <cell r="E4244" t="str">
            <v>San Francisco I</v>
          </cell>
          <cell r="H4244" t="str">
            <v>laboratorio</v>
          </cell>
          <cell r="J4244" t="str">
            <v>regular</v>
          </cell>
          <cell r="K4244" t="str">
            <v>probsi</v>
          </cell>
        </row>
        <row r="4245">
          <cell r="B4245" t="b">
            <v>1</v>
          </cell>
          <cell r="E4245" t="str">
            <v>Pontezuela</v>
          </cell>
          <cell r="H4245" t="str">
            <v>consulta_externa</v>
          </cell>
          <cell r="J4245" t="str">
            <v>bueno</v>
          </cell>
          <cell r="K4245" t="str">
            <v>defsi</v>
          </cell>
        </row>
        <row r="4246">
          <cell r="B4246" t="b">
            <v>1</v>
          </cell>
          <cell r="E4246" t="str">
            <v>Pontezuela</v>
          </cell>
          <cell r="H4246" t="str">
            <v>salud_oral</v>
          </cell>
          <cell r="J4246" t="str">
            <v>bueno</v>
          </cell>
          <cell r="K4246" t="str">
            <v>defsi</v>
          </cell>
        </row>
        <row r="4247">
          <cell r="B4247" t="b">
            <v>1</v>
          </cell>
          <cell r="E4247" t="str">
            <v>Pontezuela</v>
          </cell>
          <cell r="H4247" t="str">
            <v>consulta_externa</v>
          </cell>
          <cell r="J4247" t="str">
            <v>bueno</v>
          </cell>
          <cell r="K4247" t="str">
            <v>defsi</v>
          </cell>
        </row>
        <row r="4248">
          <cell r="B4248" t="b">
            <v>1</v>
          </cell>
          <cell r="E4248" t="str">
            <v>Pontezuela</v>
          </cell>
          <cell r="H4248" t="str">
            <v>salud_oral</v>
          </cell>
          <cell r="J4248" t="str">
            <v>bueno</v>
          </cell>
          <cell r="K4248" t="str">
            <v>defsi</v>
          </cell>
        </row>
        <row r="4249">
          <cell r="B4249" t="b">
            <v>1</v>
          </cell>
          <cell r="E4249" t="str">
            <v>Pontezuela</v>
          </cell>
          <cell r="H4249" t="str">
            <v>consulta_externa</v>
          </cell>
          <cell r="J4249" t="str">
            <v>bueno</v>
          </cell>
          <cell r="K4249" t="str">
            <v>defsi</v>
          </cell>
        </row>
        <row r="4250">
          <cell r="B4250" t="b">
            <v>1</v>
          </cell>
          <cell r="E4250" t="str">
            <v>Pontezuela</v>
          </cell>
          <cell r="H4250" t="str">
            <v>salud_oral</v>
          </cell>
          <cell r="J4250" t="str">
            <v>bueno</v>
          </cell>
          <cell r="K4250" t="str">
            <v>defsi</v>
          </cell>
        </row>
        <row r="4251">
          <cell r="B4251" t="b">
            <v>1</v>
          </cell>
          <cell r="E4251" t="str">
            <v>Libano</v>
          </cell>
          <cell r="H4251" t="str">
            <v>consulta_externa</v>
          </cell>
          <cell r="J4251" t="str">
            <v>bueno</v>
          </cell>
          <cell r="K4251" t="str">
            <v>defsi</v>
          </cell>
        </row>
        <row r="4252">
          <cell r="B4252" t="b">
            <v>1</v>
          </cell>
          <cell r="E4252" t="str">
            <v>Libano</v>
          </cell>
          <cell r="H4252" t="str">
            <v>laboratorio</v>
          </cell>
          <cell r="J4252" t="str">
            <v>bueno</v>
          </cell>
          <cell r="K4252" t="str">
            <v>defsi</v>
          </cell>
        </row>
        <row r="4253">
          <cell r="B4253" t="b">
            <v>1</v>
          </cell>
          <cell r="E4253" t="str">
            <v>Pontezuela</v>
          </cell>
          <cell r="H4253" t="str">
            <v>consulta_externa</v>
          </cell>
          <cell r="J4253" t="str">
            <v>bueno</v>
          </cell>
          <cell r="K4253" t="str">
            <v>defsi</v>
          </cell>
        </row>
        <row r="4254">
          <cell r="B4254" t="b">
            <v>1</v>
          </cell>
          <cell r="E4254" t="str">
            <v>Pontezuela</v>
          </cell>
          <cell r="H4254" t="str">
            <v>salud_oral</v>
          </cell>
          <cell r="J4254" t="str">
            <v>bueno</v>
          </cell>
          <cell r="K4254" t="str">
            <v>defsi</v>
          </cell>
        </row>
        <row r="4255">
          <cell r="B4255" t="b">
            <v>1</v>
          </cell>
          <cell r="E4255" t="str">
            <v>Pontezuela</v>
          </cell>
          <cell r="H4255" t="str">
            <v>consulta_externa</v>
          </cell>
          <cell r="J4255" t="str">
            <v>bueno</v>
          </cell>
          <cell r="K4255" t="str">
            <v>defsi</v>
          </cell>
        </row>
        <row r="4256">
          <cell r="B4256" t="b">
            <v>1</v>
          </cell>
          <cell r="E4256" t="str">
            <v>Pontezuela</v>
          </cell>
          <cell r="H4256" t="str">
            <v>salud_oral</v>
          </cell>
          <cell r="J4256" t="str">
            <v>bueno</v>
          </cell>
          <cell r="K4256" t="str">
            <v>defsi</v>
          </cell>
        </row>
        <row r="4257">
          <cell r="B4257" t="b">
            <v>1</v>
          </cell>
          <cell r="E4257" t="str">
            <v>Esperanza</v>
          </cell>
          <cell r="H4257" t="str">
            <v>urgencia</v>
          </cell>
          <cell r="J4257" t="str">
            <v>bueno</v>
          </cell>
          <cell r="K4257" t="str">
            <v>probsi</v>
          </cell>
        </row>
        <row r="4258">
          <cell r="B4258" t="b">
            <v>1</v>
          </cell>
          <cell r="E4258" t="str">
            <v>Esperanza</v>
          </cell>
          <cell r="H4258" t="str">
            <v>consulta_externa</v>
          </cell>
          <cell r="J4258" t="str">
            <v>bueno</v>
          </cell>
          <cell r="K4258" t="str">
            <v>probsi</v>
          </cell>
        </row>
        <row r="4259">
          <cell r="B4259" t="b">
            <v>1</v>
          </cell>
          <cell r="E4259" t="str">
            <v>Pontezuela</v>
          </cell>
          <cell r="H4259" t="str">
            <v>salud_oral</v>
          </cell>
          <cell r="J4259" t="str">
            <v>bueno</v>
          </cell>
          <cell r="K4259" t="str">
            <v>defsi</v>
          </cell>
        </row>
        <row r="4260">
          <cell r="B4260" t="b">
            <v>1</v>
          </cell>
          <cell r="E4260" t="str">
            <v>Esperanza</v>
          </cell>
          <cell r="H4260" t="str">
            <v>consulta_externa</v>
          </cell>
          <cell r="J4260" t="str">
            <v>bueno</v>
          </cell>
          <cell r="K4260" t="str">
            <v>probsi</v>
          </cell>
        </row>
        <row r="4261">
          <cell r="B4261" t="b">
            <v>1</v>
          </cell>
          <cell r="E4261" t="str">
            <v>Esperanza</v>
          </cell>
          <cell r="H4261" t="str">
            <v>salud_oral</v>
          </cell>
          <cell r="J4261" t="str">
            <v>bueno</v>
          </cell>
          <cell r="K4261" t="str">
            <v>probsi</v>
          </cell>
        </row>
        <row r="4262">
          <cell r="B4262" t="b">
            <v>1</v>
          </cell>
          <cell r="E4262" t="str">
            <v>Esperanza</v>
          </cell>
          <cell r="H4262" t="str">
            <v>laboratorio</v>
          </cell>
          <cell r="J4262" t="str">
            <v>bueno</v>
          </cell>
          <cell r="K4262" t="str">
            <v>probsi</v>
          </cell>
        </row>
        <row r="4263">
          <cell r="B4263" t="b">
            <v>1</v>
          </cell>
          <cell r="E4263" t="str">
            <v>Esperanza</v>
          </cell>
          <cell r="H4263" t="str">
            <v>laboratorio</v>
          </cell>
          <cell r="J4263" t="str">
            <v>bueno</v>
          </cell>
          <cell r="K4263" t="str">
            <v>probsi</v>
          </cell>
        </row>
        <row r="4264">
          <cell r="B4264" t="b">
            <v>1</v>
          </cell>
          <cell r="E4264" t="str">
            <v>Esperanza</v>
          </cell>
          <cell r="H4264" t="str">
            <v>consulta_externa</v>
          </cell>
          <cell r="J4264" t="str">
            <v>bueno</v>
          </cell>
          <cell r="K4264" t="str">
            <v>probsi</v>
          </cell>
        </row>
        <row r="4265">
          <cell r="B4265" t="b">
            <v>1</v>
          </cell>
          <cell r="E4265" t="str">
            <v>Esperanza</v>
          </cell>
          <cell r="H4265" t="str">
            <v>salud_oral</v>
          </cell>
          <cell r="J4265" t="str">
            <v>bueno</v>
          </cell>
          <cell r="K4265" t="str">
            <v>probsi</v>
          </cell>
        </row>
        <row r="4266">
          <cell r="B4266" t="b">
            <v>1</v>
          </cell>
          <cell r="E4266" t="str">
            <v>Esperanza</v>
          </cell>
          <cell r="H4266" t="str">
            <v>consulta_externa</v>
          </cell>
          <cell r="J4266" t="str">
            <v>bueno</v>
          </cell>
          <cell r="K4266" t="str">
            <v>probsi</v>
          </cell>
        </row>
        <row r="4267">
          <cell r="B4267" t="b">
            <v>1</v>
          </cell>
          <cell r="E4267" t="str">
            <v>Esperanza</v>
          </cell>
          <cell r="H4267" t="str">
            <v>salud_oral</v>
          </cell>
          <cell r="J4267" t="str">
            <v>bueno</v>
          </cell>
          <cell r="K4267" t="str">
            <v>probsi</v>
          </cell>
        </row>
        <row r="4268">
          <cell r="B4268" t="b">
            <v>0</v>
          </cell>
          <cell r="E4268" t="str">
            <v>San Francisco I</v>
          </cell>
          <cell r="H4268" t="str">
            <v>consulta_externa</v>
          </cell>
          <cell r="J4268" t="str">
            <v>regular</v>
          </cell>
          <cell r="K4268" t="str">
            <v>probsi</v>
          </cell>
        </row>
        <row r="4269">
          <cell r="B4269" t="b">
            <v>0</v>
          </cell>
          <cell r="E4269" t="str">
            <v>San Francisco I</v>
          </cell>
          <cell r="H4269" t="str">
            <v>laboratorio</v>
          </cell>
          <cell r="J4269" t="str">
            <v>regular</v>
          </cell>
          <cell r="K4269" t="str">
            <v>probsi</v>
          </cell>
        </row>
        <row r="4270">
          <cell r="B4270" t="b">
            <v>1</v>
          </cell>
          <cell r="E4270" t="str">
            <v>Esperanza</v>
          </cell>
          <cell r="H4270" t="str">
            <v>consulta_externa</v>
          </cell>
          <cell r="J4270" t="str">
            <v>bueno</v>
          </cell>
          <cell r="K4270" t="str">
            <v>probsi</v>
          </cell>
        </row>
        <row r="4271">
          <cell r="B4271" t="b">
            <v>1</v>
          </cell>
          <cell r="E4271" t="str">
            <v>Esperanza</v>
          </cell>
          <cell r="H4271" t="str">
            <v>salud_oral</v>
          </cell>
          <cell r="J4271" t="str">
            <v>bueno</v>
          </cell>
          <cell r="K4271" t="str">
            <v>probsi</v>
          </cell>
        </row>
        <row r="4272">
          <cell r="B4272" t="b">
            <v>1</v>
          </cell>
          <cell r="E4272" t="str">
            <v>Esperanza</v>
          </cell>
          <cell r="H4272" t="str">
            <v>salud_oral</v>
          </cell>
          <cell r="J4272" t="str">
            <v>bueno</v>
          </cell>
          <cell r="K4272" t="str">
            <v>probsi</v>
          </cell>
        </row>
        <row r="4273">
          <cell r="B4273" t="b">
            <v>1</v>
          </cell>
          <cell r="E4273" t="str">
            <v>Esperanza</v>
          </cell>
          <cell r="H4273" t="str">
            <v>urgencia</v>
          </cell>
          <cell r="J4273" t="str">
            <v>bueno</v>
          </cell>
          <cell r="K4273" t="str">
            <v>probsi</v>
          </cell>
        </row>
        <row r="4274">
          <cell r="B4274" t="b">
            <v>1</v>
          </cell>
          <cell r="E4274" t="str">
            <v>Fredonia</v>
          </cell>
          <cell r="H4274" t="str">
            <v>consulta_externa</v>
          </cell>
          <cell r="J4274" t="str">
            <v>bueno</v>
          </cell>
          <cell r="K4274" t="str">
            <v>probsi</v>
          </cell>
        </row>
        <row r="4275">
          <cell r="B4275" t="b">
            <v>1</v>
          </cell>
          <cell r="E4275" t="str">
            <v>Fredonia</v>
          </cell>
          <cell r="H4275" t="str">
            <v>consulta_externa</v>
          </cell>
          <cell r="J4275" t="str">
            <v>bueno</v>
          </cell>
          <cell r="K4275" t="str">
            <v>probsi</v>
          </cell>
        </row>
        <row r="4276">
          <cell r="B4276" t="b">
            <v>1</v>
          </cell>
          <cell r="E4276" t="str">
            <v>Fredonia</v>
          </cell>
          <cell r="H4276" t="str">
            <v>consulta_externa</v>
          </cell>
          <cell r="J4276" t="str">
            <v>bueno</v>
          </cell>
          <cell r="K4276" t="str">
            <v>probsi</v>
          </cell>
        </row>
        <row r="4277">
          <cell r="B4277" t="b">
            <v>1</v>
          </cell>
          <cell r="E4277" t="str">
            <v>Fredonia</v>
          </cell>
          <cell r="H4277" t="str">
            <v>consulta_externa</v>
          </cell>
          <cell r="J4277" t="str">
            <v>bueno</v>
          </cell>
          <cell r="K4277" t="str">
            <v>probsi</v>
          </cell>
        </row>
        <row r="4278">
          <cell r="B4278" t="b">
            <v>1</v>
          </cell>
          <cell r="E4278" t="str">
            <v>Fredonia</v>
          </cell>
          <cell r="H4278" t="str">
            <v>consulta_externa</v>
          </cell>
          <cell r="J4278" t="str">
            <v>bueno</v>
          </cell>
          <cell r="K4278" t="str">
            <v>probsi</v>
          </cell>
        </row>
        <row r="4279">
          <cell r="B4279" t="b">
            <v>1</v>
          </cell>
          <cell r="E4279" t="str">
            <v>Fredonia</v>
          </cell>
          <cell r="H4279" t="str">
            <v>consulta_externa</v>
          </cell>
          <cell r="J4279" t="str">
            <v>bueno</v>
          </cell>
          <cell r="K4279" t="str">
            <v>probsi</v>
          </cell>
        </row>
        <row r="4280">
          <cell r="B4280" t="b">
            <v>1</v>
          </cell>
          <cell r="E4280" t="str">
            <v>Fredonia</v>
          </cell>
          <cell r="H4280" t="str">
            <v>consulta_externa</v>
          </cell>
          <cell r="J4280" t="str">
            <v>bueno</v>
          </cell>
          <cell r="K4280" t="str">
            <v>probsi</v>
          </cell>
        </row>
        <row r="4281">
          <cell r="B4281" t="b">
            <v>1</v>
          </cell>
          <cell r="E4281" t="str">
            <v>Fredonia</v>
          </cell>
          <cell r="H4281" t="str">
            <v>consulta_externa</v>
          </cell>
          <cell r="J4281" t="str">
            <v>bueno</v>
          </cell>
          <cell r="K4281" t="str">
            <v>probsi</v>
          </cell>
        </row>
        <row r="4282">
          <cell r="B4282" t="b">
            <v>1</v>
          </cell>
          <cell r="E4282" t="str">
            <v>Fredonia</v>
          </cell>
          <cell r="H4282" t="str">
            <v>consulta_externa</v>
          </cell>
          <cell r="J4282" t="str">
            <v>bueno</v>
          </cell>
          <cell r="K4282" t="str">
            <v>probsi</v>
          </cell>
        </row>
        <row r="4283">
          <cell r="B4283" t="b">
            <v>1</v>
          </cell>
          <cell r="E4283" t="str">
            <v>Fredonia</v>
          </cell>
          <cell r="H4283" t="str">
            <v>laboratorio</v>
          </cell>
          <cell r="J4283" t="str">
            <v>bueno</v>
          </cell>
          <cell r="K4283" t="str">
            <v>probsi</v>
          </cell>
        </row>
        <row r="4284">
          <cell r="B4284" t="b">
            <v>1</v>
          </cell>
          <cell r="E4284" t="str">
            <v>Fredonia</v>
          </cell>
          <cell r="H4284" t="str">
            <v>salud_oral</v>
          </cell>
          <cell r="J4284" t="str">
            <v>bueno</v>
          </cell>
          <cell r="K4284" t="str">
            <v>probsi</v>
          </cell>
        </row>
        <row r="4285">
          <cell r="B4285" t="b">
            <v>1</v>
          </cell>
          <cell r="E4285" t="str">
            <v>Fredonia</v>
          </cell>
          <cell r="H4285" t="str">
            <v>salud_oral</v>
          </cell>
          <cell r="J4285" t="str">
            <v>bueno</v>
          </cell>
          <cell r="K4285" t="str">
            <v>probsi</v>
          </cell>
        </row>
        <row r="4286">
          <cell r="B4286" t="b">
            <v>1</v>
          </cell>
          <cell r="E4286" t="str">
            <v>Fredonia</v>
          </cell>
          <cell r="H4286" t="str">
            <v>salud_oral</v>
          </cell>
          <cell r="J4286" t="str">
            <v>bueno</v>
          </cell>
          <cell r="K4286" t="str">
            <v>probsi</v>
          </cell>
        </row>
        <row r="4287">
          <cell r="B4287" t="b">
            <v>1</v>
          </cell>
          <cell r="E4287" t="str">
            <v>Fredonia</v>
          </cell>
          <cell r="H4287" t="str">
            <v>laboratorio</v>
          </cell>
          <cell r="J4287" t="str">
            <v>bueno</v>
          </cell>
          <cell r="K4287" t="str">
            <v>probsi</v>
          </cell>
        </row>
        <row r="4288">
          <cell r="B4288" t="b">
            <v>1</v>
          </cell>
          <cell r="E4288" t="str">
            <v>Fredonia</v>
          </cell>
          <cell r="H4288" t="str">
            <v>laboratorio</v>
          </cell>
          <cell r="J4288" t="str">
            <v>bueno</v>
          </cell>
          <cell r="K4288" t="str">
            <v>probsi</v>
          </cell>
        </row>
        <row r="4289">
          <cell r="B4289" t="b">
            <v>1</v>
          </cell>
          <cell r="E4289" t="str">
            <v>Fredonia</v>
          </cell>
          <cell r="H4289" t="str">
            <v>laboratorio</v>
          </cell>
          <cell r="J4289" t="str">
            <v>bueno</v>
          </cell>
          <cell r="K4289" t="str">
            <v>probsi</v>
          </cell>
        </row>
        <row r="4290">
          <cell r="B4290" t="b">
            <v>1</v>
          </cell>
          <cell r="E4290" t="str">
            <v>Fredonia</v>
          </cell>
          <cell r="H4290" t="str">
            <v>consulta_externa</v>
          </cell>
          <cell r="J4290" t="str">
            <v>bueno</v>
          </cell>
          <cell r="K4290" t="str">
            <v>probsi</v>
          </cell>
        </row>
        <row r="4291">
          <cell r="B4291" t="b">
            <v>1</v>
          </cell>
          <cell r="E4291" t="str">
            <v>Fredonia</v>
          </cell>
          <cell r="H4291" t="str">
            <v>consulta_externa</v>
          </cell>
          <cell r="J4291" t="str">
            <v>bueno</v>
          </cell>
          <cell r="K4291" t="str">
            <v>probsi</v>
          </cell>
        </row>
        <row r="4292">
          <cell r="B4292" t="b">
            <v>1</v>
          </cell>
          <cell r="E4292" t="str">
            <v>Fredonia</v>
          </cell>
          <cell r="H4292" t="str">
            <v>consulta_externa</v>
          </cell>
          <cell r="J4292" t="str">
            <v>bueno</v>
          </cell>
          <cell r="K4292" t="str">
            <v>probsi</v>
          </cell>
        </row>
        <row r="4293">
          <cell r="B4293" t="b">
            <v>1</v>
          </cell>
          <cell r="E4293" t="str">
            <v>Fredonia</v>
          </cell>
          <cell r="H4293" t="str">
            <v>consulta_externa</v>
          </cell>
          <cell r="J4293" t="str">
            <v>bueno</v>
          </cell>
          <cell r="K4293" t="str">
            <v>probsi</v>
          </cell>
        </row>
        <row r="4294">
          <cell r="B4294" t="b">
            <v>1</v>
          </cell>
          <cell r="E4294" t="str">
            <v>Fredonia</v>
          </cell>
          <cell r="H4294" t="str">
            <v>consulta_externa</v>
          </cell>
          <cell r="J4294" t="str">
            <v>bueno</v>
          </cell>
          <cell r="K4294" t="str">
            <v>probsi</v>
          </cell>
        </row>
        <row r="4295">
          <cell r="B4295" t="b">
            <v>1</v>
          </cell>
          <cell r="E4295" t="str">
            <v>Fredonia</v>
          </cell>
          <cell r="H4295" t="str">
            <v>consulta_externa</v>
          </cell>
          <cell r="J4295" t="str">
            <v>bueno</v>
          </cell>
          <cell r="K4295" t="str">
            <v>probsi</v>
          </cell>
        </row>
        <row r="4296">
          <cell r="B4296" t="b">
            <v>1</v>
          </cell>
          <cell r="E4296" t="str">
            <v>Fredonia</v>
          </cell>
          <cell r="H4296" t="str">
            <v>consulta_externa</v>
          </cell>
          <cell r="J4296" t="str">
            <v>bueno</v>
          </cell>
          <cell r="K4296" t="str">
            <v>probsi</v>
          </cell>
        </row>
        <row r="4297">
          <cell r="B4297" t="b">
            <v>1</v>
          </cell>
          <cell r="E4297" t="str">
            <v>Fredonia</v>
          </cell>
          <cell r="H4297" t="str">
            <v>laboratorio</v>
          </cell>
          <cell r="J4297" t="str">
            <v>bueno</v>
          </cell>
          <cell r="K4297" t="str">
            <v>probsi</v>
          </cell>
        </row>
        <row r="4298">
          <cell r="B4298" t="b">
            <v>1</v>
          </cell>
          <cell r="E4298" t="str">
            <v>Fredonia</v>
          </cell>
          <cell r="H4298" t="str">
            <v>laboratorio</v>
          </cell>
          <cell r="J4298" t="str">
            <v>bueno</v>
          </cell>
          <cell r="K4298" t="str">
            <v>probsi</v>
          </cell>
        </row>
        <row r="4299">
          <cell r="B4299" t="b">
            <v>1</v>
          </cell>
          <cell r="E4299" t="str">
            <v>Fredonia</v>
          </cell>
          <cell r="H4299" t="str">
            <v>laboratorio</v>
          </cell>
          <cell r="J4299" t="str">
            <v>bueno</v>
          </cell>
          <cell r="K4299" t="str">
            <v>probsi</v>
          </cell>
        </row>
        <row r="4300">
          <cell r="B4300" t="b">
            <v>1</v>
          </cell>
          <cell r="E4300" t="str">
            <v>Fredonia</v>
          </cell>
          <cell r="H4300" t="str">
            <v>laboratorio</v>
          </cell>
          <cell r="J4300" t="str">
            <v>bueno</v>
          </cell>
          <cell r="K4300" t="str">
            <v>probsi</v>
          </cell>
        </row>
        <row r="4301">
          <cell r="B4301" t="b">
            <v>1</v>
          </cell>
          <cell r="E4301" t="str">
            <v>Fredonia</v>
          </cell>
          <cell r="H4301" t="str">
            <v>laboratorio</v>
          </cell>
          <cell r="J4301" t="str">
            <v>bueno</v>
          </cell>
          <cell r="K4301" t="str">
            <v>probsi</v>
          </cell>
        </row>
        <row r="4302">
          <cell r="B4302" t="b">
            <v>1</v>
          </cell>
          <cell r="E4302" t="str">
            <v>Libano</v>
          </cell>
          <cell r="H4302" t="str">
            <v>consulta_externa</v>
          </cell>
          <cell r="J4302" t="str">
            <v>bueno</v>
          </cell>
          <cell r="K4302" t="str">
            <v>probsi</v>
          </cell>
        </row>
        <row r="4303">
          <cell r="B4303" t="b">
            <v>1</v>
          </cell>
          <cell r="E4303" t="str">
            <v>Libano</v>
          </cell>
          <cell r="H4303" t="str">
            <v>laboratorio</v>
          </cell>
          <cell r="J4303" t="str">
            <v>bueno</v>
          </cell>
          <cell r="K4303" t="str">
            <v>probsi</v>
          </cell>
        </row>
        <row r="4304">
          <cell r="B4304" t="b">
            <v>1</v>
          </cell>
          <cell r="E4304" t="str">
            <v>Libano</v>
          </cell>
          <cell r="H4304" t="str">
            <v>consulta_externa</v>
          </cell>
          <cell r="J4304" t="str">
            <v>bueno</v>
          </cell>
          <cell r="K4304" t="str">
            <v>defsi</v>
          </cell>
        </row>
        <row r="4305">
          <cell r="B4305" t="b">
            <v>1</v>
          </cell>
          <cell r="E4305" t="str">
            <v>Libano</v>
          </cell>
          <cell r="H4305" t="str">
            <v>laboratorio</v>
          </cell>
          <cell r="J4305" t="str">
            <v>bueno</v>
          </cell>
          <cell r="K4305" t="str">
            <v>defsi</v>
          </cell>
        </row>
        <row r="4306">
          <cell r="B4306" t="b">
            <v>1</v>
          </cell>
          <cell r="E4306" t="str">
            <v>Libano</v>
          </cell>
          <cell r="H4306" t="str">
            <v>salud_oral</v>
          </cell>
          <cell r="J4306" t="str">
            <v>bueno</v>
          </cell>
          <cell r="K4306" t="str">
            <v>defsi</v>
          </cell>
        </row>
        <row r="4307">
          <cell r="B4307" t="b">
            <v>1</v>
          </cell>
          <cell r="E4307" t="str">
            <v>Libano</v>
          </cell>
          <cell r="H4307" t="str">
            <v>salud_oral</v>
          </cell>
          <cell r="J4307" t="str">
            <v>bueno</v>
          </cell>
          <cell r="K4307" t="str">
            <v>defsi</v>
          </cell>
        </row>
        <row r="4308">
          <cell r="B4308" t="b">
            <v>1</v>
          </cell>
          <cell r="E4308" t="str">
            <v>Libano</v>
          </cell>
          <cell r="H4308" t="str">
            <v>salud_oral</v>
          </cell>
          <cell r="J4308" t="str">
            <v>bueno</v>
          </cell>
          <cell r="K4308" t="str">
            <v>defsi</v>
          </cell>
        </row>
        <row r="4309">
          <cell r="B4309" t="b">
            <v>1</v>
          </cell>
          <cell r="E4309" t="str">
            <v>Libano</v>
          </cell>
          <cell r="H4309" t="str">
            <v>consulta_externa</v>
          </cell>
          <cell r="J4309" t="str">
            <v>bueno</v>
          </cell>
          <cell r="K4309" t="str">
            <v>defsi</v>
          </cell>
        </row>
        <row r="4310">
          <cell r="B4310" t="b">
            <v>1</v>
          </cell>
          <cell r="E4310" t="str">
            <v>Esperanza</v>
          </cell>
          <cell r="H4310" t="str">
            <v>consulta_externa</v>
          </cell>
          <cell r="J4310" t="str">
            <v>bueno</v>
          </cell>
          <cell r="K4310" t="str">
            <v>probsi</v>
          </cell>
        </row>
        <row r="4311">
          <cell r="B4311" t="b">
            <v>1</v>
          </cell>
          <cell r="E4311" t="str">
            <v>Esperanza</v>
          </cell>
          <cell r="H4311" t="str">
            <v>salud_oral</v>
          </cell>
          <cell r="J4311" t="str">
            <v>bueno</v>
          </cell>
          <cell r="K4311" t="str">
            <v>probsi</v>
          </cell>
        </row>
        <row r="4312">
          <cell r="B4312" t="b">
            <v>1</v>
          </cell>
          <cell r="E4312" t="str">
            <v>Libano</v>
          </cell>
          <cell r="H4312" t="str">
            <v>salud_oral</v>
          </cell>
          <cell r="J4312" t="str">
            <v>bueno</v>
          </cell>
          <cell r="K4312" t="str">
            <v>defsi</v>
          </cell>
        </row>
        <row r="4313">
          <cell r="B4313" t="b">
            <v>1</v>
          </cell>
          <cell r="E4313" t="str">
            <v>Libano</v>
          </cell>
          <cell r="H4313" t="str">
            <v>consulta_externa</v>
          </cell>
          <cell r="J4313" t="str">
            <v>bueno</v>
          </cell>
          <cell r="K4313" t="str">
            <v>defsi</v>
          </cell>
        </row>
        <row r="4314">
          <cell r="B4314" t="b">
            <v>1</v>
          </cell>
          <cell r="E4314" t="str">
            <v>Pontezuela</v>
          </cell>
          <cell r="H4314" t="str">
            <v>consulta_externa</v>
          </cell>
          <cell r="J4314" t="str">
            <v>bueno</v>
          </cell>
          <cell r="K4314" t="str">
            <v>defsi</v>
          </cell>
        </row>
        <row r="4315">
          <cell r="B4315" t="b">
            <v>1</v>
          </cell>
          <cell r="E4315" t="str">
            <v>Libano</v>
          </cell>
          <cell r="H4315" t="str">
            <v>consulta_externa</v>
          </cell>
          <cell r="J4315" t="str">
            <v>bueno</v>
          </cell>
          <cell r="K4315" t="str">
            <v>defsi</v>
          </cell>
        </row>
        <row r="4316">
          <cell r="B4316" t="b">
            <v>1</v>
          </cell>
          <cell r="E4316" t="str">
            <v>Pontezuela</v>
          </cell>
          <cell r="H4316" t="str">
            <v>salud_oral</v>
          </cell>
          <cell r="J4316" t="str">
            <v>bueno</v>
          </cell>
          <cell r="K4316" t="str">
            <v>defsi</v>
          </cell>
        </row>
        <row r="4317">
          <cell r="B4317" t="b">
            <v>1</v>
          </cell>
          <cell r="E4317" t="str">
            <v>Pontezuela</v>
          </cell>
          <cell r="H4317" t="str">
            <v>consulta_externa</v>
          </cell>
          <cell r="J4317" t="str">
            <v>bueno</v>
          </cell>
          <cell r="K4317" t="str">
            <v>defsi</v>
          </cell>
        </row>
        <row r="4318">
          <cell r="B4318" t="b">
            <v>1</v>
          </cell>
          <cell r="E4318" t="str">
            <v>Pontezuela</v>
          </cell>
          <cell r="H4318" t="str">
            <v>salud_oral</v>
          </cell>
          <cell r="J4318" t="str">
            <v>bueno</v>
          </cell>
          <cell r="K4318" t="str">
            <v>defsi</v>
          </cell>
        </row>
        <row r="4319">
          <cell r="B4319" t="b">
            <v>1</v>
          </cell>
          <cell r="E4319" t="str">
            <v>Pontezuela</v>
          </cell>
          <cell r="H4319" t="str">
            <v>salud_oral</v>
          </cell>
          <cell r="J4319" t="str">
            <v>bueno</v>
          </cell>
          <cell r="K4319" t="str">
            <v>defsi</v>
          </cell>
        </row>
        <row r="4320">
          <cell r="B4320" t="b">
            <v>1</v>
          </cell>
          <cell r="E4320" t="str">
            <v>Libano</v>
          </cell>
          <cell r="H4320" t="str">
            <v>pediatria</v>
          </cell>
          <cell r="J4320" t="str">
            <v>bueno</v>
          </cell>
          <cell r="K4320" t="str">
            <v>defsi</v>
          </cell>
        </row>
        <row r="4321">
          <cell r="B4321" t="b">
            <v>1</v>
          </cell>
          <cell r="E4321" t="str">
            <v>Libano</v>
          </cell>
          <cell r="H4321" t="str">
            <v>salud_oral</v>
          </cell>
          <cell r="J4321" t="str">
            <v>bueno</v>
          </cell>
          <cell r="K4321" t="str">
            <v>defsi</v>
          </cell>
        </row>
        <row r="4322">
          <cell r="B4322" t="b">
            <v>1</v>
          </cell>
          <cell r="E4322" t="str">
            <v>Libano</v>
          </cell>
          <cell r="H4322" t="str">
            <v>salud_oral</v>
          </cell>
          <cell r="J4322" t="str">
            <v>bueno</v>
          </cell>
          <cell r="K4322" t="str">
            <v>defsi</v>
          </cell>
        </row>
        <row r="4323">
          <cell r="B4323" t="b">
            <v>1</v>
          </cell>
          <cell r="E4323" t="str">
            <v>Libano</v>
          </cell>
          <cell r="H4323" t="str">
            <v>consulta_externa</v>
          </cell>
          <cell r="J4323" t="str">
            <v>bueno</v>
          </cell>
          <cell r="K4323" t="str">
            <v>defsi</v>
          </cell>
        </row>
        <row r="4324">
          <cell r="B4324" t="b">
            <v>1</v>
          </cell>
          <cell r="E4324" t="str">
            <v>Libano</v>
          </cell>
          <cell r="H4324" t="str">
            <v>pediatria</v>
          </cell>
          <cell r="J4324" t="str">
            <v>bueno</v>
          </cell>
          <cell r="K4324" t="str">
            <v>defsi</v>
          </cell>
        </row>
        <row r="4325">
          <cell r="B4325" t="b">
            <v>1</v>
          </cell>
          <cell r="E4325" t="str">
            <v>Libano</v>
          </cell>
          <cell r="H4325" t="str">
            <v>consulta_externa</v>
          </cell>
          <cell r="J4325" t="str">
            <v>bueno</v>
          </cell>
          <cell r="K4325" t="str">
            <v>defsi</v>
          </cell>
        </row>
        <row r="4326">
          <cell r="B4326" t="b">
            <v>1</v>
          </cell>
          <cell r="E4326" t="str">
            <v>Libano</v>
          </cell>
          <cell r="H4326" t="str">
            <v>pediatria</v>
          </cell>
          <cell r="J4326" t="str">
            <v>bueno</v>
          </cell>
          <cell r="K4326" t="str">
            <v>defsi</v>
          </cell>
        </row>
        <row r="4327">
          <cell r="B4327" t="b">
            <v>1</v>
          </cell>
          <cell r="E4327" t="str">
            <v>Pontezuela</v>
          </cell>
          <cell r="H4327" t="str">
            <v>consulta_externa</v>
          </cell>
          <cell r="J4327" t="str">
            <v>bueno</v>
          </cell>
          <cell r="K4327" t="str">
            <v>defsi</v>
          </cell>
        </row>
        <row r="4328">
          <cell r="B4328" t="b">
            <v>1</v>
          </cell>
          <cell r="E4328" t="str">
            <v>Libano</v>
          </cell>
          <cell r="H4328" t="str">
            <v>salud_oral</v>
          </cell>
          <cell r="J4328" t="str">
            <v>bueno</v>
          </cell>
          <cell r="K4328" t="str">
            <v>defsi</v>
          </cell>
        </row>
        <row r="4329">
          <cell r="B4329" t="b">
            <v>1</v>
          </cell>
          <cell r="E4329" t="str">
            <v>Pontezuela</v>
          </cell>
          <cell r="H4329" t="str">
            <v>salud_oral</v>
          </cell>
          <cell r="J4329" t="str">
            <v>bueno</v>
          </cell>
          <cell r="K4329" t="str">
            <v>defsi</v>
          </cell>
        </row>
        <row r="4330">
          <cell r="B4330" t="b">
            <v>1</v>
          </cell>
          <cell r="E4330" t="str">
            <v>Pontezuela</v>
          </cell>
          <cell r="H4330" t="str">
            <v>consulta_externa</v>
          </cell>
          <cell r="J4330" t="str">
            <v>bueno</v>
          </cell>
          <cell r="K4330" t="str">
            <v>defsi</v>
          </cell>
        </row>
        <row r="4331">
          <cell r="B4331" t="b">
            <v>1</v>
          </cell>
          <cell r="E4331" t="str">
            <v>Pontezuela</v>
          </cell>
          <cell r="H4331" t="str">
            <v>salud_oral</v>
          </cell>
          <cell r="J4331" t="str">
            <v>bueno</v>
          </cell>
          <cell r="K4331" t="str">
            <v>defsi</v>
          </cell>
        </row>
        <row r="4332">
          <cell r="B4332" t="b">
            <v>1</v>
          </cell>
          <cell r="E4332" t="str">
            <v>Esperanza</v>
          </cell>
          <cell r="H4332" t="str">
            <v>consulta_externa</v>
          </cell>
          <cell r="J4332" t="str">
            <v>bueno</v>
          </cell>
          <cell r="K4332" t="str">
            <v>probsi</v>
          </cell>
        </row>
        <row r="4333">
          <cell r="B4333" t="b">
            <v>1</v>
          </cell>
          <cell r="E4333" t="str">
            <v>Esperanza</v>
          </cell>
          <cell r="H4333" t="str">
            <v>salud_oral</v>
          </cell>
          <cell r="J4333" t="str">
            <v>bueno</v>
          </cell>
          <cell r="K4333" t="str">
            <v>probsi</v>
          </cell>
        </row>
        <row r="4334">
          <cell r="B4334" t="b">
            <v>1</v>
          </cell>
          <cell r="E4334" t="str">
            <v>Libano</v>
          </cell>
          <cell r="H4334" t="str">
            <v>pediatria</v>
          </cell>
          <cell r="J4334" t="str">
            <v>bueno</v>
          </cell>
          <cell r="K4334" t="str">
            <v>defsi</v>
          </cell>
        </row>
        <row r="4335">
          <cell r="B4335" t="b">
            <v>1</v>
          </cell>
          <cell r="E4335" t="str">
            <v>Libano</v>
          </cell>
          <cell r="H4335" t="str">
            <v>pediatria</v>
          </cell>
          <cell r="J4335" t="str">
            <v>bueno</v>
          </cell>
          <cell r="K4335" t="str">
            <v>defsi</v>
          </cell>
        </row>
        <row r="4336">
          <cell r="B4336" t="b">
            <v>1</v>
          </cell>
          <cell r="E4336" t="str">
            <v>Libano</v>
          </cell>
          <cell r="H4336" t="str">
            <v>salud_oral</v>
          </cell>
          <cell r="J4336" t="str">
            <v>bueno</v>
          </cell>
          <cell r="K4336" t="str">
            <v>defsi</v>
          </cell>
        </row>
        <row r="4337">
          <cell r="B4337" t="b">
            <v>0</v>
          </cell>
          <cell r="E4337" t="str">
            <v>Libano</v>
          </cell>
          <cell r="H4337" t="str">
            <v>salud_oral</v>
          </cell>
          <cell r="J4337" t="str">
            <v>regular</v>
          </cell>
          <cell r="K4337" t="str">
            <v>defsi</v>
          </cell>
        </row>
        <row r="4338">
          <cell r="B4338" t="b">
            <v>1</v>
          </cell>
          <cell r="E4338" t="str">
            <v>Esperanza</v>
          </cell>
          <cell r="H4338" t="str">
            <v>electros</v>
          </cell>
          <cell r="J4338" t="str">
            <v>bueno</v>
          </cell>
          <cell r="K4338" t="str">
            <v>probsi</v>
          </cell>
        </row>
        <row r="4339">
          <cell r="B4339" t="b">
            <v>1</v>
          </cell>
          <cell r="E4339" t="str">
            <v>Esperanza</v>
          </cell>
          <cell r="H4339" t="str">
            <v>electros</v>
          </cell>
          <cell r="J4339" t="str">
            <v>bueno</v>
          </cell>
          <cell r="K4339" t="str">
            <v>probsi</v>
          </cell>
        </row>
        <row r="4340">
          <cell r="B4340" t="b">
            <v>1</v>
          </cell>
          <cell r="E4340" t="str">
            <v>Esperanza</v>
          </cell>
          <cell r="H4340" t="str">
            <v>electros</v>
          </cell>
          <cell r="J4340" t="str">
            <v>bueno</v>
          </cell>
          <cell r="K4340" t="str">
            <v>probsi</v>
          </cell>
        </row>
        <row r="4341">
          <cell r="B4341" t="b">
            <v>1</v>
          </cell>
          <cell r="E4341" t="str">
            <v>Esperanza</v>
          </cell>
          <cell r="H4341" t="str">
            <v>electros</v>
          </cell>
          <cell r="J4341" t="str">
            <v>bueno</v>
          </cell>
          <cell r="K4341" t="str">
            <v>probsi</v>
          </cell>
        </row>
        <row r="4342">
          <cell r="B4342" t="b">
            <v>1</v>
          </cell>
          <cell r="E4342" t="str">
            <v>Esperanza</v>
          </cell>
          <cell r="H4342" t="str">
            <v>electros</v>
          </cell>
          <cell r="J4342" t="str">
            <v>bueno</v>
          </cell>
          <cell r="K4342" t="str">
            <v>probsi</v>
          </cell>
        </row>
        <row r="4343">
          <cell r="B4343" t="b">
            <v>1</v>
          </cell>
          <cell r="E4343" t="str">
            <v>Esperanza</v>
          </cell>
          <cell r="H4343" t="str">
            <v>electros</v>
          </cell>
          <cell r="J4343" t="str">
            <v>bueno</v>
          </cell>
          <cell r="K4343" t="str">
            <v>probsi</v>
          </cell>
        </row>
        <row r="4344">
          <cell r="B4344" t="b">
            <v>0</v>
          </cell>
          <cell r="E4344" t="str">
            <v>Esperanza</v>
          </cell>
          <cell r="H4344" t="str">
            <v>electros</v>
          </cell>
          <cell r="J4344" t="str">
            <v>regular</v>
          </cell>
          <cell r="K4344" t="str">
            <v>probsi</v>
          </cell>
        </row>
        <row r="4345">
          <cell r="B4345" t="b">
            <v>1</v>
          </cell>
          <cell r="E4345" t="str">
            <v>Bayunca</v>
          </cell>
          <cell r="H4345" t="str">
            <v>consulta_externa</v>
          </cell>
          <cell r="J4345" t="str">
            <v>bueno</v>
          </cell>
          <cell r="K4345" t="str">
            <v>defsi</v>
          </cell>
        </row>
        <row r="4346">
          <cell r="B4346" t="b">
            <v>1</v>
          </cell>
          <cell r="E4346" t="str">
            <v>Bayunca</v>
          </cell>
          <cell r="H4346" t="str">
            <v>salud_oral</v>
          </cell>
          <cell r="J4346" t="str">
            <v>bueno</v>
          </cell>
          <cell r="K4346" t="str">
            <v>defsi</v>
          </cell>
        </row>
        <row r="4347">
          <cell r="B4347" t="b">
            <v>1</v>
          </cell>
          <cell r="E4347" t="str">
            <v>Bayunca</v>
          </cell>
          <cell r="H4347" t="str">
            <v>laboratorio</v>
          </cell>
          <cell r="J4347" t="str">
            <v>bueno</v>
          </cell>
          <cell r="K4347" t="str">
            <v>defsi</v>
          </cell>
        </row>
        <row r="4348">
          <cell r="B4348" t="b">
            <v>1</v>
          </cell>
          <cell r="E4348" t="str">
            <v>Bayunca</v>
          </cell>
          <cell r="H4348" t="str">
            <v>laboratorio</v>
          </cell>
          <cell r="J4348" t="str">
            <v>bueno</v>
          </cell>
          <cell r="K4348" t="str">
            <v>defsi</v>
          </cell>
        </row>
        <row r="4349">
          <cell r="B4349" t="b">
            <v>1</v>
          </cell>
          <cell r="E4349" t="str">
            <v>Bayunca</v>
          </cell>
          <cell r="H4349" t="str">
            <v>consulta_externa</v>
          </cell>
          <cell r="J4349" t="str">
            <v>bueno</v>
          </cell>
          <cell r="K4349" t="str">
            <v>defsi</v>
          </cell>
        </row>
        <row r="4350">
          <cell r="B4350" t="b">
            <v>1</v>
          </cell>
          <cell r="E4350" t="str">
            <v>Bayunca</v>
          </cell>
          <cell r="H4350" t="str">
            <v>salud_oral</v>
          </cell>
          <cell r="J4350" t="str">
            <v>bueno</v>
          </cell>
          <cell r="K4350" t="str">
            <v>defsi</v>
          </cell>
        </row>
        <row r="4351">
          <cell r="B4351" t="b">
            <v>1</v>
          </cell>
          <cell r="E4351" t="str">
            <v>Bayunca</v>
          </cell>
          <cell r="H4351" t="str">
            <v>laboratorio</v>
          </cell>
          <cell r="J4351" t="str">
            <v>bueno</v>
          </cell>
          <cell r="K4351" t="str">
            <v>defsi</v>
          </cell>
        </row>
        <row r="4352">
          <cell r="B4352" t="b">
            <v>1</v>
          </cell>
          <cell r="E4352" t="str">
            <v>Bayunca</v>
          </cell>
          <cell r="H4352" t="str">
            <v>urgencia</v>
          </cell>
          <cell r="J4352" t="str">
            <v>bueno</v>
          </cell>
          <cell r="K4352" t="str">
            <v>defsi</v>
          </cell>
        </row>
        <row r="4353">
          <cell r="B4353" t="b">
            <v>1</v>
          </cell>
          <cell r="E4353" t="str">
            <v>Libano</v>
          </cell>
          <cell r="H4353" t="str">
            <v>ginecologia</v>
          </cell>
          <cell r="J4353" t="str">
            <v>bueno</v>
          </cell>
          <cell r="K4353" t="str">
            <v>defsi</v>
          </cell>
        </row>
        <row r="4354">
          <cell r="B4354" t="b">
            <v>1</v>
          </cell>
          <cell r="E4354" t="str">
            <v>Libano</v>
          </cell>
          <cell r="H4354" t="str">
            <v>ecografias</v>
          </cell>
          <cell r="J4354" t="str">
            <v>bueno</v>
          </cell>
          <cell r="K4354" t="str">
            <v>defsi</v>
          </cell>
        </row>
        <row r="4355">
          <cell r="B4355" t="b">
            <v>1</v>
          </cell>
          <cell r="E4355" t="str">
            <v>Libano</v>
          </cell>
          <cell r="H4355" t="str">
            <v>ecografias</v>
          </cell>
          <cell r="J4355" t="str">
            <v>bueno</v>
          </cell>
          <cell r="K4355" t="str">
            <v>defsi</v>
          </cell>
        </row>
        <row r="4356">
          <cell r="B4356" t="b">
            <v>1</v>
          </cell>
          <cell r="E4356" t="str">
            <v>Libano</v>
          </cell>
          <cell r="H4356" t="str">
            <v>salud_oral</v>
          </cell>
          <cell r="J4356" t="str">
            <v>bueno</v>
          </cell>
          <cell r="K4356" t="str">
            <v>defsi</v>
          </cell>
        </row>
        <row r="4357">
          <cell r="B4357" t="b">
            <v>1</v>
          </cell>
          <cell r="E4357" t="str">
            <v>Libano</v>
          </cell>
          <cell r="H4357" t="str">
            <v>salud_oral</v>
          </cell>
          <cell r="J4357" t="str">
            <v>bueno</v>
          </cell>
          <cell r="K4357" t="str">
            <v>defsi</v>
          </cell>
        </row>
        <row r="4358">
          <cell r="B4358" t="b">
            <v>1</v>
          </cell>
          <cell r="E4358" t="str">
            <v>Libano</v>
          </cell>
          <cell r="H4358" t="str">
            <v>pediatria</v>
          </cell>
          <cell r="J4358" t="str">
            <v>bueno</v>
          </cell>
          <cell r="K4358" t="str">
            <v>defsi</v>
          </cell>
        </row>
        <row r="4359">
          <cell r="B4359" t="b">
            <v>1</v>
          </cell>
          <cell r="E4359" t="str">
            <v>Libano</v>
          </cell>
          <cell r="H4359" t="str">
            <v>ginecologia</v>
          </cell>
          <cell r="J4359" t="str">
            <v>bueno</v>
          </cell>
          <cell r="K4359" t="str">
            <v>defsi</v>
          </cell>
        </row>
        <row r="4360">
          <cell r="B4360" t="b">
            <v>1</v>
          </cell>
          <cell r="E4360" t="str">
            <v>Fredonia</v>
          </cell>
          <cell r="H4360" t="str">
            <v>consulta_externa</v>
          </cell>
          <cell r="J4360" t="str">
            <v>bueno</v>
          </cell>
          <cell r="K4360" t="str">
            <v>probsi</v>
          </cell>
        </row>
        <row r="4361">
          <cell r="B4361" t="b">
            <v>1</v>
          </cell>
          <cell r="E4361" t="str">
            <v>Fredonia</v>
          </cell>
          <cell r="H4361" t="str">
            <v>consulta_externa</v>
          </cell>
          <cell r="J4361" t="str">
            <v>bueno</v>
          </cell>
          <cell r="K4361" t="str">
            <v>probsi</v>
          </cell>
        </row>
        <row r="4362">
          <cell r="B4362" t="b">
            <v>1</v>
          </cell>
          <cell r="E4362" t="str">
            <v>Fredonia</v>
          </cell>
          <cell r="H4362" t="str">
            <v>consulta_externa</v>
          </cell>
          <cell r="J4362" t="str">
            <v>bueno</v>
          </cell>
          <cell r="K4362" t="str">
            <v>probsi</v>
          </cell>
        </row>
        <row r="4363">
          <cell r="B4363" t="b">
            <v>1</v>
          </cell>
          <cell r="E4363" t="str">
            <v>Fredonia</v>
          </cell>
          <cell r="H4363" t="str">
            <v>consulta_externa</v>
          </cell>
          <cell r="J4363" t="str">
            <v>bueno</v>
          </cell>
          <cell r="K4363" t="str">
            <v>probsi</v>
          </cell>
        </row>
        <row r="4364">
          <cell r="B4364" t="b">
            <v>1</v>
          </cell>
          <cell r="E4364" t="str">
            <v>Fredonia</v>
          </cell>
          <cell r="H4364" t="str">
            <v>laboratorio</v>
          </cell>
          <cell r="J4364" t="str">
            <v>bueno</v>
          </cell>
          <cell r="K4364" t="str">
            <v>probsi</v>
          </cell>
        </row>
        <row r="4365">
          <cell r="B4365" t="b">
            <v>1</v>
          </cell>
          <cell r="E4365" t="str">
            <v>Fredonia</v>
          </cell>
          <cell r="H4365" t="str">
            <v>laboratorio</v>
          </cell>
          <cell r="J4365" t="str">
            <v>bueno</v>
          </cell>
          <cell r="K4365" t="str">
            <v>probsi</v>
          </cell>
        </row>
        <row r="4366">
          <cell r="B4366" t="b">
            <v>1</v>
          </cell>
          <cell r="E4366" t="str">
            <v>Libano</v>
          </cell>
          <cell r="H4366" t="str">
            <v>pediatria</v>
          </cell>
          <cell r="J4366" t="str">
            <v>muybueno</v>
          </cell>
          <cell r="K4366" t="str">
            <v>defsi</v>
          </cell>
        </row>
        <row r="4367">
          <cell r="B4367" t="b">
            <v>1</v>
          </cell>
          <cell r="E4367" t="str">
            <v>Fredonia</v>
          </cell>
          <cell r="H4367" t="str">
            <v>laboratorio</v>
          </cell>
          <cell r="J4367" t="str">
            <v>bueno</v>
          </cell>
          <cell r="K4367" t="str">
            <v>probsi</v>
          </cell>
        </row>
        <row r="4368">
          <cell r="B4368" t="b">
            <v>1</v>
          </cell>
          <cell r="E4368" t="str">
            <v>Fredonia</v>
          </cell>
          <cell r="H4368" t="str">
            <v>laboratorio</v>
          </cell>
          <cell r="J4368" t="str">
            <v>bueno</v>
          </cell>
          <cell r="K4368" t="str">
            <v>probsi</v>
          </cell>
        </row>
        <row r="4369">
          <cell r="B4369" t="b">
            <v>1</v>
          </cell>
          <cell r="E4369" t="str">
            <v>Fredonia</v>
          </cell>
          <cell r="H4369" t="str">
            <v>laboratorio</v>
          </cell>
          <cell r="J4369" t="str">
            <v>bueno</v>
          </cell>
          <cell r="K4369" t="str">
            <v>probsi</v>
          </cell>
        </row>
        <row r="4370">
          <cell r="B4370" t="b">
            <v>1</v>
          </cell>
          <cell r="E4370" t="str">
            <v>Libano</v>
          </cell>
          <cell r="H4370" t="str">
            <v>pediatria</v>
          </cell>
          <cell r="J4370" t="str">
            <v>bueno</v>
          </cell>
          <cell r="K4370" t="str">
            <v>defsi</v>
          </cell>
        </row>
        <row r="4371">
          <cell r="B4371" t="b">
            <v>1</v>
          </cell>
          <cell r="E4371" t="str">
            <v>Fredonia</v>
          </cell>
          <cell r="H4371" t="str">
            <v>laboratorio</v>
          </cell>
          <cell r="J4371" t="str">
            <v>bueno</v>
          </cell>
          <cell r="K4371" t="str">
            <v>probsi</v>
          </cell>
        </row>
        <row r="4372">
          <cell r="B4372" t="b">
            <v>1</v>
          </cell>
          <cell r="E4372" t="str">
            <v>Fredonia</v>
          </cell>
          <cell r="H4372" t="str">
            <v>laboratorio</v>
          </cell>
          <cell r="J4372" t="str">
            <v>bueno</v>
          </cell>
          <cell r="K4372" t="str">
            <v>probsi</v>
          </cell>
        </row>
        <row r="4373">
          <cell r="B4373" t="b">
            <v>1</v>
          </cell>
          <cell r="E4373" t="str">
            <v>Fredonia</v>
          </cell>
          <cell r="H4373" t="str">
            <v>salud_oral</v>
          </cell>
          <cell r="J4373" t="str">
            <v>bueno</v>
          </cell>
          <cell r="K4373" t="str">
            <v>probsi</v>
          </cell>
        </row>
        <row r="4374">
          <cell r="B4374" t="b">
            <v>1</v>
          </cell>
          <cell r="E4374" t="str">
            <v>Fredonia</v>
          </cell>
          <cell r="H4374" t="str">
            <v>salud_oral</v>
          </cell>
          <cell r="J4374" t="str">
            <v>bueno</v>
          </cell>
          <cell r="K4374" t="str">
            <v>probsi</v>
          </cell>
        </row>
        <row r="4375">
          <cell r="B4375" t="b">
            <v>1</v>
          </cell>
          <cell r="E4375" t="str">
            <v>Fredonia</v>
          </cell>
          <cell r="H4375" t="str">
            <v>salud_oral</v>
          </cell>
          <cell r="J4375" t="str">
            <v>bueno</v>
          </cell>
          <cell r="K4375" t="str">
            <v>probsi</v>
          </cell>
        </row>
        <row r="4376">
          <cell r="B4376" t="b">
            <v>1</v>
          </cell>
          <cell r="E4376" t="str">
            <v>Fredonia</v>
          </cell>
          <cell r="H4376" t="str">
            <v>salud_oral</v>
          </cell>
          <cell r="J4376" t="str">
            <v>bueno</v>
          </cell>
          <cell r="K4376" t="str">
            <v>probsi</v>
          </cell>
        </row>
        <row r="4377">
          <cell r="B4377" t="b">
            <v>1</v>
          </cell>
          <cell r="E4377" t="str">
            <v>Fredonia</v>
          </cell>
          <cell r="H4377" t="str">
            <v>salud_oral</v>
          </cell>
          <cell r="J4377" t="str">
            <v>bueno</v>
          </cell>
          <cell r="K4377" t="str">
            <v>probsi</v>
          </cell>
        </row>
        <row r="4378">
          <cell r="B4378" t="b">
            <v>1</v>
          </cell>
          <cell r="E4378" t="str">
            <v>Fredonia</v>
          </cell>
          <cell r="H4378" t="str">
            <v>laboratorio</v>
          </cell>
          <cell r="J4378" t="str">
            <v>bueno</v>
          </cell>
          <cell r="K4378" t="str">
            <v>probsi</v>
          </cell>
        </row>
        <row r="4379">
          <cell r="B4379" t="b">
            <v>1</v>
          </cell>
          <cell r="E4379" t="str">
            <v>Fredonia</v>
          </cell>
          <cell r="H4379" t="str">
            <v>laboratorio</v>
          </cell>
          <cell r="J4379" t="str">
            <v>bueno</v>
          </cell>
          <cell r="K4379" t="str">
            <v>probsi</v>
          </cell>
        </row>
        <row r="4380">
          <cell r="B4380" t="b">
            <v>1</v>
          </cell>
          <cell r="E4380" t="str">
            <v>Fredonia</v>
          </cell>
          <cell r="H4380" t="str">
            <v>laboratorio</v>
          </cell>
          <cell r="J4380" t="str">
            <v>bueno</v>
          </cell>
          <cell r="K4380" t="str">
            <v>probsi</v>
          </cell>
        </row>
        <row r="4381">
          <cell r="B4381" t="b">
            <v>1</v>
          </cell>
          <cell r="E4381" t="str">
            <v>Libano</v>
          </cell>
          <cell r="H4381" t="str">
            <v>salud_oral</v>
          </cell>
          <cell r="J4381" t="str">
            <v>bueno</v>
          </cell>
          <cell r="K4381" t="str">
            <v>defsi</v>
          </cell>
        </row>
        <row r="4382">
          <cell r="B4382" t="b">
            <v>1</v>
          </cell>
          <cell r="E4382" t="str">
            <v>Fredonia</v>
          </cell>
          <cell r="H4382" t="str">
            <v>consulta_externa</v>
          </cell>
          <cell r="J4382" t="str">
            <v>bueno</v>
          </cell>
          <cell r="K4382" t="str">
            <v>probsi</v>
          </cell>
        </row>
        <row r="4383">
          <cell r="B4383" t="b">
            <v>1</v>
          </cell>
          <cell r="E4383" t="str">
            <v>Fredonia</v>
          </cell>
          <cell r="H4383" t="str">
            <v>consulta_externa</v>
          </cell>
          <cell r="J4383" t="str">
            <v>bueno</v>
          </cell>
          <cell r="K4383" t="str">
            <v>probsi</v>
          </cell>
        </row>
        <row r="4384">
          <cell r="B4384" t="b">
            <v>1</v>
          </cell>
          <cell r="E4384" t="str">
            <v>Fredonia</v>
          </cell>
          <cell r="H4384" t="str">
            <v>consulta_externa</v>
          </cell>
          <cell r="J4384" t="str">
            <v>bueno</v>
          </cell>
          <cell r="K4384" t="str">
            <v>probsi</v>
          </cell>
        </row>
        <row r="4385">
          <cell r="B4385" t="b">
            <v>1</v>
          </cell>
          <cell r="E4385" t="str">
            <v>Fredonia</v>
          </cell>
          <cell r="H4385" t="str">
            <v>laboratorio</v>
          </cell>
          <cell r="J4385" t="str">
            <v>bueno</v>
          </cell>
          <cell r="K4385" t="str">
            <v>probsi</v>
          </cell>
        </row>
        <row r="4386">
          <cell r="B4386" t="b">
            <v>1</v>
          </cell>
          <cell r="E4386" t="str">
            <v>Fredonia</v>
          </cell>
          <cell r="H4386" t="str">
            <v>laboratorio</v>
          </cell>
          <cell r="J4386" t="str">
            <v>bueno</v>
          </cell>
          <cell r="K4386" t="str">
            <v>probsi</v>
          </cell>
        </row>
        <row r="4387">
          <cell r="B4387" t="b">
            <v>1</v>
          </cell>
          <cell r="E4387" t="str">
            <v>Fredonia</v>
          </cell>
          <cell r="H4387" t="str">
            <v>laboratorio</v>
          </cell>
          <cell r="J4387" t="str">
            <v>bueno</v>
          </cell>
          <cell r="K4387" t="str">
            <v>probsi</v>
          </cell>
        </row>
        <row r="4388">
          <cell r="B4388" t="b">
            <v>1</v>
          </cell>
          <cell r="E4388" t="str">
            <v>Libano</v>
          </cell>
          <cell r="H4388" t="str">
            <v>consulta_externa</v>
          </cell>
          <cell r="J4388" t="str">
            <v>bueno</v>
          </cell>
          <cell r="K4388" t="str">
            <v>defsi</v>
          </cell>
        </row>
        <row r="4389">
          <cell r="B4389" t="b">
            <v>1</v>
          </cell>
          <cell r="E4389" t="str">
            <v>Libano</v>
          </cell>
          <cell r="H4389" t="str">
            <v>laboratorio</v>
          </cell>
          <cell r="J4389" t="str">
            <v>bueno</v>
          </cell>
          <cell r="K4389" t="str">
            <v>defsi</v>
          </cell>
        </row>
        <row r="4390">
          <cell r="B4390" t="b">
            <v>1</v>
          </cell>
          <cell r="E4390" t="str">
            <v>Fredonia</v>
          </cell>
          <cell r="H4390" t="str">
            <v>consulta_externa</v>
          </cell>
          <cell r="J4390" t="str">
            <v>bueno</v>
          </cell>
          <cell r="K4390" t="str">
            <v>probsi</v>
          </cell>
        </row>
        <row r="4391">
          <cell r="B4391" t="b">
            <v>1</v>
          </cell>
          <cell r="E4391" t="str">
            <v>Fredonia</v>
          </cell>
          <cell r="H4391" t="str">
            <v>consulta_externa</v>
          </cell>
          <cell r="J4391" t="str">
            <v>bueno</v>
          </cell>
          <cell r="K4391" t="str">
            <v>probsi</v>
          </cell>
        </row>
        <row r="4392">
          <cell r="B4392" t="b">
            <v>1</v>
          </cell>
          <cell r="E4392" t="str">
            <v>Fredonia</v>
          </cell>
          <cell r="H4392" t="str">
            <v>consulta_externa</v>
          </cell>
          <cell r="J4392" t="str">
            <v>bueno</v>
          </cell>
          <cell r="K4392" t="str">
            <v>probsi</v>
          </cell>
        </row>
        <row r="4393">
          <cell r="B4393" t="b">
            <v>1</v>
          </cell>
          <cell r="E4393" t="str">
            <v>Fredonia</v>
          </cell>
          <cell r="H4393" t="str">
            <v>consulta_externa</v>
          </cell>
          <cell r="J4393" t="str">
            <v>bueno</v>
          </cell>
          <cell r="K4393" t="str">
            <v>probsi</v>
          </cell>
        </row>
        <row r="4394">
          <cell r="B4394" t="b">
            <v>1</v>
          </cell>
          <cell r="E4394" t="str">
            <v>Fredonia</v>
          </cell>
          <cell r="H4394" t="str">
            <v>consulta_externa</v>
          </cell>
          <cell r="J4394" t="str">
            <v>bueno</v>
          </cell>
          <cell r="K4394" t="str">
            <v>probsi</v>
          </cell>
        </row>
        <row r="4395">
          <cell r="B4395" t="b">
            <v>1</v>
          </cell>
          <cell r="E4395" t="str">
            <v>Fredonia</v>
          </cell>
          <cell r="H4395" t="str">
            <v>consulta_externa</v>
          </cell>
          <cell r="J4395" t="str">
            <v>bueno</v>
          </cell>
          <cell r="K4395" t="str">
            <v>probsi</v>
          </cell>
        </row>
        <row r="4396">
          <cell r="B4396" t="b">
            <v>1</v>
          </cell>
          <cell r="E4396" t="str">
            <v>Fredonia</v>
          </cell>
          <cell r="H4396" t="str">
            <v>consulta_externa</v>
          </cell>
          <cell r="J4396" t="str">
            <v>bueno</v>
          </cell>
          <cell r="K4396" t="str">
            <v>probsi</v>
          </cell>
        </row>
        <row r="4397">
          <cell r="B4397" t="b">
            <v>1</v>
          </cell>
          <cell r="E4397" t="str">
            <v>Fredonia</v>
          </cell>
          <cell r="H4397" t="str">
            <v>consulta_externa</v>
          </cell>
          <cell r="J4397" t="str">
            <v>bueno</v>
          </cell>
          <cell r="K4397" t="str">
            <v>probsi</v>
          </cell>
        </row>
        <row r="4398">
          <cell r="B4398" t="b">
            <v>1</v>
          </cell>
          <cell r="E4398" t="str">
            <v>Fredonia</v>
          </cell>
          <cell r="H4398" t="str">
            <v>consulta_externa</v>
          </cell>
          <cell r="J4398" t="str">
            <v>bueno</v>
          </cell>
          <cell r="K4398" t="str">
            <v>probsi</v>
          </cell>
        </row>
        <row r="4399">
          <cell r="B4399" t="b">
            <v>1</v>
          </cell>
          <cell r="E4399" t="str">
            <v>Fredonia</v>
          </cell>
          <cell r="H4399" t="str">
            <v>consulta_externa</v>
          </cell>
          <cell r="J4399" t="str">
            <v>bueno</v>
          </cell>
          <cell r="K4399" t="str">
            <v>probsi</v>
          </cell>
        </row>
        <row r="4400">
          <cell r="B4400" t="b">
            <v>1</v>
          </cell>
          <cell r="E4400" t="str">
            <v>Libano</v>
          </cell>
          <cell r="H4400" t="str">
            <v>salud_oral</v>
          </cell>
          <cell r="J4400" t="str">
            <v>bueno</v>
          </cell>
          <cell r="K4400" t="str">
            <v>defsi</v>
          </cell>
        </row>
        <row r="4401">
          <cell r="B4401" t="b">
            <v>1</v>
          </cell>
          <cell r="E4401" t="str">
            <v>Libano</v>
          </cell>
          <cell r="H4401" t="str">
            <v>laboratorio</v>
          </cell>
          <cell r="J4401" t="str">
            <v>bueno</v>
          </cell>
          <cell r="K4401" t="str">
            <v>defsi</v>
          </cell>
        </row>
        <row r="4402">
          <cell r="B4402" t="b">
            <v>1</v>
          </cell>
          <cell r="E4402" t="str">
            <v>Fredonia</v>
          </cell>
          <cell r="H4402" t="str">
            <v>consulta_externa</v>
          </cell>
          <cell r="J4402" t="str">
            <v>bueno</v>
          </cell>
          <cell r="K4402" t="str">
            <v>probsi</v>
          </cell>
        </row>
        <row r="4403">
          <cell r="B4403" t="b">
            <v>1</v>
          </cell>
          <cell r="E4403" t="str">
            <v>Fredonia</v>
          </cell>
          <cell r="H4403" t="str">
            <v>consulta_externa</v>
          </cell>
          <cell r="J4403" t="str">
            <v>bueno</v>
          </cell>
          <cell r="K4403" t="str">
            <v>probsi</v>
          </cell>
        </row>
        <row r="4404">
          <cell r="B4404" t="b">
            <v>1</v>
          </cell>
          <cell r="E4404" t="str">
            <v>Fredonia</v>
          </cell>
          <cell r="H4404" t="str">
            <v>consulta_externa</v>
          </cell>
          <cell r="J4404" t="str">
            <v>bueno</v>
          </cell>
          <cell r="K4404" t="str">
            <v>probsi</v>
          </cell>
        </row>
        <row r="4405">
          <cell r="B4405" t="b">
            <v>1</v>
          </cell>
          <cell r="E4405" t="str">
            <v>Fredonia</v>
          </cell>
          <cell r="H4405" t="str">
            <v>consulta_externa</v>
          </cell>
          <cell r="J4405" t="str">
            <v>bueno</v>
          </cell>
          <cell r="K4405" t="str">
            <v>probsi</v>
          </cell>
        </row>
        <row r="4406">
          <cell r="B4406" t="b">
            <v>1</v>
          </cell>
          <cell r="E4406" t="str">
            <v>Fredonia</v>
          </cell>
          <cell r="H4406" t="str">
            <v>laboratorio</v>
          </cell>
          <cell r="J4406" t="str">
            <v>bueno</v>
          </cell>
          <cell r="K4406" t="str">
            <v>probsi</v>
          </cell>
        </row>
        <row r="4407">
          <cell r="B4407" t="b">
            <v>1</v>
          </cell>
          <cell r="E4407" t="str">
            <v>Fredonia</v>
          </cell>
          <cell r="H4407" t="str">
            <v>laboratorio</v>
          </cell>
          <cell r="J4407" t="str">
            <v>bueno</v>
          </cell>
          <cell r="K4407" t="str">
            <v>probsi</v>
          </cell>
        </row>
        <row r="4408">
          <cell r="B4408" t="b">
            <v>1</v>
          </cell>
          <cell r="E4408" t="str">
            <v>Libano</v>
          </cell>
          <cell r="H4408" t="str">
            <v>consulta_externa</v>
          </cell>
          <cell r="J4408" t="str">
            <v>bueno</v>
          </cell>
          <cell r="K4408" t="str">
            <v>defsi</v>
          </cell>
        </row>
        <row r="4409">
          <cell r="B4409" t="b">
            <v>1</v>
          </cell>
          <cell r="E4409" t="str">
            <v>Libano</v>
          </cell>
          <cell r="H4409" t="str">
            <v>salud_oral</v>
          </cell>
          <cell r="J4409" t="str">
            <v>bueno</v>
          </cell>
          <cell r="K4409" t="str">
            <v>defsi</v>
          </cell>
        </row>
        <row r="4410">
          <cell r="B4410" t="b">
            <v>1</v>
          </cell>
          <cell r="E4410" t="str">
            <v>Bayunca</v>
          </cell>
          <cell r="H4410" t="str">
            <v>consulta_externa</v>
          </cell>
          <cell r="J4410" t="str">
            <v>bueno</v>
          </cell>
          <cell r="K4410" t="str">
            <v>defsi</v>
          </cell>
        </row>
        <row r="4411">
          <cell r="B4411" t="b">
            <v>1</v>
          </cell>
          <cell r="E4411" t="str">
            <v>Bayunca</v>
          </cell>
          <cell r="H4411" t="str">
            <v>salud_oral</v>
          </cell>
          <cell r="J4411" t="str">
            <v>bueno</v>
          </cell>
          <cell r="K4411" t="str">
            <v>defsi</v>
          </cell>
        </row>
        <row r="4412">
          <cell r="B4412" t="b">
            <v>1</v>
          </cell>
          <cell r="E4412" t="str">
            <v>Bayunca</v>
          </cell>
          <cell r="H4412" t="str">
            <v>laboratorio</v>
          </cell>
          <cell r="J4412" t="str">
            <v>bueno</v>
          </cell>
          <cell r="K4412" t="str">
            <v>defsi</v>
          </cell>
        </row>
        <row r="4413">
          <cell r="B4413" t="b">
            <v>1</v>
          </cell>
          <cell r="E4413" t="str">
            <v>Bayunca</v>
          </cell>
          <cell r="H4413" t="str">
            <v>urgencia</v>
          </cell>
          <cell r="J4413" t="str">
            <v>bueno</v>
          </cell>
          <cell r="K4413" t="str">
            <v>defsi</v>
          </cell>
        </row>
        <row r="4414">
          <cell r="B4414" t="b">
            <v>1</v>
          </cell>
          <cell r="E4414" t="str">
            <v>Bayunca</v>
          </cell>
          <cell r="H4414" t="str">
            <v>consulta_externa</v>
          </cell>
          <cell r="J4414" t="str">
            <v>bueno</v>
          </cell>
          <cell r="K4414" t="str">
            <v>defsi</v>
          </cell>
        </row>
        <row r="4415">
          <cell r="B4415" t="b">
            <v>1</v>
          </cell>
          <cell r="E4415" t="str">
            <v>Bayunca</v>
          </cell>
          <cell r="H4415" t="str">
            <v>salud_oral</v>
          </cell>
          <cell r="J4415" t="str">
            <v>bueno</v>
          </cell>
          <cell r="K4415" t="str">
            <v>defsi</v>
          </cell>
        </row>
        <row r="4416">
          <cell r="B4416" t="b">
            <v>1</v>
          </cell>
          <cell r="E4416" t="str">
            <v>Bayunca</v>
          </cell>
          <cell r="H4416" t="str">
            <v>laboratorio</v>
          </cell>
          <cell r="J4416" t="str">
            <v>bueno</v>
          </cell>
          <cell r="K4416" t="str">
            <v>defsi</v>
          </cell>
        </row>
        <row r="4417">
          <cell r="B4417" t="b">
            <v>1</v>
          </cell>
          <cell r="E4417" t="str">
            <v>Bayunca</v>
          </cell>
          <cell r="H4417" t="str">
            <v>urgencia</v>
          </cell>
          <cell r="J4417" t="str">
            <v>bueno</v>
          </cell>
          <cell r="K4417" t="str">
            <v>defsi</v>
          </cell>
        </row>
        <row r="4418">
          <cell r="B4418" t="b">
            <v>1</v>
          </cell>
          <cell r="E4418" t="str">
            <v>Bayunca</v>
          </cell>
          <cell r="H4418" t="str">
            <v>consulta_externa</v>
          </cell>
          <cell r="J4418" t="str">
            <v>bueno</v>
          </cell>
          <cell r="K4418" t="str">
            <v>defsi</v>
          </cell>
        </row>
        <row r="4419">
          <cell r="B4419" t="b">
            <v>1</v>
          </cell>
          <cell r="E4419" t="str">
            <v>Bayunca</v>
          </cell>
          <cell r="H4419" t="str">
            <v>salud_oral</v>
          </cell>
          <cell r="J4419" t="str">
            <v>bueno</v>
          </cell>
          <cell r="K4419" t="str">
            <v>defsi</v>
          </cell>
        </row>
        <row r="4420">
          <cell r="B4420" t="b">
            <v>1</v>
          </cell>
          <cell r="E4420" t="str">
            <v>Bayunca</v>
          </cell>
          <cell r="H4420" t="str">
            <v>laboratorio</v>
          </cell>
          <cell r="J4420" t="str">
            <v>bueno</v>
          </cell>
          <cell r="K4420" t="str">
            <v>defsi</v>
          </cell>
        </row>
        <row r="4421">
          <cell r="B4421" t="b">
            <v>1</v>
          </cell>
          <cell r="E4421" t="str">
            <v>Bayunca</v>
          </cell>
          <cell r="H4421" t="str">
            <v>urgencia</v>
          </cell>
          <cell r="J4421" t="str">
            <v>bueno</v>
          </cell>
          <cell r="K4421" t="str">
            <v>defsi</v>
          </cell>
        </row>
        <row r="4422">
          <cell r="B4422" t="b">
            <v>1</v>
          </cell>
          <cell r="E4422" t="str">
            <v>Libano</v>
          </cell>
          <cell r="H4422" t="str">
            <v>consulta_externa</v>
          </cell>
          <cell r="J4422" t="str">
            <v>bueno</v>
          </cell>
          <cell r="K4422" t="str">
            <v>defsi</v>
          </cell>
        </row>
        <row r="4423">
          <cell r="B4423" t="b">
            <v>1</v>
          </cell>
          <cell r="E4423" t="str">
            <v>Libano</v>
          </cell>
          <cell r="H4423" t="str">
            <v>consulta_externa</v>
          </cell>
          <cell r="J4423" t="str">
            <v>bueno</v>
          </cell>
          <cell r="K4423" t="str">
            <v>defsi</v>
          </cell>
        </row>
        <row r="4424">
          <cell r="B4424" t="b">
            <v>1</v>
          </cell>
          <cell r="E4424" t="str">
            <v>Libano</v>
          </cell>
          <cell r="H4424" t="str">
            <v>salud_oral</v>
          </cell>
          <cell r="J4424" t="str">
            <v>bueno</v>
          </cell>
          <cell r="K4424" t="str">
            <v>defsi</v>
          </cell>
        </row>
        <row r="4425">
          <cell r="B4425" t="b">
            <v>1</v>
          </cell>
          <cell r="E4425" t="str">
            <v>Libano</v>
          </cell>
          <cell r="H4425" t="str">
            <v>salud_oral</v>
          </cell>
          <cell r="J4425" t="str">
            <v>bueno</v>
          </cell>
          <cell r="K4425" t="str">
            <v>defsi</v>
          </cell>
        </row>
        <row r="4426">
          <cell r="B4426" t="b">
            <v>1</v>
          </cell>
          <cell r="E4426" t="str">
            <v>Libano</v>
          </cell>
          <cell r="H4426" t="str">
            <v>salud_oral</v>
          </cell>
          <cell r="J4426" t="str">
            <v>bueno</v>
          </cell>
          <cell r="K4426" t="str">
            <v>defsi</v>
          </cell>
        </row>
        <row r="4427">
          <cell r="B4427" t="b">
            <v>1</v>
          </cell>
          <cell r="E4427" t="str">
            <v>Libano</v>
          </cell>
          <cell r="H4427" t="str">
            <v>pediatria</v>
          </cell>
          <cell r="J4427" t="str">
            <v>bueno</v>
          </cell>
          <cell r="K4427" t="str">
            <v>defsi</v>
          </cell>
        </row>
        <row r="4428">
          <cell r="B4428" t="b">
            <v>1</v>
          </cell>
          <cell r="E4428" t="str">
            <v>Libano</v>
          </cell>
          <cell r="H4428" t="str">
            <v>pediatria</v>
          </cell>
          <cell r="J4428" t="str">
            <v>bueno</v>
          </cell>
          <cell r="K4428" t="str">
            <v>defsi</v>
          </cell>
        </row>
        <row r="4429">
          <cell r="B4429" t="b">
            <v>0</v>
          </cell>
          <cell r="E4429" t="str">
            <v>Libano</v>
          </cell>
          <cell r="H4429" t="str">
            <v>consulta_externa</v>
          </cell>
          <cell r="J4429" t="str">
            <v>regular</v>
          </cell>
          <cell r="K4429" t="str">
            <v>defsi</v>
          </cell>
        </row>
        <row r="4430">
          <cell r="B4430" t="b">
            <v>0</v>
          </cell>
          <cell r="E4430" t="str">
            <v>Libano</v>
          </cell>
          <cell r="H4430" t="str">
            <v>salud_oral</v>
          </cell>
          <cell r="J4430" t="str">
            <v>regular</v>
          </cell>
          <cell r="K4430" t="str">
            <v>defsi</v>
          </cell>
        </row>
        <row r="4431">
          <cell r="B4431" t="b">
            <v>0</v>
          </cell>
          <cell r="E4431" t="str">
            <v>Libano</v>
          </cell>
          <cell r="H4431" t="str">
            <v>consulta_externa</v>
          </cell>
          <cell r="J4431" t="str">
            <v>regular</v>
          </cell>
          <cell r="K4431" t="str">
            <v>defsi</v>
          </cell>
        </row>
        <row r="4432">
          <cell r="B4432" t="b">
            <v>0</v>
          </cell>
          <cell r="E4432" t="str">
            <v>Esperanza</v>
          </cell>
          <cell r="H4432" t="str">
            <v>laboratorio</v>
          </cell>
          <cell r="J4432" t="str">
            <v>regular</v>
          </cell>
          <cell r="K4432" t="str">
            <v>probsi</v>
          </cell>
        </row>
        <row r="4433">
          <cell r="B4433" t="b">
            <v>0</v>
          </cell>
          <cell r="E4433" t="str">
            <v>Esperanza</v>
          </cell>
          <cell r="H4433" t="str">
            <v>laboratorio</v>
          </cell>
          <cell r="J4433" t="str">
            <v>regular</v>
          </cell>
          <cell r="K4433" t="str">
            <v>probsi</v>
          </cell>
        </row>
        <row r="4434">
          <cell r="B4434" t="b">
            <v>1</v>
          </cell>
          <cell r="E4434" t="str">
            <v>Esperanza</v>
          </cell>
          <cell r="H4434" t="str">
            <v>laboratorio</v>
          </cell>
          <cell r="J4434" t="str">
            <v>bueno</v>
          </cell>
          <cell r="K4434" t="str">
            <v>probsi</v>
          </cell>
        </row>
        <row r="4435">
          <cell r="B4435" t="b">
            <v>1</v>
          </cell>
          <cell r="E4435" t="str">
            <v>Esperanza</v>
          </cell>
          <cell r="H4435" t="str">
            <v>laboratorio</v>
          </cell>
          <cell r="J4435" t="str">
            <v>bueno</v>
          </cell>
          <cell r="K4435" t="str">
            <v>probsi</v>
          </cell>
        </row>
        <row r="4436">
          <cell r="B4436" t="b">
            <v>1</v>
          </cell>
          <cell r="E4436" t="str">
            <v>Libano</v>
          </cell>
          <cell r="H4436" t="str">
            <v>pediatria</v>
          </cell>
          <cell r="J4436" t="str">
            <v>bueno</v>
          </cell>
          <cell r="K4436" t="str">
            <v>defsi</v>
          </cell>
        </row>
        <row r="4437">
          <cell r="B4437" t="b">
            <v>0</v>
          </cell>
          <cell r="E4437" t="str">
            <v>Esperanza</v>
          </cell>
          <cell r="H4437" t="str">
            <v>laboratorio</v>
          </cell>
          <cell r="J4437" t="str">
            <v>regular</v>
          </cell>
          <cell r="K4437" t="str">
            <v>probsi</v>
          </cell>
        </row>
        <row r="4438">
          <cell r="B4438" t="b">
            <v>0</v>
          </cell>
          <cell r="E4438" t="str">
            <v>Esperanza</v>
          </cell>
          <cell r="H4438" t="str">
            <v>laboratorio</v>
          </cell>
          <cell r="J4438" t="str">
            <v>regular</v>
          </cell>
          <cell r="K4438" t="str">
            <v>probsi</v>
          </cell>
        </row>
        <row r="4439">
          <cell r="B4439" t="b">
            <v>1</v>
          </cell>
          <cell r="E4439" t="str">
            <v>Esperanza</v>
          </cell>
          <cell r="H4439" t="str">
            <v>consulta_externa</v>
          </cell>
          <cell r="J4439" t="str">
            <v>bueno</v>
          </cell>
          <cell r="K4439" t="str">
            <v>probsi</v>
          </cell>
        </row>
        <row r="4440">
          <cell r="B4440" t="b">
            <v>1</v>
          </cell>
          <cell r="E4440" t="str">
            <v>Esperanza</v>
          </cell>
          <cell r="H4440" t="str">
            <v>consulta_externa</v>
          </cell>
          <cell r="J4440" t="str">
            <v>bueno</v>
          </cell>
          <cell r="K4440" t="str">
            <v>probsi</v>
          </cell>
        </row>
        <row r="4441">
          <cell r="B4441" t="b">
            <v>1</v>
          </cell>
          <cell r="E4441" t="str">
            <v>Esperanza</v>
          </cell>
          <cell r="H4441" t="str">
            <v>salud_oral</v>
          </cell>
          <cell r="J4441" t="str">
            <v>bueno</v>
          </cell>
          <cell r="K4441" t="str">
            <v>probsi</v>
          </cell>
        </row>
        <row r="4442">
          <cell r="B4442" t="b">
            <v>1</v>
          </cell>
          <cell r="E4442" t="str">
            <v>Esperanza</v>
          </cell>
          <cell r="H4442" t="str">
            <v>salud_oral</v>
          </cell>
          <cell r="J4442" t="str">
            <v>bueno</v>
          </cell>
          <cell r="K4442" t="str">
            <v>probsi</v>
          </cell>
        </row>
        <row r="4443">
          <cell r="B4443" t="b">
            <v>1</v>
          </cell>
          <cell r="E4443" t="str">
            <v>Esperanza</v>
          </cell>
          <cell r="H4443" t="str">
            <v>salud_oral</v>
          </cell>
          <cell r="J4443" t="str">
            <v>bueno</v>
          </cell>
          <cell r="K4443" t="str">
            <v>probsi</v>
          </cell>
        </row>
        <row r="4444">
          <cell r="B4444" t="b">
            <v>1</v>
          </cell>
          <cell r="E4444" t="str">
            <v>Esperanza</v>
          </cell>
          <cell r="H4444" t="str">
            <v>urgencia</v>
          </cell>
          <cell r="J4444" t="str">
            <v>bueno</v>
          </cell>
          <cell r="K4444" t="str">
            <v>probsi</v>
          </cell>
        </row>
        <row r="4445">
          <cell r="B4445" t="b">
            <v>1</v>
          </cell>
          <cell r="E4445" t="str">
            <v>Esperanza</v>
          </cell>
          <cell r="H4445" t="str">
            <v>urgencia</v>
          </cell>
          <cell r="J4445" t="str">
            <v>bueno</v>
          </cell>
          <cell r="K4445" t="str">
            <v>probsi</v>
          </cell>
        </row>
        <row r="4446">
          <cell r="B4446" t="b">
            <v>0</v>
          </cell>
          <cell r="E4446" t="str">
            <v>Esperanza</v>
          </cell>
          <cell r="H4446" t="str">
            <v>urgencia</v>
          </cell>
          <cell r="J4446" t="str">
            <v>regular</v>
          </cell>
          <cell r="K4446" t="str">
            <v>probsi</v>
          </cell>
        </row>
        <row r="4447">
          <cell r="B4447" t="b">
            <v>0</v>
          </cell>
          <cell r="E4447" t="str">
            <v>Esperanza</v>
          </cell>
          <cell r="H4447" t="str">
            <v>urgencia</v>
          </cell>
          <cell r="J4447" t="str">
            <v>regular</v>
          </cell>
          <cell r="K4447" t="str">
            <v>probsi</v>
          </cell>
        </row>
        <row r="4448">
          <cell r="B4448" t="b">
            <v>1</v>
          </cell>
          <cell r="E4448" t="str">
            <v>Bayunca</v>
          </cell>
          <cell r="H4448" t="str">
            <v>consulta_externa</v>
          </cell>
          <cell r="J4448" t="str">
            <v>bueno</v>
          </cell>
          <cell r="K4448" t="str">
            <v>defsi</v>
          </cell>
        </row>
        <row r="4449">
          <cell r="B4449" t="b">
            <v>1</v>
          </cell>
          <cell r="E4449" t="str">
            <v>Bayunca</v>
          </cell>
          <cell r="H4449" t="str">
            <v>salud_oral</v>
          </cell>
          <cell r="J4449" t="str">
            <v>bueno</v>
          </cell>
          <cell r="K4449" t="str">
            <v>defsi</v>
          </cell>
        </row>
        <row r="4450">
          <cell r="B4450" t="b">
            <v>1</v>
          </cell>
          <cell r="E4450" t="str">
            <v>Bayunca</v>
          </cell>
          <cell r="H4450" t="str">
            <v>laboratorio</v>
          </cell>
          <cell r="J4450" t="str">
            <v>bueno</v>
          </cell>
          <cell r="K4450" t="str">
            <v>defsi</v>
          </cell>
        </row>
        <row r="4451">
          <cell r="B4451" t="b">
            <v>1</v>
          </cell>
          <cell r="E4451" t="str">
            <v>Bayunca</v>
          </cell>
          <cell r="H4451" t="str">
            <v>urgencia</v>
          </cell>
          <cell r="J4451" t="str">
            <v>bueno</v>
          </cell>
          <cell r="K4451" t="str">
            <v>defsi</v>
          </cell>
        </row>
        <row r="4452">
          <cell r="B4452" t="b">
            <v>1</v>
          </cell>
          <cell r="E4452" t="str">
            <v>Bayunca</v>
          </cell>
          <cell r="H4452" t="str">
            <v>consulta_externa</v>
          </cell>
          <cell r="J4452" t="str">
            <v>bueno</v>
          </cell>
          <cell r="K4452" t="str">
            <v>defsi</v>
          </cell>
        </row>
        <row r="4453">
          <cell r="B4453" t="b">
            <v>1</v>
          </cell>
          <cell r="E4453" t="str">
            <v>Bayunca</v>
          </cell>
          <cell r="H4453" t="str">
            <v>salud_oral</v>
          </cell>
          <cell r="J4453" t="str">
            <v>bueno</v>
          </cell>
          <cell r="K4453" t="str">
            <v>defsi</v>
          </cell>
        </row>
        <row r="4454">
          <cell r="B4454" t="b">
            <v>1</v>
          </cell>
          <cell r="E4454" t="str">
            <v>Bayunca</v>
          </cell>
          <cell r="H4454" t="str">
            <v>laboratorio</v>
          </cell>
          <cell r="J4454" t="str">
            <v>bueno</v>
          </cell>
          <cell r="K4454" t="str">
            <v>defsi</v>
          </cell>
        </row>
        <row r="4455">
          <cell r="B4455" t="b">
            <v>1</v>
          </cell>
          <cell r="E4455" t="str">
            <v>Bayunca</v>
          </cell>
          <cell r="H4455" t="str">
            <v>urgencia</v>
          </cell>
          <cell r="J4455" t="str">
            <v>bueno</v>
          </cell>
          <cell r="K4455" t="str">
            <v>defsi</v>
          </cell>
        </row>
        <row r="4456">
          <cell r="B4456" t="b">
            <v>1</v>
          </cell>
          <cell r="E4456" t="str">
            <v>Libano</v>
          </cell>
          <cell r="H4456" t="str">
            <v>pediatria</v>
          </cell>
          <cell r="J4456" t="str">
            <v>bueno</v>
          </cell>
          <cell r="K4456" t="str">
            <v>defsi</v>
          </cell>
        </row>
        <row r="4457">
          <cell r="B4457" t="b">
            <v>1</v>
          </cell>
          <cell r="E4457" t="str">
            <v>Libano</v>
          </cell>
          <cell r="H4457" t="str">
            <v>salud_oral</v>
          </cell>
          <cell r="J4457" t="str">
            <v>bueno</v>
          </cell>
          <cell r="K4457" t="str">
            <v>defsi</v>
          </cell>
        </row>
        <row r="4458">
          <cell r="B4458" t="b">
            <v>1</v>
          </cell>
          <cell r="E4458" t="str">
            <v>Libano</v>
          </cell>
          <cell r="H4458" t="str">
            <v>salud_oral</v>
          </cell>
          <cell r="J4458" t="str">
            <v>bueno</v>
          </cell>
          <cell r="K4458" t="str">
            <v>defsi</v>
          </cell>
        </row>
        <row r="4459">
          <cell r="B4459" t="b">
            <v>1</v>
          </cell>
          <cell r="E4459" t="str">
            <v>Libano</v>
          </cell>
          <cell r="H4459" t="str">
            <v>pediatria</v>
          </cell>
          <cell r="J4459" t="str">
            <v>muybueno</v>
          </cell>
          <cell r="K4459" t="str">
            <v>defsi</v>
          </cell>
        </row>
        <row r="4460">
          <cell r="B4460" t="b">
            <v>1</v>
          </cell>
          <cell r="E4460" t="str">
            <v>Libano</v>
          </cell>
          <cell r="H4460" t="str">
            <v>ecografias</v>
          </cell>
          <cell r="J4460" t="str">
            <v>bueno</v>
          </cell>
          <cell r="K4460" t="str">
            <v>defsi</v>
          </cell>
        </row>
        <row r="4461">
          <cell r="B4461" t="b">
            <v>1</v>
          </cell>
          <cell r="E4461" t="str">
            <v>Libano</v>
          </cell>
          <cell r="H4461" t="str">
            <v>ecografias</v>
          </cell>
          <cell r="J4461" t="str">
            <v>bueno</v>
          </cell>
          <cell r="K4461" t="str">
            <v>defsi</v>
          </cell>
        </row>
        <row r="4462">
          <cell r="B4462" t="b">
            <v>1</v>
          </cell>
          <cell r="E4462" t="str">
            <v>Libano</v>
          </cell>
          <cell r="H4462" t="str">
            <v>ecografias</v>
          </cell>
          <cell r="J4462" t="str">
            <v>bueno</v>
          </cell>
          <cell r="K4462" t="str">
            <v>defsi</v>
          </cell>
        </row>
        <row r="4463">
          <cell r="B4463" t="b">
            <v>1</v>
          </cell>
          <cell r="E4463" t="str">
            <v>Libano</v>
          </cell>
          <cell r="H4463" t="str">
            <v>ginecologia</v>
          </cell>
          <cell r="J4463" t="str">
            <v>bueno</v>
          </cell>
          <cell r="K4463" t="str">
            <v>defsi</v>
          </cell>
        </row>
        <row r="4464">
          <cell r="B4464" t="b">
            <v>1</v>
          </cell>
          <cell r="E4464" t="str">
            <v>Libano</v>
          </cell>
          <cell r="H4464" t="str">
            <v>ginecologia</v>
          </cell>
          <cell r="J4464" t="str">
            <v>bueno</v>
          </cell>
          <cell r="K4464" t="str">
            <v>defsi</v>
          </cell>
        </row>
        <row r="4465">
          <cell r="B4465" t="b">
            <v>1</v>
          </cell>
          <cell r="E4465" t="str">
            <v>Libano</v>
          </cell>
          <cell r="H4465" t="str">
            <v>ginecologia</v>
          </cell>
          <cell r="J4465" t="str">
            <v>bueno</v>
          </cell>
          <cell r="K4465" t="str">
            <v>defsi</v>
          </cell>
        </row>
        <row r="4466">
          <cell r="B4466" t="b">
            <v>1</v>
          </cell>
          <cell r="E4466" t="str">
            <v>Libano</v>
          </cell>
          <cell r="H4466" t="str">
            <v>ginecologia</v>
          </cell>
          <cell r="J4466" t="str">
            <v>bueno</v>
          </cell>
          <cell r="K4466" t="str">
            <v>defsi</v>
          </cell>
        </row>
        <row r="4467">
          <cell r="B4467" t="b">
            <v>1</v>
          </cell>
          <cell r="E4467" t="str">
            <v>Bayunca</v>
          </cell>
          <cell r="H4467" t="str">
            <v>consulta_externa</v>
          </cell>
          <cell r="J4467" t="str">
            <v>bueno</v>
          </cell>
          <cell r="K4467" t="str">
            <v>defsi</v>
          </cell>
        </row>
        <row r="4468">
          <cell r="B4468" t="b">
            <v>1</v>
          </cell>
          <cell r="E4468" t="str">
            <v>Libano</v>
          </cell>
          <cell r="H4468" t="str">
            <v>ginecologia</v>
          </cell>
          <cell r="J4468" t="str">
            <v>muybueno</v>
          </cell>
          <cell r="K4468" t="str">
            <v>defsi</v>
          </cell>
        </row>
        <row r="4469">
          <cell r="B4469" t="b">
            <v>1</v>
          </cell>
          <cell r="E4469" t="str">
            <v>Libano</v>
          </cell>
          <cell r="H4469" t="str">
            <v>ecografias</v>
          </cell>
          <cell r="J4469" t="str">
            <v>bueno</v>
          </cell>
          <cell r="K4469" t="str">
            <v>defsi</v>
          </cell>
        </row>
        <row r="4470">
          <cell r="B4470" t="b">
            <v>1</v>
          </cell>
          <cell r="E4470" t="str">
            <v>Bayunca</v>
          </cell>
          <cell r="H4470" t="str">
            <v>salud_oral</v>
          </cell>
          <cell r="J4470" t="str">
            <v>bueno</v>
          </cell>
          <cell r="K4470" t="str">
            <v>defsi</v>
          </cell>
        </row>
        <row r="4471">
          <cell r="B4471" t="b">
            <v>1</v>
          </cell>
          <cell r="E4471" t="str">
            <v>Libano</v>
          </cell>
          <cell r="H4471" t="str">
            <v>ecografias</v>
          </cell>
          <cell r="J4471" t="str">
            <v>bueno</v>
          </cell>
          <cell r="K4471" t="str">
            <v>defsi</v>
          </cell>
        </row>
        <row r="4472">
          <cell r="B4472" t="b">
            <v>1</v>
          </cell>
          <cell r="E4472" t="str">
            <v>Bayunca</v>
          </cell>
          <cell r="H4472" t="str">
            <v>laboratorio</v>
          </cell>
          <cell r="J4472" t="str">
            <v>bueno</v>
          </cell>
          <cell r="K4472" t="str">
            <v>defsi</v>
          </cell>
        </row>
        <row r="4473">
          <cell r="B4473" t="b">
            <v>1</v>
          </cell>
          <cell r="E4473" t="str">
            <v>Libano</v>
          </cell>
          <cell r="H4473" t="str">
            <v>laboratorio</v>
          </cell>
          <cell r="J4473" t="str">
            <v>bueno</v>
          </cell>
          <cell r="K4473" t="str">
            <v>defsi</v>
          </cell>
        </row>
        <row r="4474">
          <cell r="B4474" t="b">
            <v>1</v>
          </cell>
          <cell r="E4474" t="str">
            <v>Bayunca</v>
          </cell>
          <cell r="H4474" t="str">
            <v>urgencia</v>
          </cell>
          <cell r="J4474" t="str">
            <v>bueno</v>
          </cell>
          <cell r="K4474" t="str">
            <v>defsi</v>
          </cell>
        </row>
        <row r="4475">
          <cell r="B4475" t="b">
            <v>0</v>
          </cell>
          <cell r="E4475" t="str">
            <v>Libano</v>
          </cell>
          <cell r="H4475" t="str">
            <v>laboratorio</v>
          </cell>
          <cell r="J4475" t="str">
            <v>regular</v>
          </cell>
          <cell r="K4475" t="str">
            <v>probno</v>
          </cell>
        </row>
        <row r="4476">
          <cell r="B4476" t="b">
            <v>1</v>
          </cell>
          <cell r="E4476" t="str">
            <v>Libano</v>
          </cell>
          <cell r="H4476" t="str">
            <v>laboratorio</v>
          </cell>
          <cell r="J4476" t="str">
            <v>bueno</v>
          </cell>
          <cell r="K4476" t="str">
            <v>defsi</v>
          </cell>
        </row>
        <row r="4477">
          <cell r="B4477" t="b">
            <v>1</v>
          </cell>
          <cell r="E4477" t="str">
            <v>Libano</v>
          </cell>
          <cell r="H4477" t="str">
            <v>laboratorio</v>
          </cell>
          <cell r="J4477" t="str">
            <v>bueno</v>
          </cell>
          <cell r="K4477" t="str">
            <v>defsi</v>
          </cell>
        </row>
        <row r="4478">
          <cell r="B4478" t="b">
            <v>1</v>
          </cell>
          <cell r="E4478" t="str">
            <v>Bayunca</v>
          </cell>
          <cell r="H4478" t="str">
            <v>consulta_externa</v>
          </cell>
          <cell r="J4478" t="str">
            <v>bueno</v>
          </cell>
          <cell r="K4478" t="str">
            <v>defsi</v>
          </cell>
        </row>
        <row r="4479">
          <cell r="B4479" t="b">
            <v>1</v>
          </cell>
          <cell r="E4479" t="str">
            <v>Bayunca</v>
          </cell>
          <cell r="H4479" t="str">
            <v>salud_oral</v>
          </cell>
          <cell r="J4479" t="str">
            <v>bueno</v>
          </cell>
          <cell r="K4479" t="str">
            <v>defsi</v>
          </cell>
        </row>
        <row r="4480">
          <cell r="B4480" t="b">
            <v>0</v>
          </cell>
          <cell r="E4480" t="str">
            <v>Libano</v>
          </cell>
          <cell r="H4480" t="str">
            <v>laboratorio</v>
          </cell>
          <cell r="J4480" t="str">
            <v>regular</v>
          </cell>
          <cell r="K4480" t="str">
            <v>defsi</v>
          </cell>
        </row>
        <row r="4481">
          <cell r="B4481" t="b">
            <v>1</v>
          </cell>
          <cell r="E4481" t="str">
            <v>Bayunca</v>
          </cell>
          <cell r="H4481" t="str">
            <v>laboratorio</v>
          </cell>
          <cell r="J4481" t="str">
            <v>bueno</v>
          </cell>
          <cell r="K4481" t="str">
            <v>defsi</v>
          </cell>
        </row>
        <row r="4482">
          <cell r="B4482" t="b">
            <v>1</v>
          </cell>
          <cell r="E4482" t="str">
            <v>Libano</v>
          </cell>
          <cell r="H4482" t="str">
            <v>laboratorio</v>
          </cell>
          <cell r="J4482" t="str">
            <v>bueno</v>
          </cell>
          <cell r="K4482" t="str">
            <v>defsi</v>
          </cell>
        </row>
        <row r="4483">
          <cell r="B4483" t="b">
            <v>0</v>
          </cell>
          <cell r="E4483" t="str">
            <v>Libano</v>
          </cell>
          <cell r="H4483" t="str">
            <v>laboratorio</v>
          </cell>
          <cell r="J4483" t="str">
            <v>regular</v>
          </cell>
          <cell r="K4483" t="str">
            <v>probsi</v>
          </cell>
        </row>
        <row r="4484">
          <cell r="B4484" t="b">
            <v>1</v>
          </cell>
          <cell r="E4484" t="str">
            <v>Bayunca</v>
          </cell>
          <cell r="H4484" t="str">
            <v>laboratorio</v>
          </cell>
          <cell r="J4484" t="str">
            <v>bueno</v>
          </cell>
          <cell r="K4484" t="str">
            <v>defsi</v>
          </cell>
        </row>
        <row r="4485">
          <cell r="B4485" t="b">
            <v>1</v>
          </cell>
          <cell r="E4485" t="str">
            <v>Bayunca</v>
          </cell>
          <cell r="H4485" t="str">
            <v>urgencia</v>
          </cell>
          <cell r="J4485" t="str">
            <v>bueno</v>
          </cell>
          <cell r="K4485" t="str">
            <v>defsi</v>
          </cell>
        </row>
        <row r="4486">
          <cell r="B4486" t="b">
            <v>1</v>
          </cell>
          <cell r="E4486" t="str">
            <v>Libano</v>
          </cell>
          <cell r="H4486" t="str">
            <v>ecografias</v>
          </cell>
          <cell r="J4486" t="str">
            <v>bueno</v>
          </cell>
          <cell r="K4486" t="str">
            <v>defsi</v>
          </cell>
        </row>
        <row r="4487">
          <cell r="B4487" t="b">
            <v>1</v>
          </cell>
          <cell r="E4487" t="str">
            <v>Bayunca</v>
          </cell>
          <cell r="H4487" t="str">
            <v>salud_oral</v>
          </cell>
          <cell r="J4487" t="str">
            <v>bueno</v>
          </cell>
          <cell r="K4487" t="str">
            <v>defsi</v>
          </cell>
        </row>
        <row r="4488">
          <cell r="B4488" t="b">
            <v>1</v>
          </cell>
          <cell r="E4488" t="str">
            <v>Bayunca</v>
          </cell>
          <cell r="H4488" t="str">
            <v>laboratorio</v>
          </cell>
          <cell r="J4488" t="str">
            <v>bueno</v>
          </cell>
          <cell r="K4488" t="str">
            <v>defsi</v>
          </cell>
        </row>
        <row r="4489">
          <cell r="B4489" t="b">
            <v>1</v>
          </cell>
          <cell r="E4489" t="str">
            <v>Bayunca</v>
          </cell>
          <cell r="H4489" t="str">
            <v>urgencia</v>
          </cell>
          <cell r="J4489" t="str">
            <v>bueno</v>
          </cell>
          <cell r="K4489" t="str">
            <v>defsi</v>
          </cell>
        </row>
        <row r="4490">
          <cell r="B4490" t="b">
            <v>1</v>
          </cell>
          <cell r="E4490" t="str">
            <v>Isla Fuerte</v>
          </cell>
          <cell r="H4490" t="str">
            <v>consulta_externa</v>
          </cell>
          <cell r="J4490" t="str">
            <v>bueno</v>
          </cell>
          <cell r="K4490" t="str">
            <v>defsi</v>
          </cell>
        </row>
        <row r="4491">
          <cell r="B4491" t="b">
            <v>1</v>
          </cell>
          <cell r="E4491" t="str">
            <v>Isla Fuerte</v>
          </cell>
          <cell r="H4491" t="str">
            <v>salud_oral</v>
          </cell>
          <cell r="J4491" t="str">
            <v>bueno</v>
          </cell>
          <cell r="K4491" t="str">
            <v>defsi</v>
          </cell>
        </row>
        <row r="4492">
          <cell r="B4492" t="b">
            <v>1</v>
          </cell>
          <cell r="E4492" t="str">
            <v>Isla Fuerte</v>
          </cell>
          <cell r="H4492" t="str">
            <v>laboratorio</v>
          </cell>
          <cell r="J4492" t="str">
            <v>bueno</v>
          </cell>
          <cell r="K4492" t="str">
            <v>defsi</v>
          </cell>
        </row>
        <row r="4493">
          <cell r="B4493" t="b">
            <v>1</v>
          </cell>
          <cell r="E4493" t="str">
            <v>Isla Fuerte</v>
          </cell>
          <cell r="H4493" t="str">
            <v>consulta_externa</v>
          </cell>
          <cell r="J4493" t="str">
            <v>bueno</v>
          </cell>
          <cell r="K4493" t="str">
            <v>defsi</v>
          </cell>
        </row>
        <row r="4494">
          <cell r="B4494" t="b">
            <v>1</v>
          </cell>
          <cell r="E4494" t="str">
            <v>Isla Fuerte</v>
          </cell>
          <cell r="H4494" t="str">
            <v>salud_oral</v>
          </cell>
          <cell r="J4494" t="str">
            <v>bueno</v>
          </cell>
          <cell r="K4494" t="str">
            <v>defsi</v>
          </cell>
        </row>
        <row r="4495">
          <cell r="B4495" t="b">
            <v>1</v>
          </cell>
          <cell r="E4495" t="str">
            <v>Isla Fuerte</v>
          </cell>
          <cell r="H4495" t="str">
            <v>laboratorio</v>
          </cell>
          <cell r="J4495" t="str">
            <v>bueno</v>
          </cell>
          <cell r="K4495" t="str">
            <v>defsi</v>
          </cell>
        </row>
        <row r="4496">
          <cell r="B4496" t="b">
            <v>1</v>
          </cell>
          <cell r="E4496" t="str">
            <v>Isla Fuerte</v>
          </cell>
          <cell r="H4496" t="str">
            <v>consulta_externa</v>
          </cell>
          <cell r="J4496" t="str">
            <v>bueno</v>
          </cell>
          <cell r="K4496" t="str">
            <v>defsi</v>
          </cell>
        </row>
        <row r="4497">
          <cell r="B4497" t="b">
            <v>1</v>
          </cell>
          <cell r="E4497" t="str">
            <v>Isla Fuerte</v>
          </cell>
          <cell r="H4497" t="str">
            <v>salud_oral</v>
          </cell>
          <cell r="J4497" t="str">
            <v>bueno</v>
          </cell>
          <cell r="K4497" t="str">
            <v>defsi</v>
          </cell>
        </row>
        <row r="4498">
          <cell r="B4498" t="b">
            <v>1</v>
          </cell>
          <cell r="E4498" t="str">
            <v>Isla Fuerte</v>
          </cell>
          <cell r="H4498" t="str">
            <v>laboratorio</v>
          </cell>
          <cell r="J4498" t="str">
            <v>bueno</v>
          </cell>
          <cell r="K4498" t="str">
            <v>defsi</v>
          </cell>
        </row>
        <row r="4499">
          <cell r="B4499" t="b">
            <v>0</v>
          </cell>
          <cell r="E4499" t="str">
            <v>Esperanza</v>
          </cell>
          <cell r="H4499" t="str">
            <v>consulta_externa</v>
          </cell>
          <cell r="J4499" t="str">
            <v>regular</v>
          </cell>
          <cell r="K4499" t="str">
            <v>probsi</v>
          </cell>
        </row>
        <row r="4500">
          <cell r="B4500" t="b">
            <v>1</v>
          </cell>
          <cell r="E4500" t="str">
            <v>Esperanza</v>
          </cell>
          <cell r="H4500" t="str">
            <v>consulta_externa</v>
          </cell>
          <cell r="J4500" t="str">
            <v>bueno</v>
          </cell>
          <cell r="K4500" t="str">
            <v>probsi</v>
          </cell>
        </row>
        <row r="4501">
          <cell r="B4501" t="b">
            <v>1</v>
          </cell>
          <cell r="E4501" t="str">
            <v>Esperanza</v>
          </cell>
          <cell r="H4501" t="str">
            <v>consulta_externa</v>
          </cell>
          <cell r="J4501" t="str">
            <v>bueno</v>
          </cell>
          <cell r="K4501" t="str">
            <v>probsi</v>
          </cell>
        </row>
        <row r="4502">
          <cell r="B4502" t="b">
            <v>0</v>
          </cell>
          <cell r="E4502" t="str">
            <v>Esperanza</v>
          </cell>
          <cell r="H4502" t="str">
            <v>laboratorio</v>
          </cell>
          <cell r="J4502" t="str">
            <v>regular</v>
          </cell>
          <cell r="K4502" t="str">
            <v>probsi</v>
          </cell>
        </row>
        <row r="4503">
          <cell r="B4503" t="b">
            <v>0</v>
          </cell>
          <cell r="E4503" t="str">
            <v>Esperanza</v>
          </cell>
          <cell r="H4503" t="str">
            <v>laboratorio</v>
          </cell>
          <cell r="J4503" t="str">
            <v>regular</v>
          </cell>
          <cell r="K4503" t="str">
            <v>probsi</v>
          </cell>
        </row>
        <row r="4504">
          <cell r="B4504" t="b">
            <v>1</v>
          </cell>
          <cell r="E4504" t="str">
            <v>Esperanza</v>
          </cell>
          <cell r="H4504" t="str">
            <v>laboratorio</v>
          </cell>
          <cell r="J4504" t="str">
            <v>bueno</v>
          </cell>
          <cell r="K4504" t="str">
            <v>probsi</v>
          </cell>
        </row>
        <row r="4505">
          <cell r="B4505" t="b">
            <v>1</v>
          </cell>
          <cell r="E4505" t="str">
            <v>Esperanza</v>
          </cell>
          <cell r="H4505" t="str">
            <v>salud_oral</v>
          </cell>
          <cell r="J4505" t="str">
            <v>bueno</v>
          </cell>
          <cell r="K4505" t="str">
            <v>probsi</v>
          </cell>
        </row>
        <row r="4506">
          <cell r="B4506" t="b">
            <v>1</v>
          </cell>
          <cell r="E4506" t="str">
            <v>Esperanza</v>
          </cell>
          <cell r="H4506" t="str">
            <v>salud_oral</v>
          </cell>
          <cell r="J4506" t="str">
            <v>bueno</v>
          </cell>
          <cell r="K4506" t="str">
            <v>probsi</v>
          </cell>
        </row>
        <row r="4507">
          <cell r="B4507" t="b">
            <v>1</v>
          </cell>
          <cell r="E4507" t="str">
            <v>Esperanza</v>
          </cell>
          <cell r="H4507" t="str">
            <v>salud_oral</v>
          </cell>
          <cell r="J4507" t="str">
            <v>bueno</v>
          </cell>
          <cell r="K4507" t="str">
            <v>probsi</v>
          </cell>
        </row>
        <row r="4508">
          <cell r="B4508" t="b">
            <v>1</v>
          </cell>
          <cell r="E4508" t="str">
            <v>Esperanza</v>
          </cell>
          <cell r="H4508" t="str">
            <v>salud_oral</v>
          </cell>
          <cell r="J4508" t="str">
            <v>bueno</v>
          </cell>
          <cell r="K4508" t="str">
            <v>probsi</v>
          </cell>
        </row>
        <row r="4509">
          <cell r="B4509" t="b">
            <v>1</v>
          </cell>
          <cell r="E4509" t="str">
            <v>Esperanza</v>
          </cell>
          <cell r="H4509" t="str">
            <v>salud_oral</v>
          </cell>
          <cell r="J4509" t="str">
            <v>bueno</v>
          </cell>
          <cell r="K4509" t="str">
            <v>probsi</v>
          </cell>
        </row>
        <row r="4510">
          <cell r="B4510" t="b">
            <v>1</v>
          </cell>
          <cell r="E4510" t="str">
            <v>Esperanza</v>
          </cell>
          <cell r="H4510" t="str">
            <v>salud_oral</v>
          </cell>
          <cell r="J4510" t="str">
            <v>bueno</v>
          </cell>
          <cell r="K4510" t="str">
            <v>probsi</v>
          </cell>
        </row>
        <row r="4511">
          <cell r="B4511" t="b">
            <v>1</v>
          </cell>
          <cell r="E4511" t="str">
            <v>Esperanza</v>
          </cell>
          <cell r="H4511" t="str">
            <v>salud_oral</v>
          </cell>
          <cell r="J4511" t="str">
            <v>bueno</v>
          </cell>
          <cell r="K4511" t="str">
            <v>probsi</v>
          </cell>
        </row>
        <row r="4512">
          <cell r="B4512" t="b">
            <v>0</v>
          </cell>
          <cell r="E4512" t="str">
            <v>Esperanza</v>
          </cell>
          <cell r="H4512" t="str">
            <v>electros</v>
          </cell>
          <cell r="J4512" t="str">
            <v>regular</v>
          </cell>
          <cell r="K4512" t="str">
            <v>probsi</v>
          </cell>
        </row>
        <row r="4513">
          <cell r="B4513" t="b">
            <v>1</v>
          </cell>
          <cell r="E4513" t="str">
            <v>Esperanza</v>
          </cell>
          <cell r="H4513" t="str">
            <v>electros</v>
          </cell>
          <cell r="J4513" t="str">
            <v>bueno</v>
          </cell>
          <cell r="K4513" t="str">
            <v>probsi</v>
          </cell>
        </row>
        <row r="4514">
          <cell r="B4514" t="b">
            <v>1</v>
          </cell>
          <cell r="E4514" t="str">
            <v>Esperanza</v>
          </cell>
          <cell r="H4514" t="str">
            <v>electros</v>
          </cell>
          <cell r="J4514" t="str">
            <v>bueno</v>
          </cell>
          <cell r="K4514" t="str">
            <v>probsi</v>
          </cell>
        </row>
        <row r="4515">
          <cell r="B4515" t="b">
            <v>1</v>
          </cell>
          <cell r="E4515" t="str">
            <v>Esperanza</v>
          </cell>
          <cell r="H4515" t="str">
            <v>urgencia</v>
          </cell>
          <cell r="J4515" t="str">
            <v>bueno</v>
          </cell>
          <cell r="K4515" t="str">
            <v>probsi</v>
          </cell>
        </row>
        <row r="4516">
          <cell r="B4516" t="b">
            <v>1</v>
          </cell>
          <cell r="E4516" t="str">
            <v>Esperanza</v>
          </cell>
          <cell r="H4516" t="str">
            <v>urgencia</v>
          </cell>
          <cell r="J4516" t="str">
            <v>bueno</v>
          </cell>
          <cell r="K4516" t="str">
            <v>probsi</v>
          </cell>
        </row>
        <row r="4517">
          <cell r="B4517" t="b">
            <v>1</v>
          </cell>
          <cell r="E4517" t="str">
            <v>Esperanza</v>
          </cell>
          <cell r="H4517" t="str">
            <v>urgencia</v>
          </cell>
          <cell r="J4517" t="str">
            <v>bueno</v>
          </cell>
          <cell r="K4517" t="str">
            <v>probsi</v>
          </cell>
        </row>
        <row r="4518">
          <cell r="B4518" t="b">
            <v>1</v>
          </cell>
          <cell r="E4518" t="str">
            <v>Esperanza</v>
          </cell>
          <cell r="H4518" t="str">
            <v>urgencia</v>
          </cell>
          <cell r="J4518" t="str">
            <v>bueno</v>
          </cell>
          <cell r="K4518" t="str">
            <v>probsi</v>
          </cell>
        </row>
        <row r="4519">
          <cell r="B4519" t="b">
            <v>0</v>
          </cell>
          <cell r="E4519" t="str">
            <v>San Pedro y Libertad</v>
          </cell>
          <cell r="H4519" t="str">
            <v>consulta_externa</v>
          </cell>
          <cell r="J4519" t="str">
            <v>regular</v>
          </cell>
          <cell r="K4519" t="str">
            <v>probsi</v>
          </cell>
        </row>
        <row r="4520">
          <cell r="B4520" t="b">
            <v>0</v>
          </cell>
          <cell r="E4520" t="str">
            <v>San Pedro y Libertad</v>
          </cell>
          <cell r="H4520" t="str">
            <v>consulta_externa</v>
          </cell>
          <cell r="J4520" t="str">
            <v>regular</v>
          </cell>
          <cell r="K4520" t="str">
            <v>probsi</v>
          </cell>
        </row>
        <row r="4521">
          <cell r="B4521" t="b">
            <v>1</v>
          </cell>
          <cell r="E4521" t="str">
            <v>San Pedro y Libertad</v>
          </cell>
          <cell r="H4521" t="str">
            <v>consulta_externa</v>
          </cell>
          <cell r="J4521" t="str">
            <v>bueno</v>
          </cell>
          <cell r="K4521" t="str">
            <v>probsi</v>
          </cell>
        </row>
        <row r="4522">
          <cell r="B4522" t="b">
            <v>1</v>
          </cell>
          <cell r="E4522" t="str">
            <v>San Pedro y Libertad</v>
          </cell>
          <cell r="H4522" t="str">
            <v>consulta_externa</v>
          </cell>
          <cell r="J4522" t="str">
            <v>bueno</v>
          </cell>
          <cell r="K4522" t="str">
            <v>probsi</v>
          </cell>
        </row>
        <row r="4523">
          <cell r="B4523" t="b">
            <v>1</v>
          </cell>
          <cell r="E4523" t="str">
            <v>San Pedro y Libertad</v>
          </cell>
          <cell r="H4523" t="str">
            <v>consulta_externa</v>
          </cell>
          <cell r="J4523" t="str">
            <v>bueno</v>
          </cell>
          <cell r="K4523" t="str">
            <v>probsi</v>
          </cell>
        </row>
        <row r="4524">
          <cell r="B4524" t="b">
            <v>0</v>
          </cell>
          <cell r="E4524" t="str">
            <v>San Pedro y Libertad</v>
          </cell>
          <cell r="H4524" t="str">
            <v>laboratorio</v>
          </cell>
          <cell r="J4524" t="str">
            <v>regular</v>
          </cell>
          <cell r="K4524" t="str">
            <v>probno</v>
          </cell>
        </row>
        <row r="4525">
          <cell r="B4525" t="b">
            <v>0</v>
          </cell>
          <cell r="E4525" t="str">
            <v>San Pedro y Libertad</v>
          </cell>
          <cell r="H4525" t="str">
            <v>laboratorio</v>
          </cell>
          <cell r="J4525" t="str">
            <v>regular</v>
          </cell>
          <cell r="K4525" t="str">
            <v>probno</v>
          </cell>
        </row>
        <row r="4526">
          <cell r="B4526" t="b">
            <v>0</v>
          </cell>
          <cell r="E4526" t="str">
            <v>San Pedro y Libertad</v>
          </cell>
          <cell r="H4526" t="str">
            <v>laboratorio</v>
          </cell>
          <cell r="J4526" t="str">
            <v>regular</v>
          </cell>
          <cell r="K4526" t="str">
            <v>probsi</v>
          </cell>
        </row>
        <row r="4527">
          <cell r="B4527" t="b">
            <v>1</v>
          </cell>
          <cell r="E4527" t="str">
            <v>San Pedro y Libertad</v>
          </cell>
          <cell r="H4527" t="str">
            <v>salud_oral</v>
          </cell>
          <cell r="J4527" t="str">
            <v>bueno</v>
          </cell>
          <cell r="K4527" t="str">
            <v>probsi</v>
          </cell>
        </row>
        <row r="4528">
          <cell r="B4528" t="b">
            <v>1</v>
          </cell>
          <cell r="E4528" t="str">
            <v>San Pedro y Libertad</v>
          </cell>
          <cell r="H4528" t="str">
            <v>salud_oral</v>
          </cell>
          <cell r="J4528" t="str">
            <v>bueno</v>
          </cell>
          <cell r="K4528" t="str">
            <v>probsi</v>
          </cell>
        </row>
        <row r="4529">
          <cell r="B4529" t="b">
            <v>1</v>
          </cell>
          <cell r="E4529" t="str">
            <v>San Pedro y Libertad</v>
          </cell>
          <cell r="H4529" t="str">
            <v>salud_oral</v>
          </cell>
          <cell r="J4529" t="str">
            <v>bueno</v>
          </cell>
          <cell r="K4529" t="str">
            <v>probsi</v>
          </cell>
        </row>
        <row r="4530">
          <cell r="B4530" t="b">
            <v>1</v>
          </cell>
          <cell r="E4530" t="str">
            <v>San Pedro y Libertad</v>
          </cell>
          <cell r="H4530" t="str">
            <v>salud_oral</v>
          </cell>
          <cell r="J4530" t="str">
            <v>bueno</v>
          </cell>
          <cell r="K4530" t="str">
            <v>probsi</v>
          </cell>
        </row>
        <row r="4531">
          <cell r="B4531" t="b">
            <v>1</v>
          </cell>
          <cell r="E4531" t="str">
            <v>San Pedro y Libertad</v>
          </cell>
          <cell r="H4531" t="str">
            <v>salud_oral</v>
          </cell>
          <cell r="J4531" t="str">
            <v>bueno</v>
          </cell>
          <cell r="K4531" t="str">
            <v>probsi</v>
          </cell>
        </row>
        <row r="4532">
          <cell r="B4532" t="b">
            <v>1</v>
          </cell>
          <cell r="E4532" t="str">
            <v>San Pedro y Libertad</v>
          </cell>
          <cell r="H4532" t="str">
            <v>laboratorio</v>
          </cell>
          <cell r="J4532" t="str">
            <v>bueno</v>
          </cell>
          <cell r="K4532" t="str">
            <v>probsi</v>
          </cell>
        </row>
        <row r="4533">
          <cell r="B4533" t="b">
            <v>0</v>
          </cell>
          <cell r="E4533" t="str">
            <v>San Pedro y Libertad</v>
          </cell>
          <cell r="H4533" t="str">
            <v>laboratorio</v>
          </cell>
          <cell r="J4533" t="str">
            <v>malo</v>
          </cell>
          <cell r="K4533" t="str">
            <v>probno</v>
          </cell>
        </row>
        <row r="4534">
          <cell r="B4534" t="b">
            <v>1</v>
          </cell>
          <cell r="E4534" t="str">
            <v>San Pedro y Libertad</v>
          </cell>
          <cell r="H4534" t="str">
            <v>salud_oral</v>
          </cell>
          <cell r="J4534" t="str">
            <v>bueno</v>
          </cell>
          <cell r="K4534" t="str">
            <v>probsi</v>
          </cell>
        </row>
        <row r="4535">
          <cell r="B4535" t="b">
            <v>0</v>
          </cell>
          <cell r="E4535" t="str">
            <v>San Francisco I</v>
          </cell>
          <cell r="H4535" t="str">
            <v>laboratorio</v>
          </cell>
          <cell r="J4535" t="str">
            <v>regular</v>
          </cell>
          <cell r="K4535" t="str">
            <v>probsi</v>
          </cell>
        </row>
        <row r="4536">
          <cell r="B4536" t="b">
            <v>0</v>
          </cell>
          <cell r="E4536" t="str">
            <v>San Francisco I</v>
          </cell>
          <cell r="H4536" t="str">
            <v>laboratorio</v>
          </cell>
          <cell r="J4536" t="str">
            <v>regular</v>
          </cell>
          <cell r="K4536" t="str">
            <v>probsi</v>
          </cell>
        </row>
        <row r="4537">
          <cell r="B4537" t="b">
            <v>1</v>
          </cell>
          <cell r="E4537" t="str">
            <v>Libano</v>
          </cell>
          <cell r="H4537" t="str">
            <v>ecografias</v>
          </cell>
          <cell r="J4537" t="str">
            <v>bueno</v>
          </cell>
          <cell r="K4537" t="str">
            <v>defsi</v>
          </cell>
        </row>
        <row r="4538">
          <cell r="B4538" t="b">
            <v>1</v>
          </cell>
          <cell r="E4538" t="str">
            <v>Libano</v>
          </cell>
          <cell r="H4538" t="str">
            <v>ecografias</v>
          </cell>
          <cell r="J4538" t="str">
            <v>bueno</v>
          </cell>
          <cell r="K4538" t="str">
            <v>defsi</v>
          </cell>
        </row>
        <row r="4539">
          <cell r="B4539" t="b">
            <v>1</v>
          </cell>
          <cell r="E4539" t="str">
            <v>Libano</v>
          </cell>
          <cell r="H4539" t="str">
            <v>ecografias</v>
          </cell>
          <cell r="J4539" t="str">
            <v>bueno</v>
          </cell>
          <cell r="K4539" t="str">
            <v>defsi</v>
          </cell>
        </row>
        <row r="4540">
          <cell r="B4540" t="b">
            <v>1</v>
          </cell>
          <cell r="E4540" t="str">
            <v>Libano</v>
          </cell>
          <cell r="H4540" t="str">
            <v>consulta_externa</v>
          </cell>
          <cell r="J4540" t="str">
            <v>bueno</v>
          </cell>
          <cell r="K4540" t="str">
            <v>defsi</v>
          </cell>
        </row>
        <row r="4541">
          <cell r="B4541" t="b">
            <v>1</v>
          </cell>
          <cell r="E4541" t="str">
            <v>Libano</v>
          </cell>
          <cell r="H4541" t="str">
            <v>ecografias</v>
          </cell>
          <cell r="J4541" t="str">
            <v>bueno</v>
          </cell>
          <cell r="K4541" t="str">
            <v>defsi</v>
          </cell>
        </row>
        <row r="4542">
          <cell r="B4542" t="b">
            <v>1</v>
          </cell>
          <cell r="E4542" t="str">
            <v>Libano</v>
          </cell>
          <cell r="H4542" t="str">
            <v>ginecologia</v>
          </cell>
          <cell r="J4542" t="str">
            <v>muybueno</v>
          </cell>
          <cell r="K4542" t="str">
            <v>defsi</v>
          </cell>
        </row>
        <row r="4543">
          <cell r="B4543" t="b">
            <v>1</v>
          </cell>
          <cell r="E4543" t="str">
            <v>Libano</v>
          </cell>
          <cell r="H4543" t="str">
            <v>ecografias</v>
          </cell>
          <cell r="J4543" t="str">
            <v>bueno</v>
          </cell>
          <cell r="K4543" t="str">
            <v>defsi</v>
          </cell>
        </row>
        <row r="4544">
          <cell r="B4544" t="b">
            <v>1</v>
          </cell>
          <cell r="E4544" t="str">
            <v>Libano</v>
          </cell>
          <cell r="H4544" t="str">
            <v>ecografias</v>
          </cell>
          <cell r="J4544" t="str">
            <v>bueno</v>
          </cell>
          <cell r="K4544" t="str">
            <v>defsi</v>
          </cell>
        </row>
        <row r="4545">
          <cell r="B4545" t="b">
            <v>1</v>
          </cell>
          <cell r="E4545" t="str">
            <v>Libano</v>
          </cell>
          <cell r="H4545" t="str">
            <v>laboratorio</v>
          </cell>
          <cell r="J4545" t="str">
            <v>bueno</v>
          </cell>
          <cell r="K4545" t="str">
            <v>defsi</v>
          </cell>
        </row>
        <row r="4546">
          <cell r="B4546" t="b">
            <v>1</v>
          </cell>
          <cell r="E4546" t="str">
            <v>Las Reinas</v>
          </cell>
          <cell r="H4546" t="str">
            <v>consulta_externa</v>
          </cell>
          <cell r="J4546" t="str">
            <v>bueno</v>
          </cell>
          <cell r="K4546" t="str">
            <v>probsi</v>
          </cell>
        </row>
        <row r="4547">
          <cell r="B4547" t="b">
            <v>1</v>
          </cell>
          <cell r="E4547" t="str">
            <v>Las Reinas</v>
          </cell>
          <cell r="H4547" t="str">
            <v>consulta_externa</v>
          </cell>
          <cell r="J4547" t="str">
            <v>bueno</v>
          </cell>
          <cell r="K4547" t="str">
            <v>probsi</v>
          </cell>
        </row>
        <row r="4548">
          <cell r="B4548" t="b">
            <v>1</v>
          </cell>
          <cell r="E4548" t="str">
            <v>Las Reinas</v>
          </cell>
          <cell r="H4548" t="str">
            <v>consulta_externa</v>
          </cell>
          <cell r="J4548" t="str">
            <v>bueno</v>
          </cell>
          <cell r="K4548" t="str">
            <v>probsi</v>
          </cell>
        </row>
        <row r="4549">
          <cell r="B4549" t="b">
            <v>1</v>
          </cell>
          <cell r="E4549" t="str">
            <v>Las Reinas</v>
          </cell>
          <cell r="H4549" t="str">
            <v>consulta_externa</v>
          </cell>
          <cell r="J4549" t="str">
            <v>bueno</v>
          </cell>
          <cell r="K4549" t="str">
            <v>probsi</v>
          </cell>
        </row>
        <row r="4550">
          <cell r="B4550" t="b">
            <v>1</v>
          </cell>
          <cell r="E4550" t="str">
            <v>Las Reinas</v>
          </cell>
          <cell r="H4550" t="str">
            <v>consulta_externa</v>
          </cell>
          <cell r="J4550" t="str">
            <v>bueno</v>
          </cell>
          <cell r="K4550" t="str">
            <v>probsi</v>
          </cell>
        </row>
        <row r="4551">
          <cell r="B4551" t="b">
            <v>1</v>
          </cell>
          <cell r="E4551" t="str">
            <v>Las Reinas</v>
          </cell>
          <cell r="H4551" t="str">
            <v>consulta_externa</v>
          </cell>
          <cell r="J4551" t="str">
            <v>bueno</v>
          </cell>
          <cell r="K4551" t="str">
            <v>probsi</v>
          </cell>
        </row>
        <row r="4552">
          <cell r="B4552" t="b">
            <v>1</v>
          </cell>
          <cell r="E4552" t="str">
            <v>Las Reinas</v>
          </cell>
          <cell r="H4552" t="str">
            <v>consulta_externa</v>
          </cell>
          <cell r="J4552" t="str">
            <v>bueno</v>
          </cell>
          <cell r="K4552" t="str">
            <v>probsi</v>
          </cell>
        </row>
        <row r="4553">
          <cell r="B4553" t="b">
            <v>1</v>
          </cell>
          <cell r="E4553" t="str">
            <v>Las Reinas</v>
          </cell>
          <cell r="H4553" t="str">
            <v>laboratorio</v>
          </cell>
          <cell r="J4553" t="str">
            <v>bueno</v>
          </cell>
          <cell r="K4553" t="str">
            <v>probsi</v>
          </cell>
        </row>
        <row r="4554">
          <cell r="B4554" t="b">
            <v>1</v>
          </cell>
          <cell r="E4554" t="str">
            <v>Las Reinas</v>
          </cell>
          <cell r="H4554" t="str">
            <v>laboratorio</v>
          </cell>
          <cell r="J4554" t="str">
            <v>bueno</v>
          </cell>
          <cell r="K4554" t="str">
            <v>probsi</v>
          </cell>
        </row>
        <row r="4555">
          <cell r="B4555" t="b">
            <v>1</v>
          </cell>
          <cell r="E4555" t="str">
            <v>Las Reinas</v>
          </cell>
          <cell r="H4555" t="str">
            <v>laboratorio</v>
          </cell>
          <cell r="J4555" t="str">
            <v>bueno</v>
          </cell>
          <cell r="K4555" t="str">
            <v>probsi</v>
          </cell>
        </row>
        <row r="4556">
          <cell r="B4556" t="b">
            <v>1</v>
          </cell>
          <cell r="E4556" t="str">
            <v>Las Reinas</v>
          </cell>
          <cell r="H4556" t="str">
            <v>salud_oral</v>
          </cell>
          <cell r="J4556" t="str">
            <v>bueno</v>
          </cell>
          <cell r="K4556" t="str">
            <v>probsi</v>
          </cell>
        </row>
        <row r="4557">
          <cell r="B4557" t="b">
            <v>1</v>
          </cell>
          <cell r="E4557" t="str">
            <v>Las Reinas</v>
          </cell>
          <cell r="H4557" t="str">
            <v>salud_oral</v>
          </cell>
          <cell r="J4557" t="str">
            <v>bueno</v>
          </cell>
          <cell r="K4557" t="str">
            <v>probsi</v>
          </cell>
        </row>
        <row r="4558">
          <cell r="B4558" t="b">
            <v>1</v>
          </cell>
          <cell r="E4558" t="str">
            <v>Las Reinas</v>
          </cell>
          <cell r="H4558" t="str">
            <v>salud_oral</v>
          </cell>
          <cell r="J4558" t="str">
            <v>bueno</v>
          </cell>
          <cell r="K4558" t="str">
            <v>probsi</v>
          </cell>
        </row>
        <row r="4559">
          <cell r="B4559" t="b">
            <v>1</v>
          </cell>
          <cell r="E4559" t="str">
            <v>Las Reinas</v>
          </cell>
          <cell r="H4559" t="str">
            <v>salud_oral</v>
          </cell>
          <cell r="J4559" t="str">
            <v>bueno</v>
          </cell>
          <cell r="K4559" t="str">
            <v>probsi</v>
          </cell>
        </row>
        <row r="4560">
          <cell r="B4560" t="b">
            <v>1</v>
          </cell>
          <cell r="E4560" t="str">
            <v>Socorro</v>
          </cell>
          <cell r="H4560" t="str">
            <v>consulta_externa</v>
          </cell>
          <cell r="J4560" t="str">
            <v>bueno</v>
          </cell>
          <cell r="K4560" t="str">
            <v>defsi</v>
          </cell>
        </row>
        <row r="4561">
          <cell r="B4561" t="b">
            <v>1</v>
          </cell>
          <cell r="E4561" t="str">
            <v>Socorro</v>
          </cell>
          <cell r="H4561" t="str">
            <v>salud_oral</v>
          </cell>
          <cell r="J4561" t="str">
            <v>bueno</v>
          </cell>
          <cell r="K4561" t="str">
            <v>defsi</v>
          </cell>
        </row>
        <row r="4562">
          <cell r="B4562" t="b">
            <v>1</v>
          </cell>
          <cell r="E4562" t="str">
            <v>Socorro</v>
          </cell>
          <cell r="H4562" t="str">
            <v>laboratorio</v>
          </cell>
          <cell r="J4562" t="str">
            <v>bueno</v>
          </cell>
          <cell r="K4562" t="str">
            <v>defsi</v>
          </cell>
        </row>
        <row r="4563">
          <cell r="B4563" t="b">
            <v>1</v>
          </cell>
          <cell r="E4563" t="str">
            <v>Socorro</v>
          </cell>
          <cell r="H4563" t="str">
            <v>ecografias</v>
          </cell>
          <cell r="J4563" t="str">
            <v>bueno</v>
          </cell>
          <cell r="K4563" t="str">
            <v>defsi</v>
          </cell>
        </row>
        <row r="4564">
          <cell r="B4564" t="b">
            <v>1</v>
          </cell>
          <cell r="E4564" t="str">
            <v>Socorro</v>
          </cell>
          <cell r="H4564" t="str">
            <v>consulta_externa</v>
          </cell>
          <cell r="J4564" t="str">
            <v>bueno</v>
          </cell>
          <cell r="K4564" t="str">
            <v>defsi</v>
          </cell>
        </row>
        <row r="4565">
          <cell r="B4565" t="b">
            <v>1</v>
          </cell>
          <cell r="E4565" t="str">
            <v>Socorro</v>
          </cell>
          <cell r="H4565" t="str">
            <v>salud_oral</v>
          </cell>
          <cell r="J4565" t="str">
            <v>bueno</v>
          </cell>
          <cell r="K4565" t="str">
            <v>defsi</v>
          </cell>
        </row>
        <row r="4566">
          <cell r="B4566" t="b">
            <v>1</v>
          </cell>
          <cell r="E4566" t="str">
            <v>Socorro</v>
          </cell>
          <cell r="H4566" t="str">
            <v>laboratorio</v>
          </cell>
          <cell r="J4566" t="str">
            <v>bueno</v>
          </cell>
          <cell r="K4566" t="str">
            <v>defsi</v>
          </cell>
        </row>
        <row r="4567">
          <cell r="B4567" t="b">
            <v>1</v>
          </cell>
          <cell r="E4567" t="str">
            <v>Socorro</v>
          </cell>
          <cell r="H4567" t="str">
            <v>ecografias</v>
          </cell>
          <cell r="J4567" t="str">
            <v>bueno</v>
          </cell>
          <cell r="K4567" t="str">
            <v>defsi</v>
          </cell>
        </row>
        <row r="4568">
          <cell r="B4568" t="b">
            <v>1</v>
          </cell>
          <cell r="E4568" t="str">
            <v>Socorro</v>
          </cell>
          <cell r="H4568" t="str">
            <v>consulta_externa</v>
          </cell>
          <cell r="J4568" t="str">
            <v>bueno</v>
          </cell>
          <cell r="K4568" t="str">
            <v>defsi</v>
          </cell>
        </row>
        <row r="4569">
          <cell r="B4569" t="b">
            <v>1</v>
          </cell>
          <cell r="E4569" t="str">
            <v>Socorro</v>
          </cell>
          <cell r="H4569" t="str">
            <v>salud_oral</v>
          </cell>
          <cell r="J4569" t="str">
            <v>bueno</v>
          </cell>
          <cell r="K4569" t="str">
            <v>defsi</v>
          </cell>
        </row>
        <row r="4570">
          <cell r="B4570" t="b">
            <v>1</v>
          </cell>
          <cell r="E4570" t="str">
            <v>Socorro</v>
          </cell>
          <cell r="H4570" t="str">
            <v>laboratorio</v>
          </cell>
          <cell r="J4570" t="str">
            <v>bueno</v>
          </cell>
          <cell r="K4570" t="str">
            <v>defsi</v>
          </cell>
        </row>
        <row r="4571">
          <cell r="B4571" t="b">
            <v>1</v>
          </cell>
          <cell r="E4571" t="str">
            <v>Socorro</v>
          </cell>
          <cell r="H4571" t="str">
            <v>ecografias</v>
          </cell>
          <cell r="J4571" t="str">
            <v>bueno</v>
          </cell>
          <cell r="K4571" t="str">
            <v>defsi</v>
          </cell>
        </row>
        <row r="4572">
          <cell r="B4572" t="b">
            <v>1</v>
          </cell>
          <cell r="E4572" t="str">
            <v>Blasdelezo</v>
          </cell>
          <cell r="H4572" t="str">
            <v>consulta_externa</v>
          </cell>
          <cell r="J4572" t="str">
            <v>bueno</v>
          </cell>
          <cell r="K4572" t="str">
            <v>defsi</v>
          </cell>
        </row>
        <row r="4573">
          <cell r="B4573" t="b">
            <v>1</v>
          </cell>
          <cell r="E4573" t="str">
            <v>Blasdelezo</v>
          </cell>
          <cell r="H4573" t="str">
            <v>laboratorio</v>
          </cell>
          <cell r="J4573" t="str">
            <v>bueno</v>
          </cell>
          <cell r="K4573" t="str">
            <v>defsi</v>
          </cell>
        </row>
        <row r="4574">
          <cell r="B4574" t="b">
            <v>1</v>
          </cell>
          <cell r="E4574" t="str">
            <v>Blasdelezo</v>
          </cell>
          <cell r="H4574" t="str">
            <v>laboratorio</v>
          </cell>
          <cell r="J4574" t="str">
            <v>bueno</v>
          </cell>
          <cell r="K4574" t="str">
            <v>defsi</v>
          </cell>
        </row>
        <row r="4575">
          <cell r="B4575" t="b">
            <v>1</v>
          </cell>
          <cell r="E4575" t="str">
            <v>Blasdelezo</v>
          </cell>
          <cell r="H4575" t="str">
            <v>laboratorio</v>
          </cell>
          <cell r="J4575" t="str">
            <v>bueno</v>
          </cell>
          <cell r="K4575" t="str">
            <v>defsi</v>
          </cell>
        </row>
        <row r="4576">
          <cell r="B4576" t="b">
            <v>1</v>
          </cell>
          <cell r="E4576" t="str">
            <v>Blasdelezo</v>
          </cell>
          <cell r="H4576" t="str">
            <v>laboratorio</v>
          </cell>
          <cell r="J4576" t="str">
            <v>bueno</v>
          </cell>
          <cell r="K4576" t="str">
            <v>defsi</v>
          </cell>
        </row>
        <row r="4577">
          <cell r="B4577" t="b">
            <v>1</v>
          </cell>
          <cell r="E4577" t="str">
            <v>Blasdelezo</v>
          </cell>
          <cell r="H4577" t="str">
            <v>laboratorio</v>
          </cell>
          <cell r="J4577" t="str">
            <v>bueno</v>
          </cell>
          <cell r="K4577" t="str">
            <v>defsi</v>
          </cell>
        </row>
        <row r="4578">
          <cell r="B4578" t="b">
            <v>1</v>
          </cell>
          <cell r="E4578" t="str">
            <v>Blasdelezo</v>
          </cell>
          <cell r="H4578" t="str">
            <v>laboratorio</v>
          </cell>
          <cell r="J4578" t="str">
            <v>bueno</v>
          </cell>
          <cell r="K4578" t="str">
            <v>defsi</v>
          </cell>
        </row>
        <row r="4579">
          <cell r="B4579" t="b">
            <v>1</v>
          </cell>
          <cell r="E4579" t="str">
            <v>Manzanillo</v>
          </cell>
          <cell r="H4579" t="str">
            <v>consulta_externa</v>
          </cell>
          <cell r="J4579" t="str">
            <v>bueno</v>
          </cell>
          <cell r="K4579" t="str">
            <v>probsi</v>
          </cell>
        </row>
        <row r="4580">
          <cell r="B4580" t="b">
            <v>1</v>
          </cell>
          <cell r="E4580" t="str">
            <v>Manzanillo</v>
          </cell>
          <cell r="H4580" t="str">
            <v>salud_oral</v>
          </cell>
          <cell r="J4580" t="str">
            <v>bueno</v>
          </cell>
          <cell r="K4580" t="str">
            <v>probsi</v>
          </cell>
        </row>
        <row r="4581">
          <cell r="B4581" t="b">
            <v>1</v>
          </cell>
          <cell r="E4581" t="str">
            <v>Manzanillo</v>
          </cell>
          <cell r="H4581" t="str">
            <v>laboratorio</v>
          </cell>
          <cell r="J4581" t="str">
            <v>bueno</v>
          </cell>
          <cell r="K4581" t="str">
            <v>probsi</v>
          </cell>
        </row>
        <row r="4582">
          <cell r="B4582" t="b">
            <v>1</v>
          </cell>
          <cell r="E4582" t="str">
            <v>Manzanillo</v>
          </cell>
          <cell r="H4582" t="str">
            <v>consulta_externa</v>
          </cell>
          <cell r="J4582" t="str">
            <v>bueno</v>
          </cell>
          <cell r="K4582" t="str">
            <v>probsi</v>
          </cell>
        </row>
        <row r="4583">
          <cell r="B4583" t="b">
            <v>1</v>
          </cell>
          <cell r="E4583" t="str">
            <v>Nelson Mandela UPA</v>
          </cell>
          <cell r="H4583" t="str">
            <v>consulta_externa</v>
          </cell>
          <cell r="J4583" t="str">
            <v>bueno</v>
          </cell>
          <cell r="K4583" t="str">
            <v>probsi</v>
          </cell>
        </row>
        <row r="4584">
          <cell r="B4584" t="b">
            <v>1</v>
          </cell>
          <cell r="E4584" t="str">
            <v>Nelson Mandela UPA</v>
          </cell>
          <cell r="H4584" t="str">
            <v>consulta_externa</v>
          </cell>
          <cell r="J4584" t="str">
            <v>bueno</v>
          </cell>
          <cell r="K4584" t="str">
            <v>probsi</v>
          </cell>
        </row>
        <row r="4585">
          <cell r="B4585" t="b">
            <v>1</v>
          </cell>
          <cell r="E4585" t="str">
            <v>Nelson Mandela UPA</v>
          </cell>
          <cell r="H4585" t="str">
            <v>consulta_externa</v>
          </cell>
          <cell r="J4585" t="str">
            <v>bueno</v>
          </cell>
          <cell r="K4585" t="str">
            <v>probsi</v>
          </cell>
        </row>
        <row r="4586">
          <cell r="B4586" t="b">
            <v>1</v>
          </cell>
          <cell r="E4586" t="str">
            <v>Nelson Mandela UPA</v>
          </cell>
          <cell r="H4586" t="str">
            <v>consulta_externa</v>
          </cell>
          <cell r="J4586" t="str">
            <v>bueno</v>
          </cell>
          <cell r="K4586" t="str">
            <v>probsi</v>
          </cell>
        </row>
        <row r="4587">
          <cell r="B4587" t="b">
            <v>1</v>
          </cell>
          <cell r="E4587" t="str">
            <v>Nelson Mandela UPA</v>
          </cell>
          <cell r="H4587" t="str">
            <v>consulta_externa</v>
          </cell>
          <cell r="J4587" t="str">
            <v>bueno</v>
          </cell>
          <cell r="K4587" t="str">
            <v>probsi</v>
          </cell>
        </row>
        <row r="4588">
          <cell r="B4588" t="b">
            <v>1</v>
          </cell>
          <cell r="E4588" t="str">
            <v>Nelson Mandela UPA</v>
          </cell>
          <cell r="H4588" t="str">
            <v>consulta_externa</v>
          </cell>
          <cell r="J4588" t="str">
            <v>bueno</v>
          </cell>
          <cell r="K4588" t="str">
            <v>probsi</v>
          </cell>
        </row>
        <row r="4589">
          <cell r="B4589" t="b">
            <v>1</v>
          </cell>
          <cell r="E4589" t="str">
            <v>Manzanillo</v>
          </cell>
          <cell r="H4589" t="str">
            <v>consulta_externa</v>
          </cell>
          <cell r="J4589" t="str">
            <v>bueno</v>
          </cell>
          <cell r="K4589" t="str">
            <v>probsi</v>
          </cell>
        </row>
        <row r="4590">
          <cell r="B4590" t="b">
            <v>1</v>
          </cell>
          <cell r="E4590" t="str">
            <v>Nelson Mandela UPA</v>
          </cell>
          <cell r="H4590" t="str">
            <v>consulta_externa</v>
          </cell>
          <cell r="J4590" t="str">
            <v>bueno</v>
          </cell>
          <cell r="K4590" t="str">
            <v>probsi</v>
          </cell>
        </row>
        <row r="4591">
          <cell r="B4591" t="b">
            <v>1</v>
          </cell>
          <cell r="E4591" t="str">
            <v>Manzanillo</v>
          </cell>
          <cell r="H4591" t="str">
            <v>consulta_externa</v>
          </cell>
          <cell r="J4591" t="str">
            <v>bueno</v>
          </cell>
          <cell r="K4591" t="str">
            <v>probsi</v>
          </cell>
        </row>
        <row r="4592">
          <cell r="B4592" t="b">
            <v>1</v>
          </cell>
          <cell r="E4592" t="str">
            <v>Manzanillo</v>
          </cell>
          <cell r="H4592" t="str">
            <v>salud_oral</v>
          </cell>
          <cell r="J4592" t="str">
            <v>muybueno</v>
          </cell>
          <cell r="K4592" t="str">
            <v>probsi</v>
          </cell>
        </row>
        <row r="4593">
          <cell r="B4593" t="b">
            <v>1</v>
          </cell>
          <cell r="E4593" t="str">
            <v>Manzanillo</v>
          </cell>
          <cell r="H4593" t="str">
            <v>laboratorio</v>
          </cell>
          <cell r="J4593" t="str">
            <v>bueno</v>
          </cell>
          <cell r="K4593" t="str">
            <v>probsi</v>
          </cell>
        </row>
        <row r="4594">
          <cell r="B4594" t="b">
            <v>1</v>
          </cell>
          <cell r="E4594" t="str">
            <v>Nelson Mandela UPA</v>
          </cell>
          <cell r="H4594" t="str">
            <v>consulta_externa</v>
          </cell>
          <cell r="J4594" t="str">
            <v>bueno</v>
          </cell>
          <cell r="K4594" t="str">
            <v>probsi</v>
          </cell>
        </row>
        <row r="4595">
          <cell r="B4595" t="b">
            <v>1</v>
          </cell>
          <cell r="E4595" t="str">
            <v>Nelson Mandela UPA</v>
          </cell>
          <cell r="H4595" t="str">
            <v>consulta_externa</v>
          </cell>
          <cell r="J4595" t="str">
            <v>bueno</v>
          </cell>
          <cell r="K4595" t="str">
            <v>probsi</v>
          </cell>
        </row>
        <row r="4596">
          <cell r="B4596" t="b">
            <v>1</v>
          </cell>
          <cell r="E4596" t="str">
            <v>Nelson Mandela UPA</v>
          </cell>
          <cell r="H4596" t="str">
            <v>consulta_externa</v>
          </cell>
          <cell r="J4596" t="str">
            <v>bueno</v>
          </cell>
          <cell r="K4596" t="str">
            <v>probsi</v>
          </cell>
        </row>
        <row r="4597">
          <cell r="B4597" t="b">
            <v>1</v>
          </cell>
          <cell r="E4597" t="str">
            <v>Nelson Mandela UPA</v>
          </cell>
          <cell r="H4597" t="str">
            <v>consulta_externa</v>
          </cell>
          <cell r="J4597" t="str">
            <v>bueno</v>
          </cell>
          <cell r="K4597" t="str">
            <v>probsi</v>
          </cell>
        </row>
        <row r="4598">
          <cell r="B4598" t="b">
            <v>1</v>
          </cell>
          <cell r="E4598" t="str">
            <v>Nelson Mandela UPA</v>
          </cell>
          <cell r="H4598" t="str">
            <v>consulta_externa</v>
          </cell>
          <cell r="J4598" t="str">
            <v>bueno</v>
          </cell>
          <cell r="K4598" t="str">
            <v>probsi</v>
          </cell>
        </row>
        <row r="4599">
          <cell r="B4599" t="b">
            <v>1</v>
          </cell>
          <cell r="E4599" t="str">
            <v>Nelson Mandela UPA</v>
          </cell>
          <cell r="H4599" t="str">
            <v>consulta_externa</v>
          </cell>
          <cell r="J4599" t="str">
            <v>bueno</v>
          </cell>
          <cell r="K4599" t="str">
            <v>probsi</v>
          </cell>
        </row>
        <row r="4600">
          <cell r="B4600" t="b">
            <v>1</v>
          </cell>
          <cell r="E4600" t="str">
            <v>Nelson Mandela UPA</v>
          </cell>
          <cell r="H4600" t="str">
            <v>laboratorio</v>
          </cell>
          <cell r="J4600" t="str">
            <v>bueno</v>
          </cell>
          <cell r="K4600" t="str">
            <v>probsi</v>
          </cell>
        </row>
        <row r="4601">
          <cell r="B4601" t="b">
            <v>1</v>
          </cell>
          <cell r="E4601" t="str">
            <v>Nelson Mandela UPA</v>
          </cell>
          <cell r="H4601" t="str">
            <v>laboratorio</v>
          </cell>
          <cell r="J4601" t="str">
            <v>bueno</v>
          </cell>
          <cell r="K4601" t="str">
            <v>probsi</v>
          </cell>
        </row>
        <row r="4602">
          <cell r="B4602" t="b">
            <v>1</v>
          </cell>
          <cell r="E4602" t="str">
            <v>Nelson Mandela UPA</v>
          </cell>
          <cell r="H4602" t="str">
            <v>laboratorio</v>
          </cell>
          <cell r="J4602" t="str">
            <v>bueno</v>
          </cell>
          <cell r="K4602" t="str">
            <v>probsi</v>
          </cell>
        </row>
        <row r="4603">
          <cell r="B4603" t="b">
            <v>1</v>
          </cell>
          <cell r="E4603" t="str">
            <v>Nelson Mandela UPA</v>
          </cell>
          <cell r="H4603" t="str">
            <v>laboratorio</v>
          </cell>
          <cell r="J4603" t="str">
            <v>bueno</v>
          </cell>
          <cell r="K4603" t="str">
            <v>probsi</v>
          </cell>
        </row>
        <row r="4604">
          <cell r="B4604" t="b">
            <v>1</v>
          </cell>
          <cell r="E4604" t="str">
            <v>Nelson Mandela UPA</v>
          </cell>
          <cell r="H4604" t="str">
            <v>laboratorio</v>
          </cell>
          <cell r="J4604" t="str">
            <v>bueno</v>
          </cell>
          <cell r="K4604" t="str">
            <v>probsi</v>
          </cell>
        </row>
        <row r="4605">
          <cell r="B4605" t="b">
            <v>1</v>
          </cell>
          <cell r="E4605" t="str">
            <v>Nelson Mandela UPA</v>
          </cell>
          <cell r="H4605" t="str">
            <v>laboratorio</v>
          </cell>
          <cell r="J4605" t="str">
            <v>bueno</v>
          </cell>
          <cell r="K4605" t="str">
            <v>probsi</v>
          </cell>
        </row>
        <row r="4606">
          <cell r="B4606" t="b">
            <v>1</v>
          </cell>
          <cell r="E4606" t="str">
            <v>Nelson Mandela UPA</v>
          </cell>
          <cell r="H4606" t="str">
            <v>laboratorio</v>
          </cell>
          <cell r="J4606" t="str">
            <v>bueno</v>
          </cell>
          <cell r="K4606" t="str">
            <v>probsi</v>
          </cell>
        </row>
        <row r="4607">
          <cell r="B4607" t="b">
            <v>1</v>
          </cell>
          <cell r="E4607" t="str">
            <v>Nelson Mandela UPA</v>
          </cell>
          <cell r="H4607" t="str">
            <v>laboratorio</v>
          </cell>
          <cell r="J4607" t="str">
            <v>bueno</v>
          </cell>
          <cell r="K4607" t="str">
            <v>probsi</v>
          </cell>
        </row>
        <row r="4608">
          <cell r="B4608" t="b">
            <v>1</v>
          </cell>
          <cell r="E4608" t="str">
            <v>Nelson Mandela UPA</v>
          </cell>
          <cell r="H4608" t="str">
            <v>consulta_externa</v>
          </cell>
          <cell r="J4608" t="str">
            <v>bueno</v>
          </cell>
          <cell r="K4608" t="str">
            <v>probsi</v>
          </cell>
        </row>
        <row r="4609">
          <cell r="B4609" t="b">
            <v>1</v>
          </cell>
          <cell r="E4609" t="str">
            <v>Nelson Mandela UPA</v>
          </cell>
          <cell r="H4609" t="str">
            <v>consulta_externa</v>
          </cell>
          <cell r="J4609" t="str">
            <v>bueno</v>
          </cell>
          <cell r="K4609" t="str">
            <v>probsi</v>
          </cell>
        </row>
        <row r="4610">
          <cell r="B4610" t="b">
            <v>1</v>
          </cell>
          <cell r="E4610" t="str">
            <v>Nelson Mandela UPA</v>
          </cell>
          <cell r="H4610" t="str">
            <v>consulta_externa</v>
          </cell>
          <cell r="J4610" t="str">
            <v>bueno</v>
          </cell>
          <cell r="K4610" t="str">
            <v>probsi</v>
          </cell>
        </row>
        <row r="4611">
          <cell r="B4611" t="b">
            <v>1</v>
          </cell>
          <cell r="E4611" t="str">
            <v>Nelson Mandela UPA</v>
          </cell>
          <cell r="H4611" t="str">
            <v>consulta_externa</v>
          </cell>
          <cell r="J4611" t="str">
            <v>bueno</v>
          </cell>
          <cell r="K4611" t="str">
            <v>probsi</v>
          </cell>
        </row>
        <row r="4612">
          <cell r="B4612" t="b">
            <v>1</v>
          </cell>
          <cell r="E4612" t="str">
            <v>Nelson Mandela UPA</v>
          </cell>
          <cell r="H4612" t="str">
            <v>consulta_externa</v>
          </cell>
          <cell r="J4612" t="str">
            <v>bueno</v>
          </cell>
          <cell r="K4612" t="str">
            <v>probsi</v>
          </cell>
        </row>
        <row r="4613">
          <cell r="B4613" t="b">
            <v>1</v>
          </cell>
          <cell r="E4613" t="str">
            <v>Nelson Mandela UPA</v>
          </cell>
          <cell r="H4613" t="str">
            <v>consulta_externa</v>
          </cell>
          <cell r="J4613" t="str">
            <v>bueno</v>
          </cell>
          <cell r="K4613" t="str">
            <v>probsi</v>
          </cell>
        </row>
        <row r="4614">
          <cell r="B4614" t="b">
            <v>1</v>
          </cell>
          <cell r="E4614" t="str">
            <v>Nelson Mandela UPA</v>
          </cell>
          <cell r="H4614" t="str">
            <v>salud_oral</v>
          </cell>
          <cell r="J4614" t="str">
            <v>bueno</v>
          </cell>
          <cell r="K4614" t="str">
            <v>probsi</v>
          </cell>
        </row>
        <row r="4615">
          <cell r="B4615" t="b">
            <v>1</v>
          </cell>
          <cell r="E4615" t="str">
            <v>Nelson Mandela UPA</v>
          </cell>
          <cell r="H4615" t="str">
            <v>salud_oral</v>
          </cell>
          <cell r="J4615" t="str">
            <v>bueno</v>
          </cell>
          <cell r="K4615" t="str">
            <v>probsi</v>
          </cell>
        </row>
        <row r="4616">
          <cell r="B4616" t="b">
            <v>1</v>
          </cell>
          <cell r="E4616" t="str">
            <v>Nelson Mandela UPA</v>
          </cell>
          <cell r="H4616" t="str">
            <v>salud_oral</v>
          </cell>
          <cell r="J4616" t="str">
            <v>bueno</v>
          </cell>
          <cell r="K4616" t="str">
            <v>probsi</v>
          </cell>
        </row>
        <row r="4617">
          <cell r="B4617" t="b">
            <v>1</v>
          </cell>
          <cell r="E4617" t="str">
            <v>Nelson Mandela UPA</v>
          </cell>
          <cell r="H4617" t="str">
            <v>salud_oral</v>
          </cell>
          <cell r="J4617" t="str">
            <v>bueno</v>
          </cell>
          <cell r="K4617" t="str">
            <v>probsi</v>
          </cell>
        </row>
        <row r="4618">
          <cell r="B4618" t="b">
            <v>1</v>
          </cell>
          <cell r="E4618" t="str">
            <v>Nelson Mandela UPA</v>
          </cell>
          <cell r="H4618" t="str">
            <v>salud_oral</v>
          </cell>
          <cell r="J4618" t="str">
            <v>bueno</v>
          </cell>
          <cell r="K4618" t="str">
            <v>probsi</v>
          </cell>
        </row>
        <row r="4619">
          <cell r="B4619" t="b">
            <v>1</v>
          </cell>
          <cell r="E4619" t="str">
            <v>Nelson Mandela UPA</v>
          </cell>
          <cell r="H4619" t="str">
            <v>salud_oral</v>
          </cell>
          <cell r="J4619" t="str">
            <v>bueno</v>
          </cell>
          <cell r="K4619" t="str">
            <v>probsi</v>
          </cell>
        </row>
        <row r="4620">
          <cell r="B4620" t="b">
            <v>1</v>
          </cell>
          <cell r="E4620" t="str">
            <v>Socorro</v>
          </cell>
          <cell r="H4620" t="str">
            <v>consulta_externa</v>
          </cell>
          <cell r="J4620" t="str">
            <v>bueno</v>
          </cell>
          <cell r="K4620" t="str">
            <v>defsi</v>
          </cell>
        </row>
        <row r="4621">
          <cell r="B4621" t="b">
            <v>1</v>
          </cell>
          <cell r="E4621" t="str">
            <v>Socorro</v>
          </cell>
          <cell r="H4621" t="str">
            <v>salud_oral</v>
          </cell>
          <cell r="J4621" t="str">
            <v>bueno</v>
          </cell>
          <cell r="K4621" t="str">
            <v>defsi</v>
          </cell>
        </row>
        <row r="4622">
          <cell r="B4622" t="b">
            <v>1</v>
          </cell>
          <cell r="E4622" t="str">
            <v>Socorro</v>
          </cell>
          <cell r="H4622" t="str">
            <v>laboratorio</v>
          </cell>
          <cell r="J4622" t="str">
            <v>bueno</v>
          </cell>
          <cell r="K4622" t="str">
            <v>defsi</v>
          </cell>
        </row>
        <row r="4623">
          <cell r="B4623" t="b">
            <v>1</v>
          </cell>
          <cell r="E4623" t="str">
            <v>Socorro</v>
          </cell>
          <cell r="H4623" t="str">
            <v>ecografias</v>
          </cell>
          <cell r="J4623" t="str">
            <v>bueno</v>
          </cell>
          <cell r="K4623" t="str">
            <v>defsi</v>
          </cell>
        </row>
        <row r="4624">
          <cell r="B4624" t="b">
            <v>1</v>
          </cell>
          <cell r="E4624" t="str">
            <v>Manzanillo</v>
          </cell>
          <cell r="H4624" t="str">
            <v>consulta_externa</v>
          </cell>
          <cell r="J4624" t="str">
            <v>bueno</v>
          </cell>
          <cell r="K4624" t="str">
            <v>probsi</v>
          </cell>
        </row>
        <row r="4625">
          <cell r="B4625" t="b">
            <v>1</v>
          </cell>
          <cell r="E4625" t="str">
            <v>Manzanillo</v>
          </cell>
          <cell r="H4625" t="str">
            <v>salud_oral</v>
          </cell>
          <cell r="J4625" t="str">
            <v>bueno</v>
          </cell>
          <cell r="K4625" t="str">
            <v>probsi</v>
          </cell>
        </row>
        <row r="4626">
          <cell r="B4626" t="b">
            <v>1</v>
          </cell>
          <cell r="E4626" t="str">
            <v>Manzanillo</v>
          </cell>
          <cell r="H4626" t="str">
            <v>salud_oral</v>
          </cell>
          <cell r="J4626" t="str">
            <v>bueno</v>
          </cell>
          <cell r="K4626" t="str">
            <v>probsi</v>
          </cell>
        </row>
        <row r="4627">
          <cell r="B4627" t="b">
            <v>1</v>
          </cell>
          <cell r="E4627" t="str">
            <v>Nelson Mandela UPA</v>
          </cell>
          <cell r="H4627" t="str">
            <v>salud_oral</v>
          </cell>
          <cell r="J4627" t="str">
            <v>bueno</v>
          </cell>
          <cell r="K4627" t="str">
            <v>probsi</v>
          </cell>
        </row>
        <row r="4628">
          <cell r="B4628" t="b">
            <v>1</v>
          </cell>
          <cell r="E4628" t="str">
            <v>Nelson Mandela UPA</v>
          </cell>
          <cell r="H4628" t="str">
            <v>salud_oral</v>
          </cell>
          <cell r="J4628" t="str">
            <v>bueno</v>
          </cell>
          <cell r="K4628" t="str">
            <v>probsi</v>
          </cell>
        </row>
        <row r="4629">
          <cell r="B4629" t="b">
            <v>1</v>
          </cell>
          <cell r="E4629" t="str">
            <v>Manzanillo</v>
          </cell>
          <cell r="H4629" t="str">
            <v>consulta_externa</v>
          </cell>
          <cell r="J4629" t="str">
            <v>bueno</v>
          </cell>
          <cell r="K4629" t="str">
            <v>probsi</v>
          </cell>
        </row>
        <row r="4630">
          <cell r="B4630" t="b">
            <v>1</v>
          </cell>
          <cell r="E4630" t="str">
            <v>Nelson Mandela UPA</v>
          </cell>
          <cell r="H4630" t="str">
            <v>salud_oral</v>
          </cell>
          <cell r="J4630" t="str">
            <v>bueno</v>
          </cell>
          <cell r="K4630" t="str">
            <v>probsi</v>
          </cell>
        </row>
        <row r="4631">
          <cell r="B4631" t="b">
            <v>1</v>
          </cell>
          <cell r="E4631" t="str">
            <v>Manzanillo</v>
          </cell>
          <cell r="H4631" t="str">
            <v>laboratorio</v>
          </cell>
          <cell r="J4631" t="str">
            <v>bueno</v>
          </cell>
          <cell r="K4631" t="str">
            <v>probsi</v>
          </cell>
        </row>
        <row r="4632">
          <cell r="B4632" t="b">
            <v>1</v>
          </cell>
          <cell r="E4632" t="str">
            <v>Nelson Mandela UPA</v>
          </cell>
          <cell r="H4632" t="str">
            <v>laboratorio</v>
          </cell>
          <cell r="J4632" t="str">
            <v>bueno</v>
          </cell>
          <cell r="K4632" t="str">
            <v>probsi</v>
          </cell>
        </row>
        <row r="4633">
          <cell r="B4633" t="b">
            <v>1</v>
          </cell>
          <cell r="E4633" t="str">
            <v>Nelson Mandela UPA</v>
          </cell>
          <cell r="H4633" t="str">
            <v>laboratorio</v>
          </cell>
          <cell r="J4633" t="str">
            <v>bueno</v>
          </cell>
          <cell r="K4633" t="str">
            <v>probsi</v>
          </cell>
        </row>
        <row r="4634">
          <cell r="B4634" t="b">
            <v>1</v>
          </cell>
          <cell r="E4634" t="str">
            <v>Manzanillo</v>
          </cell>
          <cell r="H4634" t="str">
            <v>salud_oral</v>
          </cell>
          <cell r="J4634" t="str">
            <v>bueno</v>
          </cell>
          <cell r="K4634" t="str">
            <v>probsi</v>
          </cell>
        </row>
        <row r="4635">
          <cell r="B4635" t="b">
            <v>1</v>
          </cell>
          <cell r="E4635" t="str">
            <v>Nelson Mandela UPA</v>
          </cell>
          <cell r="H4635" t="str">
            <v>laboratorio</v>
          </cell>
          <cell r="J4635" t="str">
            <v>bueno</v>
          </cell>
          <cell r="K4635" t="str">
            <v>probsi</v>
          </cell>
        </row>
        <row r="4636">
          <cell r="B4636" t="b">
            <v>1</v>
          </cell>
          <cell r="E4636" t="str">
            <v>Nelson Mandela UPA</v>
          </cell>
          <cell r="H4636" t="str">
            <v>laboratorio</v>
          </cell>
          <cell r="J4636" t="str">
            <v>bueno</v>
          </cell>
          <cell r="K4636" t="str">
            <v>probsi</v>
          </cell>
        </row>
        <row r="4637">
          <cell r="B4637" t="b">
            <v>1</v>
          </cell>
          <cell r="E4637" t="str">
            <v>Nelson Mandela UPA</v>
          </cell>
          <cell r="H4637" t="str">
            <v>consulta_externa</v>
          </cell>
          <cell r="J4637" t="str">
            <v>bueno</v>
          </cell>
          <cell r="K4637" t="str">
            <v>probsi</v>
          </cell>
        </row>
        <row r="4638">
          <cell r="B4638" t="b">
            <v>1</v>
          </cell>
          <cell r="E4638" t="str">
            <v>Nelson Mandela UPA</v>
          </cell>
          <cell r="H4638" t="str">
            <v>consulta_externa</v>
          </cell>
          <cell r="J4638" t="str">
            <v>bueno</v>
          </cell>
          <cell r="K4638" t="str">
            <v>probsi</v>
          </cell>
        </row>
        <row r="4639">
          <cell r="B4639" t="b">
            <v>1</v>
          </cell>
          <cell r="E4639" t="str">
            <v>Nelson Mandela UPA</v>
          </cell>
          <cell r="H4639" t="str">
            <v>consulta_externa</v>
          </cell>
          <cell r="J4639" t="str">
            <v>bueno</v>
          </cell>
          <cell r="K4639" t="str">
            <v>probsi</v>
          </cell>
        </row>
        <row r="4640">
          <cell r="B4640" t="b">
            <v>1</v>
          </cell>
          <cell r="E4640" t="str">
            <v>Nelson Mandela UPA</v>
          </cell>
          <cell r="H4640" t="str">
            <v>consulta_externa</v>
          </cell>
          <cell r="J4640" t="str">
            <v>bueno</v>
          </cell>
          <cell r="K4640" t="str">
            <v>probsi</v>
          </cell>
        </row>
        <row r="4641">
          <cell r="B4641" t="b">
            <v>1</v>
          </cell>
          <cell r="E4641" t="str">
            <v>Nelson Mandela UPA</v>
          </cell>
          <cell r="H4641" t="str">
            <v>consulta_externa</v>
          </cell>
          <cell r="J4641" t="str">
            <v>bueno</v>
          </cell>
          <cell r="K4641" t="str">
            <v>probsi</v>
          </cell>
        </row>
        <row r="4642">
          <cell r="B4642" t="b">
            <v>1</v>
          </cell>
          <cell r="E4642" t="str">
            <v>Nelson Mandela UPA</v>
          </cell>
          <cell r="H4642" t="str">
            <v>laboratorio</v>
          </cell>
          <cell r="J4642" t="str">
            <v>bueno</v>
          </cell>
          <cell r="K4642" t="str">
            <v>probsi</v>
          </cell>
        </row>
        <row r="4643">
          <cell r="B4643" t="b">
            <v>1</v>
          </cell>
          <cell r="E4643" t="str">
            <v>Nelson Mandela UPA</v>
          </cell>
          <cell r="H4643" t="str">
            <v>laboratorio</v>
          </cell>
          <cell r="J4643" t="str">
            <v>bueno</v>
          </cell>
          <cell r="K4643" t="str">
            <v>probsi</v>
          </cell>
        </row>
        <row r="4644">
          <cell r="B4644" t="b">
            <v>1</v>
          </cell>
          <cell r="E4644" t="str">
            <v>Nelson Mandela UPA</v>
          </cell>
          <cell r="H4644" t="str">
            <v>laboratorio</v>
          </cell>
          <cell r="J4644" t="str">
            <v>bueno</v>
          </cell>
          <cell r="K4644" t="str">
            <v>probsi</v>
          </cell>
        </row>
        <row r="4645">
          <cell r="B4645" t="b">
            <v>1</v>
          </cell>
          <cell r="E4645" t="str">
            <v>Nelson Mandela UPA</v>
          </cell>
          <cell r="H4645" t="str">
            <v>laboratorio</v>
          </cell>
          <cell r="J4645" t="str">
            <v>bueno</v>
          </cell>
          <cell r="K4645" t="str">
            <v>probsi</v>
          </cell>
        </row>
        <row r="4646">
          <cell r="B4646" t="b">
            <v>1</v>
          </cell>
          <cell r="E4646" t="str">
            <v>Nelson Mandela UPA</v>
          </cell>
          <cell r="H4646" t="str">
            <v>laboratorio</v>
          </cell>
          <cell r="J4646" t="str">
            <v>bueno</v>
          </cell>
          <cell r="K4646" t="str">
            <v>probsi</v>
          </cell>
        </row>
        <row r="4647">
          <cell r="B4647" t="b">
            <v>1</v>
          </cell>
          <cell r="E4647" t="str">
            <v>Nelson Mandela UPA</v>
          </cell>
          <cell r="H4647" t="str">
            <v>consulta_externa</v>
          </cell>
          <cell r="J4647" t="str">
            <v>bueno</v>
          </cell>
          <cell r="K4647" t="str">
            <v>probsi</v>
          </cell>
        </row>
        <row r="4648">
          <cell r="B4648" t="b">
            <v>1</v>
          </cell>
          <cell r="E4648" t="str">
            <v>Nelson Mandela UPA</v>
          </cell>
          <cell r="H4648" t="str">
            <v>consulta_externa</v>
          </cell>
          <cell r="J4648" t="str">
            <v>bueno</v>
          </cell>
          <cell r="K4648" t="str">
            <v>probsi</v>
          </cell>
        </row>
        <row r="4649">
          <cell r="B4649" t="b">
            <v>1</v>
          </cell>
          <cell r="E4649" t="str">
            <v>Nelson Mandela UPA</v>
          </cell>
          <cell r="H4649" t="str">
            <v>salud_oral</v>
          </cell>
          <cell r="J4649" t="str">
            <v>bueno</v>
          </cell>
          <cell r="K4649" t="str">
            <v>probsi</v>
          </cell>
        </row>
        <row r="4650">
          <cell r="B4650" t="b">
            <v>1</v>
          </cell>
          <cell r="E4650" t="str">
            <v>Nelson Mandela UPA</v>
          </cell>
          <cell r="H4650" t="str">
            <v>salud_oral</v>
          </cell>
          <cell r="J4650" t="str">
            <v>bueno</v>
          </cell>
          <cell r="K4650" t="str">
            <v>probsi</v>
          </cell>
        </row>
        <row r="4651">
          <cell r="B4651" t="b">
            <v>1</v>
          </cell>
          <cell r="E4651" t="str">
            <v>Nelson Mandela UPA</v>
          </cell>
          <cell r="H4651" t="str">
            <v>salud_oral</v>
          </cell>
          <cell r="J4651" t="str">
            <v>bueno</v>
          </cell>
          <cell r="K4651" t="str">
            <v>probsi</v>
          </cell>
        </row>
        <row r="4652">
          <cell r="B4652" t="b">
            <v>1</v>
          </cell>
          <cell r="E4652" t="str">
            <v>Bosque</v>
          </cell>
          <cell r="H4652" t="str">
            <v>consulta_externa</v>
          </cell>
          <cell r="J4652" t="str">
            <v>bueno</v>
          </cell>
          <cell r="K4652" t="str">
            <v>defsi</v>
          </cell>
        </row>
        <row r="4653">
          <cell r="B4653" t="b">
            <v>1</v>
          </cell>
          <cell r="E4653" t="str">
            <v>Bosque</v>
          </cell>
          <cell r="H4653" t="str">
            <v>laboratorio</v>
          </cell>
          <cell r="J4653" t="str">
            <v>bueno</v>
          </cell>
          <cell r="K4653" t="str">
            <v>defsi</v>
          </cell>
        </row>
        <row r="4654">
          <cell r="B4654" t="b">
            <v>1</v>
          </cell>
          <cell r="E4654" t="str">
            <v>Bosque</v>
          </cell>
          <cell r="H4654" t="str">
            <v>laboratorio</v>
          </cell>
          <cell r="J4654" t="str">
            <v>bueno</v>
          </cell>
          <cell r="K4654" t="str">
            <v>defsi</v>
          </cell>
        </row>
        <row r="4655">
          <cell r="B4655" t="b">
            <v>1</v>
          </cell>
          <cell r="E4655" t="str">
            <v>Manzanillo</v>
          </cell>
          <cell r="H4655" t="str">
            <v>laboratorio</v>
          </cell>
          <cell r="J4655" t="str">
            <v>bueno</v>
          </cell>
          <cell r="K4655" t="str">
            <v>probsi</v>
          </cell>
        </row>
        <row r="4656">
          <cell r="B4656" t="b">
            <v>1</v>
          </cell>
          <cell r="E4656" t="str">
            <v>Manzanillo</v>
          </cell>
          <cell r="H4656" t="str">
            <v>laboratorio</v>
          </cell>
          <cell r="J4656" t="str">
            <v>bueno</v>
          </cell>
          <cell r="K4656" t="str">
            <v>probsi</v>
          </cell>
        </row>
        <row r="4657">
          <cell r="B4657" t="b">
            <v>1</v>
          </cell>
          <cell r="E4657" t="str">
            <v>Manzanillo</v>
          </cell>
          <cell r="H4657" t="str">
            <v>laboratorio</v>
          </cell>
          <cell r="J4657" t="str">
            <v>bueno</v>
          </cell>
          <cell r="K4657" t="str">
            <v>probsi</v>
          </cell>
        </row>
        <row r="4658">
          <cell r="B4658" t="b">
            <v>1</v>
          </cell>
          <cell r="E4658" t="str">
            <v>Manzanillo</v>
          </cell>
          <cell r="H4658" t="str">
            <v>laboratorio</v>
          </cell>
          <cell r="J4658" t="str">
            <v>bueno</v>
          </cell>
          <cell r="K4658" t="str">
            <v>probsi</v>
          </cell>
        </row>
        <row r="4659">
          <cell r="B4659" t="b">
            <v>1</v>
          </cell>
          <cell r="E4659" t="str">
            <v>Manzanillo</v>
          </cell>
          <cell r="H4659" t="str">
            <v>consulta_externa</v>
          </cell>
          <cell r="J4659" t="str">
            <v>bueno</v>
          </cell>
          <cell r="K4659" t="str">
            <v>probsi</v>
          </cell>
        </row>
        <row r="4660">
          <cell r="B4660" t="b">
            <v>1</v>
          </cell>
          <cell r="E4660" t="str">
            <v>Manzanillo</v>
          </cell>
          <cell r="H4660" t="str">
            <v>salud_oral</v>
          </cell>
          <cell r="J4660" t="str">
            <v>muybueno</v>
          </cell>
          <cell r="K4660" t="str">
            <v>probsi</v>
          </cell>
        </row>
        <row r="4661">
          <cell r="B4661" t="b">
            <v>1</v>
          </cell>
          <cell r="E4661" t="str">
            <v>Manzanillo</v>
          </cell>
          <cell r="H4661" t="str">
            <v>laboratorio</v>
          </cell>
          <cell r="J4661" t="str">
            <v>muybueno</v>
          </cell>
          <cell r="K4661" t="str">
            <v>probsi</v>
          </cell>
        </row>
        <row r="4662">
          <cell r="B4662" t="b">
            <v>1</v>
          </cell>
          <cell r="E4662" t="str">
            <v>Manzanillo</v>
          </cell>
          <cell r="H4662" t="str">
            <v>consulta_externa</v>
          </cell>
          <cell r="J4662" t="str">
            <v>bueno</v>
          </cell>
          <cell r="K4662" t="str">
            <v>probsi</v>
          </cell>
        </row>
        <row r="4663">
          <cell r="B4663" t="b">
            <v>1</v>
          </cell>
          <cell r="E4663" t="str">
            <v>Bosque</v>
          </cell>
          <cell r="H4663" t="str">
            <v>consulta_externa</v>
          </cell>
          <cell r="J4663" t="str">
            <v>muybueno</v>
          </cell>
          <cell r="K4663" t="str">
            <v>defsi</v>
          </cell>
        </row>
        <row r="4664">
          <cell r="B4664" t="b">
            <v>1</v>
          </cell>
          <cell r="E4664" t="str">
            <v>Bosque</v>
          </cell>
          <cell r="H4664" t="str">
            <v>consulta_externa</v>
          </cell>
          <cell r="J4664" t="str">
            <v>muybueno</v>
          </cell>
          <cell r="K4664" t="str">
            <v>defsi</v>
          </cell>
        </row>
        <row r="4665">
          <cell r="B4665" t="b">
            <v>1</v>
          </cell>
          <cell r="E4665" t="str">
            <v>Bosque</v>
          </cell>
          <cell r="H4665" t="str">
            <v>salud_oral</v>
          </cell>
          <cell r="J4665" t="str">
            <v>muybueno</v>
          </cell>
          <cell r="K4665" t="str">
            <v>defsi</v>
          </cell>
        </row>
        <row r="4666">
          <cell r="B4666" t="b">
            <v>1</v>
          </cell>
          <cell r="E4666" t="str">
            <v>Bosque</v>
          </cell>
          <cell r="H4666" t="str">
            <v>salud_oral</v>
          </cell>
          <cell r="J4666" t="str">
            <v>bueno</v>
          </cell>
          <cell r="K4666" t="str">
            <v>defsi</v>
          </cell>
        </row>
        <row r="4667">
          <cell r="B4667" t="b">
            <v>1</v>
          </cell>
          <cell r="E4667" t="str">
            <v>Bosque</v>
          </cell>
          <cell r="H4667" t="str">
            <v>salud_oral</v>
          </cell>
          <cell r="J4667" t="str">
            <v>bueno</v>
          </cell>
          <cell r="K4667" t="str">
            <v>defsi</v>
          </cell>
        </row>
        <row r="4668">
          <cell r="B4668" t="b">
            <v>1</v>
          </cell>
          <cell r="E4668" t="str">
            <v>Bosque</v>
          </cell>
          <cell r="H4668" t="str">
            <v>consulta_externa</v>
          </cell>
          <cell r="J4668" t="str">
            <v>bueno</v>
          </cell>
          <cell r="K4668" t="str">
            <v>defsi</v>
          </cell>
        </row>
        <row r="4669">
          <cell r="B4669" t="b">
            <v>1</v>
          </cell>
          <cell r="E4669" t="str">
            <v>Bosque</v>
          </cell>
          <cell r="H4669" t="str">
            <v>consulta_externa</v>
          </cell>
          <cell r="J4669" t="str">
            <v>bueno</v>
          </cell>
          <cell r="K4669" t="str">
            <v>defsi</v>
          </cell>
        </row>
        <row r="4670">
          <cell r="B4670" t="b">
            <v>1</v>
          </cell>
          <cell r="E4670" t="str">
            <v>Bosque</v>
          </cell>
          <cell r="H4670" t="str">
            <v>laboratorio</v>
          </cell>
          <cell r="J4670" t="str">
            <v>bueno</v>
          </cell>
          <cell r="K4670" t="str">
            <v>defsi</v>
          </cell>
        </row>
        <row r="4671">
          <cell r="B4671" t="b">
            <v>1</v>
          </cell>
          <cell r="E4671" t="str">
            <v>Manzanillo</v>
          </cell>
          <cell r="H4671" t="str">
            <v>salud_oral</v>
          </cell>
          <cell r="J4671" t="str">
            <v>muybueno</v>
          </cell>
          <cell r="K4671" t="str">
            <v>probsi</v>
          </cell>
        </row>
        <row r="4672">
          <cell r="B4672" t="b">
            <v>1</v>
          </cell>
          <cell r="E4672" t="str">
            <v>Manzanillo</v>
          </cell>
          <cell r="H4672" t="str">
            <v>salud_oral</v>
          </cell>
          <cell r="J4672" t="str">
            <v>bueno</v>
          </cell>
          <cell r="K4672" t="str">
            <v>probsi</v>
          </cell>
        </row>
        <row r="4673">
          <cell r="B4673" t="b">
            <v>1</v>
          </cell>
          <cell r="E4673" t="str">
            <v>Manzanillo</v>
          </cell>
          <cell r="H4673" t="str">
            <v>laboratorio</v>
          </cell>
          <cell r="J4673" t="str">
            <v>bueno</v>
          </cell>
          <cell r="K4673" t="str">
            <v>probsi</v>
          </cell>
        </row>
        <row r="4674">
          <cell r="B4674" t="b">
            <v>1</v>
          </cell>
          <cell r="E4674" t="str">
            <v>Bosque</v>
          </cell>
          <cell r="H4674" t="str">
            <v>consulta_externa</v>
          </cell>
          <cell r="J4674" t="str">
            <v>muybueno</v>
          </cell>
          <cell r="K4674" t="str">
            <v>defsi</v>
          </cell>
        </row>
        <row r="4675">
          <cell r="B4675" t="b">
            <v>1</v>
          </cell>
          <cell r="E4675" t="str">
            <v>Manzanillo</v>
          </cell>
          <cell r="H4675" t="str">
            <v>laboratorio</v>
          </cell>
          <cell r="J4675" t="str">
            <v>bueno</v>
          </cell>
          <cell r="K4675" t="str">
            <v>probsi</v>
          </cell>
        </row>
        <row r="4676">
          <cell r="B4676" t="b">
            <v>1</v>
          </cell>
          <cell r="E4676" t="str">
            <v>Manzanillo</v>
          </cell>
          <cell r="H4676" t="str">
            <v>consulta_externa</v>
          </cell>
          <cell r="J4676" t="str">
            <v>bueno</v>
          </cell>
          <cell r="K4676" t="str">
            <v>probsi</v>
          </cell>
        </row>
        <row r="4677">
          <cell r="B4677" t="b">
            <v>1</v>
          </cell>
          <cell r="E4677" t="str">
            <v>Manzanillo</v>
          </cell>
          <cell r="H4677" t="str">
            <v>consulta_externa</v>
          </cell>
          <cell r="J4677" t="str">
            <v>bueno</v>
          </cell>
          <cell r="K4677" t="str">
            <v>probsi</v>
          </cell>
        </row>
        <row r="4678">
          <cell r="B4678" t="b">
            <v>1</v>
          </cell>
          <cell r="E4678" t="str">
            <v>Manzanillo</v>
          </cell>
          <cell r="H4678" t="str">
            <v>consulta_externa</v>
          </cell>
          <cell r="J4678" t="str">
            <v>bueno</v>
          </cell>
          <cell r="K4678" t="str">
            <v>probsi</v>
          </cell>
        </row>
        <row r="4679">
          <cell r="B4679" t="b">
            <v>1</v>
          </cell>
          <cell r="E4679" t="str">
            <v>Bosque</v>
          </cell>
          <cell r="H4679" t="str">
            <v>consulta_externa</v>
          </cell>
          <cell r="J4679" t="str">
            <v>bueno</v>
          </cell>
          <cell r="K4679" t="str">
            <v>defsi</v>
          </cell>
        </row>
        <row r="4680">
          <cell r="B4680" t="b">
            <v>1</v>
          </cell>
          <cell r="E4680" t="str">
            <v>Nelson Mandela UPA</v>
          </cell>
          <cell r="H4680" t="str">
            <v>urgencia</v>
          </cell>
          <cell r="J4680" t="str">
            <v>bueno</v>
          </cell>
          <cell r="K4680" t="str">
            <v>probsi</v>
          </cell>
        </row>
        <row r="4681">
          <cell r="B4681" t="b">
            <v>1</v>
          </cell>
          <cell r="E4681" t="str">
            <v>Nelson Mandela UPA</v>
          </cell>
          <cell r="H4681" t="str">
            <v>urgencia</v>
          </cell>
          <cell r="J4681" t="str">
            <v>bueno</v>
          </cell>
          <cell r="K4681" t="str">
            <v>probsi</v>
          </cell>
        </row>
        <row r="4682">
          <cell r="B4682" t="b">
            <v>1</v>
          </cell>
          <cell r="E4682" t="str">
            <v>Nelson Mandela UPA</v>
          </cell>
          <cell r="H4682" t="str">
            <v>urgencia</v>
          </cell>
          <cell r="J4682" t="str">
            <v>bueno</v>
          </cell>
          <cell r="K4682" t="str">
            <v>probsi</v>
          </cell>
        </row>
        <row r="4683">
          <cell r="B4683" t="b">
            <v>1</v>
          </cell>
          <cell r="E4683" t="str">
            <v>Nelson Mandela UPA</v>
          </cell>
          <cell r="H4683" t="str">
            <v>urgencia</v>
          </cell>
          <cell r="J4683" t="str">
            <v>bueno</v>
          </cell>
          <cell r="K4683" t="str">
            <v>probsi</v>
          </cell>
        </row>
        <row r="4684">
          <cell r="B4684" t="b">
            <v>1</v>
          </cell>
          <cell r="E4684" t="str">
            <v>Nelson Mandela UPA</v>
          </cell>
          <cell r="H4684" t="str">
            <v>urgencia</v>
          </cell>
          <cell r="J4684" t="str">
            <v>bueno</v>
          </cell>
          <cell r="K4684" t="str">
            <v>probsi</v>
          </cell>
        </row>
        <row r="4685">
          <cell r="B4685" t="b">
            <v>1</v>
          </cell>
          <cell r="E4685" t="str">
            <v>Nelson Mandela UPA</v>
          </cell>
          <cell r="H4685" t="str">
            <v>urgencia</v>
          </cell>
          <cell r="J4685" t="str">
            <v>bueno</v>
          </cell>
          <cell r="K4685" t="str">
            <v>probsi</v>
          </cell>
        </row>
        <row r="4686">
          <cell r="B4686" t="b">
            <v>1</v>
          </cell>
          <cell r="E4686" t="str">
            <v>Nelson Mandela UPA</v>
          </cell>
          <cell r="H4686" t="str">
            <v>urgencia</v>
          </cell>
          <cell r="J4686" t="str">
            <v>bueno</v>
          </cell>
          <cell r="K4686" t="str">
            <v>probsi</v>
          </cell>
        </row>
        <row r="4687">
          <cell r="B4687" t="b">
            <v>1</v>
          </cell>
          <cell r="E4687" t="str">
            <v>Manzanillo</v>
          </cell>
          <cell r="H4687" t="str">
            <v>salud_oral</v>
          </cell>
          <cell r="J4687" t="str">
            <v>bueno</v>
          </cell>
          <cell r="K4687" t="str">
            <v>probsi</v>
          </cell>
        </row>
        <row r="4688">
          <cell r="B4688" t="b">
            <v>1</v>
          </cell>
          <cell r="E4688" t="str">
            <v>Nelson Mandela UPA</v>
          </cell>
          <cell r="H4688" t="str">
            <v>urgencia</v>
          </cell>
          <cell r="J4688" t="str">
            <v>bueno</v>
          </cell>
          <cell r="K4688" t="str">
            <v>probsi</v>
          </cell>
        </row>
        <row r="4689">
          <cell r="B4689" t="b">
            <v>1</v>
          </cell>
          <cell r="E4689" t="str">
            <v>Nelson Mandela UPA</v>
          </cell>
          <cell r="H4689" t="str">
            <v>urgencia</v>
          </cell>
          <cell r="J4689" t="str">
            <v>bueno</v>
          </cell>
          <cell r="K4689" t="str">
            <v>probsi</v>
          </cell>
        </row>
        <row r="4690">
          <cell r="B4690" t="b">
            <v>1</v>
          </cell>
          <cell r="E4690" t="str">
            <v>Manzanillo</v>
          </cell>
          <cell r="H4690" t="str">
            <v>laboratorio</v>
          </cell>
          <cell r="J4690" t="str">
            <v>bueno</v>
          </cell>
          <cell r="K4690" t="str">
            <v>probsi</v>
          </cell>
        </row>
        <row r="4691">
          <cell r="B4691" t="b">
            <v>1</v>
          </cell>
          <cell r="E4691" t="str">
            <v>Nelson Mandela UPA</v>
          </cell>
          <cell r="H4691" t="str">
            <v>urgencia</v>
          </cell>
          <cell r="J4691" t="str">
            <v>bueno</v>
          </cell>
          <cell r="K4691" t="str">
            <v>probsi</v>
          </cell>
        </row>
        <row r="4692">
          <cell r="B4692" t="b">
            <v>1</v>
          </cell>
          <cell r="E4692" t="str">
            <v>Nelson Mandela UPA</v>
          </cell>
          <cell r="H4692" t="str">
            <v>urgencia</v>
          </cell>
          <cell r="J4692" t="str">
            <v>bueno</v>
          </cell>
          <cell r="K4692" t="str">
            <v>probsi</v>
          </cell>
        </row>
        <row r="4693">
          <cell r="B4693" t="b">
            <v>1</v>
          </cell>
          <cell r="E4693" t="str">
            <v>Nelson Mandela UPA</v>
          </cell>
          <cell r="H4693" t="str">
            <v>urgencia</v>
          </cell>
          <cell r="J4693" t="str">
            <v>bueno</v>
          </cell>
          <cell r="K4693" t="str">
            <v>probsi</v>
          </cell>
        </row>
        <row r="4694">
          <cell r="B4694" t="b">
            <v>1</v>
          </cell>
          <cell r="E4694" t="str">
            <v>Nelson Mandela UPA</v>
          </cell>
          <cell r="H4694" t="str">
            <v>urgencia</v>
          </cell>
          <cell r="J4694" t="str">
            <v>bueno</v>
          </cell>
          <cell r="K4694" t="str">
            <v>probsi</v>
          </cell>
        </row>
        <row r="4695">
          <cell r="B4695" t="b">
            <v>1</v>
          </cell>
          <cell r="E4695" t="str">
            <v>Nelson Mandela UPA</v>
          </cell>
          <cell r="H4695" t="str">
            <v>urgencia</v>
          </cell>
          <cell r="J4695" t="str">
            <v>bueno</v>
          </cell>
          <cell r="K4695" t="str">
            <v>probsi</v>
          </cell>
        </row>
        <row r="4696">
          <cell r="B4696" t="b">
            <v>1</v>
          </cell>
          <cell r="E4696" t="str">
            <v>Nelson Mandela UPA</v>
          </cell>
          <cell r="H4696" t="str">
            <v>urgencia</v>
          </cell>
          <cell r="J4696" t="str">
            <v>bueno</v>
          </cell>
          <cell r="K4696" t="str">
            <v>probsi</v>
          </cell>
        </row>
        <row r="4697">
          <cell r="B4697" t="b">
            <v>1</v>
          </cell>
          <cell r="E4697" t="str">
            <v>Nelson Mandela UPA</v>
          </cell>
          <cell r="H4697" t="str">
            <v>urgencia</v>
          </cell>
          <cell r="J4697" t="str">
            <v>bueno</v>
          </cell>
          <cell r="K4697" t="str">
            <v>probsi</v>
          </cell>
        </row>
        <row r="4698">
          <cell r="B4698" t="b">
            <v>1</v>
          </cell>
          <cell r="E4698" t="str">
            <v>Nelson Mandela UPA</v>
          </cell>
          <cell r="H4698" t="str">
            <v>urgencia</v>
          </cell>
          <cell r="J4698" t="str">
            <v>bueno</v>
          </cell>
          <cell r="K4698" t="str">
            <v>probsi</v>
          </cell>
        </row>
        <row r="4699">
          <cell r="B4699" t="b">
            <v>1</v>
          </cell>
          <cell r="E4699" t="str">
            <v>Nelson Mandela UPA</v>
          </cell>
          <cell r="H4699" t="str">
            <v>urgencia</v>
          </cell>
          <cell r="J4699" t="str">
            <v>bueno</v>
          </cell>
          <cell r="K4699" t="str">
            <v>probsi</v>
          </cell>
        </row>
        <row r="4700">
          <cell r="B4700" t="b">
            <v>1</v>
          </cell>
          <cell r="E4700" t="str">
            <v>Nelson Mandela UPA</v>
          </cell>
          <cell r="H4700" t="str">
            <v>urgencia</v>
          </cell>
          <cell r="J4700" t="str">
            <v>bueno</v>
          </cell>
          <cell r="K4700" t="str">
            <v>probsi</v>
          </cell>
        </row>
        <row r="4701">
          <cell r="B4701" t="b">
            <v>1</v>
          </cell>
          <cell r="E4701" t="str">
            <v>Nelson Mandela UPA</v>
          </cell>
          <cell r="H4701" t="str">
            <v>urgencia</v>
          </cell>
          <cell r="J4701" t="str">
            <v>bueno</v>
          </cell>
          <cell r="K4701" t="str">
            <v>probsi</v>
          </cell>
        </row>
        <row r="4702">
          <cell r="B4702" t="b">
            <v>1</v>
          </cell>
          <cell r="E4702" t="str">
            <v>Nelson Mandela UPA</v>
          </cell>
          <cell r="H4702" t="str">
            <v>urgencia</v>
          </cell>
          <cell r="J4702" t="str">
            <v>bueno</v>
          </cell>
          <cell r="K4702" t="str">
            <v>probsi</v>
          </cell>
        </row>
        <row r="4703">
          <cell r="B4703" t="b">
            <v>1</v>
          </cell>
          <cell r="E4703" t="str">
            <v>Nelson Mandela UPA</v>
          </cell>
          <cell r="H4703" t="str">
            <v>urgencia</v>
          </cell>
          <cell r="J4703" t="str">
            <v>bueno</v>
          </cell>
          <cell r="K4703" t="str">
            <v>probsi</v>
          </cell>
        </row>
        <row r="4704">
          <cell r="B4704" t="b">
            <v>1</v>
          </cell>
          <cell r="E4704" t="str">
            <v>Nelson Mandela UPA</v>
          </cell>
          <cell r="H4704" t="str">
            <v>urgencia</v>
          </cell>
          <cell r="J4704" t="str">
            <v>bueno</v>
          </cell>
          <cell r="K4704" t="str">
            <v>probsi</v>
          </cell>
        </row>
        <row r="4705">
          <cell r="B4705" t="b">
            <v>1</v>
          </cell>
          <cell r="E4705" t="str">
            <v>Nelson Mandela UPA</v>
          </cell>
          <cell r="H4705" t="str">
            <v>consulta_externa</v>
          </cell>
          <cell r="J4705" t="str">
            <v>bueno</v>
          </cell>
          <cell r="K4705" t="str">
            <v>probsi</v>
          </cell>
        </row>
        <row r="4706">
          <cell r="B4706" t="b">
            <v>1</v>
          </cell>
          <cell r="E4706" t="str">
            <v>Nelson Mandela UPA</v>
          </cell>
          <cell r="H4706" t="str">
            <v>consulta_externa</v>
          </cell>
          <cell r="J4706" t="str">
            <v>bueno</v>
          </cell>
          <cell r="K4706" t="str">
            <v>probsi</v>
          </cell>
        </row>
        <row r="4707">
          <cell r="B4707" t="b">
            <v>1</v>
          </cell>
          <cell r="E4707" t="str">
            <v>Nelson Mandela UPA</v>
          </cell>
          <cell r="H4707" t="str">
            <v>consulta_externa</v>
          </cell>
          <cell r="J4707" t="str">
            <v>bueno</v>
          </cell>
          <cell r="K4707" t="str">
            <v>probsi</v>
          </cell>
        </row>
        <row r="4708">
          <cell r="B4708" t="b">
            <v>1</v>
          </cell>
          <cell r="E4708" t="str">
            <v>Nelson Mandela UPA</v>
          </cell>
          <cell r="H4708" t="str">
            <v>consulta_externa</v>
          </cell>
          <cell r="J4708" t="str">
            <v>bueno</v>
          </cell>
          <cell r="K4708" t="str">
            <v>probsi</v>
          </cell>
        </row>
        <row r="4709">
          <cell r="B4709" t="b">
            <v>1</v>
          </cell>
          <cell r="E4709" t="str">
            <v>Nelson Mandela UPA</v>
          </cell>
          <cell r="H4709" t="str">
            <v>consulta_externa</v>
          </cell>
          <cell r="J4709" t="str">
            <v>bueno</v>
          </cell>
          <cell r="K4709" t="str">
            <v>probsi</v>
          </cell>
        </row>
        <row r="4710">
          <cell r="B4710" t="b">
            <v>1</v>
          </cell>
          <cell r="E4710" t="str">
            <v>Nelson Mandela UPA</v>
          </cell>
          <cell r="H4710" t="str">
            <v>consulta_externa</v>
          </cell>
          <cell r="J4710" t="str">
            <v>bueno</v>
          </cell>
          <cell r="K4710" t="str">
            <v>probsi</v>
          </cell>
        </row>
        <row r="4711">
          <cell r="B4711" t="b">
            <v>1</v>
          </cell>
          <cell r="E4711" t="str">
            <v>Nelson Mandela UPA</v>
          </cell>
          <cell r="H4711" t="str">
            <v>consulta_externa</v>
          </cell>
          <cell r="J4711" t="str">
            <v>bueno</v>
          </cell>
          <cell r="K4711" t="str">
            <v>probsi</v>
          </cell>
        </row>
        <row r="4712">
          <cell r="B4712" t="b">
            <v>1</v>
          </cell>
          <cell r="E4712" t="str">
            <v>Nelson Mandela UPA</v>
          </cell>
          <cell r="H4712" t="str">
            <v>consulta_externa</v>
          </cell>
          <cell r="J4712" t="str">
            <v>bueno</v>
          </cell>
          <cell r="K4712" t="str">
            <v>probsi</v>
          </cell>
        </row>
        <row r="4713">
          <cell r="B4713" t="b">
            <v>1</v>
          </cell>
          <cell r="E4713" t="str">
            <v>Nelson Mandela UPA</v>
          </cell>
          <cell r="H4713" t="str">
            <v>consulta_externa</v>
          </cell>
          <cell r="J4713" t="str">
            <v>bueno</v>
          </cell>
          <cell r="K4713" t="str">
            <v>probsi</v>
          </cell>
        </row>
        <row r="4714">
          <cell r="B4714" t="b">
            <v>1</v>
          </cell>
          <cell r="E4714" t="str">
            <v>Nelson Mandela UPA</v>
          </cell>
          <cell r="H4714" t="str">
            <v>consulta_externa</v>
          </cell>
          <cell r="J4714" t="str">
            <v>bueno</v>
          </cell>
          <cell r="K4714" t="str">
            <v>probsi</v>
          </cell>
        </row>
        <row r="4715">
          <cell r="B4715" t="b">
            <v>1</v>
          </cell>
          <cell r="E4715" t="str">
            <v>Nelson Mandela UPA</v>
          </cell>
          <cell r="H4715" t="str">
            <v>consulta_externa</v>
          </cell>
          <cell r="J4715" t="str">
            <v>bueno</v>
          </cell>
          <cell r="K4715" t="str">
            <v>probsi</v>
          </cell>
        </row>
        <row r="4716">
          <cell r="B4716" t="b">
            <v>1</v>
          </cell>
          <cell r="E4716" t="str">
            <v>Nelson Mandela UPA</v>
          </cell>
          <cell r="H4716" t="str">
            <v>consulta_externa</v>
          </cell>
          <cell r="J4716" t="str">
            <v>bueno</v>
          </cell>
          <cell r="K4716" t="str">
            <v>probsi</v>
          </cell>
        </row>
        <row r="4717">
          <cell r="B4717" t="b">
            <v>1</v>
          </cell>
          <cell r="E4717" t="str">
            <v>Nelson Mandela UPA</v>
          </cell>
          <cell r="H4717" t="str">
            <v>consulta_externa</v>
          </cell>
          <cell r="J4717" t="str">
            <v>bueno</v>
          </cell>
          <cell r="K4717" t="str">
            <v>probsi</v>
          </cell>
        </row>
        <row r="4718">
          <cell r="B4718" t="b">
            <v>1</v>
          </cell>
          <cell r="E4718" t="str">
            <v>Nelson Mandela UPA</v>
          </cell>
          <cell r="H4718" t="str">
            <v>consulta_externa</v>
          </cell>
          <cell r="J4718" t="str">
            <v>bueno</v>
          </cell>
          <cell r="K4718" t="str">
            <v>probsi</v>
          </cell>
        </row>
        <row r="4719">
          <cell r="B4719" t="b">
            <v>1</v>
          </cell>
          <cell r="E4719" t="str">
            <v>Fredonia</v>
          </cell>
          <cell r="H4719" t="str">
            <v>consulta_externa</v>
          </cell>
          <cell r="J4719" t="str">
            <v>bueno</v>
          </cell>
          <cell r="K4719" t="str">
            <v>probsi</v>
          </cell>
        </row>
        <row r="4720">
          <cell r="B4720" t="b">
            <v>1</v>
          </cell>
          <cell r="E4720" t="str">
            <v>Fredonia</v>
          </cell>
          <cell r="H4720" t="str">
            <v>consulta_externa</v>
          </cell>
          <cell r="J4720" t="str">
            <v>bueno</v>
          </cell>
          <cell r="K4720" t="str">
            <v>probsi</v>
          </cell>
        </row>
        <row r="4721">
          <cell r="B4721" t="b">
            <v>1</v>
          </cell>
          <cell r="E4721" t="str">
            <v>Fredonia</v>
          </cell>
          <cell r="H4721" t="str">
            <v>consulta_externa</v>
          </cell>
          <cell r="J4721" t="str">
            <v>bueno</v>
          </cell>
          <cell r="K4721" t="str">
            <v>probsi</v>
          </cell>
        </row>
        <row r="4722">
          <cell r="B4722" t="b">
            <v>1</v>
          </cell>
          <cell r="E4722" t="str">
            <v>Fredonia</v>
          </cell>
          <cell r="H4722" t="str">
            <v>consulta_externa</v>
          </cell>
          <cell r="J4722" t="str">
            <v>bueno</v>
          </cell>
          <cell r="K4722" t="str">
            <v>probsi</v>
          </cell>
        </row>
        <row r="4723">
          <cell r="B4723" t="b">
            <v>1</v>
          </cell>
          <cell r="E4723" t="str">
            <v>Fredonia</v>
          </cell>
          <cell r="H4723" t="str">
            <v>consulta_externa</v>
          </cell>
          <cell r="J4723" t="str">
            <v>bueno</v>
          </cell>
          <cell r="K4723" t="str">
            <v>probsi</v>
          </cell>
        </row>
        <row r="4724">
          <cell r="B4724" t="b">
            <v>1</v>
          </cell>
          <cell r="E4724" t="str">
            <v>Bosque</v>
          </cell>
          <cell r="H4724" t="str">
            <v>salud_oral</v>
          </cell>
          <cell r="J4724" t="str">
            <v>bueno</v>
          </cell>
          <cell r="K4724" t="str">
            <v>defsi</v>
          </cell>
        </row>
        <row r="4725">
          <cell r="B4725" t="b">
            <v>1</v>
          </cell>
          <cell r="E4725" t="str">
            <v>Bosque</v>
          </cell>
          <cell r="H4725" t="str">
            <v>salud_oral</v>
          </cell>
          <cell r="J4725" t="str">
            <v>bueno</v>
          </cell>
          <cell r="K4725" t="str">
            <v>defsi</v>
          </cell>
        </row>
        <row r="4726">
          <cell r="B4726" t="b">
            <v>1</v>
          </cell>
          <cell r="E4726" t="str">
            <v>Bosque</v>
          </cell>
          <cell r="H4726" t="str">
            <v>salud_oral</v>
          </cell>
          <cell r="J4726" t="str">
            <v>bueno</v>
          </cell>
          <cell r="K4726" t="str">
            <v>defsi</v>
          </cell>
        </row>
        <row r="4727">
          <cell r="B4727" t="b">
            <v>1</v>
          </cell>
          <cell r="E4727" t="str">
            <v>Bosque</v>
          </cell>
          <cell r="H4727" t="str">
            <v>salud_oral</v>
          </cell>
          <cell r="J4727" t="str">
            <v>bueno</v>
          </cell>
          <cell r="K4727" t="str">
            <v>defsi</v>
          </cell>
        </row>
        <row r="4728">
          <cell r="B4728" t="b">
            <v>1</v>
          </cell>
          <cell r="E4728" t="str">
            <v>Bosque</v>
          </cell>
          <cell r="H4728" t="str">
            <v>salud_oral</v>
          </cell>
          <cell r="J4728" t="str">
            <v>bueno</v>
          </cell>
          <cell r="K4728" t="str">
            <v>defsi</v>
          </cell>
        </row>
        <row r="4729">
          <cell r="B4729" t="b">
            <v>1</v>
          </cell>
          <cell r="E4729" t="str">
            <v>Bosque</v>
          </cell>
          <cell r="H4729" t="str">
            <v>salud_oral</v>
          </cell>
          <cell r="J4729" t="str">
            <v>muybueno</v>
          </cell>
          <cell r="K4729" t="str">
            <v>defsi</v>
          </cell>
        </row>
        <row r="4730">
          <cell r="B4730" t="b">
            <v>1</v>
          </cell>
          <cell r="E4730" t="str">
            <v>Socorro</v>
          </cell>
          <cell r="H4730" t="str">
            <v>consulta_externa</v>
          </cell>
          <cell r="J4730" t="str">
            <v>bueno</v>
          </cell>
          <cell r="K4730" t="str">
            <v>defsi</v>
          </cell>
        </row>
        <row r="4731">
          <cell r="B4731" t="b">
            <v>1</v>
          </cell>
          <cell r="E4731" t="str">
            <v>Socorro</v>
          </cell>
          <cell r="H4731" t="str">
            <v>salud_oral</v>
          </cell>
          <cell r="J4731" t="str">
            <v>bueno</v>
          </cell>
          <cell r="K4731" t="str">
            <v>defsi</v>
          </cell>
        </row>
        <row r="4732">
          <cell r="B4732" t="b">
            <v>1</v>
          </cell>
          <cell r="E4732" t="str">
            <v>Socorro</v>
          </cell>
          <cell r="H4732" t="str">
            <v>laboratorio</v>
          </cell>
          <cell r="J4732" t="str">
            <v>bueno</v>
          </cell>
          <cell r="K4732" t="str">
            <v>defsi</v>
          </cell>
        </row>
        <row r="4733">
          <cell r="B4733" t="b">
            <v>1</v>
          </cell>
          <cell r="E4733" t="str">
            <v>Socorro</v>
          </cell>
          <cell r="H4733" t="str">
            <v>ecografias</v>
          </cell>
          <cell r="J4733" t="str">
            <v>bueno</v>
          </cell>
          <cell r="K4733" t="str">
            <v>defsi</v>
          </cell>
        </row>
        <row r="4734">
          <cell r="B4734" t="b">
            <v>1</v>
          </cell>
          <cell r="E4734" t="str">
            <v>Bosque</v>
          </cell>
          <cell r="H4734" t="str">
            <v>laboratorio</v>
          </cell>
          <cell r="J4734" t="str">
            <v>bueno</v>
          </cell>
          <cell r="K4734" t="str">
            <v>defsi</v>
          </cell>
        </row>
        <row r="4735">
          <cell r="B4735" t="b">
            <v>1</v>
          </cell>
          <cell r="E4735" t="str">
            <v>Bosque</v>
          </cell>
          <cell r="H4735" t="str">
            <v>consulta_externa</v>
          </cell>
          <cell r="J4735" t="str">
            <v>bueno</v>
          </cell>
          <cell r="K4735" t="str">
            <v>defsi</v>
          </cell>
        </row>
        <row r="4736">
          <cell r="B4736" t="b">
            <v>1</v>
          </cell>
          <cell r="E4736" t="str">
            <v>Bosque</v>
          </cell>
          <cell r="H4736" t="str">
            <v>laboratorio</v>
          </cell>
          <cell r="J4736" t="str">
            <v>bueno</v>
          </cell>
          <cell r="K4736" t="str">
            <v>defsi</v>
          </cell>
        </row>
        <row r="4737">
          <cell r="B4737" t="b">
            <v>1</v>
          </cell>
          <cell r="E4737" t="str">
            <v>Socorro</v>
          </cell>
          <cell r="H4737" t="str">
            <v>consulta_externa</v>
          </cell>
          <cell r="J4737" t="str">
            <v>bueno</v>
          </cell>
          <cell r="K4737" t="str">
            <v>defsi</v>
          </cell>
        </row>
        <row r="4738">
          <cell r="B4738" t="b">
            <v>1</v>
          </cell>
          <cell r="E4738" t="str">
            <v>Socorro</v>
          </cell>
          <cell r="H4738" t="str">
            <v>salud_oral</v>
          </cell>
          <cell r="J4738" t="str">
            <v>bueno</v>
          </cell>
          <cell r="K4738" t="str">
            <v>defsi</v>
          </cell>
        </row>
        <row r="4739">
          <cell r="B4739" t="b">
            <v>1</v>
          </cell>
          <cell r="E4739" t="str">
            <v>Bosque</v>
          </cell>
          <cell r="H4739" t="str">
            <v>salud_oral</v>
          </cell>
          <cell r="J4739" t="str">
            <v>bueno</v>
          </cell>
          <cell r="K4739" t="str">
            <v>defsi</v>
          </cell>
        </row>
        <row r="4740">
          <cell r="B4740" t="b">
            <v>1</v>
          </cell>
          <cell r="E4740" t="str">
            <v>Socorro</v>
          </cell>
          <cell r="H4740" t="str">
            <v>laboratorio</v>
          </cell>
          <cell r="J4740" t="str">
            <v>bueno</v>
          </cell>
          <cell r="K4740" t="str">
            <v>defsi</v>
          </cell>
        </row>
        <row r="4741">
          <cell r="B4741" t="b">
            <v>1</v>
          </cell>
          <cell r="E4741" t="str">
            <v>Bosque</v>
          </cell>
          <cell r="H4741" t="str">
            <v>consulta_externa</v>
          </cell>
          <cell r="J4741" t="str">
            <v>bueno</v>
          </cell>
          <cell r="K4741" t="str">
            <v>defsi</v>
          </cell>
        </row>
        <row r="4742">
          <cell r="B4742" t="b">
            <v>1</v>
          </cell>
          <cell r="E4742" t="str">
            <v>Socorro</v>
          </cell>
          <cell r="H4742" t="str">
            <v>ecografias</v>
          </cell>
          <cell r="J4742" t="str">
            <v>bueno</v>
          </cell>
          <cell r="K4742" t="str">
            <v>defsi</v>
          </cell>
        </row>
        <row r="4743">
          <cell r="B4743" t="b">
            <v>1</v>
          </cell>
          <cell r="E4743" t="str">
            <v>Bosque</v>
          </cell>
          <cell r="H4743" t="str">
            <v>laboratorio</v>
          </cell>
          <cell r="J4743" t="str">
            <v>bueno</v>
          </cell>
          <cell r="K4743" t="str">
            <v>defsi</v>
          </cell>
        </row>
        <row r="4744">
          <cell r="B4744" t="b">
            <v>1</v>
          </cell>
          <cell r="E4744" t="str">
            <v>Bosque</v>
          </cell>
          <cell r="H4744" t="str">
            <v>salud_oral</v>
          </cell>
          <cell r="J4744" t="str">
            <v>bueno</v>
          </cell>
          <cell r="K4744" t="str">
            <v>defsi</v>
          </cell>
        </row>
        <row r="4745">
          <cell r="B4745" t="b">
            <v>1</v>
          </cell>
          <cell r="E4745" t="str">
            <v>Boquilla</v>
          </cell>
          <cell r="H4745" t="str">
            <v>consulta_externa</v>
          </cell>
          <cell r="J4745" t="str">
            <v>bueno</v>
          </cell>
          <cell r="K4745" t="str">
            <v>probsi</v>
          </cell>
        </row>
        <row r="4746">
          <cell r="B4746" t="b">
            <v>1</v>
          </cell>
          <cell r="E4746" t="str">
            <v>Boquilla</v>
          </cell>
          <cell r="H4746" t="str">
            <v>consulta_externa</v>
          </cell>
          <cell r="J4746" t="str">
            <v>bueno</v>
          </cell>
          <cell r="K4746" t="str">
            <v>probsi</v>
          </cell>
        </row>
        <row r="4747">
          <cell r="B4747" t="b">
            <v>1</v>
          </cell>
          <cell r="E4747" t="str">
            <v>Boquilla</v>
          </cell>
          <cell r="H4747" t="str">
            <v>laboratorio</v>
          </cell>
          <cell r="J4747" t="str">
            <v>bueno</v>
          </cell>
          <cell r="K4747" t="str">
            <v>probsi</v>
          </cell>
        </row>
        <row r="4748">
          <cell r="B4748" t="b">
            <v>1</v>
          </cell>
          <cell r="E4748" t="str">
            <v>Boquilla</v>
          </cell>
          <cell r="H4748" t="str">
            <v>consulta_externa</v>
          </cell>
          <cell r="J4748" t="str">
            <v>bueno</v>
          </cell>
          <cell r="K4748" t="str">
            <v>probsi</v>
          </cell>
        </row>
        <row r="4749">
          <cell r="B4749" t="b">
            <v>1</v>
          </cell>
          <cell r="E4749" t="str">
            <v>Socorro</v>
          </cell>
          <cell r="H4749" t="str">
            <v>consulta_externa</v>
          </cell>
          <cell r="J4749" t="str">
            <v>bueno</v>
          </cell>
          <cell r="K4749" t="str">
            <v>defsi</v>
          </cell>
        </row>
        <row r="4750">
          <cell r="B4750" t="b">
            <v>1</v>
          </cell>
          <cell r="E4750" t="str">
            <v>Socorro</v>
          </cell>
          <cell r="H4750" t="str">
            <v>salud_oral</v>
          </cell>
          <cell r="J4750" t="str">
            <v>bueno</v>
          </cell>
          <cell r="K4750" t="str">
            <v>defsi</v>
          </cell>
        </row>
        <row r="4751">
          <cell r="B4751" t="b">
            <v>1</v>
          </cell>
          <cell r="E4751" t="str">
            <v>Socorro</v>
          </cell>
          <cell r="H4751" t="str">
            <v>laboratorio</v>
          </cell>
          <cell r="J4751" t="str">
            <v>bueno</v>
          </cell>
          <cell r="K4751" t="str">
            <v>defsi</v>
          </cell>
        </row>
        <row r="4752">
          <cell r="B4752" t="b">
            <v>1</v>
          </cell>
          <cell r="E4752" t="str">
            <v>Socorro</v>
          </cell>
          <cell r="H4752" t="str">
            <v>ecografias</v>
          </cell>
          <cell r="J4752" t="str">
            <v>bueno</v>
          </cell>
          <cell r="K4752" t="str">
            <v>defsi</v>
          </cell>
        </row>
        <row r="4753">
          <cell r="B4753" t="b">
            <v>1</v>
          </cell>
          <cell r="E4753" t="str">
            <v>Boquilla</v>
          </cell>
          <cell r="H4753" t="str">
            <v>consulta_externa</v>
          </cell>
          <cell r="J4753" t="str">
            <v>bueno</v>
          </cell>
          <cell r="K4753" t="str">
            <v>probsi</v>
          </cell>
        </row>
        <row r="4754">
          <cell r="B4754" t="b">
            <v>1</v>
          </cell>
          <cell r="E4754" t="str">
            <v>Boquilla</v>
          </cell>
          <cell r="H4754" t="str">
            <v>laboratorio</v>
          </cell>
          <cell r="J4754" t="str">
            <v>bueno</v>
          </cell>
          <cell r="K4754" t="str">
            <v>probsi</v>
          </cell>
        </row>
        <row r="4755">
          <cell r="B4755" t="b">
            <v>1</v>
          </cell>
          <cell r="E4755" t="str">
            <v>Bosque</v>
          </cell>
          <cell r="H4755" t="str">
            <v>consulta_externa</v>
          </cell>
          <cell r="J4755" t="str">
            <v>bueno</v>
          </cell>
          <cell r="K4755" t="str">
            <v>defsi</v>
          </cell>
        </row>
        <row r="4756">
          <cell r="B4756" t="b">
            <v>1</v>
          </cell>
          <cell r="E4756" t="str">
            <v>Boquilla</v>
          </cell>
          <cell r="H4756" t="str">
            <v>consulta_externa</v>
          </cell>
          <cell r="J4756" t="str">
            <v>bueno</v>
          </cell>
          <cell r="K4756" t="str">
            <v>probsi</v>
          </cell>
        </row>
        <row r="4757">
          <cell r="B4757" t="b">
            <v>1</v>
          </cell>
          <cell r="E4757" t="str">
            <v>Boquilla</v>
          </cell>
          <cell r="H4757" t="str">
            <v>salud_oral</v>
          </cell>
          <cell r="J4757" t="str">
            <v>bueno</v>
          </cell>
          <cell r="K4757" t="str">
            <v>probsi</v>
          </cell>
        </row>
        <row r="4758">
          <cell r="B4758" t="b">
            <v>1</v>
          </cell>
          <cell r="E4758" t="str">
            <v>Socorro</v>
          </cell>
          <cell r="H4758" t="str">
            <v>consulta_externa</v>
          </cell>
          <cell r="J4758" t="str">
            <v>bueno</v>
          </cell>
          <cell r="K4758" t="str">
            <v>defsi</v>
          </cell>
        </row>
        <row r="4759">
          <cell r="B4759" t="b">
            <v>1</v>
          </cell>
          <cell r="E4759" t="str">
            <v>Socorro</v>
          </cell>
          <cell r="H4759" t="str">
            <v>salud_oral</v>
          </cell>
          <cell r="J4759" t="str">
            <v>bueno</v>
          </cell>
          <cell r="K4759" t="str">
            <v>defsi</v>
          </cell>
        </row>
        <row r="4760">
          <cell r="B4760" t="b">
            <v>1</v>
          </cell>
          <cell r="E4760" t="str">
            <v>Socorro</v>
          </cell>
          <cell r="H4760" t="str">
            <v>laboratorio</v>
          </cell>
          <cell r="J4760" t="str">
            <v>bueno</v>
          </cell>
          <cell r="K4760" t="str">
            <v>defsi</v>
          </cell>
        </row>
        <row r="4761">
          <cell r="B4761" t="b">
            <v>1</v>
          </cell>
          <cell r="E4761" t="str">
            <v>Boquilla</v>
          </cell>
          <cell r="H4761" t="str">
            <v>consulta_externa</v>
          </cell>
          <cell r="J4761" t="str">
            <v>bueno</v>
          </cell>
          <cell r="K4761" t="str">
            <v>probsi</v>
          </cell>
        </row>
        <row r="4762">
          <cell r="B4762" t="b">
            <v>1</v>
          </cell>
          <cell r="E4762" t="str">
            <v>Boquilla</v>
          </cell>
          <cell r="H4762" t="str">
            <v>consulta_externa</v>
          </cell>
          <cell r="J4762" t="str">
            <v>bueno</v>
          </cell>
          <cell r="K4762" t="str">
            <v>probsi</v>
          </cell>
        </row>
        <row r="4763">
          <cell r="B4763" t="b">
            <v>1</v>
          </cell>
          <cell r="E4763" t="str">
            <v>Boquilla</v>
          </cell>
          <cell r="H4763" t="str">
            <v>laboratorio</v>
          </cell>
          <cell r="J4763" t="str">
            <v>bueno</v>
          </cell>
          <cell r="K4763" t="str">
            <v>probsi</v>
          </cell>
        </row>
        <row r="4764">
          <cell r="B4764" t="b">
            <v>1</v>
          </cell>
          <cell r="E4764" t="str">
            <v>Boquilla</v>
          </cell>
          <cell r="H4764" t="str">
            <v>consulta_externa</v>
          </cell>
          <cell r="J4764" t="str">
            <v>bueno</v>
          </cell>
          <cell r="K4764" t="str">
            <v>probsi</v>
          </cell>
        </row>
        <row r="4765">
          <cell r="B4765" t="b">
            <v>1</v>
          </cell>
          <cell r="E4765" t="str">
            <v>Boquilla</v>
          </cell>
          <cell r="H4765" t="str">
            <v>salud_oral</v>
          </cell>
          <cell r="J4765" t="str">
            <v>bueno</v>
          </cell>
          <cell r="K4765" t="str">
            <v>probsi</v>
          </cell>
        </row>
        <row r="4766">
          <cell r="B4766" t="b">
            <v>1</v>
          </cell>
          <cell r="E4766" t="str">
            <v>Boquilla</v>
          </cell>
          <cell r="H4766" t="str">
            <v>laboratorio</v>
          </cell>
          <cell r="J4766" t="str">
            <v>bueno</v>
          </cell>
          <cell r="K4766" t="str">
            <v>probsi</v>
          </cell>
        </row>
        <row r="4767">
          <cell r="B4767" t="b">
            <v>1</v>
          </cell>
          <cell r="E4767" t="str">
            <v>Boquilla</v>
          </cell>
          <cell r="H4767" t="str">
            <v>consulta_externa</v>
          </cell>
          <cell r="J4767" t="str">
            <v>bueno</v>
          </cell>
          <cell r="K4767" t="str">
            <v>probsi</v>
          </cell>
        </row>
        <row r="4768">
          <cell r="B4768" t="b">
            <v>1</v>
          </cell>
          <cell r="E4768" t="str">
            <v>Boquilla</v>
          </cell>
          <cell r="H4768" t="str">
            <v>salud_oral</v>
          </cell>
          <cell r="J4768" t="str">
            <v>bueno</v>
          </cell>
          <cell r="K4768" t="str">
            <v>probsi</v>
          </cell>
        </row>
        <row r="4769">
          <cell r="B4769" t="b">
            <v>1</v>
          </cell>
          <cell r="E4769" t="str">
            <v>Boquilla</v>
          </cell>
          <cell r="H4769" t="str">
            <v>consulta_externa</v>
          </cell>
          <cell r="J4769" t="str">
            <v>bueno</v>
          </cell>
          <cell r="K4769" t="str">
            <v>probsi</v>
          </cell>
        </row>
        <row r="4770">
          <cell r="B4770" t="b">
            <v>1</v>
          </cell>
          <cell r="E4770" t="str">
            <v>Boquilla</v>
          </cell>
          <cell r="H4770" t="str">
            <v>salud_oral</v>
          </cell>
          <cell r="J4770" t="str">
            <v>bueno</v>
          </cell>
          <cell r="K4770" t="str">
            <v>probsi</v>
          </cell>
        </row>
        <row r="4771">
          <cell r="B4771" t="b">
            <v>1</v>
          </cell>
          <cell r="E4771" t="str">
            <v>Boquilla</v>
          </cell>
          <cell r="H4771" t="str">
            <v>laboratorio</v>
          </cell>
          <cell r="J4771" t="str">
            <v>bueno</v>
          </cell>
          <cell r="K4771" t="str">
            <v>probsi</v>
          </cell>
        </row>
        <row r="4772">
          <cell r="B4772" t="b">
            <v>1</v>
          </cell>
          <cell r="E4772" t="str">
            <v>Boquilla</v>
          </cell>
          <cell r="H4772" t="str">
            <v>consulta_externa</v>
          </cell>
          <cell r="J4772" t="str">
            <v>bueno</v>
          </cell>
          <cell r="K4772" t="str">
            <v>probsi</v>
          </cell>
        </row>
        <row r="4773">
          <cell r="B4773" t="b">
            <v>1</v>
          </cell>
          <cell r="E4773" t="str">
            <v>Boquilla</v>
          </cell>
          <cell r="H4773" t="str">
            <v>salud_oral</v>
          </cell>
          <cell r="J4773" t="str">
            <v>bueno</v>
          </cell>
          <cell r="K4773" t="str">
            <v>probsi</v>
          </cell>
        </row>
        <row r="4774">
          <cell r="B4774" t="b">
            <v>1</v>
          </cell>
          <cell r="E4774" t="str">
            <v>Boquilla</v>
          </cell>
          <cell r="H4774" t="str">
            <v>laboratorio</v>
          </cell>
          <cell r="J4774" t="str">
            <v>bueno</v>
          </cell>
          <cell r="K4774" t="str">
            <v>probsi</v>
          </cell>
        </row>
        <row r="4775">
          <cell r="B4775" t="b">
            <v>0</v>
          </cell>
          <cell r="E4775" t="str">
            <v>Boquilla</v>
          </cell>
          <cell r="H4775" t="str">
            <v>salud_oral</v>
          </cell>
          <cell r="J4775" t="str">
            <v>regular</v>
          </cell>
          <cell r="K4775" t="str">
            <v>probsi</v>
          </cell>
        </row>
        <row r="4776">
          <cell r="B4776" t="b">
            <v>0</v>
          </cell>
          <cell r="E4776" t="str">
            <v>Boquilla</v>
          </cell>
          <cell r="H4776" t="str">
            <v>salud_oral</v>
          </cell>
          <cell r="J4776" t="str">
            <v>regular</v>
          </cell>
          <cell r="K4776" t="str">
            <v>probsi</v>
          </cell>
        </row>
        <row r="4777">
          <cell r="B4777" t="b">
            <v>1</v>
          </cell>
          <cell r="E4777" t="str">
            <v>Boquilla</v>
          </cell>
          <cell r="H4777" t="str">
            <v>salud_oral</v>
          </cell>
          <cell r="J4777" t="str">
            <v>bueno</v>
          </cell>
          <cell r="K4777" t="str">
            <v>probsi</v>
          </cell>
        </row>
        <row r="4778">
          <cell r="B4778" t="b">
            <v>0</v>
          </cell>
          <cell r="E4778" t="str">
            <v>Boquilla</v>
          </cell>
          <cell r="H4778" t="str">
            <v>laboratorio</v>
          </cell>
          <cell r="J4778" t="str">
            <v>regular</v>
          </cell>
          <cell r="K4778" t="str">
            <v>probsi</v>
          </cell>
        </row>
        <row r="4779">
          <cell r="B4779" t="b">
            <v>1</v>
          </cell>
          <cell r="E4779" t="str">
            <v>Boquilla</v>
          </cell>
          <cell r="H4779" t="str">
            <v>urgencia</v>
          </cell>
          <cell r="J4779" t="str">
            <v>bueno</v>
          </cell>
          <cell r="K4779" t="str">
            <v>probsi</v>
          </cell>
        </row>
        <row r="4780">
          <cell r="B4780" t="b">
            <v>1</v>
          </cell>
          <cell r="E4780" t="str">
            <v>Boquilla</v>
          </cell>
          <cell r="H4780" t="str">
            <v>urgencia</v>
          </cell>
          <cell r="J4780" t="str">
            <v>bueno</v>
          </cell>
          <cell r="K4780" t="str">
            <v>probsi</v>
          </cell>
        </row>
        <row r="4781">
          <cell r="B4781" t="b">
            <v>0</v>
          </cell>
          <cell r="E4781" t="str">
            <v>Boquilla</v>
          </cell>
          <cell r="H4781" t="str">
            <v>laboratorio</v>
          </cell>
          <cell r="J4781" t="str">
            <v>regular</v>
          </cell>
          <cell r="K4781" t="str">
            <v>probsi</v>
          </cell>
        </row>
        <row r="4782">
          <cell r="B4782" t="b">
            <v>1</v>
          </cell>
          <cell r="E4782" t="str">
            <v>Boquilla</v>
          </cell>
          <cell r="H4782" t="str">
            <v>urgencia</v>
          </cell>
          <cell r="J4782" t="str">
            <v>bueno</v>
          </cell>
          <cell r="K4782" t="str">
            <v>probsi</v>
          </cell>
        </row>
        <row r="4783">
          <cell r="B4783" t="b">
            <v>1</v>
          </cell>
          <cell r="E4783" t="str">
            <v>Boquilla</v>
          </cell>
          <cell r="H4783" t="str">
            <v>urgencia</v>
          </cell>
          <cell r="J4783" t="str">
            <v>bueno</v>
          </cell>
          <cell r="K4783" t="str">
            <v>probsi</v>
          </cell>
        </row>
        <row r="4784">
          <cell r="B4784" t="b">
            <v>0</v>
          </cell>
          <cell r="E4784" t="str">
            <v>Boquilla</v>
          </cell>
          <cell r="H4784" t="str">
            <v>laboratorio</v>
          </cell>
          <cell r="J4784" t="str">
            <v>malo</v>
          </cell>
          <cell r="K4784" t="str">
            <v>probno</v>
          </cell>
        </row>
        <row r="4785">
          <cell r="B4785" t="b">
            <v>1</v>
          </cell>
          <cell r="E4785" t="str">
            <v>Blasdelezo</v>
          </cell>
          <cell r="H4785" t="str">
            <v>urgencia</v>
          </cell>
          <cell r="J4785" t="str">
            <v>bueno</v>
          </cell>
          <cell r="K4785" t="str">
            <v>defsi</v>
          </cell>
        </row>
        <row r="4786">
          <cell r="B4786" t="b">
            <v>1</v>
          </cell>
          <cell r="E4786" t="str">
            <v>Blasdelezo</v>
          </cell>
          <cell r="H4786" t="str">
            <v>urgencia</v>
          </cell>
          <cell r="J4786" t="str">
            <v>bueno</v>
          </cell>
          <cell r="K4786" t="str">
            <v>defsi</v>
          </cell>
        </row>
        <row r="4787">
          <cell r="B4787" t="b">
            <v>1</v>
          </cell>
          <cell r="E4787" t="str">
            <v>Blasdelezo</v>
          </cell>
          <cell r="H4787" t="str">
            <v>laboratorio</v>
          </cell>
          <cell r="J4787" t="str">
            <v>bueno</v>
          </cell>
          <cell r="K4787" t="str">
            <v>defsi</v>
          </cell>
        </row>
        <row r="4788">
          <cell r="B4788" t="b">
            <v>1</v>
          </cell>
          <cell r="E4788" t="str">
            <v>Blasdelezo</v>
          </cell>
          <cell r="H4788" t="str">
            <v>urgencia</v>
          </cell>
          <cell r="J4788" t="str">
            <v>bueno</v>
          </cell>
          <cell r="K4788" t="str">
            <v>defsi</v>
          </cell>
        </row>
        <row r="4789">
          <cell r="B4789" t="b">
            <v>1</v>
          </cell>
          <cell r="E4789" t="str">
            <v>Blasdelezo</v>
          </cell>
          <cell r="H4789" t="str">
            <v>laboratorio</v>
          </cell>
          <cell r="J4789" t="str">
            <v>bueno</v>
          </cell>
          <cell r="K4789" t="str">
            <v>defsi</v>
          </cell>
        </row>
        <row r="4790">
          <cell r="B4790" t="b">
            <v>1</v>
          </cell>
          <cell r="E4790" t="str">
            <v>Blasdelezo</v>
          </cell>
          <cell r="H4790" t="str">
            <v>urgencia</v>
          </cell>
          <cell r="J4790" t="str">
            <v>muybueno</v>
          </cell>
          <cell r="K4790" t="str">
            <v>defsi</v>
          </cell>
        </row>
        <row r="4791">
          <cell r="B4791" t="b">
            <v>1</v>
          </cell>
          <cell r="E4791" t="str">
            <v>Ternera</v>
          </cell>
          <cell r="H4791" t="str">
            <v>consulta_externa</v>
          </cell>
          <cell r="J4791" t="str">
            <v>bueno</v>
          </cell>
          <cell r="K4791" t="str">
            <v>defsi</v>
          </cell>
        </row>
        <row r="4792">
          <cell r="B4792" t="b">
            <v>1</v>
          </cell>
          <cell r="E4792" t="str">
            <v>Ternera</v>
          </cell>
          <cell r="H4792" t="str">
            <v>salud_oral</v>
          </cell>
          <cell r="J4792" t="str">
            <v>bueno</v>
          </cell>
          <cell r="K4792" t="str">
            <v>defsi</v>
          </cell>
        </row>
        <row r="4793">
          <cell r="B4793" t="b">
            <v>1</v>
          </cell>
          <cell r="E4793" t="str">
            <v>Ternera</v>
          </cell>
          <cell r="H4793" t="str">
            <v>laboratorio</v>
          </cell>
          <cell r="J4793" t="str">
            <v>bueno</v>
          </cell>
          <cell r="K4793" t="str">
            <v>defsi</v>
          </cell>
        </row>
        <row r="4794">
          <cell r="B4794" t="b">
            <v>1</v>
          </cell>
          <cell r="E4794" t="str">
            <v>Ternera</v>
          </cell>
          <cell r="H4794" t="str">
            <v>consulta_externa</v>
          </cell>
          <cell r="J4794" t="str">
            <v>bueno</v>
          </cell>
          <cell r="K4794" t="str">
            <v>defsi</v>
          </cell>
        </row>
        <row r="4795">
          <cell r="B4795" t="b">
            <v>1</v>
          </cell>
          <cell r="E4795" t="str">
            <v>Blasdelezo</v>
          </cell>
          <cell r="H4795" t="str">
            <v>urgencia</v>
          </cell>
          <cell r="J4795" t="str">
            <v>bueno</v>
          </cell>
          <cell r="K4795" t="str">
            <v>defsi</v>
          </cell>
        </row>
        <row r="4796">
          <cell r="B4796" t="b">
            <v>1</v>
          </cell>
          <cell r="E4796" t="str">
            <v>Socorro</v>
          </cell>
          <cell r="H4796" t="str">
            <v>consulta_externa</v>
          </cell>
          <cell r="J4796" t="str">
            <v>bueno</v>
          </cell>
          <cell r="K4796" t="str">
            <v>defsi</v>
          </cell>
        </row>
        <row r="4797">
          <cell r="B4797" t="b">
            <v>1</v>
          </cell>
          <cell r="E4797" t="str">
            <v>Socorro</v>
          </cell>
          <cell r="H4797" t="str">
            <v>salud_oral</v>
          </cell>
          <cell r="J4797" t="str">
            <v>bueno</v>
          </cell>
          <cell r="K4797" t="str">
            <v>defsi</v>
          </cell>
        </row>
        <row r="4798">
          <cell r="B4798" t="b">
            <v>1</v>
          </cell>
          <cell r="E4798" t="str">
            <v>Socorro</v>
          </cell>
          <cell r="H4798" t="str">
            <v>laboratorio</v>
          </cell>
          <cell r="J4798" t="str">
            <v>bueno</v>
          </cell>
          <cell r="K4798" t="str">
            <v>defsi</v>
          </cell>
        </row>
        <row r="4799">
          <cell r="B4799" t="b">
            <v>1</v>
          </cell>
          <cell r="E4799" t="str">
            <v>Socorro</v>
          </cell>
          <cell r="H4799" t="str">
            <v>consulta_externa</v>
          </cell>
          <cell r="J4799" t="str">
            <v>bueno</v>
          </cell>
          <cell r="K4799" t="str">
            <v>defsi</v>
          </cell>
        </row>
        <row r="4800">
          <cell r="B4800" t="b">
            <v>1</v>
          </cell>
          <cell r="E4800" t="str">
            <v>Socorro</v>
          </cell>
          <cell r="H4800" t="str">
            <v>salud_oral</v>
          </cell>
          <cell r="J4800" t="str">
            <v>bueno</v>
          </cell>
          <cell r="K4800" t="str">
            <v>defsi</v>
          </cell>
        </row>
        <row r="4801">
          <cell r="B4801" t="b">
            <v>1</v>
          </cell>
          <cell r="E4801" t="str">
            <v>Socorro</v>
          </cell>
          <cell r="H4801" t="str">
            <v>laboratorio</v>
          </cell>
          <cell r="J4801" t="str">
            <v>bueno</v>
          </cell>
          <cell r="K4801" t="str">
            <v>defsi</v>
          </cell>
        </row>
        <row r="4802">
          <cell r="B4802" t="b">
            <v>1</v>
          </cell>
          <cell r="E4802" t="str">
            <v>Socorro</v>
          </cell>
          <cell r="H4802" t="str">
            <v>consulta_externa</v>
          </cell>
          <cell r="J4802" t="str">
            <v>bueno</v>
          </cell>
          <cell r="K4802" t="str">
            <v>defsi</v>
          </cell>
        </row>
        <row r="4803">
          <cell r="B4803" t="b">
            <v>1</v>
          </cell>
          <cell r="E4803" t="str">
            <v>Socorro</v>
          </cell>
          <cell r="H4803" t="str">
            <v>salud_oral</v>
          </cell>
          <cell r="J4803" t="str">
            <v>bueno</v>
          </cell>
          <cell r="K4803" t="str">
            <v>defsi</v>
          </cell>
        </row>
        <row r="4804">
          <cell r="B4804" t="b">
            <v>1</v>
          </cell>
          <cell r="E4804" t="str">
            <v>Socorro</v>
          </cell>
          <cell r="H4804" t="str">
            <v>laboratorio</v>
          </cell>
          <cell r="J4804" t="str">
            <v>bueno</v>
          </cell>
          <cell r="K4804" t="str">
            <v>defsi</v>
          </cell>
        </row>
        <row r="4805">
          <cell r="B4805" t="b">
            <v>1</v>
          </cell>
          <cell r="E4805" t="str">
            <v>Socorro</v>
          </cell>
          <cell r="H4805" t="str">
            <v>consulta_externa</v>
          </cell>
          <cell r="J4805" t="str">
            <v>bueno</v>
          </cell>
          <cell r="K4805" t="str">
            <v>defsi</v>
          </cell>
        </row>
        <row r="4806">
          <cell r="B4806" t="b">
            <v>1</v>
          </cell>
          <cell r="E4806" t="str">
            <v>Socorro</v>
          </cell>
          <cell r="H4806" t="str">
            <v>salud_oral</v>
          </cell>
          <cell r="J4806" t="str">
            <v>bueno</v>
          </cell>
          <cell r="K4806" t="str">
            <v>defsi</v>
          </cell>
        </row>
        <row r="4807">
          <cell r="B4807" t="b">
            <v>1</v>
          </cell>
          <cell r="E4807" t="str">
            <v>Socorro</v>
          </cell>
          <cell r="H4807" t="str">
            <v>laboratorio</v>
          </cell>
          <cell r="J4807" t="str">
            <v>bueno</v>
          </cell>
          <cell r="K4807" t="str">
            <v>defsi</v>
          </cell>
        </row>
        <row r="4808">
          <cell r="B4808" t="b">
            <v>1</v>
          </cell>
          <cell r="E4808" t="str">
            <v>Socorro</v>
          </cell>
          <cell r="H4808" t="str">
            <v>consulta_externa</v>
          </cell>
          <cell r="J4808" t="str">
            <v>bueno</v>
          </cell>
          <cell r="K4808" t="str">
            <v>defsi</v>
          </cell>
        </row>
        <row r="4809">
          <cell r="B4809" t="b">
            <v>1</v>
          </cell>
          <cell r="E4809" t="str">
            <v>Socorro</v>
          </cell>
          <cell r="H4809" t="str">
            <v>salud_oral</v>
          </cell>
          <cell r="J4809" t="str">
            <v>bueno</v>
          </cell>
          <cell r="K4809" t="str">
            <v>defsi</v>
          </cell>
        </row>
        <row r="4810">
          <cell r="B4810" t="b">
            <v>1</v>
          </cell>
          <cell r="E4810" t="str">
            <v>Socorro</v>
          </cell>
          <cell r="H4810" t="str">
            <v>laboratorio</v>
          </cell>
          <cell r="J4810" t="str">
            <v>bueno</v>
          </cell>
          <cell r="K4810" t="str">
            <v>defsi</v>
          </cell>
        </row>
        <row r="4811">
          <cell r="B4811" t="b">
            <v>1</v>
          </cell>
          <cell r="E4811" t="str">
            <v>Ternera</v>
          </cell>
          <cell r="H4811" t="str">
            <v>consulta_externa</v>
          </cell>
          <cell r="J4811" t="str">
            <v>bueno</v>
          </cell>
          <cell r="K4811" t="str">
            <v>defsi</v>
          </cell>
        </row>
        <row r="4812">
          <cell r="B4812" t="b">
            <v>1</v>
          </cell>
          <cell r="E4812" t="str">
            <v>Ternera</v>
          </cell>
          <cell r="H4812" t="str">
            <v>salud_oral</v>
          </cell>
          <cell r="J4812" t="str">
            <v>bueno</v>
          </cell>
          <cell r="K4812" t="str">
            <v>defsi</v>
          </cell>
        </row>
        <row r="4813">
          <cell r="B4813" t="b">
            <v>1</v>
          </cell>
          <cell r="E4813" t="str">
            <v>Ternera</v>
          </cell>
          <cell r="H4813" t="str">
            <v>laboratorio</v>
          </cell>
          <cell r="J4813" t="str">
            <v>bueno</v>
          </cell>
          <cell r="K4813" t="str">
            <v>defsi</v>
          </cell>
        </row>
        <row r="4814">
          <cell r="B4814" t="b">
            <v>1</v>
          </cell>
          <cell r="E4814" t="str">
            <v>Manzanillo</v>
          </cell>
          <cell r="H4814" t="str">
            <v>laboratorio</v>
          </cell>
          <cell r="J4814" t="str">
            <v>bueno</v>
          </cell>
          <cell r="K4814" t="str">
            <v>probsi</v>
          </cell>
        </row>
        <row r="4815">
          <cell r="B4815" t="b">
            <v>1</v>
          </cell>
          <cell r="E4815" t="str">
            <v>Manzanillo</v>
          </cell>
          <cell r="H4815" t="str">
            <v>laboratorio</v>
          </cell>
          <cell r="J4815" t="str">
            <v>bueno</v>
          </cell>
          <cell r="K4815" t="str">
            <v>probsi</v>
          </cell>
        </row>
        <row r="4816">
          <cell r="B4816" t="b">
            <v>0</v>
          </cell>
          <cell r="E4816" t="str">
            <v>Boquilla</v>
          </cell>
          <cell r="H4816" t="str">
            <v>urgencia</v>
          </cell>
          <cell r="J4816" t="str">
            <v>regular</v>
          </cell>
          <cell r="K4816" t="str">
            <v>probsi</v>
          </cell>
        </row>
        <row r="4817">
          <cell r="B4817" t="b">
            <v>1</v>
          </cell>
          <cell r="E4817" t="str">
            <v>Boquilla</v>
          </cell>
          <cell r="H4817" t="str">
            <v>urgencia</v>
          </cell>
          <cell r="J4817" t="str">
            <v>bueno</v>
          </cell>
          <cell r="K4817" t="str">
            <v>probsi</v>
          </cell>
        </row>
        <row r="4818">
          <cell r="B4818" t="b">
            <v>1</v>
          </cell>
          <cell r="E4818" t="str">
            <v>Boquilla</v>
          </cell>
          <cell r="H4818" t="str">
            <v>urgencia</v>
          </cell>
          <cell r="J4818" t="str">
            <v>bueno</v>
          </cell>
          <cell r="K4818" t="str">
            <v>probsi</v>
          </cell>
        </row>
        <row r="4819">
          <cell r="B4819" t="b">
            <v>1</v>
          </cell>
          <cell r="E4819" t="str">
            <v>Boquilla</v>
          </cell>
          <cell r="H4819" t="str">
            <v>urgencia</v>
          </cell>
          <cell r="J4819" t="str">
            <v>bueno</v>
          </cell>
          <cell r="K4819" t="str">
            <v>probsi</v>
          </cell>
        </row>
        <row r="4820">
          <cell r="B4820" t="b">
            <v>1</v>
          </cell>
          <cell r="E4820" t="str">
            <v>Boquilla</v>
          </cell>
          <cell r="H4820" t="str">
            <v>urgencia</v>
          </cell>
          <cell r="J4820" t="str">
            <v>bueno</v>
          </cell>
          <cell r="K4820" t="str">
            <v>probsi</v>
          </cell>
        </row>
        <row r="4821">
          <cell r="B4821" t="b">
            <v>1</v>
          </cell>
          <cell r="E4821" t="str">
            <v>Boquilla</v>
          </cell>
          <cell r="H4821" t="str">
            <v>salud_oral</v>
          </cell>
          <cell r="J4821" t="str">
            <v>bueno</v>
          </cell>
          <cell r="K4821" t="str">
            <v>probsi</v>
          </cell>
        </row>
        <row r="4822">
          <cell r="B4822" t="b">
            <v>1</v>
          </cell>
          <cell r="E4822" t="str">
            <v>Boquilla</v>
          </cell>
          <cell r="H4822" t="str">
            <v>salud_oral</v>
          </cell>
          <cell r="J4822" t="str">
            <v>bueno</v>
          </cell>
          <cell r="K4822" t="str">
            <v>probsi</v>
          </cell>
        </row>
        <row r="4823">
          <cell r="B4823" t="b">
            <v>1</v>
          </cell>
          <cell r="E4823" t="str">
            <v>Ternera</v>
          </cell>
          <cell r="H4823" t="str">
            <v>consulta_externa</v>
          </cell>
          <cell r="J4823" t="str">
            <v>bueno</v>
          </cell>
          <cell r="K4823" t="str">
            <v>defsi</v>
          </cell>
        </row>
        <row r="4824">
          <cell r="B4824" t="b">
            <v>1</v>
          </cell>
          <cell r="E4824" t="str">
            <v>Ternera</v>
          </cell>
          <cell r="H4824" t="str">
            <v>salud_oral</v>
          </cell>
          <cell r="J4824" t="str">
            <v>bueno</v>
          </cell>
          <cell r="K4824" t="str">
            <v>defsi</v>
          </cell>
        </row>
        <row r="4825">
          <cell r="B4825" t="b">
            <v>1</v>
          </cell>
          <cell r="E4825" t="str">
            <v>Ternera</v>
          </cell>
          <cell r="H4825" t="str">
            <v>laboratorio</v>
          </cell>
          <cell r="J4825" t="str">
            <v>bueno</v>
          </cell>
          <cell r="K4825" t="str">
            <v>defsi</v>
          </cell>
        </row>
        <row r="4826">
          <cell r="B4826" t="b">
            <v>1</v>
          </cell>
          <cell r="E4826" t="str">
            <v>Ternera</v>
          </cell>
          <cell r="H4826" t="str">
            <v>consulta_externa</v>
          </cell>
          <cell r="J4826" t="str">
            <v>bueno</v>
          </cell>
          <cell r="K4826" t="str">
            <v>defsi</v>
          </cell>
        </row>
        <row r="4827">
          <cell r="B4827" t="b">
            <v>1</v>
          </cell>
          <cell r="E4827" t="str">
            <v>Ternera</v>
          </cell>
          <cell r="H4827" t="str">
            <v>salud_oral</v>
          </cell>
          <cell r="J4827" t="str">
            <v>bueno</v>
          </cell>
          <cell r="K4827" t="str">
            <v>defsi</v>
          </cell>
        </row>
        <row r="4828">
          <cell r="B4828" t="b">
            <v>1</v>
          </cell>
          <cell r="E4828" t="str">
            <v>Ternera</v>
          </cell>
          <cell r="H4828" t="str">
            <v>laboratorio</v>
          </cell>
          <cell r="J4828" t="str">
            <v>bueno</v>
          </cell>
          <cell r="K4828" t="str">
            <v>defsi</v>
          </cell>
        </row>
        <row r="4829">
          <cell r="B4829" t="b">
            <v>1</v>
          </cell>
          <cell r="E4829" t="str">
            <v>Ternera</v>
          </cell>
          <cell r="H4829" t="str">
            <v>consulta_externa</v>
          </cell>
          <cell r="J4829" t="str">
            <v>bueno</v>
          </cell>
          <cell r="K4829" t="str">
            <v>defsi</v>
          </cell>
        </row>
        <row r="4830">
          <cell r="B4830" t="b">
            <v>1</v>
          </cell>
          <cell r="E4830" t="str">
            <v>Ternera</v>
          </cell>
          <cell r="H4830" t="str">
            <v>salud_oral</v>
          </cell>
          <cell r="J4830" t="str">
            <v>bueno</v>
          </cell>
          <cell r="K4830" t="str">
            <v>defsi</v>
          </cell>
        </row>
        <row r="4831">
          <cell r="B4831" t="b">
            <v>1</v>
          </cell>
          <cell r="E4831" t="str">
            <v>Ternera</v>
          </cell>
          <cell r="H4831" t="str">
            <v>laboratorio</v>
          </cell>
          <cell r="J4831" t="str">
            <v>bueno</v>
          </cell>
          <cell r="K4831" t="str">
            <v>defsi</v>
          </cell>
        </row>
        <row r="4832">
          <cell r="B4832" t="b">
            <v>1</v>
          </cell>
          <cell r="E4832" t="str">
            <v>Ternera</v>
          </cell>
          <cell r="H4832" t="str">
            <v>consulta_externa</v>
          </cell>
          <cell r="J4832" t="str">
            <v>bueno</v>
          </cell>
          <cell r="K4832" t="str">
            <v>defsi</v>
          </cell>
        </row>
        <row r="4833">
          <cell r="B4833" t="b">
            <v>1</v>
          </cell>
          <cell r="E4833" t="str">
            <v>Ternera</v>
          </cell>
          <cell r="H4833" t="str">
            <v>laboratorio</v>
          </cell>
          <cell r="J4833" t="str">
            <v>bueno</v>
          </cell>
          <cell r="K4833" t="str">
            <v>defsi</v>
          </cell>
        </row>
        <row r="4834">
          <cell r="B4834" t="b">
            <v>0</v>
          </cell>
          <cell r="E4834" t="str">
            <v>Blasdelezo</v>
          </cell>
          <cell r="H4834" t="str">
            <v>consulta_externa</v>
          </cell>
          <cell r="J4834" t="str">
            <v>regular</v>
          </cell>
          <cell r="K4834" t="str">
            <v>defsi</v>
          </cell>
        </row>
        <row r="4835">
          <cell r="B4835" t="b">
            <v>0</v>
          </cell>
          <cell r="E4835" t="str">
            <v>Blasdelezo</v>
          </cell>
          <cell r="H4835" t="str">
            <v>laboratorio</v>
          </cell>
          <cell r="J4835" t="str">
            <v>regular</v>
          </cell>
          <cell r="K4835" t="str">
            <v>defsi</v>
          </cell>
        </row>
        <row r="4836">
          <cell r="B4836" t="b">
            <v>0</v>
          </cell>
          <cell r="E4836" t="str">
            <v>Blasdelezo</v>
          </cell>
          <cell r="H4836" t="str">
            <v>laboratorio</v>
          </cell>
          <cell r="J4836" t="str">
            <v>regular</v>
          </cell>
          <cell r="K4836" t="str">
            <v>defsi</v>
          </cell>
        </row>
        <row r="4837">
          <cell r="B4837" t="b">
            <v>1</v>
          </cell>
          <cell r="E4837" t="str">
            <v>Blasdelezo</v>
          </cell>
          <cell r="H4837" t="str">
            <v>medicina_interna</v>
          </cell>
          <cell r="J4837" t="str">
            <v>bueno</v>
          </cell>
          <cell r="K4837" t="str">
            <v>defsi</v>
          </cell>
        </row>
        <row r="4838">
          <cell r="B4838" t="b">
            <v>1</v>
          </cell>
          <cell r="E4838" t="str">
            <v>Blasdelezo</v>
          </cell>
          <cell r="H4838" t="str">
            <v>medicina_interna</v>
          </cell>
          <cell r="J4838" t="str">
            <v>bueno</v>
          </cell>
          <cell r="K4838" t="str">
            <v>defsi</v>
          </cell>
        </row>
        <row r="4839">
          <cell r="B4839" t="b">
            <v>1</v>
          </cell>
          <cell r="E4839" t="str">
            <v>Blasdelezo</v>
          </cell>
          <cell r="H4839" t="str">
            <v>medicina_interna</v>
          </cell>
          <cell r="J4839" t="str">
            <v>muybueno</v>
          </cell>
          <cell r="K4839" t="str">
            <v>defsi</v>
          </cell>
        </row>
        <row r="4840">
          <cell r="B4840" t="b">
            <v>1</v>
          </cell>
          <cell r="E4840" t="str">
            <v>Blasdelezo</v>
          </cell>
          <cell r="H4840" t="str">
            <v>salud_oral</v>
          </cell>
          <cell r="J4840" t="str">
            <v>bueno</v>
          </cell>
          <cell r="K4840" t="str">
            <v>defsi</v>
          </cell>
        </row>
        <row r="4841">
          <cell r="B4841" t="b">
            <v>1</v>
          </cell>
          <cell r="E4841" t="str">
            <v>Blasdelezo</v>
          </cell>
          <cell r="H4841" t="str">
            <v>consulta_externa</v>
          </cell>
          <cell r="J4841" t="str">
            <v>bueno</v>
          </cell>
          <cell r="K4841" t="str">
            <v>defsi</v>
          </cell>
        </row>
        <row r="4842">
          <cell r="B4842" t="b">
            <v>0</v>
          </cell>
          <cell r="E4842" t="str">
            <v>Blasdelezo</v>
          </cell>
          <cell r="H4842" t="str">
            <v>consulta_externa</v>
          </cell>
          <cell r="J4842" t="str">
            <v>regular</v>
          </cell>
          <cell r="K4842" t="str">
            <v>defsi</v>
          </cell>
        </row>
        <row r="4843">
          <cell r="B4843" t="b">
            <v>1</v>
          </cell>
          <cell r="E4843" t="str">
            <v>Blasdelezo</v>
          </cell>
          <cell r="H4843" t="str">
            <v>salud_oral</v>
          </cell>
          <cell r="J4843" t="str">
            <v>bueno</v>
          </cell>
          <cell r="K4843" t="str">
            <v>defsi</v>
          </cell>
        </row>
        <row r="4844">
          <cell r="B4844" t="b">
            <v>1</v>
          </cell>
          <cell r="E4844" t="str">
            <v>Blasdelezo</v>
          </cell>
          <cell r="H4844" t="str">
            <v>salud_oral</v>
          </cell>
          <cell r="J4844" t="str">
            <v>muybueno</v>
          </cell>
          <cell r="K4844" t="str">
            <v>defsi</v>
          </cell>
        </row>
        <row r="4845">
          <cell r="B4845" t="b">
            <v>1</v>
          </cell>
          <cell r="E4845" t="str">
            <v>Ternera</v>
          </cell>
          <cell r="H4845" t="str">
            <v>consulta_externa</v>
          </cell>
          <cell r="J4845" t="str">
            <v>bueno</v>
          </cell>
          <cell r="K4845" t="str">
            <v>defsi</v>
          </cell>
        </row>
        <row r="4846">
          <cell r="B4846" t="b">
            <v>1</v>
          </cell>
          <cell r="E4846" t="str">
            <v>Ternera</v>
          </cell>
          <cell r="H4846" t="str">
            <v>salud_oral</v>
          </cell>
          <cell r="J4846" t="str">
            <v>bueno</v>
          </cell>
          <cell r="K4846" t="str">
            <v>defsi</v>
          </cell>
        </row>
        <row r="4847">
          <cell r="B4847" t="b">
            <v>1</v>
          </cell>
          <cell r="E4847" t="str">
            <v>Ternera</v>
          </cell>
          <cell r="H4847" t="str">
            <v>laboratorio</v>
          </cell>
          <cell r="J4847" t="str">
            <v>bueno</v>
          </cell>
          <cell r="K4847" t="str">
            <v>defsi</v>
          </cell>
        </row>
        <row r="4848">
          <cell r="B4848" t="b">
            <v>1</v>
          </cell>
          <cell r="E4848" t="str">
            <v>Ternera</v>
          </cell>
          <cell r="H4848" t="str">
            <v>consulta_externa</v>
          </cell>
          <cell r="J4848" t="str">
            <v>bueno</v>
          </cell>
          <cell r="K4848" t="str">
            <v>defsi</v>
          </cell>
        </row>
        <row r="4849">
          <cell r="B4849" t="b">
            <v>1</v>
          </cell>
          <cell r="E4849" t="str">
            <v>Ternera</v>
          </cell>
          <cell r="H4849" t="str">
            <v>consulta_externa</v>
          </cell>
          <cell r="J4849" t="str">
            <v>bueno</v>
          </cell>
          <cell r="K4849" t="str">
            <v>defsi</v>
          </cell>
        </row>
        <row r="4850">
          <cell r="B4850" t="b">
            <v>1</v>
          </cell>
          <cell r="E4850" t="str">
            <v>Ternera</v>
          </cell>
          <cell r="H4850" t="str">
            <v>salud_oral</v>
          </cell>
          <cell r="J4850" t="str">
            <v>bueno</v>
          </cell>
          <cell r="K4850" t="str">
            <v>defsi</v>
          </cell>
        </row>
        <row r="4851">
          <cell r="B4851" t="b">
            <v>1</v>
          </cell>
          <cell r="E4851" t="str">
            <v>Ternera</v>
          </cell>
          <cell r="H4851" t="str">
            <v>laboratorio</v>
          </cell>
          <cell r="J4851" t="str">
            <v>bueno</v>
          </cell>
          <cell r="K4851" t="str">
            <v>defsi</v>
          </cell>
        </row>
        <row r="4852">
          <cell r="B4852" t="b">
            <v>1</v>
          </cell>
          <cell r="E4852" t="str">
            <v>Ternera</v>
          </cell>
          <cell r="H4852" t="str">
            <v>consulta_externa</v>
          </cell>
          <cell r="J4852" t="str">
            <v>bueno</v>
          </cell>
          <cell r="K4852" t="str">
            <v>defsi</v>
          </cell>
        </row>
        <row r="4853">
          <cell r="B4853" t="b">
            <v>1</v>
          </cell>
          <cell r="E4853" t="str">
            <v>Ternera</v>
          </cell>
          <cell r="H4853" t="str">
            <v>salud_oral</v>
          </cell>
          <cell r="J4853" t="str">
            <v>bueno</v>
          </cell>
          <cell r="K4853" t="str">
            <v>defsi</v>
          </cell>
        </row>
        <row r="4854">
          <cell r="B4854" t="b">
            <v>1</v>
          </cell>
          <cell r="E4854" t="str">
            <v>Ternera</v>
          </cell>
          <cell r="H4854" t="str">
            <v>laboratorio</v>
          </cell>
          <cell r="J4854" t="str">
            <v>bueno</v>
          </cell>
          <cell r="K4854" t="str">
            <v>defsi</v>
          </cell>
        </row>
        <row r="4855">
          <cell r="B4855" t="b">
            <v>1</v>
          </cell>
          <cell r="E4855" t="str">
            <v>Ternera</v>
          </cell>
          <cell r="H4855" t="str">
            <v>consulta_externa</v>
          </cell>
          <cell r="J4855" t="str">
            <v>bueno</v>
          </cell>
          <cell r="K4855" t="str">
            <v>defsi</v>
          </cell>
        </row>
        <row r="4856">
          <cell r="B4856" t="b">
            <v>1</v>
          </cell>
          <cell r="E4856" t="str">
            <v>Ternera</v>
          </cell>
          <cell r="H4856" t="str">
            <v>salud_oral</v>
          </cell>
          <cell r="J4856" t="str">
            <v>bueno</v>
          </cell>
          <cell r="K4856" t="str">
            <v>defsi</v>
          </cell>
        </row>
        <row r="4857">
          <cell r="B4857" t="b">
            <v>1</v>
          </cell>
          <cell r="E4857" t="str">
            <v>Ternera</v>
          </cell>
          <cell r="H4857" t="str">
            <v>laboratorio</v>
          </cell>
          <cell r="J4857" t="str">
            <v>bueno</v>
          </cell>
          <cell r="K4857" t="str">
            <v>defsi</v>
          </cell>
        </row>
        <row r="4858">
          <cell r="B4858" t="b">
            <v>1</v>
          </cell>
          <cell r="E4858" t="str">
            <v>Ternera</v>
          </cell>
          <cell r="H4858" t="str">
            <v>consulta_externa</v>
          </cell>
          <cell r="J4858" t="str">
            <v>bueno</v>
          </cell>
          <cell r="K4858" t="str">
            <v>defsi</v>
          </cell>
        </row>
        <row r="4859">
          <cell r="B4859" t="b">
            <v>1</v>
          </cell>
          <cell r="E4859" t="str">
            <v>Ternera</v>
          </cell>
          <cell r="H4859" t="str">
            <v>salud_oral</v>
          </cell>
          <cell r="J4859" t="str">
            <v>bueno</v>
          </cell>
          <cell r="K4859" t="str">
            <v>defsi</v>
          </cell>
        </row>
        <row r="4860">
          <cell r="B4860" t="b">
            <v>1</v>
          </cell>
          <cell r="E4860" t="str">
            <v>Ternera</v>
          </cell>
          <cell r="H4860" t="str">
            <v>laboratorio</v>
          </cell>
          <cell r="J4860" t="str">
            <v>bueno</v>
          </cell>
          <cell r="K4860" t="str">
            <v>defsi</v>
          </cell>
        </row>
        <row r="4861">
          <cell r="B4861" t="b">
            <v>1</v>
          </cell>
          <cell r="E4861" t="str">
            <v>Ternera</v>
          </cell>
          <cell r="H4861" t="str">
            <v>consulta_externa</v>
          </cell>
          <cell r="J4861" t="str">
            <v>bueno</v>
          </cell>
          <cell r="K4861" t="str">
            <v>defsi</v>
          </cell>
        </row>
        <row r="4862">
          <cell r="B4862" t="b">
            <v>1</v>
          </cell>
          <cell r="E4862" t="str">
            <v>Ternera</v>
          </cell>
          <cell r="H4862" t="str">
            <v>salud_oral</v>
          </cell>
          <cell r="J4862" t="str">
            <v>bueno</v>
          </cell>
          <cell r="K4862" t="str">
            <v>defsi</v>
          </cell>
        </row>
        <row r="4863">
          <cell r="B4863" t="b">
            <v>1</v>
          </cell>
          <cell r="E4863" t="str">
            <v>Isla Fuerte</v>
          </cell>
          <cell r="H4863" t="str">
            <v>consulta_externa</v>
          </cell>
          <cell r="J4863" t="str">
            <v>bueno</v>
          </cell>
          <cell r="K4863" t="str">
            <v>defsi</v>
          </cell>
        </row>
        <row r="4864">
          <cell r="B4864" t="b">
            <v>1</v>
          </cell>
          <cell r="E4864" t="str">
            <v>Isla Fuerte</v>
          </cell>
          <cell r="H4864" t="str">
            <v>salud_oral</v>
          </cell>
          <cell r="J4864" t="str">
            <v>bueno</v>
          </cell>
          <cell r="K4864" t="str">
            <v>defsi</v>
          </cell>
        </row>
        <row r="4865">
          <cell r="B4865" t="b">
            <v>1</v>
          </cell>
          <cell r="E4865" t="str">
            <v>Isla Fuerte</v>
          </cell>
          <cell r="H4865" t="str">
            <v>laboratorio</v>
          </cell>
          <cell r="J4865" t="str">
            <v>bueno</v>
          </cell>
          <cell r="K4865" t="str">
            <v>defsi</v>
          </cell>
        </row>
        <row r="4866">
          <cell r="B4866" t="b">
            <v>1</v>
          </cell>
          <cell r="E4866" t="str">
            <v>Isla Fuerte</v>
          </cell>
          <cell r="H4866" t="str">
            <v>consulta_externa</v>
          </cell>
          <cell r="J4866" t="str">
            <v>bueno</v>
          </cell>
          <cell r="K4866" t="str">
            <v>defsi</v>
          </cell>
        </row>
        <row r="4867">
          <cell r="B4867" t="b">
            <v>1</v>
          </cell>
          <cell r="E4867" t="str">
            <v>Isla Fuerte</v>
          </cell>
          <cell r="H4867" t="str">
            <v>salud_oral</v>
          </cell>
          <cell r="J4867" t="str">
            <v>bueno</v>
          </cell>
          <cell r="K4867" t="str">
            <v>defsi</v>
          </cell>
        </row>
        <row r="4868">
          <cell r="B4868" t="b">
            <v>1</v>
          </cell>
          <cell r="E4868" t="str">
            <v>Isla Fuerte</v>
          </cell>
          <cell r="H4868" t="str">
            <v>laboratorio</v>
          </cell>
          <cell r="J4868" t="str">
            <v>bueno</v>
          </cell>
          <cell r="K4868" t="str">
            <v>defsi</v>
          </cell>
        </row>
        <row r="4869">
          <cell r="B4869" t="b">
            <v>1</v>
          </cell>
          <cell r="E4869" t="str">
            <v>Isla Fuerte</v>
          </cell>
          <cell r="H4869" t="str">
            <v>laboratorio</v>
          </cell>
          <cell r="J4869" t="str">
            <v>bueno</v>
          </cell>
          <cell r="K4869" t="str">
            <v>defsi</v>
          </cell>
        </row>
        <row r="4870">
          <cell r="B4870" t="b">
            <v>1</v>
          </cell>
          <cell r="E4870" t="str">
            <v>Isla Fuerte</v>
          </cell>
          <cell r="H4870" t="str">
            <v>consulta_externa</v>
          </cell>
          <cell r="J4870" t="str">
            <v>bueno</v>
          </cell>
          <cell r="K4870" t="str">
            <v>defsi</v>
          </cell>
        </row>
        <row r="4871">
          <cell r="B4871" t="b">
            <v>1</v>
          </cell>
          <cell r="E4871" t="str">
            <v>Isla Fuerte</v>
          </cell>
          <cell r="H4871" t="str">
            <v>salud_oral</v>
          </cell>
          <cell r="J4871" t="str">
            <v>bueno</v>
          </cell>
          <cell r="K4871" t="str">
            <v>defsi</v>
          </cell>
        </row>
        <row r="4872">
          <cell r="B4872" t="b">
            <v>1</v>
          </cell>
          <cell r="E4872" t="str">
            <v>Isla Fuerte</v>
          </cell>
          <cell r="H4872" t="str">
            <v>laboratorio</v>
          </cell>
          <cell r="J4872" t="str">
            <v>bueno</v>
          </cell>
          <cell r="K4872" t="str">
            <v>defsi</v>
          </cell>
        </row>
        <row r="4873">
          <cell r="B4873" t="b">
            <v>1</v>
          </cell>
          <cell r="E4873" t="str">
            <v>Isla Fuerte</v>
          </cell>
          <cell r="H4873" t="str">
            <v>consulta_externa</v>
          </cell>
          <cell r="J4873" t="str">
            <v>bueno</v>
          </cell>
          <cell r="K4873" t="str">
            <v>defsi</v>
          </cell>
        </row>
        <row r="4874">
          <cell r="B4874" t="b">
            <v>1</v>
          </cell>
          <cell r="E4874" t="str">
            <v>Isla Fuerte</v>
          </cell>
          <cell r="H4874" t="str">
            <v>salud_oral</v>
          </cell>
          <cell r="J4874" t="str">
            <v>bueno</v>
          </cell>
          <cell r="K4874" t="str">
            <v>defsi</v>
          </cell>
        </row>
        <row r="4875">
          <cell r="B4875" t="b">
            <v>1</v>
          </cell>
          <cell r="E4875" t="str">
            <v>Isla Fuerte</v>
          </cell>
          <cell r="H4875" t="str">
            <v>laboratorio</v>
          </cell>
          <cell r="J4875" t="str">
            <v>bueno</v>
          </cell>
          <cell r="K4875" t="str">
            <v>defsi</v>
          </cell>
        </row>
        <row r="4876">
          <cell r="B4876" t="b">
            <v>0</v>
          </cell>
          <cell r="E4876" t="str">
            <v>Blasdelezo</v>
          </cell>
          <cell r="H4876" t="str">
            <v>consulta_externa</v>
          </cell>
          <cell r="J4876" t="str">
            <v>regular</v>
          </cell>
          <cell r="K4876" t="str">
            <v>defsi</v>
          </cell>
        </row>
        <row r="4877">
          <cell r="B4877" t="b">
            <v>1</v>
          </cell>
          <cell r="E4877" t="str">
            <v>Blasdelezo</v>
          </cell>
          <cell r="H4877" t="str">
            <v>consulta_externa</v>
          </cell>
          <cell r="J4877" t="str">
            <v>bueno</v>
          </cell>
          <cell r="K4877" t="str">
            <v>defsi</v>
          </cell>
        </row>
        <row r="4878">
          <cell r="B4878" t="b">
            <v>1</v>
          </cell>
          <cell r="E4878" t="str">
            <v>Isla Fuerte</v>
          </cell>
          <cell r="H4878" t="str">
            <v>consulta_externa</v>
          </cell>
          <cell r="J4878" t="str">
            <v>bueno</v>
          </cell>
          <cell r="K4878" t="str">
            <v>defsi</v>
          </cell>
        </row>
        <row r="4879">
          <cell r="B4879" t="b">
            <v>1</v>
          </cell>
          <cell r="E4879" t="str">
            <v>Blasdelezo</v>
          </cell>
          <cell r="H4879" t="str">
            <v>medicina_interna</v>
          </cell>
          <cell r="J4879" t="str">
            <v>bueno</v>
          </cell>
          <cell r="K4879" t="str">
            <v>defsi</v>
          </cell>
        </row>
        <row r="4880">
          <cell r="B4880" t="b">
            <v>1</v>
          </cell>
          <cell r="E4880" t="str">
            <v>Blasdelezo</v>
          </cell>
          <cell r="H4880" t="str">
            <v>salud_oral</v>
          </cell>
          <cell r="J4880" t="str">
            <v>bueno</v>
          </cell>
          <cell r="K4880" t="str">
            <v>defsi</v>
          </cell>
        </row>
        <row r="4881">
          <cell r="B4881" t="b">
            <v>1</v>
          </cell>
          <cell r="E4881" t="str">
            <v>Isla Fuerte</v>
          </cell>
          <cell r="H4881" t="str">
            <v>salud_oral</v>
          </cell>
          <cell r="J4881" t="str">
            <v>bueno</v>
          </cell>
          <cell r="K4881" t="str">
            <v>defsi</v>
          </cell>
        </row>
        <row r="4882">
          <cell r="B4882" t="b">
            <v>1</v>
          </cell>
          <cell r="E4882" t="str">
            <v>Blasdelezo</v>
          </cell>
          <cell r="H4882" t="str">
            <v>salud_oral</v>
          </cell>
          <cell r="J4882" t="str">
            <v>bueno</v>
          </cell>
          <cell r="K4882" t="str">
            <v>defsi</v>
          </cell>
        </row>
        <row r="4883">
          <cell r="B4883" t="b">
            <v>1</v>
          </cell>
          <cell r="E4883" t="str">
            <v>Isla Fuerte</v>
          </cell>
          <cell r="H4883" t="str">
            <v>laboratorio</v>
          </cell>
          <cell r="J4883" t="str">
            <v>bueno</v>
          </cell>
          <cell r="K4883" t="str">
            <v>defsi</v>
          </cell>
        </row>
        <row r="4884">
          <cell r="B4884" t="b">
            <v>1</v>
          </cell>
          <cell r="E4884" t="str">
            <v>Boquilla</v>
          </cell>
          <cell r="H4884" t="str">
            <v>laboratorio</v>
          </cell>
          <cell r="J4884" t="str">
            <v>bueno</v>
          </cell>
          <cell r="K4884" t="str">
            <v>probsi</v>
          </cell>
        </row>
        <row r="4885">
          <cell r="B4885" t="b">
            <v>1</v>
          </cell>
          <cell r="E4885" t="str">
            <v>Boquilla</v>
          </cell>
          <cell r="H4885" t="str">
            <v>urgencia</v>
          </cell>
          <cell r="J4885" t="str">
            <v>bueno</v>
          </cell>
          <cell r="K4885" t="str">
            <v>probsi</v>
          </cell>
        </row>
        <row r="4886">
          <cell r="B4886" t="b">
            <v>1</v>
          </cell>
          <cell r="E4886" t="str">
            <v>Boquilla</v>
          </cell>
          <cell r="H4886" t="str">
            <v>urgencia</v>
          </cell>
          <cell r="J4886" t="str">
            <v>bueno</v>
          </cell>
          <cell r="K4886" t="str">
            <v>probsi</v>
          </cell>
        </row>
        <row r="4887">
          <cell r="B4887" t="b">
            <v>0</v>
          </cell>
          <cell r="E4887" t="str">
            <v>Boquilla</v>
          </cell>
          <cell r="H4887" t="str">
            <v>urgencia</v>
          </cell>
          <cell r="J4887" t="str">
            <v>regular</v>
          </cell>
          <cell r="K4887" t="str">
            <v>probsi</v>
          </cell>
        </row>
        <row r="4888">
          <cell r="B4888" t="b">
            <v>0</v>
          </cell>
          <cell r="E4888" t="str">
            <v>Boquilla</v>
          </cell>
          <cell r="H4888" t="str">
            <v>urgencia</v>
          </cell>
          <cell r="J4888" t="str">
            <v>regular</v>
          </cell>
          <cell r="K4888" t="str">
            <v>probsi</v>
          </cell>
        </row>
        <row r="4889">
          <cell r="B4889" t="b">
            <v>1</v>
          </cell>
          <cell r="E4889" t="str">
            <v>Boquilla</v>
          </cell>
          <cell r="H4889" t="str">
            <v>salud_oral</v>
          </cell>
          <cell r="J4889" t="str">
            <v>bueno</v>
          </cell>
          <cell r="K4889" t="str">
            <v>probsi</v>
          </cell>
        </row>
        <row r="4890">
          <cell r="B4890" t="b">
            <v>1</v>
          </cell>
          <cell r="E4890" t="str">
            <v>Islote de San Bernardo</v>
          </cell>
          <cell r="H4890" t="str">
            <v>consulta_externa</v>
          </cell>
          <cell r="J4890" t="str">
            <v>bueno</v>
          </cell>
          <cell r="K4890" t="str">
            <v>probsi</v>
          </cell>
        </row>
        <row r="4891">
          <cell r="B4891" t="b">
            <v>1</v>
          </cell>
          <cell r="E4891" t="str">
            <v>Islote de San Bernardo</v>
          </cell>
          <cell r="H4891" t="str">
            <v>consulta_externa</v>
          </cell>
          <cell r="J4891" t="str">
            <v>bueno</v>
          </cell>
          <cell r="K4891" t="str">
            <v>probsi</v>
          </cell>
        </row>
        <row r="4892">
          <cell r="B4892" t="b">
            <v>1</v>
          </cell>
          <cell r="E4892" t="str">
            <v>Islote de San Bernardo</v>
          </cell>
          <cell r="H4892" t="str">
            <v>consulta_externa</v>
          </cell>
          <cell r="J4892" t="str">
            <v>bueno</v>
          </cell>
          <cell r="K4892" t="str">
            <v>probsi</v>
          </cell>
        </row>
        <row r="4893">
          <cell r="B4893" t="b">
            <v>1</v>
          </cell>
          <cell r="E4893" t="str">
            <v>Islote de San Bernardo</v>
          </cell>
          <cell r="H4893" t="str">
            <v>consulta_externa</v>
          </cell>
          <cell r="J4893" t="str">
            <v>bueno</v>
          </cell>
          <cell r="K4893" t="str">
            <v>probsi</v>
          </cell>
        </row>
        <row r="4894">
          <cell r="B4894" t="b">
            <v>1</v>
          </cell>
          <cell r="E4894" t="str">
            <v>Islote de San Bernardo</v>
          </cell>
          <cell r="H4894" t="str">
            <v>consulta_externa</v>
          </cell>
          <cell r="J4894" t="str">
            <v>bueno</v>
          </cell>
          <cell r="K4894" t="str">
            <v>probsi</v>
          </cell>
        </row>
        <row r="4895">
          <cell r="B4895" t="b">
            <v>1</v>
          </cell>
          <cell r="E4895" t="str">
            <v>Islote de San Bernardo</v>
          </cell>
          <cell r="H4895" t="str">
            <v>consulta_externa</v>
          </cell>
          <cell r="J4895" t="str">
            <v>bueno</v>
          </cell>
          <cell r="K4895" t="str">
            <v>probsi</v>
          </cell>
        </row>
        <row r="4896">
          <cell r="B4896" t="b">
            <v>1</v>
          </cell>
          <cell r="E4896" t="str">
            <v>Islote de San Bernardo</v>
          </cell>
          <cell r="H4896" t="str">
            <v>laboratorio</v>
          </cell>
          <cell r="J4896" t="str">
            <v>bueno</v>
          </cell>
          <cell r="K4896" t="str">
            <v>probsi</v>
          </cell>
        </row>
        <row r="4897">
          <cell r="B4897" t="b">
            <v>1</v>
          </cell>
          <cell r="E4897" t="str">
            <v>Islote de San Bernardo</v>
          </cell>
          <cell r="H4897" t="str">
            <v>laboratorio</v>
          </cell>
          <cell r="J4897" t="str">
            <v>bueno</v>
          </cell>
          <cell r="K4897" t="str">
            <v>probsi</v>
          </cell>
        </row>
        <row r="4898">
          <cell r="B4898" t="b">
            <v>0</v>
          </cell>
          <cell r="E4898" t="str">
            <v>Islote de San Bernardo</v>
          </cell>
          <cell r="H4898" t="str">
            <v>laboratorio</v>
          </cell>
          <cell r="J4898" t="str">
            <v>regular</v>
          </cell>
          <cell r="K4898" t="str">
            <v>probsi</v>
          </cell>
        </row>
        <row r="4899">
          <cell r="B4899" t="b">
            <v>0</v>
          </cell>
          <cell r="E4899" t="str">
            <v>Islote de San Bernardo</v>
          </cell>
          <cell r="H4899" t="str">
            <v>laboratorio</v>
          </cell>
          <cell r="J4899" t="str">
            <v>regular</v>
          </cell>
          <cell r="K4899" t="str">
            <v>probsi</v>
          </cell>
        </row>
        <row r="4900">
          <cell r="B4900" t="b">
            <v>1</v>
          </cell>
          <cell r="E4900" t="str">
            <v>Nuevo Porvenir</v>
          </cell>
          <cell r="H4900" t="str">
            <v>consulta_externa</v>
          </cell>
          <cell r="J4900" t="str">
            <v>bueno</v>
          </cell>
          <cell r="K4900" t="str">
            <v>probsi</v>
          </cell>
        </row>
        <row r="4901">
          <cell r="B4901" t="b">
            <v>1</v>
          </cell>
          <cell r="E4901" t="str">
            <v>Nuevo Porvenir</v>
          </cell>
          <cell r="H4901" t="str">
            <v>consulta_externa</v>
          </cell>
          <cell r="J4901" t="str">
            <v>bueno</v>
          </cell>
          <cell r="K4901" t="str">
            <v>probsi</v>
          </cell>
        </row>
        <row r="4902">
          <cell r="B4902" t="b">
            <v>1</v>
          </cell>
          <cell r="E4902" t="str">
            <v>Nuevo Porvenir</v>
          </cell>
          <cell r="H4902" t="str">
            <v>consulta_externa</v>
          </cell>
          <cell r="J4902" t="str">
            <v>bueno</v>
          </cell>
          <cell r="K4902" t="str">
            <v>probsi</v>
          </cell>
        </row>
        <row r="4903">
          <cell r="B4903" t="b">
            <v>1</v>
          </cell>
          <cell r="E4903" t="str">
            <v>Nuevo Porvenir</v>
          </cell>
          <cell r="H4903" t="str">
            <v>consulta_externa</v>
          </cell>
          <cell r="J4903" t="str">
            <v>bueno</v>
          </cell>
          <cell r="K4903" t="str">
            <v>probsi</v>
          </cell>
        </row>
        <row r="4904">
          <cell r="B4904" t="b">
            <v>1</v>
          </cell>
          <cell r="E4904" t="str">
            <v>Nuevo Porvenir</v>
          </cell>
          <cell r="H4904" t="str">
            <v>consulta_externa</v>
          </cell>
          <cell r="J4904" t="str">
            <v>bueno</v>
          </cell>
          <cell r="K4904" t="str">
            <v>probsi</v>
          </cell>
        </row>
        <row r="4905">
          <cell r="B4905" t="b">
            <v>1</v>
          </cell>
          <cell r="E4905" t="str">
            <v>Nuevo Porvenir</v>
          </cell>
          <cell r="H4905" t="str">
            <v>consulta_externa</v>
          </cell>
          <cell r="J4905" t="str">
            <v>bueno</v>
          </cell>
          <cell r="K4905" t="str">
            <v>probsi</v>
          </cell>
        </row>
        <row r="4906">
          <cell r="B4906" t="b">
            <v>1</v>
          </cell>
          <cell r="E4906" t="str">
            <v>Nuevo Porvenir</v>
          </cell>
          <cell r="H4906" t="str">
            <v>consulta_externa</v>
          </cell>
          <cell r="J4906" t="str">
            <v>bueno</v>
          </cell>
          <cell r="K4906" t="str">
            <v>probsi</v>
          </cell>
        </row>
        <row r="4907">
          <cell r="B4907" t="b">
            <v>1</v>
          </cell>
          <cell r="E4907" t="str">
            <v>Nuevo Porvenir</v>
          </cell>
          <cell r="H4907" t="str">
            <v>consulta_externa</v>
          </cell>
          <cell r="J4907" t="str">
            <v>bueno</v>
          </cell>
          <cell r="K4907" t="str">
            <v>probsi</v>
          </cell>
        </row>
        <row r="4908">
          <cell r="B4908" t="b">
            <v>1</v>
          </cell>
          <cell r="E4908" t="str">
            <v>Nuevo Porvenir</v>
          </cell>
          <cell r="H4908" t="str">
            <v>consulta_externa</v>
          </cell>
          <cell r="J4908" t="str">
            <v>bueno</v>
          </cell>
          <cell r="K4908" t="str">
            <v>probsi</v>
          </cell>
        </row>
        <row r="4909">
          <cell r="B4909" t="b">
            <v>1</v>
          </cell>
          <cell r="E4909" t="str">
            <v>Nuevo Porvenir</v>
          </cell>
          <cell r="H4909" t="str">
            <v>consulta_externa</v>
          </cell>
          <cell r="J4909" t="str">
            <v>bueno</v>
          </cell>
          <cell r="K4909" t="str">
            <v>probsi</v>
          </cell>
        </row>
        <row r="4910">
          <cell r="B4910" t="b">
            <v>1</v>
          </cell>
          <cell r="E4910" t="str">
            <v>Nuevo Porvenir</v>
          </cell>
          <cell r="H4910" t="str">
            <v>consulta_externa</v>
          </cell>
          <cell r="J4910" t="str">
            <v>bueno</v>
          </cell>
          <cell r="K4910" t="str">
            <v>probsi</v>
          </cell>
        </row>
        <row r="4911">
          <cell r="B4911" t="b">
            <v>1</v>
          </cell>
          <cell r="E4911" t="str">
            <v>Nuevo Porvenir</v>
          </cell>
          <cell r="H4911" t="str">
            <v>laboratorio</v>
          </cell>
          <cell r="J4911" t="str">
            <v>bueno</v>
          </cell>
          <cell r="K4911" t="str">
            <v>probsi</v>
          </cell>
        </row>
        <row r="4912">
          <cell r="B4912" t="b">
            <v>1</v>
          </cell>
          <cell r="E4912" t="str">
            <v>Nuevo Porvenir</v>
          </cell>
          <cell r="H4912" t="str">
            <v>laboratorio</v>
          </cell>
          <cell r="J4912" t="str">
            <v>bueno</v>
          </cell>
          <cell r="K4912" t="str">
            <v>probsi</v>
          </cell>
        </row>
        <row r="4913">
          <cell r="B4913" t="b">
            <v>1</v>
          </cell>
          <cell r="E4913" t="str">
            <v>Nuevo Porvenir</v>
          </cell>
          <cell r="H4913" t="str">
            <v>laboratorio</v>
          </cell>
          <cell r="J4913" t="str">
            <v>bueno</v>
          </cell>
          <cell r="K4913" t="str">
            <v>probsi</v>
          </cell>
        </row>
        <row r="4914">
          <cell r="B4914" t="b">
            <v>1</v>
          </cell>
          <cell r="E4914" t="str">
            <v>Nuevo Porvenir</v>
          </cell>
          <cell r="H4914" t="str">
            <v>laboratorio</v>
          </cell>
          <cell r="J4914" t="str">
            <v>bueno</v>
          </cell>
          <cell r="K4914" t="str">
            <v>probsi</v>
          </cell>
        </row>
        <row r="4915">
          <cell r="B4915" t="b">
            <v>1</v>
          </cell>
          <cell r="E4915" t="str">
            <v>Nuevo Porvenir</v>
          </cell>
          <cell r="H4915" t="str">
            <v>laboratorio</v>
          </cell>
          <cell r="J4915" t="str">
            <v>bueno</v>
          </cell>
          <cell r="K4915" t="str">
            <v>probsi</v>
          </cell>
        </row>
        <row r="4916">
          <cell r="B4916" t="b">
            <v>1</v>
          </cell>
          <cell r="E4916" t="str">
            <v>Nuevo Porvenir</v>
          </cell>
          <cell r="H4916" t="str">
            <v>laboratorio</v>
          </cell>
          <cell r="J4916" t="str">
            <v>bueno</v>
          </cell>
          <cell r="K4916" t="str">
            <v>probsi</v>
          </cell>
        </row>
        <row r="4917">
          <cell r="B4917" t="b">
            <v>1</v>
          </cell>
          <cell r="E4917" t="str">
            <v>Nuevo Porvenir</v>
          </cell>
          <cell r="H4917" t="str">
            <v>laboratorio</v>
          </cell>
          <cell r="J4917" t="str">
            <v>bueno</v>
          </cell>
          <cell r="K4917" t="str">
            <v>probsi</v>
          </cell>
        </row>
        <row r="4918">
          <cell r="B4918" t="b">
            <v>1</v>
          </cell>
          <cell r="E4918" t="str">
            <v>Nuevo Porvenir</v>
          </cell>
          <cell r="H4918" t="str">
            <v>laboratorio</v>
          </cell>
          <cell r="J4918" t="str">
            <v>bueno</v>
          </cell>
          <cell r="K4918" t="str">
            <v>probsi</v>
          </cell>
        </row>
        <row r="4919">
          <cell r="B4919" t="b">
            <v>1</v>
          </cell>
          <cell r="E4919" t="str">
            <v>Nuevo Porvenir</v>
          </cell>
          <cell r="H4919" t="str">
            <v>laboratorio</v>
          </cell>
          <cell r="J4919" t="str">
            <v>bueno</v>
          </cell>
          <cell r="K4919" t="str">
            <v>probsi</v>
          </cell>
        </row>
        <row r="4920">
          <cell r="B4920" t="b">
            <v>1</v>
          </cell>
          <cell r="E4920" t="str">
            <v>Nuevo Porvenir</v>
          </cell>
          <cell r="H4920" t="str">
            <v>laboratorio</v>
          </cell>
          <cell r="J4920" t="str">
            <v>bueno</v>
          </cell>
          <cell r="K4920" t="str">
            <v>probsi</v>
          </cell>
        </row>
        <row r="4921">
          <cell r="B4921" t="b">
            <v>1</v>
          </cell>
          <cell r="E4921" t="str">
            <v>Nuevo Porvenir</v>
          </cell>
          <cell r="H4921" t="str">
            <v>laboratorio</v>
          </cell>
          <cell r="J4921" t="str">
            <v>bueno</v>
          </cell>
          <cell r="K4921" t="str">
            <v>probsi</v>
          </cell>
        </row>
        <row r="4922">
          <cell r="B4922" t="b">
            <v>1</v>
          </cell>
          <cell r="E4922" t="str">
            <v>Nuevo Porvenir</v>
          </cell>
          <cell r="H4922" t="str">
            <v>laboratorio</v>
          </cell>
          <cell r="J4922" t="str">
            <v>bueno</v>
          </cell>
          <cell r="K4922" t="str">
            <v>probsi</v>
          </cell>
        </row>
        <row r="4923">
          <cell r="B4923" t="b">
            <v>1</v>
          </cell>
          <cell r="E4923" t="str">
            <v>Nuevo Porvenir</v>
          </cell>
          <cell r="H4923" t="str">
            <v>laboratorio</v>
          </cell>
          <cell r="J4923" t="str">
            <v>bueno</v>
          </cell>
          <cell r="K4923" t="str">
            <v>probsi</v>
          </cell>
        </row>
        <row r="4924">
          <cell r="B4924" t="b">
            <v>1</v>
          </cell>
          <cell r="E4924" t="str">
            <v>Nuevo Porvenir</v>
          </cell>
          <cell r="H4924" t="str">
            <v>laboratorio</v>
          </cell>
          <cell r="J4924" t="str">
            <v>bueno</v>
          </cell>
          <cell r="K4924" t="str">
            <v>probsi</v>
          </cell>
        </row>
        <row r="4925">
          <cell r="B4925" t="b">
            <v>1</v>
          </cell>
          <cell r="E4925" t="str">
            <v>Nuevo Porvenir</v>
          </cell>
          <cell r="H4925" t="str">
            <v>salud_oral</v>
          </cell>
          <cell r="J4925" t="str">
            <v>bueno</v>
          </cell>
          <cell r="K4925" t="str">
            <v>probsi</v>
          </cell>
        </row>
        <row r="4926">
          <cell r="B4926" t="b">
            <v>1</v>
          </cell>
          <cell r="E4926" t="str">
            <v>Nuevo Porvenir</v>
          </cell>
          <cell r="H4926" t="str">
            <v>salud_oral</v>
          </cell>
          <cell r="J4926" t="str">
            <v>bueno</v>
          </cell>
          <cell r="K4926" t="str">
            <v>probsi</v>
          </cell>
        </row>
        <row r="4927">
          <cell r="B4927" t="b">
            <v>1</v>
          </cell>
          <cell r="E4927" t="str">
            <v>Nuevo Porvenir</v>
          </cell>
          <cell r="H4927" t="str">
            <v>salud_oral</v>
          </cell>
          <cell r="J4927" t="str">
            <v>bueno</v>
          </cell>
          <cell r="K4927" t="str">
            <v>probsi</v>
          </cell>
        </row>
        <row r="4928">
          <cell r="B4928" t="b">
            <v>1</v>
          </cell>
          <cell r="E4928" t="str">
            <v>Nuevo Porvenir</v>
          </cell>
          <cell r="H4928" t="str">
            <v>salud_oral</v>
          </cell>
          <cell r="J4928" t="str">
            <v>bueno</v>
          </cell>
          <cell r="K4928" t="str">
            <v>probsi</v>
          </cell>
        </row>
        <row r="4929">
          <cell r="B4929" t="b">
            <v>1</v>
          </cell>
          <cell r="E4929" t="str">
            <v>Nuevo Porvenir</v>
          </cell>
          <cell r="H4929" t="str">
            <v>salud_oral</v>
          </cell>
          <cell r="J4929" t="str">
            <v>bueno</v>
          </cell>
          <cell r="K4929" t="str">
            <v>probsi</v>
          </cell>
        </row>
        <row r="4930">
          <cell r="B4930" t="b">
            <v>1</v>
          </cell>
          <cell r="E4930" t="str">
            <v>Nuevo Porvenir</v>
          </cell>
          <cell r="H4930" t="str">
            <v>salud_oral</v>
          </cell>
          <cell r="J4930" t="str">
            <v>bueno</v>
          </cell>
          <cell r="K4930" t="str">
            <v>probsi</v>
          </cell>
        </row>
        <row r="4931">
          <cell r="B4931" t="b">
            <v>1</v>
          </cell>
          <cell r="E4931" t="str">
            <v>Nuevo Porvenir</v>
          </cell>
          <cell r="H4931" t="str">
            <v>salud_oral</v>
          </cell>
          <cell r="J4931" t="str">
            <v>bueno</v>
          </cell>
          <cell r="K4931" t="str">
            <v>probsi</v>
          </cell>
        </row>
        <row r="4932">
          <cell r="B4932" t="b">
            <v>1</v>
          </cell>
          <cell r="E4932" t="str">
            <v>Nuevo Porvenir</v>
          </cell>
          <cell r="H4932" t="str">
            <v>salud_oral</v>
          </cell>
          <cell r="J4932" t="str">
            <v>bueno</v>
          </cell>
          <cell r="K4932" t="str">
            <v>probsi</v>
          </cell>
        </row>
        <row r="4933">
          <cell r="B4933" t="b">
            <v>1</v>
          </cell>
          <cell r="E4933" t="str">
            <v>Nuevo Porvenir</v>
          </cell>
          <cell r="H4933" t="str">
            <v>salud_oral</v>
          </cell>
          <cell r="J4933" t="str">
            <v>bueno</v>
          </cell>
          <cell r="K4933" t="str">
            <v>probsi</v>
          </cell>
        </row>
        <row r="4934">
          <cell r="B4934" t="b">
            <v>1</v>
          </cell>
          <cell r="E4934" t="str">
            <v>Nuevo Porvenir</v>
          </cell>
          <cell r="H4934" t="str">
            <v>salud_oral</v>
          </cell>
          <cell r="J4934" t="str">
            <v>bueno</v>
          </cell>
          <cell r="K4934" t="str">
            <v>probsi</v>
          </cell>
        </row>
        <row r="4935">
          <cell r="B4935" t="b">
            <v>1</v>
          </cell>
          <cell r="E4935" t="str">
            <v>Nuevo Porvenir</v>
          </cell>
          <cell r="H4935" t="str">
            <v>laboratorio</v>
          </cell>
          <cell r="J4935" t="str">
            <v>bueno</v>
          </cell>
          <cell r="K4935" t="str">
            <v>probsi</v>
          </cell>
        </row>
        <row r="4936">
          <cell r="B4936" t="b">
            <v>1</v>
          </cell>
          <cell r="E4936" t="str">
            <v>Nuevo Porvenir</v>
          </cell>
          <cell r="H4936" t="str">
            <v>laboratorio</v>
          </cell>
          <cell r="J4936" t="str">
            <v>bueno</v>
          </cell>
          <cell r="K4936" t="str">
            <v>probsi</v>
          </cell>
        </row>
        <row r="4937">
          <cell r="B4937" t="b">
            <v>1</v>
          </cell>
          <cell r="E4937" t="str">
            <v>Nuevo Porvenir</v>
          </cell>
          <cell r="H4937" t="str">
            <v>laboratorio</v>
          </cell>
          <cell r="J4937" t="str">
            <v>bueno</v>
          </cell>
          <cell r="K4937" t="str">
            <v>probsi</v>
          </cell>
        </row>
        <row r="4938">
          <cell r="B4938" t="b">
            <v>1</v>
          </cell>
          <cell r="E4938" t="str">
            <v>Nuevo Porvenir</v>
          </cell>
          <cell r="H4938" t="str">
            <v>consulta_externa</v>
          </cell>
          <cell r="J4938" t="str">
            <v>bueno</v>
          </cell>
          <cell r="K4938" t="str">
            <v>probsi</v>
          </cell>
        </row>
        <row r="4939">
          <cell r="B4939" t="b">
            <v>1</v>
          </cell>
          <cell r="E4939" t="str">
            <v>Nuevo Porvenir</v>
          </cell>
          <cell r="H4939" t="str">
            <v>consulta_externa</v>
          </cell>
          <cell r="J4939" t="str">
            <v>bueno</v>
          </cell>
          <cell r="K4939" t="str">
            <v>probsi</v>
          </cell>
        </row>
        <row r="4940">
          <cell r="B4940" t="b">
            <v>1</v>
          </cell>
          <cell r="E4940" t="str">
            <v>Nuevo Porvenir</v>
          </cell>
          <cell r="H4940" t="str">
            <v>consulta_externa</v>
          </cell>
          <cell r="J4940" t="str">
            <v>bueno</v>
          </cell>
          <cell r="K4940" t="str">
            <v>probsi</v>
          </cell>
        </row>
        <row r="4941">
          <cell r="B4941" t="b">
            <v>1</v>
          </cell>
          <cell r="E4941" t="str">
            <v>Nuevo Porvenir</v>
          </cell>
          <cell r="H4941" t="str">
            <v>consulta_externa</v>
          </cell>
          <cell r="J4941" t="str">
            <v>bueno</v>
          </cell>
          <cell r="K4941" t="str">
            <v>probsi</v>
          </cell>
        </row>
        <row r="4942">
          <cell r="B4942" t="b">
            <v>1</v>
          </cell>
          <cell r="E4942" t="str">
            <v>Nuevo Porvenir</v>
          </cell>
          <cell r="H4942" t="str">
            <v>consulta_externa</v>
          </cell>
          <cell r="J4942" t="str">
            <v>bueno</v>
          </cell>
          <cell r="K4942" t="str">
            <v>probsi</v>
          </cell>
        </row>
        <row r="4943">
          <cell r="B4943" t="b">
            <v>1</v>
          </cell>
          <cell r="E4943" t="str">
            <v>Nuevo Porvenir</v>
          </cell>
          <cell r="H4943" t="str">
            <v>consulta_externa</v>
          </cell>
          <cell r="J4943" t="str">
            <v>bueno</v>
          </cell>
          <cell r="K4943" t="str">
            <v>probsi</v>
          </cell>
        </row>
        <row r="4944">
          <cell r="B4944" t="b">
            <v>1</v>
          </cell>
          <cell r="E4944" t="str">
            <v>Nuevo Porvenir</v>
          </cell>
          <cell r="H4944" t="str">
            <v>consulta_externa</v>
          </cell>
          <cell r="J4944" t="str">
            <v>bueno</v>
          </cell>
          <cell r="K4944" t="str">
            <v>probsi</v>
          </cell>
        </row>
        <row r="4945">
          <cell r="B4945" t="b">
            <v>1</v>
          </cell>
          <cell r="E4945" t="str">
            <v>Nuevo Porvenir</v>
          </cell>
          <cell r="H4945" t="str">
            <v>consulta_externa</v>
          </cell>
          <cell r="J4945" t="str">
            <v>bueno</v>
          </cell>
          <cell r="K4945" t="str">
            <v>probsi</v>
          </cell>
        </row>
        <row r="4946">
          <cell r="B4946" t="b">
            <v>1</v>
          </cell>
          <cell r="E4946" t="str">
            <v>Nuevo Porvenir</v>
          </cell>
          <cell r="H4946" t="str">
            <v>consulta_externa</v>
          </cell>
          <cell r="J4946" t="str">
            <v>bueno</v>
          </cell>
          <cell r="K4946" t="str">
            <v>probsi</v>
          </cell>
        </row>
        <row r="4947">
          <cell r="B4947" t="b">
            <v>1</v>
          </cell>
          <cell r="E4947" t="str">
            <v>Nuevo Porvenir</v>
          </cell>
          <cell r="H4947" t="str">
            <v>consulta_externa</v>
          </cell>
          <cell r="J4947" t="str">
            <v>bueno</v>
          </cell>
          <cell r="K4947" t="str">
            <v>probsi</v>
          </cell>
        </row>
        <row r="4948">
          <cell r="B4948" t="b">
            <v>1</v>
          </cell>
          <cell r="E4948" t="str">
            <v>Nuevo Porvenir</v>
          </cell>
          <cell r="H4948" t="str">
            <v>consulta_externa</v>
          </cell>
          <cell r="J4948" t="str">
            <v>bueno</v>
          </cell>
          <cell r="K4948" t="str">
            <v>probsi</v>
          </cell>
        </row>
        <row r="4949">
          <cell r="B4949" t="b">
            <v>1</v>
          </cell>
          <cell r="E4949" t="str">
            <v>Nuevo Porvenir</v>
          </cell>
          <cell r="H4949" t="str">
            <v>consulta_externa</v>
          </cell>
          <cell r="J4949" t="str">
            <v>bueno</v>
          </cell>
          <cell r="K4949" t="str">
            <v>probsi</v>
          </cell>
        </row>
        <row r="4950">
          <cell r="B4950" t="b">
            <v>1</v>
          </cell>
          <cell r="E4950" t="str">
            <v>Nuevo Porvenir</v>
          </cell>
          <cell r="H4950" t="str">
            <v>consulta_externa</v>
          </cell>
          <cell r="J4950" t="str">
            <v>bueno</v>
          </cell>
          <cell r="K4950" t="str">
            <v>probsi</v>
          </cell>
        </row>
        <row r="4951">
          <cell r="B4951" t="b">
            <v>1</v>
          </cell>
          <cell r="E4951" t="str">
            <v>Nuevo Porvenir</v>
          </cell>
          <cell r="H4951" t="str">
            <v>consulta_externa</v>
          </cell>
          <cell r="J4951" t="str">
            <v>bueno</v>
          </cell>
          <cell r="K4951" t="str">
            <v>probsi</v>
          </cell>
        </row>
        <row r="4952">
          <cell r="B4952" t="b">
            <v>1</v>
          </cell>
          <cell r="E4952" t="str">
            <v>Nuevo Porvenir</v>
          </cell>
          <cell r="H4952" t="str">
            <v>consulta_externa</v>
          </cell>
          <cell r="J4952" t="str">
            <v>bueno</v>
          </cell>
          <cell r="K4952" t="str">
            <v>probsi</v>
          </cell>
        </row>
        <row r="4953">
          <cell r="B4953" t="b">
            <v>1</v>
          </cell>
          <cell r="E4953" t="str">
            <v>Nuevo Porvenir</v>
          </cell>
          <cell r="H4953" t="str">
            <v>consulta_externa</v>
          </cell>
          <cell r="J4953" t="str">
            <v>bueno</v>
          </cell>
          <cell r="K4953" t="str">
            <v>probsi</v>
          </cell>
        </row>
        <row r="4954">
          <cell r="B4954" t="b">
            <v>1</v>
          </cell>
          <cell r="E4954" t="str">
            <v>Nuevo Porvenir</v>
          </cell>
          <cell r="H4954" t="str">
            <v>consulta_externa</v>
          </cell>
          <cell r="J4954" t="str">
            <v>bueno</v>
          </cell>
          <cell r="K4954" t="str">
            <v>probsi</v>
          </cell>
        </row>
        <row r="4955">
          <cell r="B4955" t="b">
            <v>1</v>
          </cell>
          <cell r="E4955" t="str">
            <v>Nuevo Porvenir</v>
          </cell>
          <cell r="H4955" t="str">
            <v>salud_oral</v>
          </cell>
          <cell r="J4955" t="str">
            <v>bueno</v>
          </cell>
          <cell r="K4955" t="str">
            <v>probsi</v>
          </cell>
        </row>
        <row r="4956">
          <cell r="B4956" t="b">
            <v>1</v>
          </cell>
          <cell r="E4956" t="str">
            <v>Nuevo Porvenir</v>
          </cell>
          <cell r="H4956" t="str">
            <v>salud_oral</v>
          </cell>
          <cell r="J4956" t="str">
            <v>bueno</v>
          </cell>
          <cell r="K4956" t="str">
            <v>probsi</v>
          </cell>
        </row>
        <row r="4957">
          <cell r="B4957" t="b">
            <v>1</v>
          </cell>
          <cell r="E4957" t="str">
            <v>Isla Fuerte</v>
          </cell>
          <cell r="H4957" t="str">
            <v>salud_oral</v>
          </cell>
          <cell r="J4957" t="str">
            <v>bueno</v>
          </cell>
          <cell r="K4957" t="str">
            <v>defsi</v>
          </cell>
        </row>
        <row r="4958">
          <cell r="B4958" t="b">
            <v>1</v>
          </cell>
          <cell r="E4958" t="str">
            <v>Santa Ana</v>
          </cell>
          <cell r="H4958" t="str">
            <v>consulta_externa</v>
          </cell>
          <cell r="J4958" t="str">
            <v>bueno</v>
          </cell>
          <cell r="K4958" t="str">
            <v>defsi</v>
          </cell>
        </row>
        <row r="4959">
          <cell r="B4959" t="b">
            <v>1</v>
          </cell>
          <cell r="E4959" t="str">
            <v>Santa Ana</v>
          </cell>
          <cell r="H4959" t="str">
            <v>laboratorio</v>
          </cell>
          <cell r="J4959" t="str">
            <v>bueno</v>
          </cell>
          <cell r="K4959" t="str">
            <v>defsi</v>
          </cell>
        </row>
        <row r="4960">
          <cell r="B4960" t="b">
            <v>0</v>
          </cell>
          <cell r="E4960" t="str">
            <v>Santa Ana</v>
          </cell>
          <cell r="H4960" t="str">
            <v>consulta_externa</v>
          </cell>
          <cell r="J4960" t="str">
            <v>regular</v>
          </cell>
          <cell r="K4960" t="str">
            <v>defsi</v>
          </cell>
        </row>
        <row r="4961">
          <cell r="B4961" t="b">
            <v>1</v>
          </cell>
          <cell r="E4961" t="str">
            <v>Santa Ana</v>
          </cell>
          <cell r="H4961" t="str">
            <v>salud_oral</v>
          </cell>
          <cell r="J4961" t="str">
            <v>bueno</v>
          </cell>
          <cell r="K4961" t="str">
            <v>defsi</v>
          </cell>
        </row>
        <row r="4962">
          <cell r="B4962" t="b">
            <v>1</v>
          </cell>
          <cell r="E4962" t="str">
            <v>Arroyo de las Canoas</v>
          </cell>
          <cell r="H4962" t="str">
            <v>consulta_externa</v>
          </cell>
          <cell r="J4962" t="str">
            <v>bueno</v>
          </cell>
          <cell r="K4962" t="str">
            <v>probsi</v>
          </cell>
        </row>
        <row r="4963">
          <cell r="B4963" t="b">
            <v>1</v>
          </cell>
          <cell r="E4963" t="str">
            <v>Arroyo de las Canoas</v>
          </cell>
          <cell r="H4963" t="str">
            <v>consulta_externa</v>
          </cell>
          <cell r="J4963" t="str">
            <v>bueno</v>
          </cell>
          <cell r="K4963" t="str">
            <v>probsi</v>
          </cell>
        </row>
        <row r="4964">
          <cell r="B4964" t="b">
            <v>1</v>
          </cell>
          <cell r="E4964" t="str">
            <v>Arroyo de las Canoas</v>
          </cell>
          <cell r="H4964" t="str">
            <v>consulta_externa</v>
          </cell>
          <cell r="J4964" t="str">
            <v>bueno</v>
          </cell>
          <cell r="K4964" t="str">
            <v>probsi</v>
          </cell>
        </row>
        <row r="4965">
          <cell r="B4965" t="b">
            <v>1</v>
          </cell>
          <cell r="E4965" t="str">
            <v>Arroyo de las Canoas</v>
          </cell>
          <cell r="H4965" t="str">
            <v>consulta_externa</v>
          </cell>
          <cell r="J4965" t="str">
            <v>bueno</v>
          </cell>
          <cell r="K4965" t="str">
            <v>probsi</v>
          </cell>
        </row>
        <row r="4966">
          <cell r="B4966" t="b">
            <v>1</v>
          </cell>
          <cell r="E4966" t="str">
            <v>Arroyo de las Canoas</v>
          </cell>
          <cell r="H4966" t="str">
            <v>consulta_externa</v>
          </cell>
          <cell r="J4966" t="str">
            <v>bueno</v>
          </cell>
          <cell r="K4966" t="str">
            <v>probsi</v>
          </cell>
        </row>
        <row r="4967">
          <cell r="B4967" t="b">
            <v>1</v>
          </cell>
          <cell r="E4967" t="str">
            <v>Arroyo de las Canoas</v>
          </cell>
          <cell r="H4967" t="str">
            <v>consulta_externa</v>
          </cell>
          <cell r="J4967" t="str">
            <v>bueno</v>
          </cell>
          <cell r="K4967" t="str">
            <v>probsi</v>
          </cell>
        </row>
        <row r="4968">
          <cell r="B4968" t="b">
            <v>1</v>
          </cell>
          <cell r="E4968" t="str">
            <v>Arroyo de las Canoas</v>
          </cell>
          <cell r="H4968" t="str">
            <v>consulta_externa</v>
          </cell>
          <cell r="J4968" t="str">
            <v>bueno</v>
          </cell>
          <cell r="K4968" t="str">
            <v>probsi</v>
          </cell>
        </row>
        <row r="4969">
          <cell r="B4969" t="b">
            <v>1</v>
          </cell>
          <cell r="E4969" t="str">
            <v>Arroyo de las Canoas</v>
          </cell>
          <cell r="H4969" t="str">
            <v>laboratorio</v>
          </cell>
          <cell r="J4969" t="str">
            <v>bueno</v>
          </cell>
          <cell r="K4969" t="str">
            <v>probsi</v>
          </cell>
        </row>
        <row r="4970">
          <cell r="B4970" t="b">
            <v>1</v>
          </cell>
          <cell r="E4970" t="str">
            <v>Arroyo de las Canoas</v>
          </cell>
          <cell r="H4970" t="str">
            <v>laboratorio</v>
          </cell>
          <cell r="J4970" t="str">
            <v>bueno</v>
          </cell>
          <cell r="K4970" t="str">
            <v>probsi</v>
          </cell>
        </row>
        <row r="4971">
          <cell r="B4971" t="b">
            <v>1</v>
          </cell>
          <cell r="E4971" t="str">
            <v>Arroyo de las Canoas</v>
          </cell>
          <cell r="H4971" t="str">
            <v>laboratorio</v>
          </cell>
          <cell r="J4971" t="str">
            <v>bueno</v>
          </cell>
          <cell r="K4971" t="str">
            <v>probsi</v>
          </cell>
        </row>
        <row r="4972">
          <cell r="B4972" t="b">
            <v>1</v>
          </cell>
          <cell r="E4972" t="str">
            <v>Arroyo de las Canoas</v>
          </cell>
          <cell r="H4972" t="str">
            <v>laboratorio</v>
          </cell>
          <cell r="J4972" t="str">
            <v>bueno</v>
          </cell>
          <cell r="K4972" t="str">
            <v>probsi</v>
          </cell>
        </row>
        <row r="4973">
          <cell r="B4973" t="b">
            <v>1</v>
          </cell>
          <cell r="E4973" t="str">
            <v>Arroyo de las Canoas</v>
          </cell>
          <cell r="H4973" t="str">
            <v>salud_oral</v>
          </cell>
          <cell r="J4973" t="str">
            <v>bueno</v>
          </cell>
          <cell r="K4973" t="str">
            <v>probsi</v>
          </cell>
        </row>
        <row r="4974">
          <cell r="B4974" t="b">
            <v>1</v>
          </cell>
          <cell r="E4974" t="str">
            <v>Arroyo de las Canoas</v>
          </cell>
          <cell r="H4974" t="str">
            <v>salud_oral</v>
          </cell>
          <cell r="J4974" t="str">
            <v>bueno</v>
          </cell>
          <cell r="K4974" t="str">
            <v>probsi</v>
          </cell>
        </row>
        <row r="4975">
          <cell r="B4975" t="b">
            <v>1</v>
          </cell>
          <cell r="E4975" t="str">
            <v>Arroyo de las Canoas</v>
          </cell>
          <cell r="H4975" t="str">
            <v>salud_oral</v>
          </cell>
          <cell r="J4975" t="str">
            <v>bueno</v>
          </cell>
          <cell r="K4975" t="str">
            <v>probsi</v>
          </cell>
        </row>
        <row r="4976">
          <cell r="B4976" t="b">
            <v>1</v>
          </cell>
          <cell r="E4976" t="str">
            <v>Arroyo de las Canoas</v>
          </cell>
          <cell r="H4976" t="str">
            <v>salud_oral</v>
          </cell>
          <cell r="J4976" t="str">
            <v>bueno</v>
          </cell>
          <cell r="K4976" t="str">
            <v>probsi</v>
          </cell>
        </row>
        <row r="4977">
          <cell r="B4977" t="b">
            <v>1</v>
          </cell>
          <cell r="E4977" t="str">
            <v>Arroyo de las Canoas</v>
          </cell>
          <cell r="H4977" t="str">
            <v>salud_oral</v>
          </cell>
          <cell r="J4977" t="str">
            <v>bueno</v>
          </cell>
          <cell r="K4977" t="str">
            <v>probsi</v>
          </cell>
        </row>
        <row r="4978">
          <cell r="B4978" t="b">
            <v>1</v>
          </cell>
          <cell r="E4978" t="str">
            <v>Arroyo de las Canoas</v>
          </cell>
          <cell r="H4978" t="str">
            <v>salud_oral</v>
          </cell>
          <cell r="J4978" t="str">
            <v>bueno</v>
          </cell>
          <cell r="K4978" t="str">
            <v>probsi</v>
          </cell>
        </row>
        <row r="4979">
          <cell r="B4979" t="b">
            <v>1</v>
          </cell>
          <cell r="E4979" t="str">
            <v>Arroyo de las Canoas</v>
          </cell>
          <cell r="H4979" t="str">
            <v>consulta_externa</v>
          </cell>
          <cell r="J4979" t="str">
            <v>bueno</v>
          </cell>
          <cell r="K4979" t="str">
            <v>probsi</v>
          </cell>
        </row>
        <row r="4980">
          <cell r="B4980" t="b">
            <v>1</v>
          </cell>
          <cell r="E4980" t="str">
            <v>Arroyo de las Canoas</v>
          </cell>
          <cell r="H4980" t="str">
            <v>consulta_externa</v>
          </cell>
          <cell r="J4980" t="str">
            <v>bueno</v>
          </cell>
          <cell r="K4980" t="str">
            <v>probsi</v>
          </cell>
        </row>
        <row r="4981">
          <cell r="B4981" t="b">
            <v>1</v>
          </cell>
          <cell r="E4981" t="str">
            <v>Arroyo de las Canoas</v>
          </cell>
          <cell r="H4981" t="str">
            <v>consulta_externa</v>
          </cell>
          <cell r="J4981" t="str">
            <v>bueno</v>
          </cell>
          <cell r="K4981" t="str">
            <v>probsi</v>
          </cell>
        </row>
        <row r="4982">
          <cell r="B4982" t="b">
            <v>1</v>
          </cell>
          <cell r="E4982" t="str">
            <v>Arroyo de las Canoas</v>
          </cell>
          <cell r="H4982" t="str">
            <v>consulta_externa</v>
          </cell>
          <cell r="J4982" t="str">
            <v>bueno</v>
          </cell>
          <cell r="K4982" t="str">
            <v>probsi</v>
          </cell>
        </row>
        <row r="4983">
          <cell r="B4983" t="b">
            <v>1</v>
          </cell>
          <cell r="E4983" t="str">
            <v>Arroyo de las Canoas</v>
          </cell>
          <cell r="H4983" t="str">
            <v>consulta_externa</v>
          </cell>
          <cell r="J4983" t="str">
            <v>bueno</v>
          </cell>
          <cell r="K4983" t="str">
            <v>probsi</v>
          </cell>
        </row>
        <row r="4984">
          <cell r="B4984" t="b">
            <v>1</v>
          </cell>
          <cell r="E4984" t="str">
            <v>Arroyo de las Canoas</v>
          </cell>
          <cell r="H4984" t="str">
            <v>salud_oral</v>
          </cell>
          <cell r="J4984" t="str">
            <v>bueno</v>
          </cell>
          <cell r="K4984" t="str">
            <v>probsi</v>
          </cell>
        </row>
        <row r="4985">
          <cell r="B4985" t="b">
            <v>1</v>
          </cell>
          <cell r="E4985" t="str">
            <v>Arroyo de las Canoas</v>
          </cell>
          <cell r="H4985" t="str">
            <v>salud_oral</v>
          </cell>
          <cell r="J4985" t="str">
            <v>bueno</v>
          </cell>
          <cell r="K4985" t="str">
            <v>probsi</v>
          </cell>
        </row>
        <row r="4986">
          <cell r="B4986" t="b">
            <v>0</v>
          </cell>
          <cell r="E4986" t="str">
            <v>Bicentenario</v>
          </cell>
          <cell r="H4986" t="str">
            <v>urgencia</v>
          </cell>
          <cell r="J4986" t="str">
            <v>malo</v>
          </cell>
          <cell r="K4986" t="str">
            <v>probno</v>
          </cell>
        </row>
        <row r="4987">
          <cell r="B4987" t="b">
            <v>1</v>
          </cell>
          <cell r="E4987" t="str">
            <v>Pozon</v>
          </cell>
          <cell r="H4987" t="str">
            <v>consulta_externa</v>
          </cell>
          <cell r="J4987" t="str">
            <v>bueno</v>
          </cell>
          <cell r="K4987" t="str">
            <v>probsi</v>
          </cell>
        </row>
        <row r="4988">
          <cell r="B4988" t="b">
            <v>1</v>
          </cell>
          <cell r="E4988" t="str">
            <v>Pozon</v>
          </cell>
          <cell r="H4988" t="str">
            <v>laboratorio</v>
          </cell>
          <cell r="J4988" t="str">
            <v>bueno</v>
          </cell>
          <cell r="K4988" t="str">
            <v>probsi</v>
          </cell>
        </row>
        <row r="4989">
          <cell r="B4989" t="b">
            <v>1</v>
          </cell>
          <cell r="E4989" t="str">
            <v>Pozon</v>
          </cell>
          <cell r="H4989" t="str">
            <v>salud_oral</v>
          </cell>
          <cell r="J4989" t="str">
            <v>bueno</v>
          </cell>
          <cell r="K4989" t="str">
            <v>probsi</v>
          </cell>
        </row>
        <row r="4990">
          <cell r="B4990" t="b">
            <v>1</v>
          </cell>
          <cell r="E4990" t="str">
            <v>Pozon</v>
          </cell>
          <cell r="H4990" t="str">
            <v>salud_oral</v>
          </cell>
          <cell r="J4990" t="str">
            <v>bueno</v>
          </cell>
          <cell r="K4990" t="str">
            <v>probsi</v>
          </cell>
        </row>
        <row r="4991">
          <cell r="B4991" t="b">
            <v>1</v>
          </cell>
          <cell r="E4991" t="str">
            <v>Arroyo de las Canoas</v>
          </cell>
          <cell r="H4991" t="str">
            <v>consulta_externa</v>
          </cell>
          <cell r="J4991" t="str">
            <v>bueno</v>
          </cell>
          <cell r="K4991" t="str">
            <v>probsi</v>
          </cell>
        </row>
        <row r="4992">
          <cell r="B4992" t="b">
            <v>1</v>
          </cell>
          <cell r="E4992" t="str">
            <v>Arroyo de las Canoas</v>
          </cell>
          <cell r="H4992" t="str">
            <v>consulta_externa</v>
          </cell>
          <cell r="J4992" t="str">
            <v>bueno</v>
          </cell>
          <cell r="K4992" t="str">
            <v>probsi</v>
          </cell>
        </row>
        <row r="4993">
          <cell r="B4993" t="b">
            <v>1</v>
          </cell>
          <cell r="E4993" t="str">
            <v>Arroyo de las Canoas</v>
          </cell>
          <cell r="H4993" t="str">
            <v>consulta_externa</v>
          </cell>
          <cell r="J4993" t="str">
            <v>bueno</v>
          </cell>
          <cell r="K4993" t="str">
            <v>probsi</v>
          </cell>
        </row>
        <row r="4994">
          <cell r="B4994" t="b">
            <v>1</v>
          </cell>
          <cell r="E4994" t="str">
            <v>Arroyo de las Canoas</v>
          </cell>
          <cell r="H4994" t="str">
            <v>consulta_externa</v>
          </cell>
          <cell r="J4994" t="str">
            <v>bueno</v>
          </cell>
          <cell r="K4994" t="str">
            <v>probsi</v>
          </cell>
        </row>
        <row r="4995">
          <cell r="B4995" t="b">
            <v>1</v>
          </cell>
          <cell r="E4995" t="str">
            <v>Arroyo de las Canoas</v>
          </cell>
          <cell r="H4995" t="str">
            <v>consulta_externa</v>
          </cell>
          <cell r="J4995" t="str">
            <v>bueno</v>
          </cell>
          <cell r="K4995" t="str">
            <v>probsi</v>
          </cell>
        </row>
        <row r="4996">
          <cell r="B4996" t="b">
            <v>1</v>
          </cell>
          <cell r="E4996" t="str">
            <v>Arroyo de las Canoas</v>
          </cell>
          <cell r="H4996" t="str">
            <v>consulta_externa</v>
          </cell>
          <cell r="J4996" t="str">
            <v>bueno</v>
          </cell>
          <cell r="K4996" t="str">
            <v>probsi</v>
          </cell>
        </row>
        <row r="4997">
          <cell r="B4997" t="b">
            <v>1</v>
          </cell>
          <cell r="E4997" t="str">
            <v>Arroyo de las Canoas</v>
          </cell>
          <cell r="H4997" t="str">
            <v>consulta_externa</v>
          </cell>
          <cell r="J4997" t="str">
            <v>bueno</v>
          </cell>
          <cell r="K4997" t="str">
            <v>probsi</v>
          </cell>
        </row>
        <row r="4998">
          <cell r="B4998" t="b">
            <v>1</v>
          </cell>
          <cell r="E4998" t="str">
            <v>Arroyo de las Canoas</v>
          </cell>
          <cell r="H4998" t="str">
            <v>consulta_externa</v>
          </cell>
          <cell r="J4998" t="str">
            <v>bueno</v>
          </cell>
          <cell r="K4998" t="str">
            <v>probsi</v>
          </cell>
        </row>
        <row r="4999">
          <cell r="B4999" t="b">
            <v>1</v>
          </cell>
          <cell r="E4999" t="str">
            <v>Arroyo de las Canoas</v>
          </cell>
          <cell r="H4999" t="str">
            <v>laboratorio</v>
          </cell>
          <cell r="J4999" t="str">
            <v>bueno</v>
          </cell>
          <cell r="K4999" t="str">
            <v>probsi</v>
          </cell>
        </row>
        <row r="5000">
          <cell r="B5000" t="b">
            <v>1</v>
          </cell>
          <cell r="E5000" t="str">
            <v>Arroyo de las Canoas</v>
          </cell>
          <cell r="H5000" t="str">
            <v>laboratorio</v>
          </cell>
          <cell r="J5000" t="str">
            <v>bueno</v>
          </cell>
          <cell r="K5000" t="str">
            <v>probsi</v>
          </cell>
        </row>
        <row r="5001">
          <cell r="B5001" t="b">
            <v>1</v>
          </cell>
          <cell r="E5001" t="str">
            <v>Arroyo de las Canoas</v>
          </cell>
          <cell r="H5001" t="str">
            <v>laboratorio</v>
          </cell>
          <cell r="J5001" t="str">
            <v>bueno</v>
          </cell>
          <cell r="K5001" t="str">
            <v>probsi</v>
          </cell>
        </row>
        <row r="5002">
          <cell r="B5002" t="b">
            <v>1</v>
          </cell>
          <cell r="E5002" t="str">
            <v>Arroyo de las Canoas</v>
          </cell>
          <cell r="H5002" t="str">
            <v>laboratorio</v>
          </cell>
          <cell r="J5002" t="str">
            <v>bueno</v>
          </cell>
          <cell r="K5002" t="str">
            <v>probsi</v>
          </cell>
        </row>
        <row r="5003">
          <cell r="B5003" t="b">
            <v>1</v>
          </cell>
          <cell r="E5003" t="str">
            <v>Arroyo de las Canoas</v>
          </cell>
          <cell r="H5003" t="str">
            <v>laboratorio</v>
          </cell>
          <cell r="J5003" t="str">
            <v>bueno</v>
          </cell>
          <cell r="K5003" t="str">
            <v>probsi</v>
          </cell>
        </row>
        <row r="5004">
          <cell r="B5004" t="b">
            <v>1</v>
          </cell>
          <cell r="E5004" t="str">
            <v>Arroyo de las Canoas</v>
          </cell>
          <cell r="H5004" t="str">
            <v>salud_oral</v>
          </cell>
          <cell r="J5004" t="str">
            <v>bueno</v>
          </cell>
          <cell r="K5004" t="str">
            <v>probsi</v>
          </cell>
        </row>
        <row r="5005">
          <cell r="B5005" t="b">
            <v>1</v>
          </cell>
          <cell r="E5005" t="str">
            <v>Arroyo de las Canoas</v>
          </cell>
          <cell r="H5005" t="str">
            <v>salud_oral</v>
          </cell>
          <cell r="J5005" t="str">
            <v>bueno</v>
          </cell>
          <cell r="K5005" t="str">
            <v>probsi</v>
          </cell>
        </row>
        <row r="5006">
          <cell r="B5006" t="b">
            <v>1</v>
          </cell>
          <cell r="E5006" t="str">
            <v>Arroyo de las Canoas</v>
          </cell>
          <cell r="H5006" t="str">
            <v>salud_oral</v>
          </cell>
          <cell r="J5006" t="str">
            <v>bueno</v>
          </cell>
          <cell r="K5006" t="str">
            <v>probsi</v>
          </cell>
        </row>
        <row r="5007">
          <cell r="B5007" t="b">
            <v>1</v>
          </cell>
          <cell r="E5007" t="str">
            <v>Arroyo de las Canoas</v>
          </cell>
          <cell r="H5007" t="str">
            <v>salud_oral</v>
          </cell>
          <cell r="J5007" t="str">
            <v>bueno</v>
          </cell>
          <cell r="K5007" t="str">
            <v>probsi</v>
          </cell>
        </row>
        <row r="5008">
          <cell r="B5008" t="b">
            <v>1</v>
          </cell>
          <cell r="E5008" t="str">
            <v>Arroyo de las Canoas</v>
          </cell>
          <cell r="H5008" t="str">
            <v>salud_oral</v>
          </cell>
          <cell r="J5008" t="str">
            <v>bueno</v>
          </cell>
          <cell r="K5008" t="str">
            <v>probsi</v>
          </cell>
        </row>
        <row r="5009">
          <cell r="B5009" t="b">
            <v>1</v>
          </cell>
          <cell r="E5009" t="str">
            <v>Arroyo de las Canoas</v>
          </cell>
          <cell r="H5009" t="str">
            <v>salud_oral</v>
          </cell>
          <cell r="J5009" t="str">
            <v>bueno</v>
          </cell>
          <cell r="K5009" t="str">
            <v>probsi</v>
          </cell>
        </row>
        <row r="5010">
          <cell r="B5010" t="b">
            <v>1</v>
          </cell>
          <cell r="E5010" t="str">
            <v>Arroyo de las Canoas</v>
          </cell>
          <cell r="H5010" t="str">
            <v>salud_oral</v>
          </cell>
          <cell r="J5010" t="str">
            <v>bueno</v>
          </cell>
          <cell r="K5010" t="str">
            <v>probsi</v>
          </cell>
        </row>
        <row r="5011">
          <cell r="B5011" t="b">
            <v>1</v>
          </cell>
          <cell r="E5011" t="str">
            <v>Arroyo de las Canoas</v>
          </cell>
          <cell r="H5011" t="str">
            <v>salud_oral</v>
          </cell>
          <cell r="J5011" t="str">
            <v>bueno</v>
          </cell>
          <cell r="K5011" t="str">
            <v>probsi</v>
          </cell>
        </row>
        <row r="5012">
          <cell r="B5012" t="b">
            <v>1</v>
          </cell>
          <cell r="E5012" t="str">
            <v>Arroyo de las Canoas</v>
          </cell>
          <cell r="H5012" t="str">
            <v>salud_oral</v>
          </cell>
          <cell r="J5012" t="str">
            <v>bueno</v>
          </cell>
          <cell r="K5012" t="str">
            <v>probsi</v>
          </cell>
        </row>
        <row r="5013">
          <cell r="B5013" t="b">
            <v>1</v>
          </cell>
          <cell r="E5013" t="str">
            <v>Arroyo de las Canoas</v>
          </cell>
          <cell r="H5013" t="str">
            <v>salud_oral</v>
          </cell>
          <cell r="J5013" t="str">
            <v>bueno</v>
          </cell>
          <cell r="K5013" t="str">
            <v>probsi</v>
          </cell>
        </row>
        <row r="5014">
          <cell r="B5014" t="b">
            <v>1</v>
          </cell>
          <cell r="E5014" t="str">
            <v>Puerto Rey</v>
          </cell>
          <cell r="H5014" t="str">
            <v>consulta_externa</v>
          </cell>
          <cell r="J5014" t="str">
            <v>bueno</v>
          </cell>
          <cell r="K5014" t="str">
            <v>defsi</v>
          </cell>
        </row>
        <row r="5015">
          <cell r="B5015" t="b">
            <v>1</v>
          </cell>
          <cell r="E5015" t="str">
            <v>Puerto Rey</v>
          </cell>
          <cell r="H5015" t="str">
            <v>laboratorio</v>
          </cell>
          <cell r="J5015" t="str">
            <v>bueno</v>
          </cell>
          <cell r="K5015" t="str">
            <v>defsi</v>
          </cell>
        </row>
        <row r="5016">
          <cell r="B5016" t="b">
            <v>1</v>
          </cell>
          <cell r="E5016" t="str">
            <v>Puerto Rey</v>
          </cell>
          <cell r="H5016" t="str">
            <v>salud_oral</v>
          </cell>
          <cell r="J5016" t="str">
            <v>bueno</v>
          </cell>
          <cell r="K5016" t="str">
            <v>defsi</v>
          </cell>
        </row>
        <row r="5017">
          <cell r="B5017" t="b">
            <v>1</v>
          </cell>
          <cell r="E5017" t="str">
            <v>Puerto Rey</v>
          </cell>
          <cell r="H5017" t="str">
            <v>consulta_externa</v>
          </cell>
          <cell r="J5017" t="str">
            <v>bueno</v>
          </cell>
          <cell r="K5017" t="str">
            <v>defsi</v>
          </cell>
        </row>
        <row r="5018">
          <cell r="B5018" t="b">
            <v>1</v>
          </cell>
          <cell r="E5018" t="str">
            <v>Puerto Rey</v>
          </cell>
          <cell r="H5018" t="str">
            <v>laboratorio</v>
          </cell>
          <cell r="J5018" t="str">
            <v>bueno</v>
          </cell>
          <cell r="K5018" t="str">
            <v>defsi</v>
          </cell>
        </row>
        <row r="5019">
          <cell r="B5019" t="b">
            <v>1</v>
          </cell>
          <cell r="E5019" t="str">
            <v>Cano de Oro</v>
          </cell>
          <cell r="H5019" t="str">
            <v>consulta_externa</v>
          </cell>
          <cell r="J5019" t="str">
            <v>bueno</v>
          </cell>
          <cell r="K5019" t="str">
            <v>defsi</v>
          </cell>
        </row>
        <row r="5020">
          <cell r="B5020" t="b">
            <v>1</v>
          </cell>
          <cell r="E5020" t="str">
            <v>Cano de Oro</v>
          </cell>
          <cell r="H5020" t="str">
            <v>salud_oral</v>
          </cell>
          <cell r="J5020" t="str">
            <v>bueno</v>
          </cell>
          <cell r="K5020" t="str">
            <v>defsi</v>
          </cell>
        </row>
        <row r="5021">
          <cell r="B5021" t="b">
            <v>1</v>
          </cell>
          <cell r="E5021" t="str">
            <v>Cano de Oro</v>
          </cell>
          <cell r="H5021" t="str">
            <v>consulta_externa</v>
          </cell>
          <cell r="J5021" t="str">
            <v>bueno</v>
          </cell>
          <cell r="K5021" t="str">
            <v>defsi</v>
          </cell>
        </row>
        <row r="5022">
          <cell r="B5022" t="b">
            <v>1</v>
          </cell>
          <cell r="E5022" t="str">
            <v>Cano de Oro</v>
          </cell>
          <cell r="H5022" t="str">
            <v>salud_oral</v>
          </cell>
          <cell r="J5022" t="str">
            <v>bueno</v>
          </cell>
          <cell r="K5022" t="str">
            <v>defsi</v>
          </cell>
        </row>
        <row r="5023">
          <cell r="B5023" t="b">
            <v>1</v>
          </cell>
          <cell r="E5023" t="str">
            <v>Cano de Oro</v>
          </cell>
          <cell r="H5023" t="str">
            <v>laboratorio</v>
          </cell>
          <cell r="J5023" t="str">
            <v>bueno</v>
          </cell>
          <cell r="K5023" t="str">
            <v>defsi</v>
          </cell>
        </row>
        <row r="5024">
          <cell r="B5024" t="b">
            <v>1</v>
          </cell>
          <cell r="E5024" t="str">
            <v>Puerto Rey</v>
          </cell>
          <cell r="H5024" t="str">
            <v>laboratorio</v>
          </cell>
          <cell r="J5024" t="str">
            <v>bueno</v>
          </cell>
          <cell r="K5024" t="str">
            <v>defsi</v>
          </cell>
        </row>
        <row r="5025">
          <cell r="B5025" t="b">
            <v>1</v>
          </cell>
          <cell r="E5025" t="str">
            <v>Puerto Rey</v>
          </cell>
          <cell r="H5025" t="str">
            <v>salud_oral</v>
          </cell>
          <cell r="J5025" t="str">
            <v>bueno</v>
          </cell>
          <cell r="K5025" t="str">
            <v>defsi</v>
          </cell>
        </row>
        <row r="5026">
          <cell r="B5026" t="b">
            <v>1</v>
          </cell>
          <cell r="E5026" t="str">
            <v>Puerto Rey</v>
          </cell>
          <cell r="H5026" t="str">
            <v>laboratorio</v>
          </cell>
          <cell r="J5026" t="str">
            <v>bueno</v>
          </cell>
          <cell r="K5026" t="str">
            <v>defsi</v>
          </cell>
        </row>
        <row r="5027">
          <cell r="B5027" t="b">
            <v>1</v>
          </cell>
          <cell r="E5027" t="str">
            <v>Puerto Rey</v>
          </cell>
          <cell r="H5027" t="str">
            <v>consulta_externa</v>
          </cell>
          <cell r="J5027" t="str">
            <v>bueno</v>
          </cell>
          <cell r="K5027" t="str">
            <v>defsi</v>
          </cell>
        </row>
        <row r="5028">
          <cell r="B5028" t="b">
            <v>1</v>
          </cell>
          <cell r="E5028" t="str">
            <v>Puerto Rey</v>
          </cell>
          <cell r="H5028" t="str">
            <v>salud_oral</v>
          </cell>
          <cell r="J5028" t="str">
            <v>bueno</v>
          </cell>
          <cell r="K5028" t="str">
            <v>defsi</v>
          </cell>
        </row>
        <row r="5029">
          <cell r="B5029" t="b">
            <v>1</v>
          </cell>
          <cell r="E5029" t="str">
            <v>Puerto Rey</v>
          </cell>
          <cell r="H5029" t="str">
            <v>laboratorio</v>
          </cell>
          <cell r="J5029" t="str">
            <v>bueno</v>
          </cell>
          <cell r="K5029" t="str">
            <v>defsi</v>
          </cell>
        </row>
        <row r="5030">
          <cell r="B5030" t="b">
            <v>1</v>
          </cell>
          <cell r="E5030" t="str">
            <v>Puerto Rey</v>
          </cell>
          <cell r="H5030" t="str">
            <v>consulta_externa</v>
          </cell>
          <cell r="J5030" t="str">
            <v>bueno</v>
          </cell>
          <cell r="K5030" t="str">
            <v>defsi</v>
          </cell>
        </row>
        <row r="5031">
          <cell r="B5031" t="b">
            <v>1</v>
          </cell>
          <cell r="E5031" t="str">
            <v>Puerto Rey</v>
          </cell>
          <cell r="H5031" t="str">
            <v>consulta_externa</v>
          </cell>
          <cell r="J5031" t="str">
            <v>bueno</v>
          </cell>
          <cell r="K5031" t="str">
            <v>defsi</v>
          </cell>
        </row>
        <row r="5032">
          <cell r="B5032" t="b">
            <v>1</v>
          </cell>
          <cell r="E5032" t="str">
            <v>Puerto Rey</v>
          </cell>
          <cell r="H5032" t="str">
            <v>consulta_externa</v>
          </cell>
          <cell r="J5032" t="str">
            <v>bueno</v>
          </cell>
          <cell r="K5032" t="str">
            <v>defsi</v>
          </cell>
        </row>
        <row r="5033">
          <cell r="B5033" t="b">
            <v>1</v>
          </cell>
          <cell r="E5033" t="str">
            <v>Puerto Rey</v>
          </cell>
          <cell r="H5033" t="str">
            <v>salud_oral</v>
          </cell>
          <cell r="J5033" t="str">
            <v>muybueno</v>
          </cell>
          <cell r="K5033" t="str">
            <v>defsi</v>
          </cell>
        </row>
        <row r="5034">
          <cell r="B5034" t="b">
            <v>1</v>
          </cell>
          <cell r="E5034" t="str">
            <v>Puerto Rey</v>
          </cell>
          <cell r="H5034" t="str">
            <v>laboratorio</v>
          </cell>
          <cell r="J5034" t="str">
            <v>muybueno</v>
          </cell>
          <cell r="K5034" t="str">
            <v>defsi</v>
          </cell>
        </row>
        <row r="5035">
          <cell r="B5035" t="b">
            <v>1</v>
          </cell>
          <cell r="E5035" t="str">
            <v>Puerto Rey</v>
          </cell>
          <cell r="H5035" t="str">
            <v>consulta_externa</v>
          </cell>
          <cell r="J5035" t="str">
            <v>bueno</v>
          </cell>
          <cell r="K5035" t="str">
            <v>probsi</v>
          </cell>
        </row>
        <row r="5036">
          <cell r="B5036" t="b">
            <v>1</v>
          </cell>
          <cell r="E5036" t="str">
            <v>Puerto Rey</v>
          </cell>
          <cell r="H5036" t="str">
            <v>salud_oral</v>
          </cell>
          <cell r="J5036" t="str">
            <v>bueno</v>
          </cell>
          <cell r="K5036" t="str">
            <v>defsi</v>
          </cell>
        </row>
        <row r="5037">
          <cell r="B5037" t="b">
            <v>1</v>
          </cell>
          <cell r="E5037" t="str">
            <v>Hospital Pozon</v>
          </cell>
          <cell r="H5037" t="str">
            <v>consulta_externa</v>
          </cell>
          <cell r="J5037" t="str">
            <v>bueno</v>
          </cell>
          <cell r="K5037" t="str">
            <v>probsi</v>
          </cell>
        </row>
        <row r="5038">
          <cell r="B5038" t="b">
            <v>1</v>
          </cell>
          <cell r="E5038" t="str">
            <v>Puerto Rey</v>
          </cell>
          <cell r="H5038" t="str">
            <v>laboratorio</v>
          </cell>
          <cell r="J5038" t="str">
            <v>bueno</v>
          </cell>
          <cell r="K5038" t="str">
            <v>defsi</v>
          </cell>
        </row>
        <row r="5039">
          <cell r="B5039" t="b">
            <v>1</v>
          </cell>
          <cell r="E5039" t="str">
            <v>Puerto Rey</v>
          </cell>
          <cell r="H5039" t="str">
            <v>laboratorio</v>
          </cell>
          <cell r="J5039" t="str">
            <v>bueno</v>
          </cell>
          <cell r="K5039" t="str">
            <v>defsi</v>
          </cell>
        </row>
        <row r="5040">
          <cell r="B5040" t="b">
            <v>1</v>
          </cell>
          <cell r="E5040" t="str">
            <v>Hospital Pozon</v>
          </cell>
          <cell r="H5040" t="str">
            <v>salud_oral</v>
          </cell>
          <cell r="J5040" t="str">
            <v>bueno</v>
          </cell>
          <cell r="K5040" t="str">
            <v>probsi</v>
          </cell>
        </row>
        <row r="5041">
          <cell r="B5041" t="b">
            <v>1</v>
          </cell>
          <cell r="E5041" t="str">
            <v>Puerto Rey</v>
          </cell>
          <cell r="H5041" t="str">
            <v>laboratorio</v>
          </cell>
          <cell r="J5041" t="str">
            <v>bueno</v>
          </cell>
          <cell r="K5041" t="str">
            <v>defsi</v>
          </cell>
        </row>
        <row r="5042">
          <cell r="B5042" t="b">
            <v>1</v>
          </cell>
          <cell r="E5042" t="str">
            <v>Puerto Rey</v>
          </cell>
          <cell r="H5042" t="str">
            <v>laboratorio</v>
          </cell>
          <cell r="J5042" t="str">
            <v>muybueno</v>
          </cell>
          <cell r="K5042" t="str">
            <v>defsi</v>
          </cell>
        </row>
        <row r="5043">
          <cell r="B5043" t="b">
            <v>0</v>
          </cell>
          <cell r="E5043" t="str">
            <v>Hospital Pozon</v>
          </cell>
          <cell r="H5043" t="str">
            <v>urgencia</v>
          </cell>
          <cell r="J5043" t="str">
            <v>regular</v>
          </cell>
          <cell r="K5043" t="str">
            <v>probno</v>
          </cell>
        </row>
        <row r="5044">
          <cell r="B5044" t="b">
            <v>1</v>
          </cell>
          <cell r="E5044" t="str">
            <v>Puerto Rey</v>
          </cell>
          <cell r="H5044" t="str">
            <v>laboratorio</v>
          </cell>
          <cell r="J5044" t="str">
            <v>bueno</v>
          </cell>
          <cell r="K5044" t="str">
            <v>defsi</v>
          </cell>
        </row>
        <row r="5045">
          <cell r="B5045" t="b">
            <v>0</v>
          </cell>
          <cell r="E5045" t="str">
            <v>Hospital Pozon</v>
          </cell>
          <cell r="H5045" t="str">
            <v>urgencia</v>
          </cell>
          <cell r="J5045" t="str">
            <v>malo</v>
          </cell>
          <cell r="K5045" t="str">
            <v>probno</v>
          </cell>
        </row>
        <row r="5046">
          <cell r="B5046" t="b">
            <v>1</v>
          </cell>
          <cell r="E5046" t="str">
            <v>Puerto Rey</v>
          </cell>
          <cell r="H5046" t="str">
            <v>consulta_externa</v>
          </cell>
          <cell r="J5046" t="str">
            <v>muybueno</v>
          </cell>
          <cell r="K5046" t="str">
            <v>defsi</v>
          </cell>
        </row>
        <row r="5047">
          <cell r="B5047" t="b">
            <v>1</v>
          </cell>
          <cell r="E5047" t="str">
            <v>Puerto Rey</v>
          </cell>
          <cell r="H5047" t="str">
            <v>consulta_externa</v>
          </cell>
          <cell r="J5047" t="str">
            <v>muybueno</v>
          </cell>
          <cell r="K5047" t="str">
            <v>defsi</v>
          </cell>
        </row>
        <row r="5048">
          <cell r="B5048" t="b">
            <v>1</v>
          </cell>
          <cell r="E5048" t="str">
            <v>Hospital Pozon</v>
          </cell>
          <cell r="H5048" t="str">
            <v>consulta_externa</v>
          </cell>
          <cell r="J5048" t="str">
            <v>bueno</v>
          </cell>
          <cell r="K5048" t="str">
            <v>probsi</v>
          </cell>
        </row>
        <row r="5049">
          <cell r="B5049" t="b">
            <v>1</v>
          </cell>
          <cell r="E5049" t="str">
            <v>Puerto Rey</v>
          </cell>
          <cell r="H5049" t="str">
            <v>salud_oral</v>
          </cell>
          <cell r="J5049" t="str">
            <v>bueno</v>
          </cell>
          <cell r="K5049" t="str">
            <v>defsi</v>
          </cell>
        </row>
        <row r="5050">
          <cell r="B5050" t="b">
            <v>1</v>
          </cell>
          <cell r="E5050" t="str">
            <v>Hospital Pozon</v>
          </cell>
          <cell r="H5050" t="str">
            <v>consulta_externa</v>
          </cell>
          <cell r="J5050" t="str">
            <v>bueno</v>
          </cell>
          <cell r="K5050" t="str">
            <v>probsi</v>
          </cell>
        </row>
        <row r="5051">
          <cell r="B5051" t="b">
            <v>1</v>
          </cell>
          <cell r="E5051" t="str">
            <v>Arroyo de las Canoas</v>
          </cell>
          <cell r="H5051" t="str">
            <v>consulta_externa</v>
          </cell>
          <cell r="J5051" t="str">
            <v>bueno</v>
          </cell>
          <cell r="K5051" t="str">
            <v>probsi</v>
          </cell>
        </row>
        <row r="5052">
          <cell r="B5052" t="b">
            <v>1</v>
          </cell>
          <cell r="E5052" t="str">
            <v>Arroyo de las Canoas</v>
          </cell>
          <cell r="H5052" t="str">
            <v>consulta_externa</v>
          </cell>
          <cell r="J5052" t="str">
            <v>bueno</v>
          </cell>
          <cell r="K5052" t="str">
            <v>probsi</v>
          </cell>
        </row>
        <row r="5053">
          <cell r="B5053" t="b">
            <v>1</v>
          </cell>
          <cell r="E5053" t="str">
            <v>Arroyo de las Canoas</v>
          </cell>
          <cell r="H5053" t="str">
            <v>laboratorio</v>
          </cell>
          <cell r="J5053" t="str">
            <v>bueno</v>
          </cell>
          <cell r="K5053" t="str">
            <v>probsi</v>
          </cell>
        </row>
        <row r="5054">
          <cell r="B5054" t="b">
            <v>1</v>
          </cell>
          <cell r="E5054" t="str">
            <v>Arroyo de las Canoas</v>
          </cell>
          <cell r="H5054" t="str">
            <v>laboratorio</v>
          </cell>
          <cell r="J5054" t="str">
            <v>bueno</v>
          </cell>
          <cell r="K5054" t="str">
            <v>probsi</v>
          </cell>
        </row>
        <row r="5055">
          <cell r="B5055" t="b">
            <v>1</v>
          </cell>
          <cell r="E5055" t="str">
            <v>Hospital Pozon</v>
          </cell>
          <cell r="H5055" t="str">
            <v>ginecologia</v>
          </cell>
          <cell r="J5055" t="str">
            <v>bueno</v>
          </cell>
          <cell r="K5055" t="str">
            <v>probsi</v>
          </cell>
        </row>
        <row r="5056">
          <cell r="B5056" t="b">
            <v>1</v>
          </cell>
          <cell r="E5056" t="str">
            <v>Arroyo de las Canoas</v>
          </cell>
          <cell r="H5056" t="str">
            <v>salud_oral</v>
          </cell>
          <cell r="J5056" t="str">
            <v>bueno</v>
          </cell>
          <cell r="K5056" t="str">
            <v>probsi</v>
          </cell>
        </row>
        <row r="5057">
          <cell r="B5057" t="b">
            <v>1</v>
          </cell>
          <cell r="E5057" t="str">
            <v>Arroyo de las Canoas</v>
          </cell>
          <cell r="H5057" t="str">
            <v>salud_oral</v>
          </cell>
          <cell r="J5057" t="str">
            <v>bueno</v>
          </cell>
          <cell r="K5057" t="str">
            <v>probsi</v>
          </cell>
        </row>
        <row r="5058">
          <cell r="B5058" t="b">
            <v>1</v>
          </cell>
          <cell r="E5058" t="str">
            <v>Arroyo de las Canoas</v>
          </cell>
          <cell r="H5058" t="str">
            <v>salud_oral</v>
          </cell>
          <cell r="J5058" t="str">
            <v>bueno</v>
          </cell>
          <cell r="K5058" t="str">
            <v>probsi</v>
          </cell>
        </row>
        <row r="5059">
          <cell r="B5059" t="b">
            <v>1</v>
          </cell>
          <cell r="E5059" t="str">
            <v>Arroyo de las Canoas</v>
          </cell>
          <cell r="H5059" t="str">
            <v>salud_oral</v>
          </cell>
          <cell r="J5059" t="str">
            <v>bueno</v>
          </cell>
          <cell r="K5059" t="str">
            <v>probsi</v>
          </cell>
        </row>
        <row r="5060">
          <cell r="B5060" t="b">
            <v>1</v>
          </cell>
          <cell r="E5060" t="str">
            <v>Arroyo de las Canoas</v>
          </cell>
          <cell r="H5060" t="str">
            <v>salud_oral</v>
          </cell>
          <cell r="J5060" t="str">
            <v>bueno</v>
          </cell>
          <cell r="K5060" t="str">
            <v>probsi</v>
          </cell>
        </row>
        <row r="5061">
          <cell r="B5061" t="b">
            <v>1</v>
          </cell>
          <cell r="E5061" t="str">
            <v>Hospital Pozon</v>
          </cell>
          <cell r="H5061" t="str">
            <v>consulta_externa</v>
          </cell>
          <cell r="J5061" t="str">
            <v>bueno</v>
          </cell>
          <cell r="K5061" t="str">
            <v>probsi</v>
          </cell>
        </row>
        <row r="5062">
          <cell r="B5062" t="b">
            <v>1</v>
          </cell>
          <cell r="E5062" t="str">
            <v>Arroyo de las Canoas</v>
          </cell>
          <cell r="H5062" t="str">
            <v>laboratorio</v>
          </cell>
          <cell r="J5062" t="str">
            <v>bueno</v>
          </cell>
          <cell r="K5062" t="str">
            <v>probsi</v>
          </cell>
        </row>
        <row r="5063">
          <cell r="B5063" t="b">
            <v>1</v>
          </cell>
          <cell r="E5063" t="str">
            <v>Arroyo de las Canoas</v>
          </cell>
          <cell r="H5063" t="str">
            <v>laboratorio</v>
          </cell>
          <cell r="J5063" t="str">
            <v>bueno</v>
          </cell>
          <cell r="K5063" t="str">
            <v>probsi</v>
          </cell>
        </row>
        <row r="5064">
          <cell r="B5064" t="b">
            <v>1</v>
          </cell>
          <cell r="E5064" t="str">
            <v>Arroyo de las Canoas</v>
          </cell>
          <cell r="H5064" t="str">
            <v>laboratorio</v>
          </cell>
          <cell r="J5064" t="str">
            <v>bueno</v>
          </cell>
          <cell r="K5064" t="str">
            <v>probsi</v>
          </cell>
        </row>
        <row r="5065">
          <cell r="B5065" t="b">
            <v>1</v>
          </cell>
          <cell r="E5065" t="str">
            <v>Hospital Pozon</v>
          </cell>
          <cell r="H5065" t="str">
            <v>salud_oral</v>
          </cell>
          <cell r="J5065" t="str">
            <v>bueno</v>
          </cell>
          <cell r="K5065" t="str">
            <v>probsi</v>
          </cell>
        </row>
        <row r="5066">
          <cell r="B5066" t="b">
            <v>1</v>
          </cell>
          <cell r="E5066" t="str">
            <v>Arroyo de las Canoas</v>
          </cell>
          <cell r="H5066" t="str">
            <v>salud_oral</v>
          </cell>
          <cell r="J5066" t="str">
            <v>bueno</v>
          </cell>
          <cell r="K5066" t="str">
            <v>probsi</v>
          </cell>
        </row>
        <row r="5067">
          <cell r="B5067" t="b">
            <v>1</v>
          </cell>
          <cell r="E5067" t="str">
            <v>Hospital Pozon</v>
          </cell>
          <cell r="H5067" t="str">
            <v>laboratorio</v>
          </cell>
          <cell r="J5067" t="str">
            <v>bueno</v>
          </cell>
          <cell r="K5067" t="str">
            <v>probsi</v>
          </cell>
        </row>
        <row r="5068">
          <cell r="B5068" t="b">
            <v>1</v>
          </cell>
          <cell r="E5068" t="str">
            <v>Hospital Pozon</v>
          </cell>
          <cell r="H5068" t="str">
            <v>consulta_externa</v>
          </cell>
          <cell r="J5068" t="str">
            <v>bueno</v>
          </cell>
          <cell r="K5068" t="str">
            <v>probsi</v>
          </cell>
        </row>
        <row r="5069">
          <cell r="B5069" t="b">
            <v>1</v>
          </cell>
          <cell r="E5069" t="str">
            <v>Hospital Pozon</v>
          </cell>
          <cell r="H5069" t="str">
            <v>salud_oral</v>
          </cell>
          <cell r="J5069" t="str">
            <v>bueno</v>
          </cell>
          <cell r="K5069" t="str">
            <v>probsi</v>
          </cell>
        </row>
        <row r="5070">
          <cell r="B5070" t="b">
            <v>1</v>
          </cell>
          <cell r="E5070" t="str">
            <v>Arroyo de las Canoas</v>
          </cell>
          <cell r="H5070" t="str">
            <v>consulta_externa</v>
          </cell>
          <cell r="J5070" t="str">
            <v>bueno</v>
          </cell>
          <cell r="K5070" t="str">
            <v>probsi</v>
          </cell>
        </row>
        <row r="5071">
          <cell r="B5071" t="b">
            <v>1</v>
          </cell>
          <cell r="E5071" t="str">
            <v>Arroyo de las Canoas</v>
          </cell>
          <cell r="H5071" t="str">
            <v>consulta_externa</v>
          </cell>
          <cell r="J5071" t="str">
            <v>bueno</v>
          </cell>
          <cell r="K5071" t="str">
            <v>probsi</v>
          </cell>
        </row>
        <row r="5072">
          <cell r="B5072" t="b">
            <v>1</v>
          </cell>
          <cell r="E5072" t="str">
            <v>Arroyo de las Canoas</v>
          </cell>
          <cell r="H5072" t="str">
            <v>consulta_externa</v>
          </cell>
          <cell r="J5072" t="str">
            <v>bueno</v>
          </cell>
          <cell r="K5072" t="str">
            <v>probsi</v>
          </cell>
        </row>
        <row r="5073">
          <cell r="B5073" t="b">
            <v>1</v>
          </cell>
          <cell r="E5073" t="str">
            <v>Arroyo de las Canoas</v>
          </cell>
          <cell r="H5073" t="str">
            <v>consulta_externa</v>
          </cell>
          <cell r="J5073" t="str">
            <v>bueno</v>
          </cell>
          <cell r="K5073" t="str">
            <v>probsi</v>
          </cell>
        </row>
        <row r="5074">
          <cell r="B5074" t="b">
            <v>1</v>
          </cell>
          <cell r="E5074" t="str">
            <v>Arroyo de las Canoas</v>
          </cell>
          <cell r="H5074" t="str">
            <v>laboratorio</v>
          </cell>
          <cell r="J5074" t="str">
            <v>bueno</v>
          </cell>
          <cell r="K5074" t="str">
            <v>probsi</v>
          </cell>
        </row>
        <row r="5075">
          <cell r="B5075" t="b">
            <v>1</v>
          </cell>
          <cell r="E5075" t="str">
            <v>Arroyo de las Canoas</v>
          </cell>
          <cell r="H5075" t="str">
            <v>laboratorio</v>
          </cell>
          <cell r="J5075" t="str">
            <v>bueno</v>
          </cell>
          <cell r="K5075" t="str">
            <v>probsi</v>
          </cell>
        </row>
        <row r="5076">
          <cell r="B5076" t="b">
            <v>1</v>
          </cell>
          <cell r="E5076" t="str">
            <v>Arroyo de las Canoas</v>
          </cell>
          <cell r="H5076" t="str">
            <v>laboratorio</v>
          </cell>
          <cell r="J5076" t="str">
            <v>bueno</v>
          </cell>
          <cell r="K5076" t="str">
            <v>probsi</v>
          </cell>
        </row>
        <row r="5077">
          <cell r="B5077" t="b">
            <v>1</v>
          </cell>
          <cell r="E5077" t="str">
            <v>Arroyo de las Canoas</v>
          </cell>
          <cell r="H5077" t="str">
            <v>laboratorio</v>
          </cell>
          <cell r="J5077" t="str">
            <v>bueno</v>
          </cell>
          <cell r="K5077" t="str">
            <v>probsi</v>
          </cell>
        </row>
        <row r="5078">
          <cell r="B5078" t="b">
            <v>0</v>
          </cell>
          <cell r="E5078" t="str">
            <v>Hospital Pozon</v>
          </cell>
          <cell r="H5078" t="str">
            <v>laboratorio</v>
          </cell>
          <cell r="J5078" t="str">
            <v>regular</v>
          </cell>
          <cell r="K5078" t="str">
            <v>probsi</v>
          </cell>
        </row>
        <row r="5079">
          <cell r="B5079" t="b">
            <v>1</v>
          </cell>
          <cell r="E5079" t="str">
            <v>Cano de Oro</v>
          </cell>
          <cell r="H5079" t="str">
            <v>consulta_externa</v>
          </cell>
          <cell r="J5079" t="str">
            <v>bueno</v>
          </cell>
          <cell r="K5079" t="str">
            <v>defsi</v>
          </cell>
        </row>
        <row r="5080">
          <cell r="B5080" t="b">
            <v>1</v>
          </cell>
          <cell r="E5080" t="str">
            <v>Arroyo de las Canoas</v>
          </cell>
          <cell r="H5080" t="str">
            <v>laboratorio</v>
          </cell>
          <cell r="J5080" t="str">
            <v>bueno</v>
          </cell>
          <cell r="K5080" t="str">
            <v>probsi</v>
          </cell>
        </row>
        <row r="5081">
          <cell r="B5081" t="b">
            <v>1</v>
          </cell>
          <cell r="E5081" t="str">
            <v>Arroyo de las Canoas</v>
          </cell>
          <cell r="H5081" t="str">
            <v>laboratorio</v>
          </cell>
          <cell r="J5081" t="str">
            <v>bueno</v>
          </cell>
          <cell r="K5081" t="str">
            <v>probsi</v>
          </cell>
        </row>
        <row r="5082">
          <cell r="B5082" t="b">
            <v>1</v>
          </cell>
          <cell r="E5082" t="str">
            <v>Arroyo de las Canoas</v>
          </cell>
          <cell r="H5082" t="str">
            <v>consulta_externa</v>
          </cell>
          <cell r="J5082" t="str">
            <v>bueno</v>
          </cell>
          <cell r="K5082" t="str">
            <v>probsi</v>
          </cell>
        </row>
        <row r="5083">
          <cell r="B5083" t="b">
            <v>1</v>
          </cell>
          <cell r="E5083" t="str">
            <v>Arroyo de las Canoas</v>
          </cell>
          <cell r="H5083" t="str">
            <v>consulta_externa</v>
          </cell>
          <cell r="J5083" t="str">
            <v>bueno</v>
          </cell>
          <cell r="K5083" t="str">
            <v>probsi</v>
          </cell>
        </row>
        <row r="5084">
          <cell r="B5084" t="b">
            <v>1</v>
          </cell>
          <cell r="E5084" t="str">
            <v>Hospital Pozon</v>
          </cell>
          <cell r="H5084" t="str">
            <v>consulta_externa</v>
          </cell>
          <cell r="J5084" t="str">
            <v>bueno</v>
          </cell>
          <cell r="K5084" t="str">
            <v>probsi</v>
          </cell>
        </row>
        <row r="5085">
          <cell r="B5085" t="b">
            <v>1</v>
          </cell>
          <cell r="E5085" t="str">
            <v>Cano de Oro</v>
          </cell>
          <cell r="H5085" t="str">
            <v>salud_oral</v>
          </cell>
          <cell r="J5085" t="str">
            <v>bueno</v>
          </cell>
          <cell r="K5085" t="str">
            <v>defsi</v>
          </cell>
        </row>
        <row r="5086">
          <cell r="B5086" t="b">
            <v>0</v>
          </cell>
          <cell r="E5086" t="str">
            <v>Hospital Pozon</v>
          </cell>
          <cell r="H5086" t="str">
            <v>laboratorio</v>
          </cell>
          <cell r="J5086" t="str">
            <v>regular</v>
          </cell>
          <cell r="K5086" t="str">
            <v>probsi</v>
          </cell>
        </row>
        <row r="5087">
          <cell r="B5087" t="b">
            <v>1</v>
          </cell>
          <cell r="E5087" t="str">
            <v>Cano de Oro</v>
          </cell>
          <cell r="H5087" t="str">
            <v>laboratorio</v>
          </cell>
          <cell r="J5087" t="str">
            <v>bueno</v>
          </cell>
          <cell r="K5087" t="str">
            <v>defsi</v>
          </cell>
        </row>
        <row r="5088">
          <cell r="B5088" t="b">
            <v>1</v>
          </cell>
          <cell r="E5088" t="str">
            <v>Hospital Pozon</v>
          </cell>
          <cell r="H5088" t="str">
            <v>rx</v>
          </cell>
          <cell r="J5088" t="str">
            <v>bueno</v>
          </cell>
          <cell r="K5088" t="str">
            <v>probsi</v>
          </cell>
        </row>
        <row r="5089">
          <cell r="B5089" t="b">
            <v>1</v>
          </cell>
          <cell r="E5089" t="str">
            <v>Hospital Pozon</v>
          </cell>
          <cell r="H5089" t="str">
            <v>rx</v>
          </cell>
          <cell r="J5089" t="str">
            <v>bueno</v>
          </cell>
          <cell r="K5089" t="str">
            <v>probsi</v>
          </cell>
        </row>
        <row r="5090">
          <cell r="B5090" t="b">
            <v>1</v>
          </cell>
          <cell r="E5090" t="str">
            <v>Cano de Oro</v>
          </cell>
          <cell r="H5090" t="str">
            <v>consulta_externa</v>
          </cell>
          <cell r="J5090" t="str">
            <v>bueno</v>
          </cell>
          <cell r="K5090" t="str">
            <v>defsi</v>
          </cell>
        </row>
        <row r="5091">
          <cell r="B5091" t="b">
            <v>1</v>
          </cell>
          <cell r="E5091" t="str">
            <v>Cano de Oro</v>
          </cell>
          <cell r="H5091" t="str">
            <v>salud_oral</v>
          </cell>
          <cell r="J5091" t="str">
            <v>bueno</v>
          </cell>
          <cell r="K5091" t="str">
            <v>defsi</v>
          </cell>
        </row>
        <row r="5092">
          <cell r="B5092" t="b">
            <v>1</v>
          </cell>
          <cell r="E5092" t="str">
            <v>Cano de Oro</v>
          </cell>
          <cell r="H5092" t="str">
            <v>laboratorio</v>
          </cell>
          <cell r="J5092" t="str">
            <v>bueno</v>
          </cell>
          <cell r="K5092" t="str">
            <v>defsi</v>
          </cell>
        </row>
        <row r="5093">
          <cell r="B5093" t="b">
            <v>0</v>
          </cell>
          <cell r="E5093" t="str">
            <v>Hospital Pozon</v>
          </cell>
          <cell r="H5093" t="str">
            <v>rx</v>
          </cell>
          <cell r="J5093" t="str">
            <v>regular</v>
          </cell>
          <cell r="K5093" t="str">
            <v>probsi</v>
          </cell>
        </row>
        <row r="5094">
          <cell r="B5094" t="b">
            <v>1</v>
          </cell>
          <cell r="E5094" t="str">
            <v>Cano de Oro</v>
          </cell>
          <cell r="H5094" t="str">
            <v>consulta_externa</v>
          </cell>
          <cell r="J5094" t="str">
            <v>bueno</v>
          </cell>
          <cell r="K5094" t="str">
            <v>defsi</v>
          </cell>
        </row>
        <row r="5095">
          <cell r="B5095" t="b">
            <v>0</v>
          </cell>
          <cell r="E5095" t="str">
            <v>Hospital Pozon</v>
          </cell>
          <cell r="H5095" t="str">
            <v>rx</v>
          </cell>
          <cell r="J5095" t="str">
            <v>regular</v>
          </cell>
          <cell r="K5095" t="str">
            <v>probsi</v>
          </cell>
        </row>
        <row r="5096">
          <cell r="B5096" t="b">
            <v>1</v>
          </cell>
          <cell r="E5096" t="str">
            <v>Cano de Oro</v>
          </cell>
          <cell r="H5096" t="str">
            <v>salud_oral</v>
          </cell>
          <cell r="J5096" t="str">
            <v>bueno</v>
          </cell>
          <cell r="K5096" t="str">
            <v>defsi</v>
          </cell>
        </row>
        <row r="5097">
          <cell r="B5097" t="b">
            <v>1</v>
          </cell>
          <cell r="E5097" t="str">
            <v>Cano de Oro</v>
          </cell>
          <cell r="H5097" t="str">
            <v>laboratorio</v>
          </cell>
          <cell r="J5097" t="str">
            <v>bueno</v>
          </cell>
          <cell r="K5097" t="str">
            <v>defsi</v>
          </cell>
        </row>
        <row r="5098">
          <cell r="B5098" t="b">
            <v>1</v>
          </cell>
          <cell r="E5098" t="str">
            <v>Hospital Pozon</v>
          </cell>
          <cell r="H5098" t="str">
            <v>rx</v>
          </cell>
          <cell r="J5098" t="str">
            <v>bueno</v>
          </cell>
          <cell r="K5098" t="str">
            <v>probsi</v>
          </cell>
        </row>
        <row r="5099">
          <cell r="B5099" t="b">
            <v>1</v>
          </cell>
          <cell r="E5099" t="str">
            <v>Hospital Pozon</v>
          </cell>
          <cell r="H5099" t="str">
            <v>consulta_externa</v>
          </cell>
          <cell r="J5099" t="str">
            <v>bueno</v>
          </cell>
          <cell r="K5099" t="str">
            <v>probsi</v>
          </cell>
        </row>
        <row r="5100">
          <cell r="B5100" t="b">
            <v>1</v>
          </cell>
          <cell r="E5100" t="str">
            <v>Hospital Pozon</v>
          </cell>
          <cell r="H5100" t="str">
            <v>salud_oral</v>
          </cell>
          <cell r="J5100" t="str">
            <v>bueno</v>
          </cell>
          <cell r="K5100" t="str">
            <v>probsi</v>
          </cell>
        </row>
        <row r="5101">
          <cell r="B5101" t="b">
            <v>0</v>
          </cell>
          <cell r="E5101" t="str">
            <v>Hospital Pozon</v>
          </cell>
          <cell r="H5101" t="str">
            <v>rx</v>
          </cell>
          <cell r="J5101" t="str">
            <v>regular</v>
          </cell>
          <cell r="K5101" t="str">
            <v>probsi</v>
          </cell>
        </row>
        <row r="5102">
          <cell r="B5102" t="b">
            <v>1</v>
          </cell>
          <cell r="E5102" t="str">
            <v>Hospital Pozon</v>
          </cell>
          <cell r="H5102" t="str">
            <v>ginecologia</v>
          </cell>
          <cell r="J5102" t="str">
            <v>bueno</v>
          </cell>
          <cell r="K5102" t="str">
            <v>probsi</v>
          </cell>
        </row>
        <row r="5103">
          <cell r="B5103" t="b">
            <v>1</v>
          </cell>
          <cell r="E5103" t="str">
            <v>Cano de Oro</v>
          </cell>
          <cell r="H5103" t="str">
            <v>consulta_externa</v>
          </cell>
          <cell r="J5103" t="str">
            <v>bueno</v>
          </cell>
          <cell r="K5103" t="str">
            <v>defsi</v>
          </cell>
        </row>
        <row r="5104">
          <cell r="B5104" t="b">
            <v>1</v>
          </cell>
          <cell r="E5104" t="str">
            <v>Hospital Pozon</v>
          </cell>
          <cell r="H5104" t="str">
            <v>ginecologia</v>
          </cell>
          <cell r="J5104" t="str">
            <v>bueno</v>
          </cell>
          <cell r="K5104" t="str">
            <v>probsi</v>
          </cell>
        </row>
        <row r="5105">
          <cell r="B5105" t="b">
            <v>1</v>
          </cell>
          <cell r="E5105" t="str">
            <v>Hospital Pozon</v>
          </cell>
          <cell r="H5105" t="str">
            <v>consulta_externa</v>
          </cell>
          <cell r="J5105" t="str">
            <v>bueno</v>
          </cell>
          <cell r="K5105" t="str">
            <v>probsi</v>
          </cell>
        </row>
        <row r="5106">
          <cell r="B5106" t="b">
            <v>1</v>
          </cell>
          <cell r="E5106" t="str">
            <v>Cano de Oro</v>
          </cell>
          <cell r="H5106" t="str">
            <v>salud_oral</v>
          </cell>
          <cell r="J5106" t="str">
            <v>bueno</v>
          </cell>
          <cell r="K5106" t="str">
            <v>defsi</v>
          </cell>
        </row>
        <row r="5107">
          <cell r="B5107" t="b">
            <v>1</v>
          </cell>
          <cell r="E5107" t="str">
            <v>Hospital Pozon</v>
          </cell>
          <cell r="H5107" t="str">
            <v>laboratorio</v>
          </cell>
          <cell r="J5107" t="str">
            <v>bueno</v>
          </cell>
          <cell r="K5107" t="str">
            <v>probsi</v>
          </cell>
        </row>
        <row r="5108">
          <cell r="B5108" t="b">
            <v>1</v>
          </cell>
          <cell r="E5108" t="str">
            <v>Hospital Pozon</v>
          </cell>
          <cell r="H5108" t="str">
            <v>salud_oral</v>
          </cell>
          <cell r="J5108" t="str">
            <v>bueno</v>
          </cell>
          <cell r="K5108" t="str">
            <v>probsi</v>
          </cell>
        </row>
        <row r="5109">
          <cell r="B5109" t="b">
            <v>1</v>
          </cell>
          <cell r="E5109" t="str">
            <v>Cano de Oro</v>
          </cell>
          <cell r="H5109" t="str">
            <v>laboratorio</v>
          </cell>
          <cell r="J5109" t="str">
            <v>bueno</v>
          </cell>
          <cell r="K5109" t="str">
            <v>defsi</v>
          </cell>
        </row>
        <row r="5110">
          <cell r="B5110" t="b">
            <v>1</v>
          </cell>
          <cell r="E5110" t="str">
            <v>Puerto Rey</v>
          </cell>
          <cell r="H5110" t="str">
            <v>consulta_externa</v>
          </cell>
          <cell r="J5110" t="str">
            <v>bueno</v>
          </cell>
          <cell r="K5110" t="str">
            <v>defsi</v>
          </cell>
        </row>
        <row r="5111">
          <cell r="B5111" t="b">
            <v>1</v>
          </cell>
          <cell r="E5111" t="str">
            <v>Puerto Rey</v>
          </cell>
          <cell r="H5111" t="str">
            <v>laboratorio</v>
          </cell>
          <cell r="J5111" t="str">
            <v>bueno</v>
          </cell>
          <cell r="K5111" t="str">
            <v>defsi</v>
          </cell>
        </row>
        <row r="5112">
          <cell r="B5112" t="b">
            <v>1</v>
          </cell>
          <cell r="E5112" t="str">
            <v>Hospital Pozon</v>
          </cell>
          <cell r="H5112" t="str">
            <v>consulta_externa</v>
          </cell>
          <cell r="J5112" t="str">
            <v>bueno</v>
          </cell>
          <cell r="K5112" t="str">
            <v>probsi</v>
          </cell>
        </row>
        <row r="5113">
          <cell r="B5113" t="b">
            <v>1</v>
          </cell>
          <cell r="E5113" t="str">
            <v>Puerto Rey</v>
          </cell>
          <cell r="H5113" t="str">
            <v>consulta_externa</v>
          </cell>
          <cell r="J5113" t="str">
            <v>bueno</v>
          </cell>
          <cell r="K5113" t="str">
            <v>defsi</v>
          </cell>
        </row>
        <row r="5114">
          <cell r="B5114" t="b">
            <v>1</v>
          </cell>
          <cell r="E5114" t="str">
            <v>Hospital Pozon</v>
          </cell>
          <cell r="H5114" t="str">
            <v>salud_oral</v>
          </cell>
          <cell r="J5114" t="str">
            <v>bueno</v>
          </cell>
          <cell r="K5114" t="str">
            <v>probsi</v>
          </cell>
        </row>
        <row r="5115">
          <cell r="B5115" t="b">
            <v>1</v>
          </cell>
          <cell r="E5115" t="str">
            <v>Hospital Pozon</v>
          </cell>
          <cell r="H5115" t="str">
            <v>urgencia</v>
          </cell>
          <cell r="J5115" t="str">
            <v>bueno</v>
          </cell>
          <cell r="K5115" t="str">
            <v>probsi</v>
          </cell>
        </row>
        <row r="5116">
          <cell r="B5116" t="b">
            <v>0</v>
          </cell>
          <cell r="E5116" t="str">
            <v>Hospital Pozon</v>
          </cell>
          <cell r="H5116" t="str">
            <v>consulta_externa</v>
          </cell>
          <cell r="J5116" t="str">
            <v>regular</v>
          </cell>
          <cell r="K5116" t="str">
            <v>probsi</v>
          </cell>
        </row>
        <row r="5117">
          <cell r="B5117" t="b">
            <v>1</v>
          </cell>
          <cell r="E5117" t="str">
            <v>Puerto Rey</v>
          </cell>
          <cell r="H5117" t="str">
            <v>salud_oral</v>
          </cell>
          <cell r="J5117" t="str">
            <v>bueno</v>
          </cell>
          <cell r="K5117" t="str">
            <v>defsi</v>
          </cell>
        </row>
        <row r="5118">
          <cell r="B5118" t="b">
            <v>1</v>
          </cell>
          <cell r="E5118" t="str">
            <v>Hospital Pozon</v>
          </cell>
          <cell r="H5118" t="str">
            <v>consulta_externa</v>
          </cell>
          <cell r="J5118" t="str">
            <v>bueno</v>
          </cell>
          <cell r="K5118" t="str">
            <v>probsi</v>
          </cell>
        </row>
        <row r="5119">
          <cell r="B5119" t="b">
            <v>1</v>
          </cell>
          <cell r="E5119" t="str">
            <v>Puerto Rey</v>
          </cell>
          <cell r="H5119" t="str">
            <v>consulta_externa</v>
          </cell>
          <cell r="J5119" t="str">
            <v>bueno</v>
          </cell>
          <cell r="K5119" t="str">
            <v>defsi</v>
          </cell>
        </row>
        <row r="5120">
          <cell r="B5120" t="b">
            <v>1</v>
          </cell>
          <cell r="E5120" t="str">
            <v>Puerto Rey</v>
          </cell>
          <cell r="H5120" t="str">
            <v>laboratorio</v>
          </cell>
          <cell r="J5120" t="str">
            <v>bueno</v>
          </cell>
          <cell r="K5120" t="str">
            <v>defsi</v>
          </cell>
        </row>
        <row r="5121">
          <cell r="B5121" t="b">
            <v>1</v>
          </cell>
          <cell r="E5121" t="str">
            <v>Hospital Pozon</v>
          </cell>
          <cell r="H5121" t="str">
            <v>consulta_externa</v>
          </cell>
          <cell r="J5121" t="str">
            <v>bueno</v>
          </cell>
          <cell r="K5121" t="str">
            <v>probsi</v>
          </cell>
        </row>
        <row r="5122">
          <cell r="B5122" t="b">
            <v>1</v>
          </cell>
          <cell r="E5122" t="str">
            <v>Puerto Rey</v>
          </cell>
          <cell r="H5122" t="str">
            <v>salud_oral</v>
          </cell>
          <cell r="J5122" t="str">
            <v>bueno</v>
          </cell>
          <cell r="K5122" t="str">
            <v>defsi</v>
          </cell>
        </row>
        <row r="5123">
          <cell r="B5123" t="b">
            <v>1</v>
          </cell>
          <cell r="E5123" t="str">
            <v>Hospital Pozon</v>
          </cell>
          <cell r="H5123" t="str">
            <v>laboratorio</v>
          </cell>
          <cell r="J5123" t="str">
            <v>bueno</v>
          </cell>
          <cell r="K5123" t="str">
            <v>probsi</v>
          </cell>
        </row>
        <row r="5124">
          <cell r="B5124" t="b">
            <v>1</v>
          </cell>
          <cell r="E5124" t="str">
            <v>Cano de Oro</v>
          </cell>
          <cell r="H5124" t="str">
            <v>consulta_externa</v>
          </cell>
          <cell r="J5124" t="str">
            <v>bueno</v>
          </cell>
          <cell r="K5124" t="str">
            <v>defsi</v>
          </cell>
        </row>
        <row r="5125">
          <cell r="B5125" t="b">
            <v>1</v>
          </cell>
          <cell r="E5125" t="str">
            <v>Cano de Oro</v>
          </cell>
          <cell r="H5125" t="str">
            <v>salud_oral</v>
          </cell>
          <cell r="J5125" t="str">
            <v>bueno</v>
          </cell>
          <cell r="K5125" t="str">
            <v>defsi</v>
          </cell>
        </row>
        <row r="5126">
          <cell r="B5126" t="b">
            <v>1</v>
          </cell>
          <cell r="E5126" t="str">
            <v>Cano de Oro</v>
          </cell>
          <cell r="H5126" t="str">
            <v>laboratorio</v>
          </cell>
          <cell r="J5126" t="str">
            <v>bueno</v>
          </cell>
          <cell r="K5126" t="str">
            <v>defsi</v>
          </cell>
        </row>
        <row r="5127">
          <cell r="B5127" t="b">
            <v>1</v>
          </cell>
          <cell r="E5127" t="str">
            <v>Puerto Rey</v>
          </cell>
          <cell r="H5127" t="str">
            <v>consulta_externa</v>
          </cell>
          <cell r="J5127" t="str">
            <v>bueno</v>
          </cell>
          <cell r="K5127" t="str">
            <v>defsi</v>
          </cell>
        </row>
        <row r="5128">
          <cell r="B5128" t="b">
            <v>1</v>
          </cell>
          <cell r="E5128" t="str">
            <v>Hospital Pozon</v>
          </cell>
          <cell r="H5128" t="str">
            <v>consulta_externa</v>
          </cell>
          <cell r="J5128" t="str">
            <v>bueno</v>
          </cell>
          <cell r="K5128" t="str">
            <v>probsi</v>
          </cell>
        </row>
        <row r="5129">
          <cell r="B5129" t="b">
            <v>1</v>
          </cell>
          <cell r="E5129" t="str">
            <v>Puerto Rey</v>
          </cell>
          <cell r="H5129" t="str">
            <v>laboratorio</v>
          </cell>
          <cell r="J5129" t="str">
            <v>bueno</v>
          </cell>
          <cell r="K5129" t="str">
            <v>defsi</v>
          </cell>
        </row>
        <row r="5130">
          <cell r="B5130" t="b">
            <v>1</v>
          </cell>
          <cell r="E5130" t="str">
            <v>Hospital Pozon</v>
          </cell>
          <cell r="H5130" t="str">
            <v>urgencia</v>
          </cell>
          <cell r="J5130" t="str">
            <v>bueno</v>
          </cell>
          <cell r="K5130" t="str">
            <v>probsi</v>
          </cell>
        </row>
        <row r="5131">
          <cell r="B5131" t="b">
            <v>1</v>
          </cell>
          <cell r="E5131" t="str">
            <v>Cano de Oro</v>
          </cell>
          <cell r="H5131" t="str">
            <v>consulta_externa</v>
          </cell>
          <cell r="J5131" t="str">
            <v>bueno</v>
          </cell>
          <cell r="K5131" t="str">
            <v>defsi</v>
          </cell>
        </row>
        <row r="5132">
          <cell r="B5132" t="b">
            <v>1</v>
          </cell>
          <cell r="E5132" t="str">
            <v>Puerto Rey</v>
          </cell>
          <cell r="H5132" t="str">
            <v>laboratorio</v>
          </cell>
          <cell r="J5132" t="str">
            <v>bueno</v>
          </cell>
          <cell r="K5132" t="str">
            <v>defsi</v>
          </cell>
        </row>
        <row r="5133">
          <cell r="B5133" t="b">
            <v>1</v>
          </cell>
          <cell r="E5133" t="str">
            <v>Puerto Rey</v>
          </cell>
          <cell r="H5133" t="str">
            <v>laboratorio</v>
          </cell>
          <cell r="J5133" t="str">
            <v>bueno</v>
          </cell>
          <cell r="K5133" t="str">
            <v>defsi</v>
          </cell>
        </row>
        <row r="5134">
          <cell r="B5134" t="b">
            <v>1</v>
          </cell>
          <cell r="E5134" t="str">
            <v>Hospital Pozon</v>
          </cell>
          <cell r="H5134" t="str">
            <v>consulta_externa</v>
          </cell>
          <cell r="J5134" t="str">
            <v>bueno</v>
          </cell>
          <cell r="K5134" t="str">
            <v>probsi</v>
          </cell>
        </row>
        <row r="5135">
          <cell r="B5135" t="b">
            <v>1</v>
          </cell>
          <cell r="E5135" t="str">
            <v>Puerto Rey</v>
          </cell>
          <cell r="H5135" t="str">
            <v>salud_oral</v>
          </cell>
          <cell r="J5135" t="str">
            <v>bueno</v>
          </cell>
          <cell r="K5135" t="str">
            <v>defsi</v>
          </cell>
        </row>
        <row r="5136">
          <cell r="B5136" t="b">
            <v>1</v>
          </cell>
          <cell r="E5136" t="str">
            <v>Cano de Oro</v>
          </cell>
          <cell r="H5136" t="str">
            <v>salud_oral</v>
          </cell>
          <cell r="J5136" t="str">
            <v>bueno</v>
          </cell>
          <cell r="K5136" t="str">
            <v>defsi</v>
          </cell>
        </row>
        <row r="5137">
          <cell r="B5137" t="b">
            <v>1</v>
          </cell>
          <cell r="E5137" t="str">
            <v>Puerto Rey</v>
          </cell>
          <cell r="H5137" t="str">
            <v>salud_oral</v>
          </cell>
          <cell r="J5137" t="str">
            <v>muybueno</v>
          </cell>
          <cell r="K5137" t="str">
            <v>defsi</v>
          </cell>
        </row>
        <row r="5138">
          <cell r="B5138" t="b">
            <v>1</v>
          </cell>
          <cell r="E5138" t="str">
            <v>Puerto Rey</v>
          </cell>
          <cell r="H5138" t="str">
            <v>salud_oral</v>
          </cell>
          <cell r="J5138" t="str">
            <v>bueno</v>
          </cell>
          <cell r="K5138" t="str">
            <v>defsi</v>
          </cell>
        </row>
        <row r="5139">
          <cell r="B5139" t="b">
            <v>1</v>
          </cell>
          <cell r="E5139" t="str">
            <v>Cano de Oro</v>
          </cell>
          <cell r="H5139" t="str">
            <v>laboratorio</v>
          </cell>
          <cell r="J5139" t="str">
            <v>bueno</v>
          </cell>
          <cell r="K5139" t="str">
            <v>defsi</v>
          </cell>
        </row>
        <row r="5140">
          <cell r="B5140" t="b">
            <v>1</v>
          </cell>
          <cell r="E5140" t="str">
            <v>Puerto Rey</v>
          </cell>
          <cell r="H5140" t="str">
            <v>consulta_externa</v>
          </cell>
          <cell r="J5140" t="str">
            <v>bueno</v>
          </cell>
          <cell r="K5140" t="str">
            <v>defsi</v>
          </cell>
        </row>
        <row r="5141">
          <cell r="B5141" t="b">
            <v>1</v>
          </cell>
          <cell r="E5141" t="str">
            <v>Hospital Pozon</v>
          </cell>
          <cell r="H5141" t="str">
            <v>salud_oral</v>
          </cell>
          <cell r="J5141" t="str">
            <v>bueno</v>
          </cell>
          <cell r="K5141" t="str">
            <v>probsi</v>
          </cell>
        </row>
        <row r="5142">
          <cell r="B5142" t="b">
            <v>1</v>
          </cell>
          <cell r="E5142" t="str">
            <v>Cano de Oro</v>
          </cell>
          <cell r="H5142" t="str">
            <v>consulta_externa</v>
          </cell>
          <cell r="J5142" t="str">
            <v>bueno</v>
          </cell>
          <cell r="K5142" t="str">
            <v>defsi</v>
          </cell>
        </row>
        <row r="5143">
          <cell r="B5143" t="b">
            <v>1</v>
          </cell>
          <cell r="E5143" t="str">
            <v>Hospital Pozon</v>
          </cell>
          <cell r="H5143" t="str">
            <v>laboratorio</v>
          </cell>
          <cell r="J5143" t="str">
            <v>bueno</v>
          </cell>
          <cell r="K5143" t="str">
            <v>probsi</v>
          </cell>
        </row>
        <row r="5144">
          <cell r="B5144" t="b">
            <v>1</v>
          </cell>
          <cell r="E5144" t="str">
            <v>Puerto Rey</v>
          </cell>
          <cell r="H5144" t="str">
            <v>consulta_externa</v>
          </cell>
          <cell r="J5144" t="str">
            <v>bueno</v>
          </cell>
          <cell r="K5144" t="str">
            <v>defsi</v>
          </cell>
        </row>
        <row r="5145">
          <cell r="B5145" t="b">
            <v>1</v>
          </cell>
          <cell r="E5145" t="str">
            <v>Cano de Oro</v>
          </cell>
          <cell r="H5145" t="str">
            <v>salud_oral</v>
          </cell>
          <cell r="J5145" t="str">
            <v>bueno</v>
          </cell>
          <cell r="K5145" t="str">
            <v>defsi</v>
          </cell>
        </row>
        <row r="5146">
          <cell r="B5146" t="b">
            <v>1</v>
          </cell>
          <cell r="E5146" t="str">
            <v>Puerto Rey</v>
          </cell>
          <cell r="H5146" t="str">
            <v>consulta_externa</v>
          </cell>
          <cell r="J5146" t="str">
            <v>muybueno</v>
          </cell>
          <cell r="K5146" t="str">
            <v>defsi</v>
          </cell>
        </row>
        <row r="5147">
          <cell r="B5147" t="b">
            <v>1</v>
          </cell>
          <cell r="E5147" t="str">
            <v>Hospital Pozon</v>
          </cell>
          <cell r="H5147" t="str">
            <v>ginecologia</v>
          </cell>
          <cell r="J5147" t="str">
            <v>bueno</v>
          </cell>
          <cell r="K5147" t="str">
            <v>probsi</v>
          </cell>
        </row>
        <row r="5148">
          <cell r="B5148" t="b">
            <v>1</v>
          </cell>
          <cell r="E5148" t="str">
            <v>Cano de Oro</v>
          </cell>
          <cell r="H5148" t="str">
            <v>laboratorio</v>
          </cell>
          <cell r="J5148" t="str">
            <v>bueno</v>
          </cell>
          <cell r="K5148" t="str">
            <v>defsi</v>
          </cell>
        </row>
        <row r="5149">
          <cell r="B5149" t="b">
            <v>1</v>
          </cell>
          <cell r="E5149" t="str">
            <v>Hospital Pozon</v>
          </cell>
          <cell r="H5149" t="str">
            <v>laboratorio</v>
          </cell>
          <cell r="J5149" t="str">
            <v>bueno</v>
          </cell>
          <cell r="K5149" t="str">
            <v>probsi</v>
          </cell>
        </row>
        <row r="5150">
          <cell r="B5150" t="b">
            <v>1</v>
          </cell>
          <cell r="E5150" t="str">
            <v>Puerto Rey</v>
          </cell>
          <cell r="H5150" t="str">
            <v>consulta_externa</v>
          </cell>
          <cell r="J5150" t="str">
            <v>bueno</v>
          </cell>
          <cell r="K5150" t="str">
            <v>defsi</v>
          </cell>
        </row>
        <row r="5151">
          <cell r="B5151" t="b">
            <v>1</v>
          </cell>
          <cell r="E5151" t="str">
            <v>Puerto Rey</v>
          </cell>
          <cell r="H5151" t="str">
            <v>consulta_externa</v>
          </cell>
          <cell r="J5151" t="str">
            <v>bueno</v>
          </cell>
          <cell r="K5151" t="str">
            <v>defsi</v>
          </cell>
        </row>
        <row r="5152">
          <cell r="B5152" t="b">
            <v>1</v>
          </cell>
          <cell r="E5152" t="str">
            <v>Puerto Rey</v>
          </cell>
          <cell r="H5152" t="str">
            <v>consulta_externa</v>
          </cell>
          <cell r="J5152" t="str">
            <v>bueno</v>
          </cell>
          <cell r="K5152" t="str">
            <v>defsi</v>
          </cell>
        </row>
        <row r="5153">
          <cell r="B5153" t="b">
            <v>1</v>
          </cell>
          <cell r="E5153" t="str">
            <v>Puerto Rey</v>
          </cell>
          <cell r="H5153" t="str">
            <v>laboratorio</v>
          </cell>
          <cell r="J5153" t="str">
            <v>bueno</v>
          </cell>
          <cell r="K5153" t="str">
            <v>defsi</v>
          </cell>
        </row>
        <row r="5154">
          <cell r="B5154" t="b">
            <v>1</v>
          </cell>
          <cell r="E5154" t="str">
            <v>Cano de Oro</v>
          </cell>
          <cell r="H5154" t="str">
            <v>consulta_externa</v>
          </cell>
          <cell r="J5154" t="str">
            <v>bueno</v>
          </cell>
          <cell r="K5154" t="str">
            <v>defsi</v>
          </cell>
        </row>
        <row r="5155">
          <cell r="B5155" t="b">
            <v>1</v>
          </cell>
          <cell r="E5155" t="str">
            <v>Puerto Rey</v>
          </cell>
          <cell r="H5155" t="str">
            <v>laboratorio</v>
          </cell>
          <cell r="J5155" t="str">
            <v>muybueno</v>
          </cell>
          <cell r="K5155" t="str">
            <v>defsi</v>
          </cell>
        </row>
        <row r="5156">
          <cell r="B5156" t="b">
            <v>1</v>
          </cell>
          <cell r="E5156" t="str">
            <v>Puerto Rey</v>
          </cell>
          <cell r="H5156" t="str">
            <v>consulta_externa</v>
          </cell>
          <cell r="J5156" t="str">
            <v>muybueno</v>
          </cell>
          <cell r="K5156" t="str">
            <v>defsi</v>
          </cell>
        </row>
        <row r="5157">
          <cell r="B5157" t="b">
            <v>1</v>
          </cell>
          <cell r="E5157" t="str">
            <v>Cano de Oro</v>
          </cell>
          <cell r="H5157" t="str">
            <v>salud_oral</v>
          </cell>
          <cell r="J5157" t="str">
            <v>bueno</v>
          </cell>
          <cell r="K5157" t="str">
            <v>defsi</v>
          </cell>
        </row>
        <row r="5158">
          <cell r="B5158" t="b">
            <v>1</v>
          </cell>
          <cell r="E5158" t="str">
            <v>Hospital Pozon</v>
          </cell>
          <cell r="H5158" t="str">
            <v>salud_oral</v>
          </cell>
          <cell r="J5158" t="str">
            <v>bueno</v>
          </cell>
          <cell r="K5158" t="str">
            <v>probsi</v>
          </cell>
        </row>
        <row r="5159">
          <cell r="B5159" t="b">
            <v>1</v>
          </cell>
          <cell r="E5159" t="str">
            <v>Puerto Rey</v>
          </cell>
          <cell r="H5159" t="str">
            <v>salud_oral</v>
          </cell>
          <cell r="J5159" t="str">
            <v>bueno</v>
          </cell>
          <cell r="K5159" t="str">
            <v>defsi</v>
          </cell>
        </row>
        <row r="5160">
          <cell r="B5160" t="b">
            <v>1</v>
          </cell>
          <cell r="E5160" t="str">
            <v>Cano de Oro</v>
          </cell>
          <cell r="H5160" t="str">
            <v>laboratorio</v>
          </cell>
          <cell r="J5160" t="str">
            <v>bueno</v>
          </cell>
          <cell r="K5160" t="str">
            <v>defsi</v>
          </cell>
        </row>
        <row r="5161">
          <cell r="B5161" t="b">
            <v>1</v>
          </cell>
          <cell r="E5161" t="str">
            <v>Hospital Pozon</v>
          </cell>
          <cell r="H5161" t="str">
            <v>laboratorio</v>
          </cell>
          <cell r="J5161" t="str">
            <v>bueno</v>
          </cell>
          <cell r="K5161" t="str">
            <v>probsi</v>
          </cell>
        </row>
        <row r="5162">
          <cell r="B5162" t="b">
            <v>1</v>
          </cell>
          <cell r="E5162" t="str">
            <v>Puerto Rey</v>
          </cell>
          <cell r="H5162" t="str">
            <v>salud_oral</v>
          </cell>
          <cell r="J5162" t="str">
            <v>bueno</v>
          </cell>
          <cell r="K5162" t="str">
            <v>defsi</v>
          </cell>
        </row>
        <row r="5163">
          <cell r="B5163" t="b">
            <v>1</v>
          </cell>
          <cell r="E5163" t="str">
            <v>Puerto Rey</v>
          </cell>
          <cell r="H5163" t="str">
            <v>salud_oral</v>
          </cell>
          <cell r="J5163" t="str">
            <v>bueno</v>
          </cell>
          <cell r="K5163" t="str">
            <v>defsi</v>
          </cell>
        </row>
        <row r="5164">
          <cell r="B5164" t="b">
            <v>1</v>
          </cell>
          <cell r="E5164" t="str">
            <v>Puerto Rey</v>
          </cell>
          <cell r="H5164" t="str">
            <v>salud_oral</v>
          </cell>
          <cell r="J5164" t="str">
            <v>muybueno</v>
          </cell>
          <cell r="K5164" t="str">
            <v>defsi</v>
          </cell>
        </row>
        <row r="5165">
          <cell r="B5165" t="b">
            <v>1</v>
          </cell>
          <cell r="E5165" t="str">
            <v>Cano de Oro</v>
          </cell>
          <cell r="H5165" t="str">
            <v>consulta_externa</v>
          </cell>
          <cell r="J5165" t="str">
            <v>bueno</v>
          </cell>
          <cell r="K5165" t="str">
            <v>defsi</v>
          </cell>
        </row>
        <row r="5166">
          <cell r="B5166" t="b">
            <v>1</v>
          </cell>
          <cell r="E5166" t="str">
            <v>Puerto Rey</v>
          </cell>
          <cell r="H5166" t="str">
            <v>consulta_externa</v>
          </cell>
          <cell r="J5166" t="str">
            <v>bueno</v>
          </cell>
          <cell r="K5166" t="str">
            <v>defsi</v>
          </cell>
        </row>
        <row r="5167">
          <cell r="B5167" t="b">
            <v>1</v>
          </cell>
          <cell r="E5167" t="str">
            <v>Puerto Rey</v>
          </cell>
          <cell r="H5167" t="str">
            <v>laboratorio</v>
          </cell>
          <cell r="J5167" t="str">
            <v>bueno</v>
          </cell>
          <cell r="K5167" t="str">
            <v>defsi</v>
          </cell>
        </row>
        <row r="5168">
          <cell r="B5168" t="b">
            <v>1</v>
          </cell>
          <cell r="E5168" t="str">
            <v>Cano de Oro</v>
          </cell>
          <cell r="H5168" t="str">
            <v>salud_oral</v>
          </cell>
          <cell r="J5168" t="str">
            <v>bueno</v>
          </cell>
          <cell r="K5168" t="str">
            <v>defsi</v>
          </cell>
        </row>
        <row r="5169">
          <cell r="B5169" t="b">
            <v>1</v>
          </cell>
          <cell r="E5169" t="str">
            <v>Puerto Rey</v>
          </cell>
          <cell r="H5169" t="str">
            <v>laboratorio</v>
          </cell>
          <cell r="J5169" t="str">
            <v>bueno</v>
          </cell>
          <cell r="K5169" t="str">
            <v>defsi</v>
          </cell>
        </row>
        <row r="5170">
          <cell r="B5170" t="b">
            <v>1</v>
          </cell>
          <cell r="E5170" t="str">
            <v>Cano de Oro</v>
          </cell>
          <cell r="H5170" t="str">
            <v>laboratorio</v>
          </cell>
          <cell r="J5170" t="str">
            <v>bueno</v>
          </cell>
          <cell r="K5170" t="str">
            <v>defsi</v>
          </cell>
        </row>
        <row r="5171">
          <cell r="B5171" t="b">
            <v>1</v>
          </cell>
          <cell r="E5171" t="str">
            <v>Puerto Rey</v>
          </cell>
          <cell r="H5171" t="str">
            <v>salud_oral</v>
          </cell>
          <cell r="J5171" t="str">
            <v>bueno</v>
          </cell>
          <cell r="K5171" t="str">
            <v>defsi</v>
          </cell>
        </row>
        <row r="5172">
          <cell r="B5172" t="b">
            <v>1</v>
          </cell>
          <cell r="E5172" t="str">
            <v>Hospital Pozon</v>
          </cell>
          <cell r="H5172" t="str">
            <v>salud_oral</v>
          </cell>
          <cell r="J5172" t="str">
            <v>bueno</v>
          </cell>
          <cell r="K5172" t="str">
            <v>probsi</v>
          </cell>
        </row>
        <row r="5173">
          <cell r="B5173" t="b">
            <v>1</v>
          </cell>
          <cell r="E5173" t="str">
            <v>Puerto Rey</v>
          </cell>
          <cell r="H5173" t="str">
            <v>laboratorio</v>
          </cell>
          <cell r="J5173" t="str">
            <v>bueno</v>
          </cell>
          <cell r="K5173" t="str">
            <v>defsi</v>
          </cell>
        </row>
        <row r="5174">
          <cell r="B5174" t="b">
            <v>1</v>
          </cell>
          <cell r="E5174" t="str">
            <v>Puerto Rey</v>
          </cell>
          <cell r="H5174" t="str">
            <v>laboratorio</v>
          </cell>
          <cell r="J5174" t="str">
            <v>bueno</v>
          </cell>
          <cell r="K5174" t="str">
            <v>defsi</v>
          </cell>
        </row>
        <row r="5175">
          <cell r="B5175" t="b">
            <v>1</v>
          </cell>
          <cell r="E5175" t="str">
            <v>Puerto Rey</v>
          </cell>
          <cell r="H5175" t="str">
            <v>laboratorio</v>
          </cell>
          <cell r="J5175" t="str">
            <v>bueno</v>
          </cell>
          <cell r="K5175" t="str">
            <v>defsi</v>
          </cell>
        </row>
        <row r="5176">
          <cell r="B5176" t="b">
            <v>1</v>
          </cell>
          <cell r="E5176" t="str">
            <v>Cano de Oro</v>
          </cell>
          <cell r="H5176" t="str">
            <v>consulta_externa</v>
          </cell>
          <cell r="J5176" t="str">
            <v>bueno</v>
          </cell>
          <cell r="K5176" t="str">
            <v>defsi</v>
          </cell>
        </row>
        <row r="5177">
          <cell r="B5177" t="b">
            <v>1</v>
          </cell>
          <cell r="E5177" t="str">
            <v>Cano de Oro</v>
          </cell>
          <cell r="H5177" t="str">
            <v>salud_oral</v>
          </cell>
          <cell r="J5177" t="str">
            <v>bueno</v>
          </cell>
          <cell r="K5177" t="str">
            <v>defsi</v>
          </cell>
        </row>
        <row r="5178">
          <cell r="B5178" t="b">
            <v>1</v>
          </cell>
          <cell r="E5178" t="str">
            <v>Cano de Oro</v>
          </cell>
          <cell r="H5178" t="str">
            <v>laboratorio</v>
          </cell>
          <cell r="J5178" t="str">
            <v>bueno</v>
          </cell>
          <cell r="K5178" t="str">
            <v>defsi</v>
          </cell>
        </row>
        <row r="5179">
          <cell r="B5179" t="b">
            <v>1</v>
          </cell>
          <cell r="E5179" t="str">
            <v>Cano de Oro</v>
          </cell>
          <cell r="H5179" t="str">
            <v>consulta_externa</v>
          </cell>
          <cell r="J5179" t="str">
            <v>bueno</v>
          </cell>
          <cell r="K5179" t="str">
            <v>defsi</v>
          </cell>
        </row>
        <row r="5180">
          <cell r="B5180" t="b">
            <v>1</v>
          </cell>
          <cell r="E5180" t="str">
            <v>Cano de Oro</v>
          </cell>
          <cell r="H5180" t="str">
            <v>salud_oral</v>
          </cell>
          <cell r="J5180" t="str">
            <v>bueno</v>
          </cell>
          <cell r="K5180" t="str">
            <v>defsi</v>
          </cell>
        </row>
        <row r="5181">
          <cell r="B5181" t="b">
            <v>1</v>
          </cell>
          <cell r="E5181" t="str">
            <v>Cano de Oro</v>
          </cell>
          <cell r="H5181" t="str">
            <v>laboratorio</v>
          </cell>
          <cell r="J5181" t="str">
            <v>bueno</v>
          </cell>
          <cell r="K5181" t="str">
            <v>defsi</v>
          </cell>
        </row>
        <row r="5182">
          <cell r="B5182" t="b">
            <v>1</v>
          </cell>
          <cell r="E5182" t="str">
            <v>Cano de Oro</v>
          </cell>
          <cell r="H5182" t="str">
            <v>laboratorio</v>
          </cell>
          <cell r="J5182" t="str">
            <v>bueno</v>
          </cell>
          <cell r="K5182" t="str">
            <v>defsi</v>
          </cell>
        </row>
        <row r="5183">
          <cell r="B5183" t="b">
            <v>1</v>
          </cell>
          <cell r="E5183" t="str">
            <v>Cano de Oro</v>
          </cell>
          <cell r="H5183" t="str">
            <v>salud_oral</v>
          </cell>
          <cell r="J5183" t="str">
            <v>bueno</v>
          </cell>
          <cell r="K5183" t="str">
            <v>defsi</v>
          </cell>
        </row>
        <row r="5184">
          <cell r="B5184" t="b">
            <v>1</v>
          </cell>
          <cell r="E5184" t="str">
            <v>Cano de Oro</v>
          </cell>
          <cell r="H5184" t="str">
            <v>consulta_externa</v>
          </cell>
          <cell r="J5184" t="str">
            <v>bueno</v>
          </cell>
          <cell r="K5184" t="str">
            <v>defsi</v>
          </cell>
        </row>
        <row r="5185">
          <cell r="B5185" t="b">
            <v>1</v>
          </cell>
          <cell r="E5185" t="str">
            <v>Cano de Oro</v>
          </cell>
          <cell r="H5185" t="str">
            <v>consulta_externa</v>
          </cell>
          <cell r="J5185" t="str">
            <v>bueno</v>
          </cell>
          <cell r="K5185" t="str">
            <v>defsi</v>
          </cell>
        </row>
        <row r="5186">
          <cell r="B5186" t="b">
            <v>1</v>
          </cell>
          <cell r="E5186" t="str">
            <v>Puerto Rey</v>
          </cell>
          <cell r="H5186" t="str">
            <v>salud_oral</v>
          </cell>
          <cell r="J5186" t="str">
            <v>bueno</v>
          </cell>
          <cell r="K5186" t="str">
            <v>defsi</v>
          </cell>
        </row>
        <row r="5187">
          <cell r="B5187" t="b">
            <v>1</v>
          </cell>
          <cell r="E5187" t="str">
            <v>Puerto Rey</v>
          </cell>
          <cell r="H5187" t="str">
            <v>salud_oral</v>
          </cell>
          <cell r="J5187" t="str">
            <v>bueno</v>
          </cell>
          <cell r="K5187" t="str">
            <v>defsi</v>
          </cell>
        </row>
        <row r="5188">
          <cell r="B5188" t="b">
            <v>1</v>
          </cell>
          <cell r="E5188" t="str">
            <v>Puerto Rey</v>
          </cell>
          <cell r="H5188" t="str">
            <v>laboratorio</v>
          </cell>
          <cell r="J5188" t="str">
            <v>muybueno</v>
          </cell>
          <cell r="K5188" t="str">
            <v>defsi</v>
          </cell>
        </row>
        <row r="5189">
          <cell r="B5189" t="b">
            <v>1</v>
          </cell>
          <cell r="E5189" t="str">
            <v>Puerto Rey</v>
          </cell>
          <cell r="H5189" t="str">
            <v>laboratorio</v>
          </cell>
          <cell r="J5189" t="str">
            <v>bueno</v>
          </cell>
          <cell r="K5189" t="str">
            <v>defsi</v>
          </cell>
        </row>
        <row r="5190">
          <cell r="B5190" t="b">
            <v>1</v>
          </cell>
          <cell r="E5190" t="str">
            <v>Arroyo Grande</v>
          </cell>
          <cell r="H5190" t="str">
            <v>consulta_externa</v>
          </cell>
          <cell r="J5190" t="str">
            <v>bueno</v>
          </cell>
          <cell r="K5190" t="str">
            <v>probsi</v>
          </cell>
        </row>
        <row r="5191">
          <cell r="B5191" t="b">
            <v>1</v>
          </cell>
          <cell r="E5191" t="str">
            <v>Arroyo Grande</v>
          </cell>
          <cell r="H5191" t="str">
            <v>consulta_externa</v>
          </cell>
          <cell r="J5191" t="str">
            <v>bueno</v>
          </cell>
          <cell r="K5191" t="str">
            <v>probsi</v>
          </cell>
        </row>
        <row r="5192">
          <cell r="B5192" t="b">
            <v>1</v>
          </cell>
          <cell r="E5192" t="str">
            <v>Arroyo Grande</v>
          </cell>
          <cell r="H5192" t="str">
            <v>consulta_externa</v>
          </cell>
          <cell r="J5192" t="str">
            <v>bueno</v>
          </cell>
          <cell r="K5192" t="str">
            <v>probsi</v>
          </cell>
        </row>
        <row r="5193">
          <cell r="B5193" t="b">
            <v>1</v>
          </cell>
          <cell r="E5193" t="str">
            <v>Arroyo Grande</v>
          </cell>
          <cell r="H5193" t="str">
            <v>consulta_externa</v>
          </cell>
          <cell r="J5193" t="str">
            <v>bueno</v>
          </cell>
          <cell r="K5193" t="str">
            <v>probsi</v>
          </cell>
        </row>
        <row r="5194">
          <cell r="B5194" t="b">
            <v>1</v>
          </cell>
          <cell r="E5194" t="str">
            <v>Arroyo Grande</v>
          </cell>
          <cell r="H5194" t="str">
            <v>consulta_externa</v>
          </cell>
          <cell r="J5194" t="str">
            <v>bueno</v>
          </cell>
          <cell r="K5194" t="str">
            <v>probsi</v>
          </cell>
        </row>
        <row r="5195">
          <cell r="B5195" t="b">
            <v>1</v>
          </cell>
          <cell r="E5195" t="str">
            <v>Arroyo Grande</v>
          </cell>
          <cell r="H5195" t="str">
            <v>consulta_externa</v>
          </cell>
          <cell r="J5195" t="str">
            <v>bueno</v>
          </cell>
          <cell r="K5195" t="str">
            <v>probsi</v>
          </cell>
        </row>
        <row r="5196">
          <cell r="B5196" t="b">
            <v>1</v>
          </cell>
          <cell r="E5196" t="str">
            <v>Arroyo Grande</v>
          </cell>
          <cell r="H5196" t="str">
            <v>consulta_externa</v>
          </cell>
          <cell r="J5196" t="str">
            <v>bueno</v>
          </cell>
          <cell r="K5196" t="str">
            <v>probsi</v>
          </cell>
        </row>
        <row r="5197">
          <cell r="B5197" t="b">
            <v>1</v>
          </cell>
          <cell r="E5197" t="str">
            <v>Arroyo Grande</v>
          </cell>
          <cell r="H5197" t="str">
            <v>consulta_externa</v>
          </cell>
          <cell r="J5197" t="str">
            <v>bueno</v>
          </cell>
          <cell r="K5197" t="str">
            <v>probsi</v>
          </cell>
        </row>
        <row r="5198">
          <cell r="B5198" t="b">
            <v>1</v>
          </cell>
          <cell r="E5198" t="str">
            <v>Arroyo Grande</v>
          </cell>
          <cell r="H5198" t="str">
            <v>consulta_externa</v>
          </cell>
          <cell r="J5198" t="str">
            <v>bueno</v>
          </cell>
          <cell r="K5198" t="str">
            <v>probsi</v>
          </cell>
        </row>
        <row r="5199">
          <cell r="B5199" t="b">
            <v>1</v>
          </cell>
          <cell r="E5199" t="str">
            <v>Arroyo Grande</v>
          </cell>
          <cell r="H5199" t="str">
            <v>consulta_externa</v>
          </cell>
          <cell r="J5199" t="str">
            <v>bueno</v>
          </cell>
          <cell r="K5199" t="str">
            <v>probsi</v>
          </cell>
        </row>
        <row r="5200">
          <cell r="B5200" t="b">
            <v>1</v>
          </cell>
          <cell r="E5200" t="str">
            <v>Arroyo Grande</v>
          </cell>
          <cell r="H5200" t="str">
            <v>consulta_externa</v>
          </cell>
          <cell r="J5200" t="str">
            <v>bueno</v>
          </cell>
          <cell r="K5200" t="str">
            <v>probsi</v>
          </cell>
        </row>
        <row r="5201">
          <cell r="B5201" t="b">
            <v>1</v>
          </cell>
          <cell r="E5201" t="str">
            <v>Arroyo Grande</v>
          </cell>
          <cell r="H5201" t="str">
            <v>consulta_externa</v>
          </cell>
          <cell r="J5201" t="str">
            <v>bueno</v>
          </cell>
          <cell r="K5201" t="str">
            <v>probsi</v>
          </cell>
        </row>
        <row r="5202">
          <cell r="B5202" t="b">
            <v>1</v>
          </cell>
          <cell r="E5202" t="str">
            <v>Arroyo Grande</v>
          </cell>
          <cell r="H5202" t="str">
            <v>consulta_externa</v>
          </cell>
          <cell r="J5202" t="str">
            <v>bueno</v>
          </cell>
          <cell r="K5202" t="str">
            <v>probsi</v>
          </cell>
        </row>
        <row r="5203">
          <cell r="B5203" t="b">
            <v>1</v>
          </cell>
          <cell r="E5203" t="str">
            <v>Arroyo Grande</v>
          </cell>
          <cell r="H5203" t="str">
            <v>consulta_externa</v>
          </cell>
          <cell r="J5203" t="str">
            <v>bueno</v>
          </cell>
          <cell r="K5203" t="str">
            <v>probsi</v>
          </cell>
        </row>
        <row r="5204">
          <cell r="B5204" t="b">
            <v>1</v>
          </cell>
          <cell r="E5204" t="str">
            <v>Arroyo Grande</v>
          </cell>
          <cell r="H5204" t="str">
            <v>laboratorio</v>
          </cell>
          <cell r="J5204" t="str">
            <v>bueno</v>
          </cell>
          <cell r="K5204" t="str">
            <v>probsi</v>
          </cell>
        </row>
        <row r="5205">
          <cell r="B5205" t="b">
            <v>1</v>
          </cell>
          <cell r="E5205" t="str">
            <v>Arroyo Grande</v>
          </cell>
          <cell r="H5205" t="str">
            <v>laboratorio</v>
          </cell>
          <cell r="J5205" t="str">
            <v>bueno</v>
          </cell>
          <cell r="K5205" t="str">
            <v>probsi</v>
          </cell>
        </row>
        <row r="5206">
          <cell r="B5206" t="b">
            <v>1</v>
          </cell>
          <cell r="E5206" t="str">
            <v>Arroyo Grande</v>
          </cell>
          <cell r="H5206" t="str">
            <v>laboratorio</v>
          </cell>
          <cell r="J5206" t="str">
            <v>bueno</v>
          </cell>
          <cell r="K5206" t="str">
            <v>probsi</v>
          </cell>
        </row>
        <row r="5207">
          <cell r="B5207" t="b">
            <v>1</v>
          </cell>
          <cell r="E5207" t="str">
            <v>Arroyo Grande</v>
          </cell>
          <cell r="H5207" t="str">
            <v>laboratorio</v>
          </cell>
          <cell r="J5207" t="str">
            <v>bueno</v>
          </cell>
          <cell r="K5207" t="str">
            <v>probsi</v>
          </cell>
        </row>
        <row r="5208">
          <cell r="B5208" t="b">
            <v>1</v>
          </cell>
          <cell r="E5208" t="str">
            <v>Arroyo Grande</v>
          </cell>
          <cell r="H5208" t="str">
            <v>laboratorio</v>
          </cell>
          <cell r="J5208" t="str">
            <v>bueno</v>
          </cell>
          <cell r="K5208" t="str">
            <v>probsi</v>
          </cell>
        </row>
        <row r="5209">
          <cell r="B5209" t="b">
            <v>1</v>
          </cell>
          <cell r="E5209" t="str">
            <v>Arroyo Grande</v>
          </cell>
          <cell r="H5209" t="str">
            <v>laboratorio</v>
          </cell>
          <cell r="J5209" t="str">
            <v>bueno</v>
          </cell>
          <cell r="K5209" t="str">
            <v>probsi</v>
          </cell>
        </row>
        <row r="5210">
          <cell r="B5210" t="b">
            <v>1</v>
          </cell>
          <cell r="E5210" t="str">
            <v>Arroyo Grande</v>
          </cell>
          <cell r="H5210" t="str">
            <v>salud_oral</v>
          </cell>
          <cell r="J5210" t="str">
            <v>bueno</v>
          </cell>
          <cell r="K5210" t="str">
            <v>probsi</v>
          </cell>
        </row>
        <row r="5211">
          <cell r="B5211" t="b">
            <v>1</v>
          </cell>
          <cell r="E5211" t="str">
            <v>Arroyo Grande</v>
          </cell>
          <cell r="H5211" t="str">
            <v>salud_oral</v>
          </cell>
          <cell r="J5211" t="str">
            <v>bueno</v>
          </cell>
          <cell r="K5211" t="str">
            <v>probsi</v>
          </cell>
        </row>
        <row r="5212">
          <cell r="B5212" t="b">
            <v>1</v>
          </cell>
          <cell r="E5212" t="str">
            <v>Arroyo Grande</v>
          </cell>
          <cell r="H5212" t="str">
            <v>salud_oral</v>
          </cell>
          <cell r="J5212" t="str">
            <v>bueno</v>
          </cell>
          <cell r="K5212" t="str">
            <v>probsi</v>
          </cell>
        </row>
        <row r="5213">
          <cell r="B5213" t="b">
            <v>1</v>
          </cell>
          <cell r="E5213" t="str">
            <v>Arroyo Grande</v>
          </cell>
          <cell r="H5213" t="str">
            <v>salud_oral</v>
          </cell>
          <cell r="J5213" t="str">
            <v>bueno</v>
          </cell>
          <cell r="K5213" t="str">
            <v>probsi</v>
          </cell>
        </row>
        <row r="5214">
          <cell r="B5214" t="b">
            <v>1</v>
          </cell>
          <cell r="E5214" t="str">
            <v>Arroyo Grande</v>
          </cell>
          <cell r="H5214" t="str">
            <v>salud_oral</v>
          </cell>
          <cell r="J5214" t="str">
            <v>bueno</v>
          </cell>
          <cell r="K5214" t="str">
            <v>probsi</v>
          </cell>
        </row>
        <row r="5215">
          <cell r="B5215" t="b">
            <v>1</v>
          </cell>
          <cell r="E5215" t="str">
            <v>Arroyo Grande</v>
          </cell>
          <cell r="H5215" t="str">
            <v>salud_oral</v>
          </cell>
          <cell r="J5215" t="str">
            <v>bueno</v>
          </cell>
          <cell r="K5215" t="str">
            <v>probsi</v>
          </cell>
        </row>
        <row r="5216">
          <cell r="B5216" t="b">
            <v>1</v>
          </cell>
          <cell r="E5216" t="str">
            <v>Arroyo Grande</v>
          </cell>
          <cell r="H5216" t="str">
            <v>laboratorio</v>
          </cell>
          <cell r="J5216" t="str">
            <v>bueno</v>
          </cell>
          <cell r="K5216" t="str">
            <v>probsi</v>
          </cell>
        </row>
        <row r="5217">
          <cell r="B5217" t="b">
            <v>1</v>
          </cell>
          <cell r="E5217" t="str">
            <v>Hospital Pozon</v>
          </cell>
          <cell r="H5217" t="str">
            <v>urgencia</v>
          </cell>
          <cell r="J5217" t="str">
            <v>bueno</v>
          </cell>
          <cell r="K5217" t="str">
            <v>probsi</v>
          </cell>
        </row>
        <row r="5218">
          <cell r="B5218" t="b">
            <v>1</v>
          </cell>
          <cell r="E5218" t="str">
            <v>Hospital Pozon</v>
          </cell>
          <cell r="H5218" t="str">
            <v>urgencia</v>
          </cell>
          <cell r="J5218" t="str">
            <v>bueno</v>
          </cell>
          <cell r="K5218" t="str">
            <v>probsi</v>
          </cell>
        </row>
        <row r="5219">
          <cell r="B5219" t="b">
            <v>1</v>
          </cell>
          <cell r="E5219" t="str">
            <v>Hospital Pozon</v>
          </cell>
          <cell r="H5219" t="str">
            <v>urgencia</v>
          </cell>
          <cell r="J5219" t="str">
            <v>bueno</v>
          </cell>
          <cell r="K5219" t="str">
            <v>probsi</v>
          </cell>
        </row>
        <row r="5220">
          <cell r="B5220" t="b">
            <v>0</v>
          </cell>
          <cell r="E5220" t="str">
            <v>Hospital Pozon</v>
          </cell>
          <cell r="H5220" t="str">
            <v>urgencia</v>
          </cell>
          <cell r="J5220" t="str">
            <v>regular</v>
          </cell>
          <cell r="K5220" t="str">
            <v>probsi</v>
          </cell>
        </row>
        <row r="5221">
          <cell r="B5221" t="b">
            <v>0</v>
          </cell>
          <cell r="E5221" t="str">
            <v>Hospital Pozon</v>
          </cell>
          <cell r="H5221" t="str">
            <v>urgencia</v>
          </cell>
          <cell r="J5221" t="str">
            <v>regular</v>
          </cell>
          <cell r="K5221" t="str">
            <v>probsi</v>
          </cell>
        </row>
        <row r="5222">
          <cell r="B5222" t="b">
            <v>0</v>
          </cell>
          <cell r="E5222" t="str">
            <v>Hospital Pozon</v>
          </cell>
          <cell r="H5222" t="str">
            <v>urgencia</v>
          </cell>
          <cell r="J5222" t="str">
            <v>regular</v>
          </cell>
          <cell r="K5222" t="str">
            <v>probsi</v>
          </cell>
        </row>
        <row r="5223">
          <cell r="B5223" t="b">
            <v>1</v>
          </cell>
          <cell r="E5223" t="str">
            <v>Hospital Pozon</v>
          </cell>
          <cell r="H5223" t="str">
            <v>urgencia</v>
          </cell>
          <cell r="J5223" t="str">
            <v>bueno</v>
          </cell>
          <cell r="K5223" t="str">
            <v>probsi</v>
          </cell>
        </row>
        <row r="5224">
          <cell r="B5224" t="b">
            <v>1</v>
          </cell>
          <cell r="E5224" t="str">
            <v>Hospital Pozon</v>
          </cell>
          <cell r="H5224" t="str">
            <v>urgencia</v>
          </cell>
          <cell r="J5224" t="str">
            <v>bueno</v>
          </cell>
          <cell r="K5224" t="str">
            <v>probsi</v>
          </cell>
        </row>
        <row r="5225">
          <cell r="B5225" t="b">
            <v>1</v>
          </cell>
          <cell r="E5225" t="str">
            <v>Hospital Pozon</v>
          </cell>
          <cell r="H5225" t="str">
            <v>pediatria</v>
          </cell>
          <cell r="J5225" t="str">
            <v>bueno</v>
          </cell>
          <cell r="K5225" t="str">
            <v>probsi</v>
          </cell>
        </row>
        <row r="5226">
          <cell r="B5226" t="b">
            <v>1</v>
          </cell>
          <cell r="E5226" t="str">
            <v>Hospital Pozon</v>
          </cell>
          <cell r="H5226" t="str">
            <v>pediatria</v>
          </cell>
          <cell r="J5226" t="str">
            <v>bueno</v>
          </cell>
          <cell r="K5226" t="str">
            <v>probsi</v>
          </cell>
        </row>
        <row r="5227">
          <cell r="B5227" t="b">
            <v>1</v>
          </cell>
          <cell r="E5227" t="str">
            <v>Hospital Pozon</v>
          </cell>
          <cell r="H5227" t="str">
            <v>pediatria</v>
          </cell>
          <cell r="J5227" t="str">
            <v>bueno</v>
          </cell>
          <cell r="K5227" t="str">
            <v>probsi</v>
          </cell>
        </row>
        <row r="5228">
          <cell r="B5228" t="b">
            <v>1</v>
          </cell>
          <cell r="E5228" t="str">
            <v>Hospital Pozon</v>
          </cell>
          <cell r="H5228" t="str">
            <v>pediatria</v>
          </cell>
          <cell r="J5228" t="str">
            <v>bueno</v>
          </cell>
          <cell r="K5228" t="str">
            <v>probsi</v>
          </cell>
        </row>
        <row r="5229">
          <cell r="B5229" t="b">
            <v>1</v>
          </cell>
          <cell r="E5229" t="str">
            <v>Hospital Pozon</v>
          </cell>
          <cell r="H5229" t="str">
            <v>pediatria</v>
          </cell>
          <cell r="J5229" t="str">
            <v>bueno</v>
          </cell>
          <cell r="K5229" t="str">
            <v>probsi</v>
          </cell>
        </row>
        <row r="5230">
          <cell r="B5230" t="b">
            <v>1</v>
          </cell>
          <cell r="E5230" t="str">
            <v>Hospital Pozon</v>
          </cell>
          <cell r="H5230" t="str">
            <v>pediatria</v>
          </cell>
          <cell r="J5230" t="str">
            <v>bueno</v>
          </cell>
          <cell r="K5230" t="str">
            <v>probsi</v>
          </cell>
        </row>
        <row r="5231">
          <cell r="B5231" t="b">
            <v>1</v>
          </cell>
          <cell r="E5231" t="str">
            <v>Hospital Pozon</v>
          </cell>
          <cell r="H5231" t="str">
            <v>pediatria</v>
          </cell>
          <cell r="J5231" t="str">
            <v>bueno</v>
          </cell>
          <cell r="K5231" t="str">
            <v>probsi</v>
          </cell>
        </row>
        <row r="5232">
          <cell r="B5232" t="b">
            <v>1</v>
          </cell>
          <cell r="E5232" t="str">
            <v>Hospital Pozon</v>
          </cell>
          <cell r="H5232" t="str">
            <v>pediatria</v>
          </cell>
          <cell r="J5232" t="str">
            <v>bueno</v>
          </cell>
          <cell r="K5232" t="str">
            <v>probsi</v>
          </cell>
        </row>
        <row r="5233">
          <cell r="B5233" t="b">
            <v>1</v>
          </cell>
          <cell r="E5233" t="str">
            <v>Hospital Pozon</v>
          </cell>
          <cell r="H5233" t="str">
            <v>pediatria</v>
          </cell>
          <cell r="J5233" t="str">
            <v>bueno</v>
          </cell>
          <cell r="K5233" t="str">
            <v>probsi</v>
          </cell>
        </row>
        <row r="5234">
          <cell r="B5234" t="b">
            <v>1</v>
          </cell>
          <cell r="E5234" t="str">
            <v>Hospital Pozon</v>
          </cell>
          <cell r="H5234" t="str">
            <v>pediatria</v>
          </cell>
          <cell r="J5234" t="str">
            <v>bueno</v>
          </cell>
          <cell r="K5234" t="str">
            <v>probsi</v>
          </cell>
        </row>
        <row r="5235">
          <cell r="B5235" t="b">
            <v>1</v>
          </cell>
          <cell r="E5235" t="str">
            <v>Hospital Pozon</v>
          </cell>
          <cell r="H5235" t="str">
            <v>pediatria</v>
          </cell>
          <cell r="J5235" t="str">
            <v>bueno</v>
          </cell>
          <cell r="K5235" t="str">
            <v>probsi</v>
          </cell>
        </row>
        <row r="5236">
          <cell r="B5236" t="b">
            <v>0</v>
          </cell>
          <cell r="E5236" t="str">
            <v>Hospital Pozon</v>
          </cell>
          <cell r="H5236" t="str">
            <v>salud_oral</v>
          </cell>
          <cell r="J5236" t="str">
            <v>regular</v>
          </cell>
          <cell r="K5236" t="str">
            <v>probsi</v>
          </cell>
        </row>
        <row r="5237">
          <cell r="B5237" t="b">
            <v>0</v>
          </cell>
          <cell r="E5237" t="str">
            <v>Hospital Pozon</v>
          </cell>
          <cell r="H5237" t="str">
            <v>salud_oral</v>
          </cell>
          <cell r="J5237" t="str">
            <v>regular</v>
          </cell>
          <cell r="K5237" t="str">
            <v>probsi</v>
          </cell>
        </row>
        <row r="5238">
          <cell r="B5238" t="b">
            <v>1</v>
          </cell>
          <cell r="E5238" t="str">
            <v>Tierra Baja</v>
          </cell>
          <cell r="H5238" t="str">
            <v>consulta_externa</v>
          </cell>
          <cell r="J5238" t="str">
            <v>bueno</v>
          </cell>
          <cell r="K5238" t="str">
            <v>defsi</v>
          </cell>
        </row>
        <row r="5239">
          <cell r="B5239" t="b">
            <v>1</v>
          </cell>
          <cell r="E5239" t="str">
            <v>Tierra Baja</v>
          </cell>
          <cell r="H5239" t="str">
            <v>salud_oral</v>
          </cell>
          <cell r="J5239" t="str">
            <v>bueno</v>
          </cell>
          <cell r="K5239" t="str">
            <v>defsi</v>
          </cell>
        </row>
        <row r="5240">
          <cell r="B5240" t="b">
            <v>1</v>
          </cell>
          <cell r="E5240" t="str">
            <v>Arroyo Grande</v>
          </cell>
          <cell r="H5240" t="str">
            <v>laboratorio</v>
          </cell>
          <cell r="J5240" t="str">
            <v>bueno</v>
          </cell>
          <cell r="K5240" t="str">
            <v>probsi</v>
          </cell>
        </row>
        <row r="5241">
          <cell r="B5241" t="b">
            <v>1</v>
          </cell>
          <cell r="E5241" t="str">
            <v>Arroyo de Piedra</v>
          </cell>
          <cell r="H5241" t="str">
            <v>laboratorio</v>
          </cell>
          <cell r="J5241" t="str">
            <v>bueno</v>
          </cell>
          <cell r="K5241" t="str">
            <v>probsi</v>
          </cell>
        </row>
        <row r="5242">
          <cell r="B5242" t="b">
            <v>1</v>
          </cell>
          <cell r="E5242" t="str">
            <v>Arroyo de Piedra</v>
          </cell>
          <cell r="H5242" t="str">
            <v>laboratorio</v>
          </cell>
          <cell r="J5242" t="str">
            <v>bueno</v>
          </cell>
          <cell r="K5242" t="str">
            <v>probsi</v>
          </cell>
        </row>
        <row r="5243">
          <cell r="B5243" t="b">
            <v>1</v>
          </cell>
          <cell r="E5243" t="str">
            <v>Arroyo de Piedra</v>
          </cell>
          <cell r="H5243" t="str">
            <v>laboratorio</v>
          </cell>
          <cell r="J5243" t="str">
            <v>bueno</v>
          </cell>
          <cell r="K5243" t="str">
            <v>probsi</v>
          </cell>
        </row>
        <row r="5244">
          <cell r="B5244" t="b">
            <v>1</v>
          </cell>
          <cell r="E5244" t="str">
            <v>Tierra Baja</v>
          </cell>
          <cell r="H5244" t="str">
            <v>consulta_externa</v>
          </cell>
          <cell r="J5244" t="str">
            <v>bueno</v>
          </cell>
          <cell r="K5244" t="str">
            <v>defsi</v>
          </cell>
        </row>
        <row r="5245">
          <cell r="B5245" t="b">
            <v>1</v>
          </cell>
          <cell r="E5245" t="str">
            <v>Tierra Baja</v>
          </cell>
          <cell r="H5245" t="str">
            <v>salud_oral</v>
          </cell>
          <cell r="J5245" t="str">
            <v>bueno</v>
          </cell>
          <cell r="K5245" t="str">
            <v>defsi</v>
          </cell>
        </row>
        <row r="5246">
          <cell r="B5246" t="b">
            <v>1</v>
          </cell>
          <cell r="E5246" t="str">
            <v>Tierra Baja</v>
          </cell>
          <cell r="H5246" t="str">
            <v>laboratorio</v>
          </cell>
          <cell r="J5246" t="str">
            <v>bueno</v>
          </cell>
          <cell r="K5246" t="str">
            <v>defsi</v>
          </cell>
        </row>
        <row r="5247">
          <cell r="B5247" t="b">
            <v>1</v>
          </cell>
          <cell r="E5247" t="str">
            <v>Tierra Baja</v>
          </cell>
          <cell r="H5247" t="str">
            <v>salud_oral</v>
          </cell>
          <cell r="J5247" t="str">
            <v>bueno</v>
          </cell>
          <cell r="K5247" t="str">
            <v>defsi</v>
          </cell>
        </row>
        <row r="5248">
          <cell r="B5248" t="b">
            <v>1</v>
          </cell>
          <cell r="E5248" t="str">
            <v>Tierra Baja</v>
          </cell>
          <cell r="H5248" t="str">
            <v>laboratorio</v>
          </cell>
          <cell r="J5248" t="str">
            <v>bueno</v>
          </cell>
          <cell r="K5248" t="str">
            <v>defsi</v>
          </cell>
        </row>
        <row r="5249">
          <cell r="B5249" t="b">
            <v>1</v>
          </cell>
          <cell r="E5249" t="str">
            <v>Arroyo de Piedra</v>
          </cell>
          <cell r="H5249" t="str">
            <v>consulta_externa</v>
          </cell>
          <cell r="J5249" t="str">
            <v>bueno</v>
          </cell>
          <cell r="K5249" t="str">
            <v>probsi</v>
          </cell>
        </row>
        <row r="5250">
          <cell r="B5250" t="b">
            <v>1</v>
          </cell>
          <cell r="E5250" t="str">
            <v>Arroyo de Piedra</v>
          </cell>
          <cell r="H5250" t="str">
            <v>consulta_externa</v>
          </cell>
          <cell r="J5250" t="str">
            <v>bueno</v>
          </cell>
          <cell r="K5250" t="str">
            <v>probsi</v>
          </cell>
        </row>
        <row r="5251">
          <cell r="B5251" t="b">
            <v>1</v>
          </cell>
          <cell r="E5251" t="str">
            <v>Arroyo de Piedra</v>
          </cell>
          <cell r="H5251" t="str">
            <v>consulta_externa</v>
          </cell>
          <cell r="J5251" t="str">
            <v>bueno</v>
          </cell>
          <cell r="K5251" t="str">
            <v>probsi</v>
          </cell>
        </row>
        <row r="5252">
          <cell r="B5252" t="b">
            <v>1</v>
          </cell>
          <cell r="E5252" t="str">
            <v>Arroyo de Piedra</v>
          </cell>
          <cell r="H5252" t="str">
            <v>consulta_externa</v>
          </cell>
          <cell r="J5252" t="str">
            <v>bueno</v>
          </cell>
          <cell r="K5252" t="str">
            <v>probsi</v>
          </cell>
        </row>
        <row r="5253">
          <cell r="B5253" t="b">
            <v>1</v>
          </cell>
          <cell r="E5253" t="str">
            <v>Arroyo de Piedra</v>
          </cell>
          <cell r="H5253" t="str">
            <v>laboratorio</v>
          </cell>
          <cell r="J5253" t="str">
            <v>bueno</v>
          </cell>
          <cell r="K5253" t="str">
            <v>probsi</v>
          </cell>
        </row>
        <row r="5254">
          <cell r="B5254" t="b">
            <v>1</v>
          </cell>
          <cell r="E5254" t="str">
            <v>Tierra Baja</v>
          </cell>
          <cell r="H5254" t="str">
            <v>laboratorio</v>
          </cell>
          <cell r="J5254" t="str">
            <v>bueno</v>
          </cell>
          <cell r="K5254" t="str">
            <v>defsi</v>
          </cell>
        </row>
        <row r="5255">
          <cell r="B5255" t="b">
            <v>1</v>
          </cell>
          <cell r="E5255" t="str">
            <v>Arroyo de Piedra</v>
          </cell>
          <cell r="H5255" t="str">
            <v>laboratorio</v>
          </cell>
          <cell r="J5255" t="str">
            <v>bueno</v>
          </cell>
          <cell r="K5255" t="str">
            <v>probsi</v>
          </cell>
        </row>
        <row r="5256">
          <cell r="B5256" t="b">
            <v>1</v>
          </cell>
          <cell r="E5256" t="str">
            <v>Arroyo de Piedra</v>
          </cell>
          <cell r="H5256" t="str">
            <v>laboratorio</v>
          </cell>
          <cell r="J5256" t="str">
            <v>bueno</v>
          </cell>
          <cell r="K5256" t="str">
            <v>probsi</v>
          </cell>
        </row>
        <row r="5257">
          <cell r="B5257" t="b">
            <v>1</v>
          </cell>
          <cell r="E5257" t="str">
            <v>Arroyo de Piedra</v>
          </cell>
          <cell r="H5257" t="str">
            <v>laboratorio</v>
          </cell>
          <cell r="J5257" t="str">
            <v>bueno</v>
          </cell>
          <cell r="K5257" t="str">
            <v>probsi</v>
          </cell>
        </row>
        <row r="5258">
          <cell r="B5258" t="b">
            <v>1</v>
          </cell>
          <cell r="E5258" t="str">
            <v>Arroyo de Piedra</v>
          </cell>
          <cell r="H5258" t="str">
            <v>laboratorio</v>
          </cell>
          <cell r="J5258" t="str">
            <v>bueno</v>
          </cell>
          <cell r="K5258" t="str">
            <v>probsi</v>
          </cell>
        </row>
        <row r="5259">
          <cell r="B5259" t="b">
            <v>1</v>
          </cell>
          <cell r="E5259" t="str">
            <v>Arroyo de Piedra</v>
          </cell>
          <cell r="H5259" t="str">
            <v>laboratorio</v>
          </cell>
          <cell r="J5259" t="str">
            <v>bueno</v>
          </cell>
          <cell r="K5259" t="str">
            <v>probsi</v>
          </cell>
        </row>
        <row r="5260">
          <cell r="B5260" t="b">
            <v>1</v>
          </cell>
          <cell r="E5260" t="str">
            <v>Arroyo de Piedra</v>
          </cell>
          <cell r="H5260" t="str">
            <v>laboratorio</v>
          </cell>
          <cell r="J5260" t="str">
            <v>bueno</v>
          </cell>
          <cell r="K5260" t="str">
            <v>probsi</v>
          </cell>
        </row>
        <row r="5261">
          <cell r="B5261" t="b">
            <v>1</v>
          </cell>
          <cell r="E5261" t="str">
            <v>Arroyo de Piedra</v>
          </cell>
          <cell r="H5261" t="str">
            <v>consulta_externa</v>
          </cell>
          <cell r="J5261" t="str">
            <v>bueno</v>
          </cell>
          <cell r="K5261" t="str">
            <v>probsi</v>
          </cell>
        </row>
        <row r="5262">
          <cell r="B5262" t="b">
            <v>1</v>
          </cell>
          <cell r="E5262" t="str">
            <v>Arroyo de Piedra</v>
          </cell>
          <cell r="H5262" t="str">
            <v>consulta_externa</v>
          </cell>
          <cell r="J5262" t="str">
            <v>bueno</v>
          </cell>
          <cell r="K5262" t="str">
            <v>probsi</v>
          </cell>
        </row>
        <row r="5263">
          <cell r="B5263" t="b">
            <v>1</v>
          </cell>
          <cell r="E5263" t="str">
            <v>Arroyo de Piedra</v>
          </cell>
          <cell r="H5263" t="str">
            <v>consulta_externa</v>
          </cell>
          <cell r="J5263" t="str">
            <v>bueno</v>
          </cell>
          <cell r="K5263" t="str">
            <v>probsi</v>
          </cell>
        </row>
        <row r="5264">
          <cell r="B5264" t="b">
            <v>1</v>
          </cell>
          <cell r="E5264" t="str">
            <v>Arroyo de Piedra</v>
          </cell>
          <cell r="H5264" t="str">
            <v>salud_oral</v>
          </cell>
          <cell r="J5264" t="str">
            <v>bueno</v>
          </cell>
          <cell r="K5264" t="str">
            <v>probsi</v>
          </cell>
        </row>
        <row r="5265">
          <cell r="B5265" t="b">
            <v>1</v>
          </cell>
          <cell r="E5265" t="str">
            <v>Arroyo de Piedra</v>
          </cell>
          <cell r="H5265" t="str">
            <v>salud_oral</v>
          </cell>
          <cell r="J5265" t="str">
            <v>bueno</v>
          </cell>
          <cell r="K5265" t="str">
            <v>probsi</v>
          </cell>
        </row>
        <row r="5266">
          <cell r="B5266" t="b">
            <v>1</v>
          </cell>
          <cell r="E5266" t="str">
            <v>Arroyo de Piedra</v>
          </cell>
          <cell r="H5266" t="str">
            <v>salud_oral</v>
          </cell>
          <cell r="J5266" t="str">
            <v>bueno</v>
          </cell>
          <cell r="K5266" t="str">
            <v>probsi</v>
          </cell>
        </row>
        <row r="5267">
          <cell r="B5267" t="b">
            <v>1</v>
          </cell>
          <cell r="E5267" t="str">
            <v>Arroyo de Piedra</v>
          </cell>
          <cell r="H5267" t="str">
            <v>salud_oral</v>
          </cell>
          <cell r="J5267" t="str">
            <v>bueno</v>
          </cell>
          <cell r="K5267" t="str">
            <v>probsi</v>
          </cell>
        </row>
        <row r="5268">
          <cell r="B5268" t="b">
            <v>1</v>
          </cell>
          <cell r="E5268" t="str">
            <v>Arroyo de Piedra</v>
          </cell>
          <cell r="H5268" t="str">
            <v>salud_oral</v>
          </cell>
          <cell r="J5268" t="str">
            <v>bueno</v>
          </cell>
          <cell r="K5268" t="str">
            <v>probsi</v>
          </cell>
        </row>
        <row r="5269">
          <cell r="B5269" t="b">
            <v>1</v>
          </cell>
          <cell r="E5269" t="str">
            <v>Arroyo de Piedra</v>
          </cell>
          <cell r="H5269" t="str">
            <v>consulta_externa</v>
          </cell>
          <cell r="J5269" t="str">
            <v>bueno</v>
          </cell>
          <cell r="K5269" t="str">
            <v>probsi</v>
          </cell>
        </row>
        <row r="5270">
          <cell r="B5270" t="b">
            <v>1</v>
          </cell>
          <cell r="E5270" t="str">
            <v>Tierra Baja</v>
          </cell>
          <cell r="H5270" t="str">
            <v>consulta_externa</v>
          </cell>
          <cell r="J5270" t="str">
            <v>muybueno</v>
          </cell>
          <cell r="K5270" t="str">
            <v>defsi</v>
          </cell>
        </row>
        <row r="5271">
          <cell r="B5271" t="b">
            <v>1</v>
          </cell>
          <cell r="E5271" t="str">
            <v>Tierra Baja</v>
          </cell>
          <cell r="H5271" t="str">
            <v>salud_oral</v>
          </cell>
          <cell r="J5271" t="str">
            <v>muybueno</v>
          </cell>
          <cell r="K5271" t="str">
            <v>defsi</v>
          </cell>
        </row>
        <row r="5272">
          <cell r="B5272" t="b">
            <v>1</v>
          </cell>
          <cell r="E5272" t="str">
            <v>Tierra Baja</v>
          </cell>
          <cell r="H5272" t="str">
            <v>laboratorio</v>
          </cell>
          <cell r="J5272" t="str">
            <v>muybueno</v>
          </cell>
          <cell r="K5272" t="str">
            <v>defsi</v>
          </cell>
        </row>
        <row r="5273">
          <cell r="B5273" t="b">
            <v>1</v>
          </cell>
          <cell r="E5273" t="str">
            <v>Tierra Baja</v>
          </cell>
          <cell r="H5273" t="str">
            <v>consulta_externa</v>
          </cell>
          <cell r="J5273" t="str">
            <v>muybueno</v>
          </cell>
          <cell r="K5273" t="str">
            <v>defsi</v>
          </cell>
        </row>
        <row r="5274">
          <cell r="B5274" t="b">
            <v>1</v>
          </cell>
          <cell r="E5274" t="str">
            <v>Pozon</v>
          </cell>
          <cell r="H5274" t="str">
            <v>consulta_externa</v>
          </cell>
          <cell r="J5274" t="str">
            <v>bueno</v>
          </cell>
          <cell r="K5274" t="str">
            <v>probsi</v>
          </cell>
        </row>
        <row r="5275">
          <cell r="B5275" t="b">
            <v>1</v>
          </cell>
          <cell r="E5275" t="str">
            <v>Pozon</v>
          </cell>
          <cell r="H5275" t="str">
            <v>salud_oral</v>
          </cell>
          <cell r="J5275" t="str">
            <v>bueno</v>
          </cell>
          <cell r="K5275" t="str">
            <v>probsi</v>
          </cell>
        </row>
        <row r="5276">
          <cell r="B5276" t="b">
            <v>1</v>
          </cell>
          <cell r="E5276" t="str">
            <v>Pozon</v>
          </cell>
          <cell r="H5276" t="str">
            <v>laboratorio</v>
          </cell>
          <cell r="J5276" t="str">
            <v>bueno</v>
          </cell>
          <cell r="K5276" t="str">
            <v>probsi</v>
          </cell>
        </row>
        <row r="5277">
          <cell r="B5277" t="b">
            <v>0</v>
          </cell>
          <cell r="E5277" t="str">
            <v>Pozon</v>
          </cell>
          <cell r="H5277" t="str">
            <v>laboratorio</v>
          </cell>
          <cell r="J5277" t="str">
            <v>regular</v>
          </cell>
          <cell r="K5277" t="str">
            <v>probsi</v>
          </cell>
        </row>
        <row r="5278">
          <cell r="B5278" t="b">
            <v>1</v>
          </cell>
          <cell r="E5278" t="str">
            <v>Pozon</v>
          </cell>
          <cell r="H5278" t="str">
            <v>consulta_externa</v>
          </cell>
          <cell r="J5278" t="str">
            <v>bueno</v>
          </cell>
          <cell r="K5278" t="str">
            <v>probsi</v>
          </cell>
        </row>
        <row r="5279">
          <cell r="B5279" t="b">
            <v>1</v>
          </cell>
          <cell r="E5279" t="str">
            <v>Pozon</v>
          </cell>
          <cell r="H5279" t="str">
            <v>salud_oral</v>
          </cell>
          <cell r="J5279" t="str">
            <v>bueno</v>
          </cell>
          <cell r="K5279" t="str">
            <v>probsi</v>
          </cell>
        </row>
        <row r="5280">
          <cell r="B5280" t="b">
            <v>0</v>
          </cell>
          <cell r="E5280" t="str">
            <v>Pozon</v>
          </cell>
          <cell r="H5280" t="str">
            <v>laboratorio</v>
          </cell>
          <cell r="J5280" t="str">
            <v>regular</v>
          </cell>
          <cell r="K5280" t="str">
            <v>probsi</v>
          </cell>
        </row>
        <row r="5281">
          <cell r="B5281" t="b">
            <v>1</v>
          </cell>
          <cell r="E5281" t="str">
            <v>Pozon</v>
          </cell>
          <cell r="H5281" t="str">
            <v>laboratorio</v>
          </cell>
          <cell r="J5281" t="str">
            <v>bueno</v>
          </cell>
          <cell r="K5281" t="str">
            <v>probsi</v>
          </cell>
        </row>
        <row r="5282">
          <cell r="B5282" t="b">
            <v>1</v>
          </cell>
          <cell r="E5282" t="str">
            <v>Pozon</v>
          </cell>
          <cell r="H5282" t="str">
            <v>laboratorio</v>
          </cell>
          <cell r="J5282" t="str">
            <v>bueno</v>
          </cell>
          <cell r="K5282" t="str">
            <v>probsi</v>
          </cell>
        </row>
        <row r="5283">
          <cell r="B5283" t="b">
            <v>0</v>
          </cell>
          <cell r="E5283" t="str">
            <v>Pozon</v>
          </cell>
          <cell r="H5283" t="str">
            <v>laboratorio</v>
          </cell>
          <cell r="J5283" t="str">
            <v>regular</v>
          </cell>
          <cell r="K5283" t="str">
            <v>probsi</v>
          </cell>
        </row>
        <row r="5284">
          <cell r="B5284" t="b">
            <v>1</v>
          </cell>
          <cell r="E5284" t="str">
            <v>Pozon</v>
          </cell>
          <cell r="H5284" t="str">
            <v>consulta_externa</v>
          </cell>
          <cell r="J5284" t="str">
            <v>bueno</v>
          </cell>
          <cell r="K5284" t="str">
            <v>probsi</v>
          </cell>
        </row>
        <row r="5285">
          <cell r="B5285" t="b">
            <v>1</v>
          </cell>
          <cell r="E5285" t="str">
            <v>Pozon</v>
          </cell>
          <cell r="H5285" t="str">
            <v>consulta_externa</v>
          </cell>
          <cell r="J5285" t="str">
            <v>bueno</v>
          </cell>
          <cell r="K5285" t="str">
            <v>probsi</v>
          </cell>
        </row>
        <row r="5286">
          <cell r="B5286" t="b">
            <v>1</v>
          </cell>
          <cell r="E5286" t="str">
            <v>Pozon</v>
          </cell>
          <cell r="H5286" t="str">
            <v>consulta_externa</v>
          </cell>
          <cell r="J5286" t="str">
            <v>bueno</v>
          </cell>
          <cell r="K5286" t="str">
            <v>probsi</v>
          </cell>
        </row>
        <row r="5287">
          <cell r="B5287" t="b">
            <v>1</v>
          </cell>
          <cell r="E5287" t="str">
            <v>Pozon</v>
          </cell>
          <cell r="H5287" t="str">
            <v>consulta_externa</v>
          </cell>
          <cell r="J5287" t="str">
            <v>bueno</v>
          </cell>
          <cell r="K5287" t="str">
            <v>probsi</v>
          </cell>
        </row>
        <row r="5288">
          <cell r="B5288" t="b">
            <v>1</v>
          </cell>
          <cell r="E5288" t="str">
            <v>Tierra Baja</v>
          </cell>
          <cell r="H5288" t="str">
            <v>consulta_externa</v>
          </cell>
          <cell r="J5288" t="str">
            <v>bueno</v>
          </cell>
          <cell r="K5288" t="str">
            <v>defsi</v>
          </cell>
        </row>
        <row r="5289">
          <cell r="B5289" t="b">
            <v>1</v>
          </cell>
          <cell r="E5289" t="str">
            <v>Pozon</v>
          </cell>
          <cell r="H5289" t="str">
            <v>salud_oral</v>
          </cell>
          <cell r="J5289" t="str">
            <v>bueno</v>
          </cell>
          <cell r="K5289" t="str">
            <v>probsi</v>
          </cell>
        </row>
        <row r="5290">
          <cell r="B5290" t="b">
            <v>1</v>
          </cell>
          <cell r="E5290" t="str">
            <v>Pozon</v>
          </cell>
          <cell r="H5290" t="str">
            <v>salud_oral</v>
          </cell>
          <cell r="J5290" t="str">
            <v>bueno</v>
          </cell>
          <cell r="K5290" t="str">
            <v>probsi</v>
          </cell>
        </row>
        <row r="5291">
          <cell r="B5291" t="b">
            <v>1</v>
          </cell>
          <cell r="E5291" t="str">
            <v>Pozon</v>
          </cell>
          <cell r="H5291" t="str">
            <v>salud_oral</v>
          </cell>
          <cell r="J5291" t="str">
            <v>bueno</v>
          </cell>
          <cell r="K5291" t="str">
            <v>probsi</v>
          </cell>
        </row>
        <row r="5292">
          <cell r="B5292" t="b">
            <v>1</v>
          </cell>
          <cell r="E5292" t="str">
            <v>Pozon</v>
          </cell>
          <cell r="H5292" t="str">
            <v>consulta_externa</v>
          </cell>
          <cell r="J5292" t="str">
            <v>bueno</v>
          </cell>
          <cell r="K5292" t="str">
            <v>probsi</v>
          </cell>
        </row>
        <row r="5293">
          <cell r="B5293" t="b">
            <v>1</v>
          </cell>
          <cell r="E5293" t="str">
            <v>Hospital Pozon</v>
          </cell>
          <cell r="H5293" t="str">
            <v>rx</v>
          </cell>
          <cell r="J5293" t="str">
            <v>bueno</v>
          </cell>
          <cell r="K5293" t="str">
            <v>probsi</v>
          </cell>
        </row>
        <row r="5294">
          <cell r="B5294" t="b">
            <v>1</v>
          </cell>
          <cell r="E5294" t="str">
            <v>Pozon</v>
          </cell>
          <cell r="H5294" t="str">
            <v>laboratorio</v>
          </cell>
          <cell r="J5294" t="str">
            <v>bueno</v>
          </cell>
          <cell r="K5294" t="str">
            <v>probsi</v>
          </cell>
        </row>
        <row r="5295">
          <cell r="B5295" t="b">
            <v>1</v>
          </cell>
          <cell r="E5295" t="str">
            <v>Pozon</v>
          </cell>
          <cell r="H5295" t="str">
            <v>consulta_externa</v>
          </cell>
          <cell r="J5295" t="str">
            <v>bueno</v>
          </cell>
          <cell r="K5295" t="str">
            <v>probsi</v>
          </cell>
        </row>
        <row r="5296">
          <cell r="B5296" t="b">
            <v>1</v>
          </cell>
          <cell r="E5296" t="str">
            <v>Tierra Baja</v>
          </cell>
          <cell r="H5296" t="str">
            <v>consulta_externa</v>
          </cell>
          <cell r="J5296" t="str">
            <v>bueno</v>
          </cell>
          <cell r="K5296" t="str">
            <v>defsi</v>
          </cell>
        </row>
        <row r="5297">
          <cell r="B5297" t="b">
            <v>1</v>
          </cell>
          <cell r="E5297" t="str">
            <v>Tierra Baja</v>
          </cell>
          <cell r="H5297" t="str">
            <v>laboratorio</v>
          </cell>
          <cell r="J5297" t="str">
            <v>bueno</v>
          </cell>
          <cell r="K5297" t="str">
            <v>defsi</v>
          </cell>
        </row>
        <row r="5298">
          <cell r="B5298" t="b">
            <v>1</v>
          </cell>
          <cell r="E5298" t="str">
            <v>Tierra Baja</v>
          </cell>
          <cell r="H5298" t="str">
            <v>consulta_externa</v>
          </cell>
          <cell r="J5298" t="str">
            <v>bueno</v>
          </cell>
          <cell r="K5298" t="str">
            <v>defsi</v>
          </cell>
        </row>
        <row r="5299">
          <cell r="B5299" t="b">
            <v>1</v>
          </cell>
          <cell r="E5299" t="str">
            <v>Tierra Baja</v>
          </cell>
          <cell r="H5299" t="str">
            <v>salud_oral</v>
          </cell>
          <cell r="J5299" t="str">
            <v>bueno</v>
          </cell>
          <cell r="K5299" t="str">
            <v>defsi</v>
          </cell>
        </row>
        <row r="5300">
          <cell r="B5300" t="b">
            <v>1</v>
          </cell>
          <cell r="E5300" t="str">
            <v>Tierra Baja</v>
          </cell>
          <cell r="H5300" t="str">
            <v>salud_oral</v>
          </cell>
          <cell r="J5300" t="str">
            <v>bueno</v>
          </cell>
          <cell r="K5300" t="str">
            <v>defsi</v>
          </cell>
        </row>
        <row r="5301">
          <cell r="B5301" t="b">
            <v>1</v>
          </cell>
          <cell r="E5301" t="str">
            <v>Tierra Baja</v>
          </cell>
          <cell r="H5301" t="str">
            <v>salud_oral</v>
          </cell>
          <cell r="J5301" t="str">
            <v>bueno</v>
          </cell>
          <cell r="K5301" t="str">
            <v>defsi</v>
          </cell>
        </row>
        <row r="5302">
          <cell r="B5302" t="b">
            <v>0</v>
          </cell>
          <cell r="E5302" t="str">
            <v>Hospital Pozon</v>
          </cell>
          <cell r="H5302" t="str">
            <v>laboratorio</v>
          </cell>
          <cell r="J5302" t="str">
            <v>regular</v>
          </cell>
          <cell r="K5302" t="str">
            <v>probsi</v>
          </cell>
        </row>
        <row r="5303">
          <cell r="B5303" t="b">
            <v>1</v>
          </cell>
          <cell r="E5303" t="str">
            <v>Hospital Pozon</v>
          </cell>
          <cell r="H5303" t="str">
            <v>laboratorio</v>
          </cell>
          <cell r="J5303" t="str">
            <v>bueno</v>
          </cell>
          <cell r="K5303" t="str">
            <v>probsi</v>
          </cell>
        </row>
        <row r="5304">
          <cell r="B5304" t="b">
            <v>1</v>
          </cell>
          <cell r="E5304" t="str">
            <v>Hospital Pozon</v>
          </cell>
          <cell r="H5304" t="str">
            <v>laboratorio</v>
          </cell>
          <cell r="J5304" t="str">
            <v>bueno</v>
          </cell>
          <cell r="K5304" t="str">
            <v>probsi</v>
          </cell>
        </row>
        <row r="5305">
          <cell r="B5305" t="b">
            <v>1</v>
          </cell>
          <cell r="E5305" t="str">
            <v>Hospital Pozon</v>
          </cell>
          <cell r="H5305" t="str">
            <v>laboratorio</v>
          </cell>
          <cell r="J5305" t="str">
            <v>bueno</v>
          </cell>
          <cell r="K5305" t="str">
            <v>probsi</v>
          </cell>
        </row>
        <row r="5306">
          <cell r="B5306" t="b">
            <v>1</v>
          </cell>
          <cell r="E5306" t="str">
            <v>Hospital Pozon</v>
          </cell>
          <cell r="H5306" t="str">
            <v>pediatria</v>
          </cell>
          <cell r="J5306" t="str">
            <v>bueno</v>
          </cell>
          <cell r="K5306" t="str">
            <v>probsi</v>
          </cell>
        </row>
        <row r="5307">
          <cell r="B5307" t="b">
            <v>1</v>
          </cell>
          <cell r="E5307" t="str">
            <v>Hospital Pozon</v>
          </cell>
          <cell r="H5307" t="str">
            <v>pediatria</v>
          </cell>
          <cell r="J5307" t="str">
            <v>bueno</v>
          </cell>
          <cell r="K5307" t="str">
            <v>probsi</v>
          </cell>
        </row>
        <row r="5308">
          <cell r="B5308" t="b">
            <v>1</v>
          </cell>
          <cell r="E5308" t="str">
            <v>Hospital Pozon</v>
          </cell>
          <cell r="H5308" t="str">
            <v>ginecologia</v>
          </cell>
          <cell r="J5308" t="str">
            <v>bueno</v>
          </cell>
          <cell r="K5308" t="str">
            <v>probsi</v>
          </cell>
        </row>
        <row r="5309">
          <cell r="B5309" t="b">
            <v>1</v>
          </cell>
          <cell r="E5309" t="str">
            <v>Hospital Pozon</v>
          </cell>
          <cell r="H5309" t="str">
            <v>ginecologia</v>
          </cell>
          <cell r="J5309" t="str">
            <v>bueno</v>
          </cell>
          <cell r="K5309" t="str">
            <v>probsi</v>
          </cell>
        </row>
        <row r="5310">
          <cell r="B5310" t="b">
            <v>1</v>
          </cell>
          <cell r="E5310" t="str">
            <v>Hospital Pozon</v>
          </cell>
          <cell r="H5310" t="str">
            <v>ginecologia</v>
          </cell>
          <cell r="J5310" t="str">
            <v>bueno</v>
          </cell>
          <cell r="K5310" t="str">
            <v>probsi</v>
          </cell>
        </row>
        <row r="5311">
          <cell r="B5311" t="b">
            <v>1</v>
          </cell>
          <cell r="E5311" t="str">
            <v>Hospital Pozon</v>
          </cell>
          <cell r="H5311" t="str">
            <v>ginecologia</v>
          </cell>
          <cell r="J5311" t="str">
            <v>bueno</v>
          </cell>
          <cell r="K5311" t="str">
            <v>probsi</v>
          </cell>
        </row>
        <row r="5312">
          <cell r="B5312" t="b">
            <v>1</v>
          </cell>
          <cell r="E5312" t="str">
            <v>Tierra Baja</v>
          </cell>
          <cell r="H5312" t="str">
            <v>salud_oral</v>
          </cell>
          <cell r="J5312" t="str">
            <v>bueno</v>
          </cell>
          <cell r="K5312" t="str">
            <v>defsi</v>
          </cell>
        </row>
        <row r="5313">
          <cell r="B5313" t="b">
            <v>1</v>
          </cell>
          <cell r="E5313" t="str">
            <v>Hospital Pozon</v>
          </cell>
          <cell r="H5313" t="str">
            <v>ginecologia</v>
          </cell>
          <cell r="J5313" t="str">
            <v>bueno</v>
          </cell>
          <cell r="K5313" t="str">
            <v>probsi</v>
          </cell>
        </row>
        <row r="5314">
          <cell r="B5314" t="b">
            <v>1</v>
          </cell>
          <cell r="E5314" t="str">
            <v>Hospital Pozon</v>
          </cell>
          <cell r="H5314" t="str">
            <v>ginecologia</v>
          </cell>
          <cell r="J5314" t="str">
            <v>bueno</v>
          </cell>
          <cell r="K5314" t="str">
            <v>probsi</v>
          </cell>
        </row>
        <row r="5315">
          <cell r="B5315" t="b">
            <v>1</v>
          </cell>
          <cell r="E5315" t="str">
            <v>Tierra Baja</v>
          </cell>
          <cell r="H5315" t="str">
            <v>salud_oral</v>
          </cell>
          <cell r="J5315" t="str">
            <v>muybueno</v>
          </cell>
          <cell r="K5315" t="str">
            <v>defsi</v>
          </cell>
        </row>
        <row r="5316">
          <cell r="B5316" t="b">
            <v>1</v>
          </cell>
          <cell r="E5316" t="str">
            <v>Hospital Pozon</v>
          </cell>
          <cell r="H5316" t="str">
            <v>ginecologia</v>
          </cell>
          <cell r="J5316" t="str">
            <v>bueno</v>
          </cell>
          <cell r="K5316" t="str">
            <v>probsi</v>
          </cell>
        </row>
        <row r="5317">
          <cell r="B5317" t="b">
            <v>1</v>
          </cell>
          <cell r="E5317" t="str">
            <v>Hospital Pozon</v>
          </cell>
          <cell r="H5317" t="str">
            <v>ginecologia</v>
          </cell>
          <cell r="J5317" t="str">
            <v>bueno</v>
          </cell>
          <cell r="K5317" t="str">
            <v>probsi</v>
          </cell>
        </row>
        <row r="5318">
          <cell r="B5318" t="b">
            <v>1</v>
          </cell>
          <cell r="E5318" t="str">
            <v>Tierra Baja</v>
          </cell>
          <cell r="H5318" t="str">
            <v>consulta_externa</v>
          </cell>
          <cell r="J5318" t="str">
            <v>bueno</v>
          </cell>
          <cell r="K5318" t="str">
            <v>defsi</v>
          </cell>
        </row>
        <row r="5319">
          <cell r="B5319" t="b">
            <v>1</v>
          </cell>
          <cell r="E5319" t="str">
            <v>Tierra Baja</v>
          </cell>
          <cell r="H5319" t="str">
            <v>consulta_externa</v>
          </cell>
          <cell r="J5319" t="str">
            <v>bueno</v>
          </cell>
          <cell r="K5319" t="str">
            <v>defsi</v>
          </cell>
        </row>
        <row r="5320">
          <cell r="B5320" t="b">
            <v>1</v>
          </cell>
          <cell r="E5320" t="str">
            <v>Tierra Baja</v>
          </cell>
          <cell r="H5320" t="str">
            <v>laboratorio</v>
          </cell>
          <cell r="J5320" t="str">
            <v>bueno</v>
          </cell>
          <cell r="K5320" t="str">
            <v>defsi</v>
          </cell>
        </row>
        <row r="5321">
          <cell r="B5321" t="b">
            <v>1</v>
          </cell>
          <cell r="E5321" t="str">
            <v>Tierra Baja</v>
          </cell>
          <cell r="H5321" t="str">
            <v>consulta_externa</v>
          </cell>
          <cell r="J5321" t="str">
            <v>bueno</v>
          </cell>
          <cell r="K5321" t="str">
            <v>defsi</v>
          </cell>
        </row>
        <row r="5322">
          <cell r="B5322" t="b">
            <v>1</v>
          </cell>
          <cell r="E5322" t="str">
            <v>Tierra Baja</v>
          </cell>
          <cell r="H5322" t="str">
            <v>salud_oral</v>
          </cell>
          <cell r="J5322" t="str">
            <v>bueno</v>
          </cell>
          <cell r="K5322" t="str">
            <v>defsi</v>
          </cell>
        </row>
        <row r="5323">
          <cell r="B5323" t="b">
            <v>1</v>
          </cell>
          <cell r="E5323" t="str">
            <v>Tierra Baja</v>
          </cell>
          <cell r="H5323" t="str">
            <v>salud_oral</v>
          </cell>
          <cell r="J5323" t="str">
            <v>bueno</v>
          </cell>
          <cell r="K5323" t="str">
            <v>defsi</v>
          </cell>
        </row>
        <row r="5324">
          <cell r="B5324" t="b">
            <v>1</v>
          </cell>
          <cell r="E5324" t="str">
            <v>Tierra Baja</v>
          </cell>
          <cell r="H5324" t="str">
            <v>laboratorio</v>
          </cell>
          <cell r="J5324" t="str">
            <v>bueno</v>
          </cell>
          <cell r="K5324" t="str">
            <v>defsi</v>
          </cell>
        </row>
        <row r="5325">
          <cell r="B5325" t="b">
            <v>1</v>
          </cell>
          <cell r="E5325" t="str">
            <v>Tierra Baja</v>
          </cell>
          <cell r="H5325" t="str">
            <v>consulta_externa</v>
          </cell>
          <cell r="J5325" t="str">
            <v>bueno</v>
          </cell>
          <cell r="K5325" t="str">
            <v>defsi</v>
          </cell>
        </row>
        <row r="5326">
          <cell r="B5326" t="b">
            <v>0</v>
          </cell>
          <cell r="E5326" t="str">
            <v>Tierra Baja</v>
          </cell>
          <cell r="H5326" t="str">
            <v>laboratorio</v>
          </cell>
          <cell r="J5326" t="str">
            <v>regular</v>
          </cell>
          <cell r="K5326" t="str">
            <v>defsi</v>
          </cell>
        </row>
        <row r="5327">
          <cell r="B5327" t="b">
            <v>0</v>
          </cell>
          <cell r="E5327" t="str">
            <v>Tierra Baja</v>
          </cell>
          <cell r="H5327" t="str">
            <v>laboratorio</v>
          </cell>
          <cell r="J5327" t="str">
            <v>regular</v>
          </cell>
          <cell r="K5327" t="str">
            <v>defsi</v>
          </cell>
        </row>
        <row r="5328">
          <cell r="B5328" t="b">
            <v>1</v>
          </cell>
          <cell r="E5328" t="str">
            <v>Tierra Baja</v>
          </cell>
          <cell r="H5328" t="str">
            <v>consulta_externa</v>
          </cell>
          <cell r="J5328" t="str">
            <v>bueno</v>
          </cell>
          <cell r="K5328" t="str">
            <v>defsi</v>
          </cell>
        </row>
        <row r="5329">
          <cell r="B5329" t="b">
            <v>1</v>
          </cell>
          <cell r="E5329" t="str">
            <v>Tierra Baja</v>
          </cell>
          <cell r="H5329" t="str">
            <v>consulta_externa</v>
          </cell>
          <cell r="J5329" t="str">
            <v>bueno</v>
          </cell>
          <cell r="K5329" t="str">
            <v>defsi</v>
          </cell>
        </row>
        <row r="5330">
          <cell r="B5330" t="b">
            <v>1</v>
          </cell>
          <cell r="E5330" t="str">
            <v>Tierra Baja</v>
          </cell>
          <cell r="H5330" t="str">
            <v>laboratorio</v>
          </cell>
          <cell r="J5330" t="str">
            <v>bueno</v>
          </cell>
          <cell r="K5330" t="str">
            <v>defsi</v>
          </cell>
        </row>
        <row r="5331">
          <cell r="B5331" t="b">
            <v>1</v>
          </cell>
          <cell r="E5331" t="str">
            <v>Tierra Baja</v>
          </cell>
          <cell r="H5331" t="str">
            <v>laboratorio</v>
          </cell>
          <cell r="J5331" t="str">
            <v>bueno</v>
          </cell>
          <cell r="K5331" t="str">
            <v>defsi</v>
          </cell>
        </row>
        <row r="5332">
          <cell r="B5332" t="b">
            <v>1</v>
          </cell>
          <cell r="E5332" t="str">
            <v>Tierra Baja</v>
          </cell>
          <cell r="H5332" t="str">
            <v>consulta_externa</v>
          </cell>
          <cell r="J5332" t="str">
            <v>bueno</v>
          </cell>
          <cell r="K5332" t="str">
            <v>defsi</v>
          </cell>
        </row>
        <row r="5333">
          <cell r="B5333" t="b">
            <v>1</v>
          </cell>
          <cell r="E5333" t="str">
            <v>Tierra Baja</v>
          </cell>
          <cell r="H5333" t="str">
            <v>consulta_externa</v>
          </cell>
          <cell r="J5333" t="str">
            <v>bueno</v>
          </cell>
          <cell r="K5333" t="str">
            <v>defsi</v>
          </cell>
        </row>
        <row r="5334">
          <cell r="B5334" t="b">
            <v>1</v>
          </cell>
          <cell r="E5334" t="str">
            <v>Tierra Baja</v>
          </cell>
          <cell r="H5334" t="str">
            <v>salud_oral</v>
          </cell>
          <cell r="J5334" t="str">
            <v>bueno</v>
          </cell>
          <cell r="K5334" t="str">
            <v>defsi</v>
          </cell>
        </row>
        <row r="5335">
          <cell r="B5335" t="b">
            <v>1</v>
          </cell>
          <cell r="E5335" t="str">
            <v>Tierra Baja</v>
          </cell>
          <cell r="H5335" t="str">
            <v>salud_oral</v>
          </cell>
          <cell r="J5335" t="str">
            <v>bueno</v>
          </cell>
          <cell r="K5335" t="str">
            <v>defsi</v>
          </cell>
        </row>
        <row r="5336">
          <cell r="B5336" t="b">
            <v>1</v>
          </cell>
          <cell r="E5336" t="str">
            <v>Tierra Baja</v>
          </cell>
          <cell r="H5336" t="str">
            <v>salud_oral</v>
          </cell>
          <cell r="J5336" t="str">
            <v>bueno</v>
          </cell>
          <cell r="K5336" t="str">
            <v>defsi</v>
          </cell>
        </row>
        <row r="5337">
          <cell r="B5337" t="b">
            <v>1</v>
          </cell>
          <cell r="E5337" t="str">
            <v>Tierra Baja</v>
          </cell>
          <cell r="H5337" t="str">
            <v>laboratorio</v>
          </cell>
          <cell r="J5337" t="str">
            <v>bueno</v>
          </cell>
          <cell r="K5337" t="str">
            <v>defsi</v>
          </cell>
        </row>
        <row r="5338">
          <cell r="B5338" t="b">
            <v>1</v>
          </cell>
          <cell r="E5338" t="str">
            <v>Tierra Baja</v>
          </cell>
          <cell r="H5338" t="str">
            <v>laboratorio</v>
          </cell>
          <cell r="J5338" t="str">
            <v>bueno</v>
          </cell>
          <cell r="K5338" t="str">
            <v>defsi</v>
          </cell>
        </row>
        <row r="5339">
          <cell r="B5339" t="b">
            <v>1</v>
          </cell>
          <cell r="E5339" t="str">
            <v>Tierra Baja</v>
          </cell>
          <cell r="H5339" t="str">
            <v>consulta_externa</v>
          </cell>
          <cell r="J5339" t="str">
            <v>bueno</v>
          </cell>
          <cell r="K5339" t="str">
            <v>defsi</v>
          </cell>
        </row>
        <row r="5340">
          <cell r="B5340" t="b">
            <v>1</v>
          </cell>
          <cell r="E5340" t="str">
            <v>Tierra Baja</v>
          </cell>
          <cell r="H5340" t="str">
            <v>salud_oral</v>
          </cell>
          <cell r="J5340" t="str">
            <v>bueno</v>
          </cell>
          <cell r="K5340" t="str">
            <v>defsi</v>
          </cell>
        </row>
        <row r="5341">
          <cell r="B5341" t="b">
            <v>1</v>
          </cell>
          <cell r="E5341" t="str">
            <v>Tierra Baja</v>
          </cell>
          <cell r="H5341" t="str">
            <v>salud_oral</v>
          </cell>
          <cell r="J5341" t="str">
            <v>bueno</v>
          </cell>
          <cell r="K5341" t="str">
            <v>defsi</v>
          </cell>
        </row>
        <row r="5342">
          <cell r="B5342" t="b">
            <v>1</v>
          </cell>
          <cell r="E5342" t="str">
            <v>Tierra Baja</v>
          </cell>
          <cell r="H5342" t="str">
            <v>consulta_externa</v>
          </cell>
          <cell r="J5342" t="str">
            <v>bueno</v>
          </cell>
          <cell r="K5342" t="str">
            <v>defsi</v>
          </cell>
        </row>
        <row r="5343">
          <cell r="B5343" t="b">
            <v>1</v>
          </cell>
          <cell r="E5343" t="str">
            <v>Tierra Baja</v>
          </cell>
          <cell r="H5343" t="str">
            <v>consulta_externa</v>
          </cell>
          <cell r="J5343" t="str">
            <v>muybueno</v>
          </cell>
          <cell r="K5343" t="str">
            <v>defsi</v>
          </cell>
        </row>
        <row r="5344">
          <cell r="B5344" t="b">
            <v>1</v>
          </cell>
          <cell r="E5344" t="str">
            <v>Tierra Baja</v>
          </cell>
          <cell r="H5344" t="str">
            <v>salud_oral</v>
          </cell>
          <cell r="J5344" t="str">
            <v>bueno</v>
          </cell>
          <cell r="K5344" t="str">
            <v>defsi</v>
          </cell>
        </row>
        <row r="5345">
          <cell r="B5345" t="b">
            <v>1</v>
          </cell>
          <cell r="E5345" t="str">
            <v>Tierra Baja</v>
          </cell>
          <cell r="H5345" t="str">
            <v>consulta_externa</v>
          </cell>
          <cell r="J5345" t="str">
            <v>bueno</v>
          </cell>
          <cell r="K5345" t="str">
            <v>defsi</v>
          </cell>
        </row>
        <row r="5346">
          <cell r="B5346" t="b">
            <v>1</v>
          </cell>
          <cell r="E5346" t="str">
            <v>Isla del Rosario</v>
          </cell>
          <cell r="H5346" t="str">
            <v>consulta_externa</v>
          </cell>
          <cell r="J5346" t="str">
            <v>bueno</v>
          </cell>
          <cell r="K5346" t="str">
            <v>defsi</v>
          </cell>
        </row>
        <row r="5347">
          <cell r="B5347" t="b">
            <v>1</v>
          </cell>
          <cell r="E5347" t="str">
            <v>Tierra Baja</v>
          </cell>
          <cell r="H5347" t="str">
            <v>consulta_externa</v>
          </cell>
          <cell r="J5347" t="str">
            <v>bueno</v>
          </cell>
          <cell r="K5347" t="str">
            <v>defsi</v>
          </cell>
        </row>
        <row r="5348">
          <cell r="B5348" t="b">
            <v>1</v>
          </cell>
          <cell r="E5348" t="str">
            <v>Isla del Rosario</v>
          </cell>
          <cell r="H5348" t="str">
            <v>salud_oral</v>
          </cell>
          <cell r="J5348" t="str">
            <v>bueno</v>
          </cell>
          <cell r="K5348" t="str">
            <v>defsi</v>
          </cell>
        </row>
        <row r="5349">
          <cell r="B5349" t="b">
            <v>1</v>
          </cell>
          <cell r="E5349" t="str">
            <v>Tierra Baja</v>
          </cell>
          <cell r="H5349" t="str">
            <v>laboratorio</v>
          </cell>
          <cell r="J5349" t="str">
            <v>bueno</v>
          </cell>
          <cell r="K5349" t="str">
            <v>defsi</v>
          </cell>
        </row>
        <row r="5350">
          <cell r="B5350" t="b">
            <v>1</v>
          </cell>
          <cell r="E5350" t="str">
            <v>Tierra Baja</v>
          </cell>
          <cell r="H5350" t="str">
            <v>laboratorio</v>
          </cell>
          <cell r="J5350" t="str">
            <v>bueno</v>
          </cell>
          <cell r="K5350" t="str">
            <v>defsi</v>
          </cell>
        </row>
        <row r="5351">
          <cell r="B5351" t="b">
            <v>1</v>
          </cell>
          <cell r="E5351" t="str">
            <v>Isla del Rosario</v>
          </cell>
          <cell r="H5351" t="str">
            <v>laboratorio</v>
          </cell>
          <cell r="J5351" t="str">
            <v>bueno</v>
          </cell>
          <cell r="K5351" t="str">
            <v>defsi</v>
          </cell>
        </row>
        <row r="5352">
          <cell r="B5352" t="b">
            <v>1</v>
          </cell>
          <cell r="E5352" t="str">
            <v>Isla del Rosario</v>
          </cell>
          <cell r="H5352" t="str">
            <v>consulta_externa</v>
          </cell>
          <cell r="J5352" t="str">
            <v>bueno</v>
          </cell>
          <cell r="K5352" t="str">
            <v>defsi</v>
          </cell>
        </row>
        <row r="5353">
          <cell r="B5353" t="b">
            <v>1</v>
          </cell>
          <cell r="E5353" t="str">
            <v>Isla del Rosario</v>
          </cell>
          <cell r="H5353" t="str">
            <v>salud_oral</v>
          </cell>
          <cell r="J5353" t="str">
            <v>bueno</v>
          </cell>
          <cell r="K5353" t="str">
            <v>defsi</v>
          </cell>
        </row>
        <row r="5354">
          <cell r="B5354" t="b">
            <v>1</v>
          </cell>
          <cell r="E5354" t="str">
            <v>Isla del Rosario</v>
          </cell>
          <cell r="H5354" t="str">
            <v>laboratorio</v>
          </cell>
          <cell r="J5354" t="str">
            <v>bueno</v>
          </cell>
          <cell r="K5354" t="str">
            <v>defsi</v>
          </cell>
        </row>
        <row r="5355">
          <cell r="B5355" t="b">
            <v>1</v>
          </cell>
          <cell r="E5355" t="str">
            <v>Tierra Baja</v>
          </cell>
          <cell r="H5355" t="str">
            <v>laboratorio</v>
          </cell>
          <cell r="J5355" t="str">
            <v>bueno</v>
          </cell>
          <cell r="K5355" t="str">
            <v>defsi</v>
          </cell>
        </row>
        <row r="5356">
          <cell r="B5356" t="b">
            <v>1</v>
          </cell>
          <cell r="E5356" t="str">
            <v>Isla del Rosario</v>
          </cell>
          <cell r="H5356" t="str">
            <v>consulta_externa</v>
          </cell>
          <cell r="J5356" t="str">
            <v>bueno</v>
          </cell>
          <cell r="K5356" t="str">
            <v>defsi</v>
          </cell>
        </row>
        <row r="5357">
          <cell r="B5357" t="b">
            <v>1</v>
          </cell>
          <cell r="E5357" t="str">
            <v>Isla del Rosario</v>
          </cell>
          <cell r="H5357" t="str">
            <v>salud_oral</v>
          </cell>
          <cell r="J5357" t="str">
            <v>bueno</v>
          </cell>
          <cell r="K5357" t="str">
            <v>defsi</v>
          </cell>
        </row>
        <row r="5358">
          <cell r="B5358" t="b">
            <v>1</v>
          </cell>
          <cell r="E5358" t="str">
            <v>Isla del Rosario</v>
          </cell>
          <cell r="H5358" t="str">
            <v>salud_oral</v>
          </cell>
          <cell r="J5358" t="str">
            <v>bueno</v>
          </cell>
          <cell r="K5358" t="str">
            <v>defsi</v>
          </cell>
        </row>
        <row r="5359">
          <cell r="B5359" t="b">
            <v>1</v>
          </cell>
          <cell r="E5359" t="str">
            <v>Isla del Rosario</v>
          </cell>
          <cell r="H5359" t="str">
            <v>laboratorio</v>
          </cell>
          <cell r="J5359" t="str">
            <v>bueno</v>
          </cell>
          <cell r="K5359" t="str">
            <v>defsi</v>
          </cell>
        </row>
        <row r="5360">
          <cell r="B5360" t="b">
            <v>1</v>
          </cell>
          <cell r="E5360" t="str">
            <v>Pozon</v>
          </cell>
          <cell r="H5360" t="str">
            <v>salud_oral</v>
          </cell>
          <cell r="J5360" t="str">
            <v>bueno</v>
          </cell>
          <cell r="K5360" t="str">
            <v>probsi</v>
          </cell>
        </row>
        <row r="5361">
          <cell r="B5361" t="b">
            <v>1</v>
          </cell>
          <cell r="E5361" t="str">
            <v>Pozon</v>
          </cell>
          <cell r="H5361" t="str">
            <v>salud_oral</v>
          </cell>
          <cell r="J5361" t="str">
            <v>bueno</v>
          </cell>
          <cell r="K5361" t="str">
            <v>probsi</v>
          </cell>
        </row>
        <row r="5362">
          <cell r="B5362" t="b">
            <v>1</v>
          </cell>
          <cell r="E5362" t="str">
            <v>Pozon</v>
          </cell>
          <cell r="H5362" t="str">
            <v>salud_oral</v>
          </cell>
          <cell r="J5362" t="str">
            <v>bueno</v>
          </cell>
          <cell r="K5362" t="str">
            <v>probsi</v>
          </cell>
        </row>
        <row r="5363">
          <cell r="B5363" t="b">
            <v>1</v>
          </cell>
          <cell r="E5363" t="str">
            <v>Pozon</v>
          </cell>
          <cell r="H5363" t="str">
            <v>salud_oral</v>
          </cell>
          <cell r="J5363" t="str">
            <v>bueno</v>
          </cell>
          <cell r="K5363" t="str">
            <v>probsi</v>
          </cell>
        </row>
        <row r="5364">
          <cell r="B5364" t="b">
            <v>1</v>
          </cell>
          <cell r="E5364" t="str">
            <v>Pozon</v>
          </cell>
          <cell r="H5364" t="str">
            <v>laboratorio</v>
          </cell>
          <cell r="J5364" t="str">
            <v>bueno</v>
          </cell>
          <cell r="K5364" t="str">
            <v>probsi</v>
          </cell>
        </row>
        <row r="5365">
          <cell r="B5365" t="b">
            <v>1</v>
          </cell>
          <cell r="E5365" t="str">
            <v>Pozon</v>
          </cell>
          <cell r="H5365" t="str">
            <v>laboratorio</v>
          </cell>
          <cell r="J5365" t="str">
            <v>bueno</v>
          </cell>
          <cell r="K5365" t="str">
            <v>probsi</v>
          </cell>
        </row>
        <row r="5366">
          <cell r="B5366" t="b">
            <v>1</v>
          </cell>
          <cell r="E5366" t="str">
            <v>Pozon</v>
          </cell>
          <cell r="H5366" t="str">
            <v>laboratorio</v>
          </cell>
          <cell r="J5366" t="str">
            <v>bueno</v>
          </cell>
          <cell r="K5366" t="str">
            <v>probsi</v>
          </cell>
        </row>
        <row r="5367">
          <cell r="B5367" t="b">
            <v>1</v>
          </cell>
          <cell r="E5367" t="str">
            <v>Pozon</v>
          </cell>
          <cell r="H5367" t="str">
            <v>laboratorio</v>
          </cell>
          <cell r="J5367" t="str">
            <v>bueno</v>
          </cell>
          <cell r="K5367" t="str">
            <v>probsi</v>
          </cell>
        </row>
        <row r="5368">
          <cell r="B5368" t="b">
            <v>1</v>
          </cell>
          <cell r="E5368" t="str">
            <v>Pozon</v>
          </cell>
          <cell r="H5368" t="str">
            <v>consulta_externa</v>
          </cell>
          <cell r="J5368" t="str">
            <v>bueno</v>
          </cell>
          <cell r="K5368" t="str">
            <v>probsi</v>
          </cell>
        </row>
        <row r="5369">
          <cell r="B5369" t="b">
            <v>1</v>
          </cell>
          <cell r="E5369" t="str">
            <v>Pozon</v>
          </cell>
          <cell r="H5369" t="str">
            <v>consulta_externa</v>
          </cell>
          <cell r="J5369" t="str">
            <v>bueno</v>
          </cell>
          <cell r="K5369" t="str">
            <v>probsi</v>
          </cell>
        </row>
        <row r="5370">
          <cell r="B5370" t="b">
            <v>1</v>
          </cell>
          <cell r="E5370" t="str">
            <v>Pozon</v>
          </cell>
          <cell r="H5370" t="str">
            <v>consulta_externa</v>
          </cell>
          <cell r="J5370" t="str">
            <v>bueno</v>
          </cell>
          <cell r="K5370" t="str">
            <v>probsi</v>
          </cell>
        </row>
        <row r="5371">
          <cell r="B5371" t="b">
            <v>0</v>
          </cell>
          <cell r="E5371" t="str">
            <v>Pozon</v>
          </cell>
          <cell r="H5371" t="str">
            <v>laboratorio</v>
          </cell>
          <cell r="J5371" t="str">
            <v>regular</v>
          </cell>
          <cell r="K5371" t="str">
            <v>probsi</v>
          </cell>
        </row>
        <row r="5372">
          <cell r="B5372" t="b">
            <v>1</v>
          </cell>
          <cell r="E5372" t="str">
            <v>Isla del Rosario</v>
          </cell>
          <cell r="H5372" t="str">
            <v>consulta_externa</v>
          </cell>
          <cell r="J5372" t="str">
            <v>bueno</v>
          </cell>
          <cell r="K5372" t="str">
            <v>defsi</v>
          </cell>
        </row>
        <row r="5373">
          <cell r="B5373" t="b">
            <v>1</v>
          </cell>
          <cell r="E5373" t="str">
            <v>Isla del Rosario</v>
          </cell>
          <cell r="H5373" t="str">
            <v>salud_oral</v>
          </cell>
          <cell r="J5373" t="str">
            <v>bueno</v>
          </cell>
          <cell r="K5373" t="str">
            <v>defsi</v>
          </cell>
        </row>
        <row r="5374">
          <cell r="B5374" t="b">
            <v>1</v>
          </cell>
          <cell r="E5374" t="str">
            <v>Isla del Rosario</v>
          </cell>
          <cell r="H5374" t="str">
            <v>laboratorio</v>
          </cell>
          <cell r="J5374" t="str">
            <v>bueno</v>
          </cell>
          <cell r="K5374" t="str">
            <v>defsi</v>
          </cell>
        </row>
        <row r="5375">
          <cell r="B5375" t="b">
            <v>1</v>
          </cell>
          <cell r="E5375" t="str">
            <v>Isla del Rosario</v>
          </cell>
          <cell r="H5375" t="str">
            <v>consulta_externa</v>
          </cell>
          <cell r="J5375" t="str">
            <v>bueno</v>
          </cell>
          <cell r="K5375" t="str">
            <v>defsi</v>
          </cell>
        </row>
        <row r="5376">
          <cell r="B5376" t="b">
            <v>1</v>
          </cell>
          <cell r="E5376" t="str">
            <v>Isla del Rosario</v>
          </cell>
          <cell r="H5376" t="str">
            <v>salud_oral</v>
          </cell>
          <cell r="J5376" t="str">
            <v>bueno</v>
          </cell>
          <cell r="K5376" t="str">
            <v>defsi</v>
          </cell>
        </row>
        <row r="5377">
          <cell r="B5377" t="b">
            <v>1</v>
          </cell>
          <cell r="E5377" t="str">
            <v>Isla del Rosario</v>
          </cell>
          <cell r="H5377" t="str">
            <v>consulta_externa</v>
          </cell>
          <cell r="J5377" t="str">
            <v>bueno</v>
          </cell>
          <cell r="K5377" t="str">
            <v>defsi</v>
          </cell>
        </row>
        <row r="5378">
          <cell r="B5378" t="b">
            <v>1</v>
          </cell>
          <cell r="E5378" t="str">
            <v>Isla del Rosario</v>
          </cell>
          <cell r="H5378" t="str">
            <v>salud_oral</v>
          </cell>
          <cell r="J5378" t="str">
            <v>bueno</v>
          </cell>
          <cell r="K5378" t="str">
            <v>defsi</v>
          </cell>
        </row>
        <row r="5379">
          <cell r="B5379" t="b">
            <v>1</v>
          </cell>
          <cell r="E5379" t="str">
            <v>Isla del Rosario</v>
          </cell>
          <cell r="H5379" t="str">
            <v>consulta_externa</v>
          </cell>
          <cell r="J5379" t="str">
            <v>bueno</v>
          </cell>
          <cell r="K5379" t="str">
            <v>defsi</v>
          </cell>
        </row>
        <row r="5380">
          <cell r="B5380" t="b">
            <v>1</v>
          </cell>
          <cell r="E5380" t="str">
            <v>Isla del Rosario</v>
          </cell>
          <cell r="H5380" t="str">
            <v>consulta_externa</v>
          </cell>
          <cell r="J5380" t="str">
            <v>bueno</v>
          </cell>
          <cell r="K5380" t="str">
            <v>defsi</v>
          </cell>
        </row>
        <row r="5381">
          <cell r="B5381" t="b">
            <v>1</v>
          </cell>
          <cell r="E5381" t="str">
            <v>Isla del Rosario</v>
          </cell>
          <cell r="H5381" t="str">
            <v>consulta_externa</v>
          </cell>
          <cell r="J5381" t="str">
            <v>bueno</v>
          </cell>
          <cell r="K5381" t="str">
            <v>defsi</v>
          </cell>
        </row>
        <row r="5382">
          <cell r="B5382" t="b">
            <v>1</v>
          </cell>
          <cell r="E5382" t="str">
            <v>Isla del Rosario</v>
          </cell>
          <cell r="H5382" t="str">
            <v>salud_oral</v>
          </cell>
          <cell r="J5382" t="str">
            <v>bueno</v>
          </cell>
          <cell r="K5382" t="str">
            <v>defsi</v>
          </cell>
        </row>
        <row r="5383">
          <cell r="B5383" t="b">
            <v>1</v>
          </cell>
          <cell r="E5383" t="str">
            <v>Isla del Rosario</v>
          </cell>
          <cell r="H5383" t="str">
            <v>salud_oral</v>
          </cell>
          <cell r="J5383" t="str">
            <v>bueno</v>
          </cell>
          <cell r="K5383" t="str">
            <v>defsi</v>
          </cell>
        </row>
        <row r="5384">
          <cell r="B5384" t="b">
            <v>1</v>
          </cell>
          <cell r="E5384" t="str">
            <v>Tierra Baja</v>
          </cell>
          <cell r="H5384" t="str">
            <v>laboratorio</v>
          </cell>
          <cell r="J5384" t="str">
            <v>bueno</v>
          </cell>
          <cell r="K5384" t="str">
            <v>defsi</v>
          </cell>
        </row>
        <row r="5385">
          <cell r="B5385" t="b">
            <v>1</v>
          </cell>
          <cell r="E5385" t="str">
            <v>Tierra Baja</v>
          </cell>
          <cell r="H5385" t="str">
            <v>laboratorio</v>
          </cell>
          <cell r="J5385" t="str">
            <v>bueno</v>
          </cell>
          <cell r="K5385" t="str">
            <v>defsi</v>
          </cell>
        </row>
        <row r="5386">
          <cell r="B5386" t="b">
            <v>1</v>
          </cell>
          <cell r="E5386" t="str">
            <v>Tierra Baja</v>
          </cell>
          <cell r="H5386" t="str">
            <v>salud_oral</v>
          </cell>
          <cell r="J5386" t="str">
            <v>bueno</v>
          </cell>
          <cell r="K5386" t="str">
            <v>defsi</v>
          </cell>
        </row>
        <row r="5387">
          <cell r="B5387" t="b">
            <v>1</v>
          </cell>
          <cell r="E5387" t="str">
            <v>Isla del Rosario</v>
          </cell>
          <cell r="H5387" t="str">
            <v>consulta_externa</v>
          </cell>
          <cell r="J5387" t="str">
            <v>bueno</v>
          </cell>
          <cell r="K5387" t="str">
            <v>probsi</v>
          </cell>
        </row>
        <row r="5388">
          <cell r="B5388" t="b">
            <v>1</v>
          </cell>
          <cell r="E5388" t="str">
            <v>Isla del Rosario</v>
          </cell>
          <cell r="H5388" t="str">
            <v>consulta_externa</v>
          </cell>
          <cell r="J5388" t="str">
            <v>bueno</v>
          </cell>
          <cell r="K5388" t="str">
            <v>probsi</v>
          </cell>
        </row>
        <row r="5389">
          <cell r="B5389" t="b">
            <v>1</v>
          </cell>
          <cell r="E5389" t="str">
            <v>Isla del Rosario</v>
          </cell>
          <cell r="H5389" t="str">
            <v>consulta_externa</v>
          </cell>
          <cell r="J5389" t="str">
            <v>bueno</v>
          </cell>
          <cell r="K5389" t="str">
            <v>probsi</v>
          </cell>
        </row>
        <row r="5390">
          <cell r="B5390" t="b">
            <v>1</v>
          </cell>
          <cell r="E5390" t="str">
            <v>Isla del Rosario</v>
          </cell>
          <cell r="H5390" t="str">
            <v>consulta_externa</v>
          </cell>
          <cell r="J5390" t="str">
            <v>bueno</v>
          </cell>
          <cell r="K5390" t="str">
            <v>probsi</v>
          </cell>
        </row>
        <row r="5391">
          <cell r="B5391" t="b">
            <v>0</v>
          </cell>
          <cell r="E5391" t="str">
            <v>Isla del Rosario</v>
          </cell>
          <cell r="H5391" t="str">
            <v>consulta_externa</v>
          </cell>
          <cell r="J5391" t="str">
            <v>regular</v>
          </cell>
          <cell r="K5391" t="str">
            <v>probsi</v>
          </cell>
        </row>
        <row r="5392">
          <cell r="B5392" t="b">
            <v>1</v>
          </cell>
          <cell r="E5392" t="str">
            <v>Isla del Rosario</v>
          </cell>
          <cell r="H5392" t="str">
            <v>consulta_externa</v>
          </cell>
          <cell r="J5392" t="str">
            <v>bueno</v>
          </cell>
          <cell r="K5392" t="str">
            <v>probsi</v>
          </cell>
        </row>
        <row r="5393">
          <cell r="B5393" t="b">
            <v>1</v>
          </cell>
          <cell r="E5393" t="str">
            <v>Isla del Rosario</v>
          </cell>
          <cell r="H5393" t="str">
            <v>consulta_externa</v>
          </cell>
          <cell r="J5393" t="str">
            <v>bueno</v>
          </cell>
          <cell r="K5393" t="str">
            <v>probsi</v>
          </cell>
        </row>
        <row r="5394">
          <cell r="B5394" t="b">
            <v>1</v>
          </cell>
          <cell r="E5394" t="str">
            <v>Isla del Rosario</v>
          </cell>
          <cell r="H5394" t="str">
            <v>consulta_externa</v>
          </cell>
          <cell r="J5394" t="str">
            <v>bueno</v>
          </cell>
          <cell r="K5394" t="str">
            <v>probsi</v>
          </cell>
        </row>
        <row r="5395">
          <cell r="B5395" t="b">
            <v>1</v>
          </cell>
          <cell r="E5395" t="str">
            <v>Isla del Rosario</v>
          </cell>
          <cell r="H5395" t="str">
            <v>consulta_externa</v>
          </cell>
          <cell r="J5395" t="str">
            <v>bueno</v>
          </cell>
          <cell r="K5395" t="str">
            <v>probsi</v>
          </cell>
        </row>
        <row r="5396">
          <cell r="B5396" t="b">
            <v>1</v>
          </cell>
          <cell r="E5396" t="str">
            <v>Isla del Rosario</v>
          </cell>
          <cell r="H5396" t="str">
            <v>consulta_externa</v>
          </cell>
          <cell r="J5396" t="str">
            <v>bueno</v>
          </cell>
          <cell r="K5396" t="str">
            <v>probsi</v>
          </cell>
        </row>
        <row r="5397">
          <cell r="B5397" t="b">
            <v>0</v>
          </cell>
          <cell r="E5397" t="str">
            <v>Isla del Rosario</v>
          </cell>
          <cell r="H5397" t="str">
            <v>laboratorio</v>
          </cell>
          <cell r="J5397" t="str">
            <v>regular</v>
          </cell>
          <cell r="K5397" t="str">
            <v>probsi</v>
          </cell>
        </row>
        <row r="5398">
          <cell r="B5398" t="b">
            <v>0</v>
          </cell>
          <cell r="E5398" t="str">
            <v>Isla del Rosario</v>
          </cell>
          <cell r="H5398" t="str">
            <v>laboratorio</v>
          </cell>
          <cell r="J5398" t="str">
            <v>regular</v>
          </cell>
          <cell r="K5398" t="str">
            <v>probsi</v>
          </cell>
        </row>
        <row r="5399">
          <cell r="B5399" t="b">
            <v>1</v>
          </cell>
          <cell r="E5399" t="str">
            <v>Isla del Rosario</v>
          </cell>
          <cell r="H5399" t="str">
            <v>laboratorio</v>
          </cell>
          <cell r="J5399" t="str">
            <v>bueno</v>
          </cell>
          <cell r="K5399" t="str">
            <v>probsi</v>
          </cell>
        </row>
        <row r="5400">
          <cell r="B5400" t="b">
            <v>1</v>
          </cell>
          <cell r="E5400" t="str">
            <v>Isla del Rosario</v>
          </cell>
          <cell r="H5400" t="str">
            <v>laboratorio</v>
          </cell>
          <cell r="J5400" t="str">
            <v>bueno</v>
          </cell>
          <cell r="K5400" t="str">
            <v>probsi</v>
          </cell>
        </row>
        <row r="5401">
          <cell r="B5401" t="b">
            <v>1</v>
          </cell>
          <cell r="E5401" t="str">
            <v>Isla del Rosario</v>
          </cell>
          <cell r="H5401" t="str">
            <v>laboratorio</v>
          </cell>
          <cell r="J5401" t="str">
            <v>bueno</v>
          </cell>
          <cell r="K5401" t="str">
            <v>probsi</v>
          </cell>
        </row>
        <row r="5402">
          <cell r="B5402" t="b">
            <v>1</v>
          </cell>
          <cell r="E5402" t="str">
            <v>Isla del Rosario</v>
          </cell>
          <cell r="H5402" t="str">
            <v>laboratorio</v>
          </cell>
          <cell r="J5402" t="str">
            <v>bueno</v>
          </cell>
          <cell r="K5402" t="str">
            <v>probsi</v>
          </cell>
        </row>
        <row r="5403">
          <cell r="B5403" t="b">
            <v>1</v>
          </cell>
          <cell r="E5403" t="str">
            <v>Isla del Rosario</v>
          </cell>
          <cell r="H5403" t="str">
            <v>laboratorio</v>
          </cell>
          <cell r="J5403" t="str">
            <v>bueno</v>
          </cell>
          <cell r="K5403" t="str">
            <v>probsi</v>
          </cell>
        </row>
        <row r="5404">
          <cell r="B5404" t="b">
            <v>1</v>
          </cell>
          <cell r="E5404" t="str">
            <v>Isla del Rosario</v>
          </cell>
          <cell r="H5404" t="str">
            <v>laboratorio</v>
          </cell>
          <cell r="J5404" t="str">
            <v>bueno</v>
          </cell>
          <cell r="K5404" t="str">
            <v>probsi</v>
          </cell>
        </row>
        <row r="5405">
          <cell r="B5405" t="b">
            <v>1</v>
          </cell>
          <cell r="E5405" t="str">
            <v>Isla del Rosario</v>
          </cell>
          <cell r="H5405" t="str">
            <v>laboratorio</v>
          </cell>
          <cell r="J5405" t="str">
            <v>bueno</v>
          </cell>
          <cell r="K5405" t="str">
            <v>probsi</v>
          </cell>
        </row>
        <row r="5406">
          <cell r="B5406" t="b">
            <v>1</v>
          </cell>
          <cell r="E5406" t="str">
            <v>Isla del Rosario</v>
          </cell>
          <cell r="H5406" t="str">
            <v>salud_oral</v>
          </cell>
          <cell r="J5406" t="str">
            <v>bueno</v>
          </cell>
          <cell r="K5406" t="str">
            <v>probsi</v>
          </cell>
        </row>
        <row r="5407">
          <cell r="B5407" t="b">
            <v>1</v>
          </cell>
          <cell r="E5407" t="str">
            <v>Isla del Rosario</v>
          </cell>
          <cell r="H5407" t="str">
            <v>salud_oral</v>
          </cell>
          <cell r="J5407" t="str">
            <v>bueno</v>
          </cell>
          <cell r="K5407" t="str">
            <v>probsi</v>
          </cell>
        </row>
        <row r="5408">
          <cell r="B5408" t="b">
            <v>1</v>
          </cell>
          <cell r="E5408" t="str">
            <v>Isla del Rosario</v>
          </cell>
          <cell r="H5408" t="str">
            <v>salud_oral</v>
          </cell>
          <cell r="J5408" t="str">
            <v>bueno</v>
          </cell>
          <cell r="K5408" t="str">
            <v>probsi</v>
          </cell>
        </row>
        <row r="5409">
          <cell r="B5409" t="b">
            <v>1</v>
          </cell>
          <cell r="E5409" t="str">
            <v>Isla del Rosario</v>
          </cell>
          <cell r="H5409" t="str">
            <v>salud_oral</v>
          </cell>
          <cell r="J5409" t="str">
            <v>bueno</v>
          </cell>
          <cell r="K5409" t="str">
            <v>probsi</v>
          </cell>
        </row>
        <row r="5410">
          <cell r="B5410" t="b">
            <v>1</v>
          </cell>
          <cell r="E5410" t="str">
            <v>Tierra Baja</v>
          </cell>
          <cell r="H5410" t="str">
            <v>salud_oral</v>
          </cell>
          <cell r="J5410" t="str">
            <v>bueno</v>
          </cell>
          <cell r="K5410" t="str">
            <v>defsi</v>
          </cell>
        </row>
        <row r="5411">
          <cell r="B5411" t="b">
            <v>1</v>
          </cell>
          <cell r="E5411" t="str">
            <v>Tierra Baja</v>
          </cell>
          <cell r="H5411" t="str">
            <v>salud_oral</v>
          </cell>
          <cell r="J5411" t="str">
            <v>bueno</v>
          </cell>
          <cell r="K5411" t="str">
            <v>defsi</v>
          </cell>
        </row>
        <row r="5412">
          <cell r="B5412" t="b">
            <v>1</v>
          </cell>
          <cell r="E5412" t="str">
            <v>Tierra Baja</v>
          </cell>
          <cell r="H5412" t="str">
            <v>laboratorio</v>
          </cell>
          <cell r="J5412" t="str">
            <v>bueno</v>
          </cell>
          <cell r="K5412" t="str">
            <v>defsi</v>
          </cell>
        </row>
        <row r="5413">
          <cell r="B5413" t="b">
            <v>1</v>
          </cell>
          <cell r="E5413" t="str">
            <v>Tierra Baja</v>
          </cell>
          <cell r="H5413" t="str">
            <v>laboratorio</v>
          </cell>
          <cell r="J5413" t="str">
            <v>bueno</v>
          </cell>
          <cell r="K5413" t="str">
            <v>defsi</v>
          </cell>
        </row>
        <row r="5414">
          <cell r="B5414" t="b">
            <v>1</v>
          </cell>
          <cell r="E5414" t="str">
            <v>Tierra Baja</v>
          </cell>
          <cell r="H5414" t="str">
            <v>laboratorio</v>
          </cell>
          <cell r="J5414" t="str">
            <v>bueno</v>
          </cell>
          <cell r="K5414" t="str">
            <v>defsi</v>
          </cell>
        </row>
        <row r="5415">
          <cell r="B5415" t="b">
            <v>1</v>
          </cell>
          <cell r="E5415" t="str">
            <v>Tierra Baja</v>
          </cell>
          <cell r="H5415" t="str">
            <v>laboratorio</v>
          </cell>
          <cell r="J5415" t="str">
            <v>muybueno</v>
          </cell>
          <cell r="K5415" t="str">
            <v>defsi</v>
          </cell>
        </row>
        <row r="5416">
          <cell r="B5416" t="b">
            <v>1</v>
          </cell>
          <cell r="E5416" t="str">
            <v>Tierra Baja</v>
          </cell>
          <cell r="H5416" t="str">
            <v>laboratorio</v>
          </cell>
          <cell r="J5416" t="str">
            <v>bueno</v>
          </cell>
          <cell r="K5416" t="str">
            <v>defsi</v>
          </cell>
        </row>
        <row r="5417">
          <cell r="B5417" t="b">
            <v>1</v>
          </cell>
          <cell r="E5417" t="str">
            <v>Tierra Baja</v>
          </cell>
          <cell r="H5417" t="str">
            <v>laboratorio</v>
          </cell>
          <cell r="J5417" t="str">
            <v>bueno</v>
          </cell>
          <cell r="K5417" t="str">
            <v>defsi</v>
          </cell>
        </row>
        <row r="5418">
          <cell r="B5418" t="b">
            <v>1</v>
          </cell>
          <cell r="E5418" t="str">
            <v>Santa Ana</v>
          </cell>
          <cell r="H5418" t="str">
            <v>consulta_externa</v>
          </cell>
          <cell r="J5418" t="str">
            <v>bueno</v>
          </cell>
          <cell r="K5418" t="str">
            <v>defsi</v>
          </cell>
        </row>
        <row r="5419">
          <cell r="B5419" t="b">
            <v>1</v>
          </cell>
          <cell r="E5419" t="str">
            <v>Santa Ana</v>
          </cell>
          <cell r="H5419" t="str">
            <v>laboratorio</v>
          </cell>
          <cell r="J5419" t="str">
            <v>bueno</v>
          </cell>
          <cell r="K5419" t="str">
            <v>defsi</v>
          </cell>
        </row>
        <row r="5420">
          <cell r="B5420" t="b">
            <v>1</v>
          </cell>
          <cell r="E5420" t="str">
            <v>Santa Ana</v>
          </cell>
          <cell r="H5420" t="str">
            <v>salud_oral</v>
          </cell>
          <cell r="J5420" t="str">
            <v>bueno</v>
          </cell>
          <cell r="K5420" t="str">
            <v>defsi</v>
          </cell>
        </row>
        <row r="5421">
          <cell r="B5421" t="b">
            <v>1</v>
          </cell>
          <cell r="E5421" t="str">
            <v>Santa Ana</v>
          </cell>
          <cell r="H5421" t="str">
            <v>salud_oral</v>
          </cell>
          <cell r="J5421" t="str">
            <v>bueno</v>
          </cell>
          <cell r="K5421" t="str">
            <v>defsi</v>
          </cell>
        </row>
        <row r="5422">
          <cell r="B5422" t="b">
            <v>1</v>
          </cell>
          <cell r="E5422" t="str">
            <v>Santa Ana</v>
          </cell>
          <cell r="H5422" t="str">
            <v>laboratorio</v>
          </cell>
          <cell r="J5422" t="str">
            <v>bueno</v>
          </cell>
          <cell r="K5422" t="str">
            <v>defsi</v>
          </cell>
        </row>
        <row r="5423">
          <cell r="B5423" t="b">
            <v>1</v>
          </cell>
          <cell r="E5423" t="str">
            <v>Santa Ana</v>
          </cell>
          <cell r="H5423" t="str">
            <v>consulta_externa</v>
          </cell>
          <cell r="J5423" t="str">
            <v>bueno</v>
          </cell>
          <cell r="K5423" t="str">
            <v>defsi</v>
          </cell>
        </row>
        <row r="5424">
          <cell r="B5424" t="b">
            <v>1</v>
          </cell>
          <cell r="E5424" t="str">
            <v>Hospital Pozon</v>
          </cell>
          <cell r="H5424" t="str">
            <v>ginecologia</v>
          </cell>
          <cell r="J5424" t="str">
            <v>bueno</v>
          </cell>
          <cell r="K5424" t="str">
            <v>probsi</v>
          </cell>
        </row>
        <row r="5425">
          <cell r="B5425" t="b">
            <v>1</v>
          </cell>
          <cell r="E5425" t="str">
            <v>Hospital Pozon</v>
          </cell>
          <cell r="H5425" t="str">
            <v>ginecologia</v>
          </cell>
          <cell r="J5425" t="str">
            <v>bueno</v>
          </cell>
          <cell r="K5425" t="str">
            <v>probsi</v>
          </cell>
        </row>
        <row r="5426">
          <cell r="B5426" t="b">
            <v>1</v>
          </cell>
          <cell r="E5426" t="str">
            <v>Hospital Pozon</v>
          </cell>
          <cell r="H5426" t="str">
            <v>ginecologia</v>
          </cell>
          <cell r="J5426" t="str">
            <v>bueno</v>
          </cell>
          <cell r="K5426" t="str">
            <v>probsi</v>
          </cell>
        </row>
        <row r="5427">
          <cell r="B5427" t="b">
            <v>1</v>
          </cell>
          <cell r="E5427" t="str">
            <v>Hospital Pozon</v>
          </cell>
          <cell r="H5427" t="str">
            <v>ginecologia</v>
          </cell>
          <cell r="J5427" t="str">
            <v>bueno</v>
          </cell>
          <cell r="K5427" t="str">
            <v>probsi</v>
          </cell>
        </row>
        <row r="5428">
          <cell r="B5428" t="b">
            <v>1</v>
          </cell>
          <cell r="E5428" t="str">
            <v>Hospital Pozon</v>
          </cell>
          <cell r="H5428" t="str">
            <v>ginecologia</v>
          </cell>
          <cell r="J5428" t="str">
            <v>bueno</v>
          </cell>
          <cell r="K5428" t="str">
            <v>probsi</v>
          </cell>
        </row>
        <row r="5429">
          <cell r="B5429" t="b">
            <v>1</v>
          </cell>
          <cell r="E5429" t="str">
            <v>Hospital Pozon</v>
          </cell>
          <cell r="H5429" t="str">
            <v>ginecologia</v>
          </cell>
          <cell r="J5429" t="str">
            <v>bueno</v>
          </cell>
          <cell r="K5429" t="str">
            <v>probsi</v>
          </cell>
        </row>
        <row r="5430">
          <cell r="B5430" t="b">
            <v>1</v>
          </cell>
          <cell r="E5430" t="str">
            <v>Santa Ana</v>
          </cell>
          <cell r="H5430" t="str">
            <v>consulta_externa</v>
          </cell>
          <cell r="J5430" t="str">
            <v>bueno</v>
          </cell>
          <cell r="K5430" t="str">
            <v>defsi</v>
          </cell>
        </row>
        <row r="5431">
          <cell r="B5431" t="b">
            <v>1</v>
          </cell>
          <cell r="E5431" t="str">
            <v>Santa Ana</v>
          </cell>
          <cell r="H5431" t="str">
            <v>laboratorio</v>
          </cell>
          <cell r="J5431" t="str">
            <v>bueno</v>
          </cell>
          <cell r="K5431" t="str">
            <v>defsi</v>
          </cell>
        </row>
        <row r="5432">
          <cell r="B5432" t="b">
            <v>1</v>
          </cell>
          <cell r="E5432" t="str">
            <v>Santa Ana</v>
          </cell>
          <cell r="H5432" t="str">
            <v>laboratorio</v>
          </cell>
          <cell r="J5432" t="str">
            <v>bueno</v>
          </cell>
          <cell r="K5432" t="str">
            <v>defsi</v>
          </cell>
        </row>
        <row r="5433">
          <cell r="B5433" t="b">
            <v>1</v>
          </cell>
          <cell r="E5433" t="str">
            <v>Santa Ana</v>
          </cell>
          <cell r="H5433" t="str">
            <v>laboratorio</v>
          </cell>
          <cell r="J5433" t="str">
            <v>bueno</v>
          </cell>
          <cell r="K5433" t="str">
            <v>defsi</v>
          </cell>
        </row>
        <row r="5434">
          <cell r="B5434" t="b">
            <v>1</v>
          </cell>
          <cell r="E5434" t="str">
            <v>Santa Ana</v>
          </cell>
          <cell r="H5434" t="str">
            <v>laboratorio</v>
          </cell>
          <cell r="J5434" t="str">
            <v>bueno</v>
          </cell>
          <cell r="K5434" t="str">
            <v>defsi</v>
          </cell>
        </row>
        <row r="5435">
          <cell r="B5435" t="b">
            <v>1</v>
          </cell>
          <cell r="E5435" t="str">
            <v>Santa Ana</v>
          </cell>
          <cell r="H5435" t="str">
            <v>urgencia</v>
          </cell>
          <cell r="J5435" t="str">
            <v>bueno</v>
          </cell>
          <cell r="K5435" t="str">
            <v>defsi</v>
          </cell>
        </row>
        <row r="5436">
          <cell r="B5436" t="b">
            <v>1</v>
          </cell>
          <cell r="E5436" t="str">
            <v>Santa Ana</v>
          </cell>
          <cell r="H5436" t="str">
            <v>urgencia</v>
          </cell>
          <cell r="J5436" t="str">
            <v>bueno</v>
          </cell>
          <cell r="K5436" t="str">
            <v>defsi</v>
          </cell>
        </row>
        <row r="5437">
          <cell r="B5437" t="b">
            <v>1</v>
          </cell>
          <cell r="E5437" t="str">
            <v>Santa Ana</v>
          </cell>
          <cell r="H5437" t="str">
            <v>consulta_externa</v>
          </cell>
          <cell r="J5437" t="str">
            <v>bueno</v>
          </cell>
          <cell r="K5437" t="str">
            <v>defsi</v>
          </cell>
        </row>
        <row r="5438">
          <cell r="B5438" t="b">
            <v>1</v>
          </cell>
          <cell r="E5438" t="str">
            <v>Santa Ana</v>
          </cell>
          <cell r="H5438" t="str">
            <v>laboratorio</v>
          </cell>
          <cell r="J5438" t="str">
            <v>bueno</v>
          </cell>
          <cell r="K5438" t="str">
            <v>defsi</v>
          </cell>
        </row>
        <row r="5439">
          <cell r="B5439" t="b">
            <v>1</v>
          </cell>
          <cell r="E5439" t="str">
            <v>Santa Ana</v>
          </cell>
          <cell r="H5439" t="str">
            <v>urgencia</v>
          </cell>
          <cell r="J5439" t="str">
            <v>bueno</v>
          </cell>
          <cell r="K5439" t="str">
            <v>defsi</v>
          </cell>
        </row>
        <row r="5440">
          <cell r="B5440" t="b">
            <v>1</v>
          </cell>
          <cell r="E5440" t="str">
            <v>Santa Ana</v>
          </cell>
          <cell r="H5440" t="str">
            <v>urgencia</v>
          </cell>
          <cell r="J5440" t="str">
            <v>bueno</v>
          </cell>
          <cell r="K5440" t="str">
            <v>defsi</v>
          </cell>
        </row>
        <row r="5441">
          <cell r="B5441" t="b">
            <v>1</v>
          </cell>
          <cell r="E5441" t="str">
            <v>Santa Ana</v>
          </cell>
          <cell r="H5441" t="str">
            <v>consulta_externa</v>
          </cell>
          <cell r="J5441" t="str">
            <v>bueno</v>
          </cell>
          <cell r="K5441" t="str">
            <v>defsi</v>
          </cell>
        </row>
        <row r="5442">
          <cell r="B5442" t="b">
            <v>1</v>
          </cell>
          <cell r="E5442" t="str">
            <v>Santa Ana</v>
          </cell>
          <cell r="H5442" t="str">
            <v>laboratorio</v>
          </cell>
          <cell r="J5442" t="str">
            <v>bueno</v>
          </cell>
          <cell r="K5442" t="str">
            <v>defsi</v>
          </cell>
        </row>
        <row r="5443">
          <cell r="B5443" t="b">
            <v>1</v>
          </cell>
          <cell r="E5443" t="str">
            <v>Santa Ana</v>
          </cell>
          <cell r="H5443" t="str">
            <v>laboratorio</v>
          </cell>
          <cell r="J5443" t="str">
            <v>bueno</v>
          </cell>
          <cell r="K5443" t="str">
            <v>defsi</v>
          </cell>
        </row>
        <row r="5444">
          <cell r="B5444" t="b">
            <v>0</v>
          </cell>
          <cell r="E5444" t="str">
            <v>Santa Ana</v>
          </cell>
          <cell r="H5444" t="str">
            <v>laboratorio</v>
          </cell>
          <cell r="J5444" t="str">
            <v>regular</v>
          </cell>
          <cell r="K5444" t="str">
            <v>defsi</v>
          </cell>
        </row>
        <row r="5445">
          <cell r="B5445" t="b">
            <v>1</v>
          </cell>
          <cell r="E5445" t="str">
            <v>Santa Ana</v>
          </cell>
          <cell r="H5445" t="str">
            <v>laboratorio</v>
          </cell>
          <cell r="J5445" t="str">
            <v>bueno</v>
          </cell>
          <cell r="K5445" t="str">
            <v>defsi</v>
          </cell>
        </row>
        <row r="5446">
          <cell r="B5446" t="b">
            <v>1</v>
          </cell>
          <cell r="E5446" t="str">
            <v>Santa Ana</v>
          </cell>
          <cell r="H5446" t="str">
            <v>salud_oral</v>
          </cell>
          <cell r="J5446" t="str">
            <v>bueno</v>
          </cell>
          <cell r="K5446" t="str">
            <v>defsi</v>
          </cell>
        </row>
        <row r="5447">
          <cell r="B5447" t="b">
            <v>1</v>
          </cell>
          <cell r="E5447" t="str">
            <v>Santa Ana</v>
          </cell>
          <cell r="H5447" t="str">
            <v>consulta_externa</v>
          </cell>
          <cell r="J5447" t="str">
            <v>bueno</v>
          </cell>
          <cell r="K5447" t="str">
            <v>defsi</v>
          </cell>
        </row>
        <row r="5448">
          <cell r="B5448" t="b">
            <v>1</v>
          </cell>
          <cell r="E5448" t="str">
            <v>Santa Ana</v>
          </cell>
          <cell r="H5448" t="str">
            <v>consulta_externa</v>
          </cell>
          <cell r="J5448" t="str">
            <v>bueno</v>
          </cell>
          <cell r="K5448" t="str">
            <v>defsi</v>
          </cell>
        </row>
        <row r="5449">
          <cell r="B5449" t="b">
            <v>1</v>
          </cell>
          <cell r="E5449" t="str">
            <v>Santa Ana</v>
          </cell>
          <cell r="H5449" t="str">
            <v>consulta_externa</v>
          </cell>
          <cell r="J5449" t="str">
            <v>bueno</v>
          </cell>
          <cell r="K5449" t="str">
            <v>defsi</v>
          </cell>
        </row>
        <row r="5450">
          <cell r="B5450" t="b">
            <v>1</v>
          </cell>
          <cell r="E5450" t="str">
            <v>Santa Ana</v>
          </cell>
          <cell r="H5450" t="str">
            <v>laboratorio</v>
          </cell>
          <cell r="J5450" t="str">
            <v>bueno</v>
          </cell>
          <cell r="K5450" t="str">
            <v>defsi</v>
          </cell>
        </row>
        <row r="5451">
          <cell r="B5451" t="b">
            <v>1</v>
          </cell>
          <cell r="E5451" t="str">
            <v>Santa Ana</v>
          </cell>
          <cell r="H5451" t="str">
            <v>laboratorio</v>
          </cell>
          <cell r="J5451" t="str">
            <v>bueno</v>
          </cell>
          <cell r="K5451" t="str">
            <v>defsi</v>
          </cell>
        </row>
        <row r="5452">
          <cell r="B5452" t="b">
            <v>1</v>
          </cell>
          <cell r="E5452" t="str">
            <v>Bocachica</v>
          </cell>
          <cell r="H5452" t="str">
            <v>laboratorio</v>
          </cell>
          <cell r="J5452" t="str">
            <v>bueno</v>
          </cell>
          <cell r="K5452" t="str">
            <v>probsi</v>
          </cell>
        </row>
        <row r="5453">
          <cell r="B5453" t="b">
            <v>1</v>
          </cell>
          <cell r="E5453" t="str">
            <v>Bocachica</v>
          </cell>
          <cell r="H5453" t="str">
            <v>laboratorio</v>
          </cell>
          <cell r="J5453" t="str">
            <v>bueno</v>
          </cell>
          <cell r="K5453" t="str">
            <v>probsi</v>
          </cell>
        </row>
        <row r="5454">
          <cell r="B5454" t="b">
            <v>1</v>
          </cell>
          <cell r="E5454" t="str">
            <v>Bocachica</v>
          </cell>
          <cell r="H5454" t="str">
            <v>laboratorio</v>
          </cell>
          <cell r="J5454" t="str">
            <v>bueno</v>
          </cell>
          <cell r="K5454" t="str">
            <v>probsi</v>
          </cell>
        </row>
        <row r="5455">
          <cell r="B5455" t="b">
            <v>1</v>
          </cell>
          <cell r="E5455" t="str">
            <v>Bocachica</v>
          </cell>
          <cell r="H5455" t="str">
            <v>laboratorio</v>
          </cell>
          <cell r="J5455" t="str">
            <v>bueno</v>
          </cell>
          <cell r="K5455" t="str">
            <v>probsi</v>
          </cell>
        </row>
        <row r="5456">
          <cell r="B5456" t="b">
            <v>1</v>
          </cell>
          <cell r="E5456" t="str">
            <v>Bocachica</v>
          </cell>
          <cell r="H5456" t="str">
            <v>laboratorio</v>
          </cell>
          <cell r="J5456" t="str">
            <v>bueno</v>
          </cell>
          <cell r="K5456" t="str">
            <v>probsi</v>
          </cell>
        </row>
        <row r="5457">
          <cell r="B5457" t="b">
            <v>1</v>
          </cell>
          <cell r="E5457" t="str">
            <v>Bocachica</v>
          </cell>
          <cell r="H5457" t="str">
            <v>salud_oral</v>
          </cell>
          <cell r="J5457" t="str">
            <v>bueno</v>
          </cell>
          <cell r="K5457" t="str">
            <v>probsi</v>
          </cell>
        </row>
        <row r="5458">
          <cell r="B5458" t="b">
            <v>1</v>
          </cell>
          <cell r="E5458" t="str">
            <v>Bocachica</v>
          </cell>
          <cell r="H5458" t="str">
            <v>salud_oral</v>
          </cell>
          <cell r="J5458" t="str">
            <v>bueno</v>
          </cell>
          <cell r="K5458" t="str">
            <v>probsi</v>
          </cell>
        </row>
        <row r="5459">
          <cell r="B5459" t="b">
            <v>1</v>
          </cell>
          <cell r="E5459" t="str">
            <v>Santa Ana</v>
          </cell>
          <cell r="H5459" t="str">
            <v>salud_oral</v>
          </cell>
          <cell r="J5459" t="str">
            <v>bueno</v>
          </cell>
          <cell r="K5459" t="str">
            <v>defsi</v>
          </cell>
        </row>
        <row r="5460">
          <cell r="B5460" t="b">
            <v>1</v>
          </cell>
          <cell r="E5460" t="str">
            <v>Boston</v>
          </cell>
          <cell r="H5460" t="str">
            <v>consulta_externa</v>
          </cell>
          <cell r="J5460" t="str">
            <v>bueno</v>
          </cell>
          <cell r="K5460" t="str">
            <v>probsi</v>
          </cell>
        </row>
        <row r="5461">
          <cell r="B5461" t="b">
            <v>1</v>
          </cell>
          <cell r="E5461" t="str">
            <v>Boston</v>
          </cell>
          <cell r="H5461" t="str">
            <v>consulta_externa</v>
          </cell>
          <cell r="J5461" t="str">
            <v>bueno</v>
          </cell>
          <cell r="K5461" t="str">
            <v>probsi</v>
          </cell>
        </row>
        <row r="5462">
          <cell r="B5462" t="b">
            <v>1</v>
          </cell>
          <cell r="E5462" t="str">
            <v>Boston</v>
          </cell>
          <cell r="H5462" t="str">
            <v>consulta_externa</v>
          </cell>
          <cell r="J5462" t="str">
            <v>bueno</v>
          </cell>
          <cell r="K5462" t="str">
            <v>probsi</v>
          </cell>
        </row>
        <row r="5463">
          <cell r="B5463" t="b">
            <v>1</v>
          </cell>
          <cell r="E5463" t="str">
            <v>Punta Arena</v>
          </cell>
          <cell r="H5463" t="str">
            <v>consulta_externa</v>
          </cell>
          <cell r="J5463" t="str">
            <v>bueno</v>
          </cell>
          <cell r="K5463" t="str">
            <v>probsi</v>
          </cell>
        </row>
        <row r="5464">
          <cell r="B5464" t="b">
            <v>1</v>
          </cell>
          <cell r="E5464" t="str">
            <v>Punta Arena</v>
          </cell>
          <cell r="H5464" t="str">
            <v>consulta_externa</v>
          </cell>
          <cell r="J5464" t="str">
            <v>bueno</v>
          </cell>
          <cell r="K5464" t="str">
            <v>probsi</v>
          </cell>
        </row>
        <row r="5465">
          <cell r="B5465" t="b">
            <v>1</v>
          </cell>
          <cell r="E5465" t="str">
            <v>Punta Arena</v>
          </cell>
          <cell r="H5465" t="str">
            <v>consulta_externa</v>
          </cell>
          <cell r="J5465" t="str">
            <v>bueno</v>
          </cell>
          <cell r="K5465" t="str">
            <v>probsi</v>
          </cell>
        </row>
        <row r="5466">
          <cell r="B5466" t="b">
            <v>1</v>
          </cell>
          <cell r="E5466" t="str">
            <v>Boston</v>
          </cell>
          <cell r="H5466" t="str">
            <v>consulta_externa</v>
          </cell>
          <cell r="J5466" t="str">
            <v>bueno</v>
          </cell>
          <cell r="K5466" t="str">
            <v>probsi</v>
          </cell>
        </row>
        <row r="5467">
          <cell r="B5467" t="b">
            <v>1</v>
          </cell>
          <cell r="E5467" t="str">
            <v>Boston</v>
          </cell>
          <cell r="H5467" t="str">
            <v>consulta_externa</v>
          </cell>
          <cell r="J5467" t="str">
            <v>bueno</v>
          </cell>
          <cell r="K5467" t="str">
            <v>probsi</v>
          </cell>
        </row>
        <row r="5468">
          <cell r="B5468" t="b">
            <v>1</v>
          </cell>
          <cell r="E5468" t="str">
            <v>Boston</v>
          </cell>
          <cell r="H5468" t="str">
            <v>consulta_externa</v>
          </cell>
          <cell r="J5468" t="str">
            <v>bueno</v>
          </cell>
          <cell r="K5468" t="str">
            <v>probsi</v>
          </cell>
        </row>
        <row r="5469">
          <cell r="B5469" t="b">
            <v>1</v>
          </cell>
          <cell r="E5469" t="str">
            <v>Boston</v>
          </cell>
          <cell r="H5469" t="str">
            <v>consulta_externa</v>
          </cell>
          <cell r="J5469" t="str">
            <v>bueno</v>
          </cell>
          <cell r="K5469" t="str">
            <v>probsi</v>
          </cell>
        </row>
        <row r="5470">
          <cell r="B5470" t="b">
            <v>1</v>
          </cell>
          <cell r="E5470" t="str">
            <v>Boston</v>
          </cell>
          <cell r="H5470" t="str">
            <v>consulta_externa</v>
          </cell>
          <cell r="J5470" t="str">
            <v>bueno</v>
          </cell>
          <cell r="K5470" t="str">
            <v>probsi</v>
          </cell>
        </row>
        <row r="5471">
          <cell r="B5471" t="b">
            <v>1</v>
          </cell>
          <cell r="E5471" t="str">
            <v>Foco Rojo</v>
          </cell>
          <cell r="H5471" t="str">
            <v>consulta_externa</v>
          </cell>
          <cell r="J5471" t="str">
            <v>bueno</v>
          </cell>
          <cell r="K5471" t="str">
            <v>defsi</v>
          </cell>
        </row>
        <row r="5472">
          <cell r="B5472" t="b">
            <v>1</v>
          </cell>
          <cell r="E5472" t="str">
            <v>Foco Rojo</v>
          </cell>
          <cell r="H5472" t="str">
            <v>salud_oral</v>
          </cell>
          <cell r="J5472" t="str">
            <v>bueno</v>
          </cell>
          <cell r="K5472" t="str">
            <v>defsi</v>
          </cell>
        </row>
        <row r="5473">
          <cell r="B5473" t="b">
            <v>1</v>
          </cell>
          <cell r="E5473" t="str">
            <v>Foco Rojo</v>
          </cell>
          <cell r="H5473" t="str">
            <v>laboratorio</v>
          </cell>
          <cell r="J5473" t="str">
            <v>bueno</v>
          </cell>
          <cell r="K5473" t="str">
            <v>defsi</v>
          </cell>
        </row>
        <row r="5474">
          <cell r="B5474" t="b">
            <v>1</v>
          </cell>
          <cell r="E5474" t="str">
            <v>Foco Rojo</v>
          </cell>
          <cell r="H5474" t="str">
            <v>consulta_externa</v>
          </cell>
          <cell r="J5474" t="str">
            <v>bueno</v>
          </cell>
          <cell r="K5474" t="str">
            <v>defsi</v>
          </cell>
        </row>
        <row r="5475">
          <cell r="B5475" t="b">
            <v>1</v>
          </cell>
          <cell r="E5475" t="str">
            <v>Foco Rojo</v>
          </cell>
          <cell r="H5475" t="str">
            <v>salud_oral</v>
          </cell>
          <cell r="J5475" t="str">
            <v>bueno</v>
          </cell>
          <cell r="K5475" t="str">
            <v>defsi</v>
          </cell>
        </row>
        <row r="5476">
          <cell r="B5476" t="b">
            <v>1</v>
          </cell>
          <cell r="E5476" t="str">
            <v>Foco Rojo</v>
          </cell>
          <cell r="H5476" t="str">
            <v>salud_oral</v>
          </cell>
          <cell r="J5476" t="str">
            <v>bueno</v>
          </cell>
          <cell r="K5476" t="str">
            <v>defsi</v>
          </cell>
        </row>
        <row r="5477">
          <cell r="B5477" t="b">
            <v>1</v>
          </cell>
          <cell r="E5477" t="str">
            <v>Foco Rojo</v>
          </cell>
          <cell r="H5477" t="str">
            <v>consulta_externa</v>
          </cell>
          <cell r="J5477" t="str">
            <v>bueno</v>
          </cell>
          <cell r="K5477" t="str">
            <v>defsi</v>
          </cell>
        </row>
        <row r="5478">
          <cell r="B5478" t="b">
            <v>1</v>
          </cell>
          <cell r="E5478" t="str">
            <v>Foco Rojo</v>
          </cell>
          <cell r="H5478" t="str">
            <v>salud_oral</v>
          </cell>
          <cell r="J5478" t="str">
            <v>bueno</v>
          </cell>
          <cell r="K5478" t="str">
            <v>defsi</v>
          </cell>
        </row>
        <row r="5479">
          <cell r="B5479" t="b">
            <v>1</v>
          </cell>
          <cell r="E5479" t="str">
            <v>Foco Rojo</v>
          </cell>
          <cell r="H5479" t="str">
            <v>laboratorio</v>
          </cell>
          <cell r="J5479" t="str">
            <v>bueno</v>
          </cell>
          <cell r="K5479" t="str">
            <v>defsi</v>
          </cell>
        </row>
        <row r="5480">
          <cell r="B5480" t="b">
            <v>1</v>
          </cell>
          <cell r="E5480" t="str">
            <v>Foco Rojo</v>
          </cell>
          <cell r="H5480" t="str">
            <v>consulta_externa</v>
          </cell>
          <cell r="J5480" t="str">
            <v>bueno</v>
          </cell>
          <cell r="K5480" t="str">
            <v>defsi</v>
          </cell>
        </row>
        <row r="5481">
          <cell r="B5481" t="b">
            <v>1</v>
          </cell>
          <cell r="E5481" t="str">
            <v>Foco Rojo</v>
          </cell>
          <cell r="H5481" t="str">
            <v>salud_oral</v>
          </cell>
          <cell r="J5481" t="str">
            <v>bueno</v>
          </cell>
          <cell r="K5481" t="str">
            <v>defsi</v>
          </cell>
        </row>
        <row r="5482">
          <cell r="B5482" t="b">
            <v>1</v>
          </cell>
          <cell r="E5482" t="str">
            <v>Boston</v>
          </cell>
          <cell r="H5482" t="str">
            <v>consulta_externa</v>
          </cell>
          <cell r="J5482" t="str">
            <v>bueno</v>
          </cell>
          <cell r="K5482" t="str">
            <v>probsi</v>
          </cell>
        </row>
        <row r="5483">
          <cell r="B5483" t="b">
            <v>1</v>
          </cell>
          <cell r="E5483" t="str">
            <v>Boston</v>
          </cell>
          <cell r="H5483" t="str">
            <v>consulta_externa</v>
          </cell>
          <cell r="J5483" t="str">
            <v>bueno</v>
          </cell>
          <cell r="K5483" t="str">
            <v>probsi</v>
          </cell>
        </row>
        <row r="5484">
          <cell r="B5484" t="b">
            <v>1</v>
          </cell>
          <cell r="E5484" t="str">
            <v>Boston</v>
          </cell>
          <cell r="H5484" t="str">
            <v>consulta_externa</v>
          </cell>
          <cell r="J5484" t="str">
            <v>bueno</v>
          </cell>
          <cell r="K5484" t="str">
            <v>probsi</v>
          </cell>
        </row>
        <row r="5485">
          <cell r="B5485" t="b">
            <v>1</v>
          </cell>
          <cell r="E5485" t="str">
            <v>Boston</v>
          </cell>
          <cell r="H5485" t="str">
            <v>consulta_externa</v>
          </cell>
          <cell r="J5485" t="str">
            <v>bueno</v>
          </cell>
          <cell r="K5485" t="str">
            <v>probsi</v>
          </cell>
        </row>
        <row r="5486">
          <cell r="B5486" t="b">
            <v>1</v>
          </cell>
          <cell r="E5486" t="str">
            <v>Foco Rojo</v>
          </cell>
          <cell r="H5486" t="str">
            <v>laboratorio</v>
          </cell>
          <cell r="J5486" t="str">
            <v>bueno</v>
          </cell>
          <cell r="K5486" t="str">
            <v>defsi</v>
          </cell>
        </row>
        <row r="5487">
          <cell r="B5487" t="b">
            <v>1</v>
          </cell>
          <cell r="E5487" t="str">
            <v>Punta Arena</v>
          </cell>
          <cell r="H5487" t="str">
            <v>consulta_externa</v>
          </cell>
          <cell r="J5487" t="str">
            <v>bueno</v>
          </cell>
          <cell r="K5487" t="str">
            <v>probsi</v>
          </cell>
        </row>
        <row r="5488">
          <cell r="B5488" t="b">
            <v>1</v>
          </cell>
          <cell r="E5488" t="str">
            <v>Punta Arena</v>
          </cell>
          <cell r="H5488" t="str">
            <v>consulta_externa</v>
          </cell>
          <cell r="J5488" t="str">
            <v>bueno</v>
          </cell>
          <cell r="K5488" t="str">
            <v>probsi</v>
          </cell>
        </row>
        <row r="5489">
          <cell r="B5489" t="b">
            <v>1</v>
          </cell>
          <cell r="E5489" t="str">
            <v>Foco Rojo</v>
          </cell>
          <cell r="H5489" t="str">
            <v>consulta_externa</v>
          </cell>
          <cell r="J5489" t="str">
            <v>bueno</v>
          </cell>
          <cell r="K5489" t="str">
            <v>defsi</v>
          </cell>
        </row>
        <row r="5490">
          <cell r="B5490" t="b">
            <v>1</v>
          </cell>
          <cell r="E5490" t="str">
            <v>Punta Arena</v>
          </cell>
          <cell r="H5490" t="str">
            <v>laboratorio</v>
          </cell>
          <cell r="J5490" t="str">
            <v>bueno</v>
          </cell>
          <cell r="K5490" t="str">
            <v>probsi</v>
          </cell>
        </row>
        <row r="5491">
          <cell r="B5491" t="b">
            <v>1</v>
          </cell>
          <cell r="E5491" t="str">
            <v>Punta Arena</v>
          </cell>
          <cell r="H5491" t="str">
            <v>laboratorio</v>
          </cell>
          <cell r="J5491" t="str">
            <v>bueno</v>
          </cell>
          <cell r="K5491" t="str">
            <v>probsi</v>
          </cell>
        </row>
        <row r="5492">
          <cell r="B5492" t="b">
            <v>1</v>
          </cell>
          <cell r="E5492" t="str">
            <v>Punta Arena</v>
          </cell>
          <cell r="H5492" t="str">
            <v>laboratorio</v>
          </cell>
          <cell r="J5492" t="str">
            <v>bueno</v>
          </cell>
          <cell r="K5492" t="str">
            <v>probsi</v>
          </cell>
        </row>
        <row r="5493">
          <cell r="B5493" t="b">
            <v>1</v>
          </cell>
          <cell r="E5493" t="str">
            <v>Punta Arena</v>
          </cell>
          <cell r="H5493" t="str">
            <v>laboratorio</v>
          </cell>
          <cell r="J5493" t="str">
            <v>bueno</v>
          </cell>
          <cell r="K5493" t="str">
            <v>probsi</v>
          </cell>
        </row>
        <row r="5494">
          <cell r="B5494" t="b">
            <v>1</v>
          </cell>
          <cell r="E5494" t="str">
            <v>Punta Arena</v>
          </cell>
          <cell r="H5494" t="str">
            <v>laboratorio</v>
          </cell>
          <cell r="J5494" t="str">
            <v>bueno</v>
          </cell>
          <cell r="K5494" t="str">
            <v>probsi</v>
          </cell>
        </row>
        <row r="5495">
          <cell r="B5495" t="b">
            <v>1</v>
          </cell>
          <cell r="E5495" t="str">
            <v>Punta Arena</v>
          </cell>
          <cell r="H5495" t="str">
            <v>laboratorio</v>
          </cell>
          <cell r="J5495" t="str">
            <v>bueno</v>
          </cell>
          <cell r="K5495" t="str">
            <v>probsi</v>
          </cell>
        </row>
        <row r="5496">
          <cell r="B5496" t="b">
            <v>1</v>
          </cell>
          <cell r="E5496" t="str">
            <v>Punta Arena</v>
          </cell>
          <cell r="H5496" t="str">
            <v>laboratorio</v>
          </cell>
          <cell r="J5496" t="str">
            <v>bueno</v>
          </cell>
          <cell r="K5496" t="str">
            <v>probsi</v>
          </cell>
        </row>
        <row r="5497">
          <cell r="B5497" t="b">
            <v>1</v>
          </cell>
          <cell r="E5497" t="str">
            <v>Punta Arena</v>
          </cell>
          <cell r="H5497" t="str">
            <v>salud_oral</v>
          </cell>
          <cell r="J5497" t="str">
            <v>bueno</v>
          </cell>
          <cell r="K5497" t="str">
            <v>probsi</v>
          </cell>
        </row>
        <row r="5498">
          <cell r="B5498" t="b">
            <v>1</v>
          </cell>
          <cell r="E5498" t="str">
            <v>Punta Arena</v>
          </cell>
          <cell r="H5498" t="str">
            <v>salud_oral</v>
          </cell>
          <cell r="J5498" t="str">
            <v>bueno</v>
          </cell>
          <cell r="K5498" t="str">
            <v>probsi</v>
          </cell>
        </row>
        <row r="5499">
          <cell r="B5499" t="b">
            <v>1</v>
          </cell>
          <cell r="E5499" t="str">
            <v>Punta Arena</v>
          </cell>
          <cell r="H5499" t="str">
            <v>salud_oral</v>
          </cell>
          <cell r="J5499" t="str">
            <v>bueno</v>
          </cell>
          <cell r="K5499" t="str">
            <v>probsi</v>
          </cell>
        </row>
        <row r="5500">
          <cell r="B5500" t="b">
            <v>1</v>
          </cell>
          <cell r="E5500" t="str">
            <v>Foco Rojo</v>
          </cell>
          <cell r="H5500" t="str">
            <v>salud_oral</v>
          </cell>
          <cell r="J5500" t="str">
            <v>bueno</v>
          </cell>
          <cell r="K5500" t="str">
            <v>defsi</v>
          </cell>
        </row>
        <row r="5501">
          <cell r="B5501" t="b">
            <v>1</v>
          </cell>
          <cell r="E5501" t="str">
            <v>Foco Rojo</v>
          </cell>
          <cell r="H5501" t="str">
            <v>laboratorio</v>
          </cell>
          <cell r="J5501" t="str">
            <v>bueno</v>
          </cell>
          <cell r="K5501" t="str">
            <v>defsi</v>
          </cell>
        </row>
        <row r="5502">
          <cell r="B5502" t="b">
            <v>0</v>
          </cell>
          <cell r="E5502" t="str">
            <v>Punta Arena</v>
          </cell>
          <cell r="H5502" t="str">
            <v>salud_oral</v>
          </cell>
          <cell r="J5502" t="str">
            <v>regular</v>
          </cell>
          <cell r="K5502" t="str">
            <v>probsi</v>
          </cell>
        </row>
        <row r="5503">
          <cell r="B5503" t="b">
            <v>0</v>
          </cell>
          <cell r="E5503" t="str">
            <v>Punta Arena</v>
          </cell>
          <cell r="H5503" t="str">
            <v>salud_oral</v>
          </cell>
          <cell r="J5503" t="str">
            <v>regular</v>
          </cell>
          <cell r="K5503" t="str">
            <v>probsi</v>
          </cell>
        </row>
        <row r="5504">
          <cell r="B5504" t="b">
            <v>0</v>
          </cell>
          <cell r="E5504" t="str">
            <v>Punta Arena</v>
          </cell>
          <cell r="H5504" t="str">
            <v>salud_oral</v>
          </cell>
          <cell r="J5504" t="str">
            <v>regular</v>
          </cell>
          <cell r="K5504" t="str">
            <v>probsi</v>
          </cell>
        </row>
        <row r="5505">
          <cell r="B5505" t="b">
            <v>0</v>
          </cell>
          <cell r="E5505" t="str">
            <v>Punta Arena</v>
          </cell>
          <cell r="H5505" t="str">
            <v>salud_oral</v>
          </cell>
          <cell r="J5505" t="str">
            <v>regular</v>
          </cell>
          <cell r="K5505" t="str">
            <v>probsi</v>
          </cell>
        </row>
        <row r="5506">
          <cell r="B5506" t="b">
            <v>0</v>
          </cell>
          <cell r="E5506" t="str">
            <v>Punta Arena</v>
          </cell>
          <cell r="H5506" t="str">
            <v>consulta_externa</v>
          </cell>
          <cell r="J5506" t="str">
            <v>regular</v>
          </cell>
          <cell r="K5506" t="str">
            <v>probsi</v>
          </cell>
        </row>
        <row r="5507">
          <cell r="B5507" t="b">
            <v>0</v>
          </cell>
          <cell r="E5507" t="str">
            <v>Punta Arena</v>
          </cell>
          <cell r="H5507" t="str">
            <v>consulta_externa</v>
          </cell>
          <cell r="J5507" t="str">
            <v>regular</v>
          </cell>
          <cell r="K5507" t="str">
            <v>probsi</v>
          </cell>
        </row>
        <row r="5508">
          <cell r="B5508" t="b">
            <v>0</v>
          </cell>
          <cell r="E5508" t="str">
            <v>Punta Arena</v>
          </cell>
          <cell r="H5508" t="str">
            <v>consulta_externa</v>
          </cell>
          <cell r="J5508" t="str">
            <v>regular</v>
          </cell>
          <cell r="K5508" t="str">
            <v>probsi</v>
          </cell>
        </row>
        <row r="5509">
          <cell r="B5509" t="b">
            <v>0</v>
          </cell>
          <cell r="E5509" t="str">
            <v>Punta Arena</v>
          </cell>
          <cell r="H5509" t="str">
            <v>consulta_externa</v>
          </cell>
          <cell r="J5509" t="str">
            <v>regular</v>
          </cell>
          <cell r="K5509" t="str">
            <v>probsi</v>
          </cell>
        </row>
        <row r="5510">
          <cell r="B5510" t="b">
            <v>0</v>
          </cell>
          <cell r="E5510" t="str">
            <v>Punta Arena</v>
          </cell>
          <cell r="H5510" t="str">
            <v>consulta_externa</v>
          </cell>
          <cell r="J5510" t="str">
            <v>regular</v>
          </cell>
          <cell r="K5510" t="str">
            <v>probsi</v>
          </cell>
        </row>
        <row r="5511">
          <cell r="B5511" t="b">
            <v>0</v>
          </cell>
          <cell r="E5511" t="str">
            <v>Punta Arena</v>
          </cell>
          <cell r="H5511" t="str">
            <v>laboratorio</v>
          </cell>
          <cell r="J5511" t="str">
            <v>regular</v>
          </cell>
          <cell r="K5511" t="str">
            <v>probsi</v>
          </cell>
        </row>
        <row r="5512">
          <cell r="B5512" t="b">
            <v>0</v>
          </cell>
          <cell r="E5512" t="str">
            <v>Punta Arena</v>
          </cell>
          <cell r="H5512" t="str">
            <v>laboratorio</v>
          </cell>
          <cell r="J5512" t="str">
            <v>regular</v>
          </cell>
          <cell r="K5512" t="str">
            <v>probsi</v>
          </cell>
        </row>
        <row r="5513">
          <cell r="B5513" t="b">
            <v>0</v>
          </cell>
          <cell r="E5513" t="str">
            <v>Punta Arena</v>
          </cell>
          <cell r="H5513" t="str">
            <v>laboratorio</v>
          </cell>
          <cell r="J5513" t="str">
            <v>regular</v>
          </cell>
          <cell r="K5513" t="str">
            <v>probsi</v>
          </cell>
        </row>
        <row r="5514">
          <cell r="B5514" t="b">
            <v>0</v>
          </cell>
          <cell r="E5514" t="str">
            <v>Punta Arena</v>
          </cell>
          <cell r="H5514" t="str">
            <v>laboratorio</v>
          </cell>
          <cell r="J5514" t="str">
            <v>regular</v>
          </cell>
          <cell r="K5514" t="str">
            <v>probsi</v>
          </cell>
        </row>
        <row r="5515">
          <cell r="B5515" t="b">
            <v>0</v>
          </cell>
          <cell r="E5515" t="str">
            <v>Punta Arena</v>
          </cell>
          <cell r="H5515" t="str">
            <v>consulta_externa</v>
          </cell>
          <cell r="J5515" t="str">
            <v>regular</v>
          </cell>
          <cell r="K5515" t="str">
            <v>probsi</v>
          </cell>
        </row>
        <row r="5516">
          <cell r="B5516" t="b">
            <v>0</v>
          </cell>
          <cell r="E5516" t="str">
            <v>Punta Arena</v>
          </cell>
          <cell r="H5516" t="str">
            <v>consulta_externa</v>
          </cell>
          <cell r="J5516" t="str">
            <v>regular</v>
          </cell>
          <cell r="K5516" t="str">
            <v>probsi</v>
          </cell>
        </row>
        <row r="5517">
          <cell r="B5517" t="b">
            <v>0</v>
          </cell>
          <cell r="E5517" t="str">
            <v>Punta Arena</v>
          </cell>
          <cell r="H5517" t="str">
            <v>consulta_externa</v>
          </cell>
          <cell r="J5517" t="str">
            <v>regular</v>
          </cell>
          <cell r="K5517" t="str">
            <v>probsi</v>
          </cell>
        </row>
        <row r="5518">
          <cell r="B5518" t="b">
            <v>0</v>
          </cell>
          <cell r="E5518" t="str">
            <v>Punta Arena</v>
          </cell>
          <cell r="H5518" t="str">
            <v>consulta_externa</v>
          </cell>
          <cell r="J5518" t="str">
            <v>regular</v>
          </cell>
          <cell r="K5518" t="str">
            <v>probsi</v>
          </cell>
        </row>
        <row r="5519">
          <cell r="B5519" t="b">
            <v>1</v>
          </cell>
          <cell r="E5519" t="str">
            <v>Foco Rojo</v>
          </cell>
          <cell r="H5519" t="str">
            <v>consulta_externa</v>
          </cell>
          <cell r="J5519" t="str">
            <v>bueno</v>
          </cell>
          <cell r="K5519" t="str">
            <v>defsi</v>
          </cell>
        </row>
        <row r="5520">
          <cell r="B5520" t="b">
            <v>1</v>
          </cell>
          <cell r="E5520" t="str">
            <v>Foco Rojo</v>
          </cell>
          <cell r="H5520" t="str">
            <v>salud_oral</v>
          </cell>
          <cell r="J5520" t="str">
            <v>bueno</v>
          </cell>
          <cell r="K5520" t="str">
            <v>defsi</v>
          </cell>
        </row>
        <row r="5521">
          <cell r="B5521" t="b">
            <v>1</v>
          </cell>
          <cell r="E5521" t="str">
            <v>Foco Rojo</v>
          </cell>
          <cell r="H5521" t="str">
            <v>laboratorio</v>
          </cell>
          <cell r="J5521" t="str">
            <v>bueno</v>
          </cell>
          <cell r="K5521" t="str">
            <v>defsi</v>
          </cell>
        </row>
        <row r="5522">
          <cell r="B5522" t="b">
            <v>1</v>
          </cell>
          <cell r="E5522" t="str">
            <v>Foco Rojo</v>
          </cell>
          <cell r="H5522" t="str">
            <v>consulta_externa</v>
          </cell>
          <cell r="J5522" t="str">
            <v>bueno</v>
          </cell>
          <cell r="K5522" t="str">
            <v>defsi</v>
          </cell>
        </row>
        <row r="5523">
          <cell r="B5523" t="b">
            <v>1</v>
          </cell>
          <cell r="E5523" t="str">
            <v>Foco Rojo</v>
          </cell>
          <cell r="H5523" t="str">
            <v>salud_oral</v>
          </cell>
          <cell r="J5523" t="str">
            <v>bueno</v>
          </cell>
          <cell r="K5523" t="str">
            <v>defsi</v>
          </cell>
        </row>
        <row r="5524">
          <cell r="B5524" t="b">
            <v>1</v>
          </cell>
          <cell r="E5524" t="str">
            <v>Foco Rojo</v>
          </cell>
          <cell r="H5524" t="str">
            <v>laboratorio</v>
          </cell>
          <cell r="J5524" t="str">
            <v>bueno</v>
          </cell>
          <cell r="K5524" t="str">
            <v>defsi</v>
          </cell>
        </row>
        <row r="5525">
          <cell r="B5525" t="b">
            <v>1</v>
          </cell>
          <cell r="E5525" t="str">
            <v>Tierra Bomba</v>
          </cell>
          <cell r="H5525" t="str">
            <v>consulta_externa</v>
          </cell>
          <cell r="J5525" t="str">
            <v>bueno</v>
          </cell>
          <cell r="K5525" t="str">
            <v>defsi</v>
          </cell>
        </row>
        <row r="5526">
          <cell r="B5526" t="b">
            <v>1</v>
          </cell>
          <cell r="E5526" t="str">
            <v>Foco Rojo</v>
          </cell>
          <cell r="H5526" t="str">
            <v>consulta_externa</v>
          </cell>
          <cell r="J5526" t="str">
            <v>bueno</v>
          </cell>
          <cell r="K5526" t="str">
            <v>defsi</v>
          </cell>
        </row>
        <row r="5527">
          <cell r="B5527" t="b">
            <v>1</v>
          </cell>
          <cell r="E5527" t="str">
            <v>Foco Rojo</v>
          </cell>
          <cell r="H5527" t="str">
            <v>salud_oral</v>
          </cell>
          <cell r="J5527" t="str">
            <v>bueno</v>
          </cell>
          <cell r="K5527" t="str">
            <v>defsi</v>
          </cell>
        </row>
        <row r="5528">
          <cell r="B5528" t="b">
            <v>1</v>
          </cell>
          <cell r="E5528" t="str">
            <v>Foco Rojo</v>
          </cell>
          <cell r="H5528" t="str">
            <v>laboratorio</v>
          </cell>
          <cell r="J5528" t="str">
            <v>bueno</v>
          </cell>
          <cell r="K5528" t="str">
            <v>defsi</v>
          </cell>
        </row>
        <row r="5529">
          <cell r="B5529" t="b">
            <v>1</v>
          </cell>
          <cell r="E5529" t="str">
            <v>Tierra Bomba</v>
          </cell>
          <cell r="H5529" t="str">
            <v>salud_oral</v>
          </cell>
          <cell r="J5529" t="str">
            <v>bueno</v>
          </cell>
          <cell r="K5529" t="str">
            <v>defsi</v>
          </cell>
        </row>
        <row r="5530">
          <cell r="B5530" t="b">
            <v>1</v>
          </cell>
          <cell r="E5530" t="str">
            <v>Tierra Bomba</v>
          </cell>
          <cell r="H5530" t="str">
            <v>laboratorio</v>
          </cell>
          <cell r="J5530" t="str">
            <v>bueno</v>
          </cell>
          <cell r="K5530" t="str">
            <v>defsi</v>
          </cell>
        </row>
        <row r="5531">
          <cell r="B5531" t="b">
            <v>1</v>
          </cell>
          <cell r="E5531" t="str">
            <v>Foco Rojo</v>
          </cell>
          <cell r="H5531" t="str">
            <v>consulta_externa</v>
          </cell>
          <cell r="J5531" t="str">
            <v>bueno</v>
          </cell>
          <cell r="K5531" t="str">
            <v>defsi</v>
          </cell>
        </row>
        <row r="5532">
          <cell r="B5532" t="b">
            <v>1</v>
          </cell>
          <cell r="E5532" t="str">
            <v>Foco Rojo</v>
          </cell>
          <cell r="H5532" t="str">
            <v>salud_oral</v>
          </cell>
          <cell r="J5532" t="str">
            <v>bueno</v>
          </cell>
          <cell r="K5532" t="str">
            <v>defsi</v>
          </cell>
        </row>
        <row r="5533">
          <cell r="B5533" t="b">
            <v>1</v>
          </cell>
          <cell r="E5533" t="str">
            <v>Tierra Bomba</v>
          </cell>
          <cell r="H5533" t="str">
            <v>laboratorio</v>
          </cell>
          <cell r="J5533" t="str">
            <v>bueno</v>
          </cell>
          <cell r="K5533" t="str">
            <v>defsi</v>
          </cell>
        </row>
        <row r="5534">
          <cell r="B5534" t="b">
            <v>1</v>
          </cell>
          <cell r="E5534" t="str">
            <v>Foco Rojo</v>
          </cell>
          <cell r="H5534" t="str">
            <v>laboratorio</v>
          </cell>
          <cell r="J5534" t="str">
            <v>bueno</v>
          </cell>
          <cell r="K5534" t="str">
            <v>defsi</v>
          </cell>
        </row>
        <row r="5535">
          <cell r="B5535" t="b">
            <v>1</v>
          </cell>
          <cell r="E5535" t="str">
            <v>Foco Rojo</v>
          </cell>
          <cell r="H5535" t="str">
            <v>consulta_externa</v>
          </cell>
          <cell r="J5535" t="str">
            <v>bueno</v>
          </cell>
          <cell r="K5535" t="str">
            <v>defsi</v>
          </cell>
        </row>
        <row r="5536">
          <cell r="B5536" t="b">
            <v>1</v>
          </cell>
          <cell r="E5536" t="str">
            <v>Tierra Bomba</v>
          </cell>
          <cell r="H5536" t="str">
            <v>salud_oral</v>
          </cell>
          <cell r="J5536" t="str">
            <v>muybueno</v>
          </cell>
          <cell r="K5536" t="str">
            <v>defsi</v>
          </cell>
        </row>
        <row r="5537">
          <cell r="B5537" t="b">
            <v>1</v>
          </cell>
          <cell r="E5537" t="str">
            <v>Tierra Bomba</v>
          </cell>
          <cell r="H5537" t="str">
            <v>consulta_externa</v>
          </cell>
          <cell r="J5537" t="str">
            <v>muybueno</v>
          </cell>
          <cell r="K5537" t="str">
            <v>defsi</v>
          </cell>
        </row>
        <row r="5538">
          <cell r="B5538" t="b">
            <v>1</v>
          </cell>
          <cell r="E5538" t="str">
            <v>Foco Rojo</v>
          </cell>
          <cell r="H5538" t="str">
            <v>salud_oral</v>
          </cell>
          <cell r="J5538" t="str">
            <v>bueno</v>
          </cell>
          <cell r="K5538" t="str">
            <v>defsi</v>
          </cell>
        </row>
        <row r="5539">
          <cell r="B5539" t="b">
            <v>1</v>
          </cell>
          <cell r="E5539" t="str">
            <v>Tierra Bomba</v>
          </cell>
          <cell r="H5539" t="str">
            <v>laboratorio</v>
          </cell>
          <cell r="J5539" t="str">
            <v>bueno</v>
          </cell>
          <cell r="K5539" t="str">
            <v>defsi</v>
          </cell>
        </row>
        <row r="5540">
          <cell r="B5540" t="b">
            <v>1</v>
          </cell>
          <cell r="E5540" t="str">
            <v>Tierra Bomba</v>
          </cell>
          <cell r="H5540" t="str">
            <v>consulta_externa</v>
          </cell>
          <cell r="J5540" t="str">
            <v>bueno</v>
          </cell>
          <cell r="K5540" t="str">
            <v>defsi</v>
          </cell>
        </row>
        <row r="5541">
          <cell r="B5541" t="b">
            <v>1</v>
          </cell>
          <cell r="E5541" t="str">
            <v>Foco Rojo</v>
          </cell>
          <cell r="H5541" t="str">
            <v>laboratorio</v>
          </cell>
          <cell r="J5541" t="str">
            <v>bueno</v>
          </cell>
          <cell r="K5541" t="str">
            <v>defsi</v>
          </cell>
        </row>
        <row r="5542">
          <cell r="B5542" t="b">
            <v>1</v>
          </cell>
          <cell r="E5542" t="str">
            <v>Foco Rojo</v>
          </cell>
          <cell r="H5542" t="str">
            <v>consulta_externa</v>
          </cell>
          <cell r="J5542" t="str">
            <v>bueno</v>
          </cell>
          <cell r="K5542" t="str">
            <v>defsi</v>
          </cell>
        </row>
        <row r="5543">
          <cell r="B5543" t="b">
            <v>1</v>
          </cell>
          <cell r="E5543" t="str">
            <v>Tierra Bomba</v>
          </cell>
          <cell r="H5543" t="str">
            <v>consulta_externa</v>
          </cell>
          <cell r="J5543" t="str">
            <v>muybueno</v>
          </cell>
          <cell r="K5543" t="str">
            <v>defsi</v>
          </cell>
        </row>
        <row r="5544">
          <cell r="B5544" t="b">
            <v>1</v>
          </cell>
          <cell r="E5544" t="str">
            <v>Foco Rojo</v>
          </cell>
          <cell r="H5544" t="str">
            <v>salud_oral</v>
          </cell>
          <cell r="J5544" t="str">
            <v>bueno</v>
          </cell>
          <cell r="K5544" t="str">
            <v>defsi</v>
          </cell>
        </row>
        <row r="5545">
          <cell r="B5545" t="b">
            <v>1</v>
          </cell>
          <cell r="E5545" t="str">
            <v>Foco Rojo</v>
          </cell>
          <cell r="H5545" t="str">
            <v>laboratorio</v>
          </cell>
          <cell r="J5545" t="str">
            <v>bueno</v>
          </cell>
          <cell r="K5545" t="str">
            <v>defsi</v>
          </cell>
        </row>
        <row r="5546">
          <cell r="B5546" t="b">
            <v>1</v>
          </cell>
          <cell r="E5546" t="str">
            <v>Foco Rojo</v>
          </cell>
          <cell r="H5546" t="str">
            <v>consulta_externa</v>
          </cell>
          <cell r="J5546" t="str">
            <v>bueno</v>
          </cell>
          <cell r="K5546" t="str">
            <v>defsi</v>
          </cell>
        </row>
        <row r="5547">
          <cell r="B5547" t="b">
            <v>0</v>
          </cell>
          <cell r="E5547" t="str">
            <v>Bocachica</v>
          </cell>
          <cell r="H5547" t="str">
            <v>consulta_externa</v>
          </cell>
          <cell r="J5547" t="str">
            <v>regular</v>
          </cell>
          <cell r="K5547" t="str">
            <v>probsi</v>
          </cell>
        </row>
        <row r="5548">
          <cell r="B5548" t="b">
            <v>1</v>
          </cell>
          <cell r="E5548" t="str">
            <v>Tierra Bomba</v>
          </cell>
          <cell r="H5548" t="str">
            <v>consulta_externa</v>
          </cell>
          <cell r="J5548" t="str">
            <v>bueno</v>
          </cell>
          <cell r="K5548" t="str">
            <v>defsi</v>
          </cell>
        </row>
        <row r="5549">
          <cell r="B5549" t="b">
            <v>1</v>
          </cell>
          <cell r="E5549" t="str">
            <v>Bocachica</v>
          </cell>
          <cell r="H5549" t="str">
            <v>laboratorio</v>
          </cell>
          <cell r="J5549" t="str">
            <v>bueno</v>
          </cell>
          <cell r="K5549" t="str">
            <v>probsi</v>
          </cell>
        </row>
        <row r="5550">
          <cell r="B5550" t="b">
            <v>1</v>
          </cell>
          <cell r="E5550" t="str">
            <v>Bocachica</v>
          </cell>
          <cell r="H5550" t="str">
            <v>laboratorio</v>
          </cell>
          <cell r="J5550" t="str">
            <v>bueno</v>
          </cell>
          <cell r="K5550" t="str">
            <v>probsi</v>
          </cell>
        </row>
        <row r="5551">
          <cell r="B5551" t="b">
            <v>1</v>
          </cell>
          <cell r="E5551" t="str">
            <v>Bocachica</v>
          </cell>
          <cell r="H5551" t="str">
            <v>salud_oral</v>
          </cell>
          <cell r="J5551" t="str">
            <v>bueno</v>
          </cell>
          <cell r="K5551" t="str">
            <v>probsi</v>
          </cell>
        </row>
        <row r="5552">
          <cell r="B5552" t="b">
            <v>1</v>
          </cell>
          <cell r="E5552" t="str">
            <v>Bocachica</v>
          </cell>
          <cell r="H5552" t="str">
            <v>consulta_externa</v>
          </cell>
          <cell r="J5552" t="str">
            <v>bueno</v>
          </cell>
          <cell r="K5552" t="str">
            <v>probsi</v>
          </cell>
        </row>
        <row r="5553">
          <cell r="B5553" t="b">
            <v>1</v>
          </cell>
          <cell r="E5553" t="str">
            <v>Bocachica</v>
          </cell>
          <cell r="H5553" t="str">
            <v>salud_oral</v>
          </cell>
          <cell r="J5553" t="str">
            <v>bueno</v>
          </cell>
          <cell r="K5553" t="str">
            <v>probsi</v>
          </cell>
        </row>
        <row r="5554">
          <cell r="B5554" t="b">
            <v>1</v>
          </cell>
          <cell r="E5554" t="str">
            <v>Bocachica</v>
          </cell>
          <cell r="H5554" t="str">
            <v>laboratorio</v>
          </cell>
          <cell r="J5554" t="str">
            <v>bueno</v>
          </cell>
          <cell r="K5554" t="str">
            <v>probsi</v>
          </cell>
        </row>
        <row r="5555">
          <cell r="B5555" t="b">
            <v>1</v>
          </cell>
          <cell r="E5555" t="str">
            <v>Bocachica</v>
          </cell>
          <cell r="H5555" t="str">
            <v>consulta_externa</v>
          </cell>
          <cell r="J5555" t="str">
            <v>bueno</v>
          </cell>
          <cell r="K5555" t="str">
            <v>probsi</v>
          </cell>
        </row>
        <row r="5556">
          <cell r="B5556" t="b">
            <v>1</v>
          </cell>
          <cell r="E5556" t="str">
            <v>Bocachica</v>
          </cell>
          <cell r="H5556" t="str">
            <v>salud_oral</v>
          </cell>
          <cell r="J5556" t="str">
            <v>bueno</v>
          </cell>
          <cell r="K5556" t="str">
            <v>probsi</v>
          </cell>
        </row>
        <row r="5557">
          <cell r="B5557" t="b">
            <v>1</v>
          </cell>
          <cell r="E5557" t="str">
            <v>Bocachica</v>
          </cell>
          <cell r="H5557" t="str">
            <v>laboratorio</v>
          </cell>
          <cell r="J5557" t="str">
            <v>bueno</v>
          </cell>
          <cell r="K5557" t="str">
            <v>probsi</v>
          </cell>
        </row>
        <row r="5558">
          <cell r="B5558" t="b">
            <v>1</v>
          </cell>
          <cell r="E5558" t="str">
            <v>Bocachica</v>
          </cell>
          <cell r="H5558" t="str">
            <v>consulta_externa</v>
          </cell>
          <cell r="J5558" t="str">
            <v>bueno</v>
          </cell>
          <cell r="K5558" t="str">
            <v>probsi</v>
          </cell>
        </row>
        <row r="5559">
          <cell r="B5559" t="b">
            <v>1</v>
          </cell>
          <cell r="E5559" t="str">
            <v>Bocachica</v>
          </cell>
          <cell r="H5559" t="str">
            <v>salud_oral</v>
          </cell>
          <cell r="J5559" t="str">
            <v>bueno</v>
          </cell>
          <cell r="K5559" t="str">
            <v>probsi</v>
          </cell>
        </row>
        <row r="5560">
          <cell r="B5560" t="b">
            <v>1</v>
          </cell>
          <cell r="E5560" t="str">
            <v>Bocachica</v>
          </cell>
          <cell r="H5560" t="str">
            <v>laboratorio</v>
          </cell>
          <cell r="J5560" t="str">
            <v>bueno</v>
          </cell>
          <cell r="K5560" t="str">
            <v>probsi</v>
          </cell>
        </row>
        <row r="5561">
          <cell r="B5561" t="b">
            <v>0</v>
          </cell>
          <cell r="E5561" t="str">
            <v>Punta Arena</v>
          </cell>
          <cell r="H5561" t="str">
            <v>consulta_externa</v>
          </cell>
          <cell r="J5561" t="str">
            <v>regular</v>
          </cell>
          <cell r="K5561" t="str">
            <v>probsi</v>
          </cell>
        </row>
        <row r="5562">
          <cell r="B5562" t="b">
            <v>0</v>
          </cell>
          <cell r="E5562" t="str">
            <v>Punta Arena</v>
          </cell>
          <cell r="H5562" t="str">
            <v>consulta_externa</v>
          </cell>
          <cell r="J5562" t="str">
            <v>regular</v>
          </cell>
          <cell r="K5562" t="str">
            <v>probsi</v>
          </cell>
        </row>
        <row r="5563">
          <cell r="B5563" t="b">
            <v>1</v>
          </cell>
          <cell r="E5563" t="str">
            <v>Bocachica</v>
          </cell>
          <cell r="H5563" t="str">
            <v>urgencia</v>
          </cell>
          <cell r="J5563" t="str">
            <v>bueno</v>
          </cell>
          <cell r="K5563" t="str">
            <v>probsi</v>
          </cell>
        </row>
        <row r="5564">
          <cell r="B5564" t="b">
            <v>0</v>
          </cell>
          <cell r="E5564" t="str">
            <v>Punta Arena</v>
          </cell>
          <cell r="H5564" t="str">
            <v>consulta_externa</v>
          </cell>
          <cell r="J5564" t="str">
            <v>regular</v>
          </cell>
          <cell r="K5564" t="str">
            <v>probsi</v>
          </cell>
        </row>
        <row r="5565">
          <cell r="B5565" t="b">
            <v>0</v>
          </cell>
          <cell r="E5565" t="str">
            <v>Bocachica</v>
          </cell>
          <cell r="H5565" t="str">
            <v>urgencia</v>
          </cell>
          <cell r="J5565" t="str">
            <v>regular</v>
          </cell>
          <cell r="K5565" t="str">
            <v>probsi</v>
          </cell>
        </row>
        <row r="5566">
          <cell r="B5566" t="b">
            <v>0</v>
          </cell>
          <cell r="E5566" t="str">
            <v>Bocachica</v>
          </cell>
          <cell r="H5566" t="str">
            <v>consulta_externa</v>
          </cell>
          <cell r="J5566" t="str">
            <v>regular</v>
          </cell>
          <cell r="K5566" t="str">
            <v>probsi</v>
          </cell>
        </row>
        <row r="5567">
          <cell r="B5567" t="b">
            <v>1</v>
          </cell>
          <cell r="E5567" t="str">
            <v>Bocachica</v>
          </cell>
          <cell r="H5567" t="str">
            <v>salud_oral</v>
          </cell>
          <cell r="J5567" t="str">
            <v>muybueno</v>
          </cell>
          <cell r="K5567" t="str">
            <v>probsi</v>
          </cell>
        </row>
        <row r="5568">
          <cell r="B5568" t="b">
            <v>1</v>
          </cell>
          <cell r="E5568" t="str">
            <v>Bocachica</v>
          </cell>
          <cell r="H5568" t="str">
            <v>urgencia</v>
          </cell>
          <cell r="J5568" t="str">
            <v>bueno</v>
          </cell>
          <cell r="K5568" t="str">
            <v>probsi</v>
          </cell>
        </row>
        <row r="5569">
          <cell r="B5569" t="b">
            <v>0</v>
          </cell>
          <cell r="E5569" t="str">
            <v>Bocachica</v>
          </cell>
          <cell r="H5569" t="str">
            <v>consulta_externa</v>
          </cell>
          <cell r="J5569" t="str">
            <v>regular</v>
          </cell>
          <cell r="K5569" t="str">
            <v>probsi</v>
          </cell>
        </row>
        <row r="5570">
          <cell r="B5570" t="b">
            <v>1</v>
          </cell>
          <cell r="E5570" t="str">
            <v>Bocachica</v>
          </cell>
          <cell r="H5570" t="str">
            <v>consulta_externa</v>
          </cell>
          <cell r="J5570" t="str">
            <v>bueno</v>
          </cell>
          <cell r="K5570" t="str">
            <v>probsi</v>
          </cell>
        </row>
        <row r="5571">
          <cell r="B5571" t="b">
            <v>1</v>
          </cell>
          <cell r="E5571" t="str">
            <v>Tierra Bomba</v>
          </cell>
          <cell r="H5571" t="str">
            <v>consulta_externa</v>
          </cell>
          <cell r="J5571" t="str">
            <v>bueno</v>
          </cell>
          <cell r="K5571" t="str">
            <v>defsi</v>
          </cell>
        </row>
        <row r="5572">
          <cell r="B5572" t="b">
            <v>1</v>
          </cell>
          <cell r="E5572" t="str">
            <v>Tierra Bomba</v>
          </cell>
          <cell r="H5572" t="str">
            <v>consulta_externa</v>
          </cell>
          <cell r="J5572" t="str">
            <v>bueno</v>
          </cell>
          <cell r="K5572" t="str">
            <v>defsi</v>
          </cell>
        </row>
        <row r="5573">
          <cell r="B5573" t="b">
            <v>1</v>
          </cell>
          <cell r="E5573" t="str">
            <v>Bocachica</v>
          </cell>
          <cell r="H5573" t="str">
            <v>salud_oral</v>
          </cell>
          <cell r="J5573" t="str">
            <v>bueno</v>
          </cell>
          <cell r="K5573" t="str">
            <v>probsi</v>
          </cell>
        </row>
        <row r="5574">
          <cell r="B5574" t="b">
            <v>1</v>
          </cell>
          <cell r="E5574" t="str">
            <v>Bocachica</v>
          </cell>
          <cell r="H5574" t="str">
            <v>laboratorio</v>
          </cell>
          <cell r="J5574" t="str">
            <v>bueno</v>
          </cell>
          <cell r="K5574" t="str">
            <v>probsi</v>
          </cell>
        </row>
        <row r="5575">
          <cell r="B5575" t="b">
            <v>1</v>
          </cell>
          <cell r="E5575" t="str">
            <v>Bocachica</v>
          </cell>
          <cell r="H5575" t="str">
            <v>urgencia</v>
          </cell>
          <cell r="J5575" t="str">
            <v>bueno</v>
          </cell>
          <cell r="K5575" t="str">
            <v>probsi</v>
          </cell>
        </row>
        <row r="5576">
          <cell r="B5576" t="b">
            <v>1</v>
          </cell>
          <cell r="E5576" t="str">
            <v>Bocachica</v>
          </cell>
          <cell r="H5576" t="str">
            <v>consulta_externa</v>
          </cell>
          <cell r="J5576" t="str">
            <v>muybueno</v>
          </cell>
          <cell r="K5576" t="str">
            <v>probsi</v>
          </cell>
        </row>
        <row r="5577">
          <cell r="B5577" t="b">
            <v>1</v>
          </cell>
          <cell r="E5577" t="str">
            <v>Bocachica</v>
          </cell>
          <cell r="H5577" t="str">
            <v>salud_oral</v>
          </cell>
          <cell r="J5577" t="str">
            <v>bueno</v>
          </cell>
          <cell r="K5577" t="str">
            <v>probsi</v>
          </cell>
        </row>
        <row r="5578">
          <cell r="B5578" t="b">
            <v>1</v>
          </cell>
          <cell r="E5578" t="str">
            <v>Tierra Bomba</v>
          </cell>
          <cell r="H5578" t="str">
            <v>salud_oral</v>
          </cell>
          <cell r="J5578" t="str">
            <v>bueno</v>
          </cell>
          <cell r="K5578" t="str">
            <v>defsi</v>
          </cell>
        </row>
        <row r="5579">
          <cell r="B5579" t="b">
            <v>1</v>
          </cell>
          <cell r="E5579" t="str">
            <v>Bocachica</v>
          </cell>
          <cell r="H5579" t="str">
            <v>consulta_externa</v>
          </cell>
          <cell r="J5579" t="str">
            <v>muybueno</v>
          </cell>
          <cell r="K5579" t="str">
            <v>probsi</v>
          </cell>
        </row>
        <row r="5580">
          <cell r="B5580" t="b">
            <v>1</v>
          </cell>
          <cell r="E5580" t="str">
            <v>Bocachica</v>
          </cell>
          <cell r="H5580" t="str">
            <v>salud_oral</v>
          </cell>
          <cell r="J5580" t="str">
            <v>bueno</v>
          </cell>
          <cell r="K5580" t="str">
            <v>probsi</v>
          </cell>
        </row>
        <row r="5581">
          <cell r="B5581" t="b">
            <v>1</v>
          </cell>
          <cell r="E5581" t="str">
            <v>Bocachica</v>
          </cell>
          <cell r="H5581" t="str">
            <v>laboratorio</v>
          </cell>
          <cell r="J5581" t="str">
            <v>bueno</v>
          </cell>
          <cell r="K5581" t="str">
            <v>probsi</v>
          </cell>
        </row>
        <row r="5582">
          <cell r="B5582" t="b">
            <v>0</v>
          </cell>
          <cell r="E5582" t="str">
            <v>Bocachica</v>
          </cell>
          <cell r="H5582" t="str">
            <v>urgencia</v>
          </cell>
          <cell r="J5582" t="str">
            <v>regular</v>
          </cell>
          <cell r="K5582" t="str">
            <v>probsi</v>
          </cell>
        </row>
        <row r="5583">
          <cell r="B5583" t="b">
            <v>1</v>
          </cell>
          <cell r="E5583" t="str">
            <v>Tierra Bomba</v>
          </cell>
          <cell r="H5583" t="str">
            <v>consulta_externa</v>
          </cell>
          <cell r="J5583" t="str">
            <v>bueno</v>
          </cell>
          <cell r="K5583" t="str">
            <v>defsi</v>
          </cell>
        </row>
        <row r="5584">
          <cell r="B5584" t="b">
            <v>1</v>
          </cell>
          <cell r="E5584" t="str">
            <v>Tierra Bomba</v>
          </cell>
          <cell r="H5584" t="str">
            <v>laboratorio</v>
          </cell>
          <cell r="J5584" t="str">
            <v>bueno</v>
          </cell>
          <cell r="K5584" t="str">
            <v>defsi</v>
          </cell>
        </row>
        <row r="5585">
          <cell r="B5585" t="b">
            <v>1</v>
          </cell>
          <cell r="E5585" t="str">
            <v>Tierra Bomba</v>
          </cell>
          <cell r="H5585" t="str">
            <v>laboratorio</v>
          </cell>
          <cell r="J5585" t="str">
            <v>bueno</v>
          </cell>
          <cell r="K5585" t="str">
            <v>defsi</v>
          </cell>
        </row>
        <row r="5586">
          <cell r="B5586" t="b">
            <v>1</v>
          </cell>
          <cell r="E5586" t="str">
            <v>Tierra Bomba</v>
          </cell>
          <cell r="H5586" t="str">
            <v>laboratorio</v>
          </cell>
          <cell r="J5586" t="str">
            <v>bueno</v>
          </cell>
          <cell r="K5586" t="str">
            <v>defsi</v>
          </cell>
        </row>
        <row r="5587">
          <cell r="B5587" t="b">
            <v>1</v>
          </cell>
          <cell r="E5587" t="str">
            <v>Tierra Bomba</v>
          </cell>
          <cell r="H5587" t="str">
            <v>laboratorio</v>
          </cell>
          <cell r="J5587" t="str">
            <v>bueno</v>
          </cell>
          <cell r="K5587" t="str">
            <v>defsi</v>
          </cell>
        </row>
        <row r="5588">
          <cell r="B5588" t="b">
            <v>1</v>
          </cell>
          <cell r="E5588" t="str">
            <v>Tierra Bomba</v>
          </cell>
          <cell r="H5588" t="str">
            <v>consulta_externa</v>
          </cell>
          <cell r="J5588" t="str">
            <v>bueno</v>
          </cell>
          <cell r="K5588" t="str">
            <v>defsi</v>
          </cell>
        </row>
        <row r="5589">
          <cell r="B5589" t="b">
            <v>1</v>
          </cell>
          <cell r="E5589" t="str">
            <v>Bocachica</v>
          </cell>
          <cell r="H5589" t="str">
            <v>consulta_externa</v>
          </cell>
          <cell r="J5589" t="str">
            <v>bueno</v>
          </cell>
          <cell r="K5589" t="str">
            <v>probsi</v>
          </cell>
        </row>
        <row r="5590">
          <cell r="B5590" t="b">
            <v>1</v>
          </cell>
          <cell r="E5590" t="str">
            <v>Bocachica</v>
          </cell>
          <cell r="H5590" t="str">
            <v>consulta_externa</v>
          </cell>
          <cell r="J5590" t="str">
            <v>bueno</v>
          </cell>
          <cell r="K5590" t="str">
            <v>probsi</v>
          </cell>
        </row>
        <row r="5591">
          <cell r="B5591" t="b">
            <v>1</v>
          </cell>
          <cell r="E5591" t="str">
            <v>Bocachica</v>
          </cell>
          <cell r="H5591" t="str">
            <v>consulta_externa</v>
          </cell>
          <cell r="J5591" t="str">
            <v>bueno</v>
          </cell>
          <cell r="K5591" t="str">
            <v>probsi</v>
          </cell>
        </row>
        <row r="5592">
          <cell r="B5592" t="b">
            <v>1</v>
          </cell>
          <cell r="E5592" t="str">
            <v>Bocachica</v>
          </cell>
          <cell r="H5592" t="str">
            <v>salud_oral</v>
          </cell>
          <cell r="J5592" t="str">
            <v>bueno</v>
          </cell>
          <cell r="K5592" t="str">
            <v>probsi</v>
          </cell>
        </row>
        <row r="5593">
          <cell r="B5593" t="b">
            <v>1</v>
          </cell>
          <cell r="E5593" t="str">
            <v>Bocachica</v>
          </cell>
          <cell r="H5593" t="str">
            <v>salud_oral</v>
          </cell>
          <cell r="J5593" t="str">
            <v>bueno</v>
          </cell>
          <cell r="K5593" t="str">
            <v>probsi</v>
          </cell>
        </row>
        <row r="5594">
          <cell r="B5594" t="b">
            <v>1</v>
          </cell>
          <cell r="E5594" t="str">
            <v>Bocachica</v>
          </cell>
          <cell r="H5594" t="str">
            <v>salud_oral</v>
          </cell>
          <cell r="J5594" t="str">
            <v>bueno</v>
          </cell>
          <cell r="K5594" t="str">
            <v>probsi</v>
          </cell>
        </row>
        <row r="5595">
          <cell r="B5595" t="b">
            <v>1</v>
          </cell>
          <cell r="E5595" t="str">
            <v>Bocachica</v>
          </cell>
          <cell r="H5595" t="str">
            <v>laboratorio</v>
          </cell>
          <cell r="J5595" t="str">
            <v>bueno</v>
          </cell>
          <cell r="K5595" t="str">
            <v>probsi</v>
          </cell>
        </row>
        <row r="5596">
          <cell r="B5596" t="b">
            <v>1</v>
          </cell>
          <cell r="E5596" t="str">
            <v>Bocachica</v>
          </cell>
          <cell r="H5596" t="str">
            <v>laboratorio</v>
          </cell>
          <cell r="J5596" t="str">
            <v>bueno</v>
          </cell>
          <cell r="K5596" t="str">
            <v>probsi</v>
          </cell>
        </row>
        <row r="5597">
          <cell r="B5597" t="b">
            <v>0</v>
          </cell>
          <cell r="E5597" t="str">
            <v>Bocachica</v>
          </cell>
          <cell r="H5597" t="str">
            <v>laboratorio</v>
          </cell>
          <cell r="J5597" t="str">
            <v>regular</v>
          </cell>
          <cell r="K5597" t="str">
            <v>probsi</v>
          </cell>
        </row>
        <row r="5598">
          <cell r="B5598" t="b">
            <v>0</v>
          </cell>
          <cell r="E5598" t="str">
            <v>Bocachica</v>
          </cell>
          <cell r="H5598" t="str">
            <v>urgencia</v>
          </cell>
          <cell r="J5598" t="str">
            <v>regular</v>
          </cell>
          <cell r="K5598" t="str">
            <v>probsi</v>
          </cell>
        </row>
        <row r="5599">
          <cell r="B5599" t="b">
            <v>0</v>
          </cell>
          <cell r="E5599" t="str">
            <v>Bocachica</v>
          </cell>
          <cell r="H5599" t="str">
            <v>urgencia</v>
          </cell>
          <cell r="J5599" t="str">
            <v>regular</v>
          </cell>
          <cell r="K5599" t="str">
            <v>probsi</v>
          </cell>
        </row>
        <row r="5600">
          <cell r="B5600" t="b">
            <v>1</v>
          </cell>
          <cell r="E5600" t="str">
            <v>Bocachica</v>
          </cell>
          <cell r="H5600" t="str">
            <v>urgencia</v>
          </cell>
          <cell r="J5600" t="str">
            <v>bueno</v>
          </cell>
          <cell r="K5600" t="str">
            <v>probsi</v>
          </cell>
        </row>
        <row r="5601">
          <cell r="B5601" t="b">
            <v>1</v>
          </cell>
          <cell r="E5601" t="str">
            <v>Bocachica</v>
          </cell>
          <cell r="H5601" t="str">
            <v>urgencia</v>
          </cell>
          <cell r="J5601" t="str">
            <v>bueno</v>
          </cell>
          <cell r="K5601" t="str">
            <v>probsi</v>
          </cell>
        </row>
        <row r="5602">
          <cell r="B5602" t="b">
            <v>0</v>
          </cell>
          <cell r="E5602" t="str">
            <v>Tierra Bomba</v>
          </cell>
          <cell r="H5602" t="str">
            <v>salud_oral</v>
          </cell>
          <cell r="J5602" t="str">
            <v>regular</v>
          </cell>
          <cell r="K5602" t="str">
            <v>probsi</v>
          </cell>
        </row>
        <row r="5603">
          <cell r="B5603" t="b">
            <v>1</v>
          </cell>
          <cell r="E5603" t="str">
            <v>Tierra Bomba</v>
          </cell>
          <cell r="H5603" t="str">
            <v>consulta_externa</v>
          </cell>
          <cell r="J5603" t="str">
            <v>bueno</v>
          </cell>
          <cell r="K5603" t="str">
            <v>probsi</v>
          </cell>
        </row>
        <row r="5604">
          <cell r="B5604" t="b">
            <v>1</v>
          </cell>
          <cell r="E5604" t="str">
            <v>Bocachica</v>
          </cell>
          <cell r="H5604" t="str">
            <v>consulta_externa</v>
          </cell>
          <cell r="J5604" t="str">
            <v>bueno</v>
          </cell>
          <cell r="K5604" t="str">
            <v>probsi</v>
          </cell>
        </row>
        <row r="5605">
          <cell r="B5605" t="b">
            <v>1</v>
          </cell>
          <cell r="E5605" t="str">
            <v>Bocachica</v>
          </cell>
          <cell r="H5605" t="str">
            <v>salud_oral</v>
          </cell>
          <cell r="J5605" t="str">
            <v>bueno</v>
          </cell>
          <cell r="K5605" t="str">
            <v>probsi</v>
          </cell>
        </row>
        <row r="5606">
          <cell r="B5606" t="b">
            <v>1</v>
          </cell>
          <cell r="E5606" t="str">
            <v>Bocachica</v>
          </cell>
          <cell r="H5606" t="str">
            <v>laboratorio</v>
          </cell>
          <cell r="J5606" t="str">
            <v>bueno</v>
          </cell>
          <cell r="K5606" t="str">
            <v>probsi</v>
          </cell>
        </row>
        <row r="5607">
          <cell r="B5607" t="b">
            <v>1</v>
          </cell>
          <cell r="E5607" t="str">
            <v>Bocachica</v>
          </cell>
          <cell r="H5607" t="str">
            <v>laboratorio</v>
          </cell>
          <cell r="J5607" t="str">
            <v>bueno</v>
          </cell>
          <cell r="K5607" t="str">
            <v>probsi</v>
          </cell>
        </row>
        <row r="5608">
          <cell r="B5608" t="b">
            <v>1</v>
          </cell>
          <cell r="E5608" t="str">
            <v>Bocachica</v>
          </cell>
          <cell r="H5608" t="str">
            <v>laboratorio</v>
          </cell>
          <cell r="J5608" t="str">
            <v>bueno</v>
          </cell>
          <cell r="K5608" t="str">
            <v>probsi</v>
          </cell>
        </row>
        <row r="5609">
          <cell r="B5609" t="b">
            <v>1</v>
          </cell>
          <cell r="E5609" t="str">
            <v>Bocachica</v>
          </cell>
          <cell r="H5609" t="str">
            <v>salud_oral</v>
          </cell>
          <cell r="J5609" t="str">
            <v>bueno</v>
          </cell>
          <cell r="K5609" t="str">
            <v>probsi</v>
          </cell>
        </row>
        <row r="5610">
          <cell r="B5610" t="b">
            <v>1</v>
          </cell>
          <cell r="E5610" t="str">
            <v>Bocachica</v>
          </cell>
          <cell r="H5610" t="str">
            <v>salud_oral</v>
          </cell>
          <cell r="J5610" t="str">
            <v>bueno</v>
          </cell>
          <cell r="K5610" t="str">
            <v>probsi</v>
          </cell>
        </row>
        <row r="5611">
          <cell r="B5611" t="b">
            <v>1</v>
          </cell>
          <cell r="E5611" t="str">
            <v>Bocachica</v>
          </cell>
          <cell r="H5611" t="str">
            <v>consulta_externa</v>
          </cell>
          <cell r="J5611" t="str">
            <v>bueno</v>
          </cell>
          <cell r="K5611" t="str">
            <v>probsi</v>
          </cell>
        </row>
        <row r="5612">
          <cell r="B5612" t="b">
            <v>1</v>
          </cell>
          <cell r="E5612" t="str">
            <v>Bocachica</v>
          </cell>
          <cell r="H5612" t="str">
            <v>consulta_externa</v>
          </cell>
          <cell r="J5612" t="str">
            <v>bueno</v>
          </cell>
          <cell r="K5612" t="str">
            <v>probsi</v>
          </cell>
        </row>
        <row r="5613">
          <cell r="B5613" t="b">
            <v>1</v>
          </cell>
          <cell r="E5613" t="str">
            <v>Bocachica</v>
          </cell>
          <cell r="H5613" t="str">
            <v>consulta_externa</v>
          </cell>
          <cell r="J5613" t="str">
            <v>bueno</v>
          </cell>
          <cell r="K5613" t="str">
            <v>probsi</v>
          </cell>
        </row>
        <row r="5614">
          <cell r="B5614" t="b">
            <v>1</v>
          </cell>
          <cell r="E5614" t="str">
            <v>Tierra Bomba</v>
          </cell>
          <cell r="H5614" t="str">
            <v>salud_oral</v>
          </cell>
          <cell r="J5614" t="str">
            <v>bueno</v>
          </cell>
          <cell r="K5614" t="str">
            <v>probsi</v>
          </cell>
        </row>
        <row r="5615">
          <cell r="B5615" t="b">
            <v>1</v>
          </cell>
          <cell r="E5615" t="str">
            <v>Bocachica</v>
          </cell>
          <cell r="H5615" t="str">
            <v>consulta_externa</v>
          </cell>
          <cell r="J5615" t="str">
            <v>bueno</v>
          </cell>
          <cell r="K5615" t="str">
            <v>probsi</v>
          </cell>
        </row>
        <row r="5616">
          <cell r="B5616" t="b">
            <v>0</v>
          </cell>
          <cell r="E5616" t="str">
            <v>Bocachica</v>
          </cell>
          <cell r="H5616" t="str">
            <v>laboratorio</v>
          </cell>
          <cell r="J5616" t="str">
            <v>regular</v>
          </cell>
          <cell r="K5616" t="str">
            <v>probsi</v>
          </cell>
        </row>
        <row r="5617">
          <cell r="B5617" t="b">
            <v>1</v>
          </cell>
          <cell r="E5617" t="str">
            <v>Tierra Bomba</v>
          </cell>
          <cell r="H5617" t="str">
            <v>salud_oral</v>
          </cell>
          <cell r="J5617" t="str">
            <v>bueno</v>
          </cell>
          <cell r="K5617" t="str">
            <v>probsi</v>
          </cell>
        </row>
        <row r="5618">
          <cell r="B5618" t="b">
            <v>1</v>
          </cell>
          <cell r="E5618" t="str">
            <v>Tierra Bomba</v>
          </cell>
          <cell r="H5618" t="str">
            <v>salud_oral</v>
          </cell>
          <cell r="J5618" t="str">
            <v>bueno</v>
          </cell>
          <cell r="K5618" t="str">
            <v>probsi</v>
          </cell>
        </row>
        <row r="5619">
          <cell r="B5619" t="b">
            <v>1</v>
          </cell>
          <cell r="E5619" t="str">
            <v>Candelaria</v>
          </cell>
          <cell r="H5619" t="str">
            <v>consulta_externa</v>
          </cell>
          <cell r="J5619" t="str">
            <v>bueno</v>
          </cell>
          <cell r="K5619" t="str">
            <v>defsi</v>
          </cell>
        </row>
        <row r="5620">
          <cell r="B5620" t="b">
            <v>1</v>
          </cell>
          <cell r="E5620" t="str">
            <v>Candelaria</v>
          </cell>
          <cell r="H5620" t="str">
            <v>salud_oral</v>
          </cell>
          <cell r="J5620" t="str">
            <v>bueno</v>
          </cell>
          <cell r="K5620" t="str">
            <v>defsi</v>
          </cell>
        </row>
        <row r="5621">
          <cell r="B5621" t="b">
            <v>1</v>
          </cell>
          <cell r="E5621" t="str">
            <v>Tierra Bomba</v>
          </cell>
          <cell r="H5621" t="str">
            <v>salud_oral</v>
          </cell>
          <cell r="J5621" t="str">
            <v>bueno</v>
          </cell>
          <cell r="K5621" t="str">
            <v>defsi</v>
          </cell>
        </row>
        <row r="5622">
          <cell r="B5622" t="b">
            <v>1</v>
          </cell>
          <cell r="E5622" t="str">
            <v>Candelaria</v>
          </cell>
          <cell r="H5622" t="str">
            <v>laboratorio</v>
          </cell>
          <cell r="J5622" t="str">
            <v>bueno</v>
          </cell>
          <cell r="K5622" t="str">
            <v>defsi</v>
          </cell>
        </row>
        <row r="5623">
          <cell r="B5623" t="b">
            <v>1</v>
          </cell>
          <cell r="E5623" t="str">
            <v>Candelaria</v>
          </cell>
          <cell r="H5623" t="str">
            <v>urgencia</v>
          </cell>
          <cell r="J5623" t="str">
            <v>bueno</v>
          </cell>
          <cell r="K5623" t="str">
            <v>defsi</v>
          </cell>
        </row>
        <row r="5624">
          <cell r="B5624" t="b">
            <v>1</v>
          </cell>
          <cell r="E5624" t="str">
            <v>Candelaria</v>
          </cell>
          <cell r="H5624" t="str">
            <v>electros</v>
          </cell>
          <cell r="J5624" t="str">
            <v>bueno</v>
          </cell>
          <cell r="K5624" t="str">
            <v>defsi</v>
          </cell>
        </row>
        <row r="5625">
          <cell r="B5625" t="b">
            <v>1</v>
          </cell>
          <cell r="E5625" t="str">
            <v>Tierra Bomba</v>
          </cell>
          <cell r="H5625" t="str">
            <v>consulta_externa</v>
          </cell>
          <cell r="J5625" t="str">
            <v>bueno</v>
          </cell>
          <cell r="K5625" t="str">
            <v>defsi</v>
          </cell>
        </row>
        <row r="5626">
          <cell r="B5626" t="b">
            <v>1</v>
          </cell>
          <cell r="E5626" t="str">
            <v>Tierra Bomba</v>
          </cell>
          <cell r="H5626" t="str">
            <v>laboratorio</v>
          </cell>
          <cell r="J5626" t="str">
            <v>bueno</v>
          </cell>
          <cell r="K5626" t="str">
            <v>defsi</v>
          </cell>
        </row>
        <row r="5627">
          <cell r="B5627" t="b">
            <v>1</v>
          </cell>
          <cell r="E5627" t="str">
            <v>Tierra Bomba</v>
          </cell>
          <cell r="H5627" t="str">
            <v>laboratorio</v>
          </cell>
          <cell r="J5627" t="str">
            <v>bueno</v>
          </cell>
          <cell r="K5627" t="str">
            <v>defsi</v>
          </cell>
        </row>
        <row r="5628">
          <cell r="B5628" t="b">
            <v>1</v>
          </cell>
          <cell r="E5628" t="str">
            <v>Tierra Bomba</v>
          </cell>
          <cell r="H5628" t="str">
            <v>consulta_externa</v>
          </cell>
          <cell r="J5628" t="str">
            <v>bueno</v>
          </cell>
          <cell r="K5628" t="str">
            <v>defsi</v>
          </cell>
        </row>
        <row r="5629">
          <cell r="B5629" t="b">
            <v>1</v>
          </cell>
          <cell r="E5629" t="str">
            <v>Candelaria</v>
          </cell>
          <cell r="H5629" t="str">
            <v>medicina_interna</v>
          </cell>
          <cell r="J5629" t="str">
            <v>bueno</v>
          </cell>
          <cell r="K5629" t="str">
            <v>defsi</v>
          </cell>
        </row>
        <row r="5630">
          <cell r="B5630" t="b">
            <v>1</v>
          </cell>
          <cell r="E5630" t="str">
            <v>Tierra Bomba</v>
          </cell>
          <cell r="H5630" t="str">
            <v>salud_oral</v>
          </cell>
          <cell r="J5630" t="str">
            <v>bueno</v>
          </cell>
          <cell r="K5630" t="str">
            <v>defsi</v>
          </cell>
        </row>
        <row r="5631">
          <cell r="B5631" t="b">
            <v>1</v>
          </cell>
          <cell r="E5631" t="str">
            <v>Tierra Bomba</v>
          </cell>
          <cell r="H5631" t="str">
            <v>salud_oral</v>
          </cell>
          <cell r="J5631" t="str">
            <v>bueno</v>
          </cell>
          <cell r="K5631" t="str">
            <v>defsi</v>
          </cell>
        </row>
        <row r="5632">
          <cell r="B5632" t="b">
            <v>1</v>
          </cell>
          <cell r="E5632" t="str">
            <v>Tierra Bomba</v>
          </cell>
          <cell r="H5632" t="str">
            <v>laboratorio</v>
          </cell>
          <cell r="J5632" t="str">
            <v>bueno</v>
          </cell>
          <cell r="K5632" t="str">
            <v>defsi</v>
          </cell>
        </row>
        <row r="5633">
          <cell r="B5633" t="b">
            <v>1</v>
          </cell>
          <cell r="E5633" t="str">
            <v>Tierra Bomba</v>
          </cell>
          <cell r="H5633" t="str">
            <v>laboratorio</v>
          </cell>
          <cell r="J5633" t="str">
            <v>bueno</v>
          </cell>
          <cell r="K5633" t="str">
            <v>defsi</v>
          </cell>
        </row>
        <row r="5634">
          <cell r="B5634" t="b">
            <v>1</v>
          </cell>
          <cell r="E5634" t="str">
            <v>Tierra Bomba</v>
          </cell>
          <cell r="H5634" t="str">
            <v>laboratorio</v>
          </cell>
          <cell r="J5634" t="str">
            <v>bueno</v>
          </cell>
          <cell r="K5634" t="str">
            <v>defsi</v>
          </cell>
        </row>
        <row r="5635">
          <cell r="B5635" t="b">
            <v>1</v>
          </cell>
          <cell r="E5635" t="str">
            <v>Tierra Bomba</v>
          </cell>
          <cell r="H5635" t="str">
            <v>laboratorio</v>
          </cell>
          <cell r="J5635" t="str">
            <v>bueno</v>
          </cell>
          <cell r="K5635" t="str">
            <v>defsi</v>
          </cell>
        </row>
        <row r="5636">
          <cell r="B5636" t="b">
            <v>1</v>
          </cell>
          <cell r="E5636" t="str">
            <v>Tierra Bomba</v>
          </cell>
          <cell r="H5636" t="str">
            <v>consulta_externa</v>
          </cell>
          <cell r="J5636" t="str">
            <v>bueno</v>
          </cell>
          <cell r="K5636" t="str">
            <v>defsi</v>
          </cell>
        </row>
        <row r="5637">
          <cell r="B5637" t="b">
            <v>1</v>
          </cell>
          <cell r="E5637" t="str">
            <v>Tierra Bomba</v>
          </cell>
          <cell r="H5637" t="str">
            <v>consulta_externa</v>
          </cell>
          <cell r="J5637" t="str">
            <v>bueno</v>
          </cell>
          <cell r="K5637" t="str">
            <v>defsi</v>
          </cell>
        </row>
        <row r="5638">
          <cell r="B5638" t="b">
            <v>1</v>
          </cell>
          <cell r="E5638" t="str">
            <v>Tierra Bomba</v>
          </cell>
          <cell r="H5638" t="str">
            <v>laboratorio</v>
          </cell>
          <cell r="J5638" t="str">
            <v>bueno</v>
          </cell>
          <cell r="K5638" t="str">
            <v>defsi</v>
          </cell>
        </row>
        <row r="5639">
          <cell r="B5639" t="b">
            <v>0</v>
          </cell>
          <cell r="E5639" t="str">
            <v>Tierra Bomba</v>
          </cell>
          <cell r="H5639" t="str">
            <v>consulta_externa</v>
          </cell>
          <cell r="J5639" t="str">
            <v>regular</v>
          </cell>
          <cell r="K5639" t="str">
            <v>defsi</v>
          </cell>
        </row>
        <row r="5640">
          <cell r="B5640" t="b">
            <v>1</v>
          </cell>
          <cell r="E5640" t="str">
            <v>Tierra Bomba</v>
          </cell>
          <cell r="H5640" t="str">
            <v>consulta_externa</v>
          </cell>
          <cell r="J5640" t="str">
            <v>bueno</v>
          </cell>
          <cell r="K5640" t="str">
            <v>probsi</v>
          </cell>
        </row>
        <row r="5641">
          <cell r="B5641" t="b">
            <v>1</v>
          </cell>
          <cell r="E5641" t="str">
            <v>Candelaria</v>
          </cell>
          <cell r="H5641" t="str">
            <v>consulta_externa</v>
          </cell>
          <cell r="J5641" t="str">
            <v>bueno</v>
          </cell>
          <cell r="K5641" t="str">
            <v>defsi</v>
          </cell>
        </row>
        <row r="5642">
          <cell r="B5642" t="b">
            <v>1</v>
          </cell>
          <cell r="E5642" t="str">
            <v>Candelaria</v>
          </cell>
          <cell r="H5642" t="str">
            <v>consulta_externa</v>
          </cell>
          <cell r="J5642" t="str">
            <v>bueno</v>
          </cell>
          <cell r="K5642" t="str">
            <v>defsi</v>
          </cell>
        </row>
        <row r="5643">
          <cell r="B5643" t="b">
            <v>1</v>
          </cell>
          <cell r="E5643" t="str">
            <v>Candelaria</v>
          </cell>
          <cell r="H5643" t="str">
            <v>salud_oral</v>
          </cell>
          <cell r="J5643" t="str">
            <v>bueno</v>
          </cell>
          <cell r="K5643" t="str">
            <v>defsi</v>
          </cell>
        </row>
        <row r="5644">
          <cell r="B5644" t="b">
            <v>1</v>
          </cell>
          <cell r="E5644" t="str">
            <v>Candelaria</v>
          </cell>
          <cell r="H5644" t="str">
            <v>laboratorio</v>
          </cell>
          <cell r="J5644" t="str">
            <v>bueno</v>
          </cell>
          <cell r="K5644" t="str">
            <v>defsi</v>
          </cell>
        </row>
        <row r="5645">
          <cell r="B5645" t="b">
            <v>0</v>
          </cell>
          <cell r="E5645" t="str">
            <v>Bocachica</v>
          </cell>
          <cell r="H5645" t="str">
            <v>urgencia</v>
          </cell>
          <cell r="J5645" t="str">
            <v>regular</v>
          </cell>
          <cell r="K5645" t="str">
            <v>probsi</v>
          </cell>
        </row>
        <row r="5646">
          <cell r="B5646" t="b">
            <v>1</v>
          </cell>
          <cell r="E5646" t="str">
            <v>Bocachica</v>
          </cell>
          <cell r="H5646" t="str">
            <v>urgencia</v>
          </cell>
          <cell r="J5646" t="str">
            <v>bueno</v>
          </cell>
          <cell r="K5646" t="str">
            <v>probsi</v>
          </cell>
        </row>
        <row r="5647">
          <cell r="B5647" t="b">
            <v>1</v>
          </cell>
          <cell r="E5647" t="str">
            <v>Candelaria</v>
          </cell>
          <cell r="H5647" t="str">
            <v>urgencia</v>
          </cell>
          <cell r="J5647" t="str">
            <v>bueno</v>
          </cell>
          <cell r="K5647" t="str">
            <v>defsi</v>
          </cell>
        </row>
        <row r="5648">
          <cell r="B5648" t="b">
            <v>1</v>
          </cell>
          <cell r="E5648" t="str">
            <v>Candelaria</v>
          </cell>
          <cell r="H5648" t="str">
            <v>electros</v>
          </cell>
          <cell r="J5648" t="str">
            <v>bueno</v>
          </cell>
          <cell r="K5648" t="str">
            <v>defsi</v>
          </cell>
        </row>
        <row r="5649">
          <cell r="B5649" t="b">
            <v>1</v>
          </cell>
          <cell r="E5649" t="str">
            <v>Bocachica</v>
          </cell>
          <cell r="H5649" t="str">
            <v>urgencia</v>
          </cell>
          <cell r="J5649" t="str">
            <v>bueno</v>
          </cell>
          <cell r="K5649" t="str">
            <v>probsi</v>
          </cell>
        </row>
        <row r="5650">
          <cell r="B5650" t="b">
            <v>1</v>
          </cell>
          <cell r="E5650" t="str">
            <v>Candelaria</v>
          </cell>
          <cell r="H5650" t="str">
            <v>medicina_interna</v>
          </cell>
          <cell r="J5650" t="str">
            <v>bueno</v>
          </cell>
          <cell r="K5650" t="str">
            <v>defsi</v>
          </cell>
        </row>
        <row r="5651">
          <cell r="B5651" t="b">
            <v>1</v>
          </cell>
          <cell r="E5651" t="str">
            <v>Bocachica</v>
          </cell>
          <cell r="H5651" t="str">
            <v>salud_oral</v>
          </cell>
          <cell r="J5651" t="str">
            <v>bueno</v>
          </cell>
          <cell r="K5651" t="str">
            <v>probsi</v>
          </cell>
        </row>
        <row r="5652">
          <cell r="B5652" t="b">
            <v>1</v>
          </cell>
          <cell r="E5652" t="str">
            <v>Bocachica</v>
          </cell>
          <cell r="H5652" t="str">
            <v>salud_oral</v>
          </cell>
          <cell r="J5652" t="str">
            <v>bueno</v>
          </cell>
          <cell r="K5652" t="str">
            <v>probsi</v>
          </cell>
        </row>
        <row r="5653">
          <cell r="B5653" t="b">
            <v>1</v>
          </cell>
          <cell r="E5653" t="str">
            <v>Tierra Bomba</v>
          </cell>
          <cell r="H5653" t="str">
            <v>consulta_externa</v>
          </cell>
          <cell r="J5653" t="str">
            <v>bueno</v>
          </cell>
          <cell r="K5653" t="str">
            <v>defsi</v>
          </cell>
        </row>
        <row r="5654">
          <cell r="B5654" t="b">
            <v>1</v>
          </cell>
          <cell r="E5654" t="str">
            <v>Tierra Bomba</v>
          </cell>
          <cell r="H5654" t="str">
            <v>laboratorio</v>
          </cell>
          <cell r="J5654" t="str">
            <v>bueno</v>
          </cell>
          <cell r="K5654" t="str">
            <v>defsi</v>
          </cell>
        </row>
        <row r="5655">
          <cell r="B5655" t="b">
            <v>1</v>
          </cell>
          <cell r="E5655" t="str">
            <v>Tierra Bomba</v>
          </cell>
          <cell r="H5655" t="str">
            <v>salud_oral</v>
          </cell>
          <cell r="J5655" t="str">
            <v>bueno</v>
          </cell>
          <cell r="K5655" t="str">
            <v>defsi</v>
          </cell>
        </row>
        <row r="5656">
          <cell r="B5656" t="b">
            <v>1</v>
          </cell>
          <cell r="E5656" t="str">
            <v>Tierra Bomba</v>
          </cell>
          <cell r="H5656" t="str">
            <v>consulta_externa</v>
          </cell>
          <cell r="J5656" t="str">
            <v>bueno</v>
          </cell>
          <cell r="K5656" t="str">
            <v>defsi</v>
          </cell>
        </row>
        <row r="5657">
          <cell r="B5657" t="b">
            <v>1</v>
          </cell>
          <cell r="E5657" t="str">
            <v>Tierra Bomba</v>
          </cell>
          <cell r="H5657" t="str">
            <v>salud_oral</v>
          </cell>
          <cell r="J5657" t="str">
            <v>bueno</v>
          </cell>
          <cell r="K5657" t="str">
            <v>defsi</v>
          </cell>
        </row>
        <row r="5658">
          <cell r="B5658" t="b">
            <v>1</v>
          </cell>
          <cell r="E5658" t="str">
            <v>Tierra Bomba</v>
          </cell>
          <cell r="H5658" t="str">
            <v>consulta_externa</v>
          </cell>
          <cell r="J5658" t="str">
            <v>bueno</v>
          </cell>
          <cell r="K5658" t="str">
            <v>defsi</v>
          </cell>
        </row>
        <row r="5659">
          <cell r="B5659" t="b">
            <v>1</v>
          </cell>
          <cell r="E5659" t="str">
            <v>Tierra Bomba</v>
          </cell>
          <cell r="H5659" t="str">
            <v>salud_oral</v>
          </cell>
          <cell r="J5659" t="str">
            <v>bueno</v>
          </cell>
          <cell r="K5659" t="str">
            <v>defsi</v>
          </cell>
        </row>
        <row r="5660">
          <cell r="B5660" t="b">
            <v>1</v>
          </cell>
          <cell r="E5660" t="str">
            <v>Tierra Bomba</v>
          </cell>
          <cell r="H5660" t="str">
            <v>salud_oral</v>
          </cell>
          <cell r="J5660" t="str">
            <v>bueno</v>
          </cell>
          <cell r="K5660" t="str">
            <v>defsi</v>
          </cell>
        </row>
        <row r="5661">
          <cell r="B5661" t="b">
            <v>1</v>
          </cell>
          <cell r="E5661" t="str">
            <v>Tierra Bomba</v>
          </cell>
          <cell r="H5661" t="str">
            <v>consulta_externa</v>
          </cell>
          <cell r="J5661" t="str">
            <v>bueno</v>
          </cell>
          <cell r="K5661" t="str">
            <v>defsi</v>
          </cell>
        </row>
        <row r="5662">
          <cell r="B5662" t="b">
            <v>0</v>
          </cell>
          <cell r="E5662" t="str">
            <v>Tierra Bomba</v>
          </cell>
          <cell r="H5662" t="str">
            <v>salud_oral</v>
          </cell>
          <cell r="J5662" t="str">
            <v>regular</v>
          </cell>
          <cell r="K5662" t="str">
            <v>defsi</v>
          </cell>
        </row>
        <row r="5663">
          <cell r="B5663" t="b">
            <v>0</v>
          </cell>
          <cell r="E5663" t="str">
            <v>Tierra Bomba</v>
          </cell>
          <cell r="H5663" t="str">
            <v>consulta_externa</v>
          </cell>
          <cell r="J5663" t="str">
            <v>regular</v>
          </cell>
          <cell r="K5663" t="str">
            <v>defsi</v>
          </cell>
        </row>
        <row r="5664">
          <cell r="B5664" t="b">
            <v>1</v>
          </cell>
          <cell r="E5664" t="str">
            <v>Candelaria</v>
          </cell>
          <cell r="H5664" t="str">
            <v>consulta_externa</v>
          </cell>
          <cell r="J5664" t="str">
            <v>bueno</v>
          </cell>
          <cell r="K5664" t="str">
            <v>defsi</v>
          </cell>
        </row>
        <row r="5665">
          <cell r="B5665" t="b">
            <v>1</v>
          </cell>
          <cell r="E5665" t="str">
            <v>Candelaria</v>
          </cell>
          <cell r="H5665" t="str">
            <v>salud_oral</v>
          </cell>
          <cell r="J5665" t="str">
            <v>bueno</v>
          </cell>
          <cell r="K5665" t="str">
            <v>defsi</v>
          </cell>
        </row>
        <row r="5666">
          <cell r="B5666" t="b">
            <v>0</v>
          </cell>
          <cell r="E5666" t="str">
            <v>Tierra Bomba</v>
          </cell>
          <cell r="H5666" t="str">
            <v>laboratorio</v>
          </cell>
          <cell r="J5666" t="str">
            <v>regular</v>
          </cell>
          <cell r="K5666" t="str">
            <v>defsi</v>
          </cell>
        </row>
        <row r="5667">
          <cell r="B5667" t="b">
            <v>1</v>
          </cell>
          <cell r="E5667" t="str">
            <v>Candelaria</v>
          </cell>
          <cell r="H5667" t="str">
            <v>laboratorio</v>
          </cell>
          <cell r="J5667" t="str">
            <v>bueno</v>
          </cell>
          <cell r="K5667" t="str">
            <v>defsi</v>
          </cell>
        </row>
        <row r="5668">
          <cell r="B5668" t="b">
            <v>0</v>
          </cell>
          <cell r="E5668" t="str">
            <v>Tierra Bomba</v>
          </cell>
          <cell r="H5668" t="str">
            <v>consulta_externa</v>
          </cell>
          <cell r="J5668" t="str">
            <v>regular</v>
          </cell>
          <cell r="K5668" t="str">
            <v>defsi</v>
          </cell>
        </row>
        <row r="5669">
          <cell r="B5669" t="b">
            <v>1</v>
          </cell>
          <cell r="E5669" t="str">
            <v>Candelaria</v>
          </cell>
          <cell r="H5669" t="str">
            <v>urgencia</v>
          </cell>
          <cell r="J5669" t="str">
            <v>bueno</v>
          </cell>
          <cell r="K5669" t="str">
            <v>defsi</v>
          </cell>
        </row>
        <row r="5670">
          <cell r="B5670" t="b">
            <v>1</v>
          </cell>
          <cell r="E5670" t="str">
            <v>Candelaria</v>
          </cell>
          <cell r="H5670" t="str">
            <v>electros</v>
          </cell>
          <cell r="J5670" t="str">
            <v>bueno</v>
          </cell>
          <cell r="K5670" t="str">
            <v>defsi</v>
          </cell>
        </row>
        <row r="5671">
          <cell r="B5671" t="b">
            <v>1</v>
          </cell>
          <cell r="E5671" t="str">
            <v>Candelaria</v>
          </cell>
          <cell r="H5671" t="str">
            <v>medicina_interna</v>
          </cell>
          <cell r="J5671" t="str">
            <v>bueno</v>
          </cell>
          <cell r="K5671" t="str">
            <v>defsi</v>
          </cell>
        </row>
        <row r="5672">
          <cell r="B5672" t="b">
            <v>1</v>
          </cell>
          <cell r="E5672" t="str">
            <v>Candelaria</v>
          </cell>
          <cell r="H5672" t="str">
            <v>consulta_externa</v>
          </cell>
          <cell r="J5672" t="str">
            <v>bueno</v>
          </cell>
          <cell r="K5672" t="str">
            <v>defsi</v>
          </cell>
        </row>
        <row r="5673">
          <cell r="B5673" t="b">
            <v>1</v>
          </cell>
          <cell r="E5673" t="str">
            <v>Candelaria</v>
          </cell>
          <cell r="H5673" t="str">
            <v>salud_oral</v>
          </cell>
          <cell r="J5673" t="str">
            <v>bueno</v>
          </cell>
          <cell r="K5673" t="str">
            <v>defsi</v>
          </cell>
        </row>
        <row r="5674">
          <cell r="B5674" t="b">
            <v>1</v>
          </cell>
          <cell r="E5674" t="str">
            <v>Candelaria</v>
          </cell>
          <cell r="H5674" t="str">
            <v>laboratorio</v>
          </cell>
          <cell r="J5674" t="str">
            <v>bueno</v>
          </cell>
          <cell r="K5674" t="str">
            <v>defsi</v>
          </cell>
        </row>
        <row r="5675">
          <cell r="B5675" t="b">
            <v>1</v>
          </cell>
          <cell r="E5675" t="str">
            <v>Candelaria</v>
          </cell>
          <cell r="H5675" t="str">
            <v>urgencia</v>
          </cell>
          <cell r="J5675" t="str">
            <v>bueno</v>
          </cell>
          <cell r="K5675" t="str">
            <v>defsi</v>
          </cell>
        </row>
        <row r="5676">
          <cell r="B5676" t="b">
            <v>1</v>
          </cell>
          <cell r="E5676" t="str">
            <v>Candelaria</v>
          </cell>
          <cell r="H5676" t="str">
            <v>electros</v>
          </cell>
          <cell r="J5676" t="str">
            <v>bueno</v>
          </cell>
          <cell r="K5676" t="str">
            <v>defsi</v>
          </cell>
        </row>
        <row r="5677">
          <cell r="B5677" t="b">
            <v>1</v>
          </cell>
          <cell r="E5677" t="str">
            <v>Candelaria</v>
          </cell>
          <cell r="H5677" t="str">
            <v>medicina_interna</v>
          </cell>
          <cell r="J5677" t="str">
            <v>bueno</v>
          </cell>
          <cell r="K5677" t="str">
            <v>defsi</v>
          </cell>
        </row>
        <row r="5678">
          <cell r="B5678" t="b">
            <v>1</v>
          </cell>
          <cell r="E5678" t="str">
            <v>Bocachica</v>
          </cell>
          <cell r="H5678" t="str">
            <v>urgencia</v>
          </cell>
          <cell r="J5678" t="str">
            <v>bueno</v>
          </cell>
          <cell r="K5678" t="str">
            <v>probsi</v>
          </cell>
        </row>
        <row r="5679">
          <cell r="B5679" t="b">
            <v>1</v>
          </cell>
          <cell r="E5679" t="str">
            <v>Bocachica</v>
          </cell>
          <cell r="H5679" t="str">
            <v>urgencia</v>
          </cell>
          <cell r="J5679" t="str">
            <v>bueno</v>
          </cell>
          <cell r="K5679" t="str">
            <v>probsi</v>
          </cell>
        </row>
        <row r="5680">
          <cell r="B5680" t="b">
            <v>0</v>
          </cell>
          <cell r="E5680" t="str">
            <v>Bocachica</v>
          </cell>
          <cell r="H5680" t="str">
            <v>urgencia</v>
          </cell>
          <cell r="J5680" t="str">
            <v>regular</v>
          </cell>
          <cell r="K5680" t="str">
            <v>probsi</v>
          </cell>
        </row>
        <row r="5681">
          <cell r="B5681" t="b">
            <v>0</v>
          </cell>
          <cell r="E5681" t="str">
            <v>Bocachica</v>
          </cell>
          <cell r="H5681" t="str">
            <v>urgencia</v>
          </cell>
          <cell r="J5681" t="str">
            <v>regular</v>
          </cell>
          <cell r="K5681" t="str">
            <v>probsi</v>
          </cell>
        </row>
        <row r="5682">
          <cell r="B5682" t="b">
            <v>0</v>
          </cell>
          <cell r="E5682" t="str">
            <v>Bocachica</v>
          </cell>
          <cell r="H5682" t="str">
            <v>urgencia</v>
          </cell>
          <cell r="J5682" t="str">
            <v>regular</v>
          </cell>
          <cell r="K5682" t="str">
            <v>probsi</v>
          </cell>
        </row>
        <row r="5683">
          <cell r="B5683" t="b">
            <v>1</v>
          </cell>
          <cell r="E5683" t="str">
            <v>Bocachica</v>
          </cell>
          <cell r="H5683" t="str">
            <v>urgencia</v>
          </cell>
          <cell r="J5683" t="str">
            <v>bueno</v>
          </cell>
          <cell r="K5683" t="str">
            <v>probsi</v>
          </cell>
        </row>
        <row r="5684">
          <cell r="B5684" t="b">
            <v>1</v>
          </cell>
          <cell r="E5684" t="str">
            <v>Bocachica</v>
          </cell>
          <cell r="H5684" t="str">
            <v>urgencia</v>
          </cell>
          <cell r="J5684" t="str">
            <v>bueno</v>
          </cell>
          <cell r="K5684" t="str">
            <v>probsi</v>
          </cell>
        </row>
        <row r="5685">
          <cell r="B5685" t="b">
            <v>1</v>
          </cell>
          <cell r="E5685" t="str">
            <v>Bocachica</v>
          </cell>
          <cell r="H5685" t="str">
            <v>salud_oral</v>
          </cell>
          <cell r="J5685" t="str">
            <v>bueno</v>
          </cell>
          <cell r="K5685" t="str">
            <v>probsi</v>
          </cell>
        </row>
        <row r="5686">
          <cell r="B5686" t="b">
            <v>1</v>
          </cell>
          <cell r="E5686" t="str">
            <v>Bocachica</v>
          </cell>
          <cell r="H5686" t="str">
            <v>salud_oral</v>
          </cell>
          <cell r="J5686" t="str">
            <v>bueno</v>
          </cell>
          <cell r="K5686" t="str">
            <v>probsi</v>
          </cell>
        </row>
        <row r="5687">
          <cell r="B5687" t="b">
            <v>1</v>
          </cell>
          <cell r="E5687" t="str">
            <v>Bocachica</v>
          </cell>
          <cell r="H5687" t="str">
            <v>salud_oral</v>
          </cell>
          <cell r="J5687" t="str">
            <v>bueno</v>
          </cell>
          <cell r="K5687" t="str">
            <v>probsi</v>
          </cell>
        </row>
        <row r="5688">
          <cell r="B5688" t="b">
            <v>1</v>
          </cell>
          <cell r="E5688" t="str">
            <v>Bocachica</v>
          </cell>
          <cell r="H5688" t="str">
            <v>laboratorio</v>
          </cell>
          <cell r="J5688" t="str">
            <v>bueno</v>
          </cell>
          <cell r="K5688" t="str">
            <v>probsi</v>
          </cell>
        </row>
        <row r="5689">
          <cell r="B5689" t="b">
            <v>1</v>
          </cell>
          <cell r="E5689" t="str">
            <v>Bocachica</v>
          </cell>
          <cell r="H5689" t="str">
            <v>laboratorio</v>
          </cell>
          <cell r="J5689" t="str">
            <v>bueno</v>
          </cell>
          <cell r="K5689" t="str">
            <v>probsi</v>
          </cell>
        </row>
        <row r="5690">
          <cell r="B5690" t="b">
            <v>1</v>
          </cell>
          <cell r="E5690" t="str">
            <v>Bocachica</v>
          </cell>
          <cell r="H5690" t="str">
            <v>laboratorio</v>
          </cell>
          <cell r="J5690" t="str">
            <v>bueno</v>
          </cell>
          <cell r="K5690" t="str">
            <v>probsi</v>
          </cell>
        </row>
        <row r="5691">
          <cell r="B5691" t="b">
            <v>1</v>
          </cell>
          <cell r="E5691" t="str">
            <v>Bocachica</v>
          </cell>
          <cell r="H5691" t="str">
            <v>salud_oral</v>
          </cell>
          <cell r="J5691" t="str">
            <v>bueno</v>
          </cell>
          <cell r="K5691" t="str">
            <v>probsi</v>
          </cell>
        </row>
        <row r="5692">
          <cell r="B5692" t="b">
            <v>1</v>
          </cell>
          <cell r="E5692" t="str">
            <v>Bocachica</v>
          </cell>
          <cell r="H5692" t="str">
            <v>salud_oral</v>
          </cell>
          <cell r="J5692" t="str">
            <v>bueno</v>
          </cell>
          <cell r="K5692" t="str">
            <v>probsi</v>
          </cell>
        </row>
        <row r="5693">
          <cell r="B5693" t="b">
            <v>1</v>
          </cell>
          <cell r="E5693" t="str">
            <v>Bocachica</v>
          </cell>
          <cell r="H5693" t="str">
            <v>salud_oral</v>
          </cell>
          <cell r="J5693" t="str">
            <v>bueno</v>
          </cell>
          <cell r="K5693" t="str">
            <v>probsi</v>
          </cell>
        </row>
        <row r="5694">
          <cell r="B5694" t="b">
            <v>1</v>
          </cell>
          <cell r="E5694" t="str">
            <v>Tierra Bomba</v>
          </cell>
          <cell r="H5694" t="str">
            <v>laboratorio</v>
          </cell>
          <cell r="J5694" t="str">
            <v>bueno</v>
          </cell>
          <cell r="K5694" t="str">
            <v>defsi</v>
          </cell>
        </row>
        <row r="5695">
          <cell r="B5695" t="b">
            <v>1</v>
          </cell>
          <cell r="E5695" t="str">
            <v>Candelaria</v>
          </cell>
          <cell r="H5695" t="str">
            <v>consulta_externa</v>
          </cell>
          <cell r="J5695" t="str">
            <v>bueno</v>
          </cell>
          <cell r="K5695" t="str">
            <v>defsi</v>
          </cell>
        </row>
        <row r="5696">
          <cell r="B5696" t="b">
            <v>0</v>
          </cell>
          <cell r="E5696" t="str">
            <v>Tierra Bomba</v>
          </cell>
          <cell r="H5696" t="str">
            <v>laboratorio</v>
          </cell>
          <cell r="J5696" t="str">
            <v>regular</v>
          </cell>
          <cell r="K5696" t="str">
            <v>defsi</v>
          </cell>
        </row>
        <row r="5697">
          <cell r="B5697" t="b">
            <v>1</v>
          </cell>
          <cell r="E5697" t="str">
            <v>Candelaria</v>
          </cell>
          <cell r="H5697" t="str">
            <v>salud_oral</v>
          </cell>
          <cell r="J5697" t="str">
            <v>bueno</v>
          </cell>
          <cell r="K5697" t="str">
            <v>defsi</v>
          </cell>
        </row>
        <row r="5698">
          <cell r="B5698" t="b">
            <v>1</v>
          </cell>
          <cell r="E5698" t="str">
            <v>Tierra Bomba</v>
          </cell>
          <cell r="H5698" t="str">
            <v>laboratorio</v>
          </cell>
          <cell r="J5698" t="str">
            <v>bueno</v>
          </cell>
          <cell r="K5698" t="str">
            <v>defsi</v>
          </cell>
        </row>
        <row r="5699">
          <cell r="B5699" t="b">
            <v>1</v>
          </cell>
          <cell r="E5699" t="str">
            <v>Candelaria</v>
          </cell>
          <cell r="H5699" t="str">
            <v>laboratorio</v>
          </cell>
          <cell r="J5699" t="str">
            <v>bueno</v>
          </cell>
          <cell r="K5699" t="str">
            <v>defsi</v>
          </cell>
        </row>
        <row r="5700">
          <cell r="B5700" t="b">
            <v>1</v>
          </cell>
          <cell r="E5700" t="str">
            <v>Candelaria</v>
          </cell>
          <cell r="H5700" t="str">
            <v>urgencia</v>
          </cell>
          <cell r="J5700" t="str">
            <v>bueno</v>
          </cell>
          <cell r="K5700" t="str">
            <v>defsi</v>
          </cell>
        </row>
        <row r="5701">
          <cell r="B5701" t="b">
            <v>1</v>
          </cell>
          <cell r="E5701" t="str">
            <v>Tierra Bomba</v>
          </cell>
          <cell r="H5701" t="str">
            <v>laboratorio</v>
          </cell>
          <cell r="J5701" t="str">
            <v>bueno</v>
          </cell>
          <cell r="K5701" t="str">
            <v>defsi</v>
          </cell>
        </row>
        <row r="5702">
          <cell r="B5702" t="b">
            <v>1</v>
          </cell>
          <cell r="E5702" t="str">
            <v>Candelaria</v>
          </cell>
          <cell r="H5702" t="str">
            <v>electros</v>
          </cell>
          <cell r="J5702" t="str">
            <v>bueno</v>
          </cell>
          <cell r="K5702" t="str">
            <v>defsi</v>
          </cell>
        </row>
        <row r="5703">
          <cell r="B5703" t="b">
            <v>1</v>
          </cell>
          <cell r="E5703" t="str">
            <v>Candelaria</v>
          </cell>
          <cell r="H5703" t="str">
            <v>medicina_interna</v>
          </cell>
          <cell r="J5703" t="str">
            <v>bueno</v>
          </cell>
          <cell r="K5703" t="str">
            <v>defsi</v>
          </cell>
        </row>
        <row r="5704">
          <cell r="B5704" t="b">
            <v>1</v>
          </cell>
          <cell r="E5704" t="str">
            <v>Candelaria</v>
          </cell>
          <cell r="H5704" t="str">
            <v>consulta_externa</v>
          </cell>
          <cell r="J5704" t="str">
            <v>bueno</v>
          </cell>
          <cell r="K5704" t="str">
            <v>defsi</v>
          </cell>
        </row>
        <row r="5705">
          <cell r="B5705" t="b">
            <v>1</v>
          </cell>
          <cell r="E5705" t="str">
            <v>Candelaria</v>
          </cell>
          <cell r="H5705" t="str">
            <v>salud_oral</v>
          </cell>
          <cell r="J5705" t="str">
            <v>bueno</v>
          </cell>
          <cell r="K5705" t="str">
            <v>defsi</v>
          </cell>
        </row>
        <row r="5706">
          <cell r="B5706" t="b">
            <v>1</v>
          </cell>
          <cell r="E5706" t="str">
            <v>Candelaria</v>
          </cell>
          <cell r="H5706" t="str">
            <v>laboratorio</v>
          </cell>
          <cell r="J5706" t="str">
            <v>bueno</v>
          </cell>
          <cell r="K5706" t="str">
            <v>defsi</v>
          </cell>
        </row>
        <row r="5707">
          <cell r="B5707" t="b">
            <v>1</v>
          </cell>
          <cell r="E5707" t="str">
            <v>Candelaria</v>
          </cell>
          <cell r="H5707" t="str">
            <v>urgencia</v>
          </cell>
          <cell r="J5707" t="str">
            <v>bueno</v>
          </cell>
          <cell r="K5707" t="str">
            <v>defsi</v>
          </cell>
        </row>
        <row r="5708">
          <cell r="B5708" t="b">
            <v>1</v>
          </cell>
          <cell r="E5708" t="str">
            <v>Candelaria</v>
          </cell>
          <cell r="H5708" t="str">
            <v>electros</v>
          </cell>
          <cell r="J5708" t="str">
            <v>bueno</v>
          </cell>
          <cell r="K5708" t="str">
            <v>defsi</v>
          </cell>
        </row>
        <row r="5709">
          <cell r="B5709" t="b">
            <v>1</v>
          </cell>
          <cell r="E5709" t="str">
            <v>Candelaria</v>
          </cell>
          <cell r="H5709" t="str">
            <v>medicina_interna</v>
          </cell>
          <cell r="J5709" t="str">
            <v>bueno</v>
          </cell>
          <cell r="K5709" t="str">
            <v>defsi</v>
          </cell>
        </row>
        <row r="5710">
          <cell r="B5710" t="b">
            <v>1</v>
          </cell>
          <cell r="E5710" t="str">
            <v>Santa Ana</v>
          </cell>
          <cell r="H5710" t="str">
            <v>consulta_externa</v>
          </cell>
          <cell r="J5710" t="str">
            <v>bueno</v>
          </cell>
          <cell r="K5710" t="str">
            <v>defsi</v>
          </cell>
        </row>
        <row r="5711">
          <cell r="B5711" t="b">
            <v>1</v>
          </cell>
          <cell r="E5711" t="str">
            <v>Santa Ana</v>
          </cell>
          <cell r="H5711" t="str">
            <v>laboratorio</v>
          </cell>
          <cell r="J5711" t="str">
            <v>bueno</v>
          </cell>
          <cell r="K5711" t="str">
            <v>defsi</v>
          </cell>
        </row>
        <row r="5712">
          <cell r="B5712" t="b">
            <v>1</v>
          </cell>
          <cell r="E5712" t="str">
            <v>Santa Ana</v>
          </cell>
          <cell r="H5712" t="str">
            <v>laboratorio</v>
          </cell>
          <cell r="J5712" t="str">
            <v>bueno</v>
          </cell>
          <cell r="K5712" t="str">
            <v>defsi</v>
          </cell>
        </row>
        <row r="5713">
          <cell r="B5713" t="b">
            <v>1</v>
          </cell>
          <cell r="E5713" t="str">
            <v>Santa Ana</v>
          </cell>
          <cell r="H5713" t="str">
            <v>consulta_externa</v>
          </cell>
          <cell r="J5713" t="str">
            <v>bueno</v>
          </cell>
          <cell r="K5713" t="str">
            <v>defsi</v>
          </cell>
        </row>
        <row r="5714">
          <cell r="B5714" t="b">
            <v>0</v>
          </cell>
          <cell r="E5714" t="str">
            <v>Santa Ana</v>
          </cell>
          <cell r="H5714" t="str">
            <v>urgencia</v>
          </cell>
          <cell r="J5714" t="str">
            <v>regular</v>
          </cell>
          <cell r="K5714" t="str">
            <v>defsi</v>
          </cell>
        </row>
        <row r="5715">
          <cell r="B5715" t="b">
            <v>1</v>
          </cell>
          <cell r="E5715" t="str">
            <v>Santa Ana</v>
          </cell>
          <cell r="H5715" t="str">
            <v>urgencia</v>
          </cell>
          <cell r="J5715" t="str">
            <v>bueno</v>
          </cell>
          <cell r="K5715" t="str">
            <v>defsi</v>
          </cell>
        </row>
        <row r="5716">
          <cell r="B5716" t="b">
            <v>1</v>
          </cell>
          <cell r="E5716" t="str">
            <v>Santa Ana</v>
          </cell>
          <cell r="H5716" t="str">
            <v>laboratorio</v>
          </cell>
          <cell r="J5716" t="str">
            <v>bueno</v>
          </cell>
          <cell r="K5716" t="str">
            <v>defsi</v>
          </cell>
        </row>
        <row r="5717">
          <cell r="B5717" t="b">
            <v>1</v>
          </cell>
          <cell r="E5717" t="str">
            <v>Candelaria</v>
          </cell>
          <cell r="H5717" t="str">
            <v>consulta_externa</v>
          </cell>
          <cell r="J5717" t="str">
            <v>bueno</v>
          </cell>
          <cell r="K5717" t="str">
            <v>defsi</v>
          </cell>
        </row>
        <row r="5718">
          <cell r="B5718" t="b">
            <v>1</v>
          </cell>
          <cell r="E5718" t="str">
            <v>Candelaria</v>
          </cell>
          <cell r="H5718" t="str">
            <v>salud_oral</v>
          </cell>
          <cell r="J5718" t="str">
            <v>bueno</v>
          </cell>
          <cell r="K5718" t="str">
            <v>defsi</v>
          </cell>
        </row>
        <row r="5719">
          <cell r="B5719" t="b">
            <v>1</v>
          </cell>
          <cell r="E5719" t="str">
            <v>Candelaria</v>
          </cell>
          <cell r="H5719" t="str">
            <v>laboratorio</v>
          </cell>
          <cell r="J5719" t="str">
            <v>bueno</v>
          </cell>
          <cell r="K5719" t="str">
            <v>defsi</v>
          </cell>
        </row>
        <row r="5720">
          <cell r="B5720" t="b">
            <v>1</v>
          </cell>
          <cell r="E5720" t="str">
            <v>Candelaria</v>
          </cell>
          <cell r="H5720" t="str">
            <v>urgencia</v>
          </cell>
          <cell r="J5720" t="str">
            <v>bueno</v>
          </cell>
          <cell r="K5720" t="str">
            <v>defsi</v>
          </cell>
        </row>
        <row r="5721">
          <cell r="B5721" t="b">
            <v>1</v>
          </cell>
          <cell r="E5721" t="str">
            <v>Candelaria</v>
          </cell>
          <cell r="H5721" t="str">
            <v>electros</v>
          </cell>
          <cell r="J5721" t="str">
            <v>bueno</v>
          </cell>
          <cell r="K5721" t="str">
            <v>defsi</v>
          </cell>
        </row>
        <row r="5722">
          <cell r="B5722" t="b">
            <v>1</v>
          </cell>
          <cell r="E5722" t="str">
            <v>Candelaria</v>
          </cell>
          <cell r="H5722" t="str">
            <v>consulta_externa</v>
          </cell>
          <cell r="J5722" t="str">
            <v>bueno</v>
          </cell>
          <cell r="K5722" t="str">
            <v>defsi</v>
          </cell>
        </row>
        <row r="5723">
          <cell r="B5723" t="b">
            <v>1</v>
          </cell>
          <cell r="E5723" t="str">
            <v>Candelaria</v>
          </cell>
          <cell r="H5723" t="str">
            <v>salud_oral</v>
          </cell>
          <cell r="J5723" t="str">
            <v>bueno</v>
          </cell>
          <cell r="K5723" t="str">
            <v>defsi</v>
          </cell>
        </row>
        <row r="5724">
          <cell r="B5724" t="b">
            <v>1</v>
          </cell>
          <cell r="E5724" t="str">
            <v>Candelaria</v>
          </cell>
          <cell r="H5724" t="str">
            <v>laboratorio</v>
          </cell>
          <cell r="J5724" t="str">
            <v>bueno</v>
          </cell>
          <cell r="K5724" t="str">
            <v>defsi</v>
          </cell>
        </row>
        <row r="5725">
          <cell r="B5725" t="b">
            <v>1</v>
          </cell>
          <cell r="E5725" t="str">
            <v>Candelaria</v>
          </cell>
          <cell r="H5725" t="str">
            <v>urgencia</v>
          </cell>
          <cell r="J5725" t="str">
            <v>bueno</v>
          </cell>
          <cell r="K5725" t="str">
            <v>defsi</v>
          </cell>
        </row>
        <row r="5726">
          <cell r="B5726" t="b">
            <v>1</v>
          </cell>
          <cell r="E5726" t="str">
            <v>Candelaria</v>
          </cell>
          <cell r="H5726" t="str">
            <v>electros</v>
          </cell>
          <cell r="J5726" t="str">
            <v>bueno</v>
          </cell>
          <cell r="K5726" t="str">
            <v>defsi</v>
          </cell>
        </row>
        <row r="5727">
          <cell r="B5727" t="b">
            <v>1</v>
          </cell>
          <cell r="E5727" t="str">
            <v>Candelaria</v>
          </cell>
          <cell r="H5727" t="str">
            <v>consulta_externa</v>
          </cell>
          <cell r="J5727" t="str">
            <v>bueno</v>
          </cell>
          <cell r="K5727" t="str">
            <v>defsi</v>
          </cell>
        </row>
        <row r="5728">
          <cell r="B5728" t="b">
            <v>1</v>
          </cell>
          <cell r="E5728" t="str">
            <v>Candelaria</v>
          </cell>
          <cell r="H5728" t="str">
            <v>salud_oral</v>
          </cell>
          <cell r="J5728" t="str">
            <v>bueno</v>
          </cell>
          <cell r="K5728" t="str">
            <v>defsi</v>
          </cell>
        </row>
        <row r="5729">
          <cell r="B5729" t="b">
            <v>1</v>
          </cell>
          <cell r="E5729" t="str">
            <v>Candelaria</v>
          </cell>
          <cell r="H5729" t="str">
            <v>laboratorio</v>
          </cell>
          <cell r="J5729" t="str">
            <v>bueno</v>
          </cell>
          <cell r="K5729" t="str">
            <v>defsi</v>
          </cell>
        </row>
        <row r="5730">
          <cell r="B5730" t="b">
            <v>1</v>
          </cell>
          <cell r="E5730" t="str">
            <v>Candelaria</v>
          </cell>
          <cell r="H5730" t="str">
            <v>urgencia</v>
          </cell>
          <cell r="J5730" t="str">
            <v>bueno</v>
          </cell>
          <cell r="K5730" t="str">
            <v>defsi</v>
          </cell>
        </row>
        <row r="5731">
          <cell r="B5731" t="b">
            <v>1</v>
          </cell>
          <cell r="E5731" t="str">
            <v>Candelaria</v>
          </cell>
          <cell r="H5731" t="str">
            <v>electros</v>
          </cell>
          <cell r="J5731" t="str">
            <v>bueno</v>
          </cell>
          <cell r="K5731" t="str">
            <v>defsi</v>
          </cell>
        </row>
        <row r="5732">
          <cell r="B5732" t="b">
            <v>1</v>
          </cell>
          <cell r="E5732" t="str">
            <v>Punta Arena</v>
          </cell>
          <cell r="H5732" t="str">
            <v>consulta_externa</v>
          </cell>
          <cell r="J5732" t="str">
            <v>bueno</v>
          </cell>
          <cell r="K5732" t="str">
            <v>probsi</v>
          </cell>
        </row>
        <row r="5733">
          <cell r="B5733" t="b">
            <v>1</v>
          </cell>
          <cell r="E5733" t="str">
            <v>Punta Arena</v>
          </cell>
          <cell r="H5733" t="str">
            <v>consulta_externa</v>
          </cell>
          <cell r="J5733" t="str">
            <v>bueno</v>
          </cell>
          <cell r="K5733" t="str">
            <v>probsi</v>
          </cell>
        </row>
        <row r="5734">
          <cell r="B5734" t="b">
            <v>1</v>
          </cell>
          <cell r="E5734" t="str">
            <v>Punta Arena</v>
          </cell>
          <cell r="H5734" t="str">
            <v>consulta_externa</v>
          </cell>
          <cell r="J5734" t="str">
            <v>bueno</v>
          </cell>
          <cell r="K5734" t="str">
            <v>probsi</v>
          </cell>
        </row>
        <row r="5735">
          <cell r="B5735" t="b">
            <v>1</v>
          </cell>
          <cell r="E5735" t="str">
            <v>Punta Arena</v>
          </cell>
          <cell r="H5735" t="str">
            <v>consulta_externa</v>
          </cell>
          <cell r="J5735" t="str">
            <v>bueno</v>
          </cell>
          <cell r="K5735" t="str">
            <v>probsi</v>
          </cell>
        </row>
        <row r="5736">
          <cell r="B5736" t="b">
            <v>1</v>
          </cell>
          <cell r="E5736" t="str">
            <v>Punta Arena</v>
          </cell>
          <cell r="H5736" t="str">
            <v>consulta_externa</v>
          </cell>
          <cell r="J5736" t="str">
            <v>bueno</v>
          </cell>
          <cell r="K5736" t="str">
            <v>probsi</v>
          </cell>
        </row>
        <row r="5737">
          <cell r="B5737" t="b">
            <v>1</v>
          </cell>
          <cell r="E5737" t="str">
            <v>Punta Arena</v>
          </cell>
          <cell r="H5737" t="str">
            <v>laboratorio</v>
          </cell>
          <cell r="J5737" t="str">
            <v>bueno</v>
          </cell>
          <cell r="K5737" t="str">
            <v>probsi</v>
          </cell>
        </row>
        <row r="5738">
          <cell r="B5738" t="b">
            <v>1</v>
          </cell>
          <cell r="E5738" t="str">
            <v>Punta Arena</v>
          </cell>
          <cell r="H5738" t="str">
            <v>laboratorio</v>
          </cell>
          <cell r="J5738" t="str">
            <v>bueno</v>
          </cell>
          <cell r="K5738" t="str">
            <v>probsi</v>
          </cell>
        </row>
        <row r="5739">
          <cell r="B5739" t="b">
            <v>1</v>
          </cell>
          <cell r="E5739" t="str">
            <v>Punta Arena</v>
          </cell>
          <cell r="H5739" t="str">
            <v>laboratorio</v>
          </cell>
          <cell r="J5739" t="str">
            <v>bueno</v>
          </cell>
          <cell r="K5739" t="str">
            <v>probsi</v>
          </cell>
        </row>
        <row r="5740">
          <cell r="B5740" t="b">
            <v>1</v>
          </cell>
          <cell r="E5740" t="str">
            <v>Punta Arena</v>
          </cell>
          <cell r="H5740" t="str">
            <v>laboratorio</v>
          </cell>
          <cell r="J5740" t="str">
            <v>bueno</v>
          </cell>
          <cell r="K5740" t="str">
            <v>probsi</v>
          </cell>
        </row>
        <row r="5741">
          <cell r="B5741" t="b">
            <v>1</v>
          </cell>
          <cell r="E5741" t="str">
            <v>Punta Arena</v>
          </cell>
          <cell r="H5741" t="str">
            <v>laboratorio</v>
          </cell>
          <cell r="J5741" t="str">
            <v>bueno</v>
          </cell>
          <cell r="K5741" t="str">
            <v>probsi</v>
          </cell>
        </row>
        <row r="5742">
          <cell r="B5742" t="b">
            <v>1</v>
          </cell>
          <cell r="E5742" t="str">
            <v>Punta Arena</v>
          </cell>
          <cell r="H5742" t="str">
            <v>laboratorio</v>
          </cell>
          <cell r="J5742" t="str">
            <v>bueno</v>
          </cell>
          <cell r="K5742" t="str">
            <v>probsi</v>
          </cell>
        </row>
        <row r="5743">
          <cell r="B5743" t="b">
            <v>1</v>
          </cell>
          <cell r="E5743" t="str">
            <v>Candelaria</v>
          </cell>
          <cell r="H5743" t="str">
            <v>consulta_externa</v>
          </cell>
          <cell r="J5743" t="str">
            <v>bueno</v>
          </cell>
          <cell r="K5743" t="str">
            <v>defsi</v>
          </cell>
        </row>
        <row r="5744">
          <cell r="B5744" t="b">
            <v>1</v>
          </cell>
          <cell r="E5744" t="str">
            <v>Candelaria</v>
          </cell>
          <cell r="H5744" t="str">
            <v>salud_oral</v>
          </cell>
          <cell r="J5744" t="str">
            <v>bueno</v>
          </cell>
          <cell r="K5744" t="str">
            <v>defsi</v>
          </cell>
        </row>
        <row r="5745">
          <cell r="B5745" t="b">
            <v>1</v>
          </cell>
          <cell r="E5745" t="str">
            <v>Candelaria</v>
          </cell>
          <cell r="H5745" t="str">
            <v>laboratorio</v>
          </cell>
          <cell r="J5745" t="str">
            <v>bueno</v>
          </cell>
          <cell r="K5745" t="str">
            <v>defsi</v>
          </cell>
        </row>
        <row r="5746">
          <cell r="B5746" t="b">
            <v>1</v>
          </cell>
          <cell r="E5746" t="str">
            <v>Candelaria</v>
          </cell>
          <cell r="H5746" t="str">
            <v>urgencia</v>
          </cell>
          <cell r="J5746" t="str">
            <v>bueno</v>
          </cell>
          <cell r="K5746" t="str">
            <v>defsi</v>
          </cell>
        </row>
        <row r="5747">
          <cell r="B5747" t="b">
            <v>1</v>
          </cell>
          <cell r="E5747" t="str">
            <v>Candelaria</v>
          </cell>
          <cell r="H5747" t="str">
            <v>electros</v>
          </cell>
          <cell r="J5747" t="str">
            <v>bueno</v>
          </cell>
          <cell r="K5747" t="str">
            <v>defsi</v>
          </cell>
        </row>
        <row r="5748">
          <cell r="B5748" t="b">
            <v>1</v>
          </cell>
          <cell r="E5748" t="str">
            <v>Candelaria</v>
          </cell>
          <cell r="H5748" t="str">
            <v>consulta_externa</v>
          </cell>
          <cell r="J5748" t="str">
            <v>bueno</v>
          </cell>
          <cell r="K5748" t="str">
            <v>defsi</v>
          </cell>
        </row>
        <row r="5749">
          <cell r="B5749" t="b">
            <v>1</v>
          </cell>
          <cell r="E5749" t="str">
            <v>Candelaria</v>
          </cell>
          <cell r="H5749" t="str">
            <v>salud_oral</v>
          </cell>
          <cell r="J5749" t="str">
            <v>bueno</v>
          </cell>
          <cell r="K5749" t="str">
            <v>defsi</v>
          </cell>
        </row>
        <row r="5750">
          <cell r="B5750" t="b">
            <v>1</v>
          </cell>
          <cell r="E5750" t="str">
            <v>Candelaria</v>
          </cell>
          <cell r="H5750" t="str">
            <v>laboratorio</v>
          </cell>
          <cell r="J5750" t="str">
            <v>bueno</v>
          </cell>
          <cell r="K5750" t="str">
            <v>defsi</v>
          </cell>
        </row>
        <row r="5751">
          <cell r="B5751" t="b">
            <v>1</v>
          </cell>
          <cell r="E5751" t="str">
            <v>Candelaria</v>
          </cell>
          <cell r="H5751" t="str">
            <v>urgencia</v>
          </cell>
          <cell r="J5751" t="str">
            <v>bueno</v>
          </cell>
          <cell r="K5751" t="str">
            <v>defsi</v>
          </cell>
        </row>
        <row r="5752">
          <cell r="B5752" t="b">
            <v>1</v>
          </cell>
          <cell r="E5752" t="str">
            <v>Candelaria</v>
          </cell>
          <cell r="H5752" t="str">
            <v>electros</v>
          </cell>
          <cell r="J5752" t="str">
            <v>bueno</v>
          </cell>
          <cell r="K5752" t="str">
            <v>defsi</v>
          </cell>
        </row>
        <row r="5753">
          <cell r="B5753" t="b">
            <v>1</v>
          </cell>
          <cell r="E5753" t="str">
            <v>Candelaria</v>
          </cell>
          <cell r="H5753" t="str">
            <v>consulta_externa</v>
          </cell>
          <cell r="J5753" t="str">
            <v>bueno</v>
          </cell>
          <cell r="K5753" t="str">
            <v>defsi</v>
          </cell>
        </row>
        <row r="5754">
          <cell r="B5754" t="b">
            <v>1</v>
          </cell>
          <cell r="E5754" t="str">
            <v>Candelaria</v>
          </cell>
          <cell r="H5754" t="str">
            <v>salud_oral</v>
          </cell>
          <cell r="J5754" t="str">
            <v>bueno</v>
          </cell>
          <cell r="K5754" t="str">
            <v>defsi</v>
          </cell>
        </row>
        <row r="5755">
          <cell r="B5755" t="b">
            <v>1</v>
          </cell>
          <cell r="E5755" t="str">
            <v>Candelaria</v>
          </cell>
          <cell r="H5755" t="str">
            <v>laboratorio</v>
          </cell>
          <cell r="J5755" t="str">
            <v>bueno</v>
          </cell>
          <cell r="K5755" t="str">
            <v>defsi</v>
          </cell>
        </row>
        <row r="5756">
          <cell r="B5756" t="b">
            <v>1</v>
          </cell>
          <cell r="E5756" t="str">
            <v>Candelaria</v>
          </cell>
          <cell r="H5756" t="str">
            <v>urgencia</v>
          </cell>
          <cell r="J5756" t="str">
            <v>bueno</v>
          </cell>
          <cell r="K5756" t="str">
            <v>defsi</v>
          </cell>
        </row>
        <row r="5757">
          <cell r="B5757" t="b">
            <v>1</v>
          </cell>
          <cell r="E5757" t="str">
            <v>Candelaria</v>
          </cell>
          <cell r="H5757" t="str">
            <v>electros</v>
          </cell>
          <cell r="J5757" t="str">
            <v>bueno</v>
          </cell>
          <cell r="K5757" t="str">
            <v>defsi</v>
          </cell>
        </row>
        <row r="5758">
          <cell r="B5758" t="b">
            <v>1</v>
          </cell>
          <cell r="E5758" t="str">
            <v>Candelaria</v>
          </cell>
          <cell r="H5758" t="str">
            <v>consulta_externa</v>
          </cell>
          <cell r="J5758" t="str">
            <v>bueno</v>
          </cell>
          <cell r="K5758" t="str">
            <v>defsi</v>
          </cell>
        </row>
        <row r="5759">
          <cell r="B5759" t="b">
            <v>1</v>
          </cell>
          <cell r="E5759" t="str">
            <v>Candelaria</v>
          </cell>
          <cell r="H5759" t="str">
            <v>salud_oral</v>
          </cell>
          <cell r="J5759" t="str">
            <v>bueno</v>
          </cell>
          <cell r="K5759" t="str">
            <v>defsi</v>
          </cell>
        </row>
        <row r="5760">
          <cell r="B5760" t="b">
            <v>1</v>
          </cell>
          <cell r="E5760" t="str">
            <v>Candelaria</v>
          </cell>
          <cell r="H5760" t="str">
            <v>laboratorio</v>
          </cell>
          <cell r="J5760" t="str">
            <v>bueno</v>
          </cell>
          <cell r="K5760" t="str">
            <v>defsi</v>
          </cell>
        </row>
        <row r="5761">
          <cell r="B5761" t="b">
            <v>1</v>
          </cell>
          <cell r="E5761" t="str">
            <v>Bocachica</v>
          </cell>
          <cell r="H5761" t="str">
            <v>consulta_externa</v>
          </cell>
          <cell r="J5761" t="str">
            <v>bueno</v>
          </cell>
          <cell r="K5761" t="str">
            <v>probsi</v>
          </cell>
        </row>
        <row r="5762">
          <cell r="B5762" t="b">
            <v>1</v>
          </cell>
          <cell r="E5762" t="str">
            <v>Bocachica</v>
          </cell>
          <cell r="H5762" t="str">
            <v>consulta_externa</v>
          </cell>
          <cell r="J5762" t="str">
            <v>bueno</v>
          </cell>
          <cell r="K5762" t="str">
            <v>probsi</v>
          </cell>
        </row>
        <row r="5763">
          <cell r="B5763" t="b">
            <v>1</v>
          </cell>
          <cell r="E5763" t="str">
            <v>Bocachica</v>
          </cell>
          <cell r="H5763" t="str">
            <v>consulta_externa</v>
          </cell>
          <cell r="J5763" t="str">
            <v>bueno</v>
          </cell>
          <cell r="K5763" t="str">
            <v>probsi</v>
          </cell>
        </row>
        <row r="5764">
          <cell r="B5764" t="b">
            <v>1</v>
          </cell>
          <cell r="E5764" t="str">
            <v>Bocachica</v>
          </cell>
          <cell r="H5764" t="str">
            <v>consulta_externa</v>
          </cell>
          <cell r="J5764" t="str">
            <v>bueno</v>
          </cell>
          <cell r="K5764" t="str">
            <v>probsi</v>
          </cell>
        </row>
        <row r="5765">
          <cell r="B5765" t="b">
            <v>1</v>
          </cell>
          <cell r="E5765" t="str">
            <v>Bocachica</v>
          </cell>
          <cell r="H5765" t="str">
            <v>consulta_externa</v>
          </cell>
          <cell r="J5765" t="str">
            <v>bueno</v>
          </cell>
          <cell r="K5765" t="str">
            <v>probsi</v>
          </cell>
        </row>
        <row r="5766">
          <cell r="B5766" t="b">
            <v>1</v>
          </cell>
          <cell r="E5766" t="str">
            <v>Bocachica</v>
          </cell>
          <cell r="H5766" t="str">
            <v>consulta_externa</v>
          </cell>
          <cell r="J5766" t="str">
            <v>bueno</v>
          </cell>
          <cell r="K5766" t="str">
            <v>probsi</v>
          </cell>
        </row>
        <row r="5767">
          <cell r="B5767" t="b">
            <v>1</v>
          </cell>
          <cell r="E5767" t="str">
            <v>Bocachica</v>
          </cell>
          <cell r="H5767" t="str">
            <v>urgencia</v>
          </cell>
          <cell r="J5767" t="str">
            <v>bueno</v>
          </cell>
          <cell r="K5767" t="str">
            <v>probsi</v>
          </cell>
        </row>
        <row r="5768">
          <cell r="B5768" t="b">
            <v>1</v>
          </cell>
          <cell r="E5768" t="str">
            <v>Bocachica</v>
          </cell>
          <cell r="H5768" t="str">
            <v>urgencia</v>
          </cell>
          <cell r="J5768" t="str">
            <v>bueno</v>
          </cell>
          <cell r="K5768" t="str">
            <v>probsi</v>
          </cell>
        </row>
        <row r="5769">
          <cell r="B5769" t="b">
            <v>0</v>
          </cell>
          <cell r="E5769" t="str">
            <v>Bocachica</v>
          </cell>
          <cell r="H5769" t="str">
            <v>urgencia</v>
          </cell>
          <cell r="J5769" t="str">
            <v>regular</v>
          </cell>
          <cell r="K5769" t="str">
            <v>probsi</v>
          </cell>
        </row>
        <row r="5770">
          <cell r="B5770" t="b">
            <v>0</v>
          </cell>
          <cell r="E5770" t="str">
            <v>Bocachica</v>
          </cell>
          <cell r="H5770" t="str">
            <v>urgencia</v>
          </cell>
          <cell r="J5770" t="str">
            <v>regular</v>
          </cell>
          <cell r="K5770" t="str">
            <v>probsi</v>
          </cell>
        </row>
        <row r="5771">
          <cell r="B5771" t="b">
            <v>1</v>
          </cell>
          <cell r="E5771" t="str">
            <v>Bocachica</v>
          </cell>
          <cell r="H5771" t="str">
            <v>urgencia</v>
          </cell>
          <cell r="J5771" t="str">
            <v>bueno</v>
          </cell>
          <cell r="K5771" t="str">
            <v>probsi</v>
          </cell>
        </row>
        <row r="5772">
          <cell r="B5772" t="b">
            <v>1</v>
          </cell>
          <cell r="E5772" t="str">
            <v>Bocachica</v>
          </cell>
          <cell r="H5772" t="str">
            <v>urgencia</v>
          </cell>
          <cell r="J5772" t="str">
            <v>bueno</v>
          </cell>
          <cell r="K5772" t="str">
            <v>probsi</v>
          </cell>
        </row>
        <row r="5773">
          <cell r="B5773" t="b">
            <v>0</v>
          </cell>
          <cell r="E5773" t="str">
            <v>Bocachica</v>
          </cell>
          <cell r="H5773" t="str">
            <v>urgencia</v>
          </cell>
          <cell r="J5773" t="str">
            <v>regular</v>
          </cell>
          <cell r="K5773" t="str">
            <v>probsi</v>
          </cell>
        </row>
        <row r="5774">
          <cell r="B5774" t="b">
            <v>1</v>
          </cell>
          <cell r="E5774" t="str">
            <v>Bocachica</v>
          </cell>
          <cell r="H5774" t="str">
            <v>urgencia</v>
          </cell>
          <cell r="J5774" t="str">
            <v>bueno</v>
          </cell>
          <cell r="K5774" t="str">
            <v>probsi</v>
          </cell>
        </row>
        <row r="5775">
          <cell r="B5775" t="b">
            <v>1</v>
          </cell>
          <cell r="E5775" t="str">
            <v>Santa Ana</v>
          </cell>
          <cell r="H5775" t="str">
            <v>salud_oral</v>
          </cell>
          <cell r="J5775" t="str">
            <v>bueno</v>
          </cell>
          <cell r="K5775" t="str">
            <v>defsi</v>
          </cell>
        </row>
        <row r="5776">
          <cell r="B5776" t="b">
            <v>1</v>
          </cell>
          <cell r="E5776" t="str">
            <v>Santa Ana</v>
          </cell>
          <cell r="H5776" t="str">
            <v>salud_oral</v>
          </cell>
          <cell r="J5776" t="str">
            <v>bueno</v>
          </cell>
          <cell r="K5776" t="str">
            <v>defsi</v>
          </cell>
        </row>
        <row r="5777">
          <cell r="B5777" t="b">
            <v>1</v>
          </cell>
          <cell r="E5777" t="str">
            <v>Santa Ana</v>
          </cell>
          <cell r="H5777" t="str">
            <v>salud_oral</v>
          </cell>
          <cell r="J5777" t="str">
            <v>muybueno</v>
          </cell>
          <cell r="K5777" t="str">
            <v>defsi</v>
          </cell>
        </row>
        <row r="5778">
          <cell r="B5778" t="b">
            <v>1</v>
          </cell>
          <cell r="E5778" t="str">
            <v>Santa Ana</v>
          </cell>
          <cell r="H5778" t="str">
            <v>consulta_externa</v>
          </cell>
          <cell r="J5778" t="str">
            <v>bueno</v>
          </cell>
          <cell r="K5778" t="str">
            <v>defsi</v>
          </cell>
        </row>
        <row r="5779">
          <cell r="B5779" t="b">
            <v>1</v>
          </cell>
          <cell r="E5779" t="str">
            <v>Santa Ana</v>
          </cell>
          <cell r="H5779" t="str">
            <v>urgencia</v>
          </cell>
          <cell r="J5779" t="str">
            <v>bueno</v>
          </cell>
          <cell r="K5779" t="str">
            <v>defsi</v>
          </cell>
        </row>
        <row r="5780">
          <cell r="B5780" t="b">
            <v>0</v>
          </cell>
          <cell r="E5780" t="str">
            <v>Santa Ana</v>
          </cell>
          <cell r="H5780" t="str">
            <v>urgencia</v>
          </cell>
          <cell r="J5780" t="str">
            <v>regular</v>
          </cell>
          <cell r="K5780" t="str">
            <v>defsi</v>
          </cell>
        </row>
        <row r="5781">
          <cell r="B5781" t="b">
            <v>1</v>
          </cell>
          <cell r="E5781" t="str">
            <v>Santa Ana</v>
          </cell>
          <cell r="H5781" t="str">
            <v>urgencia</v>
          </cell>
          <cell r="J5781" t="str">
            <v>bueno</v>
          </cell>
          <cell r="K5781" t="str">
            <v>defsi</v>
          </cell>
        </row>
        <row r="5782">
          <cell r="B5782" t="b">
            <v>1</v>
          </cell>
          <cell r="E5782" t="str">
            <v>Santa Ana</v>
          </cell>
          <cell r="H5782" t="str">
            <v>urgencia</v>
          </cell>
          <cell r="J5782" t="str">
            <v>bueno</v>
          </cell>
          <cell r="K5782" t="str">
            <v>defsi</v>
          </cell>
        </row>
        <row r="5783">
          <cell r="B5783" t="b">
            <v>1</v>
          </cell>
          <cell r="E5783" t="str">
            <v>Santa Ana</v>
          </cell>
          <cell r="H5783" t="str">
            <v>urgencia</v>
          </cell>
          <cell r="J5783" t="str">
            <v>bueno</v>
          </cell>
          <cell r="K5783" t="str">
            <v>defsi</v>
          </cell>
        </row>
        <row r="5784">
          <cell r="B5784" t="b">
            <v>1</v>
          </cell>
          <cell r="E5784" t="str">
            <v>Santa Ana</v>
          </cell>
          <cell r="H5784" t="str">
            <v>salud_oral</v>
          </cell>
          <cell r="J5784" t="str">
            <v>bueno</v>
          </cell>
          <cell r="K5784" t="str">
            <v>defsi</v>
          </cell>
        </row>
        <row r="5785">
          <cell r="B5785" t="b">
            <v>1</v>
          </cell>
          <cell r="E5785" t="str">
            <v>Santa Ana</v>
          </cell>
          <cell r="H5785" t="str">
            <v>salud_oral</v>
          </cell>
          <cell r="J5785" t="str">
            <v>bueno</v>
          </cell>
          <cell r="K5785" t="str">
            <v>defsi</v>
          </cell>
        </row>
        <row r="5786">
          <cell r="B5786" t="b">
            <v>1</v>
          </cell>
          <cell r="E5786" t="str">
            <v>Santa Ana</v>
          </cell>
          <cell r="H5786" t="str">
            <v>consulta_externa</v>
          </cell>
          <cell r="J5786" t="str">
            <v>bueno</v>
          </cell>
          <cell r="K5786" t="str">
            <v>defsi</v>
          </cell>
        </row>
        <row r="5787">
          <cell r="B5787" t="b">
            <v>1</v>
          </cell>
          <cell r="E5787" t="str">
            <v>Santa Ana</v>
          </cell>
          <cell r="H5787" t="str">
            <v>consulta_externa</v>
          </cell>
          <cell r="J5787" t="str">
            <v>bueno</v>
          </cell>
          <cell r="K5787" t="str">
            <v>defsi</v>
          </cell>
        </row>
        <row r="5788">
          <cell r="B5788" t="b">
            <v>1</v>
          </cell>
          <cell r="E5788" t="str">
            <v>Santa Ana</v>
          </cell>
          <cell r="H5788" t="str">
            <v>salud_oral</v>
          </cell>
          <cell r="J5788" t="str">
            <v>bueno</v>
          </cell>
          <cell r="K5788" t="str">
            <v>defsi</v>
          </cell>
        </row>
        <row r="5789">
          <cell r="B5789" t="b">
            <v>1</v>
          </cell>
          <cell r="E5789" t="str">
            <v>Santa Ana</v>
          </cell>
          <cell r="H5789" t="str">
            <v>salud_oral</v>
          </cell>
          <cell r="J5789" t="str">
            <v>bueno</v>
          </cell>
          <cell r="K5789" t="str">
            <v>defsi</v>
          </cell>
        </row>
        <row r="5790">
          <cell r="B5790" t="b">
            <v>1</v>
          </cell>
          <cell r="E5790" t="str">
            <v>Santa Ana</v>
          </cell>
          <cell r="H5790" t="str">
            <v>salud_oral</v>
          </cell>
          <cell r="J5790" t="str">
            <v>bueno</v>
          </cell>
          <cell r="K5790" t="str">
            <v>defsi</v>
          </cell>
        </row>
        <row r="5791">
          <cell r="B5791" t="b">
            <v>1</v>
          </cell>
          <cell r="E5791" t="str">
            <v>Santa Ana</v>
          </cell>
          <cell r="H5791" t="str">
            <v>salud_oral</v>
          </cell>
          <cell r="J5791" t="str">
            <v>bueno</v>
          </cell>
          <cell r="K5791" t="str">
            <v>defsi</v>
          </cell>
        </row>
        <row r="5792">
          <cell r="B5792" t="b">
            <v>1</v>
          </cell>
          <cell r="E5792" t="str">
            <v>Santa Ana</v>
          </cell>
          <cell r="H5792" t="str">
            <v>salud_oral</v>
          </cell>
          <cell r="J5792" t="str">
            <v>bueno</v>
          </cell>
          <cell r="K5792" t="str">
            <v>defsi</v>
          </cell>
        </row>
        <row r="5793">
          <cell r="B5793" t="b">
            <v>1</v>
          </cell>
          <cell r="E5793" t="str">
            <v>Santa Ana</v>
          </cell>
          <cell r="H5793" t="str">
            <v>consulta_externa</v>
          </cell>
          <cell r="J5793" t="str">
            <v>bueno</v>
          </cell>
          <cell r="K5793" t="str">
            <v>defsi</v>
          </cell>
        </row>
        <row r="5794">
          <cell r="B5794" t="b">
            <v>1</v>
          </cell>
          <cell r="E5794" t="str">
            <v>Santa Ana</v>
          </cell>
          <cell r="H5794" t="str">
            <v>consulta_externa</v>
          </cell>
          <cell r="J5794" t="str">
            <v>bueno</v>
          </cell>
          <cell r="K5794" t="str">
            <v>defsi</v>
          </cell>
        </row>
        <row r="5795">
          <cell r="B5795" t="b">
            <v>1</v>
          </cell>
          <cell r="E5795" t="str">
            <v>Santa Ana</v>
          </cell>
          <cell r="H5795" t="str">
            <v>consulta_externa</v>
          </cell>
          <cell r="J5795" t="str">
            <v>bueno</v>
          </cell>
          <cell r="K5795" t="str">
            <v>defsi</v>
          </cell>
        </row>
        <row r="5796">
          <cell r="B5796" t="b">
            <v>1</v>
          </cell>
          <cell r="E5796" t="str">
            <v>Santa Ana</v>
          </cell>
          <cell r="H5796" t="str">
            <v>laboratorio</v>
          </cell>
          <cell r="J5796" t="str">
            <v>bueno</v>
          </cell>
          <cell r="K5796" t="str">
            <v>defsi</v>
          </cell>
        </row>
        <row r="5797">
          <cell r="B5797" t="b">
            <v>1</v>
          </cell>
          <cell r="E5797" t="str">
            <v>Santa Ana</v>
          </cell>
          <cell r="H5797" t="str">
            <v>laboratorio</v>
          </cell>
          <cell r="J5797" t="str">
            <v>bueno</v>
          </cell>
          <cell r="K5797" t="str">
            <v>defsi</v>
          </cell>
        </row>
        <row r="5798">
          <cell r="B5798" t="b">
            <v>1</v>
          </cell>
          <cell r="E5798" t="str">
            <v>Santa Ana</v>
          </cell>
          <cell r="H5798" t="str">
            <v>laboratorio</v>
          </cell>
          <cell r="J5798" t="str">
            <v>bueno</v>
          </cell>
          <cell r="K5798" t="str">
            <v>defsi</v>
          </cell>
        </row>
        <row r="5799">
          <cell r="B5799" t="b">
            <v>1</v>
          </cell>
          <cell r="E5799" t="str">
            <v>Santa Ana</v>
          </cell>
          <cell r="H5799" t="str">
            <v>salud_oral</v>
          </cell>
          <cell r="J5799" t="str">
            <v>bueno</v>
          </cell>
          <cell r="K5799" t="str">
            <v>defsi</v>
          </cell>
        </row>
        <row r="5800">
          <cell r="B5800" t="b">
            <v>1</v>
          </cell>
          <cell r="E5800" t="str">
            <v>Santa Ana</v>
          </cell>
          <cell r="H5800" t="str">
            <v>salud_oral</v>
          </cell>
          <cell r="J5800" t="str">
            <v>bueno</v>
          </cell>
          <cell r="K5800" t="str">
            <v>defsi</v>
          </cell>
        </row>
        <row r="5801">
          <cell r="B5801" t="b">
            <v>1</v>
          </cell>
          <cell r="E5801" t="str">
            <v>Santa Ana</v>
          </cell>
          <cell r="H5801" t="str">
            <v>consulta_externa</v>
          </cell>
          <cell r="J5801" t="str">
            <v>bueno</v>
          </cell>
          <cell r="K5801" t="str">
            <v>defsi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atisfaccionServicio"/>
      <sheetName val="SatisfaccionEPS"/>
      <sheetName val="N. GLOBAL"/>
      <sheetName val="RECOMENDARIA IPS"/>
      <sheetName val="INF DEBERES Y D"/>
      <sheetName val="DEBERES Y DERECHOS"/>
      <sheetName val="InfCualitativ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J1" t="str">
            <v>COMO CALIFICARIA SU SATISFACCION CON RESPECTO A LOS SERVICIOS RECIBIDOS DE LA INSTITUCIÓN</v>
          </cell>
          <cell r="K1" t="str">
            <v>RECOMENDARIA A SUS FAMILIARES Y AMIGOS LA ESE HLCI</v>
          </cell>
        </row>
        <row r="3">
          <cell r="B3" t="str">
            <v>puntaje</v>
          </cell>
          <cell r="E3" t="str">
            <v>centrosalud</v>
          </cell>
          <cell r="H3" t="str">
            <v xml:space="preserve"> </v>
          </cell>
          <cell r="J3" t="str">
            <v>pregunta1</v>
          </cell>
          <cell r="K3" t="str">
            <v>pregunta2</v>
          </cell>
        </row>
        <row r="4">
          <cell r="B4" t="b">
            <v>1</v>
          </cell>
          <cell r="E4" t="str">
            <v>Nuevo Porvenir</v>
          </cell>
          <cell r="H4" t="str">
            <v>consulta_externa</v>
          </cell>
          <cell r="J4" t="str">
            <v>bueno</v>
          </cell>
          <cell r="K4" t="str">
            <v>probsi</v>
          </cell>
        </row>
        <row r="5">
          <cell r="B5" t="b">
            <v>1</v>
          </cell>
          <cell r="E5" t="str">
            <v>Nuevo Porvenir</v>
          </cell>
          <cell r="H5" t="str">
            <v>salud_oral</v>
          </cell>
          <cell r="J5" t="str">
            <v>bueno</v>
          </cell>
          <cell r="K5" t="str">
            <v>probsi</v>
          </cell>
        </row>
        <row r="6">
          <cell r="B6" t="b">
            <v>1</v>
          </cell>
          <cell r="E6" t="str">
            <v>Nuevo Porvenir</v>
          </cell>
          <cell r="H6" t="str">
            <v>laboratorio</v>
          </cell>
          <cell r="J6" t="str">
            <v>bueno</v>
          </cell>
          <cell r="K6" t="str">
            <v>probsi</v>
          </cell>
        </row>
        <row r="7">
          <cell r="B7" t="b">
            <v>1</v>
          </cell>
          <cell r="E7" t="str">
            <v>Nuevo Porvenir</v>
          </cell>
          <cell r="H7" t="str">
            <v>laboratorio</v>
          </cell>
          <cell r="J7" t="str">
            <v>bueno</v>
          </cell>
          <cell r="K7" t="str">
            <v>probsi</v>
          </cell>
        </row>
        <row r="8">
          <cell r="B8" t="b">
            <v>1</v>
          </cell>
          <cell r="E8" t="str">
            <v>Nuevo Porvenir</v>
          </cell>
          <cell r="H8" t="str">
            <v>consulta_externa</v>
          </cell>
          <cell r="J8" t="str">
            <v>bueno</v>
          </cell>
          <cell r="K8" t="str">
            <v>probsi</v>
          </cell>
        </row>
        <row r="9">
          <cell r="B9" t="b">
            <v>1</v>
          </cell>
          <cell r="E9" t="str">
            <v>Nuevo Porvenir</v>
          </cell>
          <cell r="H9" t="str">
            <v>salud_oral</v>
          </cell>
          <cell r="J9" t="str">
            <v>bueno</v>
          </cell>
          <cell r="K9" t="str">
            <v>probsi</v>
          </cell>
        </row>
        <row r="10">
          <cell r="B10" t="b">
            <v>1</v>
          </cell>
          <cell r="E10" t="str">
            <v>Nuevo Porvenir</v>
          </cell>
          <cell r="H10" t="str">
            <v>salud_oral</v>
          </cell>
          <cell r="J10" t="str">
            <v>bueno</v>
          </cell>
          <cell r="K10" t="str">
            <v>probsi</v>
          </cell>
        </row>
        <row r="11">
          <cell r="B11" t="b">
            <v>1</v>
          </cell>
          <cell r="E11" t="str">
            <v>Nuevo Porvenir</v>
          </cell>
          <cell r="H11" t="str">
            <v>consulta_externa</v>
          </cell>
          <cell r="J11" t="str">
            <v>bueno</v>
          </cell>
          <cell r="K11" t="str">
            <v>probsi</v>
          </cell>
        </row>
        <row r="12">
          <cell r="B12" t="b">
            <v>1</v>
          </cell>
          <cell r="E12" t="str">
            <v>Nuevo Porvenir</v>
          </cell>
          <cell r="H12" t="str">
            <v>consulta_externa</v>
          </cell>
          <cell r="J12" t="str">
            <v>bueno</v>
          </cell>
          <cell r="K12" t="str">
            <v>probsi</v>
          </cell>
        </row>
        <row r="13">
          <cell r="B13" t="b">
            <v>1</v>
          </cell>
          <cell r="E13" t="str">
            <v>Nuevo Porvenir</v>
          </cell>
          <cell r="H13" t="str">
            <v>laboratorio</v>
          </cell>
          <cell r="J13" t="str">
            <v>bueno</v>
          </cell>
          <cell r="K13" t="str">
            <v>probsi</v>
          </cell>
        </row>
        <row r="14">
          <cell r="B14" t="b">
            <v>1</v>
          </cell>
          <cell r="E14" t="str">
            <v>Nuevo Porvenir</v>
          </cell>
          <cell r="H14" t="str">
            <v>laboratorio</v>
          </cell>
          <cell r="J14" t="str">
            <v>bueno</v>
          </cell>
          <cell r="K14" t="str">
            <v>probsi</v>
          </cell>
        </row>
        <row r="15">
          <cell r="B15" t="b">
            <v>1</v>
          </cell>
          <cell r="E15" t="str">
            <v>Nuevo Porvenir</v>
          </cell>
          <cell r="H15" t="str">
            <v>laboratorio</v>
          </cell>
          <cell r="J15" t="str">
            <v>bueno</v>
          </cell>
          <cell r="K15" t="str">
            <v>probsi</v>
          </cell>
        </row>
        <row r="16">
          <cell r="B16" t="b">
            <v>0</v>
          </cell>
          <cell r="E16" t="str">
            <v>Nuevo Porvenir</v>
          </cell>
          <cell r="H16" t="str">
            <v>consulta_externa</v>
          </cell>
          <cell r="J16" t="str">
            <v>regular</v>
          </cell>
          <cell r="K16" t="str">
            <v>probsi</v>
          </cell>
        </row>
        <row r="17">
          <cell r="B17" t="b">
            <v>1</v>
          </cell>
          <cell r="E17" t="str">
            <v>Nuevo Porvenir</v>
          </cell>
          <cell r="H17" t="str">
            <v>consulta_externa</v>
          </cell>
          <cell r="J17" t="str">
            <v>bueno</v>
          </cell>
          <cell r="K17" t="str">
            <v>probsi</v>
          </cell>
        </row>
        <row r="18">
          <cell r="B18" t="b">
            <v>1</v>
          </cell>
          <cell r="E18" t="str">
            <v>Nuevo Porvenir</v>
          </cell>
          <cell r="H18" t="str">
            <v>salud_oral</v>
          </cell>
          <cell r="J18" t="str">
            <v>bueno</v>
          </cell>
          <cell r="K18" t="str">
            <v>probsi</v>
          </cell>
        </row>
        <row r="19">
          <cell r="B19" t="b">
            <v>1</v>
          </cell>
          <cell r="E19" t="str">
            <v>Nuevo Porvenir</v>
          </cell>
          <cell r="H19" t="str">
            <v>laboratorio</v>
          </cell>
          <cell r="J19" t="str">
            <v>bueno</v>
          </cell>
          <cell r="K19" t="str">
            <v>probsi</v>
          </cell>
        </row>
        <row r="20">
          <cell r="B20" t="b">
            <v>1</v>
          </cell>
          <cell r="E20" t="str">
            <v>Nuevo Porvenir</v>
          </cell>
          <cell r="H20" t="str">
            <v>consulta_externa</v>
          </cell>
          <cell r="J20" t="str">
            <v>bueno</v>
          </cell>
          <cell r="K20" t="str">
            <v>probsi</v>
          </cell>
        </row>
        <row r="21">
          <cell r="B21" t="b">
            <v>1</v>
          </cell>
          <cell r="E21" t="str">
            <v>Nuevo Porvenir</v>
          </cell>
          <cell r="H21" t="str">
            <v>salud_oral</v>
          </cell>
          <cell r="J21" t="str">
            <v>bueno</v>
          </cell>
          <cell r="K21" t="str">
            <v>probsi</v>
          </cell>
        </row>
        <row r="22">
          <cell r="B22" t="b">
            <v>1</v>
          </cell>
          <cell r="E22" t="str">
            <v>Nuevo Porvenir</v>
          </cell>
          <cell r="H22" t="str">
            <v>consulta_externa</v>
          </cell>
          <cell r="J22" t="str">
            <v>bueno</v>
          </cell>
          <cell r="K22" t="str">
            <v>probsi</v>
          </cell>
        </row>
        <row r="23">
          <cell r="B23" t="b">
            <v>1</v>
          </cell>
          <cell r="E23" t="str">
            <v>Nuevo Porvenir</v>
          </cell>
          <cell r="H23" t="str">
            <v>salud_oral</v>
          </cell>
          <cell r="J23" t="str">
            <v>bueno</v>
          </cell>
          <cell r="K23" t="str">
            <v>probsi</v>
          </cell>
        </row>
        <row r="24">
          <cell r="B24" t="b">
            <v>1</v>
          </cell>
          <cell r="E24" t="str">
            <v>Nuevo Porvenir</v>
          </cell>
          <cell r="H24" t="str">
            <v>laboratorio</v>
          </cell>
          <cell r="J24" t="str">
            <v>bueno</v>
          </cell>
          <cell r="K24" t="str">
            <v>probsi</v>
          </cell>
        </row>
        <row r="25">
          <cell r="B25" t="b">
            <v>1</v>
          </cell>
          <cell r="E25" t="str">
            <v>Nuevo Porvenir</v>
          </cell>
          <cell r="H25" t="str">
            <v>consulta_externa</v>
          </cell>
          <cell r="J25" t="str">
            <v>bueno</v>
          </cell>
          <cell r="K25" t="str">
            <v>probsi</v>
          </cell>
        </row>
        <row r="26">
          <cell r="B26" t="b">
            <v>1</v>
          </cell>
          <cell r="E26" t="str">
            <v>Nuevo Porvenir</v>
          </cell>
          <cell r="H26" t="str">
            <v>laboratorio</v>
          </cell>
          <cell r="J26" t="str">
            <v>bueno</v>
          </cell>
          <cell r="K26" t="str">
            <v>probsi</v>
          </cell>
        </row>
        <row r="27">
          <cell r="B27" t="b">
            <v>1</v>
          </cell>
          <cell r="E27" t="str">
            <v>Canapote</v>
          </cell>
          <cell r="H27" t="str">
            <v>consulta_externa</v>
          </cell>
          <cell r="J27" t="str">
            <v>bueno</v>
          </cell>
          <cell r="K27" t="str">
            <v>defsi</v>
          </cell>
        </row>
        <row r="28">
          <cell r="B28" t="b">
            <v>1</v>
          </cell>
          <cell r="E28" t="str">
            <v>Canapote</v>
          </cell>
          <cell r="H28" t="str">
            <v>salud_oral</v>
          </cell>
          <cell r="J28" t="str">
            <v>bueno</v>
          </cell>
          <cell r="K28" t="str">
            <v>defsi</v>
          </cell>
        </row>
        <row r="29">
          <cell r="B29" t="b">
            <v>1</v>
          </cell>
          <cell r="E29" t="str">
            <v>Canapote</v>
          </cell>
          <cell r="H29" t="str">
            <v>laboratorio</v>
          </cell>
          <cell r="J29" t="str">
            <v>bueno</v>
          </cell>
          <cell r="K29" t="str">
            <v>defsi</v>
          </cell>
        </row>
        <row r="30">
          <cell r="B30" t="b">
            <v>1</v>
          </cell>
          <cell r="E30" t="str">
            <v>Canapote</v>
          </cell>
          <cell r="H30" t="str">
            <v>consulta_externa</v>
          </cell>
          <cell r="J30" t="str">
            <v>bueno</v>
          </cell>
          <cell r="K30" t="str">
            <v>defsi</v>
          </cell>
        </row>
        <row r="31">
          <cell r="B31" t="b">
            <v>1</v>
          </cell>
          <cell r="E31" t="str">
            <v>Canapote</v>
          </cell>
          <cell r="H31" t="str">
            <v>salud_oral</v>
          </cell>
          <cell r="J31" t="str">
            <v>bueno</v>
          </cell>
          <cell r="K31" t="str">
            <v>defsi</v>
          </cell>
        </row>
        <row r="32">
          <cell r="B32" t="b">
            <v>1</v>
          </cell>
          <cell r="E32" t="str">
            <v>Canapote</v>
          </cell>
          <cell r="H32" t="str">
            <v>laboratorio</v>
          </cell>
          <cell r="J32" t="str">
            <v>bueno</v>
          </cell>
          <cell r="K32" t="str">
            <v>defsi</v>
          </cell>
        </row>
        <row r="33">
          <cell r="B33" t="b">
            <v>1</v>
          </cell>
          <cell r="E33" t="str">
            <v>Canapote</v>
          </cell>
          <cell r="H33" t="str">
            <v>consulta_externa</v>
          </cell>
          <cell r="J33" t="str">
            <v>bueno</v>
          </cell>
          <cell r="K33" t="str">
            <v>defsi</v>
          </cell>
        </row>
        <row r="34">
          <cell r="B34" t="b">
            <v>1</v>
          </cell>
          <cell r="E34" t="str">
            <v>Canapote</v>
          </cell>
          <cell r="H34" t="str">
            <v>salud_oral</v>
          </cell>
          <cell r="J34" t="str">
            <v>bueno</v>
          </cell>
          <cell r="K34" t="str">
            <v>defsi</v>
          </cell>
        </row>
        <row r="35">
          <cell r="B35" t="b">
            <v>1</v>
          </cell>
          <cell r="E35" t="str">
            <v>Canapote</v>
          </cell>
          <cell r="H35" t="str">
            <v>laboratorio</v>
          </cell>
          <cell r="J35" t="str">
            <v>bueno</v>
          </cell>
          <cell r="K35" t="str">
            <v>defsi</v>
          </cell>
        </row>
        <row r="36">
          <cell r="B36" t="b">
            <v>1</v>
          </cell>
          <cell r="E36" t="str">
            <v>Canapote</v>
          </cell>
          <cell r="H36" t="str">
            <v>consulta_externa</v>
          </cell>
          <cell r="J36" t="str">
            <v>bueno</v>
          </cell>
          <cell r="K36" t="str">
            <v>defsi</v>
          </cell>
        </row>
        <row r="37">
          <cell r="B37" t="b">
            <v>1</v>
          </cell>
          <cell r="E37" t="str">
            <v>Canapote</v>
          </cell>
          <cell r="H37" t="str">
            <v>salud_oral</v>
          </cell>
          <cell r="J37" t="str">
            <v>bueno</v>
          </cell>
          <cell r="K37" t="str">
            <v>defsi</v>
          </cell>
        </row>
        <row r="38">
          <cell r="B38" t="b">
            <v>1</v>
          </cell>
          <cell r="E38" t="str">
            <v>Canapote</v>
          </cell>
          <cell r="H38" t="str">
            <v>laboratorio</v>
          </cell>
          <cell r="J38" t="str">
            <v>bueno</v>
          </cell>
          <cell r="K38" t="str">
            <v>defsi</v>
          </cell>
        </row>
        <row r="39">
          <cell r="B39" t="b">
            <v>1</v>
          </cell>
          <cell r="E39" t="str">
            <v>Canapote</v>
          </cell>
          <cell r="H39" t="str">
            <v>consulta_externa</v>
          </cell>
          <cell r="J39" t="str">
            <v>bueno</v>
          </cell>
          <cell r="K39" t="str">
            <v>defsi</v>
          </cell>
        </row>
        <row r="40">
          <cell r="B40" t="b">
            <v>1</v>
          </cell>
          <cell r="E40" t="str">
            <v>Canapote</v>
          </cell>
          <cell r="H40" t="str">
            <v>salud_oral</v>
          </cell>
          <cell r="J40" t="str">
            <v>bueno</v>
          </cell>
          <cell r="K40" t="str">
            <v>defsi</v>
          </cell>
        </row>
        <row r="41">
          <cell r="B41" t="b">
            <v>1</v>
          </cell>
          <cell r="E41" t="str">
            <v>Nuevo Porvenir</v>
          </cell>
          <cell r="H41" t="str">
            <v>consulta_externa</v>
          </cell>
          <cell r="J41" t="str">
            <v>bueno</v>
          </cell>
          <cell r="K41" t="str">
            <v>probsi</v>
          </cell>
        </row>
        <row r="42">
          <cell r="B42" t="b">
            <v>1</v>
          </cell>
          <cell r="E42" t="str">
            <v>Nuevo Porvenir</v>
          </cell>
          <cell r="H42" t="str">
            <v>consulta_externa</v>
          </cell>
          <cell r="J42" t="str">
            <v>bueno</v>
          </cell>
          <cell r="K42" t="str">
            <v>probsi</v>
          </cell>
        </row>
        <row r="43">
          <cell r="B43" t="b">
            <v>1</v>
          </cell>
          <cell r="E43" t="str">
            <v>Nuevo Porvenir</v>
          </cell>
          <cell r="H43" t="str">
            <v>consulta_externa</v>
          </cell>
          <cell r="J43" t="str">
            <v>bueno</v>
          </cell>
          <cell r="K43" t="str">
            <v>probsi</v>
          </cell>
        </row>
        <row r="44">
          <cell r="B44" t="b">
            <v>1</v>
          </cell>
          <cell r="E44" t="str">
            <v>Canapote</v>
          </cell>
          <cell r="H44" t="str">
            <v>laboratorio</v>
          </cell>
          <cell r="J44" t="str">
            <v>bueno</v>
          </cell>
          <cell r="K44" t="str">
            <v>defsi</v>
          </cell>
        </row>
        <row r="45">
          <cell r="B45" t="b">
            <v>1</v>
          </cell>
          <cell r="E45" t="str">
            <v>Nuevo Porvenir</v>
          </cell>
          <cell r="H45" t="str">
            <v>consulta_externa</v>
          </cell>
          <cell r="J45" t="str">
            <v>bueno</v>
          </cell>
          <cell r="K45" t="str">
            <v>probsi</v>
          </cell>
        </row>
        <row r="46">
          <cell r="B46" t="b">
            <v>1</v>
          </cell>
          <cell r="E46" t="str">
            <v>Canapote</v>
          </cell>
          <cell r="H46" t="str">
            <v>consulta_externa</v>
          </cell>
          <cell r="J46" t="str">
            <v>bueno</v>
          </cell>
          <cell r="K46" t="str">
            <v>defsi</v>
          </cell>
        </row>
        <row r="47">
          <cell r="B47" t="b">
            <v>1</v>
          </cell>
          <cell r="E47" t="str">
            <v>Canapote</v>
          </cell>
          <cell r="H47" t="str">
            <v>salud_oral</v>
          </cell>
          <cell r="J47" t="str">
            <v>bueno</v>
          </cell>
          <cell r="K47" t="str">
            <v>defsi</v>
          </cell>
        </row>
        <row r="48">
          <cell r="B48" t="b">
            <v>1</v>
          </cell>
          <cell r="E48" t="str">
            <v>Canapote</v>
          </cell>
          <cell r="H48" t="str">
            <v>laboratorio</v>
          </cell>
          <cell r="J48" t="str">
            <v>bueno</v>
          </cell>
          <cell r="K48" t="str">
            <v>defsi</v>
          </cell>
        </row>
        <row r="49">
          <cell r="B49" t="b">
            <v>1</v>
          </cell>
          <cell r="E49" t="str">
            <v>Los Cerros</v>
          </cell>
          <cell r="H49" t="str">
            <v>pediatria</v>
          </cell>
          <cell r="J49" t="str">
            <v>bueno</v>
          </cell>
          <cell r="K49" t="str">
            <v>probsi</v>
          </cell>
        </row>
        <row r="50">
          <cell r="B50" t="b">
            <v>1</v>
          </cell>
          <cell r="E50" t="str">
            <v>Los Cerros</v>
          </cell>
          <cell r="H50" t="str">
            <v>pediatria</v>
          </cell>
          <cell r="J50" t="str">
            <v>bueno</v>
          </cell>
          <cell r="K50" t="str">
            <v>probsi</v>
          </cell>
        </row>
        <row r="51">
          <cell r="B51" t="b">
            <v>1</v>
          </cell>
          <cell r="E51" t="str">
            <v>Los Cerros</v>
          </cell>
          <cell r="H51" t="str">
            <v>pediatria</v>
          </cell>
          <cell r="J51" t="str">
            <v>bueno</v>
          </cell>
          <cell r="K51" t="str">
            <v>probsi</v>
          </cell>
        </row>
        <row r="52">
          <cell r="B52" t="b">
            <v>1</v>
          </cell>
          <cell r="E52" t="str">
            <v>Canapote</v>
          </cell>
          <cell r="H52" t="str">
            <v>consulta_externa</v>
          </cell>
          <cell r="J52" t="str">
            <v>bueno</v>
          </cell>
          <cell r="K52" t="str">
            <v>defsi</v>
          </cell>
        </row>
        <row r="53">
          <cell r="B53" t="b">
            <v>1</v>
          </cell>
          <cell r="E53" t="str">
            <v>Canapote</v>
          </cell>
          <cell r="H53" t="str">
            <v>salud_oral</v>
          </cell>
          <cell r="J53" t="str">
            <v>bueno</v>
          </cell>
          <cell r="K53" t="str">
            <v>defsi</v>
          </cell>
        </row>
        <row r="54">
          <cell r="B54" t="b">
            <v>1</v>
          </cell>
          <cell r="E54" t="str">
            <v>Canapote</v>
          </cell>
          <cell r="H54" t="str">
            <v>laboratorio</v>
          </cell>
          <cell r="J54" t="str">
            <v>bueno</v>
          </cell>
          <cell r="K54" t="str">
            <v>defsi</v>
          </cell>
        </row>
        <row r="55">
          <cell r="B55" t="b">
            <v>1</v>
          </cell>
          <cell r="E55" t="str">
            <v>Los Cerros</v>
          </cell>
          <cell r="H55" t="str">
            <v>pediatria</v>
          </cell>
          <cell r="J55" t="str">
            <v>bueno</v>
          </cell>
          <cell r="K55" t="str">
            <v>probsi</v>
          </cell>
        </row>
        <row r="56">
          <cell r="B56" t="b">
            <v>1</v>
          </cell>
          <cell r="E56" t="str">
            <v>Los Cerros</v>
          </cell>
          <cell r="H56" t="str">
            <v>pediatria</v>
          </cell>
          <cell r="J56" t="str">
            <v>bueno</v>
          </cell>
          <cell r="K56" t="str">
            <v>probsi</v>
          </cell>
        </row>
        <row r="57">
          <cell r="B57" t="b">
            <v>1</v>
          </cell>
          <cell r="E57" t="str">
            <v>Los Cerros</v>
          </cell>
          <cell r="H57" t="str">
            <v>pediatria</v>
          </cell>
          <cell r="J57" t="str">
            <v>bueno</v>
          </cell>
          <cell r="K57" t="str">
            <v>probsi</v>
          </cell>
        </row>
        <row r="58">
          <cell r="B58" t="b">
            <v>0</v>
          </cell>
          <cell r="E58" t="str">
            <v>Bayunca</v>
          </cell>
          <cell r="H58" t="str">
            <v>urgencia</v>
          </cell>
          <cell r="J58" t="str">
            <v>regular</v>
          </cell>
          <cell r="K58" t="str">
            <v>probsi</v>
          </cell>
        </row>
        <row r="59">
          <cell r="B59" t="b">
            <v>0</v>
          </cell>
          <cell r="E59" t="str">
            <v>Bayunca</v>
          </cell>
          <cell r="H59" t="str">
            <v>urgencia</v>
          </cell>
          <cell r="J59" t="str">
            <v>regular</v>
          </cell>
          <cell r="K59" t="str">
            <v>probsi</v>
          </cell>
        </row>
        <row r="60">
          <cell r="B60" t="b">
            <v>0</v>
          </cell>
          <cell r="E60" t="str">
            <v>Bayunca</v>
          </cell>
          <cell r="H60" t="str">
            <v>urgencia</v>
          </cell>
          <cell r="J60" t="str">
            <v>regular</v>
          </cell>
          <cell r="K60" t="str">
            <v>probsi</v>
          </cell>
        </row>
        <row r="61">
          <cell r="B61" t="b">
            <v>1</v>
          </cell>
          <cell r="E61" t="str">
            <v>Fredonia</v>
          </cell>
          <cell r="H61" t="str">
            <v>consulta_externa</v>
          </cell>
          <cell r="J61" t="str">
            <v>bueno</v>
          </cell>
          <cell r="K61" t="str">
            <v>probsi</v>
          </cell>
        </row>
        <row r="62">
          <cell r="B62" t="b">
            <v>0</v>
          </cell>
          <cell r="E62" t="str">
            <v>Bayunca</v>
          </cell>
          <cell r="H62" t="str">
            <v>urgencia</v>
          </cell>
          <cell r="J62" t="str">
            <v>regular</v>
          </cell>
          <cell r="K62" t="str">
            <v>probno</v>
          </cell>
        </row>
        <row r="63">
          <cell r="B63" t="b">
            <v>0</v>
          </cell>
          <cell r="E63" t="str">
            <v>Bayunca</v>
          </cell>
          <cell r="H63" t="str">
            <v>urgencia</v>
          </cell>
          <cell r="J63" t="str">
            <v>regular</v>
          </cell>
          <cell r="K63" t="str">
            <v>probno</v>
          </cell>
        </row>
        <row r="64">
          <cell r="B64" t="b">
            <v>0</v>
          </cell>
          <cell r="E64" t="str">
            <v>Fredonia</v>
          </cell>
          <cell r="H64" t="str">
            <v>consulta_externa</v>
          </cell>
          <cell r="J64" t="str">
            <v>regular</v>
          </cell>
          <cell r="K64" t="str">
            <v>probsi</v>
          </cell>
        </row>
        <row r="65">
          <cell r="B65" t="b">
            <v>0</v>
          </cell>
          <cell r="E65" t="str">
            <v>Bayunca</v>
          </cell>
          <cell r="H65" t="str">
            <v>urgencia</v>
          </cell>
          <cell r="J65" t="str">
            <v>regular</v>
          </cell>
          <cell r="K65" t="str">
            <v>probsi</v>
          </cell>
        </row>
        <row r="66">
          <cell r="B66" t="b">
            <v>0</v>
          </cell>
          <cell r="E66" t="str">
            <v>Bayunca</v>
          </cell>
          <cell r="H66" t="str">
            <v>urgencia</v>
          </cell>
          <cell r="J66" t="str">
            <v>regular</v>
          </cell>
          <cell r="K66" t="str">
            <v>defsi</v>
          </cell>
        </row>
        <row r="67">
          <cell r="B67" t="b">
            <v>0</v>
          </cell>
          <cell r="E67" t="str">
            <v>Bayunca</v>
          </cell>
          <cell r="H67" t="str">
            <v>urgencia</v>
          </cell>
          <cell r="J67" t="str">
            <v>regular</v>
          </cell>
          <cell r="K67" t="str">
            <v>probsi</v>
          </cell>
        </row>
        <row r="68">
          <cell r="B68" t="b">
            <v>0</v>
          </cell>
          <cell r="E68" t="str">
            <v>Bayunca</v>
          </cell>
          <cell r="H68" t="str">
            <v>urgencia</v>
          </cell>
          <cell r="J68" t="str">
            <v>regular</v>
          </cell>
          <cell r="K68" t="str">
            <v>probno</v>
          </cell>
        </row>
        <row r="69">
          <cell r="B69" t="b">
            <v>1</v>
          </cell>
          <cell r="E69" t="str">
            <v>Bayunca</v>
          </cell>
          <cell r="H69" t="str">
            <v>urgencia</v>
          </cell>
          <cell r="J69" t="str">
            <v>bueno</v>
          </cell>
          <cell r="K69" t="str">
            <v>defsi</v>
          </cell>
        </row>
        <row r="70">
          <cell r="B70" t="b">
            <v>1</v>
          </cell>
          <cell r="E70" t="str">
            <v>Fredonia</v>
          </cell>
          <cell r="H70" t="str">
            <v>consulta_externa</v>
          </cell>
          <cell r="J70" t="str">
            <v>bueno</v>
          </cell>
          <cell r="K70" t="str">
            <v>probsi</v>
          </cell>
        </row>
        <row r="71">
          <cell r="B71" t="b">
            <v>1</v>
          </cell>
          <cell r="E71" t="str">
            <v>Fredonia</v>
          </cell>
          <cell r="H71" t="str">
            <v>consulta_externa</v>
          </cell>
          <cell r="J71" t="str">
            <v>bueno</v>
          </cell>
          <cell r="K71" t="str">
            <v>probsi</v>
          </cell>
        </row>
        <row r="72">
          <cell r="B72" t="b">
            <v>1</v>
          </cell>
          <cell r="E72" t="str">
            <v>Fredonia</v>
          </cell>
          <cell r="H72" t="str">
            <v>salud_oral</v>
          </cell>
          <cell r="J72" t="str">
            <v>bueno</v>
          </cell>
          <cell r="K72" t="str">
            <v>probsi</v>
          </cell>
        </row>
        <row r="73">
          <cell r="B73" t="b">
            <v>1</v>
          </cell>
          <cell r="E73" t="str">
            <v>Fredonia</v>
          </cell>
          <cell r="H73" t="str">
            <v>consulta_externa</v>
          </cell>
          <cell r="J73" t="str">
            <v>bueno</v>
          </cell>
          <cell r="K73" t="str">
            <v>probsi</v>
          </cell>
        </row>
        <row r="74">
          <cell r="B74" t="b">
            <v>1</v>
          </cell>
          <cell r="E74" t="str">
            <v>Bayunca</v>
          </cell>
          <cell r="H74" t="str">
            <v>urgencia</v>
          </cell>
          <cell r="J74" t="str">
            <v>bueno</v>
          </cell>
          <cell r="K74" t="str">
            <v>defsi</v>
          </cell>
        </row>
        <row r="75">
          <cell r="B75" t="b">
            <v>0</v>
          </cell>
          <cell r="E75" t="str">
            <v>Fredonia</v>
          </cell>
          <cell r="H75" t="str">
            <v>consulta_externa</v>
          </cell>
          <cell r="J75" t="str">
            <v>regular</v>
          </cell>
          <cell r="K75" t="str">
            <v>probsi</v>
          </cell>
        </row>
        <row r="76">
          <cell r="B76" t="b">
            <v>1</v>
          </cell>
          <cell r="E76" t="str">
            <v>Bayunca</v>
          </cell>
          <cell r="H76" t="str">
            <v>laboratorio</v>
          </cell>
          <cell r="J76" t="str">
            <v>bueno</v>
          </cell>
          <cell r="K76" t="str">
            <v>defsi</v>
          </cell>
        </row>
        <row r="77">
          <cell r="B77" t="b">
            <v>0</v>
          </cell>
          <cell r="E77" t="str">
            <v>Fredonia</v>
          </cell>
          <cell r="H77" t="str">
            <v>salud_oral</v>
          </cell>
          <cell r="J77" t="str">
            <v>regular</v>
          </cell>
          <cell r="K77" t="str">
            <v>probsi</v>
          </cell>
        </row>
        <row r="78">
          <cell r="B78" t="b">
            <v>0</v>
          </cell>
          <cell r="E78" t="str">
            <v>Fredonia</v>
          </cell>
          <cell r="H78" t="str">
            <v>laboratorio</v>
          </cell>
          <cell r="J78" t="str">
            <v>regular</v>
          </cell>
          <cell r="K78" t="str">
            <v>probsi</v>
          </cell>
        </row>
        <row r="79">
          <cell r="B79" t="b">
            <v>1</v>
          </cell>
          <cell r="E79" t="str">
            <v>Bayunca</v>
          </cell>
          <cell r="H79" t="str">
            <v>urgencia</v>
          </cell>
          <cell r="J79" t="str">
            <v>bueno</v>
          </cell>
          <cell r="K79" t="str">
            <v>defsi</v>
          </cell>
        </row>
        <row r="80">
          <cell r="B80" t="b">
            <v>1</v>
          </cell>
          <cell r="E80" t="str">
            <v>Canapote</v>
          </cell>
          <cell r="H80" t="str">
            <v>consulta_externa</v>
          </cell>
          <cell r="J80" t="str">
            <v>bueno</v>
          </cell>
          <cell r="K80" t="str">
            <v>defsi</v>
          </cell>
        </row>
        <row r="81">
          <cell r="B81" t="b">
            <v>1</v>
          </cell>
          <cell r="E81" t="str">
            <v>Bayunca</v>
          </cell>
          <cell r="H81" t="str">
            <v>laboratorio</v>
          </cell>
          <cell r="J81" t="str">
            <v>bueno</v>
          </cell>
          <cell r="K81" t="str">
            <v>defsi</v>
          </cell>
        </row>
        <row r="82">
          <cell r="B82" t="b">
            <v>1</v>
          </cell>
          <cell r="E82" t="str">
            <v>Bayunca</v>
          </cell>
          <cell r="H82" t="str">
            <v>laboratorio</v>
          </cell>
          <cell r="J82" t="str">
            <v>bueno</v>
          </cell>
          <cell r="K82" t="str">
            <v>defsi</v>
          </cell>
        </row>
        <row r="83">
          <cell r="B83" t="b">
            <v>1</v>
          </cell>
          <cell r="E83" t="str">
            <v>Canapote</v>
          </cell>
          <cell r="H83" t="str">
            <v>salud_oral</v>
          </cell>
          <cell r="J83" t="str">
            <v>bueno</v>
          </cell>
          <cell r="K83" t="str">
            <v>defsi</v>
          </cell>
        </row>
        <row r="84">
          <cell r="B84" t="b">
            <v>1</v>
          </cell>
          <cell r="E84" t="str">
            <v>Canapote</v>
          </cell>
          <cell r="H84" t="str">
            <v>laboratorio</v>
          </cell>
          <cell r="J84" t="str">
            <v>bueno</v>
          </cell>
          <cell r="K84" t="str">
            <v>defsi</v>
          </cell>
        </row>
        <row r="85">
          <cell r="B85" t="b">
            <v>1</v>
          </cell>
          <cell r="E85" t="str">
            <v>Los Cerros</v>
          </cell>
          <cell r="H85" t="str">
            <v>consulta_externa</v>
          </cell>
          <cell r="J85" t="str">
            <v>bueno</v>
          </cell>
          <cell r="K85" t="str">
            <v>probsi</v>
          </cell>
        </row>
        <row r="86">
          <cell r="B86" t="b">
            <v>1</v>
          </cell>
          <cell r="E86" t="str">
            <v>Los Cerros</v>
          </cell>
          <cell r="H86" t="str">
            <v>consulta_externa</v>
          </cell>
          <cell r="J86" t="str">
            <v>bueno</v>
          </cell>
          <cell r="K86" t="str">
            <v>probsi</v>
          </cell>
        </row>
        <row r="87">
          <cell r="B87" t="b">
            <v>1</v>
          </cell>
          <cell r="E87" t="str">
            <v>Los Cerros</v>
          </cell>
          <cell r="H87" t="str">
            <v>consulta_externa</v>
          </cell>
          <cell r="J87" t="str">
            <v>bueno</v>
          </cell>
          <cell r="K87" t="str">
            <v>probsi</v>
          </cell>
        </row>
        <row r="88">
          <cell r="B88" t="b">
            <v>1</v>
          </cell>
          <cell r="E88" t="str">
            <v>Los Cerros</v>
          </cell>
          <cell r="H88" t="str">
            <v>consulta_externa</v>
          </cell>
          <cell r="J88" t="str">
            <v>bueno</v>
          </cell>
          <cell r="K88" t="str">
            <v>probsi</v>
          </cell>
        </row>
        <row r="89">
          <cell r="B89" t="b">
            <v>1</v>
          </cell>
          <cell r="E89" t="str">
            <v>Los Cerros</v>
          </cell>
          <cell r="H89" t="str">
            <v>consulta_externa</v>
          </cell>
          <cell r="J89" t="str">
            <v>bueno</v>
          </cell>
          <cell r="K89" t="str">
            <v>probsi</v>
          </cell>
        </row>
        <row r="90">
          <cell r="B90" t="b">
            <v>1</v>
          </cell>
          <cell r="E90" t="str">
            <v>Canapote</v>
          </cell>
          <cell r="H90" t="str">
            <v>consulta_externa</v>
          </cell>
          <cell r="J90" t="str">
            <v>bueno</v>
          </cell>
          <cell r="K90" t="str">
            <v>defsi</v>
          </cell>
        </row>
        <row r="91">
          <cell r="B91" t="b">
            <v>1</v>
          </cell>
          <cell r="E91" t="str">
            <v>Canapote</v>
          </cell>
          <cell r="H91" t="str">
            <v>salud_oral</v>
          </cell>
          <cell r="J91" t="str">
            <v>bueno</v>
          </cell>
          <cell r="K91" t="str">
            <v>defsi</v>
          </cell>
        </row>
        <row r="92">
          <cell r="B92" t="b">
            <v>1</v>
          </cell>
          <cell r="E92" t="str">
            <v>Los Cerros</v>
          </cell>
          <cell r="H92" t="str">
            <v>consulta_externa</v>
          </cell>
          <cell r="J92" t="str">
            <v>bueno</v>
          </cell>
          <cell r="K92" t="str">
            <v>probsi</v>
          </cell>
        </row>
        <row r="93">
          <cell r="B93" t="b">
            <v>1</v>
          </cell>
          <cell r="E93" t="str">
            <v>Canapote</v>
          </cell>
          <cell r="H93" t="str">
            <v>laboratorio</v>
          </cell>
          <cell r="J93" t="str">
            <v>bueno</v>
          </cell>
          <cell r="K93" t="str">
            <v>defsi</v>
          </cell>
        </row>
        <row r="94">
          <cell r="B94" t="b">
            <v>1</v>
          </cell>
          <cell r="E94" t="str">
            <v>Los Cerros</v>
          </cell>
          <cell r="H94" t="str">
            <v>consulta_externa</v>
          </cell>
          <cell r="J94" t="str">
            <v>bueno</v>
          </cell>
          <cell r="K94" t="str">
            <v>probsi</v>
          </cell>
        </row>
        <row r="95">
          <cell r="B95" t="b">
            <v>1</v>
          </cell>
          <cell r="E95" t="str">
            <v>Los Cerros</v>
          </cell>
          <cell r="H95" t="str">
            <v>consulta_externa</v>
          </cell>
          <cell r="J95" t="str">
            <v>bueno</v>
          </cell>
          <cell r="K95" t="str">
            <v>probsi</v>
          </cell>
        </row>
        <row r="96">
          <cell r="B96" t="b">
            <v>1</v>
          </cell>
          <cell r="E96" t="str">
            <v>Canapote</v>
          </cell>
          <cell r="H96" t="str">
            <v>consulta_externa</v>
          </cell>
          <cell r="J96" t="str">
            <v>bueno</v>
          </cell>
          <cell r="K96" t="str">
            <v>defsi</v>
          </cell>
        </row>
        <row r="97">
          <cell r="B97" t="b">
            <v>1</v>
          </cell>
          <cell r="E97" t="str">
            <v>Los Cerros</v>
          </cell>
          <cell r="H97" t="str">
            <v>consulta_externa</v>
          </cell>
          <cell r="J97" t="str">
            <v>bueno</v>
          </cell>
          <cell r="K97" t="str">
            <v>probsi</v>
          </cell>
        </row>
        <row r="98">
          <cell r="B98" t="b">
            <v>1</v>
          </cell>
          <cell r="E98" t="str">
            <v>Canapote</v>
          </cell>
          <cell r="H98" t="str">
            <v>salud_oral</v>
          </cell>
          <cell r="J98" t="str">
            <v>bueno</v>
          </cell>
          <cell r="K98" t="str">
            <v>defsi</v>
          </cell>
        </row>
        <row r="99">
          <cell r="B99" t="b">
            <v>1</v>
          </cell>
          <cell r="E99" t="str">
            <v>Los Cerros</v>
          </cell>
          <cell r="H99" t="str">
            <v>laboratorio</v>
          </cell>
          <cell r="J99" t="str">
            <v>bueno</v>
          </cell>
          <cell r="K99" t="str">
            <v>probsi</v>
          </cell>
        </row>
        <row r="100">
          <cell r="B100" t="b">
            <v>1</v>
          </cell>
          <cell r="E100" t="str">
            <v>Los Cerros</v>
          </cell>
          <cell r="H100" t="str">
            <v>salud_oral</v>
          </cell>
          <cell r="J100" t="str">
            <v>bueno</v>
          </cell>
          <cell r="K100" t="str">
            <v>probsi</v>
          </cell>
        </row>
        <row r="101">
          <cell r="B101" t="b">
            <v>1</v>
          </cell>
          <cell r="E101" t="str">
            <v>Los Cerros</v>
          </cell>
          <cell r="H101" t="str">
            <v>salud_oral</v>
          </cell>
          <cell r="J101" t="str">
            <v>bueno</v>
          </cell>
          <cell r="K101" t="str">
            <v>probsi</v>
          </cell>
        </row>
        <row r="102">
          <cell r="B102" t="b">
            <v>1</v>
          </cell>
          <cell r="E102" t="str">
            <v>Canapote</v>
          </cell>
          <cell r="H102" t="str">
            <v>laboratorio</v>
          </cell>
          <cell r="J102" t="str">
            <v>bueno</v>
          </cell>
          <cell r="K102" t="str">
            <v>defsi</v>
          </cell>
        </row>
        <row r="103">
          <cell r="B103" t="b">
            <v>1</v>
          </cell>
          <cell r="E103" t="str">
            <v>Bayunca</v>
          </cell>
          <cell r="H103" t="str">
            <v>urgencia</v>
          </cell>
          <cell r="J103" t="str">
            <v>bueno</v>
          </cell>
          <cell r="K103" t="str">
            <v>defsi</v>
          </cell>
        </row>
        <row r="104">
          <cell r="B104" t="b">
            <v>1</v>
          </cell>
          <cell r="E104" t="str">
            <v>Fredonia</v>
          </cell>
          <cell r="H104" t="str">
            <v>consulta_externa</v>
          </cell>
          <cell r="J104" t="str">
            <v>bueno</v>
          </cell>
          <cell r="K104" t="str">
            <v>probsi</v>
          </cell>
        </row>
        <row r="105">
          <cell r="B105" t="b">
            <v>1</v>
          </cell>
          <cell r="E105" t="str">
            <v>Fredonia</v>
          </cell>
          <cell r="H105" t="str">
            <v>consulta_externa</v>
          </cell>
          <cell r="J105" t="str">
            <v>bueno</v>
          </cell>
          <cell r="K105" t="str">
            <v>probsi</v>
          </cell>
        </row>
        <row r="106">
          <cell r="B106" t="b">
            <v>0</v>
          </cell>
          <cell r="E106" t="str">
            <v>Fredonia</v>
          </cell>
          <cell r="H106" t="str">
            <v>laboratorio</v>
          </cell>
          <cell r="J106" t="str">
            <v>regular</v>
          </cell>
          <cell r="K106" t="str">
            <v>probsi</v>
          </cell>
        </row>
        <row r="107">
          <cell r="B107" t="b">
            <v>1</v>
          </cell>
          <cell r="E107" t="str">
            <v>Los Cerros</v>
          </cell>
          <cell r="H107" t="str">
            <v>consulta_externa</v>
          </cell>
          <cell r="J107" t="str">
            <v>bueno</v>
          </cell>
          <cell r="K107" t="str">
            <v>probsi</v>
          </cell>
        </row>
        <row r="108">
          <cell r="B108" t="b">
            <v>1</v>
          </cell>
          <cell r="E108" t="str">
            <v>Los Cerros</v>
          </cell>
          <cell r="H108" t="str">
            <v>consulta_externa</v>
          </cell>
          <cell r="J108" t="str">
            <v>bueno</v>
          </cell>
          <cell r="K108" t="str">
            <v>probsi</v>
          </cell>
        </row>
        <row r="109">
          <cell r="B109" t="b">
            <v>1</v>
          </cell>
          <cell r="E109" t="str">
            <v>Los Cerros</v>
          </cell>
          <cell r="H109" t="str">
            <v>laboratorio</v>
          </cell>
          <cell r="J109" t="str">
            <v>bueno</v>
          </cell>
          <cell r="K109" t="str">
            <v>probsi</v>
          </cell>
        </row>
        <row r="110">
          <cell r="B110" t="b">
            <v>1</v>
          </cell>
          <cell r="E110" t="str">
            <v>Los Cerros</v>
          </cell>
          <cell r="H110" t="str">
            <v>laboratorio</v>
          </cell>
          <cell r="J110" t="str">
            <v>bueno</v>
          </cell>
          <cell r="K110" t="str">
            <v>probsi</v>
          </cell>
        </row>
        <row r="111">
          <cell r="B111" t="b">
            <v>1</v>
          </cell>
          <cell r="E111" t="str">
            <v>Fredonia</v>
          </cell>
          <cell r="H111" t="str">
            <v>consulta_externa</v>
          </cell>
          <cell r="J111" t="str">
            <v>bueno</v>
          </cell>
          <cell r="K111" t="str">
            <v>probsi</v>
          </cell>
        </row>
        <row r="112">
          <cell r="B112" t="b">
            <v>1</v>
          </cell>
          <cell r="E112" t="str">
            <v>Los Cerros</v>
          </cell>
          <cell r="H112" t="str">
            <v>laboratorio</v>
          </cell>
          <cell r="J112" t="str">
            <v>bueno</v>
          </cell>
          <cell r="K112" t="str">
            <v>probsi</v>
          </cell>
        </row>
        <row r="113">
          <cell r="B113" t="b">
            <v>1</v>
          </cell>
          <cell r="E113" t="str">
            <v>Fredonia</v>
          </cell>
          <cell r="H113" t="str">
            <v>consulta_externa</v>
          </cell>
          <cell r="J113" t="str">
            <v>bueno</v>
          </cell>
          <cell r="K113" t="str">
            <v>probsi</v>
          </cell>
        </row>
        <row r="114">
          <cell r="B114" t="b">
            <v>1</v>
          </cell>
          <cell r="E114" t="str">
            <v>Fredonia</v>
          </cell>
          <cell r="H114" t="str">
            <v>salud_oral</v>
          </cell>
          <cell r="J114" t="str">
            <v>bueno</v>
          </cell>
          <cell r="K114" t="str">
            <v>probsi</v>
          </cell>
        </row>
        <row r="115">
          <cell r="B115" t="b">
            <v>1</v>
          </cell>
          <cell r="E115" t="str">
            <v>Fredonia</v>
          </cell>
          <cell r="H115" t="str">
            <v>consulta_externa</v>
          </cell>
          <cell r="J115" t="str">
            <v>bueno</v>
          </cell>
          <cell r="K115" t="str">
            <v>probsi</v>
          </cell>
        </row>
        <row r="116">
          <cell r="B116" t="b">
            <v>0</v>
          </cell>
          <cell r="E116" t="str">
            <v>Fredonia</v>
          </cell>
          <cell r="H116" t="str">
            <v>laboratorio</v>
          </cell>
          <cell r="J116" t="str">
            <v>regular</v>
          </cell>
          <cell r="K116" t="str">
            <v>probsi</v>
          </cell>
        </row>
        <row r="117">
          <cell r="B117" t="b">
            <v>1</v>
          </cell>
          <cell r="E117" t="str">
            <v>Fredonia</v>
          </cell>
          <cell r="H117" t="str">
            <v>consulta_externa</v>
          </cell>
          <cell r="J117" t="str">
            <v>bueno</v>
          </cell>
          <cell r="K117" t="str">
            <v>probsi</v>
          </cell>
        </row>
        <row r="118">
          <cell r="B118" t="b">
            <v>1</v>
          </cell>
          <cell r="E118" t="str">
            <v>Bayunca</v>
          </cell>
          <cell r="H118" t="str">
            <v>urgencia</v>
          </cell>
          <cell r="J118" t="str">
            <v>bueno</v>
          </cell>
          <cell r="K118" t="str">
            <v>defsi</v>
          </cell>
        </row>
        <row r="119">
          <cell r="B119" t="b">
            <v>1</v>
          </cell>
          <cell r="E119" t="str">
            <v>Bayunca</v>
          </cell>
          <cell r="H119" t="str">
            <v>laboratorio</v>
          </cell>
          <cell r="J119" t="str">
            <v>bueno</v>
          </cell>
          <cell r="K119" t="str">
            <v>defsi</v>
          </cell>
        </row>
        <row r="120">
          <cell r="B120" t="b">
            <v>0</v>
          </cell>
          <cell r="E120" t="str">
            <v>Bayunca</v>
          </cell>
          <cell r="H120" t="str">
            <v>urgencia</v>
          </cell>
          <cell r="J120" t="str">
            <v>regular</v>
          </cell>
          <cell r="K120" t="str">
            <v>probsi</v>
          </cell>
        </row>
        <row r="121">
          <cell r="B121" t="b">
            <v>0</v>
          </cell>
          <cell r="E121" t="str">
            <v>Bayunca</v>
          </cell>
          <cell r="H121" t="str">
            <v>laboratorio</v>
          </cell>
          <cell r="J121" t="str">
            <v>regular</v>
          </cell>
          <cell r="K121" t="str">
            <v>probsi</v>
          </cell>
        </row>
        <row r="122">
          <cell r="B122" t="b">
            <v>1</v>
          </cell>
          <cell r="E122" t="str">
            <v>Canapote</v>
          </cell>
          <cell r="H122" t="str">
            <v>consulta_externa</v>
          </cell>
          <cell r="J122" t="str">
            <v>bueno</v>
          </cell>
          <cell r="K122" t="str">
            <v>defsi</v>
          </cell>
        </row>
        <row r="123">
          <cell r="B123" t="b">
            <v>0</v>
          </cell>
          <cell r="E123" t="str">
            <v>Fredonia</v>
          </cell>
          <cell r="H123" t="str">
            <v>consulta_externa</v>
          </cell>
          <cell r="J123" t="str">
            <v>regular</v>
          </cell>
          <cell r="K123" t="str">
            <v>probsi</v>
          </cell>
        </row>
        <row r="124">
          <cell r="B124" t="b">
            <v>0</v>
          </cell>
          <cell r="E124" t="str">
            <v>Fredonia</v>
          </cell>
          <cell r="H124" t="str">
            <v>salud_oral</v>
          </cell>
          <cell r="J124" t="str">
            <v>regular</v>
          </cell>
          <cell r="K124" t="str">
            <v>probsi</v>
          </cell>
        </row>
        <row r="125">
          <cell r="B125" t="b">
            <v>0</v>
          </cell>
          <cell r="E125" t="str">
            <v>Fredonia</v>
          </cell>
          <cell r="H125" t="str">
            <v>salud_oral</v>
          </cell>
          <cell r="J125" t="str">
            <v>regular</v>
          </cell>
          <cell r="K125" t="str">
            <v>probsi</v>
          </cell>
        </row>
        <row r="126">
          <cell r="B126" t="b">
            <v>0</v>
          </cell>
          <cell r="E126" t="str">
            <v>Fredonia</v>
          </cell>
          <cell r="H126" t="str">
            <v>laboratorio</v>
          </cell>
          <cell r="J126" t="str">
            <v>regular</v>
          </cell>
          <cell r="K126" t="str">
            <v>probsi</v>
          </cell>
        </row>
        <row r="127">
          <cell r="B127" t="b">
            <v>1</v>
          </cell>
          <cell r="E127" t="str">
            <v>Canapote</v>
          </cell>
          <cell r="H127" t="str">
            <v>salud_oral</v>
          </cell>
          <cell r="J127" t="str">
            <v>bueno</v>
          </cell>
          <cell r="K127" t="str">
            <v>defsi</v>
          </cell>
        </row>
        <row r="128">
          <cell r="B128" t="b">
            <v>1</v>
          </cell>
          <cell r="E128" t="str">
            <v>Los Cerros</v>
          </cell>
          <cell r="H128" t="str">
            <v>consulta_externa</v>
          </cell>
          <cell r="J128" t="str">
            <v>bueno</v>
          </cell>
          <cell r="K128" t="str">
            <v>probsi</v>
          </cell>
        </row>
        <row r="129">
          <cell r="B129" t="b">
            <v>1</v>
          </cell>
          <cell r="E129" t="str">
            <v>Los Cerros</v>
          </cell>
          <cell r="H129" t="str">
            <v>consulta_externa</v>
          </cell>
          <cell r="J129" t="str">
            <v>bueno</v>
          </cell>
          <cell r="K129" t="str">
            <v>probsi</v>
          </cell>
        </row>
        <row r="130">
          <cell r="B130" t="b">
            <v>1</v>
          </cell>
          <cell r="E130" t="str">
            <v>Los Cerros</v>
          </cell>
          <cell r="H130" t="str">
            <v>laboratorio</v>
          </cell>
          <cell r="J130" t="str">
            <v>bueno</v>
          </cell>
          <cell r="K130" t="str">
            <v>probsi</v>
          </cell>
        </row>
        <row r="131">
          <cell r="B131" t="b">
            <v>1</v>
          </cell>
          <cell r="E131" t="str">
            <v>Los Cerros</v>
          </cell>
          <cell r="H131" t="str">
            <v>laboratorio</v>
          </cell>
          <cell r="J131" t="str">
            <v>bueno</v>
          </cell>
          <cell r="K131" t="str">
            <v>probsi</v>
          </cell>
        </row>
        <row r="132">
          <cell r="B132" t="b">
            <v>1</v>
          </cell>
          <cell r="E132" t="str">
            <v>Canapote</v>
          </cell>
          <cell r="H132" t="str">
            <v>laboratorio</v>
          </cell>
          <cell r="J132" t="str">
            <v>bueno</v>
          </cell>
          <cell r="K132" t="str">
            <v>defsi</v>
          </cell>
        </row>
        <row r="133">
          <cell r="B133" t="b">
            <v>1</v>
          </cell>
          <cell r="E133" t="str">
            <v>Los Cerros</v>
          </cell>
          <cell r="H133" t="str">
            <v>laboratorio</v>
          </cell>
          <cell r="J133" t="str">
            <v>bueno</v>
          </cell>
          <cell r="K133" t="str">
            <v>probsi</v>
          </cell>
        </row>
        <row r="134">
          <cell r="B134" t="b">
            <v>1</v>
          </cell>
          <cell r="E134" t="str">
            <v>Los Cerros</v>
          </cell>
          <cell r="H134" t="str">
            <v>laboratorio</v>
          </cell>
          <cell r="J134" t="str">
            <v>bueno</v>
          </cell>
          <cell r="K134" t="str">
            <v>probsi</v>
          </cell>
        </row>
        <row r="135">
          <cell r="B135" t="b">
            <v>1</v>
          </cell>
          <cell r="E135" t="str">
            <v>Los Cerros</v>
          </cell>
          <cell r="H135" t="str">
            <v>consulta_externa</v>
          </cell>
          <cell r="J135" t="str">
            <v>bueno</v>
          </cell>
          <cell r="K135" t="str">
            <v>probsi</v>
          </cell>
        </row>
        <row r="136">
          <cell r="B136" t="b">
            <v>1</v>
          </cell>
          <cell r="E136" t="str">
            <v>Los Cerros</v>
          </cell>
          <cell r="H136" t="str">
            <v>consulta_externa</v>
          </cell>
          <cell r="J136" t="str">
            <v>bueno</v>
          </cell>
          <cell r="K136" t="str">
            <v>probsi</v>
          </cell>
        </row>
        <row r="137">
          <cell r="B137" t="b">
            <v>1</v>
          </cell>
          <cell r="E137" t="str">
            <v>Los Cerros</v>
          </cell>
          <cell r="H137" t="str">
            <v>consulta_externa</v>
          </cell>
          <cell r="J137" t="str">
            <v>bueno</v>
          </cell>
          <cell r="K137" t="str">
            <v>probsi</v>
          </cell>
        </row>
        <row r="138">
          <cell r="B138" t="b">
            <v>1</v>
          </cell>
          <cell r="E138" t="str">
            <v>Los Cerros</v>
          </cell>
          <cell r="H138" t="str">
            <v>laboratorio</v>
          </cell>
          <cell r="J138" t="str">
            <v>bueno</v>
          </cell>
          <cell r="K138" t="str">
            <v>probsi</v>
          </cell>
        </row>
        <row r="139">
          <cell r="B139" t="b">
            <v>1</v>
          </cell>
          <cell r="E139" t="str">
            <v>Canapote</v>
          </cell>
          <cell r="H139" t="str">
            <v>consulta_externa</v>
          </cell>
          <cell r="J139" t="str">
            <v>bueno</v>
          </cell>
          <cell r="K139" t="str">
            <v>defsi</v>
          </cell>
        </row>
        <row r="140">
          <cell r="B140" t="b">
            <v>1</v>
          </cell>
          <cell r="E140" t="str">
            <v>Bayunca</v>
          </cell>
          <cell r="H140" t="str">
            <v>laboratorio</v>
          </cell>
          <cell r="J140" t="str">
            <v>bueno</v>
          </cell>
          <cell r="K140" t="str">
            <v>defsi</v>
          </cell>
        </row>
        <row r="141">
          <cell r="B141" t="b">
            <v>1</v>
          </cell>
          <cell r="E141" t="str">
            <v>Bayunca</v>
          </cell>
          <cell r="H141" t="str">
            <v>laboratorio</v>
          </cell>
          <cell r="J141" t="str">
            <v>bueno</v>
          </cell>
          <cell r="K141" t="str">
            <v>defsi</v>
          </cell>
        </row>
        <row r="142">
          <cell r="B142" t="b">
            <v>1</v>
          </cell>
          <cell r="E142" t="str">
            <v>Bayunca</v>
          </cell>
          <cell r="H142" t="str">
            <v>consulta_externa</v>
          </cell>
          <cell r="J142" t="str">
            <v>bueno</v>
          </cell>
          <cell r="K142" t="str">
            <v>defsi</v>
          </cell>
        </row>
        <row r="143">
          <cell r="B143" t="b">
            <v>1</v>
          </cell>
          <cell r="E143" t="str">
            <v>Los Cerros</v>
          </cell>
          <cell r="H143" t="str">
            <v>laboratorio</v>
          </cell>
          <cell r="J143" t="str">
            <v>bueno</v>
          </cell>
          <cell r="K143" t="str">
            <v>probsi</v>
          </cell>
        </row>
        <row r="144">
          <cell r="B144" t="b">
            <v>1</v>
          </cell>
          <cell r="E144" t="str">
            <v>Los Cerros</v>
          </cell>
          <cell r="H144" t="str">
            <v>medicina_interna</v>
          </cell>
          <cell r="J144" t="str">
            <v>bueno</v>
          </cell>
          <cell r="K144" t="str">
            <v>probsi</v>
          </cell>
        </row>
        <row r="145">
          <cell r="B145" t="b">
            <v>1</v>
          </cell>
          <cell r="E145" t="str">
            <v>Los Cerros</v>
          </cell>
          <cell r="H145" t="str">
            <v>medicina_interna</v>
          </cell>
          <cell r="J145" t="str">
            <v>bueno</v>
          </cell>
          <cell r="K145" t="str">
            <v>probsi</v>
          </cell>
        </row>
        <row r="146">
          <cell r="B146" t="b">
            <v>1</v>
          </cell>
          <cell r="E146" t="str">
            <v>Bayunca</v>
          </cell>
          <cell r="H146" t="str">
            <v>laboratorio</v>
          </cell>
          <cell r="J146" t="str">
            <v>bueno</v>
          </cell>
          <cell r="K146" t="str">
            <v>defsi</v>
          </cell>
        </row>
        <row r="147">
          <cell r="B147" t="b">
            <v>1</v>
          </cell>
          <cell r="E147" t="str">
            <v>Bayunca</v>
          </cell>
          <cell r="H147" t="str">
            <v>laboratorio</v>
          </cell>
          <cell r="J147" t="str">
            <v>bueno</v>
          </cell>
          <cell r="K147" t="str">
            <v>defsi</v>
          </cell>
        </row>
        <row r="148">
          <cell r="B148" t="b">
            <v>1</v>
          </cell>
          <cell r="E148" t="str">
            <v>Bayunca</v>
          </cell>
          <cell r="H148" t="str">
            <v>consulta_externa</v>
          </cell>
          <cell r="J148" t="str">
            <v>bueno</v>
          </cell>
          <cell r="K148" t="str">
            <v>defsi</v>
          </cell>
        </row>
        <row r="149">
          <cell r="B149" t="b">
            <v>1</v>
          </cell>
          <cell r="E149" t="str">
            <v>Bayunca</v>
          </cell>
          <cell r="H149" t="str">
            <v>salud_oral</v>
          </cell>
          <cell r="J149" t="str">
            <v>bueno</v>
          </cell>
          <cell r="K149" t="str">
            <v>defsi</v>
          </cell>
        </row>
        <row r="150">
          <cell r="B150" t="b">
            <v>1</v>
          </cell>
          <cell r="E150" t="str">
            <v>San Francisco I</v>
          </cell>
          <cell r="H150" t="str">
            <v>consulta_externa</v>
          </cell>
          <cell r="J150" t="str">
            <v>bueno</v>
          </cell>
          <cell r="K150" t="str">
            <v>defsi</v>
          </cell>
        </row>
        <row r="151">
          <cell r="B151" t="b">
            <v>1</v>
          </cell>
          <cell r="E151" t="str">
            <v>Fredonia</v>
          </cell>
          <cell r="H151" t="str">
            <v>salud_oral</v>
          </cell>
          <cell r="J151" t="str">
            <v>bueno</v>
          </cell>
          <cell r="K151" t="str">
            <v>probsi</v>
          </cell>
        </row>
        <row r="152">
          <cell r="B152" t="b">
            <v>1</v>
          </cell>
          <cell r="E152" t="str">
            <v>San Francisco I</v>
          </cell>
          <cell r="H152" t="str">
            <v>salud_oral</v>
          </cell>
          <cell r="J152" t="str">
            <v>bueno</v>
          </cell>
          <cell r="K152" t="str">
            <v>defsi</v>
          </cell>
        </row>
        <row r="153">
          <cell r="B153" t="b">
            <v>1</v>
          </cell>
          <cell r="E153" t="str">
            <v>Fredonia</v>
          </cell>
          <cell r="H153" t="str">
            <v>laboratorio</v>
          </cell>
          <cell r="J153" t="str">
            <v>bueno</v>
          </cell>
          <cell r="K153" t="str">
            <v>probsi</v>
          </cell>
        </row>
        <row r="154">
          <cell r="B154" t="b">
            <v>1</v>
          </cell>
          <cell r="E154" t="str">
            <v>Bayunca</v>
          </cell>
          <cell r="H154" t="str">
            <v>consulta_externa</v>
          </cell>
          <cell r="J154" t="str">
            <v>bueno</v>
          </cell>
          <cell r="K154" t="str">
            <v>defsi</v>
          </cell>
        </row>
        <row r="155">
          <cell r="B155" t="b">
            <v>1</v>
          </cell>
          <cell r="E155" t="str">
            <v>San Francisco I</v>
          </cell>
          <cell r="H155" t="str">
            <v>laboratorio</v>
          </cell>
          <cell r="J155" t="str">
            <v>bueno</v>
          </cell>
          <cell r="K155" t="str">
            <v>defsi</v>
          </cell>
        </row>
        <row r="156">
          <cell r="B156" t="b">
            <v>1</v>
          </cell>
          <cell r="E156" t="str">
            <v>San Francisco I</v>
          </cell>
          <cell r="H156" t="str">
            <v>consulta_externa</v>
          </cell>
          <cell r="J156" t="str">
            <v>bueno</v>
          </cell>
          <cell r="K156" t="str">
            <v>defsi</v>
          </cell>
        </row>
        <row r="157">
          <cell r="B157" t="b">
            <v>1</v>
          </cell>
          <cell r="E157" t="str">
            <v>Bayunca</v>
          </cell>
          <cell r="H157" t="str">
            <v>consulta_externa</v>
          </cell>
          <cell r="J157" t="str">
            <v>bueno</v>
          </cell>
          <cell r="K157" t="str">
            <v>defsi</v>
          </cell>
        </row>
        <row r="158">
          <cell r="B158" t="b">
            <v>1</v>
          </cell>
          <cell r="E158" t="str">
            <v>San Francisco I</v>
          </cell>
          <cell r="H158" t="str">
            <v>salud_oral</v>
          </cell>
          <cell r="J158" t="str">
            <v>bueno</v>
          </cell>
          <cell r="K158" t="str">
            <v>defsi</v>
          </cell>
        </row>
        <row r="159">
          <cell r="B159" t="b">
            <v>1</v>
          </cell>
          <cell r="E159" t="str">
            <v>San Francisco I</v>
          </cell>
          <cell r="H159" t="str">
            <v>laboratorio</v>
          </cell>
          <cell r="J159" t="str">
            <v>bueno</v>
          </cell>
          <cell r="K159" t="str">
            <v>defsi</v>
          </cell>
        </row>
        <row r="160">
          <cell r="B160" t="b">
            <v>1</v>
          </cell>
          <cell r="E160" t="str">
            <v>Bayunca</v>
          </cell>
          <cell r="H160" t="str">
            <v>salud_oral</v>
          </cell>
          <cell r="J160" t="str">
            <v>bueno</v>
          </cell>
          <cell r="K160" t="str">
            <v>defsi</v>
          </cell>
        </row>
        <row r="161">
          <cell r="B161" t="b">
            <v>1</v>
          </cell>
          <cell r="E161" t="str">
            <v>Bayunca</v>
          </cell>
          <cell r="H161" t="str">
            <v>salud_oral</v>
          </cell>
          <cell r="J161" t="str">
            <v>bueno</v>
          </cell>
          <cell r="K161" t="str">
            <v>defsi</v>
          </cell>
        </row>
        <row r="162">
          <cell r="B162" t="b">
            <v>1</v>
          </cell>
          <cell r="E162" t="str">
            <v>Fredonia</v>
          </cell>
          <cell r="H162" t="str">
            <v>salud_oral</v>
          </cell>
          <cell r="J162" t="str">
            <v>bueno</v>
          </cell>
          <cell r="K162" t="str">
            <v>probsi</v>
          </cell>
        </row>
        <row r="163">
          <cell r="B163" t="b">
            <v>1</v>
          </cell>
          <cell r="E163" t="str">
            <v>Fredonia</v>
          </cell>
          <cell r="H163" t="str">
            <v>laboratorio</v>
          </cell>
          <cell r="J163" t="str">
            <v>bueno</v>
          </cell>
          <cell r="K163" t="str">
            <v>probsi</v>
          </cell>
        </row>
        <row r="164">
          <cell r="B164" t="b">
            <v>1</v>
          </cell>
          <cell r="E164" t="str">
            <v>Bayunca</v>
          </cell>
          <cell r="H164" t="str">
            <v>consulta_externa</v>
          </cell>
          <cell r="J164" t="str">
            <v>bueno</v>
          </cell>
          <cell r="K164" t="str">
            <v>defsi</v>
          </cell>
        </row>
        <row r="165">
          <cell r="B165" t="b">
            <v>1</v>
          </cell>
          <cell r="E165" t="str">
            <v>Bayunca</v>
          </cell>
          <cell r="H165" t="str">
            <v>consulta_externa</v>
          </cell>
          <cell r="J165" t="str">
            <v>bueno</v>
          </cell>
          <cell r="K165" t="str">
            <v>defsi</v>
          </cell>
        </row>
        <row r="166">
          <cell r="B166" t="b">
            <v>1</v>
          </cell>
          <cell r="E166" t="str">
            <v>Bayunca</v>
          </cell>
          <cell r="H166" t="str">
            <v>consulta_externa</v>
          </cell>
          <cell r="J166" t="str">
            <v>bueno</v>
          </cell>
          <cell r="K166" t="str">
            <v>defsi</v>
          </cell>
        </row>
        <row r="167">
          <cell r="B167" t="b">
            <v>1</v>
          </cell>
          <cell r="E167" t="str">
            <v>Bayunca</v>
          </cell>
          <cell r="H167" t="str">
            <v>salud_oral</v>
          </cell>
          <cell r="J167" t="str">
            <v>bueno</v>
          </cell>
          <cell r="K167" t="str">
            <v>defsi</v>
          </cell>
        </row>
        <row r="168">
          <cell r="B168" t="b">
            <v>1</v>
          </cell>
          <cell r="E168" t="str">
            <v>Los Cerros</v>
          </cell>
          <cell r="H168" t="str">
            <v>consulta_externa</v>
          </cell>
          <cell r="J168" t="str">
            <v>bueno</v>
          </cell>
          <cell r="K168" t="str">
            <v>probsi</v>
          </cell>
        </row>
        <row r="169">
          <cell r="B169" t="b">
            <v>1</v>
          </cell>
          <cell r="E169" t="str">
            <v>Los Cerros</v>
          </cell>
          <cell r="H169" t="str">
            <v>consulta_externa</v>
          </cell>
          <cell r="J169" t="str">
            <v>bueno</v>
          </cell>
          <cell r="K169" t="str">
            <v>probsi</v>
          </cell>
        </row>
        <row r="170">
          <cell r="B170" t="b">
            <v>1</v>
          </cell>
          <cell r="E170" t="str">
            <v>Los Cerros</v>
          </cell>
          <cell r="H170" t="str">
            <v>consulta_externa</v>
          </cell>
          <cell r="J170" t="str">
            <v>bueno</v>
          </cell>
          <cell r="K170" t="str">
            <v>probsi</v>
          </cell>
        </row>
        <row r="171">
          <cell r="B171" t="b">
            <v>1</v>
          </cell>
          <cell r="E171" t="str">
            <v>Los Cerros</v>
          </cell>
          <cell r="H171" t="str">
            <v>consulta_externa</v>
          </cell>
          <cell r="J171" t="str">
            <v>bueno</v>
          </cell>
          <cell r="K171" t="str">
            <v>probsi</v>
          </cell>
        </row>
        <row r="172">
          <cell r="B172" t="b">
            <v>1</v>
          </cell>
          <cell r="E172" t="str">
            <v>Los Cerros</v>
          </cell>
          <cell r="H172" t="str">
            <v>consulta_externa</v>
          </cell>
          <cell r="J172" t="str">
            <v>bueno</v>
          </cell>
          <cell r="K172" t="str">
            <v>probsi</v>
          </cell>
        </row>
        <row r="173">
          <cell r="B173" t="b">
            <v>1</v>
          </cell>
          <cell r="E173" t="str">
            <v>Los Cerros</v>
          </cell>
          <cell r="H173" t="str">
            <v>laboratorio</v>
          </cell>
          <cell r="J173" t="str">
            <v>bueno</v>
          </cell>
          <cell r="K173" t="str">
            <v>probsi</v>
          </cell>
        </row>
        <row r="174">
          <cell r="B174" t="b">
            <v>1</v>
          </cell>
          <cell r="E174" t="str">
            <v>Los Cerros</v>
          </cell>
          <cell r="H174" t="str">
            <v>laboratorio</v>
          </cell>
          <cell r="J174" t="str">
            <v>bueno</v>
          </cell>
          <cell r="K174" t="str">
            <v>probsi</v>
          </cell>
        </row>
        <row r="175">
          <cell r="B175" t="b">
            <v>1</v>
          </cell>
          <cell r="E175" t="str">
            <v>Los Cerros</v>
          </cell>
          <cell r="H175" t="str">
            <v>laboratorio</v>
          </cell>
          <cell r="J175" t="str">
            <v>bueno</v>
          </cell>
          <cell r="K175" t="str">
            <v>probsi</v>
          </cell>
        </row>
        <row r="176">
          <cell r="B176" t="b">
            <v>1</v>
          </cell>
          <cell r="E176" t="str">
            <v>Los Cerros</v>
          </cell>
          <cell r="H176" t="str">
            <v>laboratorio</v>
          </cell>
          <cell r="J176" t="str">
            <v>bueno</v>
          </cell>
          <cell r="K176" t="str">
            <v>probsi</v>
          </cell>
        </row>
        <row r="177">
          <cell r="B177" t="b">
            <v>1</v>
          </cell>
          <cell r="E177" t="str">
            <v>Bayunca</v>
          </cell>
          <cell r="H177" t="str">
            <v>salud_oral</v>
          </cell>
          <cell r="J177" t="str">
            <v>bueno</v>
          </cell>
          <cell r="K177" t="str">
            <v>defsi</v>
          </cell>
        </row>
        <row r="178">
          <cell r="B178" t="b">
            <v>1</v>
          </cell>
          <cell r="E178" t="str">
            <v>Bayunca</v>
          </cell>
          <cell r="H178" t="str">
            <v>laboratorio</v>
          </cell>
          <cell r="J178" t="str">
            <v>bueno</v>
          </cell>
          <cell r="K178" t="str">
            <v>defsi</v>
          </cell>
        </row>
        <row r="179">
          <cell r="B179" t="b">
            <v>1</v>
          </cell>
          <cell r="E179" t="str">
            <v>Bayunca</v>
          </cell>
          <cell r="H179" t="str">
            <v>consulta_externa</v>
          </cell>
          <cell r="J179" t="str">
            <v>bueno</v>
          </cell>
          <cell r="K179" t="str">
            <v>defsi</v>
          </cell>
        </row>
        <row r="180">
          <cell r="B180" t="b">
            <v>1</v>
          </cell>
          <cell r="E180" t="str">
            <v>Los Cerros</v>
          </cell>
          <cell r="H180" t="str">
            <v>laboratorio</v>
          </cell>
          <cell r="J180" t="str">
            <v>bueno</v>
          </cell>
          <cell r="K180" t="str">
            <v>probsi</v>
          </cell>
        </row>
        <row r="181">
          <cell r="B181" t="b">
            <v>1</v>
          </cell>
          <cell r="E181" t="str">
            <v>Los Cerros</v>
          </cell>
          <cell r="H181" t="str">
            <v>laboratorio</v>
          </cell>
          <cell r="J181" t="str">
            <v>bueno</v>
          </cell>
          <cell r="K181" t="str">
            <v>probsi</v>
          </cell>
        </row>
        <row r="182">
          <cell r="B182" t="b">
            <v>1</v>
          </cell>
          <cell r="E182" t="str">
            <v>Los Cerros</v>
          </cell>
          <cell r="H182" t="str">
            <v>laboratorio</v>
          </cell>
          <cell r="J182" t="str">
            <v>bueno</v>
          </cell>
          <cell r="K182" t="str">
            <v>probsi</v>
          </cell>
        </row>
        <row r="183">
          <cell r="B183" t="b">
            <v>1</v>
          </cell>
          <cell r="E183" t="str">
            <v>Los Cerros</v>
          </cell>
          <cell r="H183" t="str">
            <v>consulta_externa</v>
          </cell>
          <cell r="J183" t="str">
            <v>bueno</v>
          </cell>
          <cell r="K183" t="str">
            <v>probsi</v>
          </cell>
        </row>
        <row r="184">
          <cell r="B184" t="b">
            <v>1</v>
          </cell>
          <cell r="E184" t="str">
            <v>Los Cerros</v>
          </cell>
          <cell r="H184" t="str">
            <v>consulta_externa</v>
          </cell>
          <cell r="J184" t="str">
            <v>bueno</v>
          </cell>
          <cell r="K184" t="str">
            <v>probsi</v>
          </cell>
        </row>
        <row r="185">
          <cell r="B185" t="b">
            <v>1</v>
          </cell>
          <cell r="E185" t="str">
            <v>Bayunca</v>
          </cell>
          <cell r="H185" t="str">
            <v>consulta_externa</v>
          </cell>
          <cell r="J185" t="str">
            <v>bueno</v>
          </cell>
          <cell r="K185" t="str">
            <v>defsi</v>
          </cell>
        </row>
        <row r="186">
          <cell r="B186" t="b">
            <v>1</v>
          </cell>
          <cell r="E186" t="str">
            <v>Bayunca</v>
          </cell>
          <cell r="H186" t="str">
            <v>salud_oral</v>
          </cell>
          <cell r="J186" t="str">
            <v>bueno</v>
          </cell>
          <cell r="K186" t="str">
            <v>defsi</v>
          </cell>
        </row>
        <row r="187">
          <cell r="B187" t="b">
            <v>1</v>
          </cell>
          <cell r="E187" t="str">
            <v>Bayunca</v>
          </cell>
          <cell r="H187" t="str">
            <v>consulta_externa</v>
          </cell>
          <cell r="J187" t="str">
            <v>bueno</v>
          </cell>
          <cell r="K187" t="str">
            <v>defsi</v>
          </cell>
        </row>
        <row r="188">
          <cell r="B188" t="b">
            <v>1</v>
          </cell>
          <cell r="E188" t="str">
            <v>Fredonia</v>
          </cell>
          <cell r="H188" t="str">
            <v>laboratorio</v>
          </cell>
          <cell r="J188" t="str">
            <v>bueno</v>
          </cell>
          <cell r="K188" t="str">
            <v>probsi</v>
          </cell>
        </row>
        <row r="189">
          <cell r="B189" t="b">
            <v>0</v>
          </cell>
          <cell r="E189" t="str">
            <v>Fredonia</v>
          </cell>
          <cell r="H189" t="str">
            <v>laboratorio</v>
          </cell>
          <cell r="J189" t="str">
            <v>regular</v>
          </cell>
          <cell r="K189" t="str">
            <v>probsi</v>
          </cell>
        </row>
        <row r="190">
          <cell r="B190" t="b">
            <v>1</v>
          </cell>
          <cell r="E190" t="str">
            <v>San Francisco I</v>
          </cell>
          <cell r="H190" t="str">
            <v>consulta_externa</v>
          </cell>
          <cell r="J190" t="str">
            <v>bueno</v>
          </cell>
          <cell r="K190" t="str">
            <v>defsi</v>
          </cell>
        </row>
        <row r="191">
          <cell r="B191" t="b">
            <v>1</v>
          </cell>
          <cell r="E191" t="str">
            <v>San Francisco I</v>
          </cell>
          <cell r="H191" t="str">
            <v>salud_oral</v>
          </cell>
          <cell r="J191" t="str">
            <v>bueno</v>
          </cell>
          <cell r="K191" t="str">
            <v>defsi</v>
          </cell>
        </row>
        <row r="192">
          <cell r="B192" t="b">
            <v>1</v>
          </cell>
          <cell r="E192" t="str">
            <v>San Francisco I</v>
          </cell>
          <cell r="H192" t="str">
            <v>laboratorio</v>
          </cell>
          <cell r="J192" t="str">
            <v>bueno</v>
          </cell>
          <cell r="K192" t="str">
            <v>defsi</v>
          </cell>
        </row>
        <row r="193">
          <cell r="B193" t="b">
            <v>1</v>
          </cell>
          <cell r="E193" t="str">
            <v>San Francisco I</v>
          </cell>
          <cell r="H193" t="str">
            <v>consulta_externa</v>
          </cell>
          <cell r="J193" t="str">
            <v>bueno</v>
          </cell>
          <cell r="K193" t="str">
            <v>defsi</v>
          </cell>
        </row>
        <row r="194">
          <cell r="B194" t="b">
            <v>1</v>
          </cell>
          <cell r="E194" t="str">
            <v>San Francisco I</v>
          </cell>
          <cell r="H194" t="str">
            <v>salud_oral</v>
          </cell>
          <cell r="J194" t="str">
            <v>bueno</v>
          </cell>
          <cell r="K194" t="str">
            <v>defsi</v>
          </cell>
        </row>
        <row r="195">
          <cell r="B195" t="b">
            <v>1</v>
          </cell>
          <cell r="E195" t="str">
            <v>San Francisco I</v>
          </cell>
          <cell r="H195" t="str">
            <v>laboratorio</v>
          </cell>
          <cell r="J195" t="str">
            <v>bueno</v>
          </cell>
          <cell r="K195" t="str">
            <v>defsi</v>
          </cell>
        </row>
        <row r="196">
          <cell r="B196" t="b">
            <v>1</v>
          </cell>
          <cell r="E196" t="str">
            <v>San Francisco I</v>
          </cell>
          <cell r="H196" t="str">
            <v>consulta_externa</v>
          </cell>
          <cell r="J196" t="str">
            <v>bueno</v>
          </cell>
          <cell r="K196" t="str">
            <v>defsi</v>
          </cell>
        </row>
        <row r="197">
          <cell r="B197" t="b">
            <v>1</v>
          </cell>
          <cell r="E197" t="str">
            <v>San Francisco I</v>
          </cell>
          <cell r="H197" t="str">
            <v>salud_oral</v>
          </cell>
          <cell r="J197" t="str">
            <v>bueno</v>
          </cell>
          <cell r="K197" t="str">
            <v>defsi</v>
          </cell>
        </row>
        <row r="198">
          <cell r="B198" t="b">
            <v>1</v>
          </cell>
          <cell r="E198" t="str">
            <v>San Francisco I</v>
          </cell>
          <cell r="H198" t="str">
            <v>laboratorio</v>
          </cell>
          <cell r="J198" t="str">
            <v>bueno</v>
          </cell>
          <cell r="K198" t="str">
            <v>defsi</v>
          </cell>
        </row>
        <row r="199">
          <cell r="B199" t="b">
            <v>1</v>
          </cell>
          <cell r="E199" t="str">
            <v>San Francisco I</v>
          </cell>
          <cell r="H199" t="str">
            <v>consulta_externa</v>
          </cell>
          <cell r="J199" t="str">
            <v>bueno</v>
          </cell>
          <cell r="K199" t="str">
            <v>defsi</v>
          </cell>
        </row>
        <row r="200">
          <cell r="B200" t="b">
            <v>1</v>
          </cell>
          <cell r="E200" t="str">
            <v>San Francisco I</v>
          </cell>
          <cell r="H200" t="str">
            <v>salud_oral</v>
          </cell>
          <cell r="J200" t="str">
            <v>bueno</v>
          </cell>
          <cell r="K200" t="str">
            <v>defsi</v>
          </cell>
        </row>
        <row r="201">
          <cell r="B201" t="b">
            <v>1</v>
          </cell>
          <cell r="E201" t="str">
            <v>San Francisco I</v>
          </cell>
          <cell r="H201" t="str">
            <v>laboratorio</v>
          </cell>
          <cell r="J201" t="str">
            <v>bueno</v>
          </cell>
          <cell r="K201" t="str">
            <v>defsi</v>
          </cell>
        </row>
        <row r="202">
          <cell r="B202" t="b">
            <v>1</v>
          </cell>
          <cell r="E202" t="str">
            <v>San Francisco I</v>
          </cell>
          <cell r="H202" t="str">
            <v>consulta_externa</v>
          </cell>
          <cell r="J202" t="str">
            <v>bueno</v>
          </cell>
          <cell r="K202" t="str">
            <v>defsi</v>
          </cell>
        </row>
        <row r="203">
          <cell r="B203" t="b">
            <v>1</v>
          </cell>
          <cell r="E203" t="str">
            <v>San Francisco I</v>
          </cell>
          <cell r="H203" t="str">
            <v>salud_oral</v>
          </cell>
          <cell r="J203" t="str">
            <v>bueno</v>
          </cell>
          <cell r="K203" t="str">
            <v>defsi</v>
          </cell>
        </row>
        <row r="204">
          <cell r="B204" t="b">
            <v>1</v>
          </cell>
          <cell r="E204" t="str">
            <v>San Francisco I</v>
          </cell>
          <cell r="H204" t="str">
            <v>laboratorio</v>
          </cell>
          <cell r="J204" t="str">
            <v>bueno</v>
          </cell>
          <cell r="K204" t="str">
            <v>defsi</v>
          </cell>
        </row>
        <row r="205">
          <cell r="B205" t="b">
            <v>1</v>
          </cell>
          <cell r="E205" t="str">
            <v>Fredonia</v>
          </cell>
          <cell r="H205" t="str">
            <v>salud_oral</v>
          </cell>
          <cell r="J205" t="str">
            <v>bueno</v>
          </cell>
          <cell r="K205" t="str">
            <v>probsi</v>
          </cell>
        </row>
        <row r="206">
          <cell r="B206" t="b">
            <v>1</v>
          </cell>
          <cell r="E206" t="str">
            <v>Fredonia</v>
          </cell>
          <cell r="H206" t="str">
            <v>salud_oral</v>
          </cell>
          <cell r="J206" t="str">
            <v>bueno</v>
          </cell>
          <cell r="K206" t="str">
            <v>probsi</v>
          </cell>
        </row>
        <row r="207">
          <cell r="B207" t="b">
            <v>1</v>
          </cell>
          <cell r="E207" t="str">
            <v>Fredonia</v>
          </cell>
          <cell r="H207" t="str">
            <v>salud_oral</v>
          </cell>
          <cell r="J207" t="str">
            <v>bueno</v>
          </cell>
          <cell r="K207" t="str">
            <v>probsi</v>
          </cell>
        </row>
        <row r="208">
          <cell r="B208" t="b">
            <v>1</v>
          </cell>
          <cell r="E208" t="str">
            <v>Fredonia</v>
          </cell>
          <cell r="H208" t="str">
            <v>laboratorio</v>
          </cell>
          <cell r="J208" t="str">
            <v>bueno</v>
          </cell>
          <cell r="K208" t="str">
            <v>probsi</v>
          </cell>
        </row>
        <row r="209">
          <cell r="B209" t="b">
            <v>1</v>
          </cell>
          <cell r="E209" t="str">
            <v>Fredonia</v>
          </cell>
          <cell r="H209" t="str">
            <v>laboratorio</v>
          </cell>
          <cell r="J209" t="str">
            <v>bueno</v>
          </cell>
          <cell r="K209" t="str">
            <v>probsi</v>
          </cell>
        </row>
        <row r="210">
          <cell r="B210" t="b">
            <v>1</v>
          </cell>
          <cell r="E210" t="str">
            <v>Fredonia</v>
          </cell>
          <cell r="H210" t="str">
            <v>laboratorio</v>
          </cell>
          <cell r="J210" t="str">
            <v>bueno</v>
          </cell>
          <cell r="K210" t="str">
            <v>probsi</v>
          </cell>
        </row>
        <row r="211">
          <cell r="B211" t="b">
            <v>1</v>
          </cell>
          <cell r="E211" t="str">
            <v>San Francisco I</v>
          </cell>
          <cell r="H211" t="str">
            <v>consulta_externa</v>
          </cell>
          <cell r="J211" t="str">
            <v>bueno</v>
          </cell>
          <cell r="K211" t="str">
            <v>defsi</v>
          </cell>
        </row>
        <row r="212">
          <cell r="B212" t="b">
            <v>1</v>
          </cell>
          <cell r="E212" t="str">
            <v>San Francisco I</v>
          </cell>
          <cell r="H212" t="str">
            <v>salud_oral</v>
          </cell>
          <cell r="J212" t="str">
            <v>bueno</v>
          </cell>
          <cell r="K212" t="str">
            <v>defsi</v>
          </cell>
        </row>
        <row r="213">
          <cell r="B213" t="b">
            <v>1</v>
          </cell>
          <cell r="E213" t="str">
            <v>San Francisco I</v>
          </cell>
          <cell r="H213" t="str">
            <v>laboratorio</v>
          </cell>
          <cell r="J213" t="str">
            <v>bueno</v>
          </cell>
          <cell r="K213" t="str">
            <v>defsi</v>
          </cell>
        </row>
        <row r="214">
          <cell r="B214" t="b">
            <v>1</v>
          </cell>
          <cell r="E214" t="str">
            <v>Bayunca</v>
          </cell>
          <cell r="H214" t="str">
            <v>consulta_externa</v>
          </cell>
          <cell r="J214" t="str">
            <v>bueno</v>
          </cell>
          <cell r="K214" t="str">
            <v>defsi</v>
          </cell>
        </row>
        <row r="215">
          <cell r="B215" t="b">
            <v>1</v>
          </cell>
          <cell r="E215" t="str">
            <v>Bayunca</v>
          </cell>
          <cell r="H215" t="str">
            <v>salud_oral</v>
          </cell>
          <cell r="J215" t="str">
            <v>bueno</v>
          </cell>
          <cell r="K215" t="str">
            <v>defsi</v>
          </cell>
        </row>
        <row r="216">
          <cell r="B216" t="b">
            <v>1</v>
          </cell>
          <cell r="E216" t="str">
            <v>Bayunca</v>
          </cell>
          <cell r="H216" t="str">
            <v>salud_oral</v>
          </cell>
          <cell r="J216" t="str">
            <v>bueno</v>
          </cell>
          <cell r="K216" t="str">
            <v>defsi</v>
          </cell>
        </row>
        <row r="217">
          <cell r="B217" t="b">
            <v>1</v>
          </cell>
          <cell r="E217" t="str">
            <v>Bayunca</v>
          </cell>
          <cell r="H217" t="str">
            <v>salud_oral</v>
          </cell>
          <cell r="J217" t="str">
            <v>bueno</v>
          </cell>
          <cell r="K217" t="str">
            <v>defsi</v>
          </cell>
        </row>
        <row r="218">
          <cell r="B218" t="b">
            <v>1</v>
          </cell>
          <cell r="E218" t="str">
            <v>Bayunca</v>
          </cell>
          <cell r="H218" t="str">
            <v>consulta_externa</v>
          </cell>
          <cell r="J218" t="str">
            <v>bueno</v>
          </cell>
          <cell r="K218" t="str">
            <v>defsi</v>
          </cell>
        </row>
        <row r="219">
          <cell r="B219" t="b">
            <v>1</v>
          </cell>
          <cell r="E219" t="str">
            <v>San Francisco I</v>
          </cell>
          <cell r="H219" t="str">
            <v>consulta_externa</v>
          </cell>
          <cell r="J219" t="str">
            <v>bueno</v>
          </cell>
          <cell r="K219" t="str">
            <v>defsi</v>
          </cell>
        </row>
        <row r="220">
          <cell r="B220" t="b">
            <v>1</v>
          </cell>
          <cell r="E220" t="str">
            <v>Bayunca</v>
          </cell>
          <cell r="H220" t="str">
            <v>salud_oral</v>
          </cell>
          <cell r="J220" t="str">
            <v>bueno</v>
          </cell>
          <cell r="K220" t="str">
            <v>defsi</v>
          </cell>
        </row>
        <row r="221">
          <cell r="B221" t="b">
            <v>1</v>
          </cell>
          <cell r="E221" t="str">
            <v>San Francisco I</v>
          </cell>
          <cell r="H221" t="str">
            <v>salud_oral</v>
          </cell>
          <cell r="J221" t="str">
            <v>bueno</v>
          </cell>
          <cell r="K221" t="str">
            <v>defsi</v>
          </cell>
        </row>
        <row r="222">
          <cell r="B222" t="b">
            <v>1</v>
          </cell>
          <cell r="E222" t="str">
            <v>San Francisco I</v>
          </cell>
          <cell r="H222" t="str">
            <v>laboratorio</v>
          </cell>
          <cell r="J222" t="str">
            <v>bueno</v>
          </cell>
          <cell r="K222" t="str">
            <v>defsi</v>
          </cell>
        </row>
        <row r="223">
          <cell r="B223" t="b">
            <v>1</v>
          </cell>
          <cell r="E223" t="str">
            <v>Bayunca</v>
          </cell>
          <cell r="H223" t="str">
            <v>pediatria</v>
          </cell>
          <cell r="J223" t="str">
            <v>bueno</v>
          </cell>
          <cell r="K223" t="str">
            <v>defsi</v>
          </cell>
        </row>
        <row r="224">
          <cell r="B224" t="b">
            <v>1</v>
          </cell>
          <cell r="E224" t="str">
            <v>San Francisco I</v>
          </cell>
          <cell r="H224" t="str">
            <v>consulta_externa</v>
          </cell>
          <cell r="J224" t="str">
            <v>bueno</v>
          </cell>
          <cell r="K224" t="str">
            <v>defsi</v>
          </cell>
        </row>
        <row r="225">
          <cell r="B225" t="b">
            <v>1</v>
          </cell>
          <cell r="E225" t="str">
            <v>San Francisco I</v>
          </cell>
          <cell r="H225" t="str">
            <v>salud_oral</v>
          </cell>
          <cell r="J225" t="str">
            <v>bueno</v>
          </cell>
          <cell r="K225" t="str">
            <v>defsi</v>
          </cell>
        </row>
        <row r="226">
          <cell r="B226" t="b">
            <v>1</v>
          </cell>
          <cell r="E226" t="str">
            <v>San Francisco I</v>
          </cell>
          <cell r="H226" t="str">
            <v>laboratorio</v>
          </cell>
          <cell r="J226" t="str">
            <v>bueno</v>
          </cell>
          <cell r="K226" t="str">
            <v>defsi</v>
          </cell>
        </row>
        <row r="227">
          <cell r="B227" t="b">
            <v>1</v>
          </cell>
          <cell r="E227" t="str">
            <v>San Francisco I</v>
          </cell>
          <cell r="H227" t="str">
            <v>consulta_externa</v>
          </cell>
          <cell r="J227" t="str">
            <v>bueno</v>
          </cell>
          <cell r="K227" t="str">
            <v>defsi</v>
          </cell>
        </row>
        <row r="228">
          <cell r="B228" t="b">
            <v>1</v>
          </cell>
          <cell r="E228" t="str">
            <v>San Francisco I</v>
          </cell>
          <cell r="H228" t="str">
            <v>salud_oral</v>
          </cell>
          <cell r="J228" t="str">
            <v>bueno</v>
          </cell>
          <cell r="K228" t="str">
            <v>defsi</v>
          </cell>
        </row>
        <row r="229">
          <cell r="B229" t="b">
            <v>1</v>
          </cell>
          <cell r="E229" t="str">
            <v>San Francisco I</v>
          </cell>
          <cell r="H229" t="str">
            <v>laboratorio</v>
          </cell>
          <cell r="J229" t="str">
            <v>bueno</v>
          </cell>
          <cell r="K229" t="str">
            <v>defsi</v>
          </cell>
        </row>
        <row r="230">
          <cell r="B230" t="b">
            <v>1</v>
          </cell>
          <cell r="E230" t="str">
            <v>San Francisco I</v>
          </cell>
          <cell r="H230" t="str">
            <v>consulta_externa</v>
          </cell>
          <cell r="J230" t="str">
            <v>bueno</v>
          </cell>
          <cell r="K230" t="str">
            <v>defsi</v>
          </cell>
        </row>
        <row r="231">
          <cell r="B231" t="b">
            <v>1</v>
          </cell>
          <cell r="E231" t="str">
            <v>San Francisco I</v>
          </cell>
          <cell r="H231" t="str">
            <v>laboratorio</v>
          </cell>
          <cell r="J231" t="str">
            <v>bueno</v>
          </cell>
          <cell r="K231" t="str">
            <v>defsi</v>
          </cell>
        </row>
        <row r="232">
          <cell r="B232" t="b">
            <v>1</v>
          </cell>
          <cell r="E232" t="str">
            <v>Bayunca</v>
          </cell>
          <cell r="H232" t="str">
            <v>pediatria</v>
          </cell>
          <cell r="J232" t="str">
            <v>bueno</v>
          </cell>
          <cell r="K232" t="str">
            <v>defsi</v>
          </cell>
        </row>
        <row r="233">
          <cell r="B233" t="b">
            <v>1</v>
          </cell>
          <cell r="E233" t="str">
            <v>Bayunca</v>
          </cell>
          <cell r="H233" t="str">
            <v>pediatria</v>
          </cell>
          <cell r="J233" t="str">
            <v>muybueno</v>
          </cell>
          <cell r="K233" t="str">
            <v>defsi</v>
          </cell>
        </row>
        <row r="234">
          <cell r="B234" t="b">
            <v>1</v>
          </cell>
          <cell r="E234" t="str">
            <v>Bayunca</v>
          </cell>
          <cell r="H234" t="str">
            <v>pediatria</v>
          </cell>
          <cell r="J234" t="str">
            <v>bueno</v>
          </cell>
          <cell r="K234" t="str">
            <v>defsi</v>
          </cell>
        </row>
        <row r="235">
          <cell r="B235" t="b">
            <v>1</v>
          </cell>
          <cell r="E235" t="str">
            <v>Bayunca</v>
          </cell>
          <cell r="H235" t="str">
            <v>pediatria</v>
          </cell>
          <cell r="J235" t="str">
            <v>muybueno</v>
          </cell>
          <cell r="K235" t="str">
            <v>defsi</v>
          </cell>
        </row>
        <row r="236">
          <cell r="B236" t="b">
            <v>1</v>
          </cell>
          <cell r="E236" t="str">
            <v>Bayunca</v>
          </cell>
          <cell r="H236" t="str">
            <v>salud_oral</v>
          </cell>
          <cell r="J236" t="str">
            <v>bueno</v>
          </cell>
          <cell r="K236" t="str">
            <v>defsi</v>
          </cell>
        </row>
        <row r="237">
          <cell r="B237" t="b">
            <v>1</v>
          </cell>
          <cell r="E237" t="str">
            <v>Pontezuela</v>
          </cell>
          <cell r="H237" t="str">
            <v>consulta_externa</v>
          </cell>
          <cell r="J237" t="str">
            <v>bueno</v>
          </cell>
          <cell r="K237" t="str">
            <v>defsi</v>
          </cell>
        </row>
        <row r="238">
          <cell r="B238" t="b">
            <v>1</v>
          </cell>
          <cell r="E238" t="str">
            <v>Pontezuela</v>
          </cell>
          <cell r="H238" t="str">
            <v>consulta_externa</v>
          </cell>
          <cell r="J238" t="str">
            <v>bueno</v>
          </cell>
          <cell r="K238" t="str">
            <v>defsi</v>
          </cell>
        </row>
        <row r="239">
          <cell r="B239" t="b">
            <v>1</v>
          </cell>
          <cell r="E239" t="str">
            <v>Pontezuela</v>
          </cell>
          <cell r="H239" t="str">
            <v>consulta_externa</v>
          </cell>
          <cell r="J239" t="str">
            <v>bueno</v>
          </cell>
          <cell r="K239" t="str">
            <v>defsi</v>
          </cell>
        </row>
        <row r="240">
          <cell r="B240" t="b">
            <v>1</v>
          </cell>
          <cell r="E240" t="str">
            <v>Pontezuela</v>
          </cell>
          <cell r="H240" t="str">
            <v>salud_oral</v>
          </cell>
          <cell r="J240" t="str">
            <v>bueno</v>
          </cell>
          <cell r="K240" t="str">
            <v>defsi</v>
          </cell>
        </row>
        <row r="241">
          <cell r="B241" t="b">
            <v>1</v>
          </cell>
          <cell r="E241" t="str">
            <v>Pontezuela</v>
          </cell>
          <cell r="H241" t="str">
            <v>salud_oral</v>
          </cell>
          <cell r="J241" t="str">
            <v>bueno</v>
          </cell>
          <cell r="K241" t="str">
            <v>defsi</v>
          </cell>
        </row>
        <row r="242">
          <cell r="B242" t="b">
            <v>1</v>
          </cell>
          <cell r="E242" t="str">
            <v>Pontezuela</v>
          </cell>
          <cell r="H242" t="str">
            <v>consulta_externa</v>
          </cell>
          <cell r="J242" t="str">
            <v>bueno</v>
          </cell>
          <cell r="K242" t="str">
            <v>defsi</v>
          </cell>
        </row>
        <row r="243">
          <cell r="B243" t="b">
            <v>1</v>
          </cell>
          <cell r="E243" t="str">
            <v>Pontezuela</v>
          </cell>
          <cell r="H243" t="str">
            <v>consulta_externa</v>
          </cell>
          <cell r="J243" t="str">
            <v>muybueno</v>
          </cell>
          <cell r="K243" t="str">
            <v>defsi</v>
          </cell>
        </row>
        <row r="244">
          <cell r="B244" t="b">
            <v>1</v>
          </cell>
          <cell r="E244" t="str">
            <v>Daniel Lemaitre</v>
          </cell>
          <cell r="H244" t="str">
            <v>consulta_externa</v>
          </cell>
          <cell r="J244" t="str">
            <v>bueno</v>
          </cell>
          <cell r="K244" t="str">
            <v>defsi</v>
          </cell>
        </row>
        <row r="245">
          <cell r="B245" t="b">
            <v>1</v>
          </cell>
          <cell r="E245" t="str">
            <v>Daniel Lemaitre</v>
          </cell>
          <cell r="H245" t="str">
            <v>salud_oral</v>
          </cell>
          <cell r="J245" t="str">
            <v>bueno</v>
          </cell>
          <cell r="K245" t="str">
            <v>defsi</v>
          </cell>
        </row>
        <row r="246">
          <cell r="B246" t="b">
            <v>1</v>
          </cell>
          <cell r="E246" t="str">
            <v>Daniel Lemaitre</v>
          </cell>
          <cell r="H246" t="str">
            <v>laboratorio</v>
          </cell>
          <cell r="J246" t="str">
            <v>bueno</v>
          </cell>
          <cell r="K246" t="str">
            <v>defsi</v>
          </cell>
        </row>
        <row r="247">
          <cell r="B247" t="b">
            <v>1</v>
          </cell>
          <cell r="E247" t="str">
            <v>Daniel Lemaitre</v>
          </cell>
          <cell r="H247" t="str">
            <v>consulta_externa</v>
          </cell>
          <cell r="J247" t="str">
            <v>bueno</v>
          </cell>
          <cell r="K247" t="str">
            <v>defsi</v>
          </cell>
        </row>
        <row r="248">
          <cell r="B248" t="b">
            <v>1</v>
          </cell>
          <cell r="E248" t="str">
            <v>Daniel Lemaitre</v>
          </cell>
          <cell r="H248" t="str">
            <v>salud_oral</v>
          </cell>
          <cell r="J248" t="str">
            <v>bueno</v>
          </cell>
          <cell r="K248" t="str">
            <v>defsi</v>
          </cell>
        </row>
        <row r="249">
          <cell r="B249" t="b">
            <v>1</v>
          </cell>
          <cell r="E249" t="str">
            <v>Daniel Lemaitre</v>
          </cell>
          <cell r="H249" t="str">
            <v>laboratorio</v>
          </cell>
          <cell r="J249" t="str">
            <v>bueno</v>
          </cell>
          <cell r="K249" t="str">
            <v>defsi</v>
          </cell>
        </row>
        <row r="250">
          <cell r="B250" t="b">
            <v>1</v>
          </cell>
          <cell r="E250" t="str">
            <v>Pontezuela</v>
          </cell>
          <cell r="H250" t="str">
            <v>consulta_externa</v>
          </cell>
          <cell r="J250" t="str">
            <v>bueno</v>
          </cell>
          <cell r="K250" t="str">
            <v>defsi</v>
          </cell>
        </row>
        <row r="251">
          <cell r="B251" t="b">
            <v>0</v>
          </cell>
          <cell r="E251" t="str">
            <v>Pontezuela</v>
          </cell>
          <cell r="H251" t="str">
            <v>salud_oral</v>
          </cell>
          <cell r="J251" t="str">
            <v>regular</v>
          </cell>
          <cell r="K251" t="str">
            <v>defsi</v>
          </cell>
        </row>
        <row r="252">
          <cell r="B252" t="b">
            <v>1</v>
          </cell>
          <cell r="E252" t="str">
            <v>Pontezuela</v>
          </cell>
          <cell r="H252" t="str">
            <v>consulta_externa</v>
          </cell>
          <cell r="J252" t="str">
            <v>bueno</v>
          </cell>
          <cell r="K252" t="str">
            <v>defsi</v>
          </cell>
        </row>
        <row r="253">
          <cell r="B253" t="b">
            <v>1</v>
          </cell>
          <cell r="E253" t="str">
            <v>Pontezuela</v>
          </cell>
          <cell r="H253" t="str">
            <v>consulta_externa</v>
          </cell>
          <cell r="J253" t="str">
            <v>bueno</v>
          </cell>
          <cell r="K253" t="str">
            <v>defsi</v>
          </cell>
        </row>
        <row r="254">
          <cell r="B254" t="b">
            <v>1</v>
          </cell>
          <cell r="E254" t="str">
            <v>Pontezuela</v>
          </cell>
          <cell r="H254" t="str">
            <v>salud_oral</v>
          </cell>
          <cell r="J254" t="str">
            <v>bueno</v>
          </cell>
          <cell r="K254" t="str">
            <v>defsi</v>
          </cell>
        </row>
        <row r="255">
          <cell r="B255" t="b">
            <v>1</v>
          </cell>
          <cell r="E255" t="str">
            <v>Pontezuela</v>
          </cell>
          <cell r="H255" t="str">
            <v>consulta_externa</v>
          </cell>
          <cell r="J255" t="str">
            <v>bueno</v>
          </cell>
          <cell r="K255" t="str">
            <v>defsi</v>
          </cell>
        </row>
        <row r="256">
          <cell r="B256" t="b">
            <v>1</v>
          </cell>
          <cell r="E256" t="str">
            <v>Pontezuela</v>
          </cell>
          <cell r="H256" t="str">
            <v>salud_oral</v>
          </cell>
          <cell r="J256" t="str">
            <v>bueno</v>
          </cell>
          <cell r="K256" t="str">
            <v>defsi</v>
          </cell>
        </row>
        <row r="257">
          <cell r="B257" t="b">
            <v>1</v>
          </cell>
          <cell r="E257" t="str">
            <v>Daniel Lemaitre</v>
          </cell>
          <cell r="H257" t="str">
            <v>consulta_externa</v>
          </cell>
          <cell r="J257" t="str">
            <v>bueno</v>
          </cell>
          <cell r="K257" t="str">
            <v>defsi</v>
          </cell>
        </row>
        <row r="258">
          <cell r="B258" t="b">
            <v>1</v>
          </cell>
          <cell r="E258" t="str">
            <v>Daniel Lemaitre</v>
          </cell>
          <cell r="H258" t="str">
            <v>salud_oral</v>
          </cell>
          <cell r="J258" t="str">
            <v>bueno</v>
          </cell>
          <cell r="K258" t="str">
            <v>defsi</v>
          </cell>
        </row>
        <row r="259">
          <cell r="B259" t="b">
            <v>1</v>
          </cell>
          <cell r="E259" t="str">
            <v>Daniel Lemaitre</v>
          </cell>
          <cell r="H259" t="str">
            <v>laboratorio</v>
          </cell>
          <cell r="J259" t="str">
            <v>bueno</v>
          </cell>
          <cell r="K259" t="str">
            <v>defsi</v>
          </cell>
        </row>
        <row r="260">
          <cell r="B260" t="b">
            <v>1</v>
          </cell>
          <cell r="E260" t="str">
            <v>Daniel Lemaitre</v>
          </cell>
          <cell r="H260" t="str">
            <v>consulta_externa</v>
          </cell>
          <cell r="J260" t="str">
            <v>bueno</v>
          </cell>
          <cell r="K260" t="str">
            <v>defsi</v>
          </cell>
        </row>
        <row r="261">
          <cell r="B261" t="b">
            <v>1</v>
          </cell>
          <cell r="E261" t="str">
            <v>Daniel Lemaitre</v>
          </cell>
          <cell r="H261" t="str">
            <v>salud_oral</v>
          </cell>
          <cell r="J261" t="str">
            <v>bueno</v>
          </cell>
          <cell r="K261" t="str">
            <v>defsi</v>
          </cell>
        </row>
        <row r="262">
          <cell r="B262" t="b">
            <v>1</v>
          </cell>
          <cell r="E262" t="str">
            <v>Daniel Lemaitre</v>
          </cell>
          <cell r="H262" t="str">
            <v>laboratorio</v>
          </cell>
          <cell r="J262" t="str">
            <v>bueno</v>
          </cell>
          <cell r="K262" t="str">
            <v>defsi</v>
          </cell>
        </row>
        <row r="263">
          <cell r="B263" t="b">
            <v>1</v>
          </cell>
          <cell r="E263" t="str">
            <v>Daniel Lemaitre</v>
          </cell>
          <cell r="H263" t="str">
            <v>consulta_externa</v>
          </cell>
          <cell r="J263" t="str">
            <v>bueno</v>
          </cell>
          <cell r="K263" t="str">
            <v>defsi</v>
          </cell>
        </row>
        <row r="264">
          <cell r="B264" t="b">
            <v>1</v>
          </cell>
          <cell r="E264" t="str">
            <v>Daniel Lemaitre</v>
          </cell>
          <cell r="H264" t="str">
            <v>salud_oral</v>
          </cell>
          <cell r="J264" t="str">
            <v>bueno</v>
          </cell>
          <cell r="K264" t="str">
            <v>defsi</v>
          </cell>
        </row>
        <row r="265">
          <cell r="B265" t="b">
            <v>1</v>
          </cell>
          <cell r="E265" t="str">
            <v>Daniel Lemaitre</v>
          </cell>
          <cell r="H265" t="str">
            <v>laboratorio</v>
          </cell>
          <cell r="J265" t="str">
            <v>bueno</v>
          </cell>
          <cell r="K265" t="str">
            <v>defsi</v>
          </cell>
        </row>
        <row r="266">
          <cell r="B266" t="b">
            <v>1</v>
          </cell>
          <cell r="E266" t="str">
            <v>Fredonia</v>
          </cell>
          <cell r="H266" t="str">
            <v>salud_oral</v>
          </cell>
          <cell r="J266" t="str">
            <v>bueno</v>
          </cell>
          <cell r="K266" t="str">
            <v>probsi</v>
          </cell>
        </row>
        <row r="267">
          <cell r="B267" t="b">
            <v>1</v>
          </cell>
          <cell r="E267" t="str">
            <v>Fredonia</v>
          </cell>
          <cell r="H267" t="str">
            <v>salud_oral</v>
          </cell>
          <cell r="J267" t="str">
            <v>bueno</v>
          </cell>
          <cell r="K267" t="str">
            <v>probsi</v>
          </cell>
        </row>
        <row r="268">
          <cell r="B268" t="b">
            <v>1</v>
          </cell>
          <cell r="E268" t="str">
            <v>Nuevo Porvenir</v>
          </cell>
          <cell r="H268" t="str">
            <v>salud_oral</v>
          </cell>
          <cell r="J268" t="str">
            <v>bueno</v>
          </cell>
          <cell r="K268" t="str">
            <v>probsi</v>
          </cell>
        </row>
        <row r="269">
          <cell r="B269" t="b">
            <v>1</v>
          </cell>
          <cell r="E269" t="str">
            <v>Nuevo Porvenir</v>
          </cell>
          <cell r="H269" t="str">
            <v>salud_oral</v>
          </cell>
          <cell r="J269" t="str">
            <v>bueno</v>
          </cell>
          <cell r="K269" t="str">
            <v>probsi</v>
          </cell>
        </row>
        <row r="270">
          <cell r="B270" t="b">
            <v>1</v>
          </cell>
          <cell r="E270" t="str">
            <v>Nuevo Porvenir</v>
          </cell>
          <cell r="H270" t="str">
            <v>salud_oral</v>
          </cell>
          <cell r="J270" t="str">
            <v>bueno</v>
          </cell>
          <cell r="K270" t="str">
            <v>probsi</v>
          </cell>
        </row>
        <row r="271">
          <cell r="B271" t="b">
            <v>1</v>
          </cell>
          <cell r="E271" t="str">
            <v>Nuevo Porvenir</v>
          </cell>
          <cell r="H271" t="str">
            <v>laboratorio</v>
          </cell>
          <cell r="J271" t="str">
            <v>bueno</v>
          </cell>
          <cell r="K271" t="str">
            <v>probsi</v>
          </cell>
        </row>
        <row r="272">
          <cell r="B272" t="b">
            <v>1</v>
          </cell>
          <cell r="E272" t="str">
            <v>Nuevo Porvenir</v>
          </cell>
          <cell r="H272" t="str">
            <v>laboratorio</v>
          </cell>
          <cell r="J272" t="str">
            <v>bueno</v>
          </cell>
          <cell r="K272" t="str">
            <v>probsi</v>
          </cell>
        </row>
        <row r="273">
          <cell r="B273" t="b">
            <v>1</v>
          </cell>
          <cell r="E273" t="str">
            <v>Nuevo Porvenir</v>
          </cell>
          <cell r="H273" t="str">
            <v>salud_oral</v>
          </cell>
          <cell r="J273" t="str">
            <v>bueno</v>
          </cell>
          <cell r="K273" t="str">
            <v>probsi</v>
          </cell>
        </row>
        <row r="274">
          <cell r="B274" t="b">
            <v>1</v>
          </cell>
          <cell r="E274" t="str">
            <v>Nuevo Porvenir</v>
          </cell>
          <cell r="H274" t="str">
            <v>salud_oral</v>
          </cell>
          <cell r="J274" t="str">
            <v>bueno</v>
          </cell>
          <cell r="K274" t="str">
            <v>probsi</v>
          </cell>
        </row>
        <row r="275">
          <cell r="B275" t="b">
            <v>1</v>
          </cell>
          <cell r="E275" t="str">
            <v>Nuevo Porvenir</v>
          </cell>
          <cell r="H275" t="str">
            <v>salud_oral</v>
          </cell>
          <cell r="J275" t="str">
            <v>bueno</v>
          </cell>
          <cell r="K275" t="str">
            <v>probsi</v>
          </cell>
        </row>
        <row r="276">
          <cell r="B276" t="b">
            <v>1</v>
          </cell>
          <cell r="E276" t="str">
            <v>Nuevo Porvenir</v>
          </cell>
          <cell r="H276" t="str">
            <v>salud_oral</v>
          </cell>
          <cell r="J276" t="str">
            <v>bueno</v>
          </cell>
          <cell r="K276" t="str">
            <v>probsi</v>
          </cell>
        </row>
        <row r="277">
          <cell r="B277" t="b">
            <v>1</v>
          </cell>
          <cell r="E277" t="str">
            <v>Pontezuela</v>
          </cell>
          <cell r="H277" t="str">
            <v>consulta_externa</v>
          </cell>
          <cell r="J277" t="str">
            <v>bueno</v>
          </cell>
          <cell r="K277" t="str">
            <v>defsi</v>
          </cell>
        </row>
        <row r="278">
          <cell r="B278" t="b">
            <v>1</v>
          </cell>
          <cell r="E278" t="str">
            <v>Pontezuela</v>
          </cell>
          <cell r="H278" t="str">
            <v>salud_oral</v>
          </cell>
          <cell r="J278" t="str">
            <v>bueno</v>
          </cell>
          <cell r="K278" t="str">
            <v>defsi</v>
          </cell>
        </row>
        <row r="279">
          <cell r="B279" t="b">
            <v>1</v>
          </cell>
          <cell r="E279" t="str">
            <v>Pontezuela</v>
          </cell>
          <cell r="H279" t="str">
            <v>salud_oral</v>
          </cell>
          <cell r="J279" t="str">
            <v>bueno</v>
          </cell>
          <cell r="K279" t="str">
            <v>defsi</v>
          </cell>
        </row>
        <row r="280">
          <cell r="B280" t="b">
            <v>1</v>
          </cell>
          <cell r="E280" t="str">
            <v>Pontezuela</v>
          </cell>
          <cell r="H280" t="str">
            <v>salud_oral</v>
          </cell>
          <cell r="J280" t="str">
            <v>bueno</v>
          </cell>
          <cell r="K280" t="str">
            <v>defsi</v>
          </cell>
        </row>
        <row r="281">
          <cell r="B281" t="b">
            <v>1</v>
          </cell>
          <cell r="E281" t="str">
            <v>Pontezuela</v>
          </cell>
          <cell r="H281" t="str">
            <v>consulta_externa</v>
          </cell>
          <cell r="J281" t="str">
            <v>bueno</v>
          </cell>
          <cell r="K281" t="str">
            <v>defsi</v>
          </cell>
        </row>
        <row r="282">
          <cell r="B282" t="b">
            <v>1</v>
          </cell>
          <cell r="E282" t="str">
            <v>Daniel Lemaitre</v>
          </cell>
          <cell r="H282" t="str">
            <v>consulta_externa</v>
          </cell>
          <cell r="J282" t="str">
            <v>bueno</v>
          </cell>
          <cell r="K282" t="str">
            <v>defsi</v>
          </cell>
        </row>
        <row r="283">
          <cell r="B283" t="b">
            <v>1</v>
          </cell>
          <cell r="E283" t="str">
            <v>Daniel Lemaitre</v>
          </cell>
          <cell r="H283" t="str">
            <v>salud_oral</v>
          </cell>
          <cell r="J283" t="str">
            <v>bueno</v>
          </cell>
          <cell r="K283" t="str">
            <v>defsi</v>
          </cell>
        </row>
        <row r="284">
          <cell r="B284" t="b">
            <v>1</v>
          </cell>
          <cell r="E284" t="str">
            <v>Daniel Lemaitre</v>
          </cell>
          <cell r="H284" t="str">
            <v>laboratorio</v>
          </cell>
          <cell r="J284" t="str">
            <v>bueno</v>
          </cell>
          <cell r="K284" t="str">
            <v>defsi</v>
          </cell>
        </row>
        <row r="285">
          <cell r="B285" t="b">
            <v>1</v>
          </cell>
          <cell r="E285" t="str">
            <v>Daniel Lemaitre</v>
          </cell>
          <cell r="H285" t="str">
            <v>consulta_externa</v>
          </cell>
          <cell r="J285" t="str">
            <v>bueno</v>
          </cell>
          <cell r="K285" t="str">
            <v>defsi</v>
          </cell>
        </row>
        <row r="286">
          <cell r="B286" t="b">
            <v>1</v>
          </cell>
          <cell r="E286" t="str">
            <v>Daniel Lemaitre</v>
          </cell>
          <cell r="H286" t="str">
            <v>salud_oral</v>
          </cell>
          <cell r="J286" t="str">
            <v>bueno</v>
          </cell>
          <cell r="K286" t="str">
            <v>defsi</v>
          </cell>
        </row>
        <row r="287">
          <cell r="B287" t="b">
            <v>1</v>
          </cell>
          <cell r="E287" t="str">
            <v>Daniel Lemaitre</v>
          </cell>
          <cell r="H287" t="str">
            <v>laboratorio</v>
          </cell>
          <cell r="J287" t="str">
            <v>bueno</v>
          </cell>
          <cell r="K287" t="str">
            <v>defsi</v>
          </cell>
        </row>
        <row r="288">
          <cell r="B288" t="b">
            <v>1</v>
          </cell>
          <cell r="E288" t="str">
            <v>Daniel Lemaitre</v>
          </cell>
          <cell r="H288" t="str">
            <v>consulta_externa</v>
          </cell>
          <cell r="J288" t="str">
            <v>bueno</v>
          </cell>
          <cell r="K288" t="str">
            <v>defsi</v>
          </cell>
        </row>
        <row r="289">
          <cell r="B289" t="b">
            <v>1</v>
          </cell>
          <cell r="E289" t="str">
            <v>Daniel Lemaitre</v>
          </cell>
          <cell r="H289" t="str">
            <v>salud_oral</v>
          </cell>
          <cell r="J289" t="str">
            <v>bueno</v>
          </cell>
          <cell r="K289" t="str">
            <v>defsi</v>
          </cell>
        </row>
        <row r="290">
          <cell r="B290" t="b">
            <v>1</v>
          </cell>
          <cell r="E290" t="str">
            <v>Daniel Lemaitre</v>
          </cell>
          <cell r="H290" t="str">
            <v>laboratorio</v>
          </cell>
          <cell r="J290" t="str">
            <v>bueno</v>
          </cell>
          <cell r="K290" t="str">
            <v>defsi</v>
          </cell>
        </row>
        <row r="291">
          <cell r="B291" t="b">
            <v>1</v>
          </cell>
          <cell r="E291" t="str">
            <v>Daniel Lemaitre</v>
          </cell>
          <cell r="H291" t="str">
            <v>consulta_externa</v>
          </cell>
          <cell r="J291" t="str">
            <v>bueno</v>
          </cell>
          <cell r="K291" t="str">
            <v>defsi</v>
          </cell>
        </row>
        <row r="292">
          <cell r="B292" t="b">
            <v>1</v>
          </cell>
          <cell r="E292" t="str">
            <v>Daniel Lemaitre</v>
          </cell>
          <cell r="H292" t="str">
            <v>salud_oral</v>
          </cell>
          <cell r="J292" t="str">
            <v>bueno</v>
          </cell>
          <cell r="K292" t="str">
            <v>defsi</v>
          </cell>
        </row>
        <row r="293">
          <cell r="B293" t="b">
            <v>1</v>
          </cell>
          <cell r="E293" t="str">
            <v>Daniel Lemaitre</v>
          </cell>
          <cell r="H293" t="str">
            <v>laboratorio</v>
          </cell>
          <cell r="J293" t="str">
            <v>bueno</v>
          </cell>
          <cell r="K293" t="str">
            <v>defsi</v>
          </cell>
        </row>
        <row r="294">
          <cell r="B294" t="b">
            <v>1</v>
          </cell>
          <cell r="E294" t="str">
            <v>Daniel Lemaitre</v>
          </cell>
          <cell r="H294" t="str">
            <v>consulta_externa</v>
          </cell>
          <cell r="J294" t="str">
            <v>bueno</v>
          </cell>
          <cell r="K294" t="str">
            <v>defsi</v>
          </cell>
        </row>
        <row r="295">
          <cell r="B295" t="b">
            <v>1</v>
          </cell>
          <cell r="E295" t="str">
            <v>Daniel Lemaitre</v>
          </cell>
          <cell r="H295" t="str">
            <v>salud_oral</v>
          </cell>
          <cell r="J295" t="str">
            <v>bueno</v>
          </cell>
          <cell r="K295" t="str">
            <v>defsi</v>
          </cell>
        </row>
        <row r="296">
          <cell r="B296" t="b">
            <v>1</v>
          </cell>
          <cell r="E296" t="str">
            <v>Daniel Lemaitre</v>
          </cell>
          <cell r="H296" t="str">
            <v>salud_oral</v>
          </cell>
          <cell r="J296" t="str">
            <v>bueno</v>
          </cell>
          <cell r="K296" t="str">
            <v>defsi</v>
          </cell>
        </row>
        <row r="297">
          <cell r="B297" t="b">
            <v>1</v>
          </cell>
          <cell r="E297" t="str">
            <v>Daniel Lemaitre</v>
          </cell>
          <cell r="H297" t="str">
            <v>laboratorio</v>
          </cell>
          <cell r="J297" t="str">
            <v>bueno</v>
          </cell>
          <cell r="K297" t="str">
            <v>defsi</v>
          </cell>
        </row>
        <row r="298">
          <cell r="B298" t="b">
            <v>1</v>
          </cell>
          <cell r="E298" t="str">
            <v>San Vicente de Paul</v>
          </cell>
          <cell r="H298" t="str">
            <v>consulta_externa</v>
          </cell>
          <cell r="J298" t="str">
            <v>bueno</v>
          </cell>
          <cell r="K298" t="str">
            <v>probsi</v>
          </cell>
        </row>
        <row r="299">
          <cell r="B299" t="b">
            <v>1</v>
          </cell>
          <cell r="E299" t="str">
            <v>San Vicente de Paul</v>
          </cell>
          <cell r="H299" t="str">
            <v>consulta_externa</v>
          </cell>
          <cell r="J299" t="str">
            <v>bueno</v>
          </cell>
          <cell r="K299" t="str">
            <v>probsi</v>
          </cell>
        </row>
        <row r="300">
          <cell r="B300" t="b">
            <v>1</v>
          </cell>
          <cell r="E300" t="str">
            <v>San Vicente de Paul</v>
          </cell>
          <cell r="H300" t="str">
            <v>consulta_externa</v>
          </cell>
          <cell r="J300" t="str">
            <v>bueno</v>
          </cell>
          <cell r="K300" t="str">
            <v>probsi</v>
          </cell>
        </row>
        <row r="301">
          <cell r="B301" t="b">
            <v>1</v>
          </cell>
          <cell r="E301" t="str">
            <v>San Vicente de Paul</v>
          </cell>
          <cell r="H301" t="str">
            <v>consulta_externa</v>
          </cell>
          <cell r="J301" t="str">
            <v>bueno</v>
          </cell>
          <cell r="K301" t="str">
            <v>probsi</v>
          </cell>
        </row>
        <row r="302">
          <cell r="B302" t="b">
            <v>1</v>
          </cell>
          <cell r="E302" t="str">
            <v>San Vicente de Paul</v>
          </cell>
          <cell r="H302" t="str">
            <v>salud_oral</v>
          </cell>
          <cell r="J302" t="str">
            <v>bueno</v>
          </cell>
          <cell r="K302" t="str">
            <v>probsi</v>
          </cell>
        </row>
        <row r="303">
          <cell r="B303" t="b">
            <v>1</v>
          </cell>
          <cell r="E303" t="str">
            <v>San Vicente de Paul</v>
          </cell>
          <cell r="H303" t="str">
            <v>laboratorio</v>
          </cell>
          <cell r="J303" t="str">
            <v>bueno</v>
          </cell>
          <cell r="K303" t="str">
            <v>probsi</v>
          </cell>
        </row>
        <row r="304">
          <cell r="B304" t="b">
            <v>1</v>
          </cell>
          <cell r="E304" t="str">
            <v>San Vicente de Paul</v>
          </cell>
          <cell r="H304" t="str">
            <v>consulta_externa</v>
          </cell>
          <cell r="J304" t="str">
            <v>bueno</v>
          </cell>
          <cell r="K304" t="str">
            <v>probsi</v>
          </cell>
        </row>
        <row r="305">
          <cell r="B305" t="b">
            <v>1</v>
          </cell>
          <cell r="E305" t="str">
            <v>San Vicente de Paul</v>
          </cell>
          <cell r="H305" t="str">
            <v>consulta_externa</v>
          </cell>
          <cell r="J305" t="str">
            <v>bueno</v>
          </cell>
          <cell r="K305" t="str">
            <v>probsi</v>
          </cell>
        </row>
        <row r="306">
          <cell r="B306" t="b">
            <v>1</v>
          </cell>
          <cell r="E306" t="str">
            <v>San Vicente de Paul</v>
          </cell>
          <cell r="H306" t="str">
            <v>consulta_externa</v>
          </cell>
          <cell r="J306" t="str">
            <v>bueno</v>
          </cell>
          <cell r="K306" t="str">
            <v>probsi</v>
          </cell>
        </row>
        <row r="307">
          <cell r="B307" t="b">
            <v>1</v>
          </cell>
          <cell r="E307" t="str">
            <v>San Vicente de Paul</v>
          </cell>
          <cell r="H307" t="str">
            <v>laboratorio</v>
          </cell>
          <cell r="J307" t="str">
            <v>bueno</v>
          </cell>
          <cell r="K307" t="str">
            <v>probsi</v>
          </cell>
        </row>
        <row r="308">
          <cell r="B308" t="b">
            <v>1</v>
          </cell>
          <cell r="E308" t="str">
            <v>San Vicente de Paul</v>
          </cell>
          <cell r="H308" t="str">
            <v>laboratorio</v>
          </cell>
          <cell r="J308" t="str">
            <v>bueno</v>
          </cell>
          <cell r="K308" t="str">
            <v>probsi</v>
          </cell>
        </row>
        <row r="309">
          <cell r="B309" t="b">
            <v>1</v>
          </cell>
          <cell r="E309" t="str">
            <v>San Vicente de Paul</v>
          </cell>
          <cell r="H309" t="str">
            <v>laboratorio</v>
          </cell>
          <cell r="J309" t="str">
            <v>bueno</v>
          </cell>
          <cell r="K309" t="str">
            <v>probsi</v>
          </cell>
        </row>
        <row r="310">
          <cell r="B310" t="b">
            <v>1</v>
          </cell>
          <cell r="E310" t="str">
            <v>San Vicente de Paul</v>
          </cell>
          <cell r="H310" t="str">
            <v>laboratorio</v>
          </cell>
          <cell r="J310" t="str">
            <v>bueno</v>
          </cell>
          <cell r="K310" t="str">
            <v>probsi</v>
          </cell>
        </row>
        <row r="311">
          <cell r="B311" t="b">
            <v>1</v>
          </cell>
          <cell r="E311" t="str">
            <v>San Vicente de Paul</v>
          </cell>
          <cell r="H311" t="str">
            <v>laboratorio</v>
          </cell>
          <cell r="J311" t="str">
            <v>bueno</v>
          </cell>
          <cell r="K311" t="str">
            <v>probsi</v>
          </cell>
        </row>
        <row r="312">
          <cell r="B312" t="b">
            <v>1</v>
          </cell>
          <cell r="E312" t="str">
            <v>San Vicente de Paul</v>
          </cell>
          <cell r="H312" t="str">
            <v>laboratorio</v>
          </cell>
          <cell r="J312" t="str">
            <v>bueno</v>
          </cell>
          <cell r="K312" t="str">
            <v>probsi</v>
          </cell>
        </row>
        <row r="313">
          <cell r="B313" t="b">
            <v>1</v>
          </cell>
          <cell r="E313" t="str">
            <v>San Vicente de Paul</v>
          </cell>
          <cell r="H313" t="str">
            <v>laboratorio</v>
          </cell>
          <cell r="J313" t="str">
            <v>bueno</v>
          </cell>
          <cell r="K313" t="str">
            <v>probsi</v>
          </cell>
        </row>
        <row r="314">
          <cell r="B314" t="b">
            <v>1</v>
          </cell>
          <cell r="E314" t="str">
            <v>San Vicente de Paul</v>
          </cell>
          <cell r="H314" t="str">
            <v>laboratorio</v>
          </cell>
          <cell r="J314" t="str">
            <v>bueno</v>
          </cell>
          <cell r="K314" t="str">
            <v>probsi</v>
          </cell>
        </row>
        <row r="315">
          <cell r="B315" t="b">
            <v>1</v>
          </cell>
          <cell r="E315" t="str">
            <v>Esperanza</v>
          </cell>
          <cell r="H315" t="str">
            <v>consulta_externa</v>
          </cell>
          <cell r="J315" t="str">
            <v>bueno</v>
          </cell>
          <cell r="K315" t="str">
            <v>defsi</v>
          </cell>
        </row>
        <row r="316">
          <cell r="B316" t="b">
            <v>1</v>
          </cell>
          <cell r="E316" t="str">
            <v>Esperanza</v>
          </cell>
          <cell r="H316" t="str">
            <v>salud_oral</v>
          </cell>
          <cell r="J316" t="str">
            <v>bueno</v>
          </cell>
          <cell r="K316" t="str">
            <v>defsi</v>
          </cell>
        </row>
        <row r="317">
          <cell r="B317" t="b">
            <v>1</v>
          </cell>
          <cell r="E317" t="str">
            <v>Esperanza</v>
          </cell>
          <cell r="H317" t="str">
            <v>laboratorio</v>
          </cell>
          <cell r="J317" t="str">
            <v>bueno</v>
          </cell>
          <cell r="K317" t="str">
            <v>defsi</v>
          </cell>
        </row>
        <row r="318">
          <cell r="B318" t="b">
            <v>1</v>
          </cell>
          <cell r="E318" t="str">
            <v>Esperanza</v>
          </cell>
          <cell r="H318" t="str">
            <v>urgencia</v>
          </cell>
          <cell r="J318" t="str">
            <v>bueno</v>
          </cell>
          <cell r="K318" t="str">
            <v>defsi</v>
          </cell>
        </row>
        <row r="319">
          <cell r="B319" t="b">
            <v>1</v>
          </cell>
          <cell r="E319" t="str">
            <v>Gaviotas</v>
          </cell>
          <cell r="H319" t="str">
            <v>consulta_externa</v>
          </cell>
          <cell r="J319" t="str">
            <v>bueno</v>
          </cell>
          <cell r="K319" t="str">
            <v>probsi</v>
          </cell>
        </row>
        <row r="320">
          <cell r="B320" t="b">
            <v>1</v>
          </cell>
          <cell r="E320" t="str">
            <v>Gaviotas</v>
          </cell>
          <cell r="H320" t="str">
            <v>salud_oral</v>
          </cell>
          <cell r="J320" t="str">
            <v>bueno</v>
          </cell>
          <cell r="K320" t="str">
            <v>probsi</v>
          </cell>
        </row>
        <row r="321">
          <cell r="B321" t="b">
            <v>1</v>
          </cell>
          <cell r="E321" t="str">
            <v>Gaviotas</v>
          </cell>
          <cell r="H321" t="str">
            <v>laboratorio</v>
          </cell>
          <cell r="J321" t="str">
            <v>bueno</v>
          </cell>
          <cell r="K321" t="str">
            <v>probsi</v>
          </cell>
        </row>
        <row r="322">
          <cell r="B322" t="b">
            <v>1</v>
          </cell>
          <cell r="E322" t="str">
            <v>Gaviotas</v>
          </cell>
          <cell r="H322" t="str">
            <v>consulta_externa</v>
          </cell>
          <cell r="J322" t="str">
            <v>bueno</v>
          </cell>
          <cell r="K322" t="str">
            <v>probsi</v>
          </cell>
        </row>
        <row r="323">
          <cell r="B323" t="b">
            <v>1</v>
          </cell>
          <cell r="E323" t="str">
            <v>Gaviotas</v>
          </cell>
          <cell r="H323" t="str">
            <v>consulta_externa</v>
          </cell>
          <cell r="J323" t="str">
            <v>bueno</v>
          </cell>
          <cell r="K323" t="str">
            <v>probsi</v>
          </cell>
        </row>
        <row r="324">
          <cell r="B324" t="b">
            <v>1</v>
          </cell>
          <cell r="E324" t="str">
            <v>Gaviotas</v>
          </cell>
          <cell r="H324" t="str">
            <v>salud_oral</v>
          </cell>
          <cell r="J324" t="str">
            <v>bueno</v>
          </cell>
          <cell r="K324" t="str">
            <v>probsi</v>
          </cell>
        </row>
        <row r="325">
          <cell r="B325" t="b">
            <v>1</v>
          </cell>
          <cell r="E325" t="str">
            <v>Gaviotas</v>
          </cell>
          <cell r="H325" t="str">
            <v>laboratorio</v>
          </cell>
          <cell r="J325" t="str">
            <v>bueno</v>
          </cell>
          <cell r="K325" t="str">
            <v>probsi</v>
          </cell>
        </row>
        <row r="326">
          <cell r="B326" t="b">
            <v>1</v>
          </cell>
          <cell r="E326" t="str">
            <v>Gaviotas</v>
          </cell>
          <cell r="H326" t="str">
            <v>salud_oral</v>
          </cell>
          <cell r="J326" t="str">
            <v>bueno</v>
          </cell>
          <cell r="K326" t="str">
            <v>probsi</v>
          </cell>
        </row>
        <row r="327">
          <cell r="B327" t="b">
            <v>1</v>
          </cell>
          <cell r="E327" t="str">
            <v>Gaviotas</v>
          </cell>
          <cell r="H327" t="str">
            <v>consulta_externa</v>
          </cell>
          <cell r="J327" t="str">
            <v>bueno</v>
          </cell>
          <cell r="K327" t="str">
            <v>probsi</v>
          </cell>
        </row>
        <row r="328">
          <cell r="B328" t="b">
            <v>1</v>
          </cell>
          <cell r="E328" t="str">
            <v>Gaviotas</v>
          </cell>
          <cell r="H328" t="str">
            <v>consulta_externa</v>
          </cell>
          <cell r="J328" t="str">
            <v>bueno</v>
          </cell>
          <cell r="K328" t="str">
            <v>probsi</v>
          </cell>
        </row>
        <row r="329">
          <cell r="B329" t="b">
            <v>1</v>
          </cell>
          <cell r="E329" t="str">
            <v>Gaviotas</v>
          </cell>
          <cell r="H329" t="str">
            <v>laboratorio</v>
          </cell>
          <cell r="J329" t="str">
            <v>bueno</v>
          </cell>
          <cell r="K329" t="str">
            <v>probsi</v>
          </cell>
        </row>
        <row r="330">
          <cell r="B330" t="b">
            <v>1</v>
          </cell>
          <cell r="E330" t="str">
            <v>Esperanza</v>
          </cell>
          <cell r="H330" t="str">
            <v>electros</v>
          </cell>
          <cell r="J330" t="str">
            <v>bueno</v>
          </cell>
          <cell r="K330" t="str">
            <v>defsi</v>
          </cell>
        </row>
        <row r="331">
          <cell r="B331" t="b">
            <v>1</v>
          </cell>
          <cell r="E331" t="str">
            <v>Gaviotas</v>
          </cell>
          <cell r="H331" t="str">
            <v>consulta_externa</v>
          </cell>
          <cell r="J331" t="str">
            <v>bueno</v>
          </cell>
          <cell r="K331" t="str">
            <v>probsi</v>
          </cell>
        </row>
        <row r="332">
          <cell r="B332" t="b">
            <v>1</v>
          </cell>
          <cell r="E332" t="str">
            <v>Gaviotas</v>
          </cell>
          <cell r="H332" t="str">
            <v>laboratorio</v>
          </cell>
          <cell r="J332" t="str">
            <v>bueno</v>
          </cell>
          <cell r="K332" t="str">
            <v>probsi</v>
          </cell>
        </row>
        <row r="333">
          <cell r="B333" t="b">
            <v>1</v>
          </cell>
          <cell r="E333" t="str">
            <v>Esperanza</v>
          </cell>
          <cell r="H333" t="str">
            <v>consulta_externa</v>
          </cell>
          <cell r="J333" t="str">
            <v>bueno</v>
          </cell>
          <cell r="K333" t="str">
            <v>defsi</v>
          </cell>
        </row>
        <row r="334">
          <cell r="B334" t="b">
            <v>1</v>
          </cell>
          <cell r="E334" t="str">
            <v>Esperanza</v>
          </cell>
          <cell r="H334" t="str">
            <v>salud_oral</v>
          </cell>
          <cell r="J334" t="str">
            <v>bueno</v>
          </cell>
          <cell r="K334" t="str">
            <v>defsi</v>
          </cell>
        </row>
        <row r="335">
          <cell r="B335" t="b">
            <v>1</v>
          </cell>
          <cell r="E335" t="str">
            <v>Esperanza</v>
          </cell>
          <cell r="H335" t="str">
            <v>laboratorio</v>
          </cell>
          <cell r="J335" t="str">
            <v>bueno</v>
          </cell>
          <cell r="K335" t="str">
            <v>defsi</v>
          </cell>
        </row>
        <row r="336">
          <cell r="B336" t="b">
            <v>1</v>
          </cell>
          <cell r="E336" t="str">
            <v>Esperanza</v>
          </cell>
          <cell r="H336" t="str">
            <v>urgencia</v>
          </cell>
          <cell r="J336" t="str">
            <v>bueno</v>
          </cell>
          <cell r="K336" t="str">
            <v>defsi</v>
          </cell>
        </row>
        <row r="337">
          <cell r="B337" t="b">
            <v>1</v>
          </cell>
          <cell r="E337" t="str">
            <v>Esperanza</v>
          </cell>
          <cell r="H337" t="str">
            <v>electros</v>
          </cell>
          <cell r="J337" t="str">
            <v>bueno</v>
          </cell>
          <cell r="K337" t="str">
            <v>defsi</v>
          </cell>
        </row>
        <row r="338">
          <cell r="B338" t="b">
            <v>1</v>
          </cell>
          <cell r="E338" t="str">
            <v>Arroz Barato</v>
          </cell>
          <cell r="H338" t="str">
            <v>consulta_externa</v>
          </cell>
          <cell r="J338" t="str">
            <v>bueno</v>
          </cell>
          <cell r="K338" t="str">
            <v>defsi</v>
          </cell>
        </row>
        <row r="339">
          <cell r="B339" t="b">
            <v>1</v>
          </cell>
          <cell r="E339" t="str">
            <v>Arroz Barato</v>
          </cell>
          <cell r="H339" t="str">
            <v>consulta_externa</v>
          </cell>
          <cell r="J339" t="str">
            <v>bueno</v>
          </cell>
          <cell r="K339" t="str">
            <v>defsi</v>
          </cell>
        </row>
        <row r="340">
          <cell r="B340" t="b">
            <v>1</v>
          </cell>
          <cell r="E340" t="str">
            <v>Arroz Barato</v>
          </cell>
          <cell r="H340" t="str">
            <v>laboratorio</v>
          </cell>
          <cell r="J340" t="str">
            <v>bueno</v>
          </cell>
          <cell r="K340" t="str">
            <v>defsi</v>
          </cell>
        </row>
        <row r="341">
          <cell r="B341" t="b">
            <v>1</v>
          </cell>
          <cell r="E341" t="str">
            <v>Arroz Barato</v>
          </cell>
          <cell r="H341" t="str">
            <v>laboratorio</v>
          </cell>
          <cell r="J341" t="str">
            <v>bueno</v>
          </cell>
          <cell r="K341" t="str">
            <v>defsi</v>
          </cell>
        </row>
        <row r="342">
          <cell r="B342" t="b">
            <v>1</v>
          </cell>
          <cell r="E342" t="str">
            <v>Arroz Barato</v>
          </cell>
          <cell r="H342" t="str">
            <v>laboratorio</v>
          </cell>
          <cell r="J342" t="str">
            <v>bueno</v>
          </cell>
          <cell r="K342" t="str">
            <v>defsi</v>
          </cell>
        </row>
        <row r="343">
          <cell r="B343" t="b">
            <v>1</v>
          </cell>
          <cell r="E343" t="str">
            <v>Arroz Barato</v>
          </cell>
          <cell r="H343" t="str">
            <v>laboratorio</v>
          </cell>
          <cell r="J343" t="str">
            <v>bueno</v>
          </cell>
          <cell r="K343" t="str">
            <v>defsi</v>
          </cell>
        </row>
        <row r="344">
          <cell r="B344" t="b">
            <v>1</v>
          </cell>
          <cell r="E344" t="str">
            <v>Arroz Barato</v>
          </cell>
          <cell r="H344" t="str">
            <v>consulta_externa</v>
          </cell>
          <cell r="J344" t="str">
            <v>bueno</v>
          </cell>
          <cell r="K344" t="str">
            <v>defsi</v>
          </cell>
        </row>
        <row r="345">
          <cell r="B345" t="b">
            <v>1</v>
          </cell>
          <cell r="E345" t="str">
            <v>Arroz Barato</v>
          </cell>
          <cell r="H345" t="str">
            <v>consulta_externa</v>
          </cell>
          <cell r="J345" t="str">
            <v>bueno</v>
          </cell>
          <cell r="K345" t="str">
            <v>defsi</v>
          </cell>
        </row>
        <row r="346">
          <cell r="B346" t="b">
            <v>0</v>
          </cell>
          <cell r="E346" t="str">
            <v>Arroz Barato</v>
          </cell>
          <cell r="H346" t="str">
            <v>salud_oral</v>
          </cell>
          <cell r="J346" t="str">
            <v>regular</v>
          </cell>
          <cell r="K346" t="str">
            <v>probsi</v>
          </cell>
        </row>
        <row r="347">
          <cell r="B347" t="b">
            <v>0</v>
          </cell>
          <cell r="E347" t="str">
            <v>Arroz Barato</v>
          </cell>
          <cell r="H347" t="str">
            <v>salud_oral</v>
          </cell>
          <cell r="J347" t="str">
            <v>regular</v>
          </cell>
          <cell r="K347" t="str">
            <v>probsi</v>
          </cell>
        </row>
        <row r="348">
          <cell r="B348" t="b">
            <v>1</v>
          </cell>
          <cell r="E348" t="str">
            <v>Arroz Barato</v>
          </cell>
          <cell r="H348" t="str">
            <v>rx</v>
          </cell>
          <cell r="J348" t="str">
            <v>bueno</v>
          </cell>
          <cell r="K348" t="str">
            <v>defsi</v>
          </cell>
        </row>
        <row r="349">
          <cell r="B349" t="b">
            <v>0</v>
          </cell>
          <cell r="E349" t="str">
            <v>Arroz Barato</v>
          </cell>
          <cell r="H349" t="str">
            <v>laboratorio</v>
          </cell>
          <cell r="J349" t="str">
            <v>regular</v>
          </cell>
          <cell r="K349" t="str">
            <v>defsi</v>
          </cell>
        </row>
        <row r="350">
          <cell r="B350" t="b">
            <v>0</v>
          </cell>
          <cell r="E350" t="str">
            <v>Arroz Barato</v>
          </cell>
          <cell r="H350" t="str">
            <v>consulta_externa</v>
          </cell>
          <cell r="J350" t="str">
            <v>regular</v>
          </cell>
          <cell r="K350" t="str">
            <v>defsi</v>
          </cell>
        </row>
        <row r="351">
          <cell r="B351" t="b">
            <v>1</v>
          </cell>
          <cell r="E351" t="str">
            <v>Esperanza</v>
          </cell>
          <cell r="H351" t="str">
            <v>consulta_externa</v>
          </cell>
          <cell r="J351" t="str">
            <v>bueno</v>
          </cell>
          <cell r="K351" t="str">
            <v>defsi</v>
          </cell>
        </row>
        <row r="352">
          <cell r="B352" t="b">
            <v>0</v>
          </cell>
          <cell r="E352" t="str">
            <v>Arroz Barato</v>
          </cell>
          <cell r="H352" t="str">
            <v>consulta_externa</v>
          </cell>
          <cell r="J352" t="str">
            <v>regular</v>
          </cell>
          <cell r="K352" t="str">
            <v>defsi</v>
          </cell>
        </row>
        <row r="353">
          <cell r="B353" t="b">
            <v>0</v>
          </cell>
          <cell r="E353" t="str">
            <v>Arroz Barato</v>
          </cell>
          <cell r="H353" t="str">
            <v>laboratorio</v>
          </cell>
          <cell r="J353" t="str">
            <v>regular</v>
          </cell>
          <cell r="K353" t="str">
            <v>defsi</v>
          </cell>
        </row>
        <row r="354">
          <cell r="B354" t="b">
            <v>1</v>
          </cell>
          <cell r="E354" t="str">
            <v>Arroz Barato</v>
          </cell>
          <cell r="H354" t="str">
            <v>consulta_externa</v>
          </cell>
          <cell r="J354" t="str">
            <v>bueno</v>
          </cell>
          <cell r="K354" t="str">
            <v>defsi</v>
          </cell>
        </row>
        <row r="355">
          <cell r="B355" t="b">
            <v>1</v>
          </cell>
          <cell r="E355" t="str">
            <v>Arroz Barato</v>
          </cell>
          <cell r="H355" t="str">
            <v>salud_oral</v>
          </cell>
          <cell r="J355" t="str">
            <v>bueno</v>
          </cell>
          <cell r="K355" t="str">
            <v>probsi</v>
          </cell>
        </row>
        <row r="356">
          <cell r="B356" t="b">
            <v>1</v>
          </cell>
          <cell r="E356" t="str">
            <v>Esperanza</v>
          </cell>
          <cell r="H356" t="str">
            <v>salud_oral</v>
          </cell>
          <cell r="J356" t="str">
            <v>bueno</v>
          </cell>
          <cell r="K356" t="str">
            <v>defsi</v>
          </cell>
        </row>
        <row r="357">
          <cell r="B357" t="b">
            <v>1</v>
          </cell>
          <cell r="E357" t="str">
            <v>Esperanza</v>
          </cell>
          <cell r="H357" t="str">
            <v>laboratorio</v>
          </cell>
          <cell r="J357" t="str">
            <v>bueno</v>
          </cell>
          <cell r="K357" t="str">
            <v>defsi</v>
          </cell>
        </row>
        <row r="358">
          <cell r="B358" t="b">
            <v>1</v>
          </cell>
          <cell r="E358" t="str">
            <v>Arroz Barato</v>
          </cell>
          <cell r="H358" t="str">
            <v>consulta_externa</v>
          </cell>
          <cell r="J358" t="str">
            <v>bueno</v>
          </cell>
          <cell r="K358" t="str">
            <v>defsi</v>
          </cell>
        </row>
        <row r="359">
          <cell r="B359" t="b">
            <v>1</v>
          </cell>
          <cell r="E359" t="str">
            <v>Esperanza</v>
          </cell>
          <cell r="H359" t="str">
            <v>urgencia</v>
          </cell>
          <cell r="J359" t="str">
            <v>bueno</v>
          </cell>
          <cell r="K359" t="str">
            <v>defsi</v>
          </cell>
        </row>
        <row r="360">
          <cell r="B360" t="b">
            <v>1</v>
          </cell>
          <cell r="E360" t="str">
            <v>Arroz Barato</v>
          </cell>
          <cell r="H360" t="str">
            <v>salud_oral</v>
          </cell>
          <cell r="J360" t="str">
            <v>bueno</v>
          </cell>
          <cell r="K360" t="str">
            <v>defsi</v>
          </cell>
        </row>
        <row r="361">
          <cell r="B361" t="b">
            <v>1</v>
          </cell>
          <cell r="E361" t="str">
            <v>San Vicente de Paul</v>
          </cell>
          <cell r="H361" t="str">
            <v>laboratorio</v>
          </cell>
          <cell r="J361" t="str">
            <v>bueno</v>
          </cell>
          <cell r="K361" t="str">
            <v>probsi</v>
          </cell>
        </row>
        <row r="362">
          <cell r="B362" t="b">
            <v>1</v>
          </cell>
          <cell r="E362" t="str">
            <v>Gaviotas</v>
          </cell>
          <cell r="H362" t="str">
            <v>consulta_externa</v>
          </cell>
          <cell r="J362" t="str">
            <v>bueno</v>
          </cell>
          <cell r="K362" t="str">
            <v>probsi</v>
          </cell>
        </row>
        <row r="363">
          <cell r="B363" t="b">
            <v>1</v>
          </cell>
          <cell r="E363" t="str">
            <v>Gaviotas</v>
          </cell>
          <cell r="H363" t="str">
            <v>salud_oral</v>
          </cell>
          <cell r="J363" t="str">
            <v>bueno</v>
          </cell>
          <cell r="K363" t="str">
            <v>probsi</v>
          </cell>
        </row>
        <row r="364">
          <cell r="B364" t="b">
            <v>1</v>
          </cell>
          <cell r="E364" t="str">
            <v>San Vicente de Paul</v>
          </cell>
          <cell r="H364" t="str">
            <v>consulta_externa</v>
          </cell>
          <cell r="J364" t="str">
            <v>bueno</v>
          </cell>
          <cell r="K364" t="str">
            <v>probsi</v>
          </cell>
        </row>
        <row r="365">
          <cell r="B365" t="b">
            <v>1</v>
          </cell>
          <cell r="E365" t="str">
            <v>Arroz Barato</v>
          </cell>
          <cell r="H365" t="str">
            <v>consulta_externa</v>
          </cell>
          <cell r="J365" t="str">
            <v>bueno</v>
          </cell>
          <cell r="K365" t="str">
            <v>defsi</v>
          </cell>
        </row>
        <row r="366">
          <cell r="B366" t="b">
            <v>1</v>
          </cell>
          <cell r="E366" t="str">
            <v>San Vicente de Paul</v>
          </cell>
          <cell r="H366" t="str">
            <v>consulta_externa</v>
          </cell>
          <cell r="J366" t="str">
            <v>bueno</v>
          </cell>
          <cell r="K366" t="str">
            <v>probsi</v>
          </cell>
        </row>
        <row r="367">
          <cell r="B367" t="b">
            <v>1</v>
          </cell>
          <cell r="E367" t="str">
            <v>Arroz Barato</v>
          </cell>
          <cell r="H367" t="str">
            <v>salud_oral</v>
          </cell>
          <cell r="J367" t="str">
            <v>bueno</v>
          </cell>
          <cell r="K367" t="str">
            <v>defsi</v>
          </cell>
        </row>
        <row r="368">
          <cell r="B368" t="b">
            <v>1</v>
          </cell>
          <cell r="E368" t="str">
            <v>San Vicente de Paul</v>
          </cell>
          <cell r="H368" t="str">
            <v>laboratorio</v>
          </cell>
          <cell r="J368" t="str">
            <v>bueno</v>
          </cell>
          <cell r="K368" t="str">
            <v>probsi</v>
          </cell>
        </row>
        <row r="369">
          <cell r="B369" t="b">
            <v>1</v>
          </cell>
          <cell r="E369" t="str">
            <v>San Vicente de Paul</v>
          </cell>
          <cell r="H369" t="str">
            <v>laboratorio</v>
          </cell>
          <cell r="J369" t="str">
            <v>bueno</v>
          </cell>
          <cell r="K369" t="str">
            <v>probsi</v>
          </cell>
        </row>
        <row r="370">
          <cell r="B370" t="b">
            <v>1</v>
          </cell>
          <cell r="E370" t="str">
            <v>San Vicente de Paul</v>
          </cell>
          <cell r="H370" t="str">
            <v>laboratorio</v>
          </cell>
          <cell r="J370" t="str">
            <v>bueno</v>
          </cell>
          <cell r="K370" t="str">
            <v>probsi</v>
          </cell>
        </row>
        <row r="371">
          <cell r="B371" t="b">
            <v>1</v>
          </cell>
          <cell r="E371" t="str">
            <v>Esperanza</v>
          </cell>
          <cell r="H371" t="str">
            <v>electros</v>
          </cell>
          <cell r="J371" t="str">
            <v>bueno</v>
          </cell>
          <cell r="K371" t="str">
            <v>defsi</v>
          </cell>
        </row>
        <row r="372">
          <cell r="B372" t="b">
            <v>0</v>
          </cell>
          <cell r="E372" t="str">
            <v>Arroz Barato</v>
          </cell>
          <cell r="H372" t="str">
            <v>rx</v>
          </cell>
          <cell r="J372" t="str">
            <v>regular</v>
          </cell>
          <cell r="K372" t="str">
            <v>probsi</v>
          </cell>
        </row>
        <row r="373">
          <cell r="B373" t="b">
            <v>1</v>
          </cell>
          <cell r="E373" t="str">
            <v>San Vicente de Paul</v>
          </cell>
          <cell r="H373" t="str">
            <v>laboratorio</v>
          </cell>
          <cell r="J373" t="str">
            <v>bueno</v>
          </cell>
          <cell r="K373" t="str">
            <v>probsi</v>
          </cell>
        </row>
        <row r="374">
          <cell r="B374" t="b">
            <v>1</v>
          </cell>
          <cell r="E374" t="str">
            <v>San Vicente de Paul</v>
          </cell>
          <cell r="H374" t="str">
            <v>consulta_externa</v>
          </cell>
          <cell r="J374" t="str">
            <v>bueno</v>
          </cell>
          <cell r="K374" t="str">
            <v>probsi</v>
          </cell>
        </row>
        <row r="375">
          <cell r="B375" t="b">
            <v>1</v>
          </cell>
          <cell r="E375" t="str">
            <v>San Vicente de Paul</v>
          </cell>
          <cell r="H375" t="str">
            <v>consulta_externa</v>
          </cell>
          <cell r="J375" t="str">
            <v>bueno</v>
          </cell>
          <cell r="K375" t="str">
            <v>probsi</v>
          </cell>
        </row>
        <row r="376">
          <cell r="B376" t="b">
            <v>1</v>
          </cell>
          <cell r="E376" t="str">
            <v>San Vicente de Paul</v>
          </cell>
          <cell r="H376" t="str">
            <v>laboratorio</v>
          </cell>
          <cell r="J376" t="str">
            <v>bueno</v>
          </cell>
          <cell r="K376" t="str">
            <v>probsi</v>
          </cell>
        </row>
        <row r="377">
          <cell r="B377" t="b">
            <v>1</v>
          </cell>
          <cell r="E377" t="str">
            <v>San Vicente de Paul</v>
          </cell>
          <cell r="H377" t="str">
            <v>laboratorio</v>
          </cell>
          <cell r="J377" t="str">
            <v>bueno</v>
          </cell>
          <cell r="K377" t="str">
            <v>probsi</v>
          </cell>
        </row>
        <row r="378">
          <cell r="B378" t="b">
            <v>1</v>
          </cell>
          <cell r="E378" t="str">
            <v>San Vicente de Paul</v>
          </cell>
          <cell r="H378" t="str">
            <v>salud_oral</v>
          </cell>
          <cell r="J378" t="str">
            <v>bueno</v>
          </cell>
          <cell r="K378" t="str">
            <v>probsi</v>
          </cell>
        </row>
        <row r="379">
          <cell r="B379" t="b">
            <v>1</v>
          </cell>
          <cell r="E379" t="str">
            <v>San Vicente de Paul</v>
          </cell>
          <cell r="H379" t="str">
            <v>salud_oral</v>
          </cell>
          <cell r="J379" t="str">
            <v>bueno</v>
          </cell>
          <cell r="K379" t="str">
            <v>probsi</v>
          </cell>
        </row>
        <row r="380">
          <cell r="B380" t="b">
            <v>1</v>
          </cell>
          <cell r="E380" t="str">
            <v>Arroz Barato</v>
          </cell>
          <cell r="H380" t="str">
            <v>consulta_externa</v>
          </cell>
          <cell r="J380" t="str">
            <v>bueno</v>
          </cell>
          <cell r="K380" t="str">
            <v>defsi</v>
          </cell>
        </row>
        <row r="381">
          <cell r="B381" t="b">
            <v>1</v>
          </cell>
          <cell r="E381" t="str">
            <v>Arroz Barato</v>
          </cell>
          <cell r="H381" t="str">
            <v>salud_oral</v>
          </cell>
          <cell r="J381" t="str">
            <v>bueno</v>
          </cell>
          <cell r="K381" t="str">
            <v>defsi</v>
          </cell>
        </row>
        <row r="382">
          <cell r="B382" t="b">
            <v>1</v>
          </cell>
          <cell r="E382" t="str">
            <v>Gaviotas</v>
          </cell>
          <cell r="H382" t="str">
            <v>consulta_externa</v>
          </cell>
          <cell r="J382" t="str">
            <v>bueno</v>
          </cell>
          <cell r="K382" t="str">
            <v>probsi</v>
          </cell>
        </row>
        <row r="383">
          <cell r="B383" t="b">
            <v>1</v>
          </cell>
          <cell r="E383" t="str">
            <v>Gaviotas</v>
          </cell>
          <cell r="H383" t="str">
            <v>salud_oral</v>
          </cell>
          <cell r="J383" t="str">
            <v>bueno</v>
          </cell>
          <cell r="K383" t="str">
            <v>probsi</v>
          </cell>
        </row>
        <row r="384">
          <cell r="B384" t="b">
            <v>1</v>
          </cell>
          <cell r="E384" t="str">
            <v>Gaviotas</v>
          </cell>
          <cell r="H384" t="str">
            <v>laboratorio</v>
          </cell>
          <cell r="J384" t="str">
            <v>bueno</v>
          </cell>
          <cell r="K384" t="str">
            <v>probsi</v>
          </cell>
        </row>
        <row r="385">
          <cell r="B385" t="b">
            <v>1</v>
          </cell>
          <cell r="E385" t="str">
            <v>Arroz Barato</v>
          </cell>
          <cell r="H385" t="str">
            <v>laboratorio</v>
          </cell>
          <cell r="J385" t="str">
            <v>bueno</v>
          </cell>
          <cell r="K385" t="str">
            <v>defsi</v>
          </cell>
        </row>
        <row r="386">
          <cell r="B386" t="b">
            <v>1</v>
          </cell>
          <cell r="E386" t="str">
            <v>Gaviotas</v>
          </cell>
          <cell r="H386" t="str">
            <v>consulta_externa</v>
          </cell>
          <cell r="J386" t="str">
            <v>bueno</v>
          </cell>
          <cell r="K386" t="str">
            <v>probsi</v>
          </cell>
        </row>
        <row r="387">
          <cell r="B387" t="b">
            <v>1</v>
          </cell>
          <cell r="E387" t="str">
            <v>Arroz Barato</v>
          </cell>
          <cell r="H387" t="str">
            <v>consulta_externa</v>
          </cell>
          <cell r="J387" t="str">
            <v>bueno</v>
          </cell>
          <cell r="K387" t="str">
            <v>defsi</v>
          </cell>
        </row>
        <row r="388">
          <cell r="B388" t="b">
            <v>1</v>
          </cell>
          <cell r="E388" t="str">
            <v>Gaviotas</v>
          </cell>
          <cell r="H388" t="str">
            <v>salud_oral</v>
          </cell>
          <cell r="J388" t="str">
            <v>bueno</v>
          </cell>
          <cell r="K388" t="str">
            <v>probsi</v>
          </cell>
        </row>
        <row r="389">
          <cell r="B389" t="b">
            <v>1</v>
          </cell>
          <cell r="E389" t="str">
            <v>Arroz Barato</v>
          </cell>
          <cell r="H389" t="str">
            <v>salud_oral</v>
          </cell>
          <cell r="J389" t="str">
            <v>bueno</v>
          </cell>
          <cell r="K389" t="str">
            <v>defsi</v>
          </cell>
        </row>
        <row r="390">
          <cell r="B390" t="b">
            <v>1</v>
          </cell>
          <cell r="E390" t="str">
            <v>Esperanza</v>
          </cell>
          <cell r="H390" t="str">
            <v>consulta_externa</v>
          </cell>
          <cell r="J390" t="str">
            <v>bueno</v>
          </cell>
          <cell r="K390" t="str">
            <v>defsi</v>
          </cell>
        </row>
        <row r="391">
          <cell r="B391" t="b">
            <v>1</v>
          </cell>
          <cell r="E391" t="str">
            <v>Esperanza</v>
          </cell>
          <cell r="H391" t="str">
            <v>salud_oral</v>
          </cell>
          <cell r="J391" t="str">
            <v>bueno</v>
          </cell>
          <cell r="K391" t="str">
            <v>defsi</v>
          </cell>
        </row>
        <row r="392">
          <cell r="B392" t="b">
            <v>1</v>
          </cell>
          <cell r="E392" t="str">
            <v>Esperanza</v>
          </cell>
          <cell r="H392" t="str">
            <v>laboratorio</v>
          </cell>
          <cell r="J392" t="str">
            <v>bueno</v>
          </cell>
          <cell r="K392" t="str">
            <v>defsi</v>
          </cell>
        </row>
        <row r="393">
          <cell r="B393" t="b">
            <v>1</v>
          </cell>
          <cell r="E393" t="str">
            <v>Arroz Barato</v>
          </cell>
          <cell r="H393" t="str">
            <v>rx</v>
          </cell>
          <cell r="J393" t="str">
            <v>bueno</v>
          </cell>
          <cell r="K393" t="str">
            <v>defsi</v>
          </cell>
        </row>
        <row r="394">
          <cell r="B394" t="b">
            <v>1</v>
          </cell>
          <cell r="E394" t="str">
            <v>Esperanza</v>
          </cell>
          <cell r="H394" t="str">
            <v>urgencia</v>
          </cell>
          <cell r="J394" t="str">
            <v>bueno</v>
          </cell>
          <cell r="K394" t="str">
            <v>defsi</v>
          </cell>
        </row>
        <row r="395">
          <cell r="B395" t="b">
            <v>1</v>
          </cell>
          <cell r="E395" t="str">
            <v>Esperanza</v>
          </cell>
          <cell r="H395" t="str">
            <v>electros</v>
          </cell>
          <cell r="J395" t="str">
            <v>bueno</v>
          </cell>
          <cell r="K395" t="str">
            <v>defsi</v>
          </cell>
        </row>
        <row r="396">
          <cell r="B396" t="b">
            <v>1</v>
          </cell>
          <cell r="E396" t="str">
            <v>Arroz Barato</v>
          </cell>
          <cell r="H396" t="str">
            <v>salud_oral</v>
          </cell>
          <cell r="J396" t="str">
            <v>bueno</v>
          </cell>
          <cell r="K396" t="str">
            <v>defsi</v>
          </cell>
        </row>
        <row r="397">
          <cell r="B397" t="b">
            <v>1</v>
          </cell>
          <cell r="E397" t="str">
            <v>Arroz Barato</v>
          </cell>
          <cell r="H397" t="str">
            <v>salud_oral</v>
          </cell>
          <cell r="J397" t="str">
            <v>bueno</v>
          </cell>
          <cell r="K397" t="str">
            <v>defsi</v>
          </cell>
        </row>
        <row r="398">
          <cell r="B398" t="b">
            <v>1</v>
          </cell>
          <cell r="E398" t="str">
            <v>Arroz Barato</v>
          </cell>
          <cell r="H398" t="str">
            <v>consulta_externa</v>
          </cell>
          <cell r="J398" t="str">
            <v>muybueno</v>
          </cell>
          <cell r="K398" t="str">
            <v>defsi</v>
          </cell>
        </row>
        <row r="399">
          <cell r="B399" t="b">
            <v>1</v>
          </cell>
          <cell r="E399" t="str">
            <v>Arroz Barato</v>
          </cell>
          <cell r="H399" t="str">
            <v>consulta_externa</v>
          </cell>
          <cell r="J399" t="str">
            <v>muybueno</v>
          </cell>
          <cell r="K399" t="str">
            <v>defsi</v>
          </cell>
        </row>
        <row r="400">
          <cell r="B400" t="b">
            <v>1</v>
          </cell>
          <cell r="E400" t="str">
            <v>Arroz Barato</v>
          </cell>
          <cell r="H400" t="str">
            <v>laboratorio</v>
          </cell>
          <cell r="J400" t="str">
            <v>muybueno</v>
          </cell>
          <cell r="K400" t="str">
            <v>defsi</v>
          </cell>
        </row>
        <row r="401">
          <cell r="B401" t="b">
            <v>1</v>
          </cell>
          <cell r="E401" t="str">
            <v>Arroz Barato</v>
          </cell>
          <cell r="H401" t="str">
            <v>laboratorio</v>
          </cell>
          <cell r="J401" t="str">
            <v>muybueno</v>
          </cell>
          <cell r="K401" t="str">
            <v>defsi</v>
          </cell>
        </row>
        <row r="402">
          <cell r="B402" t="b">
            <v>1</v>
          </cell>
          <cell r="E402" t="str">
            <v>Arroz Barato</v>
          </cell>
          <cell r="H402" t="str">
            <v>laboratorio</v>
          </cell>
          <cell r="J402" t="str">
            <v>bueno</v>
          </cell>
          <cell r="K402" t="str">
            <v>defsi</v>
          </cell>
        </row>
        <row r="403">
          <cell r="B403" t="b">
            <v>1</v>
          </cell>
          <cell r="E403" t="str">
            <v>Gaviotas</v>
          </cell>
          <cell r="H403" t="str">
            <v>consulta_externa</v>
          </cell>
          <cell r="J403" t="str">
            <v>bueno</v>
          </cell>
          <cell r="K403" t="str">
            <v>probsi</v>
          </cell>
        </row>
        <row r="404">
          <cell r="B404" t="b">
            <v>1</v>
          </cell>
          <cell r="E404" t="str">
            <v>Gaviotas</v>
          </cell>
          <cell r="H404" t="str">
            <v>laboratorio</v>
          </cell>
          <cell r="J404" t="str">
            <v>bueno</v>
          </cell>
          <cell r="K404" t="str">
            <v>probsi</v>
          </cell>
        </row>
        <row r="405">
          <cell r="B405" t="b">
            <v>1</v>
          </cell>
          <cell r="E405" t="str">
            <v>Gaviotas</v>
          </cell>
          <cell r="H405" t="str">
            <v>salud_oral</v>
          </cell>
          <cell r="J405" t="str">
            <v>bueno</v>
          </cell>
          <cell r="K405" t="str">
            <v>probsi</v>
          </cell>
        </row>
        <row r="406">
          <cell r="B406" t="b">
            <v>1</v>
          </cell>
          <cell r="E406" t="str">
            <v>Gaviotas</v>
          </cell>
          <cell r="H406" t="str">
            <v>salud_oral</v>
          </cell>
          <cell r="J406" t="str">
            <v>bueno</v>
          </cell>
          <cell r="K406" t="str">
            <v>probsi</v>
          </cell>
        </row>
        <row r="407">
          <cell r="B407" t="b">
            <v>1</v>
          </cell>
          <cell r="E407" t="str">
            <v>Gaviotas</v>
          </cell>
          <cell r="H407" t="str">
            <v>salud_oral</v>
          </cell>
          <cell r="J407" t="str">
            <v>bueno</v>
          </cell>
          <cell r="K407" t="str">
            <v>probsi</v>
          </cell>
        </row>
        <row r="408">
          <cell r="B408" t="b">
            <v>1</v>
          </cell>
          <cell r="E408" t="str">
            <v>Gaviotas</v>
          </cell>
          <cell r="H408" t="str">
            <v>salud_oral</v>
          </cell>
          <cell r="J408" t="str">
            <v>bueno</v>
          </cell>
          <cell r="K408" t="str">
            <v>probsi</v>
          </cell>
        </row>
        <row r="409">
          <cell r="B409" t="b">
            <v>1</v>
          </cell>
          <cell r="E409" t="str">
            <v>Libano</v>
          </cell>
          <cell r="H409" t="str">
            <v>consulta_externa</v>
          </cell>
          <cell r="J409" t="str">
            <v>bueno</v>
          </cell>
          <cell r="K409" t="str">
            <v>probsi</v>
          </cell>
        </row>
        <row r="410">
          <cell r="B410" t="b">
            <v>1</v>
          </cell>
          <cell r="E410" t="str">
            <v>Libano</v>
          </cell>
          <cell r="H410" t="str">
            <v>consulta_externa</v>
          </cell>
          <cell r="J410" t="str">
            <v>bueno</v>
          </cell>
          <cell r="K410" t="str">
            <v>probsi</v>
          </cell>
        </row>
        <row r="411">
          <cell r="B411" t="b">
            <v>1</v>
          </cell>
          <cell r="E411" t="str">
            <v>Libano</v>
          </cell>
          <cell r="H411" t="str">
            <v>consulta_externa</v>
          </cell>
          <cell r="J411" t="str">
            <v>bueno</v>
          </cell>
          <cell r="K411" t="str">
            <v>probsi</v>
          </cell>
        </row>
        <row r="412">
          <cell r="B412" t="b">
            <v>1</v>
          </cell>
          <cell r="E412" t="str">
            <v>Esperanza</v>
          </cell>
          <cell r="H412" t="str">
            <v>consulta_externa</v>
          </cell>
          <cell r="J412" t="str">
            <v>bueno</v>
          </cell>
          <cell r="K412" t="str">
            <v>defsi</v>
          </cell>
        </row>
        <row r="413">
          <cell r="B413" t="b">
            <v>1</v>
          </cell>
          <cell r="E413" t="str">
            <v>Gaviotas</v>
          </cell>
          <cell r="H413" t="str">
            <v>consulta_externa</v>
          </cell>
          <cell r="J413" t="str">
            <v>bueno</v>
          </cell>
          <cell r="K413" t="str">
            <v>probsi</v>
          </cell>
        </row>
        <row r="414">
          <cell r="B414" t="b">
            <v>1</v>
          </cell>
          <cell r="E414" t="str">
            <v>Esperanza</v>
          </cell>
          <cell r="H414" t="str">
            <v>salud_oral</v>
          </cell>
          <cell r="J414" t="str">
            <v>bueno</v>
          </cell>
          <cell r="K414" t="str">
            <v>defsi</v>
          </cell>
        </row>
        <row r="415">
          <cell r="B415" t="b">
            <v>1</v>
          </cell>
          <cell r="E415" t="str">
            <v>Esperanza</v>
          </cell>
          <cell r="H415" t="str">
            <v>laboratorio</v>
          </cell>
          <cell r="J415" t="str">
            <v>bueno</v>
          </cell>
          <cell r="K415" t="str">
            <v>defsi</v>
          </cell>
        </row>
        <row r="416">
          <cell r="B416" t="b">
            <v>1</v>
          </cell>
          <cell r="E416" t="str">
            <v>Esperanza</v>
          </cell>
          <cell r="H416" t="str">
            <v>urgencia</v>
          </cell>
          <cell r="J416" t="str">
            <v>bueno</v>
          </cell>
          <cell r="K416" t="str">
            <v>defsi</v>
          </cell>
        </row>
        <row r="417">
          <cell r="B417" t="b">
            <v>1</v>
          </cell>
          <cell r="E417" t="str">
            <v>Gaviotas</v>
          </cell>
          <cell r="H417" t="str">
            <v>consulta_externa</v>
          </cell>
          <cell r="J417" t="str">
            <v>bueno</v>
          </cell>
          <cell r="K417" t="str">
            <v>probsi</v>
          </cell>
        </row>
        <row r="418">
          <cell r="B418" t="b">
            <v>1</v>
          </cell>
          <cell r="E418" t="str">
            <v>Gaviotas</v>
          </cell>
          <cell r="H418" t="str">
            <v>laboratorio</v>
          </cell>
          <cell r="J418" t="str">
            <v>bueno</v>
          </cell>
          <cell r="K418" t="str">
            <v>probsi</v>
          </cell>
        </row>
        <row r="419">
          <cell r="B419" t="b">
            <v>1</v>
          </cell>
          <cell r="E419" t="str">
            <v>Esperanza</v>
          </cell>
          <cell r="H419" t="str">
            <v>electros</v>
          </cell>
          <cell r="J419" t="str">
            <v>bueno</v>
          </cell>
          <cell r="K419" t="str">
            <v>defsi</v>
          </cell>
        </row>
        <row r="420">
          <cell r="B420" t="b">
            <v>1</v>
          </cell>
          <cell r="E420" t="str">
            <v>Gaviotas</v>
          </cell>
          <cell r="H420" t="str">
            <v>laboratorio</v>
          </cell>
          <cell r="J420" t="str">
            <v>bueno</v>
          </cell>
          <cell r="K420" t="str">
            <v>probsi</v>
          </cell>
        </row>
        <row r="421">
          <cell r="B421" t="b">
            <v>1</v>
          </cell>
          <cell r="E421" t="str">
            <v>Gaviotas</v>
          </cell>
          <cell r="H421" t="str">
            <v>laboratorio</v>
          </cell>
          <cell r="J421" t="str">
            <v>bueno</v>
          </cell>
          <cell r="K421" t="str">
            <v>probsi</v>
          </cell>
        </row>
        <row r="422">
          <cell r="B422" t="b">
            <v>1</v>
          </cell>
          <cell r="E422" t="str">
            <v>Gaviotas</v>
          </cell>
          <cell r="H422" t="str">
            <v>consulta_externa</v>
          </cell>
          <cell r="J422" t="str">
            <v>bueno</v>
          </cell>
          <cell r="K422" t="str">
            <v>probsi</v>
          </cell>
        </row>
        <row r="423">
          <cell r="B423" t="b">
            <v>1</v>
          </cell>
          <cell r="E423" t="str">
            <v>Gaviotas</v>
          </cell>
          <cell r="H423" t="str">
            <v>laboratorio</v>
          </cell>
          <cell r="J423" t="str">
            <v>bueno</v>
          </cell>
          <cell r="K423" t="str">
            <v>probsi</v>
          </cell>
        </row>
        <row r="424">
          <cell r="B424" t="b">
            <v>1</v>
          </cell>
          <cell r="E424" t="str">
            <v>Esperanza</v>
          </cell>
          <cell r="H424" t="str">
            <v>consulta_externa</v>
          </cell>
          <cell r="J424" t="str">
            <v>bueno</v>
          </cell>
          <cell r="K424" t="str">
            <v>defsi</v>
          </cell>
        </row>
        <row r="425">
          <cell r="B425" t="b">
            <v>1</v>
          </cell>
          <cell r="E425" t="str">
            <v>Esperanza</v>
          </cell>
          <cell r="H425" t="str">
            <v>salud_oral</v>
          </cell>
          <cell r="J425" t="str">
            <v>bueno</v>
          </cell>
          <cell r="K425" t="str">
            <v>defsi</v>
          </cell>
        </row>
        <row r="426">
          <cell r="B426" t="b">
            <v>1</v>
          </cell>
          <cell r="E426" t="str">
            <v>Esperanza</v>
          </cell>
          <cell r="H426" t="str">
            <v>laboratorio</v>
          </cell>
          <cell r="J426" t="str">
            <v>bueno</v>
          </cell>
          <cell r="K426" t="str">
            <v>defsi</v>
          </cell>
        </row>
        <row r="427">
          <cell r="B427" t="b">
            <v>1</v>
          </cell>
          <cell r="E427" t="str">
            <v>Esperanza</v>
          </cell>
          <cell r="H427" t="str">
            <v>laboratorio</v>
          </cell>
          <cell r="J427" t="str">
            <v>bueno</v>
          </cell>
          <cell r="K427" t="str">
            <v>defsi</v>
          </cell>
        </row>
        <row r="428">
          <cell r="B428" t="b">
            <v>1</v>
          </cell>
          <cell r="E428" t="str">
            <v>Esperanza</v>
          </cell>
          <cell r="H428" t="str">
            <v>urgencia</v>
          </cell>
          <cell r="J428" t="str">
            <v>bueno</v>
          </cell>
          <cell r="K428" t="str">
            <v>defsi</v>
          </cell>
        </row>
        <row r="429">
          <cell r="B429" t="b">
            <v>1</v>
          </cell>
          <cell r="E429" t="str">
            <v>Gaviotas</v>
          </cell>
          <cell r="H429" t="str">
            <v>salud_oral</v>
          </cell>
          <cell r="J429" t="str">
            <v>muybueno</v>
          </cell>
          <cell r="K429" t="str">
            <v>probsi</v>
          </cell>
        </row>
        <row r="430">
          <cell r="B430" t="b">
            <v>1</v>
          </cell>
          <cell r="E430" t="str">
            <v>Gaviotas</v>
          </cell>
          <cell r="H430" t="str">
            <v>salud_oral</v>
          </cell>
          <cell r="J430" t="str">
            <v>muybueno</v>
          </cell>
          <cell r="K430" t="str">
            <v>probsi</v>
          </cell>
        </row>
        <row r="431">
          <cell r="B431" t="b">
            <v>1</v>
          </cell>
          <cell r="E431" t="str">
            <v>Esperanza</v>
          </cell>
          <cell r="H431" t="str">
            <v>electros</v>
          </cell>
          <cell r="J431" t="str">
            <v>bueno</v>
          </cell>
          <cell r="K431" t="str">
            <v>defsi</v>
          </cell>
        </row>
        <row r="432">
          <cell r="B432" t="b">
            <v>1</v>
          </cell>
          <cell r="E432" t="str">
            <v>Gaviotas</v>
          </cell>
          <cell r="H432" t="str">
            <v>salud_oral</v>
          </cell>
          <cell r="J432" t="str">
            <v>muybueno</v>
          </cell>
          <cell r="K432" t="str">
            <v>probsi</v>
          </cell>
        </row>
        <row r="433">
          <cell r="B433" t="b">
            <v>1</v>
          </cell>
          <cell r="E433" t="str">
            <v>Esperanza</v>
          </cell>
          <cell r="H433" t="str">
            <v>consulta_externa</v>
          </cell>
          <cell r="J433" t="str">
            <v>bueno</v>
          </cell>
          <cell r="K433" t="str">
            <v>defsi</v>
          </cell>
        </row>
        <row r="434">
          <cell r="B434" t="b">
            <v>1</v>
          </cell>
          <cell r="E434" t="str">
            <v>Gaviotas</v>
          </cell>
          <cell r="H434" t="str">
            <v>laboratorio</v>
          </cell>
          <cell r="J434" t="str">
            <v>bueno</v>
          </cell>
          <cell r="K434" t="str">
            <v>probsi</v>
          </cell>
        </row>
        <row r="435">
          <cell r="B435" t="b">
            <v>1</v>
          </cell>
          <cell r="E435" t="str">
            <v>Esperanza</v>
          </cell>
          <cell r="H435" t="str">
            <v>salud_oral</v>
          </cell>
          <cell r="J435" t="str">
            <v>bueno</v>
          </cell>
          <cell r="K435" t="str">
            <v>defsi</v>
          </cell>
        </row>
        <row r="436">
          <cell r="B436" t="b">
            <v>1</v>
          </cell>
          <cell r="E436" t="str">
            <v>Esperanza</v>
          </cell>
          <cell r="H436" t="str">
            <v>laboratorio</v>
          </cell>
          <cell r="J436" t="str">
            <v>bueno</v>
          </cell>
          <cell r="K436" t="str">
            <v>defsi</v>
          </cell>
        </row>
        <row r="437">
          <cell r="B437" t="b">
            <v>1</v>
          </cell>
          <cell r="E437" t="str">
            <v>Esperanza</v>
          </cell>
          <cell r="H437" t="str">
            <v>urgencia</v>
          </cell>
          <cell r="J437" t="str">
            <v>bueno</v>
          </cell>
          <cell r="K437" t="str">
            <v>defsi</v>
          </cell>
        </row>
        <row r="438">
          <cell r="B438" t="b">
            <v>1</v>
          </cell>
          <cell r="E438" t="str">
            <v>Gaviotas</v>
          </cell>
          <cell r="H438" t="str">
            <v>laboratorio</v>
          </cell>
          <cell r="J438" t="str">
            <v>bueno</v>
          </cell>
          <cell r="K438" t="str">
            <v>probsi</v>
          </cell>
        </row>
        <row r="439">
          <cell r="B439" t="b">
            <v>1</v>
          </cell>
          <cell r="E439" t="str">
            <v>Esperanza</v>
          </cell>
          <cell r="H439" t="str">
            <v>electros</v>
          </cell>
          <cell r="J439" t="str">
            <v>bueno</v>
          </cell>
          <cell r="K439" t="str">
            <v>defsi</v>
          </cell>
        </row>
        <row r="440">
          <cell r="B440" t="b">
            <v>1</v>
          </cell>
          <cell r="E440" t="str">
            <v>Esperanza</v>
          </cell>
          <cell r="H440" t="str">
            <v>consulta_externa</v>
          </cell>
          <cell r="J440" t="str">
            <v>bueno</v>
          </cell>
          <cell r="K440" t="str">
            <v>defsi</v>
          </cell>
        </row>
        <row r="441">
          <cell r="B441" t="b">
            <v>1</v>
          </cell>
          <cell r="E441" t="str">
            <v>Esperanza</v>
          </cell>
          <cell r="H441" t="str">
            <v>salud_oral</v>
          </cell>
          <cell r="J441" t="str">
            <v>bueno</v>
          </cell>
          <cell r="K441" t="str">
            <v>defsi</v>
          </cell>
        </row>
        <row r="442">
          <cell r="B442" t="b">
            <v>1</v>
          </cell>
          <cell r="E442" t="str">
            <v>Esperanza</v>
          </cell>
          <cell r="H442" t="str">
            <v>laboratorio</v>
          </cell>
          <cell r="J442" t="str">
            <v>bueno</v>
          </cell>
          <cell r="K442" t="str">
            <v>defsi</v>
          </cell>
        </row>
        <row r="443">
          <cell r="B443" t="b">
            <v>1</v>
          </cell>
          <cell r="E443" t="str">
            <v>Esperanza</v>
          </cell>
          <cell r="H443" t="str">
            <v>urgencia</v>
          </cell>
          <cell r="J443" t="str">
            <v>bueno</v>
          </cell>
          <cell r="K443" t="str">
            <v>defsi</v>
          </cell>
        </row>
        <row r="444">
          <cell r="B444" t="b">
            <v>1</v>
          </cell>
          <cell r="E444" t="str">
            <v>Esperanza</v>
          </cell>
          <cell r="H444" t="str">
            <v>electros</v>
          </cell>
          <cell r="J444" t="str">
            <v>bueno</v>
          </cell>
          <cell r="K444" t="str">
            <v>defsi</v>
          </cell>
        </row>
        <row r="445">
          <cell r="B445" t="b">
            <v>1</v>
          </cell>
          <cell r="E445" t="str">
            <v>Esperanza</v>
          </cell>
          <cell r="H445" t="str">
            <v>consulta_externa</v>
          </cell>
          <cell r="J445" t="str">
            <v>bueno</v>
          </cell>
          <cell r="K445" t="str">
            <v>defsi</v>
          </cell>
        </row>
        <row r="446">
          <cell r="B446" t="b">
            <v>1</v>
          </cell>
          <cell r="E446" t="str">
            <v>Esperanza</v>
          </cell>
          <cell r="H446" t="str">
            <v>salud_oral</v>
          </cell>
          <cell r="J446" t="str">
            <v>bueno</v>
          </cell>
          <cell r="K446" t="str">
            <v>defsi</v>
          </cell>
        </row>
        <row r="447">
          <cell r="B447" t="b">
            <v>1</v>
          </cell>
          <cell r="E447" t="str">
            <v>Esperanza</v>
          </cell>
          <cell r="H447" t="str">
            <v>laboratorio</v>
          </cell>
          <cell r="J447" t="str">
            <v>bueno</v>
          </cell>
          <cell r="K447" t="str">
            <v>defsi</v>
          </cell>
        </row>
        <row r="448">
          <cell r="B448" t="b">
            <v>1</v>
          </cell>
          <cell r="E448" t="str">
            <v>Arroz Barato</v>
          </cell>
          <cell r="H448" t="str">
            <v>rx</v>
          </cell>
          <cell r="J448" t="str">
            <v>bueno</v>
          </cell>
          <cell r="K448" t="str">
            <v>defsi</v>
          </cell>
        </row>
        <row r="449">
          <cell r="B449" t="b">
            <v>1</v>
          </cell>
          <cell r="E449" t="str">
            <v>Esperanza</v>
          </cell>
          <cell r="H449" t="str">
            <v>urgencia</v>
          </cell>
          <cell r="J449" t="str">
            <v>bueno</v>
          </cell>
          <cell r="K449" t="str">
            <v>defsi</v>
          </cell>
        </row>
        <row r="450">
          <cell r="B450" t="b">
            <v>1</v>
          </cell>
          <cell r="E450" t="str">
            <v>Arroz Barato</v>
          </cell>
          <cell r="H450" t="str">
            <v>rx</v>
          </cell>
          <cell r="J450" t="str">
            <v>bueno</v>
          </cell>
          <cell r="K450" t="str">
            <v>defsi</v>
          </cell>
        </row>
        <row r="451">
          <cell r="B451" t="b">
            <v>1</v>
          </cell>
          <cell r="E451" t="str">
            <v>Esperanza</v>
          </cell>
          <cell r="H451" t="str">
            <v>electros</v>
          </cell>
          <cell r="J451" t="str">
            <v>bueno</v>
          </cell>
          <cell r="K451" t="str">
            <v>defsi</v>
          </cell>
        </row>
        <row r="452">
          <cell r="B452" t="b">
            <v>0</v>
          </cell>
          <cell r="E452" t="str">
            <v>Arroz Barato</v>
          </cell>
          <cell r="H452" t="str">
            <v>urgencia</v>
          </cell>
          <cell r="J452" t="str">
            <v>regular</v>
          </cell>
          <cell r="K452" t="str">
            <v>defsi</v>
          </cell>
        </row>
        <row r="453">
          <cell r="B453" t="b">
            <v>1</v>
          </cell>
          <cell r="E453" t="str">
            <v>Esperanza</v>
          </cell>
          <cell r="H453" t="str">
            <v>consulta_externa</v>
          </cell>
          <cell r="J453" t="str">
            <v>bueno</v>
          </cell>
          <cell r="K453" t="str">
            <v>defsi</v>
          </cell>
        </row>
        <row r="454">
          <cell r="B454" t="b">
            <v>1</v>
          </cell>
          <cell r="E454" t="str">
            <v>Esperanza</v>
          </cell>
          <cell r="H454" t="str">
            <v>salud_oral</v>
          </cell>
          <cell r="J454" t="str">
            <v>bueno</v>
          </cell>
          <cell r="K454" t="str">
            <v>defsi</v>
          </cell>
        </row>
        <row r="455">
          <cell r="B455" t="b">
            <v>1</v>
          </cell>
          <cell r="E455" t="str">
            <v>Esperanza</v>
          </cell>
          <cell r="H455" t="str">
            <v>urgencia</v>
          </cell>
          <cell r="J455" t="str">
            <v>bueno</v>
          </cell>
          <cell r="K455" t="str">
            <v>defsi</v>
          </cell>
        </row>
        <row r="456">
          <cell r="B456" t="b">
            <v>1</v>
          </cell>
          <cell r="E456" t="str">
            <v>Esperanza</v>
          </cell>
          <cell r="H456" t="str">
            <v>electros</v>
          </cell>
          <cell r="J456" t="str">
            <v>bueno</v>
          </cell>
          <cell r="K456" t="str">
            <v>defsi</v>
          </cell>
        </row>
        <row r="457">
          <cell r="B457" t="b">
            <v>1</v>
          </cell>
          <cell r="E457" t="str">
            <v>Esperanza</v>
          </cell>
          <cell r="H457" t="str">
            <v>consulta_externa</v>
          </cell>
          <cell r="J457" t="str">
            <v>bueno</v>
          </cell>
          <cell r="K457" t="str">
            <v>defsi</v>
          </cell>
        </row>
        <row r="458">
          <cell r="B458" t="b">
            <v>1</v>
          </cell>
          <cell r="E458" t="str">
            <v>Esperanza</v>
          </cell>
          <cell r="H458" t="str">
            <v>salud_oral</v>
          </cell>
          <cell r="J458" t="str">
            <v>bueno</v>
          </cell>
          <cell r="K458" t="str">
            <v>defsi</v>
          </cell>
        </row>
        <row r="459">
          <cell r="B459" t="b">
            <v>1</v>
          </cell>
          <cell r="E459" t="str">
            <v>Esperanza</v>
          </cell>
          <cell r="H459" t="str">
            <v>salud_oral</v>
          </cell>
          <cell r="J459" t="str">
            <v>bueno</v>
          </cell>
          <cell r="K459" t="str">
            <v>defsi</v>
          </cell>
        </row>
        <row r="460">
          <cell r="B460" t="b">
            <v>1</v>
          </cell>
          <cell r="E460" t="str">
            <v>Esperanza</v>
          </cell>
          <cell r="H460" t="str">
            <v>laboratorio</v>
          </cell>
          <cell r="J460" t="str">
            <v>bueno</v>
          </cell>
          <cell r="K460" t="str">
            <v>defsi</v>
          </cell>
        </row>
        <row r="461">
          <cell r="B461" t="b">
            <v>1</v>
          </cell>
          <cell r="E461" t="str">
            <v>Esperanza</v>
          </cell>
          <cell r="H461" t="str">
            <v>urgencia</v>
          </cell>
          <cell r="J461" t="str">
            <v>bueno</v>
          </cell>
          <cell r="K461" t="str">
            <v>defsi</v>
          </cell>
        </row>
        <row r="462">
          <cell r="B462" t="b">
            <v>1</v>
          </cell>
          <cell r="E462" t="str">
            <v>Esperanza</v>
          </cell>
          <cell r="H462" t="str">
            <v>electros</v>
          </cell>
          <cell r="J462" t="str">
            <v>bueno</v>
          </cell>
          <cell r="K462" t="str">
            <v>defsi</v>
          </cell>
        </row>
        <row r="463">
          <cell r="B463" t="b">
            <v>1</v>
          </cell>
          <cell r="E463" t="str">
            <v>Arroz Barato</v>
          </cell>
          <cell r="H463" t="str">
            <v>urgencia</v>
          </cell>
          <cell r="J463" t="str">
            <v>bueno</v>
          </cell>
          <cell r="K463" t="str">
            <v>defsi</v>
          </cell>
        </row>
        <row r="464">
          <cell r="B464" t="b">
            <v>1</v>
          </cell>
          <cell r="E464" t="str">
            <v>Arroz Barato</v>
          </cell>
          <cell r="H464" t="str">
            <v>salud_oral</v>
          </cell>
          <cell r="J464" t="str">
            <v>bueno</v>
          </cell>
          <cell r="K464" t="str">
            <v>defsi</v>
          </cell>
        </row>
        <row r="465">
          <cell r="B465" t="b">
            <v>1</v>
          </cell>
          <cell r="E465" t="str">
            <v>Arroz Barato</v>
          </cell>
          <cell r="H465" t="str">
            <v>salud_oral</v>
          </cell>
          <cell r="J465" t="str">
            <v>bueno</v>
          </cell>
          <cell r="K465" t="str">
            <v>defsi</v>
          </cell>
        </row>
        <row r="466">
          <cell r="B466" t="b">
            <v>1</v>
          </cell>
          <cell r="E466" t="str">
            <v>Arroz Barato</v>
          </cell>
          <cell r="H466" t="str">
            <v>rx</v>
          </cell>
          <cell r="J466" t="str">
            <v>bueno</v>
          </cell>
          <cell r="K466" t="str">
            <v>defsi</v>
          </cell>
        </row>
        <row r="467">
          <cell r="B467" t="b">
            <v>1</v>
          </cell>
          <cell r="E467" t="str">
            <v>Arroz Barato</v>
          </cell>
          <cell r="H467" t="str">
            <v>rx</v>
          </cell>
          <cell r="J467" t="str">
            <v>bueno</v>
          </cell>
          <cell r="K467" t="str">
            <v>defsi</v>
          </cell>
        </row>
        <row r="468">
          <cell r="B468" t="b">
            <v>1</v>
          </cell>
          <cell r="E468" t="str">
            <v>Arroz Barato</v>
          </cell>
          <cell r="H468" t="str">
            <v>rx</v>
          </cell>
          <cell r="J468" t="str">
            <v>bueno</v>
          </cell>
          <cell r="K468" t="str">
            <v>defsi</v>
          </cell>
        </row>
        <row r="469">
          <cell r="B469" t="b">
            <v>1</v>
          </cell>
          <cell r="E469" t="str">
            <v>Arroz Barato</v>
          </cell>
          <cell r="H469" t="str">
            <v>rx</v>
          </cell>
          <cell r="J469" t="str">
            <v>bueno</v>
          </cell>
          <cell r="K469" t="str">
            <v>defsi</v>
          </cell>
        </row>
        <row r="470">
          <cell r="B470" t="b">
            <v>1</v>
          </cell>
          <cell r="E470" t="str">
            <v>Esperanza</v>
          </cell>
          <cell r="H470" t="str">
            <v>consulta_externa</v>
          </cell>
          <cell r="J470" t="str">
            <v>bueno</v>
          </cell>
          <cell r="K470" t="str">
            <v>defsi</v>
          </cell>
        </row>
        <row r="471">
          <cell r="B471" t="b">
            <v>1</v>
          </cell>
          <cell r="E471" t="str">
            <v>Arroz Barato</v>
          </cell>
          <cell r="H471" t="str">
            <v>urgencia</v>
          </cell>
          <cell r="J471" t="str">
            <v>bueno</v>
          </cell>
          <cell r="K471" t="str">
            <v>defsi</v>
          </cell>
        </row>
        <row r="472">
          <cell r="B472" t="b">
            <v>1</v>
          </cell>
          <cell r="E472" t="str">
            <v>Arroz Barato</v>
          </cell>
          <cell r="H472" t="str">
            <v>urgencia</v>
          </cell>
          <cell r="J472" t="str">
            <v>bueno</v>
          </cell>
          <cell r="K472" t="str">
            <v>defsi</v>
          </cell>
        </row>
        <row r="473">
          <cell r="B473" t="b">
            <v>1</v>
          </cell>
          <cell r="E473" t="str">
            <v>Esperanza</v>
          </cell>
          <cell r="H473" t="str">
            <v>laboratorio</v>
          </cell>
          <cell r="J473" t="str">
            <v>bueno</v>
          </cell>
          <cell r="K473" t="str">
            <v>defsi</v>
          </cell>
        </row>
        <row r="474">
          <cell r="B474" t="b">
            <v>1</v>
          </cell>
          <cell r="E474" t="str">
            <v>Esperanza</v>
          </cell>
          <cell r="H474" t="str">
            <v>urgencia</v>
          </cell>
          <cell r="J474" t="str">
            <v>bueno</v>
          </cell>
          <cell r="K474" t="str">
            <v>defsi</v>
          </cell>
        </row>
        <row r="475">
          <cell r="B475" t="b">
            <v>1</v>
          </cell>
          <cell r="E475" t="str">
            <v>Arroz Barato</v>
          </cell>
          <cell r="H475" t="str">
            <v>salud_oral</v>
          </cell>
          <cell r="J475" t="str">
            <v>bueno</v>
          </cell>
          <cell r="K475" t="str">
            <v>defsi</v>
          </cell>
        </row>
        <row r="476">
          <cell r="B476" t="b">
            <v>1</v>
          </cell>
          <cell r="E476" t="str">
            <v>Arroz Barato</v>
          </cell>
          <cell r="H476" t="str">
            <v>urgencia</v>
          </cell>
          <cell r="J476" t="str">
            <v>bueno</v>
          </cell>
          <cell r="K476" t="str">
            <v>defsi</v>
          </cell>
        </row>
        <row r="477">
          <cell r="B477" t="b">
            <v>1</v>
          </cell>
          <cell r="E477" t="str">
            <v>Arroz Barato</v>
          </cell>
          <cell r="H477" t="str">
            <v>laboratorio</v>
          </cell>
          <cell r="J477" t="str">
            <v>bueno</v>
          </cell>
          <cell r="K477" t="str">
            <v>defsi</v>
          </cell>
        </row>
        <row r="478">
          <cell r="B478" t="b">
            <v>0</v>
          </cell>
          <cell r="E478" t="str">
            <v>Pasacaballos</v>
          </cell>
          <cell r="H478" t="str">
            <v>consulta_externa</v>
          </cell>
          <cell r="J478" t="str">
            <v>regular</v>
          </cell>
          <cell r="K478" t="str">
            <v>defsi</v>
          </cell>
        </row>
        <row r="479">
          <cell r="B479" t="b">
            <v>0</v>
          </cell>
          <cell r="E479" t="str">
            <v>Pasacaballos</v>
          </cell>
          <cell r="H479" t="str">
            <v>laboratorio</v>
          </cell>
          <cell r="J479" t="str">
            <v>regular</v>
          </cell>
          <cell r="K479" t="str">
            <v>defsi</v>
          </cell>
        </row>
        <row r="480">
          <cell r="B480" t="b">
            <v>1</v>
          </cell>
          <cell r="E480" t="str">
            <v>Pasacaballos</v>
          </cell>
          <cell r="H480" t="str">
            <v>consulta_externa</v>
          </cell>
          <cell r="J480" t="str">
            <v>bueno</v>
          </cell>
          <cell r="K480" t="str">
            <v>defsi</v>
          </cell>
        </row>
        <row r="481">
          <cell r="B481" t="b">
            <v>1</v>
          </cell>
          <cell r="E481" t="str">
            <v>Pasacaballos</v>
          </cell>
          <cell r="H481" t="str">
            <v>consulta_externa</v>
          </cell>
          <cell r="J481" t="str">
            <v>bueno</v>
          </cell>
          <cell r="K481" t="str">
            <v>defsi</v>
          </cell>
        </row>
        <row r="482">
          <cell r="B482" t="b">
            <v>1</v>
          </cell>
          <cell r="E482" t="str">
            <v>Pasacaballos</v>
          </cell>
          <cell r="H482" t="str">
            <v>laboratorio</v>
          </cell>
          <cell r="J482" t="str">
            <v>bueno</v>
          </cell>
          <cell r="K482" t="str">
            <v>defsi</v>
          </cell>
        </row>
        <row r="483">
          <cell r="B483" t="b">
            <v>1</v>
          </cell>
          <cell r="E483" t="str">
            <v>Pasacaballos</v>
          </cell>
          <cell r="H483" t="str">
            <v>consulta_externa</v>
          </cell>
          <cell r="J483" t="str">
            <v>bueno</v>
          </cell>
          <cell r="K483" t="str">
            <v>defsi</v>
          </cell>
        </row>
        <row r="484">
          <cell r="B484" t="b">
            <v>1</v>
          </cell>
          <cell r="E484" t="str">
            <v>Pasacaballos</v>
          </cell>
          <cell r="H484" t="str">
            <v>salud_oral</v>
          </cell>
          <cell r="J484" t="str">
            <v>bueno</v>
          </cell>
          <cell r="K484" t="str">
            <v>defsi</v>
          </cell>
        </row>
        <row r="485">
          <cell r="B485" t="b">
            <v>1</v>
          </cell>
          <cell r="E485" t="str">
            <v>Pasacaballos</v>
          </cell>
          <cell r="H485" t="str">
            <v>salud_oral</v>
          </cell>
          <cell r="J485" t="str">
            <v>bueno</v>
          </cell>
          <cell r="K485" t="str">
            <v>defsi</v>
          </cell>
        </row>
        <row r="486">
          <cell r="B486" t="b">
            <v>1</v>
          </cell>
          <cell r="E486" t="str">
            <v>Pasacaballos</v>
          </cell>
          <cell r="H486" t="str">
            <v>consulta_externa</v>
          </cell>
          <cell r="J486" t="str">
            <v>bueno</v>
          </cell>
          <cell r="K486" t="str">
            <v>defsi</v>
          </cell>
        </row>
        <row r="487">
          <cell r="B487" t="b">
            <v>1</v>
          </cell>
          <cell r="E487" t="str">
            <v>Libano</v>
          </cell>
          <cell r="H487" t="str">
            <v>consulta_externa</v>
          </cell>
          <cell r="J487" t="str">
            <v>bueno</v>
          </cell>
          <cell r="K487" t="str">
            <v>probsi</v>
          </cell>
        </row>
        <row r="488">
          <cell r="B488" t="b">
            <v>1</v>
          </cell>
          <cell r="E488" t="str">
            <v>Libano</v>
          </cell>
          <cell r="H488" t="str">
            <v>consulta_externa</v>
          </cell>
          <cell r="J488" t="str">
            <v>bueno</v>
          </cell>
          <cell r="K488" t="str">
            <v>probsi</v>
          </cell>
        </row>
        <row r="489">
          <cell r="B489" t="b">
            <v>1</v>
          </cell>
          <cell r="E489" t="str">
            <v>Libano</v>
          </cell>
          <cell r="H489" t="str">
            <v>consulta_externa</v>
          </cell>
          <cell r="J489" t="str">
            <v>bueno</v>
          </cell>
          <cell r="K489" t="str">
            <v>probsi</v>
          </cell>
        </row>
        <row r="490">
          <cell r="B490" t="b">
            <v>1</v>
          </cell>
          <cell r="E490" t="str">
            <v>Libano</v>
          </cell>
          <cell r="H490" t="str">
            <v>consulta_externa</v>
          </cell>
          <cell r="J490" t="str">
            <v>bueno</v>
          </cell>
          <cell r="K490" t="str">
            <v>probsi</v>
          </cell>
        </row>
        <row r="491">
          <cell r="B491" t="b">
            <v>1</v>
          </cell>
          <cell r="E491" t="str">
            <v>Libano</v>
          </cell>
          <cell r="H491" t="str">
            <v>consulta_externa</v>
          </cell>
          <cell r="J491" t="str">
            <v>bueno</v>
          </cell>
          <cell r="K491" t="str">
            <v>probsi</v>
          </cell>
        </row>
        <row r="492">
          <cell r="B492" t="b">
            <v>1</v>
          </cell>
          <cell r="E492" t="str">
            <v>Arroz Barato</v>
          </cell>
          <cell r="H492" t="str">
            <v>consulta_externa</v>
          </cell>
          <cell r="J492" t="str">
            <v>bueno</v>
          </cell>
          <cell r="K492" t="str">
            <v>defsi</v>
          </cell>
        </row>
        <row r="493">
          <cell r="B493" t="b">
            <v>1</v>
          </cell>
          <cell r="E493" t="str">
            <v>Libano</v>
          </cell>
          <cell r="H493" t="str">
            <v>laboratorio</v>
          </cell>
          <cell r="J493" t="str">
            <v>bueno</v>
          </cell>
          <cell r="K493" t="str">
            <v>probsi</v>
          </cell>
        </row>
        <row r="494">
          <cell r="B494" t="b">
            <v>1</v>
          </cell>
          <cell r="E494" t="str">
            <v>Libano</v>
          </cell>
          <cell r="H494" t="str">
            <v>laboratorio</v>
          </cell>
          <cell r="J494" t="str">
            <v>bueno</v>
          </cell>
          <cell r="K494" t="str">
            <v>probsi</v>
          </cell>
        </row>
        <row r="495">
          <cell r="B495" t="b">
            <v>1</v>
          </cell>
          <cell r="E495" t="str">
            <v>Libano</v>
          </cell>
          <cell r="H495" t="str">
            <v>laboratorio</v>
          </cell>
          <cell r="J495" t="str">
            <v>bueno</v>
          </cell>
          <cell r="K495" t="str">
            <v>probsi</v>
          </cell>
        </row>
        <row r="496">
          <cell r="B496" t="b">
            <v>1</v>
          </cell>
          <cell r="E496" t="str">
            <v>Libano</v>
          </cell>
          <cell r="H496" t="str">
            <v>salud_oral</v>
          </cell>
          <cell r="J496" t="str">
            <v>bueno</v>
          </cell>
          <cell r="K496" t="str">
            <v>probsi</v>
          </cell>
        </row>
        <row r="497">
          <cell r="B497" t="b">
            <v>1</v>
          </cell>
          <cell r="E497" t="str">
            <v>Libano</v>
          </cell>
          <cell r="H497" t="str">
            <v>salud_oral</v>
          </cell>
          <cell r="J497" t="str">
            <v>bueno</v>
          </cell>
          <cell r="K497" t="str">
            <v>probsi</v>
          </cell>
        </row>
        <row r="498">
          <cell r="B498" t="b">
            <v>1</v>
          </cell>
          <cell r="E498" t="str">
            <v>Pasacaballos</v>
          </cell>
          <cell r="H498" t="str">
            <v>salud_oral</v>
          </cell>
          <cell r="J498" t="str">
            <v>bueno</v>
          </cell>
          <cell r="K498" t="str">
            <v>defsi</v>
          </cell>
        </row>
        <row r="499">
          <cell r="B499" t="b">
            <v>1</v>
          </cell>
          <cell r="E499" t="str">
            <v>Libano</v>
          </cell>
          <cell r="H499" t="str">
            <v>pediatria</v>
          </cell>
          <cell r="J499" t="str">
            <v>bueno</v>
          </cell>
          <cell r="K499" t="str">
            <v>probsi</v>
          </cell>
        </row>
        <row r="500">
          <cell r="B500" t="b">
            <v>1</v>
          </cell>
          <cell r="E500" t="str">
            <v>Libano</v>
          </cell>
          <cell r="H500" t="str">
            <v>pediatria</v>
          </cell>
          <cell r="J500" t="str">
            <v>bueno</v>
          </cell>
          <cell r="K500" t="str">
            <v>probsi</v>
          </cell>
        </row>
        <row r="501">
          <cell r="B501" t="b">
            <v>1</v>
          </cell>
          <cell r="E501" t="str">
            <v>Libano</v>
          </cell>
          <cell r="H501" t="str">
            <v>pediatria</v>
          </cell>
          <cell r="J501" t="str">
            <v>bueno</v>
          </cell>
          <cell r="K501" t="str">
            <v>probsi</v>
          </cell>
        </row>
        <row r="502">
          <cell r="B502" t="b">
            <v>1</v>
          </cell>
          <cell r="E502" t="str">
            <v>Libano</v>
          </cell>
          <cell r="H502" t="str">
            <v>ecografias</v>
          </cell>
          <cell r="J502" t="str">
            <v>bueno</v>
          </cell>
          <cell r="K502" t="str">
            <v>probsi</v>
          </cell>
        </row>
        <row r="503">
          <cell r="B503" t="b">
            <v>1</v>
          </cell>
          <cell r="E503" t="str">
            <v>Libano</v>
          </cell>
          <cell r="H503" t="str">
            <v>ecografias</v>
          </cell>
          <cell r="J503" t="str">
            <v>bueno</v>
          </cell>
          <cell r="K503" t="str">
            <v>probsi</v>
          </cell>
        </row>
        <row r="504">
          <cell r="B504" t="b">
            <v>1</v>
          </cell>
          <cell r="E504" t="str">
            <v>Libano</v>
          </cell>
          <cell r="H504" t="str">
            <v>ecografias</v>
          </cell>
          <cell r="J504" t="str">
            <v>bueno</v>
          </cell>
          <cell r="K504" t="str">
            <v>probsi</v>
          </cell>
        </row>
        <row r="505">
          <cell r="B505" t="b">
            <v>1</v>
          </cell>
          <cell r="E505" t="str">
            <v>Libano</v>
          </cell>
          <cell r="H505" t="str">
            <v>ecografias</v>
          </cell>
          <cell r="J505" t="str">
            <v>bueno</v>
          </cell>
          <cell r="K505" t="str">
            <v>probsi</v>
          </cell>
        </row>
        <row r="506">
          <cell r="B506" t="b">
            <v>1</v>
          </cell>
          <cell r="E506" t="str">
            <v>Libano</v>
          </cell>
          <cell r="H506" t="str">
            <v>ecografias</v>
          </cell>
          <cell r="J506" t="str">
            <v>bueno</v>
          </cell>
          <cell r="K506" t="str">
            <v>probsi</v>
          </cell>
        </row>
        <row r="507">
          <cell r="B507" t="b">
            <v>1</v>
          </cell>
          <cell r="E507" t="str">
            <v>Libano</v>
          </cell>
          <cell r="H507" t="str">
            <v>consulta_externa</v>
          </cell>
          <cell r="J507" t="str">
            <v>bueno</v>
          </cell>
          <cell r="K507" t="str">
            <v>probsi</v>
          </cell>
        </row>
        <row r="508">
          <cell r="B508" t="b">
            <v>1</v>
          </cell>
          <cell r="E508" t="str">
            <v>Libano</v>
          </cell>
          <cell r="H508" t="str">
            <v>consulta_externa</v>
          </cell>
          <cell r="J508" t="str">
            <v>bueno</v>
          </cell>
          <cell r="K508" t="str">
            <v>probsi</v>
          </cell>
        </row>
        <row r="509">
          <cell r="B509" t="b">
            <v>1</v>
          </cell>
          <cell r="E509" t="str">
            <v>Libano</v>
          </cell>
          <cell r="H509" t="str">
            <v>laboratorio</v>
          </cell>
          <cell r="J509" t="str">
            <v>bueno</v>
          </cell>
          <cell r="K509" t="str">
            <v>probsi</v>
          </cell>
        </row>
        <row r="510">
          <cell r="B510" t="b">
            <v>1</v>
          </cell>
          <cell r="E510" t="str">
            <v>Libano</v>
          </cell>
          <cell r="H510" t="str">
            <v>laboratorio</v>
          </cell>
          <cell r="J510" t="str">
            <v>bueno</v>
          </cell>
          <cell r="K510" t="str">
            <v>probsi</v>
          </cell>
        </row>
        <row r="511">
          <cell r="B511" t="b">
            <v>1</v>
          </cell>
          <cell r="E511" t="str">
            <v>Libano</v>
          </cell>
          <cell r="H511" t="str">
            <v>laboratorio</v>
          </cell>
          <cell r="J511" t="str">
            <v>bueno</v>
          </cell>
          <cell r="K511" t="str">
            <v>probsi</v>
          </cell>
        </row>
        <row r="512">
          <cell r="B512" t="b">
            <v>1</v>
          </cell>
          <cell r="E512" t="str">
            <v>Libano</v>
          </cell>
          <cell r="H512" t="str">
            <v>laboratorio</v>
          </cell>
          <cell r="J512" t="str">
            <v>bueno</v>
          </cell>
          <cell r="K512" t="str">
            <v>probsi</v>
          </cell>
        </row>
        <row r="513">
          <cell r="B513" t="b">
            <v>1</v>
          </cell>
          <cell r="E513" t="str">
            <v>Libano</v>
          </cell>
          <cell r="H513" t="str">
            <v>laboratorio</v>
          </cell>
          <cell r="J513" t="str">
            <v>bueno</v>
          </cell>
          <cell r="K513" t="str">
            <v>probsi</v>
          </cell>
        </row>
        <row r="514">
          <cell r="B514" t="b">
            <v>1</v>
          </cell>
          <cell r="E514" t="str">
            <v>Libano</v>
          </cell>
          <cell r="H514" t="str">
            <v>laboratorio</v>
          </cell>
          <cell r="J514" t="str">
            <v>bueno</v>
          </cell>
          <cell r="K514" t="str">
            <v>probsi</v>
          </cell>
        </row>
        <row r="515">
          <cell r="B515" t="b">
            <v>1</v>
          </cell>
          <cell r="E515" t="str">
            <v>Libano</v>
          </cell>
          <cell r="H515" t="str">
            <v>consulta_externa</v>
          </cell>
          <cell r="J515" t="str">
            <v>bueno</v>
          </cell>
          <cell r="K515" t="str">
            <v>probsi</v>
          </cell>
        </row>
        <row r="516">
          <cell r="B516" t="b">
            <v>1</v>
          </cell>
          <cell r="E516" t="str">
            <v>Libano</v>
          </cell>
          <cell r="H516" t="str">
            <v>consulta_externa</v>
          </cell>
          <cell r="J516" t="str">
            <v>bueno</v>
          </cell>
          <cell r="K516" t="str">
            <v>probsi</v>
          </cell>
        </row>
        <row r="517">
          <cell r="B517" t="b">
            <v>1</v>
          </cell>
          <cell r="E517" t="str">
            <v>Libano</v>
          </cell>
          <cell r="H517" t="str">
            <v>consulta_externa</v>
          </cell>
          <cell r="J517" t="str">
            <v>bueno</v>
          </cell>
          <cell r="K517" t="str">
            <v>probsi</v>
          </cell>
        </row>
        <row r="518">
          <cell r="B518" t="b">
            <v>1</v>
          </cell>
          <cell r="E518" t="str">
            <v>Libano</v>
          </cell>
          <cell r="H518" t="str">
            <v>consulta_externa</v>
          </cell>
          <cell r="J518" t="str">
            <v>bueno</v>
          </cell>
          <cell r="K518" t="str">
            <v>probsi</v>
          </cell>
        </row>
        <row r="519">
          <cell r="B519" t="b">
            <v>1</v>
          </cell>
          <cell r="E519" t="str">
            <v>Libano</v>
          </cell>
          <cell r="H519" t="str">
            <v>laboratorio</v>
          </cell>
          <cell r="J519" t="str">
            <v>bueno</v>
          </cell>
          <cell r="K519" t="str">
            <v>probsi</v>
          </cell>
        </row>
        <row r="520">
          <cell r="B520" t="b">
            <v>1</v>
          </cell>
          <cell r="E520" t="str">
            <v>Libano</v>
          </cell>
          <cell r="H520" t="str">
            <v>laboratorio</v>
          </cell>
          <cell r="J520" t="str">
            <v>bueno</v>
          </cell>
          <cell r="K520" t="str">
            <v>probsi</v>
          </cell>
        </row>
        <row r="521">
          <cell r="B521" t="b">
            <v>1</v>
          </cell>
          <cell r="E521" t="str">
            <v>Libano</v>
          </cell>
          <cell r="H521" t="str">
            <v>laboratorio</v>
          </cell>
          <cell r="J521" t="str">
            <v>bueno</v>
          </cell>
          <cell r="K521" t="str">
            <v>probsi</v>
          </cell>
        </row>
        <row r="522">
          <cell r="B522" t="b">
            <v>1</v>
          </cell>
          <cell r="E522" t="str">
            <v>Libano</v>
          </cell>
          <cell r="H522" t="str">
            <v>ecografias</v>
          </cell>
          <cell r="J522" t="str">
            <v>bueno</v>
          </cell>
          <cell r="K522" t="str">
            <v>probsi</v>
          </cell>
        </row>
        <row r="523">
          <cell r="B523" t="b">
            <v>1</v>
          </cell>
          <cell r="E523" t="str">
            <v>Libano</v>
          </cell>
          <cell r="H523" t="str">
            <v>ecografias</v>
          </cell>
          <cell r="J523" t="str">
            <v>bueno</v>
          </cell>
          <cell r="K523" t="str">
            <v>probsi</v>
          </cell>
        </row>
        <row r="524">
          <cell r="B524" t="b">
            <v>1</v>
          </cell>
          <cell r="E524" t="str">
            <v>Libano</v>
          </cell>
          <cell r="H524" t="str">
            <v>ginecologia</v>
          </cell>
          <cell r="J524" t="str">
            <v>bueno</v>
          </cell>
          <cell r="K524" t="str">
            <v>probsi</v>
          </cell>
        </row>
        <row r="525">
          <cell r="B525" t="b">
            <v>1</v>
          </cell>
          <cell r="E525" t="str">
            <v>Libano</v>
          </cell>
          <cell r="H525" t="str">
            <v>ginecologia</v>
          </cell>
          <cell r="J525" t="str">
            <v>bueno</v>
          </cell>
          <cell r="K525" t="str">
            <v>probsi</v>
          </cell>
        </row>
        <row r="526">
          <cell r="B526" t="b">
            <v>1</v>
          </cell>
          <cell r="E526" t="str">
            <v>Libano</v>
          </cell>
          <cell r="H526" t="str">
            <v>ginecologia</v>
          </cell>
          <cell r="J526" t="str">
            <v>bueno</v>
          </cell>
          <cell r="K526" t="str">
            <v>probsi</v>
          </cell>
        </row>
        <row r="527">
          <cell r="B527" t="b">
            <v>1</v>
          </cell>
          <cell r="E527" t="str">
            <v>Libano</v>
          </cell>
          <cell r="H527" t="str">
            <v>ginecologia</v>
          </cell>
          <cell r="J527" t="str">
            <v>bueno</v>
          </cell>
          <cell r="K527" t="str">
            <v>probsi</v>
          </cell>
        </row>
        <row r="528">
          <cell r="B528" t="b">
            <v>1</v>
          </cell>
          <cell r="E528" t="str">
            <v>Libano</v>
          </cell>
          <cell r="H528" t="str">
            <v>ginecologia</v>
          </cell>
          <cell r="J528" t="str">
            <v>bueno</v>
          </cell>
          <cell r="K528" t="str">
            <v>probsi</v>
          </cell>
        </row>
        <row r="529">
          <cell r="B529" t="b">
            <v>1</v>
          </cell>
          <cell r="E529" t="str">
            <v>Libano</v>
          </cell>
          <cell r="H529" t="str">
            <v>pediatria</v>
          </cell>
          <cell r="J529" t="str">
            <v>bueno</v>
          </cell>
          <cell r="K529" t="str">
            <v>probsi</v>
          </cell>
        </row>
        <row r="530">
          <cell r="B530" t="b">
            <v>1</v>
          </cell>
          <cell r="E530" t="str">
            <v>Libano</v>
          </cell>
          <cell r="H530" t="str">
            <v>pediatria</v>
          </cell>
          <cell r="J530" t="str">
            <v>bueno</v>
          </cell>
          <cell r="K530" t="str">
            <v>probsi</v>
          </cell>
        </row>
        <row r="531">
          <cell r="B531" t="b">
            <v>1</v>
          </cell>
          <cell r="E531" t="str">
            <v>Libano</v>
          </cell>
          <cell r="H531" t="str">
            <v>pediatria</v>
          </cell>
          <cell r="J531" t="str">
            <v>bueno</v>
          </cell>
          <cell r="K531" t="str">
            <v>probsi</v>
          </cell>
        </row>
        <row r="532">
          <cell r="B532" t="b">
            <v>1</v>
          </cell>
          <cell r="E532" t="str">
            <v>Libano</v>
          </cell>
          <cell r="H532" t="str">
            <v>salud_oral</v>
          </cell>
          <cell r="J532" t="str">
            <v>bueno</v>
          </cell>
          <cell r="K532" t="str">
            <v>probsi</v>
          </cell>
        </row>
        <row r="533">
          <cell r="B533" t="b">
            <v>1</v>
          </cell>
          <cell r="E533" t="str">
            <v>Libano</v>
          </cell>
          <cell r="H533" t="str">
            <v>salud_oral</v>
          </cell>
          <cell r="J533" t="str">
            <v>bueno</v>
          </cell>
          <cell r="K533" t="str">
            <v>probsi</v>
          </cell>
        </row>
        <row r="534">
          <cell r="B534" t="b">
            <v>1</v>
          </cell>
          <cell r="E534" t="str">
            <v>Libano</v>
          </cell>
          <cell r="H534" t="str">
            <v>salud_oral</v>
          </cell>
          <cell r="J534" t="str">
            <v>bueno</v>
          </cell>
          <cell r="K534" t="str">
            <v>probsi</v>
          </cell>
        </row>
        <row r="535">
          <cell r="B535" t="b">
            <v>1</v>
          </cell>
          <cell r="E535" t="str">
            <v>Libano</v>
          </cell>
          <cell r="H535" t="str">
            <v>salud_oral</v>
          </cell>
          <cell r="J535" t="str">
            <v>bueno</v>
          </cell>
          <cell r="K535" t="str">
            <v>probsi</v>
          </cell>
        </row>
        <row r="536">
          <cell r="B536" t="b">
            <v>1</v>
          </cell>
          <cell r="E536" t="str">
            <v>Libano</v>
          </cell>
          <cell r="H536" t="str">
            <v>salud_oral</v>
          </cell>
          <cell r="J536" t="str">
            <v>bueno</v>
          </cell>
          <cell r="K536" t="str">
            <v>probsi</v>
          </cell>
        </row>
        <row r="537">
          <cell r="B537" t="b">
            <v>1</v>
          </cell>
          <cell r="E537" t="str">
            <v>Libano</v>
          </cell>
          <cell r="H537" t="str">
            <v>salud_oral</v>
          </cell>
          <cell r="J537" t="str">
            <v>bueno</v>
          </cell>
          <cell r="K537" t="str">
            <v>probsi</v>
          </cell>
        </row>
        <row r="538">
          <cell r="B538" t="b">
            <v>1</v>
          </cell>
          <cell r="E538" t="str">
            <v>Libano</v>
          </cell>
          <cell r="H538" t="str">
            <v>salud_oral</v>
          </cell>
          <cell r="J538" t="str">
            <v>bueno</v>
          </cell>
          <cell r="K538" t="str">
            <v>probsi</v>
          </cell>
        </row>
        <row r="539">
          <cell r="B539" t="b">
            <v>1</v>
          </cell>
          <cell r="E539" t="str">
            <v>Libano</v>
          </cell>
          <cell r="H539" t="str">
            <v>salud_oral</v>
          </cell>
          <cell r="J539" t="str">
            <v>bueno</v>
          </cell>
          <cell r="K539" t="str">
            <v>probsi</v>
          </cell>
        </row>
        <row r="540">
          <cell r="B540" t="b">
            <v>1</v>
          </cell>
          <cell r="E540" t="str">
            <v>Libano</v>
          </cell>
          <cell r="H540" t="str">
            <v>salud_oral</v>
          </cell>
          <cell r="J540" t="str">
            <v>bueno</v>
          </cell>
          <cell r="K540" t="str">
            <v>probsi</v>
          </cell>
        </row>
        <row r="541">
          <cell r="B541" t="b">
            <v>1</v>
          </cell>
          <cell r="E541" t="str">
            <v>Libano</v>
          </cell>
          <cell r="H541" t="str">
            <v>salud_oral</v>
          </cell>
          <cell r="J541" t="str">
            <v>bueno</v>
          </cell>
          <cell r="K541" t="str">
            <v>probsi</v>
          </cell>
        </row>
        <row r="542">
          <cell r="B542" t="b">
            <v>1</v>
          </cell>
          <cell r="E542" t="str">
            <v>San Vicente de Paul</v>
          </cell>
          <cell r="H542" t="str">
            <v>salud_oral</v>
          </cell>
          <cell r="J542" t="str">
            <v>bueno</v>
          </cell>
          <cell r="K542" t="str">
            <v>probsi</v>
          </cell>
        </row>
        <row r="543">
          <cell r="B543" t="b">
            <v>1</v>
          </cell>
          <cell r="E543" t="str">
            <v>Pasacaballos</v>
          </cell>
          <cell r="H543" t="str">
            <v>consulta_externa</v>
          </cell>
          <cell r="J543" t="str">
            <v>bueno</v>
          </cell>
          <cell r="K543" t="str">
            <v>defsi</v>
          </cell>
        </row>
        <row r="544">
          <cell r="B544" t="b">
            <v>1</v>
          </cell>
          <cell r="E544" t="str">
            <v>San Vicente de Paul</v>
          </cell>
          <cell r="H544" t="str">
            <v>salud_oral</v>
          </cell>
          <cell r="J544" t="str">
            <v>bueno</v>
          </cell>
          <cell r="K544" t="str">
            <v>probsi</v>
          </cell>
        </row>
        <row r="545">
          <cell r="B545" t="b">
            <v>1</v>
          </cell>
          <cell r="E545" t="str">
            <v>Libano</v>
          </cell>
          <cell r="H545" t="str">
            <v>salud_oral</v>
          </cell>
          <cell r="J545" t="str">
            <v>bueno</v>
          </cell>
          <cell r="K545" t="str">
            <v>probsi</v>
          </cell>
        </row>
        <row r="546">
          <cell r="B546" t="b">
            <v>1</v>
          </cell>
          <cell r="E546" t="str">
            <v>Libano</v>
          </cell>
          <cell r="H546" t="str">
            <v>salud_oral</v>
          </cell>
          <cell r="J546" t="str">
            <v>bueno</v>
          </cell>
          <cell r="K546" t="str">
            <v>probsi</v>
          </cell>
        </row>
        <row r="547">
          <cell r="B547" t="b">
            <v>1</v>
          </cell>
          <cell r="E547" t="str">
            <v>Libano</v>
          </cell>
          <cell r="H547" t="str">
            <v>salud_oral</v>
          </cell>
          <cell r="J547" t="str">
            <v>bueno</v>
          </cell>
          <cell r="K547" t="str">
            <v>probsi</v>
          </cell>
        </row>
        <row r="548">
          <cell r="B548" t="b">
            <v>1</v>
          </cell>
          <cell r="E548" t="str">
            <v>Pasacaballos</v>
          </cell>
          <cell r="H548" t="str">
            <v>salud_oral</v>
          </cell>
          <cell r="J548" t="str">
            <v>bueno</v>
          </cell>
          <cell r="K548" t="str">
            <v>defsi</v>
          </cell>
        </row>
        <row r="549">
          <cell r="B549" t="b">
            <v>1</v>
          </cell>
          <cell r="E549" t="str">
            <v>Libano</v>
          </cell>
          <cell r="H549" t="str">
            <v>salud_oral</v>
          </cell>
          <cell r="J549" t="str">
            <v>bueno</v>
          </cell>
          <cell r="K549" t="str">
            <v>probsi</v>
          </cell>
        </row>
        <row r="550">
          <cell r="B550" t="b">
            <v>1</v>
          </cell>
          <cell r="E550" t="str">
            <v>Libano</v>
          </cell>
          <cell r="H550" t="str">
            <v>salud_oral</v>
          </cell>
          <cell r="J550" t="str">
            <v>bueno</v>
          </cell>
          <cell r="K550" t="str">
            <v>probsi</v>
          </cell>
        </row>
        <row r="551">
          <cell r="B551" t="b">
            <v>1</v>
          </cell>
          <cell r="E551" t="str">
            <v>Libano</v>
          </cell>
          <cell r="H551" t="str">
            <v>salud_oral</v>
          </cell>
          <cell r="J551" t="str">
            <v>bueno</v>
          </cell>
          <cell r="K551" t="str">
            <v>probsi</v>
          </cell>
        </row>
        <row r="552">
          <cell r="B552" t="b">
            <v>1</v>
          </cell>
          <cell r="E552" t="str">
            <v>Pasacaballos</v>
          </cell>
          <cell r="H552" t="str">
            <v>salud_oral</v>
          </cell>
          <cell r="J552" t="str">
            <v>bueno</v>
          </cell>
          <cell r="K552" t="str">
            <v>defsi</v>
          </cell>
        </row>
        <row r="553">
          <cell r="B553" t="b">
            <v>0</v>
          </cell>
          <cell r="E553" t="str">
            <v>Pasacaballos</v>
          </cell>
          <cell r="H553" t="str">
            <v>laboratorio</v>
          </cell>
          <cell r="J553" t="str">
            <v>regular</v>
          </cell>
          <cell r="K553" t="str">
            <v>probsi</v>
          </cell>
        </row>
        <row r="554">
          <cell r="B554" t="b">
            <v>1</v>
          </cell>
          <cell r="E554" t="str">
            <v>Pasacaballos</v>
          </cell>
          <cell r="H554" t="str">
            <v>consulta_externa</v>
          </cell>
          <cell r="J554" t="str">
            <v>bueno</v>
          </cell>
          <cell r="K554" t="str">
            <v>defsi</v>
          </cell>
        </row>
        <row r="555">
          <cell r="B555" t="b">
            <v>1</v>
          </cell>
          <cell r="E555" t="str">
            <v>Pasacaballos</v>
          </cell>
          <cell r="H555" t="str">
            <v>consulta_externa</v>
          </cell>
          <cell r="J555" t="str">
            <v>bueno</v>
          </cell>
          <cell r="K555" t="str">
            <v>defsi</v>
          </cell>
        </row>
        <row r="556">
          <cell r="B556" t="b">
            <v>1</v>
          </cell>
          <cell r="E556" t="str">
            <v>Pasacaballos</v>
          </cell>
          <cell r="H556" t="str">
            <v>consulta_externa</v>
          </cell>
          <cell r="J556" t="str">
            <v>bueno</v>
          </cell>
          <cell r="K556" t="str">
            <v>defsi</v>
          </cell>
        </row>
        <row r="557">
          <cell r="B557" t="b">
            <v>1</v>
          </cell>
          <cell r="E557" t="str">
            <v>Pasacaballos</v>
          </cell>
          <cell r="H557" t="str">
            <v>laboratorio</v>
          </cell>
          <cell r="J557" t="str">
            <v>bueno</v>
          </cell>
          <cell r="K557" t="str">
            <v>defsi</v>
          </cell>
        </row>
        <row r="558">
          <cell r="B558" t="b">
            <v>0</v>
          </cell>
          <cell r="E558" t="str">
            <v>Pasacaballos</v>
          </cell>
          <cell r="H558" t="str">
            <v>laboratorio</v>
          </cell>
          <cell r="J558" t="str">
            <v>regular</v>
          </cell>
          <cell r="K558" t="str">
            <v>defsi</v>
          </cell>
        </row>
        <row r="559">
          <cell r="B559" t="b">
            <v>1</v>
          </cell>
          <cell r="E559" t="str">
            <v>Pasacaballos</v>
          </cell>
          <cell r="H559" t="str">
            <v>laboratorio</v>
          </cell>
          <cell r="J559" t="str">
            <v>bueno</v>
          </cell>
          <cell r="K559" t="str">
            <v>defsi</v>
          </cell>
        </row>
        <row r="560">
          <cell r="B560" t="b">
            <v>1</v>
          </cell>
          <cell r="E560" t="str">
            <v>Pasacaballos</v>
          </cell>
          <cell r="H560" t="str">
            <v>laboratorio</v>
          </cell>
          <cell r="J560" t="str">
            <v>bueno</v>
          </cell>
          <cell r="K560" t="str">
            <v>defsi</v>
          </cell>
        </row>
        <row r="561">
          <cell r="B561" t="b">
            <v>1</v>
          </cell>
          <cell r="E561" t="str">
            <v>Pasacaballos</v>
          </cell>
          <cell r="H561" t="str">
            <v>consulta_externa</v>
          </cell>
          <cell r="J561" t="str">
            <v>bueno</v>
          </cell>
          <cell r="K561" t="str">
            <v>defsi</v>
          </cell>
        </row>
        <row r="562">
          <cell r="B562" t="b">
            <v>1</v>
          </cell>
          <cell r="E562" t="str">
            <v>Pasacaballos</v>
          </cell>
          <cell r="H562" t="str">
            <v>consulta_externa</v>
          </cell>
          <cell r="J562" t="str">
            <v>bueno</v>
          </cell>
          <cell r="K562" t="str">
            <v>defsi</v>
          </cell>
        </row>
        <row r="563">
          <cell r="B563" t="b">
            <v>1</v>
          </cell>
          <cell r="E563" t="str">
            <v>Pasacaballos</v>
          </cell>
          <cell r="H563" t="str">
            <v>salud_oral</v>
          </cell>
          <cell r="J563" t="str">
            <v>bueno</v>
          </cell>
          <cell r="K563" t="str">
            <v>defsi</v>
          </cell>
        </row>
        <row r="564">
          <cell r="B564" t="b">
            <v>0</v>
          </cell>
          <cell r="E564" t="str">
            <v>Pasacaballos</v>
          </cell>
          <cell r="H564" t="str">
            <v>salud_oral</v>
          </cell>
          <cell r="J564" t="str">
            <v>regular</v>
          </cell>
          <cell r="K564" t="str">
            <v>defsi</v>
          </cell>
        </row>
        <row r="565">
          <cell r="B565" t="b">
            <v>1</v>
          </cell>
          <cell r="E565" t="str">
            <v>Pasacaballos</v>
          </cell>
          <cell r="H565" t="str">
            <v>salud_oral</v>
          </cell>
          <cell r="J565" t="str">
            <v>bueno</v>
          </cell>
          <cell r="K565" t="str">
            <v>defsi</v>
          </cell>
        </row>
        <row r="566">
          <cell r="B566" t="b">
            <v>1</v>
          </cell>
          <cell r="E566" t="str">
            <v>Pasacaballos</v>
          </cell>
          <cell r="H566" t="str">
            <v>salud_oral</v>
          </cell>
          <cell r="J566" t="str">
            <v>bueno</v>
          </cell>
          <cell r="K566" t="str">
            <v>defsi</v>
          </cell>
        </row>
        <row r="567">
          <cell r="B567" t="b">
            <v>1</v>
          </cell>
          <cell r="E567" t="str">
            <v>Pasacaballos</v>
          </cell>
          <cell r="H567" t="str">
            <v>consulta_externa</v>
          </cell>
          <cell r="J567" t="str">
            <v>bueno</v>
          </cell>
          <cell r="K567" t="str">
            <v>defsi</v>
          </cell>
        </row>
        <row r="568">
          <cell r="B568" t="b">
            <v>1</v>
          </cell>
          <cell r="E568" t="str">
            <v>Pasacaballos</v>
          </cell>
          <cell r="H568" t="str">
            <v>laboratorio</v>
          </cell>
          <cell r="J568" t="str">
            <v>bueno</v>
          </cell>
          <cell r="K568" t="str">
            <v>defsi</v>
          </cell>
        </row>
        <row r="569">
          <cell r="B569" t="b">
            <v>1</v>
          </cell>
          <cell r="E569" t="str">
            <v>Pasacaballos</v>
          </cell>
          <cell r="H569" t="str">
            <v>laboratorio</v>
          </cell>
          <cell r="J569" t="str">
            <v>bueno</v>
          </cell>
          <cell r="K569" t="str">
            <v>defsi</v>
          </cell>
        </row>
        <row r="570">
          <cell r="B570" t="b">
            <v>0</v>
          </cell>
          <cell r="E570" t="str">
            <v>Pasacaballos</v>
          </cell>
          <cell r="H570" t="str">
            <v>consulta_externa</v>
          </cell>
          <cell r="J570" t="str">
            <v>regular</v>
          </cell>
          <cell r="K570" t="str">
            <v>defsi</v>
          </cell>
        </row>
        <row r="571">
          <cell r="B571" t="b">
            <v>0</v>
          </cell>
          <cell r="E571" t="str">
            <v>Pasacaballos</v>
          </cell>
          <cell r="H571" t="str">
            <v>laboratorio</v>
          </cell>
          <cell r="J571" t="str">
            <v>regular</v>
          </cell>
          <cell r="K571" t="str">
            <v>defsi</v>
          </cell>
        </row>
        <row r="572">
          <cell r="B572" t="b">
            <v>1</v>
          </cell>
          <cell r="E572" t="str">
            <v>Pasacaballos</v>
          </cell>
          <cell r="H572" t="str">
            <v>salud_oral</v>
          </cell>
          <cell r="J572" t="str">
            <v>bueno</v>
          </cell>
          <cell r="K572" t="str">
            <v>defsi</v>
          </cell>
        </row>
        <row r="573">
          <cell r="B573" t="b">
            <v>1</v>
          </cell>
          <cell r="E573" t="str">
            <v>Pasacaballos</v>
          </cell>
          <cell r="H573" t="str">
            <v>salud_oral</v>
          </cell>
          <cell r="J573" t="str">
            <v>bueno</v>
          </cell>
          <cell r="K573" t="str">
            <v>defsi</v>
          </cell>
        </row>
        <row r="574">
          <cell r="B574" t="b">
            <v>1</v>
          </cell>
          <cell r="E574" t="str">
            <v>Pasacaballos</v>
          </cell>
          <cell r="H574" t="str">
            <v>salud_oral</v>
          </cell>
          <cell r="J574" t="str">
            <v>bueno</v>
          </cell>
          <cell r="K574" t="str">
            <v>defsi</v>
          </cell>
        </row>
        <row r="575">
          <cell r="B575" t="b">
            <v>0</v>
          </cell>
          <cell r="E575" t="str">
            <v>Pasacaballos</v>
          </cell>
          <cell r="H575" t="str">
            <v>consulta_externa</v>
          </cell>
          <cell r="J575" t="str">
            <v>regular</v>
          </cell>
          <cell r="K575" t="str">
            <v>defsi</v>
          </cell>
        </row>
        <row r="576">
          <cell r="B576" t="b">
            <v>0</v>
          </cell>
          <cell r="E576" t="str">
            <v>Pasacaballos</v>
          </cell>
          <cell r="H576" t="str">
            <v>laboratorio</v>
          </cell>
          <cell r="J576" t="str">
            <v>regular</v>
          </cell>
          <cell r="K576" t="str">
            <v>defsi</v>
          </cell>
        </row>
        <row r="577">
          <cell r="B577" t="b">
            <v>1</v>
          </cell>
          <cell r="E577" t="str">
            <v>Las Reinas</v>
          </cell>
          <cell r="H577" t="str">
            <v>consulta_externa</v>
          </cell>
          <cell r="J577" t="str">
            <v>bueno</v>
          </cell>
          <cell r="K577" t="str">
            <v>probsi</v>
          </cell>
        </row>
        <row r="578">
          <cell r="B578" t="b">
            <v>1</v>
          </cell>
          <cell r="E578" t="str">
            <v>Las Reinas</v>
          </cell>
          <cell r="H578" t="str">
            <v>consulta_externa</v>
          </cell>
          <cell r="J578" t="str">
            <v>bueno</v>
          </cell>
          <cell r="K578" t="str">
            <v>probsi</v>
          </cell>
        </row>
        <row r="579">
          <cell r="B579" t="b">
            <v>1</v>
          </cell>
          <cell r="E579" t="str">
            <v>Las Reinas</v>
          </cell>
          <cell r="H579" t="str">
            <v>consulta_externa</v>
          </cell>
          <cell r="J579" t="str">
            <v>bueno</v>
          </cell>
          <cell r="K579" t="str">
            <v>probsi</v>
          </cell>
        </row>
        <row r="580">
          <cell r="B580" t="b">
            <v>0</v>
          </cell>
          <cell r="E580" t="str">
            <v>Las Reinas</v>
          </cell>
          <cell r="H580" t="str">
            <v>consulta_externa</v>
          </cell>
          <cell r="J580" t="str">
            <v>malo</v>
          </cell>
          <cell r="K580" t="str">
            <v>probno</v>
          </cell>
        </row>
        <row r="581">
          <cell r="B581" t="b">
            <v>1</v>
          </cell>
          <cell r="E581" t="str">
            <v>Las Reinas</v>
          </cell>
          <cell r="H581" t="str">
            <v>consulta_externa</v>
          </cell>
          <cell r="J581" t="str">
            <v>bueno</v>
          </cell>
          <cell r="K581" t="str">
            <v>probsi</v>
          </cell>
        </row>
        <row r="582">
          <cell r="B582" t="b">
            <v>0</v>
          </cell>
          <cell r="E582" t="str">
            <v>Las Reinas</v>
          </cell>
          <cell r="H582" t="str">
            <v>laboratorio</v>
          </cell>
          <cell r="J582" t="str">
            <v>regular</v>
          </cell>
          <cell r="K582" t="str">
            <v>probsi</v>
          </cell>
        </row>
        <row r="583">
          <cell r="B583" t="b">
            <v>1</v>
          </cell>
          <cell r="E583" t="str">
            <v>Las Reinas</v>
          </cell>
          <cell r="H583" t="str">
            <v>consulta_externa</v>
          </cell>
          <cell r="J583" t="str">
            <v>bueno</v>
          </cell>
          <cell r="K583" t="str">
            <v>probsi</v>
          </cell>
        </row>
        <row r="584">
          <cell r="B584" t="b">
            <v>1</v>
          </cell>
          <cell r="E584" t="str">
            <v>Las Reinas</v>
          </cell>
          <cell r="H584" t="str">
            <v>salud_oral</v>
          </cell>
          <cell r="J584" t="str">
            <v>bueno</v>
          </cell>
          <cell r="K584" t="str">
            <v>probsi</v>
          </cell>
        </row>
        <row r="585">
          <cell r="B585" t="b">
            <v>0</v>
          </cell>
          <cell r="E585" t="str">
            <v>Las Reinas</v>
          </cell>
          <cell r="H585" t="str">
            <v>salud_oral</v>
          </cell>
          <cell r="J585" t="str">
            <v>regular</v>
          </cell>
          <cell r="K585" t="str">
            <v>probsi</v>
          </cell>
        </row>
        <row r="586">
          <cell r="B586" t="b">
            <v>0</v>
          </cell>
          <cell r="E586" t="str">
            <v>Las Reinas</v>
          </cell>
          <cell r="H586" t="str">
            <v>consulta_externa</v>
          </cell>
          <cell r="J586" t="str">
            <v>regular</v>
          </cell>
          <cell r="K586" t="str">
            <v>probsi</v>
          </cell>
        </row>
        <row r="587">
          <cell r="B587" t="b">
            <v>0</v>
          </cell>
          <cell r="E587" t="str">
            <v>Las Reinas</v>
          </cell>
          <cell r="H587" t="str">
            <v>laboratorio</v>
          </cell>
          <cell r="J587" t="str">
            <v>regular</v>
          </cell>
          <cell r="K587" t="str">
            <v>probsi</v>
          </cell>
        </row>
        <row r="588">
          <cell r="B588" t="b">
            <v>1</v>
          </cell>
          <cell r="E588" t="str">
            <v>Las Reinas</v>
          </cell>
          <cell r="H588" t="str">
            <v>consulta_externa</v>
          </cell>
          <cell r="J588" t="str">
            <v>bueno</v>
          </cell>
          <cell r="K588" t="str">
            <v>probsi</v>
          </cell>
        </row>
        <row r="589">
          <cell r="B589" t="b">
            <v>1</v>
          </cell>
          <cell r="E589" t="str">
            <v>Las Reinas</v>
          </cell>
          <cell r="H589" t="str">
            <v>laboratorio</v>
          </cell>
          <cell r="J589" t="str">
            <v>bueno</v>
          </cell>
          <cell r="K589" t="str">
            <v>probsi</v>
          </cell>
        </row>
        <row r="590">
          <cell r="B590" t="b">
            <v>1</v>
          </cell>
          <cell r="E590" t="str">
            <v>Las Reinas</v>
          </cell>
          <cell r="H590" t="str">
            <v>salud_oral</v>
          </cell>
          <cell r="J590" t="str">
            <v>bueno</v>
          </cell>
          <cell r="K590" t="str">
            <v>probsi</v>
          </cell>
        </row>
        <row r="591">
          <cell r="B591" t="b">
            <v>1</v>
          </cell>
          <cell r="E591" t="str">
            <v>Las Reinas</v>
          </cell>
          <cell r="H591" t="str">
            <v>consulta_externa</v>
          </cell>
          <cell r="J591" t="str">
            <v>bueno</v>
          </cell>
          <cell r="K591" t="str">
            <v>probsi</v>
          </cell>
        </row>
        <row r="592">
          <cell r="B592" t="b">
            <v>1</v>
          </cell>
          <cell r="E592" t="str">
            <v>Las Reinas</v>
          </cell>
          <cell r="H592" t="str">
            <v>consulta_externa</v>
          </cell>
          <cell r="J592" t="str">
            <v>bueno</v>
          </cell>
          <cell r="K592" t="str">
            <v>probsi</v>
          </cell>
        </row>
        <row r="593">
          <cell r="B593" t="b">
            <v>1</v>
          </cell>
          <cell r="E593" t="str">
            <v>San Pedro y Libertad</v>
          </cell>
          <cell r="H593" t="str">
            <v>consulta_externa</v>
          </cell>
          <cell r="J593" t="str">
            <v>bueno</v>
          </cell>
          <cell r="K593" t="str">
            <v>defsi</v>
          </cell>
        </row>
        <row r="594">
          <cell r="B594" t="b">
            <v>1</v>
          </cell>
          <cell r="E594" t="str">
            <v>Las Reinas</v>
          </cell>
          <cell r="H594" t="str">
            <v>salud_oral</v>
          </cell>
          <cell r="J594" t="str">
            <v>bueno</v>
          </cell>
          <cell r="K594" t="str">
            <v>probsi</v>
          </cell>
        </row>
        <row r="595">
          <cell r="B595" t="b">
            <v>1</v>
          </cell>
          <cell r="E595" t="str">
            <v>Las Reinas</v>
          </cell>
          <cell r="H595" t="str">
            <v>laboratorio</v>
          </cell>
          <cell r="J595" t="str">
            <v>bueno</v>
          </cell>
          <cell r="K595" t="str">
            <v>probsi</v>
          </cell>
        </row>
        <row r="596">
          <cell r="B596" t="b">
            <v>1</v>
          </cell>
          <cell r="E596" t="str">
            <v>San Pedro y Libertad</v>
          </cell>
          <cell r="H596" t="str">
            <v>salud_oral</v>
          </cell>
          <cell r="J596" t="str">
            <v>bueno</v>
          </cell>
          <cell r="K596" t="str">
            <v>defsi</v>
          </cell>
        </row>
        <row r="597">
          <cell r="B597" t="b">
            <v>1</v>
          </cell>
          <cell r="E597" t="str">
            <v>San Pedro y Libertad</v>
          </cell>
          <cell r="H597" t="str">
            <v>laboratorio</v>
          </cell>
          <cell r="J597" t="str">
            <v>bueno</v>
          </cell>
          <cell r="K597" t="str">
            <v>defsi</v>
          </cell>
        </row>
        <row r="598">
          <cell r="B598" t="b">
            <v>1</v>
          </cell>
          <cell r="E598" t="str">
            <v>Las Reinas</v>
          </cell>
          <cell r="H598" t="str">
            <v>consulta_externa</v>
          </cell>
          <cell r="J598" t="str">
            <v>bueno</v>
          </cell>
          <cell r="K598" t="str">
            <v>probsi</v>
          </cell>
        </row>
        <row r="599">
          <cell r="B599" t="b">
            <v>1</v>
          </cell>
          <cell r="E599" t="str">
            <v>Las Reinas</v>
          </cell>
          <cell r="H599" t="str">
            <v>salud_oral</v>
          </cell>
          <cell r="J599" t="str">
            <v>bueno</v>
          </cell>
          <cell r="K599" t="str">
            <v>probsi</v>
          </cell>
        </row>
        <row r="600">
          <cell r="B600" t="b">
            <v>1</v>
          </cell>
          <cell r="E600" t="str">
            <v>Las Reinas</v>
          </cell>
          <cell r="H600" t="str">
            <v>consulta_externa</v>
          </cell>
          <cell r="J600" t="str">
            <v>bueno</v>
          </cell>
          <cell r="K600" t="str">
            <v>probsi</v>
          </cell>
        </row>
        <row r="601">
          <cell r="B601" t="b">
            <v>1</v>
          </cell>
          <cell r="E601" t="str">
            <v>Las Reinas</v>
          </cell>
          <cell r="H601" t="str">
            <v>salud_oral</v>
          </cell>
          <cell r="J601" t="str">
            <v>bueno</v>
          </cell>
          <cell r="K601" t="str">
            <v>probsi</v>
          </cell>
        </row>
        <row r="602">
          <cell r="B602" t="b">
            <v>0</v>
          </cell>
          <cell r="E602" t="str">
            <v>Las Reinas</v>
          </cell>
          <cell r="H602" t="str">
            <v>laboratorio</v>
          </cell>
          <cell r="J602" t="str">
            <v>regular</v>
          </cell>
          <cell r="K602" t="str">
            <v>probsi</v>
          </cell>
        </row>
        <row r="603">
          <cell r="B603" t="b">
            <v>1</v>
          </cell>
          <cell r="E603" t="str">
            <v>San Pedro y Libertad</v>
          </cell>
          <cell r="H603" t="str">
            <v>consulta_externa</v>
          </cell>
          <cell r="J603" t="str">
            <v>bueno</v>
          </cell>
          <cell r="K603" t="str">
            <v>defsi</v>
          </cell>
        </row>
        <row r="604">
          <cell r="B604" t="b">
            <v>1</v>
          </cell>
          <cell r="E604" t="str">
            <v>San Pedro y Libertad</v>
          </cell>
          <cell r="H604" t="str">
            <v>salud_oral</v>
          </cell>
          <cell r="J604" t="str">
            <v>bueno</v>
          </cell>
          <cell r="K604" t="str">
            <v>defsi</v>
          </cell>
        </row>
        <row r="605">
          <cell r="B605" t="b">
            <v>1</v>
          </cell>
          <cell r="E605" t="str">
            <v>San Pedro y Libertad</v>
          </cell>
          <cell r="H605" t="str">
            <v>laboratorio</v>
          </cell>
          <cell r="J605" t="str">
            <v>bueno</v>
          </cell>
          <cell r="K605" t="str">
            <v>defsi</v>
          </cell>
        </row>
        <row r="606">
          <cell r="B606" t="b">
            <v>1</v>
          </cell>
          <cell r="E606" t="str">
            <v>San Pedro y Libertad</v>
          </cell>
          <cell r="H606" t="str">
            <v>consulta_externa</v>
          </cell>
          <cell r="J606" t="str">
            <v>bueno</v>
          </cell>
          <cell r="K606" t="str">
            <v>defsi</v>
          </cell>
        </row>
        <row r="607">
          <cell r="B607" t="b">
            <v>1</v>
          </cell>
          <cell r="E607" t="str">
            <v>San Pedro y Libertad</v>
          </cell>
          <cell r="H607" t="str">
            <v>salud_oral</v>
          </cell>
          <cell r="J607" t="str">
            <v>bueno</v>
          </cell>
          <cell r="K607" t="str">
            <v>defsi</v>
          </cell>
        </row>
        <row r="608">
          <cell r="B608" t="b">
            <v>1</v>
          </cell>
          <cell r="E608" t="str">
            <v>San Pedro y Libertad</v>
          </cell>
          <cell r="H608" t="str">
            <v>laboratorio</v>
          </cell>
          <cell r="J608" t="str">
            <v>bueno</v>
          </cell>
          <cell r="K608" t="str">
            <v>defsi</v>
          </cell>
        </row>
        <row r="609">
          <cell r="B609" t="b">
            <v>1</v>
          </cell>
          <cell r="E609" t="str">
            <v>Las Reinas</v>
          </cell>
          <cell r="H609" t="str">
            <v>salud_oral</v>
          </cell>
          <cell r="J609" t="str">
            <v>bueno</v>
          </cell>
          <cell r="K609" t="str">
            <v>probsi</v>
          </cell>
        </row>
        <row r="610">
          <cell r="B610" t="b">
            <v>1</v>
          </cell>
          <cell r="E610" t="str">
            <v>Las Reinas</v>
          </cell>
          <cell r="H610" t="str">
            <v>laboratorio</v>
          </cell>
          <cell r="J610" t="str">
            <v>bueno</v>
          </cell>
          <cell r="K610" t="str">
            <v>probsi</v>
          </cell>
        </row>
        <row r="611">
          <cell r="B611" t="b">
            <v>1</v>
          </cell>
          <cell r="E611" t="str">
            <v>San Pedro y Libertad</v>
          </cell>
          <cell r="H611" t="str">
            <v>consulta_externa</v>
          </cell>
          <cell r="J611" t="str">
            <v>bueno</v>
          </cell>
          <cell r="K611" t="str">
            <v>defsi</v>
          </cell>
        </row>
        <row r="612">
          <cell r="B612" t="b">
            <v>1</v>
          </cell>
          <cell r="E612" t="str">
            <v>Las Reinas</v>
          </cell>
          <cell r="H612" t="str">
            <v>salud_oral</v>
          </cell>
          <cell r="J612" t="str">
            <v>bueno</v>
          </cell>
          <cell r="K612" t="str">
            <v>probsi</v>
          </cell>
        </row>
        <row r="613">
          <cell r="B613" t="b">
            <v>1</v>
          </cell>
          <cell r="E613" t="str">
            <v>San Pedro y Libertad</v>
          </cell>
          <cell r="H613" t="str">
            <v>salud_oral</v>
          </cell>
          <cell r="J613" t="str">
            <v>bueno</v>
          </cell>
          <cell r="K613" t="str">
            <v>defsi</v>
          </cell>
        </row>
        <row r="614">
          <cell r="B614" t="b">
            <v>1</v>
          </cell>
          <cell r="E614" t="str">
            <v>Las Reinas</v>
          </cell>
          <cell r="H614" t="str">
            <v>laboratorio</v>
          </cell>
          <cell r="J614" t="str">
            <v>bueno</v>
          </cell>
          <cell r="K614" t="str">
            <v>probsi</v>
          </cell>
        </row>
        <row r="615">
          <cell r="B615" t="b">
            <v>1</v>
          </cell>
          <cell r="E615" t="str">
            <v>San Pedro y Libertad</v>
          </cell>
          <cell r="H615" t="str">
            <v>laboratorio</v>
          </cell>
          <cell r="J615" t="str">
            <v>bueno</v>
          </cell>
          <cell r="K615" t="str">
            <v>defsi</v>
          </cell>
        </row>
        <row r="616">
          <cell r="B616" t="b">
            <v>1</v>
          </cell>
          <cell r="E616" t="str">
            <v>San Pedro y Libertad</v>
          </cell>
          <cell r="H616" t="str">
            <v>consulta_externa</v>
          </cell>
          <cell r="J616" t="str">
            <v>bueno</v>
          </cell>
          <cell r="K616" t="str">
            <v>defsi</v>
          </cell>
        </row>
        <row r="617">
          <cell r="B617" t="b">
            <v>1</v>
          </cell>
          <cell r="E617" t="str">
            <v>San Pedro y Libertad</v>
          </cell>
          <cell r="H617" t="str">
            <v>salud_oral</v>
          </cell>
          <cell r="J617" t="str">
            <v>bueno</v>
          </cell>
          <cell r="K617" t="str">
            <v>defsi</v>
          </cell>
        </row>
        <row r="618">
          <cell r="B618" t="b">
            <v>1</v>
          </cell>
          <cell r="E618" t="str">
            <v>San Pedro y Libertad</v>
          </cell>
          <cell r="H618" t="str">
            <v>laboratorio</v>
          </cell>
          <cell r="J618" t="str">
            <v>bueno</v>
          </cell>
          <cell r="K618" t="str">
            <v>defsi</v>
          </cell>
        </row>
        <row r="619">
          <cell r="B619" t="b">
            <v>1</v>
          </cell>
          <cell r="E619" t="str">
            <v>San Pedro y Libertad</v>
          </cell>
          <cell r="H619" t="str">
            <v>consulta_externa</v>
          </cell>
          <cell r="J619" t="str">
            <v>bueno</v>
          </cell>
          <cell r="K619" t="str">
            <v>defsi</v>
          </cell>
        </row>
        <row r="620">
          <cell r="B620" t="b">
            <v>1</v>
          </cell>
          <cell r="E620" t="str">
            <v>San Pedro y Libertad</v>
          </cell>
          <cell r="H620" t="str">
            <v>salud_oral</v>
          </cell>
          <cell r="J620" t="str">
            <v>bueno</v>
          </cell>
          <cell r="K620" t="str">
            <v>defsi</v>
          </cell>
        </row>
        <row r="621">
          <cell r="B621" t="b">
            <v>1</v>
          </cell>
          <cell r="E621" t="str">
            <v>San Pedro y Libertad</v>
          </cell>
          <cell r="H621" t="str">
            <v>laboratorio</v>
          </cell>
          <cell r="J621" t="str">
            <v>bueno</v>
          </cell>
          <cell r="K621" t="str">
            <v>defsi</v>
          </cell>
        </row>
        <row r="622">
          <cell r="B622" t="b">
            <v>1</v>
          </cell>
          <cell r="E622" t="str">
            <v>San Pedro y Libertad</v>
          </cell>
          <cell r="H622" t="str">
            <v>consulta_externa</v>
          </cell>
          <cell r="J622" t="str">
            <v>bueno</v>
          </cell>
          <cell r="K622" t="str">
            <v>defsi</v>
          </cell>
        </row>
        <row r="623">
          <cell r="B623" t="b">
            <v>1</v>
          </cell>
          <cell r="E623" t="str">
            <v>San Pedro y Libertad</v>
          </cell>
          <cell r="H623" t="str">
            <v>salud_oral</v>
          </cell>
          <cell r="J623" t="str">
            <v>bueno</v>
          </cell>
          <cell r="K623" t="str">
            <v>defsi</v>
          </cell>
        </row>
        <row r="624">
          <cell r="B624" t="b">
            <v>1</v>
          </cell>
          <cell r="E624" t="str">
            <v>San Pedro y Libertad</v>
          </cell>
          <cell r="H624" t="str">
            <v>laboratorio</v>
          </cell>
          <cell r="J624" t="str">
            <v>bueno</v>
          </cell>
          <cell r="K624" t="str">
            <v>defsi</v>
          </cell>
        </row>
        <row r="625">
          <cell r="B625" t="b">
            <v>1</v>
          </cell>
          <cell r="E625" t="str">
            <v>San Pedro y Libertad</v>
          </cell>
          <cell r="H625" t="str">
            <v>consulta_externa</v>
          </cell>
          <cell r="J625" t="str">
            <v>bueno</v>
          </cell>
          <cell r="K625" t="str">
            <v>defsi</v>
          </cell>
        </row>
        <row r="626">
          <cell r="B626" t="b">
            <v>1</v>
          </cell>
          <cell r="E626" t="str">
            <v>San Pedro y Libertad</v>
          </cell>
          <cell r="H626" t="str">
            <v>salud_oral</v>
          </cell>
          <cell r="J626" t="str">
            <v>bueno</v>
          </cell>
          <cell r="K626" t="str">
            <v>defsi</v>
          </cell>
        </row>
        <row r="627">
          <cell r="B627" t="b">
            <v>1</v>
          </cell>
          <cell r="E627" t="str">
            <v>San Pedro y Libertad</v>
          </cell>
          <cell r="H627" t="str">
            <v>laboratorio</v>
          </cell>
          <cell r="J627" t="str">
            <v>bueno</v>
          </cell>
          <cell r="K627" t="str">
            <v>defsi</v>
          </cell>
        </row>
        <row r="628">
          <cell r="B628" t="b">
            <v>1</v>
          </cell>
          <cell r="E628" t="str">
            <v>San Pedro y Libertad</v>
          </cell>
          <cell r="H628" t="str">
            <v>consulta_externa</v>
          </cell>
          <cell r="J628" t="str">
            <v>bueno</v>
          </cell>
          <cell r="K628" t="str">
            <v>defsi</v>
          </cell>
        </row>
        <row r="629">
          <cell r="B629" t="b">
            <v>1</v>
          </cell>
          <cell r="E629" t="str">
            <v>San Pedro y Libertad</v>
          </cell>
          <cell r="H629" t="str">
            <v>salud_oral</v>
          </cell>
          <cell r="J629" t="str">
            <v>bueno</v>
          </cell>
          <cell r="K629" t="str">
            <v>defsi</v>
          </cell>
        </row>
        <row r="630">
          <cell r="B630" t="b">
            <v>1</v>
          </cell>
          <cell r="E630" t="str">
            <v>San Pedro y Libertad</v>
          </cell>
          <cell r="H630" t="str">
            <v>laboratorio</v>
          </cell>
          <cell r="J630" t="str">
            <v>bueno</v>
          </cell>
          <cell r="K630" t="str">
            <v>defsi</v>
          </cell>
        </row>
        <row r="631">
          <cell r="B631" t="b">
            <v>1</v>
          </cell>
          <cell r="E631" t="str">
            <v>San Pedro y Libertad</v>
          </cell>
          <cell r="H631" t="str">
            <v>consulta_externa</v>
          </cell>
          <cell r="J631" t="str">
            <v>bueno</v>
          </cell>
          <cell r="K631" t="str">
            <v>defsi</v>
          </cell>
        </row>
        <row r="632">
          <cell r="B632" t="b">
            <v>1</v>
          </cell>
          <cell r="E632" t="str">
            <v>San Pedro y Libertad</v>
          </cell>
          <cell r="H632" t="str">
            <v>salud_oral</v>
          </cell>
          <cell r="J632" t="str">
            <v>bueno</v>
          </cell>
          <cell r="K632" t="str">
            <v>defsi</v>
          </cell>
        </row>
        <row r="633">
          <cell r="B633" t="b">
            <v>1</v>
          </cell>
          <cell r="E633" t="str">
            <v>San Pedro y Libertad</v>
          </cell>
          <cell r="H633" t="str">
            <v>laboratorio</v>
          </cell>
          <cell r="J633" t="str">
            <v>bueno</v>
          </cell>
          <cell r="K633" t="str">
            <v>defsi</v>
          </cell>
        </row>
        <row r="634">
          <cell r="B634" t="b">
            <v>0</v>
          </cell>
          <cell r="E634" t="str">
            <v>Socorro</v>
          </cell>
          <cell r="H634" t="str">
            <v>consulta_externa</v>
          </cell>
          <cell r="J634" t="str">
            <v>regular</v>
          </cell>
          <cell r="K634" t="str">
            <v>defsi</v>
          </cell>
        </row>
        <row r="635">
          <cell r="B635" t="b">
            <v>1</v>
          </cell>
          <cell r="E635" t="str">
            <v>San Pedro y Libertad</v>
          </cell>
          <cell r="H635" t="str">
            <v>consulta_externa</v>
          </cell>
          <cell r="J635" t="str">
            <v>bueno</v>
          </cell>
          <cell r="K635" t="str">
            <v>defsi</v>
          </cell>
        </row>
        <row r="636">
          <cell r="B636" t="b">
            <v>1</v>
          </cell>
          <cell r="E636" t="str">
            <v>San Pedro y Libertad</v>
          </cell>
          <cell r="H636" t="str">
            <v>salud_oral</v>
          </cell>
          <cell r="J636" t="str">
            <v>bueno</v>
          </cell>
          <cell r="K636" t="str">
            <v>defsi</v>
          </cell>
        </row>
        <row r="637">
          <cell r="B637" t="b">
            <v>1</v>
          </cell>
          <cell r="E637" t="str">
            <v>San Pedro y Libertad</v>
          </cell>
          <cell r="H637" t="str">
            <v>laboratorio</v>
          </cell>
          <cell r="J637" t="str">
            <v>bueno</v>
          </cell>
          <cell r="K637" t="str">
            <v>defsi</v>
          </cell>
        </row>
        <row r="638">
          <cell r="B638" t="b">
            <v>1</v>
          </cell>
          <cell r="E638" t="str">
            <v>San Pedro y Libertad</v>
          </cell>
          <cell r="H638" t="str">
            <v>consulta_externa</v>
          </cell>
          <cell r="J638" t="str">
            <v>bueno</v>
          </cell>
          <cell r="K638" t="str">
            <v>defsi</v>
          </cell>
        </row>
        <row r="639">
          <cell r="B639" t="b">
            <v>1</v>
          </cell>
          <cell r="E639" t="str">
            <v>San Pedro y Libertad</v>
          </cell>
          <cell r="H639" t="str">
            <v>salud_oral</v>
          </cell>
          <cell r="J639" t="str">
            <v>bueno</v>
          </cell>
          <cell r="K639" t="str">
            <v>defsi</v>
          </cell>
        </row>
        <row r="640">
          <cell r="B640" t="b">
            <v>0</v>
          </cell>
          <cell r="E640" t="str">
            <v>Socorro</v>
          </cell>
          <cell r="H640" t="str">
            <v>consulta_externa</v>
          </cell>
          <cell r="J640" t="str">
            <v>regular</v>
          </cell>
          <cell r="K640" t="str">
            <v>defsi</v>
          </cell>
        </row>
        <row r="641">
          <cell r="B641" t="b">
            <v>1</v>
          </cell>
          <cell r="E641" t="str">
            <v>Socorro</v>
          </cell>
          <cell r="H641" t="str">
            <v>laboratorio</v>
          </cell>
          <cell r="J641" t="str">
            <v>bueno</v>
          </cell>
          <cell r="K641" t="str">
            <v>defsi</v>
          </cell>
        </row>
        <row r="642">
          <cell r="B642" t="b">
            <v>1</v>
          </cell>
          <cell r="E642" t="str">
            <v>Socorro</v>
          </cell>
          <cell r="H642" t="str">
            <v>laboratorio</v>
          </cell>
          <cell r="J642" t="str">
            <v>bueno</v>
          </cell>
          <cell r="K642" t="str">
            <v>defsi</v>
          </cell>
        </row>
        <row r="643">
          <cell r="B643" t="b">
            <v>1</v>
          </cell>
          <cell r="E643" t="str">
            <v>Socorro</v>
          </cell>
          <cell r="H643" t="str">
            <v>consulta_externa</v>
          </cell>
          <cell r="J643" t="str">
            <v>bueno</v>
          </cell>
          <cell r="K643" t="str">
            <v>defsi</v>
          </cell>
        </row>
        <row r="644">
          <cell r="B644" t="b">
            <v>1</v>
          </cell>
          <cell r="E644" t="str">
            <v>Socorro</v>
          </cell>
          <cell r="H644" t="str">
            <v>consulta_externa</v>
          </cell>
          <cell r="J644" t="str">
            <v>bueno</v>
          </cell>
          <cell r="K644" t="str">
            <v>defsi</v>
          </cell>
        </row>
        <row r="645">
          <cell r="B645" t="b">
            <v>1</v>
          </cell>
          <cell r="E645" t="str">
            <v>Socorro</v>
          </cell>
          <cell r="H645" t="str">
            <v>consulta_externa</v>
          </cell>
          <cell r="J645" t="str">
            <v>bueno</v>
          </cell>
          <cell r="K645" t="str">
            <v>defsi</v>
          </cell>
        </row>
        <row r="646">
          <cell r="B646" t="b">
            <v>1</v>
          </cell>
          <cell r="E646" t="str">
            <v>Socorro</v>
          </cell>
          <cell r="H646" t="str">
            <v>laboratorio</v>
          </cell>
          <cell r="J646" t="str">
            <v>bueno</v>
          </cell>
          <cell r="K646" t="str">
            <v>defsi</v>
          </cell>
        </row>
        <row r="647">
          <cell r="B647" t="b">
            <v>0</v>
          </cell>
          <cell r="E647" t="str">
            <v>Socorro</v>
          </cell>
          <cell r="H647" t="str">
            <v>laboratorio</v>
          </cell>
          <cell r="J647" t="str">
            <v>regular</v>
          </cell>
          <cell r="K647" t="str">
            <v>defsi</v>
          </cell>
        </row>
        <row r="648">
          <cell r="B648" t="b">
            <v>1</v>
          </cell>
          <cell r="E648" t="str">
            <v>Socorro</v>
          </cell>
          <cell r="H648" t="str">
            <v>laboratorio</v>
          </cell>
          <cell r="J648" t="str">
            <v>bueno</v>
          </cell>
          <cell r="K648" t="str">
            <v>defsi</v>
          </cell>
        </row>
        <row r="649">
          <cell r="B649" t="b">
            <v>1</v>
          </cell>
          <cell r="E649" t="str">
            <v>Socorro</v>
          </cell>
          <cell r="H649" t="str">
            <v>laboratorio</v>
          </cell>
          <cell r="J649" t="str">
            <v>bueno</v>
          </cell>
          <cell r="K649" t="str">
            <v>defsi</v>
          </cell>
        </row>
        <row r="650">
          <cell r="B650" t="b">
            <v>0</v>
          </cell>
          <cell r="E650" t="str">
            <v>Socorro</v>
          </cell>
          <cell r="H650" t="str">
            <v>consulta_externa</v>
          </cell>
          <cell r="J650" t="str">
            <v>regular</v>
          </cell>
          <cell r="K650" t="str">
            <v>defsi</v>
          </cell>
        </row>
        <row r="651">
          <cell r="B651" t="b">
            <v>1</v>
          </cell>
          <cell r="E651" t="str">
            <v>Socorro</v>
          </cell>
          <cell r="H651" t="str">
            <v>salud_oral</v>
          </cell>
          <cell r="J651" t="str">
            <v>bueno</v>
          </cell>
          <cell r="K651" t="str">
            <v>defsi</v>
          </cell>
        </row>
        <row r="652">
          <cell r="B652" t="b">
            <v>1</v>
          </cell>
          <cell r="E652" t="str">
            <v>Socorro</v>
          </cell>
          <cell r="H652" t="str">
            <v>salud_oral</v>
          </cell>
          <cell r="J652" t="str">
            <v>bueno</v>
          </cell>
          <cell r="K652" t="str">
            <v>defsi</v>
          </cell>
        </row>
        <row r="653">
          <cell r="B653" t="b">
            <v>1</v>
          </cell>
          <cell r="E653" t="str">
            <v>Socorro</v>
          </cell>
          <cell r="H653" t="str">
            <v>salud_oral</v>
          </cell>
          <cell r="J653" t="str">
            <v>bueno</v>
          </cell>
          <cell r="K653" t="str">
            <v>defsi</v>
          </cell>
        </row>
        <row r="654">
          <cell r="B654" t="b">
            <v>1</v>
          </cell>
          <cell r="E654" t="str">
            <v>Socorro</v>
          </cell>
          <cell r="H654" t="str">
            <v>consulta_externa</v>
          </cell>
          <cell r="J654" t="str">
            <v>bueno</v>
          </cell>
          <cell r="K654" t="str">
            <v>defsi</v>
          </cell>
        </row>
        <row r="655">
          <cell r="B655" t="b">
            <v>1</v>
          </cell>
          <cell r="E655" t="str">
            <v>Socorro</v>
          </cell>
          <cell r="H655" t="str">
            <v>salud_oral</v>
          </cell>
          <cell r="J655" t="str">
            <v>bueno</v>
          </cell>
          <cell r="K655" t="str">
            <v>defsi</v>
          </cell>
        </row>
        <row r="656">
          <cell r="B656" t="b">
            <v>1</v>
          </cell>
          <cell r="E656" t="str">
            <v>Nelson Mandela UPA</v>
          </cell>
          <cell r="H656" t="str">
            <v>consulta_externa</v>
          </cell>
          <cell r="J656" t="str">
            <v>bueno</v>
          </cell>
          <cell r="K656" t="str">
            <v>probsi</v>
          </cell>
        </row>
        <row r="657">
          <cell r="B657" t="b">
            <v>1</v>
          </cell>
          <cell r="E657" t="str">
            <v>Nelson Mandela UPA</v>
          </cell>
          <cell r="H657" t="str">
            <v>salud_oral</v>
          </cell>
          <cell r="J657" t="str">
            <v>bueno</v>
          </cell>
          <cell r="K657" t="str">
            <v>probsi</v>
          </cell>
        </row>
        <row r="658">
          <cell r="B658" t="b">
            <v>1</v>
          </cell>
          <cell r="E658" t="str">
            <v>Nelson Mandela UPA</v>
          </cell>
          <cell r="H658" t="str">
            <v>laboratorio</v>
          </cell>
          <cell r="J658" t="str">
            <v>bueno</v>
          </cell>
          <cell r="K658" t="str">
            <v>probsi</v>
          </cell>
        </row>
        <row r="659">
          <cell r="B659" t="b">
            <v>1</v>
          </cell>
          <cell r="E659" t="str">
            <v>Nelson Mandela UPA</v>
          </cell>
          <cell r="H659" t="str">
            <v>laboratorio</v>
          </cell>
          <cell r="J659" t="str">
            <v>bueno</v>
          </cell>
          <cell r="K659" t="str">
            <v>probsi</v>
          </cell>
        </row>
        <row r="660">
          <cell r="B660" t="b">
            <v>1</v>
          </cell>
          <cell r="E660" t="str">
            <v>Nelson Mandela UPA</v>
          </cell>
          <cell r="H660" t="str">
            <v>salud_oral</v>
          </cell>
          <cell r="J660" t="str">
            <v>bueno</v>
          </cell>
          <cell r="K660" t="str">
            <v>probsi</v>
          </cell>
        </row>
        <row r="661">
          <cell r="B661" t="b">
            <v>1</v>
          </cell>
          <cell r="E661" t="str">
            <v>Nelson Mandela UPA</v>
          </cell>
          <cell r="H661" t="str">
            <v>consulta_externa</v>
          </cell>
          <cell r="J661" t="str">
            <v>bueno</v>
          </cell>
          <cell r="K661" t="str">
            <v>probsi</v>
          </cell>
        </row>
        <row r="662">
          <cell r="B662" t="b">
            <v>1</v>
          </cell>
          <cell r="E662" t="str">
            <v>Nelson Mandela UPA</v>
          </cell>
          <cell r="H662" t="str">
            <v>consulta_externa</v>
          </cell>
          <cell r="J662" t="str">
            <v>bueno</v>
          </cell>
          <cell r="K662" t="str">
            <v>probsi</v>
          </cell>
        </row>
        <row r="663">
          <cell r="B663" t="b">
            <v>1</v>
          </cell>
          <cell r="E663" t="str">
            <v>Nelson Mandela UPA</v>
          </cell>
          <cell r="H663" t="str">
            <v>salud_oral</v>
          </cell>
          <cell r="J663" t="str">
            <v>bueno</v>
          </cell>
          <cell r="K663" t="str">
            <v>probsi</v>
          </cell>
        </row>
        <row r="664">
          <cell r="B664" t="b">
            <v>1</v>
          </cell>
          <cell r="E664" t="str">
            <v>Socorro</v>
          </cell>
          <cell r="H664" t="str">
            <v>salud_oral</v>
          </cell>
          <cell r="J664" t="str">
            <v>bueno</v>
          </cell>
          <cell r="K664" t="str">
            <v>defsi</v>
          </cell>
        </row>
        <row r="665">
          <cell r="B665" t="b">
            <v>1</v>
          </cell>
          <cell r="E665" t="str">
            <v>Socorro</v>
          </cell>
          <cell r="H665" t="str">
            <v>salud_oral</v>
          </cell>
          <cell r="J665" t="str">
            <v>bueno</v>
          </cell>
          <cell r="K665" t="str">
            <v>defsi</v>
          </cell>
        </row>
        <row r="666">
          <cell r="B666" t="b">
            <v>0</v>
          </cell>
          <cell r="E666" t="str">
            <v>Nelson Mandela UPA</v>
          </cell>
          <cell r="H666" t="str">
            <v>consulta_externa</v>
          </cell>
          <cell r="J666" t="str">
            <v>regular</v>
          </cell>
          <cell r="K666" t="str">
            <v>probsi</v>
          </cell>
        </row>
        <row r="667">
          <cell r="B667" t="b">
            <v>1</v>
          </cell>
          <cell r="E667" t="str">
            <v>Socorro</v>
          </cell>
          <cell r="H667" t="str">
            <v>salud_oral</v>
          </cell>
          <cell r="J667" t="str">
            <v>bueno</v>
          </cell>
          <cell r="K667" t="str">
            <v>defsi</v>
          </cell>
        </row>
        <row r="668">
          <cell r="B668" t="b">
            <v>1</v>
          </cell>
          <cell r="E668" t="str">
            <v>Socorro</v>
          </cell>
          <cell r="H668" t="str">
            <v>salud_oral</v>
          </cell>
          <cell r="J668" t="str">
            <v>bueno</v>
          </cell>
          <cell r="K668" t="str">
            <v>defsi</v>
          </cell>
        </row>
        <row r="669">
          <cell r="B669" t="b">
            <v>0</v>
          </cell>
          <cell r="E669" t="str">
            <v>Socorro</v>
          </cell>
          <cell r="H669" t="str">
            <v>salud_oral</v>
          </cell>
          <cell r="J669" t="str">
            <v>regular</v>
          </cell>
          <cell r="K669" t="str">
            <v>defsi</v>
          </cell>
        </row>
        <row r="670">
          <cell r="B670" t="b">
            <v>0</v>
          </cell>
          <cell r="E670" t="str">
            <v>Socorro</v>
          </cell>
          <cell r="H670" t="str">
            <v>consulta_externa</v>
          </cell>
          <cell r="J670" t="str">
            <v>regular</v>
          </cell>
          <cell r="K670" t="str">
            <v>defsi</v>
          </cell>
        </row>
        <row r="671">
          <cell r="B671" t="b">
            <v>1</v>
          </cell>
          <cell r="E671" t="str">
            <v>Socorro</v>
          </cell>
          <cell r="H671" t="str">
            <v>consulta_externa</v>
          </cell>
          <cell r="J671" t="str">
            <v>bueno</v>
          </cell>
          <cell r="K671" t="str">
            <v>defsi</v>
          </cell>
        </row>
        <row r="672">
          <cell r="B672" t="b">
            <v>1</v>
          </cell>
          <cell r="E672" t="str">
            <v>Socorro</v>
          </cell>
          <cell r="H672" t="str">
            <v>salud_oral</v>
          </cell>
          <cell r="J672" t="str">
            <v>bueno</v>
          </cell>
          <cell r="K672" t="str">
            <v>defsi</v>
          </cell>
        </row>
        <row r="673">
          <cell r="B673" t="b">
            <v>0</v>
          </cell>
          <cell r="E673" t="str">
            <v>Socorro</v>
          </cell>
          <cell r="H673" t="str">
            <v>salud_oral</v>
          </cell>
          <cell r="J673" t="str">
            <v>regular</v>
          </cell>
          <cell r="K673" t="str">
            <v>probsi</v>
          </cell>
        </row>
        <row r="674">
          <cell r="B674" t="b">
            <v>1</v>
          </cell>
          <cell r="E674" t="str">
            <v>Nelson Mandela UPA</v>
          </cell>
          <cell r="H674" t="str">
            <v>consulta_externa</v>
          </cell>
          <cell r="J674" t="str">
            <v>bueno</v>
          </cell>
          <cell r="K674" t="str">
            <v>probsi</v>
          </cell>
        </row>
        <row r="675">
          <cell r="B675" t="b">
            <v>1</v>
          </cell>
          <cell r="E675" t="str">
            <v>Nelson Mandela UPA</v>
          </cell>
          <cell r="H675" t="str">
            <v>laboratorio</v>
          </cell>
          <cell r="J675" t="str">
            <v>bueno</v>
          </cell>
          <cell r="K675" t="str">
            <v>probsi</v>
          </cell>
        </row>
        <row r="676">
          <cell r="B676" t="b">
            <v>1</v>
          </cell>
          <cell r="E676" t="str">
            <v>Nelson Mandela UPA</v>
          </cell>
          <cell r="H676" t="str">
            <v>urgencia</v>
          </cell>
          <cell r="J676" t="str">
            <v>bueno</v>
          </cell>
          <cell r="K676" t="str">
            <v>probsi</v>
          </cell>
        </row>
        <row r="677">
          <cell r="B677" t="b">
            <v>1</v>
          </cell>
          <cell r="E677" t="str">
            <v>Nelson Mandela UPA</v>
          </cell>
          <cell r="H677" t="str">
            <v>consulta_externa</v>
          </cell>
          <cell r="J677" t="str">
            <v>bueno</v>
          </cell>
          <cell r="K677" t="str">
            <v>probsi</v>
          </cell>
        </row>
        <row r="678">
          <cell r="B678" t="b">
            <v>1</v>
          </cell>
          <cell r="E678" t="str">
            <v>Blasdelezo</v>
          </cell>
          <cell r="H678" t="str">
            <v>consulta_externa</v>
          </cell>
          <cell r="J678" t="str">
            <v>bueno</v>
          </cell>
          <cell r="K678" t="str">
            <v>probsi</v>
          </cell>
        </row>
        <row r="679">
          <cell r="B679" t="b">
            <v>0</v>
          </cell>
          <cell r="E679" t="str">
            <v>Nelson Mandela UPA</v>
          </cell>
          <cell r="H679" t="str">
            <v>salud_oral</v>
          </cell>
          <cell r="J679" t="str">
            <v>regular</v>
          </cell>
          <cell r="K679" t="str">
            <v>probsi</v>
          </cell>
        </row>
        <row r="680">
          <cell r="B680" t="b">
            <v>0</v>
          </cell>
          <cell r="E680" t="str">
            <v>Nelson Mandela UPA</v>
          </cell>
          <cell r="H680" t="str">
            <v>laboratorio</v>
          </cell>
          <cell r="J680" t="str">
            <v>regular</v>
          </cell>
          <cell r="K680" t="str">
            <v>probsi</v>
          </cell>
        </row>
        <row r="681">
          <cell r="B681" t="b">
            <v>1</v>
          </cell>
          <cell r="E681" t="str">
            <v>Blasdelezo</v>
          </cell>
          <cell r="H681" t="str">
            <v>consulta_externa</v>
          </cell>
          <cell r="J681" t="str">
            <v>bueno</v>
          </cell>
          <cell r="K681" t="str">
            <v>probsi</v>
          </cell>
        </row>
        <row r="682">
          <cell r="B682" t="b">
            <v>1</v>
          </cell>
          <cell r="E682" t="str">
            <v>Nelson Mandela UPA</v>
          </cell>
          <cell r="H682" t="str">
            <v>consulta_externa</v>
          </cell>
          <cell r="J682" t="str">
            <v>bueno</v>
          </cell>
          <cell r="K682" t="str">
            <v>probsi</v>
          </cell>
        </row>
        <row r="683">
          <cell r="B683" t="b">
            <v>1</v>
          </cell>
          <cell r="E683" t="str">
            <v>Nelson Mandela UPA</v>
          </cell>
          <cell r="H683" t="str">
            <v>laboratorio</v>
          </cell>
          <cell r="J683" t="str">
            <v>bueno</v>
          </cell>
          <cell r="K683" t="str">
            <v>probsi</v>
          </cell>
        </row>
        <row r="684">
          <cell r="B684" t="b">
            <v>1</v>
          </cell>
          <cell r="E684" t="str">
            <v>Nelson Mandela UPA</v>
          </cell>
          <cell r="H684" t="str">
            <v>consulta_externa</v>
          </cell>
          <cell r="J684" t="str">
            <v>bueno</v>
          </cell>
          <cell r="K684" t="str">
            <v>probsi</v>
          </cell>
        </row>
        <row r="685">
          <cell r="B685" t="b">
            <v>1</v>
          </cell>
          <cell r="E685" t="str">
            <v>Nelson Mandela UPA</v>
          </cell>
          <cell r="H685" t="str">
            <v>laboratorio</v>
          </cell>
          <cell r="J685" t="str">
            <v>bueno</v>
          </cell>
          <cell r="K685" t="str">
            <v>probsi</v>
          </cell>
        </row>
        <row r="686">
          <cell r="B686" t="b">
            <v>1</v>
          </cell>
          <cell r="E686" t="str">
            <v>Nelson Mandela UPA</v>
          </cell>
          <cell r="H686" t="str">
            <v>urgencia</v>
          </cell>
          <cell r="J686" t="str">
            <v>bueno</v>
          </cell>
          <cell r="K686" t="str">
            <v>probsi</v>
          </cell>
        </row>
        <row r="687">
          <cell r="B687" t="b">
            <v>1</v>
          </cell>
          <cell r="E687" t="str">
            <v>Nelson Mandela UPA</v>
          </cell>
          <cell r="H687" t="str">
            <v>consulta_externa</v>
          </cell>
          <cell r="J687" t="str">
            <v>muybueno</v>
          </cell>
          <cell r="K687" t="str">
            <v>probsi</v>
          </cell>
        </row>
        <row r="688">
          <cell r="B688" t="b">
            <v>1</v>
          </cell>
          <cell r="E688" t="str">
            <v>Nelson Mandela UPA</v>
          </cell>
          <cell r="H688" t="str">
            <v>laboratorio</v>
          </cell>
          <cell r="J688" t="str">
            <v>bueno</v>
          </cell>
          <cell r="K688" t="str">
            <v>probsi</v>
          </cell>
        </row>
        <row r="689">
          <cell r="B689" t="b">
            <v>1</v>
          </cell>
          <cell r="E689" t="str">
            <v>Nelson Mandela UPA</v>
          </cell>
          <cell r="H689" t="str">
            <v>consulta_externa</v>
          </cell>
          <cell r="J689" t="str">
            <v>bueno</v>
          </cell>
          <cell r="K689" t="str">
            <v>probsi</v>
          </cell>
        </row>
        <row r="690">
          <cell r="B690" t="b">
            <v>1</v>
          </cell>
          <cell r="E690" t="str">
            <v>Nelson Mandela UPA</v>
          </cell>
          <cell r="H690" t="str">
            <v>consulta_externa</v>
          </cell>
          <cell r="J690" t="str">
            <v>bueno</v>
          </cell>
          <cell r="K690" t="str">
            <v>probsi</v>
          </cell>
        </row>
        <row r="691">
          <cell r="B691" t="b">
            <v>1</v>
          </cell>
          <cell r="E691" t="str">
            <v>Nelson Mandela UPA</v>
          </cell>
          <cell r="H691" t="str">
            <v>salud_oral</v>
          </cell>
          <cell r="J691" t="str">
            <v>bueno</v>
          </cell>
          <cell r="K691" t="str">
            <v>probsi</v>
          </cell>
        </row>
        <row r="692">
          <cell r="B692" t="b">
            <v>1</v>
          </cell>
          <cell r="E692" t="str">
            <v>Nelson Mandela UPA</v>
          </cell>
          <cell r="H692" t="str">
            <v>laboratorio</v>
          </cell>
          <cell r="J692" t="str">
            <v>bueno</v>
          </cell>
          <cell r="K692" t="str">
            <v>probsi</v>
          </cell>
        </row>
        <row r="693">
          <cell r="B693" t="b">
            <v>1</v>
          </cell>
          <cell r="E693" t="str">
            <v>Nelson Mandela UPA</v>
          </cell>
          <cell r="H693" t="str">
            <v>consulta_externa</v>
          </cell>
          <cell r="J693" t="str">
            <v>bueno</v>
          </cell>
          <cell r="K693" t="str">
            <v>probsi</v>
          </cell>
        </row>
        <row r="694">
          <cell r="B694" t="b">
            <v>1</v>
          </cell>
          <cell r="E694" t="str">
            <v>Nelson Mandela UPA</v>
          </cell>
          <cell r="H694" t="str">
            <v>salud_oral</v>
          </cell>
          <cell r="J694" t="str">
            <v>bueno</v>
          </cell>
          <cell r="K694" t="str">
            <v>probsi</v>
          </cell>
        </row>
        <row r="695">
          <cell r="B695" t="b">
            <v>1</v>
          </cell>
          <cell r="E695" t="str">
            <v>Nelson Mandela UPA</v>
          </cell>
          <cell r="H695" t="str">
            <v>laboratorio</v>
          </cell>
          <cell r="J695" t="str">
            <v>bueno</v>
          </cell>
          <cell r="K695" t="str">
            <v>probsi</v>
          </cell>
        </row>
        <row r="696">
          <cell r="B696" t="b">
            <v>1</v>
          </cell>
          <cell r="E696" t="str">
            <v>Nelson Mandela UPA</v>
          </cell>
          <cell r="H696" t="str">
            <v>urgencia</v>
          </cell>
          <cell r="J696" t="str">
            <v>bueno</v>
          </cell>
          <cell r="K696" t="str">
            <v>probsi</v>
          </cell>
        </row>
        <row r="697">
          <cell r="B697" t="b">
            <v>1</v>
          </cell>
          <cell r="E697" t="str">
            <v>Blasdelezo</v>
          </cell>
          <cell r="H697" t="str">
            <v>consulta_externa</v>
          </cell>
          <cell r="J697" t="str">
            <v>bueno</v>
          </cell>
          <cell r="K697" t="str">
            <v>probsi</v>
          </cell>
        </row>
        <row r="698">
          <cell r="B698" t="b">
            <v>0</v>
          </cell>
          <cell r="E698" t="str">
            <v>Socorro</v>
          </cell>
          <cell r="H698" t="str">
            <v>laboratorio</v>
          </cell>
          <cell r="J698" t="str">
            <v>malo</v>
          </cell>
          <cell r="K698" t="str">
            <v>defno</v>
          </cell>
        </row>
        <row r="699">
          <cell r="B699" t="b">
            <v>1</v>
          </cell>
          <cell r="E699" t="str">
            <v>Blasdelezo</v>
          </cell>
          <cell r="H699" t="str">
            <v>consulta_externa</v>
          </cell>
          <cell r="J699" t="str">
            <v>bueno</v>
          </cell>
          <cell r="K699" t="str">
            <v>probsi</v>
          </cell>
        </row>
        <row r="700">
          <cell r="B700" t="b">
            <v>1</v>
          </cell>
          <cell r="E700" t="str">
            <v>Blasdelezo</v>
          </cell>
          <cell r="H700" t="str">
            <v>consulta_externa</v>
          </cell>
          <cell r="J700" t="str">
            <v>bueno</v>
          </cell>
          <cell r="K700" t="str">
            <v>probsi</v>
          </cell>
        </row>
        <row r="701">
          <cell r="B701" t="b">
            <v>1</v>
          </cell>
          <cell r="E701" t="str">
            <v>Blasdelezo</v>
          </cell>
          <cell r="H701" t="str">
            <v>consulta_externa</v>
          </cell>
          <cell r="J701" t="str">
            <v>bueno</v>
          </cell>
          <cell r="K701" t="str">
            <v>probsi</v>
          </cell>
        </row>
        <row r="702">
          <cell r="B702" t="b">
            <v>0</v>
          </cell>
          <cell r="E702" t="str">
            <v>Nelson Mandela UPA</v>
          </cell>
          <cell r="H702" t="str">
            <v>consulta_externa</v>
          </cell>
          <cell r="J702" t="str">
            <v>regular</v>
          </cell>
          <cell r="K702" t="str">
            <v>probsi</v>
          </cell>
        </row>
        <row r="703">
          <cell r="B703" t="b">
            <v>1</v>
          </cell>
          <cell r="E703" t="str">
            <v>Blasdelezo</v>
          </cell>
          <cell r="H703" t="str">
            <v>consulta_externa</v>
          </cell>
          <cell r="J703" t="str">
            <v>bueno</v>
          </cell>
          <cell r="K703" t="str">
            <v>probsi</v>
          </cell>
        </row>
        <row r="704">
          <cell r="B704" t="b">
            <v>1</v>
          </cell>
          <cell r="E704" t="str">
            <v>Blasdelezo</v>
          </cell>
          <cell r="H704" t="str">
            <v>consulta_externa</v>
          </cell>
          <cell r="J704" t="str">
            <v>bueno</v>
          </cell>
          <cell r="K704" t="str">
            <v>probsi</v>
          </cell>
        </row>
        <row r="705">
          <cell r="B705" t="b">
            <v>1</v>
          </cell>
          <cell r="E705" t="str">
            <v>Blasdelezo</v>
          </cell>
          <cell r="H705" t="str">
            <v>consulta_externa</v>
          </cell>
          <cell r="J705" t="str">
            <v>bueno</v>
          </cell>
          <cell r="K705" t="str">
            <v>probsi</v>
          </cell>
        </row>
        <row r="706">
          <cell r="B706" t="b">
            <v>1</v>
          </cell>
          <cell r="E706" t="str">
            <v>Blasdelezo</v>
          </cell>
          <cell r="H706" t="str">
            <v>consulta_externa</v>
          </cell>
          <cell r="J706" t="str">
            <v>bueno</v>
          </cell>
          <cell r="K706" t="str">
            <v>probsi</v>
          </cell>
        </row>
        <row r="707">
          <cell r="B707" t="b">
            <v>1</v>
          </cell>
          <cell r="E707" t="str">
            <v>Blasdelezo</v>
          </cell>
          <cell r="H707" t="str">
            <v>salud_oral</v>
          </cell>
          <cell r="J707" t="str">
            <v>bueno</v>
          </cell>
          <cell r="K707" t="str">
            <v>probsi</v>
          </cell>
        </row>
        <row r="708">
          <cell r="B708" t="b">
            <v>1</v>
          </cell>
          <cell r="E708" t="str">
            <v>Blasdelezo</v>
          </cell>
          <cell r="H708" t="str">
            <v>salud_oral</v>
          </cell>
          <cell r="J708" t="str">
            <v>bueno</v>
          </cell>
          <cell r="K708" t="str">
            <v>probsi</v>
          </cell>
        </row>
        <row r="709">
          <cell r="B709" t="b">
            <v>1</v>
          </cell>
          <cell r="E709" t="str">
            <v>Blasdelezo</v>
          </cell>
          <cell r="H709" t="str">
            <v>salud_oral</v>
          </cell>
          <cell r="J709" t="str">
            <v>bueno</v>
          </cell>
          <cell r="K709" t="str">
            <v>probsi</v>
          </cell>
        </row>
        <row r="710">
          <cell r="B710" t="b">
            <v>1</v>
          </cell>
          <cell r="E710" t="str">
            <v>Blasdelezo</v>
          </cell>
          <cell r="H710" t="str">
            <v>salud_oral</v>
          </cell>
          <cell r="J710" t="str">
            <v>bueno</v>
          </cell>
          <cell r="K710" t="str">
            <v>probsi</v>
          </cell>
        </row>
        <row r="711">
          <cell r="B711" t="b">
            <v>1</v>
          </cell>
          <cell r="E711" t="str">
            <v>Blasdelezo</v>
          </cell>
          <cell r="H711" t="str">
            <v>salud_oral</v>
          </cell>
          <cell r="J711" t="str">
            <v>bueno</v>
          </cell>
          <cell r="K711" t="str">
            <v>probsi</v>
          </cell>
        </row>
        <row r="712">
          <cell r="B712" t="b">
            <v>1</v>
          </cell>
          <cell r="E712" t="str">
            <v>Blasdelezo</v>
          </cell>
          <cell r="H712" t="str">
            <v>salud_oral</v>
          </cell>
          <cell r="J712" t="str">
            <v>bueno</v>
          </cell>
          <cell r="K712" t="str">
            <v>probsi</v>
          </cell>
        </row>
        <row r="713">
          <cell r="B713" t="b">
            <v>1</v>
          </cell>
          <cell r="E713" t="str">
            <v>Blasdelezo</v>
          </cell>
          <cell r="H713" t="str">
            <v>salud_oral</v>
          </cell>
          <cell r="J713" t="str">
            <v>bueno</v>
          </cell>
          <cell r="K713" t="str">
            <v>probsi</v>
          </cell>
        </row>
        <row r="714">
          <cell r="B714" t="b">
            <v>1</v>
          </cell>
          <cell r="E714" t="str">
            <v>Blasdelezo</v>
          </cell>
          <cell r="H714" t="str">
            <v>salud_oral</v>
          </cell>
          <cell r="J714" t="str">
            <v>bueno</v>
          </cell>
          <cell r="K714" t="str">
            <v>probsi</v>
          </cell>
        </row>
        <row r="715">
          <cell r="B715" t="b">
            <v>1</v>
          </cell>
          <cell r="E715" t="str">
            <v>Blasdelezo</v>
          </cell>
          <cell r="H715" t="str">
            <v>salud_oral</v>
          </cell>
          <cell r="J715" t="str">
            <v>bueno</v>
          </cell>
          <cell r="K715" t="str">
            <v>probsi</v>
          </cell>
        </row>
        <row r="716">
          <cell r="B716" t="b">
            <v>1</v>
          </cell>
          <cell r="E716" t="str">
            <v>Blasdelezo</v>
          </cell>
          <cell r="H716" t="str">
            <v>salud_oral</v>
          </cell>
          <cell r="J716" t="str">
            <v>bueno</v>
          </cell>
          <cell r="K716" t="str">
            <v>probsi</v>
          </cell>
        </row>
        <row r="717">
          <cell r="B717" t="b">
            <v>1</v>
          </cell>
          <cell r="E717" t="str">
            <v>Blasdelezo</v>
          </cell>
          <cell r="H717" t="str">
            <v>laboratorio</v>
          </cell>
          <cell r="J717" t="str">
            <v>bueno</v>
          </cell>
          <cell r="K717" t="str">
            <v>probsi</v>
          </cell>
        </row>
        <row r="718">
          <cell r="B718" t="b">
            <v>1</v>
          </cell>
          <cell r="E718" t="str">
            <v>Blasdelezo</v>
          </cell>
          <cell r="H718" t="str">
            <v>laboratorio</v>
          </cell>
          <cell r="J718" t="str">
            <v>bueno</v>
          </cell>
          <cell r="K718" t="str">
            <v>probsi</v>
          </cell>
        </row>
        <row r="719">
          <cell r="B719" t="b">
            <v>1</v>
          </cell>
          <cell r="E719" t="str">
            <v>Blasdelezo</v>
          </cell>
          <cell r="H719" t="str">
            <v>laboratorio</v>
          </cell>
          <cell r="J719" t="str">
            <v>bueno</v>
          </cell>
          <cell r="K719" t="str">
            <v>probsi</v>
          </cell>
        </row>
        <row r="720">
          <cell r="B720" t="b">
            <v>1</v>
          </cell>
          <cell r="E720" t="str">
            <v>Blasdelezo</v>
          </cell>
          <cell r="H720" t="str">
            <v>consulta_externa</v>
          </cell>
          <cell r="J720" t="str">
            <v>muybueno</v>
          </cell>
          <cell r="K720" t="str">
            <v>defsi</v>
          </cell>
        </row>
        <row r="721">
          <cell r="B721" t="b">
            <v>1</v>
          </cell>
          <cell r="E721" t="str">
            <v>Boquilla</v>
          </cell>
          <cell r="H721" t="str">
            <v>consulta_externa</v>
          </cell>
          <cell r="J721" t="str">
            <v>bueno</v>
          </cell>
          <cell r="K721" t="str">
            <v>defsi</v>
          </cell>
        </row>
        <row r="722">
          <cell r="B722" t="b">
            <v>1</v>
          </cell>
          <cell r="E722" t="str">
            <v>Boquilla</v>
          </cell>
          <cell r="H722" t="str">
            <v>salud_oral</v>
          </cell>
          <cell r="J722" t="str">
            <v>bueno</v>
          </cell>
          <cell r="K722" t="str">
            <v>defsi</v>
          </cell>
        </row>
        <row r="723">
          <cell r="B723" t="b">
            <v>1</v>
          </cell>
          <cell r="E723" t="str">
            <v>Boquilla</v>
          </cell>
          <cell r="H723" t="str">
            <v>laboratorio</v>
          </cell>
          <cell r="J723" t="str">
            <v>bueno</v>
          </cell>
          <cell r="K723" t="str">
            <v>defsi</v>
          </cell>
        </row>
        <row r="724">
          <cell r="B724" t="b">
            <v>1</v>
          </cell>
          <cell r="E724" t="str">
            <v>Boquilla</v>
          </cell>
          <cell r="H724" t="str">
            <v>urgencia</v>
          </cell>
          <cell r="J724" t="str">
            <v>bueno</v>
          </cell>
          <cell r="K724" t="str">
            <v>defsi</v>
          </cell>
        </row>
        <row r="725">
          <cell r="B725" t="b">
            <v>1</v>
          </cell>
          <cell r="E725" t="str">
            <v>Boquilla</v>
          </cell>
          <cell r="H725" t="str">
            <v>consulta_externa</v>
          </cell>
          <cell r="J725" t="str">
            <v>bueno</v>
          </cell>
          <cell r="K725" t="str">
            <v>defsi</v>
          </cell>
        </row>
        <row r="726">
          <cell r="B726" t="b">
            <v>1</v>
          </cell>
          <cell r="E726" t="str">
            <v>Boquilla</v>
          </cell>
          <cell r="H726" t="str">
            <v>salud_oral</v>
          </cell>
          <cell r="J726" t="str">
            <v>bueno</v>
          </cell>
          <cell r="K726" t="str">
            <v>defsi</v>
          </cell>
        </row>
        <row r="727">
          <cell r="B727" t="b">
            <v>1</v>
          </cell>
          <cell r="E727" t="str">
            <v>Boquilla</v>
          </cell>
          <cell r="H727" t="str">
            <v>laboratorio</v>
          </cell>
          <cell r="J727" t="str">
            <v>bueno</v>
          </cell>
          <cell r="K727" t="str">
            <v>defsi</v>
          </cell>
        </row>
        <row r="728">
          <cell r="B728" t="b">
            <v>1</v>
          </cell>
          <cell r="E728" t="str">
            <v>Boquilla</v>
          </cell>
          <cell r="H728" t="str">
            <v>urgencia</v>
          </cell>
          <cell r="J728" t="str">
            <v>bueno</v>
          </cell>
          <cell r="K728" t="str">
            <v>defsi</v>
          </cell>
        </row>
        <row r="729">
          <cell r="B729" t="b">
            <v>1</v>
          </cell>
          <cell r="E729" t="str">
            <v>Boquilla</v>
          </cell>
          <cell r="H729" t="str">
            <v>consulta_externa</v>
          </cell>
          <cell r="J729" t="str">
            <v>bueno</v>
          </cell>
          <cell r="K729" t="str">
            <v>defsi</v>
          </cell>
        </row>
        <row r="730">
          <cell r="B730" t="b">
            <v>1</v>
          </cell>
          <cell r="E730" t="str">
            <v>Boquilla</v>
          </cell>
          <cell r="H730" t="str">
            <v>salud_oral</v>
          </cell>
          <cell r="J730" t="str">
            <v>bueno</v>
          </cell>
          <cell r="K730" t="str">
            <v>defsi</v>
          </cell>
        </row>
        <row r="731">
          <cell r="B731" t="b">
            <v>1</v>
          </cell>
          <cell r="E731" t="str">
            <v>Boquilla</v>
          </cell>
          <cell r="H731" t="str">
            <v>laboratorio</v>
          </cell>
          <cell r="J731" t="str">
            <v>bueno</v>
          </cell>
          <cell r="K731" t="str">
            <v>defsi</v>
          </cell>
        </row>
        <row r="732">
          <cell r="B732" t="b">
            <v>1</v>
          </cell>
          <cell r="E732" t="str">
            <v>Boquilla</v>
          </cell>
          <cell r="H732" t="str">
            <v>urgencia</v>
          </cell>
          <cell r="J732" t="str">
            <v>bueno</v>
          </cell>
          <cell r="K732" t="str">
            <v>defsi</v>
          </cell>
        </row>
        <row r="733">
          <cell r="B733" t="b">
            <v>1</v>
          </cell>
          <cell r="E733" t="str">
            <v>Boquilla</v>
          </cell>
          <cell r="H733" t="str">
            <v>consulta_externa</v>
          </cell>
          <cell r="J733" t="str">
            <v>bueno</v>
          </cell>
          <cell r="K733" t="str">
            <v>defsi</v>
          </cell>
        </row>
        <row r="734">
          <cell r="B734" t="b">
            <v>1</v>
          </cell>
          <cell r="E734" t="str">
            <v>Boquilla</v>
          </cell>
          <cell r="H734" t="str">
            <v>consulta_externa</v>
          </cell>
          <cell r="J734" t="str">
            <v>bueno</v>
          </cell>
          <cell r="K734" t="str">
            <v>defsi</v>
          </cell>
        </row>
        <row r="735">
          <cell r="B735" t="b">
            <v>1</v>
          </cell>
          <cell r="E735" t="str">
            <v>Boquilla</v>
          </cell>
          <cell r="H735" t="str">
            <v>salud_oral</v>
          </cell>
          <cell r="J735" t="str">
            <v>bueno</v>
          </cell>
          <cell r="K735" t="str">
            <v>defsi</v>
          </cell>
        </row>
        <row r="736">
          <cell r="B736" t="b">
            <v>1</v>
          </cell>
          <cell r="E736" t="str">
            <v>Boquilla</v>
          </cell>
          <cell r="H736" t="str">
            <v>laboratorio</v>
          </cell>
          <cell r="J736" t="str">
            <v>bueno</v>
          </cell>
          <cell r="K736" t="str">
            <v>defsi</v>
          </cell>
        </row>
        <row r="737">
          <cell r="B737" t="b">
            <v>1</v>
          </cell>
          <cell r="E737" t="str">
            <v>Boquilla</v>
          </cell>
          <cell r="H737" t="str">
            <v>urgencia</v>
          </cell>
          <cell r="J737" t="str">
            <v>bueno</v>
          </cell>
          <cell r="K737" t="str">
            <v>defsi</v>
          </cell>
        </row>
        <row r="738">
          <cell r="B738" t="b">
            <v>1</v>
          </cell>
          <cell r="E738" t="str">
            <v>Blasdelezo</v>
          </cell>
          <cell r="H738" t="str">
            <v>consulta_externa</v>
          </cell>
          <cell r="J738" t="str">
            <v>bueno</v>
          </cell>
          <cell r="K738" t="str">
            <v>probsi</v>
          </cell>
        </row>
        <row r="739">
          <cell r="B739" t="b">
            <v>1</v>
          </cell>
          <cell r="E739" t="str">
            <v>Blasdelezo</v>
          </cell>
          <cell r="H739" t="str">
            <v>consulta_externa</v>
          </cell>
          <cell r="J739" t="str">
            <v>bueno</v>
          </cell>
          <cell r="K739" t="str">
            <v>probsi</v>
          </cell>
        </row>
        <row r="740">
          <cell r="B740" t="b">
            <v>1</v>
          </cell>
          <cell r="E740" t="str">
            <v>Blasdelezo</v>
          </cell>
          <cell r="H740" t="str">
            <v>urgencia</v>
          </cell>
          <cell r="J740" t="str">
            <v>bueno</v>
          </cell>
          <cell r="K740" t="str">
            <v>probsi</v>
          </cell>
        </row>
        <row r="741">
          <cell r="B741" t="b">
            <v>1</v>
          </cell>
          <cell r="E741" t="str">
            <v>Blasdelezo</v>
          </cell>
          <cell r="H741" t="str">
            <v>urgencia</v>
          </cell>
          <cell r="J741" t="str">
            <v>bueno</v>
          </cell>
          <cell r="K741" t="str">
            <v>probsi</v>
          </cell>
        </row>
        <row r="742">
          <cell r="B742" t="b">
            <v>1</v>
          </cell>
          <cell r="E742" t="str">
            <v>Blasdelezo</v>
          </cell>
          <cell r="H742" t="str">
            <v>urgencia</v>
          </cell>
          <cell r="J742" t="str">
            <v>bueno</v>
          </cell>
          <cell r="K742" t="str">
            <v>probsi</v>
          </cell>
        </row>
        <row r="743">
          <cell r="B743" t="b">
            <v>1</v>
          </cell>
          <cell r="E743" t="str">
            <v>Blasdelezo</v>
          </cell>
          <cell r="H743" t="str">
            <v>urgencia</v>
          </cell>
          <cell r="J743" t="str">
            <v>bueno</v>
          </cell>
          <cell r="K743" t="str">
            <v>probsi</v>
          </cell>
        </row>
        <row r="744">
          <cell r="B744" t="b">
            <v>1</v>
          </cell>
          <cell r="E744" t="str">
            <v>Blasdelezo</v>
          </cell>
          <cell r="H744" t="str">
            <v>urgencia</v>
          </cell>
          <cell r="J744" t="str">
            <v>bueno</v>
          </cell>
          <cell r="K744" t="str">
            <v>probsi</v>
          </cell>
        </row>
        <row r="745">
          <cell r="B745" t="b">
            <v>1</v>
          </cell>
          <cell r="E745" t="str">
            <v>Blasdelezo</v>
          </cell>
          <cell r="H745" t="str">
            <v>urgencia</v>
          </cell>
          <cell r="J745" t="str">
            <v>bueno</v>
          </cell>
          <cell r="K745" t="str">
            <v>probsi</v>
          </cell>
        </row>
        <row r="746">
          <cell r="B746" t="b">
            <v>1</v>
          </cell>
          <cell r="E746" t="str">
            <v>Blasdelezo</v>
          </cell>
          <cell r="H746" t="str">
            <v>urgencia</v>
          </cell>
          <cell r="J746" t="str">
            <v>bueno</v>
          </cell>
          <cell r="K746" t="str">
            <v>probsi</v>
          </cell>
        </row>
        <row r="747">
          <cell r="B747" t="b">
            <v>1</v>
          </cell>
          <cell r="E747" t="str">
            <v>Boquilla</v>
          </cell>
          <cell r="H747" t="str">
            <v>consulta_externa</v>
          </cell>
          <cell r="J747" t="str">
            <v>bueno</v>
          </cell>
          <cell r="K747" t="str">
            <v>defsi</v>
          </cell>
        </row>
        <row r="748">
          <cell r="B748" t="b">
            <v>1</v>
          </cell>
          <cell r="E748" t="str">
            <v>Boquilla</v>
          </cell>
          <cell r="H748" t="str">
            <v>salud_oral</v>
          </cell>
          <cell r="J748" t="str">
            <v>bueno</v>
          </cell>
          <cell r="K748" t="str">
            <v>defsi</v>
          </cell>
        </row>
        <row r="749">
          <cell r="B749" t="b">
            <v>1</v>
          </cell>
          <cell r="E749" t="str">
            <v>Boquilla</v>
          </cell>
          <cell r="H749" t="str">
            <v>laboratorio</v>
          </cell>
          <cell r="J749" t="str">
            <v>bueno</v>
          </cell>
          <cell r="K749" t="str">
            <v>defsi</v>
          </cell>
        </row>
        <row r="750">
          <cell r="B750" t="b">
            <v>1</v>
          </cell>
          <cell r="E750" t="str">
            <v>Boquilla</v>
          </cell>
          <cell r="H750" t="str">
            <v>urgencia</v>
          </cell>
          <cell r="J750" t="str">
            <v>bueno</v>
          </cell>
          <cell r="K750" t="str">
            <v>defsi</v>
          </cell>
        </row>
        <row r="751">
          <cell r="B751" t="b">
            <v>1</v>
          </cell>
          <cell r="E751" t="str">
            <v>Boquilla</v>
          </cell>
          <cell r="H751" t="str">
            <v>consulta_externa</v>
          </cell>
          <cell r="J751" t="str">
            <v>bueno</v>
          </cell>
          <cell r="K751" t="str">
            <v>defsi</v>
          </cell>
        </row>
        <row r="752">
          <cell r="B752" t="b">
            <v>1</v>
          </cell>
          <cell r="E752" t="str">
            <v>Boquilla</v>
          </cell>
          <cell r="H752" t="str">
            <v>salud_oral</v>
          </cell>
          <cell r="J752" t="str">
            <v>bueno</v>
          </cell>
          <cell r="K752" t="str">
            <v>defsi</v>
          </cell>
        </row>
        <row r="753">
          <cell r="B753" t="b">
            <v>1</v>
          </cell>
          <cell r="E753" t="str">
            <v>Boquilla</v>
          </cell>
          <cell r="H753" t="str">
            <v>laboratorio</v>
          </cell>
          <cell r="J753" t="str">
            <v>bueno</v>
          </cell>
          <cell r="K753" t="str">
            <v>defsi</v>
          </cell>
        </row>
        <row r="754">
          <cell r="B754" t="b">
            <v>1</v>
          </cell>
          <cell r="E754" t="str">
            <v>Boquilla</v>
          </cell>
          <cell r="H754" t="str">
            <v>urgencia</v>
          </cell>
          <cell r="J754" t="str">
            <v>bueno</v>
          </cell>
          <cell r="K754" t="str">
            <v>defsi</v>
          </cell>
        </row>
        <row r="755">
          <cell r="B755" t="b">
            <v>1</v>
          </cell>
          <cell r="E755" t="str">
            <v>Ternera</v>
          </cell>
          <cell r="H755" t="str">
            <v>salud_oral</v>
          </cell>
          <cell r="J755" t="str">
            <v>muybueno</v>
          </cell>
          <cell r="K755" t="str">
            <v>defsi</v>
          </cell>
        </row>
        <row r="756">
          <cell r="B756" t="b">
            <v>1</v>
          </cell>
          <cell r="E756" t="str">
            <v>Ternera</v>
          </cell>
          <cell r="H756" t="str">
            <v>consulta_externa</v>
          </cell>
          <cell r="J756" t="str">
            <v>bueno</v>
          </cell>
          <cell r="K756" t="str">
            <v>defsi</v>
          </cell>
        </row>
        <row r="757">
          <cell r="B757" t="b">
            <v>1</v>
          </cell>
          <cell r="E757" t="str">
            <v>Ternera</v>
          </cell>
          <cell r="H757" t="str">
            <v>laboratorio</v>
          </cell>
          <cell r="J757" t="str">
            <v>bueno</v>
          </cell>
          <cell r="K757" t="str">
            <v>defsi</v>
          </cell>
        </row>
        <row r="758">
          <cell r="B758" t="b">
            <v>1</v>
          </cell>
          <cell r="E758" t="str">
            <v>Ternera</v>
          </cell>
          <cell r="H758" t="str">
            <v>consulta_externa</v>
          </cell>
          <cell r="J758" t="str">
            <v>bueno</v>
          </cell>
          <cell r="K758" t="str">
            <v>defsi</v>
          </cell>
        </row>
        <row r="759">
          <cell r="B759" t="b">
            <v>1</v>
          </cell>
          <cell r="E759" t="str">
            <v>Ternera</v>
          </cell>
          <cell r="H759" t="str">
            <v>laboratorio</v>
          </cell>
          <cell r="J759" t="str">
            <v>bueno</v>
          </cell>
          <cell r="K759" t="str">
            <v>defsi</v>
          </cell>
        </row>
        <row r="760">
          <cell r="B760" t="b">
            <v>1</v>
          </cell>
          <cell r="E760" t="str">
            <v>Ternera</v>
          </cell>
          <cell r="H760" t="str">
            <v>consulta_externa</v>
          </cell>
          <cell r="J760" t="str">
            <v>bueno</v>
          </cell>
          <cell r="K760" t="str">
            <v>defsi</v>
          </cell>
        </row>
        <row r="761">
          <cell r="B761" t="b">
            <v>1</v>
          </cell>
          <cell r="E761" t="str">
            <v>Ternera</v>
          </cell>
          <cell r="H761" t="str">
            <v>laboratorio</v>
          </cell>
          <cell r="J761" t="str">
            <v>bueno</v>
          </cell>
          <cell r="K761" t="str">
            <v>defsi</v>
          </cell>
        </row>
        <row r="762">
          <cell r="B762" t="b">
            <v>1</v>
          </cell>
          <cell r="E762" t="str">
            <v>Ternera</v>
          </cell>
          <cell r="H762" t="str">
            <v>consulta_externa</v>
          </cell>
          <cell r="J762" t="str">
            <v>bueno</v>
          </cell>
          <cell r="K762" t="str">
            <v>defsi</v>
          </cell>
        </row>
        <row r="763">
          <cell r="B763" t="b">
            <v>1</v>
          </cell>
          <cell r="E763" t="str">
            <v>Ternera</v>
          </cell>
          <cell r="H763" t="str">
            <v>laboratorio</v>
          </cell>
          <cell r="J763" t="str">
            <v>bueno</v>
          </cell>
          <cell r="K763" t="str">
            <v>defsi</v>
          </cell>
        </row>
        <row r="764">
          <cell r="B764" t="b">
            <v>1</v>
          </cell>
          <cell r="E764" t="str">
            <v>Ternera</v>
          </cell>
          <cell r="H764" t="str">
            <v>salud_oral</v>
          </cell>
          <cell r="J764" t="str">
            <v>bueno</v>
          </cell>
          <cell r="K764" t="str">
            <v>defsi</v>
          </cell>
        </row>
        <row r="765">
          <cell r="B765" t="b">
            <v>1</v>
          </cell>
          <cell r="E765" t="str">
            <v>Ternera</v>
          </cell>
          <cell r="H765" t="str">
            <v>consulta_externa</v>
          </cell>
          <cell r="J765" t="str">
            <v>bueno</v>
          </cell>
          <cell r="K765" t="str">
            <v>defsi</v>
          </cell>
        </row>
        <row r="766">
          <cell r="B766" t="b">
            <v>1</v>
          </cell>
          <cell r="E766" t="str">
            <v>Ternera</v>
          </cell>
          <cell r="H766" t="str">
            <v>consulta_externa</v>
          </cell>
          <cell r="J766" t="str">
            <v>bueno</v>
          </cell>
          <cell r="K766" t="str">
            <v>defsi</v>
          </cell>
        </row>
        <row r="767">
          <cell r="B767" t="b">
            <v>1</v>
          </cell>
          <cell r="E767" t="str">
            <v>Ternera</v>
          </cell>
          <cell r="H767" t="str">
            <v>laboratorio</v>
          </cell>
          <cell r="J767" t="str">
            <v>bueno</v>
          </cell>
          <cell r="K767" t="str">
            <v>defsi</v>
          </cell>
        </row>
        <row r="768">
          <cell r="B768" t="b">
            <v>0</v>
          </cell>
          <cell r="E768" t="str">
            <v>Ternera</v>
          </cell>
          <cell r="H768" t="str">
            <v>salud_oral</v>
          </cell>
          <cell r="J768" t="str">
            <v>regular</v>
          </cell>
          <cell r="K768" t="str">
            <v>probno</v>
          </cell>
        </row>
        <row r="769">
          <cell r="B769" t="b">
            <v>1</v>
          </cell>
          <cell r="E769" t="str">
            <v>Boquilla</v>
          </cell>
          <cell r="H769" t="str">
            <v>consulta_externa</v>
          </cell>
          <cell r="J769" t="str">
            <v>bueno</v>
          </cell>
          <cell r="K769" t="str">
            <v>defsi</v>
          </cell>
        </row>
        <row r="770">
          <cell r="B770" t="b">
            <v>1</v>
          </cell>
          <cell r="E770" t="str">
            <v>Boquilla</v>
          </cell>
          <cell r="H770" t="str">
            <v>salud_oral</v>
          </cell>
          <cell r="J770" t="str">
            <v>bueno</v>
          </cell>
          <cell r="K770" t="str">
            <v>defsi</v>
          </cell>
        </row>
        <row r="771">
          <cell r="B771" t="b">
            <v>1</v>
          </cell>
          <cell r="E771" t="str">
            <v>Boquilla</v>
          </cell>
          <cell r="H771" t="str">
            <v>laboratorio</v>
          </cell>
          <cell r="J771" t="str">
            <v>bueno</v>
          </cell>
          <cell r="K771" t="str">
            <v>defsi</v>
          </cell>
        </row>
        <row r="772">
          <cell r="B772" t="b">
            <v>1</v>
          </cell>
          <cell r="E772" t="str">
            <v>Boquilla</v>
          </cell>
          <cell r="H772" t="str">
            <v>urgencia</v>
          </cell>
          <cell r="J772" t="str">
            <v>bueno</v>
          </cell>
          <cell r="K772" t="str">
            <v>defsi</v>
          </cell>
        </row>
        <row r="773">
          <cell r="B773" t="b">
            <v>1</v>
          </cell>
          <cell r="E773" t="str">
            <v>Boquilla</v>
          </cell>
          <cell r="H773" t="str">
            <v>consulta_externa</v>
          </cell>
          <cell r="J773" t="str">
            <v>bueno</v>
          </cell>
          <cell r="K773" t="str">
            <v>defsi</v>
          </cell>
        </row>
        <row r="774">
          <cell r="B774" t="b">
            <v>1</v>
          </cell>
          <cell r="E774" t="str">
            <v>Boquilla</v>
          </cell>
          <cell r="H774" t="str">
            <v>salud_oral</v>
          </cell>
          <cell r="J774" t="str">
            <v>bueno</v>
          </cell>
          <cell r="K774" t="str">
            <v>defsi</v>
          </cell>
        </row>
        <row r="775">
          <cell r="B775" t="b">
            <v>1</v>
          </cell>
          <cell r="E775" t="str">
            <v>Boquilla</v>
          </cell>
          <cell r="H775" t="str">
            <v>laboratorio</v>
          </cell>
          <cell r="J775" t="str">
            <v>bueno</v>
          </cell>
          <cell r="K775" t="str">
            <v>defsi</v>
          </cell>
        </row>
        <row r="776">
          <cell r="B776" t="b">
            <v>1</v>
          </cell>
          <cell r="E776" t="str">
            <v>Boquilla</v>
          </cell>
          <cell r="H776" t="str">
            <v>urgencia</v>
          </cell>
          <cell r="J776" t="str">
            <v>bueno</v>
          </cell>
          <cell r="K776" t="str">
            <v>defsi</v>
          </cell>
        </row>
        <row r="777">
          <cell r="B777" t="b">
            <v>1</v>
          </cell>
          <cell r="E777" t="str">
            <v>Boquilla</v>
          </cell>
          <cell r="H777" t="str">
            <v>consulta_externa</v>
          </cell>
          <cell r="J777" t="str">
            <v>bueno</v>
          </cell>
          <cell r="K777" t="str">
            <v>defsi</v>
          </cell>
        </row>
        <row r="778">
          <cell r="B778" t="b">
            <v>1</v>
          </cell>
          <cell r="E778" t="str">
            <v>Boquilla</v>
          </cell>
          <cell r="H778" t="str">
            <v>salud_oral</v>
          </cell>
          <cell r="J778" t="str">
            <v>bueno</v>
          </cell>
          <cell r="K778" t="str">
            <v>defsi</v>
          </cell>
        </row>
        <row r="779">
          <cell r="B779" t="b">
            <v>1</v>
          </cell>
          <cell r="E779" t="str">
            <v>Boquilla</v>
          </cell>
          <cell r="H779" t="str">
            <v>laboratorio</v>
          </cell>
          <cell r="J779" t="str">
            <v>bueno</v>
          </cell>
          <cell r="K779" t="str">
            <v>defsi</v>
          </cell>
        </row>
        <row r="780">
          <cell r="B780" t="b">
            <v>1</v>
          </cell>
          <cell r="E780" t="str">
            <v>Boquilla</v>
          </cell>
          <cell r="H780" t="str">
            <v>urgencia</v>
          </cell>
          <cell r="J780" t="str">
            <v>bueno</v>
          </cell>
          <cell r="K780" t="str">
            <v>defsi</v>
          </cell>
        </row>
        <row r="781">
          <cell r="B781" t="b">
            <v>1</v>
          </cell>
          <cell r="E781" t="str">
            <v>Ternera</v>
          </cell>
          <cell r="H781" t="str">
            <v>consulta_externa</v>
          </cell>
          <cell r="J781" t="str">
            <v>bueno</v>
          </cell>
          <cell r="K781" t="str">
            <v>defsi</v>
          </cell>
        </row>
        <row r="782">
          <cell r="B782" t="b">
            <v>0</v>
          </cell>
          <cell r="E782" t="str">
            <v>Ternera</v>
          </cell>
          <cell r="H782" t="str">
            <v>consulta_externa</v>
          </cell>
          <cell r="J782" t="str">
            <v>regular</v>
          </cell>
          <cell r="K782" t="str">
            <v>probsi</v>
          </cell>
        </row>
        <row r="783">
          <cell r="B783" t="b">
            <v>0</v>
          </cell>
          <cell r="E783" t="str">
            <v>Ternera</v>
          </cell>
          <cell r="H783" t="str">
            <v>laboratorio</v>
          </cell>
          <cell r="J783" t="str">
            <v>regular</v>
          </cell>
          <cell r="K783" t="str">
            <v>probsi</v>
          </cell>
        </row>
        <row r="784">
          <cell r="B784" t="b">
            <v>1</v>
          </cell>
          <cell r="E784" t="str">
            <v>Ternera</v>
          </cell>
          <cell r="H784" t="str">
            <v>consulta_externa</v>
          </cell>
          <cell r="J784" t="str">
            <v>bueno</v>
          </cell>
          <cell r="K784" t="str">
            <v>defsi</v>
          </cell>
        </row>
        <row r="785">
          <cell r="B785" t="b">
            <v>1</v>
          </cell>
          <cell r="E785" t="str">
            <v>Ternera</v>
          </cell>
          <cell r="H785" t="str">
            <v>laboratorio</v>
          </cell>
          <cell r="J785" t="str">
            <v>bueno</v>
          </cell>
          <cell r="K785" t="str">
            <v>defsi</v>
          </cell>
        </row>
        <row r="786">
          <cell r="B786" t="b">
            <v>1</v>
          </cell>
          <cell r="E786" t="str">
            <v>Las Reinas</v>
          </cell>
          <cell r="H786" t="str">
            <v>salud_oral</v>
          </cell>
          <cell r="J786" t="str">
            <v>bueno</v>
          </cell>
          <cell r="K786" t="str">
            <v>probsi</v>
          </cell>
        </row>
        <row r="787">
          <cell r="B787" t="b">
            <v>1</v>
          </cell>
          <cell r="E787" t="str">
            <v>Las Reinas</v>
          </cell>
          <cell r="H787" t="str">
            <v>salud_oral</v>
          </cell>
          <cell r="J787" t="str">
            <v>bueno</v>
          </cell>
          <cell r="K787" t="str">
            <v>probsi</v>
          </cell>
        </row>
        <row r="788">
          <cell r="B788" t="b">
            <v>1</v>
          </cell>
          <cell r="E788" t="str">
            <v>Las Reinas</v>
          </cell>
          <cell r="H788" t="str">
            <v>salud_oral</v>
          </cell>
          <cell r="J788" t="str">
            <v>bueno</v>
          </cell>
          <cell r="K788" t="str">
            <v>probsi</v>
          </cell>
        </row>
        <row r="789">
          <cell r="B789" t="b">
            <v>1</v>
          </cell>
          <cell r="E789" t="str">
            <v>Las Reinas</v>
          </cell>
          <cell r="H789" t="str">
            <v>salud_oral</v>
          </cell>
          <cell r="J789" t="str">
            <v>bueno</v>
          </cell>
          <cell r="K789" t="str">
            <v>probsi</v>
          </cell>
        </row>
        <row r="790">
          <cell r="B790" t="b">
            <v>0</v>
          </cell>
          <cell r="E790" t="str">
            <v>Las Reinas</v>
          </cell>
          <cell r="H790" t="str">
            <v>laboratorio</v>
          </cell>
          <cell r="J790" t="str">
            <v>regular</v>
          </cell>
          <cell r="K790" t="str">
            <v>probsi</v>
          </cell>
        </row>
        <row r="791">
          <cell r="B791" t="b">
            <v>0</v>
          </cell>
          <cell r="E791" t="str">
            <v>Las Reinas</v>
          </cell>
          <cell r="H791" t="str">
            <v>laboratorio</v>
          </cell>
          <cell r="J791" t="str">
            <v>regular</v>
          </cell>
          <cell r="K791" t="str">
            <v>probsi</v>
          </cell>
        </row>
        <row r="792">
          <cell r="B792" t="b">
            <v>1</v>
          </cell>
          <cell r="E792" t="str">
            <v>Las Reinas</v>
          </cell>
          <cell r="H792" t="str">
            <v>laboratorio</v>
          </cell>
          <cell r="J792" t="str">
            <v>bueno</v>
          </cell>
          <cell r="K792" t="str">
            <v>probsi</v>
          </cell>
        </row>
        <row r="793">
          <cell r="B793" t="b">
            <v>1</v>
          </cell>
          <cell r="E793" t="str">
            <v>Las Reinas</v>
          </cell>
          <cell r="H793" t="str">
            <v>laboratorio</v>
          </cell>
          <cell r="J793" t="str">
            <v>bueno</v>
          </cell>
          <cell r="K793" t="str">
            <v>probsi</v>
          </cell>
        </row>
        <row r="794">
          <cell r="B794" t="b">
            <v>1</v>
          </cell>
          <cell r="E794" t="str">
            <v>Las Reinas</v>
          </cell>
          <cell r="H794" t="str">
            <v>laboratorio</v>
          </cell>
          <cell r="J794" t="str">
            <v>bueno</v>
          </cell>
          <cell r="K794" t="str">
            <v>probsi</v>
          </cell>
        </row>
        <row r="795">
          <cell r="B795" t="b">
            <v>1</v>
          </cell>
          <cell r="E795" t="str">
            <v>Nelson Mandela UPA</v>
          </cell>
          <cell r="H795" t="str">
            <v>salud_oral</v>
          </cell>
          <cell r="J795" t="str">
            <v>bueno</v>
          </cell>
          <cell r="K795" t="str">
            <v>probsi</v>
          </cell>
        </row>
        <row r="796">
          <cell r="B796" t="b">
            <v>1</v>
          </cell>
          <cell r="E796" t="str">
            <v>Nelson Mandela UPA</v>
          </cell>
          <cell r="H796" t="str">
            <v>salud_oral</v>
          </cell>
          <cell r="J796" t="str">
            <v>bueno</v>
          </cell>
          <cell r="K796" t="str">
            <v>probsi</v>
          </cell>
        </row>
        <row r="797">
          <cell r="B797" t="b">
            <v>1</v>
          </cell>
          <cell r="E797" t="str">
            <v>Nelson Mandela UPA</v>
          </cell>
          <cell r="H797" t="str">
            <v>salud_oral</v>
          </cell>
          <cell r="J797" t="str">
            <v>bueno</v>
          </cell>
          <cell r="K797" t="str">
            <v>probsi</v>
          </cell>
        </row>
        <row r="798">
          <cell r="B798" t="b">
            <v>1</v>
          </cell>
          <cell r="E798" t="str">
            <v>Nelson Mandela UPA</v>
          </cell>
          <cell r="H798" t="str">
            <v>salud_oral</v>
          </cell>
          <cell r="J798" t="str">
            <v>bueno</v>
          </cell>
          <cell r="K798" t="str">
            <v>probsi</v>
          </cell>
        </row>
        <row r="799">
          <cell r="B799" t="b">
            <v>0</v>
          </cell>
          <cell r="E799" t="str">
            <v>Nelson Mandela UPA</v>
          </cell>
          <cell r="H799" t="str">
            <v>laboratorio</v>
          </cell>
          <cell r="J799" t="str">
            <v>regular</v>
          </cell>
          <cell r="K799" t="str">
            <v>probsi</v>
          </cell>
        </row>
        <row r="800">
          <cell r="B800" t="b">
            <v>0</v>
          </cell>
          <cell r="E800" t="str">
            <v>Nelson Mandela UPA</v>
          </cell>
          <cell r="H800" t="str">
            <v>laboratorio</v>
          </cell>
          <cell r="J800" t="str">
            <v>regular</v>
          </cell>
          <cell r="K800" t="str">
            <v>probsi</v>
          </cell>
        </row>
        <row r="801">
          <cell r="B801" t="b">
            <v>1</v>
          </cell>
          <cell r="E801" t="str">
            <v>Nelson Mandela UPA</v>
          </cell>
          <cell r="H801" t="str">
            <v>laboratorio</v>
          </cell>
          <cell r="J801" t="str">
            <v>bueno</v>
          </cell>
          <cell r="K801" t="str">
            <v>probsi</v>
          </cell>
        </row>
        <row r="802">
          <cell r="B802" t="b">
            <v>1</v>
          </cell>
          <cell r="E802" t="str">
            <v>Nelson Mandela UPA</v>
          </cell>
          <cell r="H802" t="str">
            <v>laboratorio</v>
          </cell>
          <cell r="J802" t="str">
            <v>bueno</v>
          </cell>
          <cell r="K802" t="str">
            <v>probsi</v>
          </cell>
        </row>
        <row r="803">
          <cell r="B803" t="b">
            <v>0</v>
          </cell>
          <cell r="E803" t="str">
            <v>Nelson Mandela UPA</v>
          </cell>
          <cell r="H803" t="str">
            <v>urgencia</v>
          </cell>
          <cell r="J803" t="str">
            <v>regular</v>
          </cell>
          <cell r="K803" t="str">
            <v>probsi</v>
          </cell>
        </row>
        <row r="804">
          <cell r="B804" t="b">
            <v>1</v>
          </cell>
          <cell r="E804" t="str">
            <v>Nelson Mandela UPA</v>
          </cell>
          <cell r="H804" t="str">
            <v>urgencia</v>
          </cell>
          <cell r="J804" t="str">
            <v>bueno</v>
          </cell>
          <cell r="K804" t="str">
            <v>probsi</v>
          </cell>
        </row>
        <row r="805">
          <cell r="B805" t="b">
            <v>1</v>
          </cell>
          <cell r="E805" t="str">
            <v>Nelson Mandela UPA</v>
          </cell>
          <cell r="H805" t="str">
            <v>urgencia</v>
          </cell>
          <cell r="J805" t="str">
            <v>bueno</v>
          </cell>
          <cell r="K805" t="str">
            <v>probsi</v>
          </cell>
        </row>
        <row r="806">
          <cell r="B806" t="b">
            <v>0</v>
          </cell>
          <cell r="E806" t="str">
            <v>Nelson Mandela UPA</v>
          </cell>
          <cell r="H806" t="str">
            <v>urgencia</v>
          </cell>
          <cell r="J806" t="str">
            <v>regular</v>
          </cell>
          <cell r="K806" t="str">
            <v>probno</v>
          </cell>
        </row>
        <row r="807">
          <cell r="B807" t="b">
            <v>1</v>
          </cell>
          <cell r="E807" t="str">
            <v>Nelson Mandela UPA</v>
          </cell>
          <cell r="H807" t="str">
            <v>urgencia</v>
          </cell>
          <cell r="J807" t="str">
            <v>bueno</v>
          </cell>
          <cell r="K807" t="str">
            <v>probsi</v>
          </cell>
        </row>
        <row r="808">
          <cell r="B808" t="b">
            <v>0</v>
          </cell>
          <cell r="E808" t="str">
            <v>Ternera</v>
          </cell>
          <cell r="H808" t="str">
            <v>consulta_externa</v>
          </cell>
          <cell r="J808" t="str">
            <v>regular</v>
          </cell>
          <cell r="K808" t="str">
            <v>defsi</v>
          </cell>
        </row>
        <row r="809">
          <cell r="B809" t="b">
            <v>0</v>
          </cell>
          <cell r="E809" t="str">
            <v>Ternera</v>
          </cell>
          <cell r="H809" t="str">
            <v>laboratorio</v>
          </cell>
          <cell r="J809" t="str">
            <v>regular</v>
          </cell>
          <cell r="K809" t="str">
            <v>defsi</v>
          </cell>
        </row>
        <row r="810">
          <cell r="B810" t="b">
            <v>1</v>
          </cell>
          <cell r="E810" t="str">
            <v>Ternera</v>
          </cell>
          <cell r="H810" t="str">
            <v>salud_oral</v>
          </cell>
          <cell r="J810" t="str">
            <v>bueno</v>
          </cell>
          <cell r="K810" t="str">
            <v>defsi</v>
          </cell>
        </row>
        <row r="811">
          <cell r="B811" t="b">
            <v>1</v>
          </cell>
          <cell r="E811" t="str">
            <v>Ternera</v>
          </cell>
          <cell r="H811" t="str">
            <v>salud_oral</v>
          </cell>
          <cell r="J811" t="str">
            <v>bueno</v>
          </cell>
          <cell r="K811" t="str">
            <v>defsi</v>
          </cell>
        </row>
        <row r="812">
          <cell r="B812" t="b">
            <v>1</v>
          </cell>
          <cell r="E812" t="str">
            <v>Ternera</v>
          </cell>
          <cell r="H812" t="str">
            <v>salud_oral</v>
          </cell>
          <cell r="J812" t="str">
            <v>bueno</v>
          </cell>
          <cell r="K812" t="str">
            <v>defsi</v>
          </cell>
        </row>
        <row r="813">
          <cell r="B813" t="b">
            <v>1</v>
          </cell>
          <cell r="E813" t="str">
            <v>Ternera</v>
          </cell>
          <cell r="H813" t="str">
            <v>laboratorio</v>
          </cell>
          <cell r="J813" t="str">
            <v>bueno</v>
          </cell>
          <cell r="K813" t="str">
            <v>defsi</v>
          </cell>
        </row>
        <row r="814">
          <cell r="B814" t="b">
            <v>1</v>
          </cell>
          <cell r="E814" t="str">
            <v>Ternera</v>
          </cell>
          <cell r="H814" t="str">
            <v>laboratorio</v>
          </cell>
          <cell r="J814" t="str">
            <v>bueno</v>
          </cell>
          <cell r="K814" t="str">
            <v>defsi</v>
          </cell>
        </row>
        <row r="815">
          <cell r="B815" t="b">
            <v>1</v>
          </cell>
          <cell r="E815" t="str">
            <v>Ternera</v>
          </cell>
          <cell r="H815" t="str">
            <v>consulta_externa</v>
          </cell>
          <cell r="J815" t="str">
            <v>bueno</v>
          </cell>
          <cell r="K815" t="str">
            <v>defsi</v>
          </cell>
        </row>
        <row r="816">
          <cell r="B816" t="b">
            <v>1</v>
          </cell>
          <cell r="E816" t="str">
            <v>Ternera</v>
          </cell>
          <cell r="H816" t="str">
            <v>laboratorio</v>
          </cell>
          <cell r="J816" t="str">
            <v>bueno</v>
          </cell>
          <cell r="K816" t="str">
            <v>defsi</v>
          </cell>
        </row>
        <row r="817">
          <cell r="B817" t="b">
            <v>1</v>
          </cell>
          <cell r="E817" t="str">
            <v>Boquilla</v>
          </cell>
          <cell r="H817" t="str">
            <v>consulta_externa</v>
          </cell>
          <cell r="J817" t="str">
            <v>bueno</v>
          </cell>
          <cell r="K817" t="str">
            <v>defsi</v>
          </cell>
        </row>
        <row r="818">
          <cell r="B818" t="b">
            <v>1</v>
          </cell>
          <cell r="E818" t="str">
            <v>Boquilla</v>
          </cell>
          <cell r="H818" t="str">
            <v>salud_oral</v>
          </cell>
          <cell r="J818" t="str">
            <v>bueno</v>
          </cell>
          <cell r="K818" t="str">
            <v>defsi</v>
          </cell>
        </row>
        <row r="819">
          <cell r="B819" t="b">
            <v>1</v>
          </cell>
          <cell r="E819" t="str">
            <v>Boquilla</v>
          </cell>
          <cell r="H819" t="str">
            <v>laboratorio</v>
          </cell>
          <cell r="J819" t="str">
            <v>bueno</v>
          </cell>
          <cell r="K819" t="str">
            <v>defsi</v>
          </cell>
        </row>
        <row r="820">
          <cell r="B820" t="b">
            <v>1</v>
          </cell>
          <cell r="E820" t="str">
            <v>Boquilla</v>
          </cell>
          <cell r="H820" t="str">
            <v>urgencia</v>
          </cell>
          <cell r="J820" t="str">
            <v>bueno</v>
          </cell>
          <cell r="K820" t="str">
            <v>defsi</v>
          </cell>
        </row>
        <row r="821">
          <cell r="B821" t="b">
            <v>1</v>
          </cell>
          <cell r="E821" t="str">
            <v>Boquilla</v>
          </cell>
          <cell r="H821" t="str">
            <v>consulta_externa</v>
          </cell>
          <cell r="J821" t="str">
            <v>bueno</v>
          </cell>
          <cell r="K821" t="str">
            <v>defsi</v>
          </cell>
        </row>
        <row r="822">
          <cell r="B822" t="b">
            <v>1</v>
          </cell>
          <cell r="E822" t="str">
            <v>Boquilla</v>
          </cell>
          <cell r="H822" t="str">
            <v>consulta_externa</v>
          </cell>
          <cell r="J822" t="str">
            <v>bueno</v>
          </cell>
          <cell r="K822" t="str">
            <v>defsi</v>
          </cell>
        </row>
        <row r="823">
          <cell r="B823" t="b">
            <v>1</v>
          </cell>
          <cell r="E823" t="str">
            <v>Boquilla</v>
          </cell>
          <cell r="H823" t="str">
            <v>salud_oral</v>
          </cell>
          <cell r="J823" t="str">
            <v>bueno</v>
          </cell>
          <cell r="K823" t="str">
            <v>defsi</v>
          </cell>
        </row>
        <row r="824">
          <cell r="B824" t="b">
            <v>1</v>
          </cell>
          <cell r="E824" t="str">
            <v>Boquilla</v>
          </cell>
          <cell r="H824" t="str">
            <v>laboratorio</v>
          </cell>
          <cell r="J824" t="str">
            <v>bueno</v>
          </cell>
          <cell r="K824" t="str">
            <v>defsi</v>
          </cell>
        </row>
        <row r="825">
          <cell r="B825" t="b">
            <v>1</v>
          </cell>
          <cell r="E825" t="str">
            <v>Boquilla</v>
          </cell>
          <cell r="H825" t="str">
            <v>urgencia</v>
          </cell>
          <cell r="J825" t="str">
            <v>bueno</v>
          </cell>
          <cell r="K825" t="str">
            <v>defsi</v>
          </cell>
        </row>
        <row r="826">
          <cell r="B826" t="b">
            <v>1</v>
          </cell>
          <cell r="E826" t="str">
            <v>Boquilla</v>
          </cell>
          <cell r="H826" t="str">
            <v>consulta_externa</v>
          </cell>
          <cell r="J826" t="str">
            <v>bueno</v>
          </cell>
          <cell r="K826" t="str">
            <v>defsi</v>
          </cell>
        </row>
        <row r="827">
          <cell r="B827" t="b">
            <v>1</v>
          </cell>
          <cell r="E827" t="str">
            <v>Boquilla</v>
          </cell>
          <cell r="H827" t="str">
            <v>salud_oral</v>
          </cell>
          <cell r="J827" t="str">
            <v>bueno</v>
          </cell>
          <cell r="K827" t="str">
            <v>defsi</v>
          </cell>
        </row>
        <row r="828">
          <cell r="B828" t="b">
            <v>1</v>
          </cell>
          <cell r="E828" t="str">
            <v>Boquilla</v>
          </cell>
          <cell r="H828" t="str">
            <v>laboratorio</v>
          </cell>
          <cell r="J828" t="str">
            <v>bueno</v>
          </cell>
          <cell r="K828" t="str">
            <v>defsi</v>
          </cell>
        </row>
        <row r="829">
          <cell r="B829" t="b">
            <v>1</v>
          </cell>
          <cell r="E829" t="str">
            <v>Boquilla</v>
          </cell>
          <cell r="H829" t="str">
            <v>urgencia</v>
          </cell>
          <cell r="J829" t="str">
            <v>bueno</v>
          </cell>
          <cell r="K829" t="str">
            <v>defsi</v>
          </cell>
        </row>
        <row r="830">
          <cell r="B830" t="b">
            <v>1</v>
          </cell>
          <cell r="E830" t="str">
            <v>Baru</v>
          </cell>
          <cell r="H830" t="str">
            <v>consulta_externa</v>
          </cell>
          <cell r="J830" t="str">
            <v>bueno</v>
          </cell>
          <cell r="K830" t="str">
            <v>probsi</v>
          </cell>
        </row>
        <row r="831">
          <cell r="B831" t="b">
            <v>1</v>
          </cell>
          <cell r="E831" t="str">
            <v>Baru</v>
          </cell>
          <cell r="H831" t="str">
            <v>consulta_externa</v>
          </cell>
          <cell r="J831" t="str">
            <v>bueno</v>
          </cell>
          <cell r="K831" t="str">
            <v>probsi</v>
          </cell>
        </row>
        <row r="832">
          <cell r="B832" t="b">
            <v>1</v>
          </cell>
          <cell r="E832" t="str">
            <v>Baru</v>
          </cell>
          <cell r="H832" t="str">
            <v>consulta_externa</v>
          </cell>
          <cell r="J832" t="str">
            <v>bueno</v>
          </cell>
          <cell r="K832" t="str">
            <v>probsi</v>
          </cell>
        </row>
        <row r="833">
          <cell r="B833" t="b">
            <v>1</v>
          </cell>
          <cell r="E833" t="str">
            <v>Baru</v>
          </cell>
          <cell r="H833" t="str">
            <v>consulta_externa</v>
          </cell>
          <cell r="J833" t="str">
            <v>bueno</v>
          </cell>
          <cell r="K833" t="str">
            <v>probsi</v>
          </cell>
        </row>
        <row r="834">
          <cell r="B834" t="b">
            <v>1</v>
          </cell>
          <cell r="E834" t="str">
            <v>Baru</v>
          </cell>
          <cell r="H834" t="str">
            <v>consulta_externa</v>
          </cell>
          <cell r="J834" t="str">
            <v>bueno</v>
          </cell>
          <cell r="K834" t="str">
            <v>probsi</v>
          </cell>
        </row>
        <row r="835">
          <cell r="B835" t="b">
            <v>1</v>
          </cell>
          <cell r="E835" t="str">
            <v>Baru</v>
          </cell>
          <cell r="H835" t="str">
            <v>salud_oral</v>
          </cell>
          <cell r="J835" t="str">
            <v>bueno</v>
          </cell>
          <cell r="K835" t="str">
            <v>probsi</v>
          </cell>
        </row>
        <row r="836">
          <cell r="B836" t="b">
            <v>1</v>
          </cell>
          <cell r="E836" t="str">
            <v>Baru</v>
          </cell>
          <cell r="H836" t="str">
            <v>salud_oral</v>
          </cell>
          <cell r="J836" t="str">
            <v>bueno</v>
          </cell>
          <cell r="K836" t="str">
            <v>probsi</v>
          </cell>
        </row>
        <row r="837">
          <cell r="B837" t="b">
            <v>1</v>
          </cell>
          <cell r="E837" t="str">
            <v>Baru</v>
          </cell>
          <cell r="H837" t="str">
            <v>salud_oral</v>
          </cell>
          <cell r="J837" t="str">
            <v>bueno</v>
          </cell>
          <cell r="K837" t="str">
            <v>probsi</v>
          </cell>
        </row>
        <row r="838">
          <cell r="B838" t="b">
            <v>1</v>
          </cell>
          <cell r="E838" t="str">
            <v>Baru</v>
          </cell>
          <cell r="H838" t="str">
            <v>salud_oral</v>
          </cell>
          <cell r="J838" t="str">
            <v>bueno</v>
          </cell>
          <cell r="K838" t="str">
            <v>probsi</v>
          </cell>
        </row>
        <row r="839">
          <cell r="B839" t="b">
            <v>1</v>
          </cell>
          <cell r="E839" t="str">
            <v>Baru</v>
          </cell>
          <cell r="H839" t="str">
            <v>salud_oral</v>
          </cell>
          <cell r="J839" t="str">
            <v>bueno</v>
          </cell>
          <cell r="K839" t="str">
            <v>probsi</v>
          </cell>
        </row>
        <row r="840">
          <cell r="B840" t="b">
            <v>1</v>
          </cell>
          <cell r="E840" t="str">
            <v>Baru</v>
          </cell>
          <cell r="H840" t="str">
            <v>laboratorio</v>
          </cell>
          <cell r="J840" t="str">
            <v>bueno</v>
          </cell>
          <cell r="K840" t="str">
            <v>probsi</v>
          </cell>
        </row>
        <row r="841">
          <cell r="B841" t="b">
            <v>1</v>
          </cell>
          <cell r="E841" t="str">
            <v>Baru</v>
          </cell>
          <cell r="H841" t="str">
            <v>laboratorio</v>
          </cell>
          <cell r="J841" t="str">
            <v>bueno</v>
          </cell>
          <cell r="K841" t="str">
            <v>probsi</v>
          </cell>
        </row>
        <row r="842">
          <cell r="B842" t="b">
            <v>1</v>
          </cell>
          <cell r="E842" t="str">
            <v>Baru</v>
          </cell>
          <cell r="H842" t="str">
            <v>laboratorio</v>
          </cell>
          <cell r="J842" t="str">
            <v>bueno</v>
          </cell>
          <cell r="K842" t="str">
            <v>probsi</v>
          </cell>
        </row>
        <row r="843">
          <cell r="B843" t="b">
            <v>1</v>
          </cell>
          <cell r="E843" t="str">
            <v>Baru</v>
          </cell>
          <cell r="H843" t="str">
            <v>laboratorio</v>
          </cell>
          <cell r="J843" t="str">
            <v>bueno</v>
          </cell>
          <cell r="K843" t="str">
            <v>probsi</v>
          </cell>
        </row>
        <row r="844">
          <cell r="B844" t="b">
            <v>1</v>
          </cell>
          <cell r="E844" t="str">
            <v>Baru</v>
          </cell>
          <cell r="H844" t="str">
            <v>laboratorio</v>
          </cell>
          <cell r="J844" t="str">
            <v>bueno</v>
          </cell>
          <cell r="K844" t="str">
            <v>probsi</v>
          </cell>
        </row>
        <row r="845">
          <cell r="B845" t="b">
            <v>0</v>
          </cell>
          <cell r="E845" t="str">
            <v>Baru</v>
          </cell>
          <cell r="H845" t="str">
            <v>consulta_externa</v>
          </cell>
          <cell r="J845" t="str">
            <v>regular</v>
          </cell>
          <cell r="K845" t="str">
            <v>probsi</v>
          </cell>
        </row>
        <row r="846">
          <cell r="B846" t="b">
            <v>0</v>
          </cell>
          <cell r="E846" t="str">
            <v>Baru</v>
          </cell>
          <cell r="H846" t="str">
            <v>consulta_externa</v>
          </cell>
          <cell r="J846" t="str">
            <v>regular</v>
          </cell>
          <cell r="K846" t="str">
            <v>probsi</v>
          </cell>
        </row>
        <row r="847">
          <cell r="B847" t="b">
            <v>1</v>
          </cell>
          <cell r="E847" t="str">
            <v>Baru</v>
          </cell>
          <cell r="H847" t="str">
            <v>consulta_externa</v>
          </cell>
          <cell r="J847" t="str">
            <v>bueno</v>
          </cell>
          <cell r="K847" t="str">
            <v>probsi</v>
          </cell>
        </row>
        <row r="848">
          <cell r="B848" t="b">
            <v>1</v>
          </cell>
          <cell r="E848" t="str">
            <v>Baru</v>
          </cell>
          <cell r="H848" t="str">
            <v>consulta_externa</v>
          </cell>
          <cell r="J848" t="str">
            <v>bueno</v>
          </cell>
          <cell r="K848" t="str">
            <v>probsi</v>
          </cell>
        </row>
        <row r="849">
          <cell r="B849" t="b">
            <v>1</v>
          </cell>
          <cell r="E849" t="str">
            <v>Baru</v>
          </cell>
          <cell r="H849" t="str">
            <v>consulta_externa</v>
          </cell>
          <cell r="J849" t="str">
            <v>bueno</v>
          </cell>
          <cell r="K849" t="str">
            <v>probsi</v>
          </cell>
        </row>
        <row r="850">
          <cell r="B850" t="b">
            <v>1</v>
          </cell>
          <cell r="E850" t="str">
            <v>Baru</v>
          </cell>
          <cell r="H850" t="str">
            <v>laboratorio</v>
          </cell>
          <cell r="J850" t="str">
            <v>bueno</v>
          </cell>
          <cell r="K850" t="str">
            <v>probsi</v>
          </cell>
        </row>
        <row r="851">
          <cell r="B851" t="b">
            <v>1</v>
          </cell>
          <cell r="E851" t="str">
            <v>Baru</v>
          </cell>
          <cell r="H851" t="str">
            <v>laboratorio</v>
          </cell>
          <cell r="J851" t="str">
            <v>bueno</v>
          </cell>
          <cell r="K851" t="str">
            <v>probsi</v>
          </cell>
        </row>
        <row r="852">
          <cell r="B852" t="b">
            <v>1</v>
          </cell>
          <cell r="E852" t="str">
            <v>Baru</v>
          </cell>
          <cell r="H852" t="str">
            <v>laboratorio</v>
          </cell>
          <cell r="J852" t="str">
            <v>bueno</v>
          </cell>
          <cell r="K852" t="str">
            <v>probsi</v>
          </cell>
        </row>
        <row r="853">
          <cell r="B853" t="b">
            <v>1</v>
          </cell>
          <cell r="E853" t="str">
            <v>Baru</v>
          </cell>
          <cell r="H853" t="str">
            <v>laboratorio</v>
          </cell>
          <cell r="J853" t="str">
            <v>bueno</v>
          </cell>
          <cell r="K853" t="str">
            <v>probsi</v>
          </cell>
        </row>
        <row r="854">
          <cell r="B854" t="b">
            <v>1</v>
          </cell>
          <cell r="E854" t="str">
            <v>Baru</v>
          </cell>
          <cell r="H854" t="str">
            <v>laboratorio</v>
          </cell>
          <cell r="J854" t="str">
            <v>bueno</v>
          </cell>
          <cell r="K854" t="str">
            <v>probsi</v>
          </cell>
        </row>
        <row r="855">
          <cell r="B855" t="b">
            <v>1</v>
          </cell>
          <cell r="E855" t="str">
            <v>Baru</v>
          </cell>
          <cell r="H855" t="str">
            <v>salud_oral</v>
          </cell>
          <cell r="J855" t="str">
            <v>bueno</v>
          </cell>
          <cell r="K855" t="str">
            <v>probsi</v>
          </cell>
        </row>
        <row r="856">
          <cell r="B856" t="b">
            <v>1</v>
          </cell>
          <cell r="E856" t="str">
            <v>Baru</v>
          </cell>
          <cell r="H856" t="str">
            <v>salud_oral</v>
          </cell>
          <cell r="J856" t="str">
            <v>bueno</v>
          </cell>
          <cell r="K856" t="str">
            <v>probsi</v>
          </cell>
        </row>
        <row r="857">
          <cell r="B857" t="b">
            <v>1</v>
          </cell>
          <cell r="E857" t="str">
            <v>Baru</v>
          </cell>
          <cell r="H857" t="str">
            <v>salud_oral</v>
          </cell>
          <cell r="J857" t="str">
            <v>bueno</v>
          </cell>
          <cell r="K857" t="str">
            <v>probsi</v>
          </cell>
        </row>
        <row r="858">
          <cell r="B858" t="b">
            <v>1</v>
          </cell>
          <cell r="E858" t="str">
            <v>Baru</v>
          </cell>
          <cell r="H858" t="str">
            <v>salud_oral</v>
          </cell>
          <cell r="J858" t="str">
            <v>bueno</v>
          </cell>
          <cell r="K858" t="str">
            <v>probsi</v>
          </cell>
        </row>
        <row r="859">
          <cell r="B859" t="b">
            <v>1</v>
          </cell>
          <cell r="E859" t="str">
            <v>Baru</v>
          </cell>
          <cell r="H859" t="str">
            <v>salud_oral</v>
          </cell>
          <cell r="J859" t="str">
            <v>bueno</v>
          </cell>
          <cell r="K859" t="str">
            <v>probsi</v>
          </cell>
        </row>
        <row r="860">
          <cell r="B860" t="b">
            <v>1</v>
          </cell>
          <cell r="E860" t="str">
            <v>Arroyo de las Canoas</v>
          </cell>
          <cell r="H860" t="str">
            <v>consulta_externa</v>
          </cell>
          <cell r="J860" t="str">
            <v>bueno</v>
          </cell>
          <cell r="K860" t="str">
            <v>probsi</v>
          </cell>
        </row>
        <row r="861">
          <cell r="B861" t="b">
            <v>1</v>
          </cell>
          <cell r="E861" t="str">
            <v>Arroyo de las Canoas</v>
          </cell>
          <cell r="H861" t="str">
            <v>consulta_externa</v>
          </cell>
          <cell r="J861" t="str">
            <v>bueno</v>
          </cell>
          <cell r="K861" t="str">
            <v>probsi</v>
          </cell>
        </row>
        <row r="862">
          <cell r="B862" t="b">
            <v>1</v>
          </cell>
          <cell r="E862" t="str">
            <v>Arroyo de las Canoas</v>
          </cell>
          <cell r="H862" t="str">
            <v>salud_oral</v>
          </cell>
          <cell r="J862" t="str">
            <v>bueno</v>
          </cell>
          <cell r="K862" t="str">
            <v>probsi</v>
          </cell>
        </row>
        <row r="863">
          <cell r="B863" t="b">
            <v>1</v>
          </cell>
          <cell r="E863" t="str">
            <v>Arroyo de las Canoas</v>
          </cell>
          <cell r="H863" t="str">
            <v>laboratorio</v>
          </cell>
          <cell r="J863" t="str">
            <v>bueno</v>
          </cell>
          <cell r="K863" t="str">
            <v>probsi</v>
          </cell>
        </row>
        <row r="864">
          <cell r="B864" t="b">
            <v>1</v>
          </cell>
          <cell r="E864" t="str">
            <v>Arroyo de las Canoas</v>
          </cell>
          <cell r="H864" t="str">
            <v>consulta_externa</v>
          </cell>
          <cell r="J864" t="str">
            <v>bueno</v>
          </cell>
          <cell r="K864" t="str">
            <v>probsi</v>
          </cell>
        </row>
        <row r="865">
          <cell r="B865" t="b">
            <v>1</v>
          </cell>
          <cell r="E865" t="str">
            <v>Arroyo de las Canoas</v>
          </cell>
          <cell r="H865" t="str">
            <v>salud_oral</v>
          </cell>
          <cell r="J865" t="str">
            <v>bueno</v>
          </cell>
          <cell r="K865" t="str">
            <v>probsi</v>
          </cell>
        </row>
        <row r="866">
          <cell r="B866" t="b">
            <v>1</v>
          </cell>
          <cell r="E866" t="str">
            <v>Arroyo de las Canoas</v>
          </cell>
          <cell r="H866" t="str">
            <v>laboratorio</v>
          </cell>
          <cell r="J866" t="str">
            <v>bueno</v>
          </cell>
          <cell r="K866" t="str">
            <v>probsi</v>
          </cell>
        </row>
        <row r="867">
          <cell r="B867" t="b">
            <v>1</v>
          </cell>
          <cell r="E867" t="str">
            <v>Arroyo de las Canoas</v>
          </cell>
          <cell r="H867" t="str">
            <v>consulta_externa</v>
          </cell>
          <cell r="J867" t="str">
            <v>bueno</v>
          </cell>
          <cell r="K867" t="str">
            <v>probsi</v>
          </cell>
        </row>
        <row r="868">
          <cell r="B868" t="b">
            <v>1</v>
          </cell>
          <cell r="E868" t="str">
            <v>Arroyo de las Canoas</v>
          </cell>
          <cell r="H868" t="str">
            <v>salud_oral</v>
          </cell>
          <cell r="J868" t="str">
            <v>bueno</v>
          </cell>
          <cell r="K868" t="str">
            <v>probsi</v>
          </cell>
        </row>
        <row r="869">
          <cell r="B869" t="b">
            <v>1</v>
          </cell>
          <cell r="E869" t="str">
            <v>Arroyo de las Canoas</v>
          </cell>
          <cell r="H869" t="str">
            <v>laboratorio</v>
          </cell>
          <cell r="J869" t="str">
            <v>bueno</v>
          </cell>
          <cell r="K869" t="str">
            <v>probsi</v>
          </cell>
        </row>
        <row r="870">
          <cell r="B870" t="b">
            <v>1</v>
          </cell>
          <cell r="E870" t="str">
            <v>Arroyo de las Canoas</v>
          </cell>
          <cell r="H870" t="str">
            <v>consulta_externa</v>
          </cell>
          <cell r="J870" t="str">
            <v>bueno</v>
          </cell>
          <cell r="K870" t="str">
            <v>probsi</v>
          </cell>
        </row>
        <row r="871">
          <cell r="B871" t="b">
            <v>1</v>
          </cell>
          <cell r="E871" t="str">
            <v>Arroyo de las Canoas</v>
          </cell>
          <cell r="H871" t="str">
            <v>salud_oral</v>
          </cell>
          <cell r="J871" t="str">
            <v>bueno</v>
          </cell>
          <cell r="K871" t="str">
            <v>probsi</v>
          </cell>
        </row>
        <row r="872">
          <cell r="B872" t="b">
            <v>1</v>
          </cell>
          <cell r="E872" t="str">
            <v>Arroyo de las Canoas</v>
          </cell>
          <cell r="H872" t="str">
            <v>consulta_externa</v>
          </cell>
          <cell r="J872" t="str">
            <v>muybueno</v>
          </cell>
          <cell r="K872" t="str">
            <v>probsi</v>
          </cell>
        </row>
        <row r="873">
          <cell r="B873" t="b">
            <v>1</v>
          </cell>
          <cell r="E873" t="str">
            <v>Arroyo de las Canoas</v>
          </cell>
          <cell r="H873" t="str">
            <v>laboratorio</v>
          </cell>
          <cell r="J873" t="str">
            <v>bueno</v>
          </cell>
          <cell r="K873" t="str">
            <v>probsi</v>
          </cell>
        </row>
        <row r="874">
          <cell r="B874" t="b">
            <v>1</v>
          </cell>
          <cell r="E874" t="str">
            <v>Arroyo de las Canoas</v>
          </cell>
          <cell r="H874" t="str">
            <v>consulta_externa</v>
          </cell>
          <cell r="J874" t="str">
            <v>bueno</v>
          </cell>
          <cell r="K874" t="str">
            <v>probsi</v>
          </cell>
        </row>
        <row r="875">
          <cell r="B875" t="b">
            <v>1</v>
          </cell>
          <cell r="E875" t="str">
            <v>Arroyo de las Canoas</v>
          </cell>
          <cell r="H875" t="str">
            <v>salud_oral</v>
          </cell>
          <cell r="J875" t="str">
            <v>bueno</v>
          </cell>
          <cell r="K875" t="str">
            <v>probsi</v>
          </cell>
        </row>
        <row r="876">
          <cell r="B876" t="b">
            <v>1</v>
          </cell>
          <cell r="E876" t="str">
            <v>Arroyo de las Canoas</v>
          </cell>
          <cell r="H876" t="str">
            <v>laboratorio</v>
          </cell>
          <cell r="J876" t="str">
            <v>bueno</v>
          </cell>
          <cell r="K876" t="str">
            <v>probsi</v>
          </cell>
        </row>
        <row r="877">
          <cell r="B877" t="b">
            <v>1</v>
          </cell>
          <cell r="E877" t="str">
            <v>Foco Rojo</v>
          </cell>
          <cell r="H877" t="str">
            <v>consulta_externa</v>
          </cell>
          <cell r="J877" t="str">
            <v>bueno</v>
          </cell>
          <cell r="K877" t="str">
            <v>defsi</v>
          </cell>
        </row>
        <row r="878">
          <cell r="B878" t="b">
            <v>1</v>
          </cell>
          <cell r="E878" t="str">
            <v>Foco Rojo</v>
          </cell>
          <cell r="H878" t="str">
            <v>laboratorio</v>
          </cell>
          <cell r="J878" t="str">
            <v>bueno</v>
          </cell>
          <cell r="K878" t="str">
            <v>defsi</v>
          </cell>
        </row>
        <row r="879">
          <cell r="B879" t="b">
            <v>1</v>
          </cell>
          <cell r="E879" t="str">
            <v>Arroyo de las Canoas</v>
          </cell>
          <cell r="H879" t="str">
            <v>consulta_externa</v>
          </cell>
          <cell r="J879" t="str">
            <v>bueno</v>
          </cell>
          <cell r="K879" t="str">
            <v>probsi</v>
          </cell>
        </row>
        <row r="880">
          <cell r="B880" t="b">
            <v>1</v>
          </cell>
          <cell r="E880" t="str">
            <v>Arroyo de las Canoas</v>
          </cell>
          <cell r="H880" t="str">
            <v>salud_oral</v>
          </cell>
          <cell r="J880" t="str">
            <v>bueno</v>
          </cell>
          <cell r="K880" t="str">
            <v>probsi</v>
          </cell>
        </row>
        <row r="881">
          <cell r="B881" t="b">
            <v>1</v>
          </cell>
          <cell r="E881" t="str">
            <v>Arroyo de las Canoas</v>
          </cell>
          <cell r="H881" t="str">
            <v>laboratorio</v>
          </cell>
          <cell r="J881" t="str">
            <v>bueno</v>
          </cell>
          <cell r="K881" t="str">
            <v>probsi</v>
          </cell>
        </row>
        <row r="882">
          <cell r="B882" t="b">
            <v>1</v>
          </cell>
          <cell r="E882" t="str">
            <v>Arroyo de las Canoas</v>
          </cell>
          <cell r="H882" t="str">
            <v>consulta_externa</v>
          </cell>
          <cell r="J882" t="str">
            <v>bueno</v>
          </cell>
          <cell r="K882" t="str">
            <v>probsi</v>
          </cell>
        </row>
        <row r="883">
          <cell r="B883" t="b">
            <v>1</v>
          </cell>
          <cell r="E883" t="str">
            <v>Arroyo de las Canoas</v>
          </cell>
          <cell r="H883" t="str">
            <v>salud_oral</v>
          </cell>
          <cell r="J883" t="str">
            <v>bueno</v>
          </cell>
          <cell r="K883" t="str">
            <v>probsi</v>
          </cell>
        </row>
        <row r="884">
          <cell r="B884" t="b">
            <v>1</v>
          </cell>
          <cell r="E884" t="str">
            <v>Tierra Baja</v>
          </cell>
          <cell r="H884" t="str">
            <v>consulta_externa</v>
          </cell>
          <cell r="J884" t="str">
            <v>bueno</v>
          </cell>
          <cell r="K884" t="str">
            <v>probsi</v>
          </cell>
        </row>
        <row r="885">
          <cell r="B885" t="b">
            <v>1</v>
          </cell>
          <cell r="E885" t="str">
            <v>Foco Rojo</v>
          </cell>
          <cell r="H885" t="str">
            <v>consulta_externa</v>
          </cell>
          <cell r="J885" t="str">
            <v>bueno</v>
          </cell>
          <cell r="K885" t="str">
            <v>defsi</v>
          </cell>
        </row>
        <row r="886">
          <cell r="B886" t="b">
            <v>1</v>
          </cell>
          <cell r="E886" t="str">
            <v>Foco Rojo</v>
          </cell>
          <cell r="H886" t="str">
            <v>laboratorio</v>
          </cell>
          <cell r="J886" t="str">
            <v>bueno</v>
          </cell>
          <cell r="K886" t="str">
            <v>defsi</v>
          </cell>
        </row>
        <row r="887">
          <cell r="B887" t="b">
            <v>1</v>
          </cell>
          <cell r="E887" t="str">
            <v>Foco Rojo</v>
          </cell>
          <cell r="H887" t="str">
            <v>consulta_externa</v>
          </cell>
          <cell r="J887" t="str">
            <v>bueno</v>
          </cell>
          <cell r="K887" t="str">
            <v>defsi</v>
          </cell>
        </row>
        <row r="888">
          <cell r="B888" t="b">
            <v>1</v>
          </cell>
          <cell r="E888" t="str">
            <v>Tierra Baja</v>
          </cell>
          <cell r="H888" t="str">
            <v>consulta_externa</v>
          </cell>
          <cell r="J888" t="str">
            <v>bueno</v>
          </cell>
          <cell r="K888" t="str">
            <v>probsi</v>
          </cell>
        </row>
        <row r="889">
          <cell r="B889" t="b">
            <v>1</v>
          </cell>
          <cell r="E889" t="str">
            <v>Foco Rojo</v>
          </cell>
          <cell r="H889" t="str">
            <v>salud_oral</v>
          </cell>
          <cell r="J889" t="str">
            <v>muybueno</v>
          </cell>
          <cell r="K889" t="str">
            <v>defsi</v>
          </cell>
        </row>
        <row r="890">
          <cell r="B890" t="b">
            <v>1</v>
          </cell>
          <cell r="E890" t="str">
            <v>Foco Rojo</v>
          </cell>
          <cell r="H890" t="str">
            <v>consulta_externa</v>
          </cell>
          <cell r="J890" t="str">
            <v>bueno</v>
          </cell>
          <cell r="K890" t="str">
            <v>defsi</v>
          </cell>
        </row>
        <row r="891">
          <cell r="B891" t="b">
            <v>1</v>
          </cell>
          <cell r="E891" t="str">
            <v>Foco Rojo</v>
          </cell>
          <cell r="H891" t="str">
            <v>laboratorio</v>
          </cell>
          <cell r="J891" t="str">
            <v>bueno</v>
          </cell>
          <cell r="K891" t="str">
            <v>defsi</v>
          </cell>
        </row>
        <row r="892">
          <cell r="B892" t="b">
            <v>1</v>
          </cell>
          <cell r="E892" t="str">
            <v>Foco Rojo</v>
          </cell>
          <cell r="H892" t="str">
            <v>consulta_externa</v>
          </cell>
          <cell r="J892" t="str">
            <v>bueno</v>
          </cell>
          <cell r="K892" t="str">
            <v>defsi</v>
          </cell>
        </row>
        <row r="893">
          <cell r="B893" t="b">
            <v>1</v>
          </cell>
          <cell r="E893" t="str">
            <v>Tierra Baja</v>
          </cell>
          <cell r="H893" t="str">
            <v>consulta_externa</v>
          </cell>
          <cell r="J893" t="str">
            <v>bueno</v>
          </cell>
          <cell r="K893" t="str">
            <v>probsi</v>
          </cell>
        </row>
        <row r="894">
          <cell r="B894" t="b">
            <v>1</v>
          </cell>
          <cell r="E894" t="str">
            <v>Tierra Baja</v>
          </cell>
          <cell r="H894" t="str">
            <v>consulta_externa</v>
          </cell>
          <cell r="J894" t="str">
            <v>bueno</v>
          </cell>
          <cell r="K894" t="str">
            <v>probsi</v>
          </cell>
        </row>
        <row r="895">
          <cell r="B895" t="b">
            <v>1</v>
          </cell>
          <cell r="E895" t="str">
            <v>Foco Rojo</v>
          </cell>
          <cell r="H895" t="str">
            <v>consulta_externa</v>
          </cell>
          <cell r="J895" t="str">
            <v>muybueno</v>
          </cell>
          <cell r="K895" t="str">
            <v>defsi</v>
          </cell>
        </row>
        <row r="896">
          <cell r="B896" t="b">
            <v>1</v>
          </cell>
          <cell r="E896" t="str">
            <v>Foco Rojo</v>
          </cell>
          <cell r="H896" t="str">
            <v>laboratorio</v>
          </cell>
          <cell r="J896" t="str">
            <v>muybueno</v>
          </cell>
          <cell r="K896" t="str">
            <v>defsi</v>
          </cell>
        </row>
        <row r="897">
          <cell r="B897" t="b">
            <v>1</v>
          </cell>
          <cell r="E897" t="str">
            <v>Foco Rojo</v>
          </cell>
          <cell r="H897" t="str">
            <v>consulta_externa</v>
          </cell>
          <cell r="J897" t="str">
            <v>bueno</v>
          </cell>
          <cell r="K897" t="str">
            <v>defsi</v>
          </cell>
        </row>
        <row r="898">
          <cell r="B898" t="b">
            <v>1</v>
          </cell>
          <cell r="E898" t="str">
            <v>Foco Rojo</v>
          </cell>
          <cell r="H898" t="str">
            <v>consulta_externa</v>
          </cell>
          <cell r="J898" t="str">
            <v>bueno</v>
          </cell>
          <cell r="K898" t="str">
            <v>defsi</v>
          </cell>
        </row>
        <row r="899">
          <cell r="B899" t="b">
            <v>1</v>
          </cell>
          <cell r="E899" t="str">
            <v>Foco Rojo</v>
          </cell>
          <cell r="H899" t="str">
            <v>laboratorio</v>
          </cell>
          <cell r="J899" t="str">
            <v>bueno</v>
          </cell>
          <cell r="K899" t="str">
            <v>defsi</v>
          </cell>
        </row>
        <row r="900">
          <cell r="B900" t="b">
            <v>1</v>
          </cell>
          <cell r="E900" t="str">
            <v>Foco Rojo</v>
          </cell>
          <cell r="H900" t="str">
            <v>laboratorio</v>
          </cell>
          <cell r="J900" t="str">
            <v>bueno</v>
          </cell>
          <cell r="K900" t="str">
            <v>defsi</v>
          </cell>
        </row>
        <row r="901">
          <cell r="B901" t="b">
            <v>1</v>
          </cell>
          <cell r="E901" t="str">
            <v>Foco Rojo</v>
          </cell>
          <cell r="H901" t="str">
            <v>laboratorio</v>
          </cell>
          <cell r="J901" t="str">
            <v>bueno</v>
          </cell>
          <cell r="K901" t="str">
            <v>defsi</v>
          </cell>
        </row>
        <row r="902">
          <cell r="B902" t="b">
            <v>1</v>
          </cell>
          <cell r="E902" t="str">
            <v>Bicentenario</v>
          </cell>
          <cell r="H902" t="str">
            <v>consulta_externa</v>
          </cell>
          <cell r="J902" t="str">
            <v>bueno</v>
          </cell>
          <cell r="K902" t="str">
            <v>defsi</v>
          </cell>
        </row>
        <row r="903">
          <cell r="B903" t="b">
            <v>1</v>
          </cell>
          <cell r="E903" t="str">
            <v>Bicentenario</v>
          </cell>
          <cell r="H903" t="str">
            <v>salud_oral</v>
          </cell>
          <cell r="J903" t="str">
            <v>bueno</v>
          </cell>
          <cell r="K903" t="str">
            <v>defsi</v>
          </cell>
        </row>
        <row r="904">
          <cell r="B904" t="b">
            <v>1</v>
          </cell>
          <cell r="E904" t="str">
            <v>Bicentenario</v>
          </cell>
          <cell r="H904" t="str">
            <v>laboratorio</v>
          </cell>
          <cell r="J904" t="str">
            <v>bueno</v>
          </cell>
          <cell r="K904" t="str">
            <v>defsi</v>
          </cell>
        </row>
        <row r="905">
          <cell r="B905" t="b">
            <v>1</v>
          </cell>
          <cell r="E905" t="str">
            <v>Bicentenario</v>
          </cell>
          <cell r="H905" t="str">
            <v>urgencia</v>
          </cell>
          <cell r="J905" t="str">
            <v>bueno</v>
          </cell>
          <cell r="K905" t="str">
            <v>defsi</v>
          </cell>
        </row>
        <row r="906">
          <cell r="B906" t="b">
            <v>1</v>
          </cell>
          <cell r="E906" t="str">
            <v>Bicentenario</v>
          </cell>
          <cell r="H906" t="str">
            <v>rx</v>
          </cell>
          <cell r="J906" t="str">
            <v>bueno</v>
          </cell>
          <cell r="K906" t="str">
            <v>defsi</v>
          </cell>
        </row>
        <row r="907">
          <cell r="B907" t="b">
            <v>1</v>
          </cell>
          <cell r="E907" t="str">
            <v>Bicentenario</v>
          </cell>
          <cell r="H907" t="str">
            <v>consulta_externa</v>
          </cell>
          <cell r="J907" t="str">
            <v>bueno</v>
          </cell>
          <cell r="K907" t="str">
            <v>defsi</v>
          </cell>
        </row>
        <row r="908">
          <cell r="B908" t="b">
            <v>1</v>
          </cell>
          <cell r="E908" t="str">
            <v>Bicentenario</v>
          </cell>
          <cell r="H908" t="str">
            <v>salud_oral</v>
          </cell>
          <cell r="J908" t="str">
            <v>bueno</v>
          </cell>
          <cell r="K908" t="str">
            <v>defsi</v>
          </cell>
        </row>
        <row r="909">
          <cell r="B909" t="b">
            <v>1</v>
          </cell>
          <cell r="E909" t="str">
            <v>Bicentenario</v>
          </cell>
          <cell r="H909" t="str">
            <v>laboratorio</v>
          </cell>
          <cell r="J909" t="str">
            <v>bueno</v>
          </cell>
          <cell r="K909" t="str">
            <v>defsi</v>
          </cell>
        </row>
        <row r="910">
          <cell r="B910" t="b">
            <v>1</v>
          </cell>
          <cell r="E910" t="str">
            <v>Bicentenario</v>
          </cell>
          <cell r="H910" t="str">
            <v>urgencia</v>
          </cell>
          <cell r="J910" t="str">
            <v>bueno</v>
          </cell>
          <cell r="K910" t="str">
            <v>defsi</v>
          </cell>
        </row>
        <row r="911">
          <cell r="B911" t="b">
            <v>1</v>
          </cell>
          <cell r="E911" t="str">
            <v>Foco Rojo</v>
          </cell>
          <cell r="H911" t="str">
            <v>consulta_externa</v>
          </cell>
          <cell r="J911" t="str">
            <v>bueno</v>
          </cell>
          <cell r="K911" t="str">
            <v>defsi</v>
          </cell>
        </row>
        <row r="912">
          <cell r="B912" t="b">
            <v>1</v>
          </cell>
          <cell r="E912" t="str">
            <v>Foco Rojo</v>
          </cell>
          <cell r="H912" t="str">
            <v>salud_oral</v>
          </cell>
          <cell r="J912" t="str">
            <v>bueno</v>
          </cell>
          <cell r="K912" t="str">
            <v>defsi</v>
          </cell>
        </row>
        <row r="913">
          <cell r="B913" t="b">
            <v>1</v>
          </cell>
          <cell r="E913" t="str">
            <v>Bicentenario</v>
          </cell>
          <cell r="H913" t="str">
            <v>rx</v>
          </cell>
          <cell r="J913" t="str">
            <v>bueno</v>
          </cell>
          <cell r="K913" t="str">
            <v>defsi</v>
          </cell>
        </row>
        <row r="914">
          <cell r="B914" t="b">
            <v>1</v>
          </cell>
          <cell r="E914" t="str">
            <v>Arroyo de las Canoas</v>
          </cell>
          <cell r="H914" t="str">
            <v>consulta_externa</v>
          </cell>
          <cell r="J914" t="str">
            <v>bueno</v>
          </cell>
          <cell r="K914" t="str">
            <v>probsi</v>
          </cell>
        </row>
        <row r="915">
          <cell r="B915" t="b">
            <v>1</v>
          </cell>
          <cell r="E915" t="str">
            <v>Arroyo de las Canoas</v>
          </cell>
          <cell r="H915" t="str">
            <v>salud_oral</v>
          </cell>
          <cell r="J915" t="str">
            <v>bueno</v>
          </cell>
          <cell r="K915" t="str">
            <v>probsi</v>
          </cell>
        </row>
        <row r="916">
          <cell r="B916" t="b">
            <v>1</v>
          </cell>
          <cell r="E916" t="str">
            <v>Arroyo de las Canoas</v>
          </cell>
          <cell r="H916" t="str">
            <v>laboratorio</v>
          </cell>
          <cell r="J916" t="str">
            <v>bueno</v>
          </cell>
          <cell r="K916" t="str">
            <v>probsi</v>
          </cell>
        </row>
        <row r="917">
          <cell r="B917" t="b">
            <v>1</v>
          </cell>
          <cell r="E917" t="str">
            <v>Arroyo de las Canoas</v>
          </cell>
          <cell r="H917" t="str">
            <v>consulta_externa</v>
          </cell>
          <cell r="J917" t="str">
            <v>muybueno</v>
          </cell>
          <cell r="K917" t="str">
            <v>probsi</v>
          </cell>
        </row>
        <row r="918">
          <cell r="B918" t="b">
            <v>1</v>
          </cell>
          <cell r="E918" t="str">
            <v>Arroyo de las Canoas</v>
          </cell>
          <cell r="H918" t="str">
            <v>salud_oral</v>
          </cell>
          <cell r="J918" t="str">
            <v>bueno</v>
          </cell>
          <cell r="K918" t="str">
            <v>probsi</v>
          </cell>
        </row>
        <row r="919">
          <cell r="B919" t="b">
            <v>1</v>
          </cell>
          <cell r="E919" t="str">
            <v>Arroyo de las Canoas</v>
          </cell>
          <cell r="H919" t="str">
            <v>laboratorio</v>
          </cell>
          <cell r="J919" t="str">
            <v>bueno</v>
          </cell>
          <cell r="K919" t="str">
            <v>probsi</v>
          </cell>
        </row>
        <row r="920">
          <cell r="B920" t="b">
            <v>1</v>
          </cell>
          <cell r="E920" t="str">
            <v>Arroyo de las Canoas</v>
          </cell>
          <cell r="H920" t="str">
            <v>consulta_externa</v>
          </cell>
          <cell r="J920" t="str">
            <v>bueno</v>
          </cell>
          <cell r="K920" t="str">
            <v>probsi</v>
          </cell>
        </row>
        <row r="921">
          <cell r="B921" t="b">
            <v>1</v>
          </cell>
          <cell r="E921" t="str">
            <v>Arroyo de las Canoas</v>
          </cell>
          <cell r="H921" t="str">
            <v>salud_oral</v>
          </cell>
          <cell r="J921" t="str">
            <v>bueno</v>
          </cell>
          <cell r="K921" t="str">
            <v>probsi</v>
          </cell>
        </row>
        <row r="922">
          <cell r="B922" t="b">
            <v>1</v>
          </cell>
          <cell r="E922" t="str">
            <v>Bicentenario</v>
          </cell>
          <cell r="H922" t="str">
            <v>consulta_externa</v>
          </cell>
          <cell r="J922" t="str">
            <v>bueno</v>
          </cell>
          <cell r="K922" t="str">
            <v>defsi</v>
          </cell>
        </row>
        <row r="923">
          <cell r="B923" t="b">
            <v>1</v>
          </cell>
          <cell r="E923" t="str">
            <v>Bicentenario</v>
          </cell>
          <cell r="H923" t="str">
            <v>salud_oral</v>
          </cell>
          <cell r="J923" t="str">
            <v>bueno</v>
          </cell>
          <cell r="K923" t="str">
            <v>defsi</v>
          </cell>
        </row>
        <row r="924">
          <cell r="B924" t="b">
            <v>1</v>
          </cell>
          <cell r="E924" t="str">
            <v>Bicentenario</v>
          </cell>
          <cell r="H924" t="str">
            <v>laboratorio</v>
          </cell>
          <cell r="J924" t="str">
            <v>bueno</v>
          </cell>
          <cell r="K924" t="str">
            <v>defsi</v>
          </cell>
        </row>
        <row r="925">
          <cell r="B925" t="b">
            <v>1</v>
          </cell>
          <cell r="E925" t="str">
            <v>Bicentenario</v>
          </cell>
          <cell r="H925" t="str">
            <v>urgencia</v>
          </cell>
          <cell r="J925" t="str">
            <v>bueno</v>
          </cell>
          <cell r="K925" t="str">
            <v>defsi</v>
          </cell>
        </row>
        <row r="926">
          <cell r="B926" t="b">
            <v>1</v>
          </cell>
          <cell r="E926" t="str">
            <v>Bicentenario</v>
          </cell>
          <cell r="H926" t="str">
            <v>rx</v>
          </cell>
          <cell r="J926" t="str">
            <v>bueno</v>
          </cell>
          <cell r="K926" t="str">
            <v>defsi</v>
          </cell>
        </row>
        <row r="927">
          <cell r="B927" t="b">
            <v>1</v>
          </cell>
          <cell r="E927" t="str">
            <v>Arroyo de las Canoas</v>
          </cell>
          <cell r="H927" t="str">
            <v>consulta_externa</v>
          </cell>
          <cell r="J927" t="str">
            <v>bueno</v>
          </cell>
          <cell r="K927" t="str">
            <v>probsi</v>
          </cell>
        </row>
        <row r="928">
          <cell r="B928" t="b">
            <v>1</v>
          </cell>
          <cell r="E928" t="str">
            <v>Bicentenario</v>
          </cell>
          <cell r="H928" t="str">
            <v>consulta_externa</v>
          </cell>
          <cell r="J928" t="str">
            <v>bueno</v>
          </cell>
          <cell r="K928" t="str">
            <v>defsi</v>
          </cell>
        </row>
        <row r="929">
          <cell r="B929" t="b">
            <v>1</v>
          </cell>
          <cell r="E929" t="str">
            <v>Bicentenario</v>
          </cell>
          <cell r="H929" t="str">
            <v>salud_oral</v>
          </cell>
          <cell r="J929" t="str">
            <v>bueno</v>
          </cell>
          <cell r="K929" t="str">
            <v>defsi</v>
          </cell>
        </row>
        <row r="930">
          <cell r="B930" t="b">
            <v>1</v>
          </cell>
          <cell r="E930" t="str">
            <v>Bicentenario</v>
          </cell>
          <cell r="H930" t="str">
            <v>laboratorio</v>
          </cell>
          <cell r="J930" t="str">
            <v>bueno</v>
          </cell>
          <cell r="K930" t="str">
            <v>defsi</v>
          </cell>
        </row>
        <row r="931">
          <cell r="B931" t="b">
            <v>1</v>
          </cell>
          <cell r="E931" t="str">
            <v>Bicentenario</v>
          </cell>
          <cell r="H931" t="str">
            <v>urgencia</v>
          </cell>
          <cell r="J931" t="str">
            <v>bueno</v>
          </cell>
          <cell r="K931" t="str">
            <v>defsi</v>
          </cell>
        </row>
        <row r="932">
          <cell r="B932" t="b">
            <v>1</v>
          </cell>
          <cell r="E932" t="str">
            <v>Bicentenario</v>
          </cell>
          <cell r="H932" t="str">
            <v>rx</v>
          </cell>
          <cell r="J932" t="str">
            <v>bueno</v>
          </cell>
          <cell r="K932" t="str">
            <v>defsi</v>
          </cell>
        </row>
        <row r="933">
          <cell r="B933" t="b">
            <v>1</v>
          </cell>
          <cell r="E933" t="str">
            <v>Bicentenario</v>
          </cell>
          <cell r="H933" t="str">
            <v>consulta_externa</v>
          </cell>
          <cell r="J933" t="str">
            <v>bueno</v>
          </cell>
          <cell r="K933" t="str">
            <v>defsi</v>
          </cell>
        </row>
        <row r="934">
          <cell r="B934" t="b">
            <v>1</v>
          </cell>
          <cell r="E934" t="str">
            <v>Bicentenario</v>
          </cell>
          <cell r="H934" t="str">
            <v>salud_oral</v>
          </cell>
          <cell r="J934" t="str">
            <v>bueno</v>
          </cell>
          <cell r="K934" t="str">
            <v>defsi</v>
          </cell>
        </row>
        <row r="935">
          <cell r="B935" t="b">
            <v>1</v>
          </cell>
          <cell r="E935" t="str">
            <v>Bicentenario</v>
          </cell>
          <cell r="H935" t="str">
            <v>urgencia</v>
          </cell>
          <cell r="J935" t="str">
            <v>bueno</v>
          </cell>
          <cell r="K935" t="str">
            <v>defsi</v>
          </cell>
        </row>
        <row r="936">
          <cell r="B936" t="b">
            <v>1</v>
          </cell>
          <cell r="E936" t="str">
            <v>Bicentenario</v>
          </cell>
          <cell r="H936" t="str">
            <v>laboratorio</v>
          </cell>
          <cell r="J936" t="str">
            <v>bueno</v>
          </cell>
          <cell r="K936" t="str">
            <v>defsi</v>
          </cell>
        </row>
        <row r="937">
          <cell r="B937" t="b">
            <v>1</v>
          </cell>
          <cell r="E937" t="str">
            <v>Bicentenario</v>
          </cell>
          <cell r="H937" t="str">
            <v>rx</v>
          </cell>
          <cell r="J937" t="str">
            <v>bueno</v>
          </cell>
          <cell r="K937" t="str">
            <v>defsi</v>
          </cell>
        </row>
        <row r="938">
          <cell r="B938" t="b">
            <v>1</v>
          </cell>
          <cell r="E938" t="str">
            <v>Bicentenario</v>
          </cell>
          <cell r="H938" t="str">
            <v>consulta_externa</v>
          </cell>
          <cell r="J938" t="str">
            <v>bueno</v>
          </cell>
          <cell r="K938" t="str">
            <v>defsi</v>
          </cell>
        </row>
        <row r="939">
          <cell r="B939" t="b">
            <v>1</v>
          </cell>
          <cell r="E939" t="str">
            <v>Bicentenario</v>
          </cell>
          <cell r="H939" t="str">
            <v>salud_oral</v>
          </cell>
          <cell r="J939" t="str">
            <v>bueno</v>
          </cell>
          <cell r="K939" t="str">
            <v>defsi</v>
          </cell>
        </row>
        <row r="940">
          <cell r="B940" t="b">
            <v>1</v>
          </cell>
          <cell r="E940" t="str">
            <v>Bicentenario</v>
          </cell>
          <cell r="H940" t="str">
            <v>laboratorio</v>
          </cell>
          <cell r="J940" t="str">
            <v>bueno</v>
          </cell>
          <cell r="K940" t="str">
            <v>defsi</v>
          </cell>
        </row>
        <row r="941">
          <cell r="B941" t="b">
            <v>1</v>
          </cell>
          <cell r="E941" t="str">
            <v>Bicentenario</v>
          </cell>
          <cell r="H941" t="str">
            <v>urgencia</v>
          </cell>
          <cell r="J941" t="str">
            <v>bueno</v>
          </cell>
          <cell r="K941" t="str">
            <v>defsi</v>
          </cell>
        </row>
        <row r="942">
          <cell r="B942" t="b">
            <v>1</v>
          </cell>
          <cell r="E942" t="str">
            <v>Bicentenario</v>
          </cell>
          <cell r="H942" t="str">
            <v>rx</v>
          </cell>
          <cell r="J942" t="str">
            <v>bueno</v>
          </cell>
          <cell r="K942" t="str">
            <v>defsi</v>
          </cell>
        </row>
        <row r="943">
          <cell r="B943" t="b">
            <v>1</v>
          </cell>
          <cell r="E943" t="str">
            <v>Bicentenario</v>
          </cell>
          <cell r="H943" t="str">
            <v>consulta_externa</v>
          </cell>
          <cell r="J943" t="str">
            <v>bueno</v>
          </cell>
          <cell r="K943" t="str">
            <v>defsi</v>
          </cell>
        </row>
        <row r="944">
          <cell r="B944" t="b">
            <v>1</v>
          </cell>
          <cell r="E944" t="str">
            <v>Bicentenario</v>
          </cell>
          <cell r="H944" t="str">
            <v>salud_oral</v>
          </cell>
          <cell r="J944" t="str">
            <v>bueno</v>
          </cell>
          <cell r="K944" t="str">
            <v>defsi</v>
          </cell>
        </row>
        <row r="945">
          <cell r="B945" t="b">
            <v>1</v>
          </cell>
          <cell r="E945" t="str">
            <v>Bicentenario</v>
          </cell>
          <cell r="H945" t="str">
            <v>laboratorio</v>
          </cell>
          <cell r="J945" t="str">
            <v>bueno</v>
          </cell>
          <cell r="K945" t="str">
            <v>defsi</v>
          </cell>
        </row>
        <row r="946">
          <cell r="B946" t="b">
            <v>1</v>
          </cell>
          <cell r="E946" t="str">
            <v>Bicentenario</v>
          </cell>
          <cell r="H946" t="str">
            <v>urgencia</v>
          </cell>
          <cell r="J946" t="str">
            <v>bueno</v>
          </cell>
          <cell r="K946" t="str">
            <v>defsi</v>
          </cell>
        </row>
        <row r="947">
          <cell r="B947" t="b">
            <v>1</v>
          </cell>
          <cell r="E947" t="str">
            <v>Bicentenario</v>
          </cell>
          <cell r="H947" t="str">
            <v>rx</v>
          </cell>
          <cell r="J947" t="str">
            <v>bueno</v>
          </cell>
          <cell r="K947" t="str">
            <v>defsi</v>
          </cell>
        </row>
        <row r="948">
          <cell r="B948" t="b">
            <v>1</v>
          </cell>
          <cell r="E948" t="str">
            <v>Arroyo de las Canoas</v>
          </cell>
          <cell r="H948" t="str">
            <v>consulta_externa</v>
          </cell>
          <cell r="J948" t="str">
            <v>bueno</v>
          </cell>
          <cell r="K948" t="str">
            <v>probsi</v>
          </cell>
        </row>
        <row r="949">
          <cell r="B949" t="b">
            <v>1</v>
          </cell>
          <cell r="E949" t="str">
            <v>Arroyo de las Canoas</v>
          </cell>
          <cell r="H949" t="str">
            <v>consulta_externa</v>
          </cell>
          <cell r="J949" t="str">
            <v>bueno</v>
          </cell>
          <cell r="K949" t="str">
            <v>probsi</v>
          </cell>
        </row>
        <row r="950">
          <cell r="B950" t="b">
            <v>1</v>
          </cell>
          <cell r="E950" t="str">
            <v>Arroyo de las Canoas</v>
          </cell>
          <cell r="H950" t="str">
            <v>consulta_externa</v>
          </cell>
          <cell r="J950" t="str">
            <v>bueno</v>
          </cell>
          <cell r="K950" t="str">
            <v>probsi</v>
          </cell>
        </row>
        <row r="951">
          <cell r="B951" t="b">
            <v>1</v>
          </cell>
          <cell r="E951" t="str">
            <v>Arroyo de las Canoas</v>
          </cell>
          <cell r="H951" t="str">
            <v>consulta_externa</v>
          </cell>
          <cell r="J951" t="str">
            <v>bueno</v>
          </cell>
          <cell r="K951" t="str">
            <v>probsi</v>
          </cell>
        </row>
        <row r="952">
          <cell r="B952" t="b">
            <v>1</v>
          </cell>
          <cell r="E952" t="str">
            <v>Arroyo de las Canoas</v>
          </cell>
          <cell r="H952" t="str">
            <v>salud_oral</v>
          </cell>
          <cell r="J952" t="str">
            <v>bueno</v>
          </cell>
          <cell r="K952" t="str">
            <v>probsi</v>
          </cell>
        </row>
        <row r="953">
          <cell r="B953" t="b">
            <v>1</v>
          </cell>
          <cell r="E953" t="str">
            <v>Arroyo de las Canoas</v>
          </cell>
          <cell r="H953" t="str">
            <v>salud_oral</v>
          </cell>
          <cell r="J953" t="str">
            <v>bueno</v>
          </cell>
          <cell r="K953" t="str">
            <v>probsi</v>
          </cell>
        </row>
        <row r="954">
          <cell r="B954" t="b">
            <v>1</v>
          </cell>
          <cell r="E954" t="str">
            <v>Arroyo de las Canoas</v>
          </cell>
          <cell r="H954" t="str">
            <v>salud_oral</v>
          </cell>
          <cell r="J954" t="str">
            <v>bueno</v>
          </cell>
          <cell r="K954" t="str">
            <v>probsi</v>
          </cell>
        </row>
        <row r="955">
          <cell r="B955" t="b">
            <v>1</v>
          </cell>
          <cell r="E955" t="str">
            <v>Arroyo de las Canoas</v>
          </cell>
          <cell r="H955" t="str">
            <v>salud_oral</v>
          </cell>
          <cell r="J955" t="str">
            <v>bueno</v>
          </cell>
          <cell r="K955" t="str">
            <v>probsi</v>
          </cell>
        </row>
        <row r="956">
          <cell r="B956" t="b">
            <v>1</v>
          </cell>
          <cell r="E956" t="str">
            <v>Arroyo de las Canoas</v>
          </cell>
          <cell r="H956" t="str">
            <v>laboratorio</v>
          </cell>
          <cell r="J956" t="str">
            <v>bueno</v>
          </cell>
          <cell r="K956" t="str">
            <v>probsi</v>
          </cell>
        </row>
        <row r="957">
          <cell r="B957" t="b">
            <v>1</v>
          </cell>
          <cell r="E957" t="str">
            <v>Arroyo de las Canoas</v>
          </cell>
          <cell r="H957" t="str">
            <v>laboratorio</v>
          </cell>
          <cell r="J957" t="str">
            <v>bueno</v>
          </cell>
          <cell r="K957" t="str">
            <v>probsi</v>
          </cell>
        </row>
        <row r="958">
          <cell r="B958" t="b">
            <v>1</v>
          </cell>
          <cell r="E958" t="str">
            <v>Arroyo de las Canoas</v>
          </cell>
          <cell r="H958" t="str">
            <v>laboratorio</v>
          </cell>
          <cell r="J958" t="str">
            <v>bueno</v>
          </cell>
          <cell r="K958" t="str">
            <v>probsi</v>
          </cell>
        </row>
        <row r="959">
          <cell r="B959" t="b">
            <v>1</v>
          </cell>
          <cell r="E959" t="str">
            <v>Arroyo de las Canoas</v>
          </cell>
          <cell r="H959" t="str">
            <v>laboratorio</v>
          </cell>
          <cell r="J959" t="str">
            <v>bueno</v>
          </cell>
          <cell r="K959" t="str">
            <v>probsi</v>
          </cell>
        </row>
        <row r="960">
          <cell r="B960" t="b">
            <v>1</v>
          </cell>
          <cell r="E960" t="str">
            <v>Arroyo de las Canoas</v>
          </cell>
          <cell r="H960" t="str">
            <v>laboratorio</v>
          </cell>
          <cell r="J960" t="str">
            <v>bueno</v>
          </cell>
          <cell r="K960" t="str">
            <v>probsi</v>
          </cell>
        </row>
        <row r="961">
          <cell r="B961" t="b">
            <v>1</v>
          </cell>
          <cell r="E961" t="str">
            <v>Bicentenario</v>
          </cell>
          <cell r="H961" t="str">
            <v>consulta_externa</v>
          </cell>
          <cell r="J961" t="str">
            <v>bueno</v>
          </cell>
          <cell r="K961" t="str">
            <v>defsi</v>
          </cell>
        </row>
        <row r="962">
          <cell r="B962" t="b">
            <v>1</v>
          </cell>
          <cell r="E962" t="str">
            <v>Bicentenario</v>
          </cell>
          <cell r="H962" t="str">
            <v>salud_oral</v>
          </cell>
          <cell r="J962" t="str">
            <v>bueno</v>
          </cell>
          <cell r="K962" t="str">
            <v>defsi</v>
          </cell>
        </row>
        <row r="963">
          <cell r="B963" t="b">
            <v>1</v>
          </cell>
          <cell r="E963" t="str">
            <v>Bicentenario</v>
          </cell>
          <cell r="H963" t="str">
            <v>laboratorio</v>
          </cell>
          <cell r="J963" t="str">
            <v>bueno</v>
          </cell>
          <cell r="K963" t="str">
            <v>defsi</v>
          </cell>
        </row>
        <row r="964">
          <cell r="B964" t="b">
            <v>1</v>
          </cell>
          <cell r="E964" t="str">
            <v>Bicentenario</v>
          </cell>
          <cell r="H964" t="str">
            <v>urgencia</v>
          </cell>
          <cell r="J964" t="str">
            <v>bueno</v>
          </cell>
          <cell r="K964" t="str">
            <v>defsi</v>
          </cell>
        </row>
        <row r="965">
          <cell r="B965" t="b">
            <v>1</v>
          </cell>
          <cell r="E965" t="str">
            <v>Bicentenario</v>
          </cell>
          <cell r="H965" t="str">
            <v>rx</v>
          </cell>
          <cell r="J965" t="str">
            <v>bueno</v>
          </cell>
          <cell r="K965" t="str">
            <v>defsi</v>
          </cell>
        </row>
        <row r="966">
          <cell r="B966" t="b">
            <v>1</v>
          </cell>
          <cell r="E966" t="str">
            <v>Bicentenario</v>
          </cell>
          <cell r="H966" t="str">
            <v>consulta_externa</v>
          </cell>
          <cell r="J966" t="str">
            <v>bueno</v>
          </cell>
          <cell r="K966" t="str">
            <v>defsi</v>
          </cell>
        </row>
        <row r="967">
          <cell r="B967" t="b">
            <v>1</v>
          </cell>
          <cell r="E967" t="str">
            <v>Bicentenario</v>
          </cell>
          <cell r="H967" t="str">
            <v>salud_oral</v>
          </cell>
          <cell r="J967" t="str">
            <v>bueno</v>
          </cell>
          <cell r="K967" t="str">
            <v>defsi</v>
          </cell>
        </row>
        <row r="968">
          <cell r="B968" t="b">
            <v>1</v>
          </cell>
          <cell r="E968" t="str">
            <v>Bicentenario</v>
          </cell>
          <cell r="H968" t="str">
            <v>laboratorio</v>
          </cell>
          <cell r="J968" t="str">
            <v>bueno</v>
          </cell>
          <cell r="K968" t="str">
            <v>defsi</v>
          </cell>
        </row>
        <row r="969">
          <cell r="B969" t="b">
            <v>1</v>
          </cell>
          <cell r="E969" t="str">
            <v>Bicentenario</v>
          </cell>
          <cell r="H969" t="str">
            <v>urgencia</v>
          </cell>
          <cell r="J969" t="str">
            <v>bueno</v>
          </cell>
          <cell r="K969" t="str">
            <v>defsi</v>
          </cell>
        </row>
        <row r="970">
          <cell r="B970" t="b">
            <v>1</v>
          </cell>
          <cell r="E970" t="str">
            <v>Bicentenario</v>
          </cell>
          <cell r="H970" t="str">
            <v>rx</v>
          </cell>
          <cell r="J970" t="str">
            <v>bueno</v>
          </cell>
          <cell r="K970" t="str">
            <v>defsi</v>
          </cell>
        </row>
        <row r="971">
          <cell r="B971" t="b">
            <v>1</v>
          </cell>
          <cell r="E971" t="str">
            <v>Bicentenario</v>
          </cell>
          <cell r="H971" t="str">
            <v>consulta_externa</v>
          </cell>
          <cell r="J971" t="str">
            <v>bueno</v>
          </cell>
          <cell r="K971" t="str">
            <v>defsi</v>
          </cell>
        </row>
        <row r="972">
          <cell r="B972" t="b">
            <v>1</v>
          </cell>
          <cell r="E972" t="str">
            <v>Bicentenario</v>
          </cell>
          <cell r="H972" t="str">
            <v>salud_oral</v>
          </cell>
          <cell r="J972" t="str">
            <v>bueno</v>
          </cell>
          <cell r="K972" t="str">
            <v>defsi</v>
          </cell>
        </row>
        <row r="973">
          <cell r="B973" t="b">
            <v>1</v>
          </cell>
          <cell r="E973" t="str">
            <v>Bicentenario</v>
          </cell>
          <cell r="H973" t="str">
            <v>laboratorio</v>
          </cell>
          <cell r="J973" t="str">
            <v>bueno</v>
          </cell>
          <cell r="K973" t="str">
            <v>defsi</v>
          </cell>
        </row>
        <row r="974">
          <cell r="B974" t="b">
            <v>1</v>
          </cell>
          <cell r="E974" t="str">
            <v>Bicentenario</v>
          </cell>
          <cell r="H974" t="str">
            <v>urgencia</v>
          </cell>
          <cell r="J974" t="str">
            <v>bueno</v>
          </cell>
          <cell r="K974" t="str">
            <v>defsi</v>
          </cell>
        </row>
        <row r="975">
          <cell r="B975" t="b">
            <v>1</v>
          </cell>
          <cell r="E975" t="str">
            <v>Bicentenario</v>
          </cell>
          <cell r="H975" t="str">
            <v>rx</v>
          </cell>
          <cell r="J975" t="str">
            <v>bueno</v>
          </cell>
          <cell r="K975" t="str">
            <v>defsi</v>
          </cell>
        </row>
        <row r="976">
          <cell r="B976" t="b">
            <v>1</v>
          </cell>
          <cell r="E976" t="str">
            <v>Bicentenario</v>
          </cell>
          <cell r="H976" t="str">
            <v>consulta_externa</v>
          </cell>
          <cell r="J976" t="str">
            <v>bueno</v>
          </cell>
          <cell r="K976" t="str">
            <v>defsi</v>
          </cell>
        </row>
        <row r="977">
          <cell r="B977" t="b">
            <v>1</v>
          </cell>
          <cell r="E977" t="str">
            <v>Bicentenario</v>
          </cell>
          <cell r="H977" t="str">
            <v>salud_oral</v>
          </cell>
          <cell r="J977" t="str">
            <v>bueno</v>
          </cell>
          <cell r="K977" t="str">
            <v>defsi</v>
          </cell>
        </row>
        <row r="978">
          <cell r="B978" t="b">
            <v>1</v>
          </cell>
          <cell r="E978" t="str">
            <v>Bicentenario</v>
          </cell>
          <cell r="H978" t="str">
            <v>laboratorio</v>
          </cell>
          <cell r="J978" t="str">
            <v>bueno</v>
          </cell>
          <cell r="K978" t="str">
            <v>defsi</v>
          </cell>
        </row>
        <row r="979">
          <cell r="B979" t="b">
            <v>1</v>
          </cell>
          <cell r="E979" t="str">
            <v>Bicentenario</v>
          </cell>
          <cell r="H979" t="str">
            <v>urgencia</v>
          </cell>
          <cell r="J979" t="str">
            <v>bueno</v>
          </cell>
          <cell r="K979" t="str">
            <v>defsi</v>
          </cell>
        </row>
        <row r="980">
          <cell r="B980" t="b">
            <v>1</v>
          </cell>
          <cell r="E980" t="str">
            <v>Bicentenario</v>
          </cell>
          <cell r="H980" t="str">
            <v>rx</v>
          </cell>
          <cell r="J980" t="str">
            <v>bueno</v>
          </cell>
          <cell r="K980" t="str">
            <v>defsi</v>
          </cell>
        </row>
        <row r="981">
          <cell r="B981" t="b">
            <v>1</v>
          </cell>
          <cell r="E981" t="str">
            <v>Bicentenario</v>
          </cell>
          <cell r="H981" t="str">
            <v>consulta_externa</v>
          </cell>
          <cell r="J981" t="str">
            <v>bueno</v>
          </cell>
          <cell r="K981" t="str">
            <v>defsi</v>
          </cell>
        </row>
        <row r="982">
          <cell r="B982" t="b">
            <v>1</v>
          </cell>
          <cell r="E982" t="str">
            <v>Bicentenario</v>
          </cell>
          <cell r="H982" t="str">
            <v>salud_oral</v>
          </cell>
          <cell r="J982" t="str">
            <v>bueno</v>
          </cell>
          <cell r="K982" t="str">
            <v>defsi</v>
          </cell>
        </row>
        <row r="983">
          <cell r="B983" t="b">
            <v>1</v>
          </cell>
          <cell r="E983" t="str">
            <v>Bicentenario</v>
          </cell>
          <cell r="H983" t="str">
            <v>laboratorio</v>
          </cell>
          <cell r="J983" t="str">
            <v>bueno</v>
          </cell>
          <cell r="K983" t="str">
            <v>defsi</v>
          </cell>
        </row>
        <row r="984">
          <cell r="B984" t="b">
            <v>1</v>
          </cell>
          <cell r="E984" t="str">
            <v>Bicentenario</v>
          </cell>
          <cell r="H984" t="str">
            <v>urgencia</v>
          </cell>
          <cell r="J984" t="str">
            <v>bueno</v>
          </cell>
          <cell r="K984" t="str">
            <v>defsi</v>
          </cell>
        </row>
        <row r="985">
          <cell r="B985" t="b">
            <v>1</v>
          </cell>
          <cell r="E985" t="str">
            <v>Arroyo de Piedra</v>
          </cell>
          <cell r="H985" t="str">
            <v>consulta_externa</v>
          </cell>
          <cell r="J985" t="str">
            <v>bueno</v>
          </cell>
          <cell r="K985" t="str">
            <v>probsi</v>
          </cell>
        </row>
        <row r="986">
          <cell r="B986" t="b">
            <v>1</v>
          </cell>
          <cell r="E986" t="str">
            <v>Arroyo de Piedra</v>
          </cell>
          <cell r="H986" t="str">
            <v>consulta_externa</v>
          </cell>
          <cell r="J986" t="str">
            <v>bueno</v>
          </cell>
          <cell r="K986" t="str">
            <v>probsi</v>
          </cell>
        </row>
        <row r="987">
          <cell r="B987" t="b">
            <v>1</v>
          </cell>
          <cell r="E987" t="str">
            <v>Arroyo de Piedra</v>
          </cell>
          <cell r="H987" t="str">
            <v>consulta_externa</v>
          </cell>
          <cell r="J987" t="str">
            <v>bueno</v>
          </cell>
          <cell r="K987" t="str">
            <v>probsi</v>
          </cell>
        </row>
        <row r="988">
          <cell r="B988" t="b">
            <v>1</v>
          </cell>
          <cell r="E988" t="str">
            <v>Arroyo de Piedra</v>
          </cell>
          <cell r="H988" t="str">
            <v>consulta_externa</v>
          </cell>
          <cell r="J988" t="str">
            <v>bueno</v>
          </cell>
          <cell r="K988" t="str">
            <v>probsi</v>
          </cell>
        </row>
        <row r="989">
          <cell r="B989" t="b">
            <v>1</v>
          </cell>
          <cell r="E989" t="str">
            <v>Arroyo de Piedra</v>
          </cell>
          <cell r="H989" t="str">
            <v>consulta_externa</v>
          </cell>
          <cell r="J989" t="str">
            <v>bueno</v>
          </cell>
          <cell r="K989" t="str">
            <v>probsi</v>
          </cell>
        </row>
        <row r="990">
          <cell r="B990" t="b">
            <v>1</v>
          </cell>
          <cell r="E990" t="str">
            <v>Arroyo de Piedra</v>
          </cell>
          <cell r="H990" t="str">
            <v>consulta_externa</v>
          </cell>
          <cell r="J990" t="str">
            <v>bueno</v>
          </cell>
          <cell r="K990" t="str">
            <v>probsi</v>
          </cell>
        </row>
        <row r="991">
          <cell r="B991" t="b">
            <v>1</v>
          </cell>
          <cell r="E991" t="str">
            <v>Arroyo de Piedra</v>
          </cell>
          <cell r="H991" t="str">
            <v>consulta_externa</v>
          </cell>
          <cell r="J991" t="str">
            <v>bueno</v>
          </cell>
          <cell r="K991" t="str">
            <v>probsi</v>
          </cell>
        </row>
        <row r="992">
          <cell r="B992" t="b">
            <v>1</v>
          </cell>
          <cell r="E992" t="str">
            <v>Arroyo de Piedra</v>
          </cell>
          <cell r="H992" t="str">
            <v>salud_oral</v>
          </cell>
          <cell r="J992" t="str">
            <v>bueno</v>
          </cell>
          <cell r="K992" t="str">
            <v>probsi</v>
          </cell>
        </row>
        <row r="993">
          <cell r="B993" t="b">
            <v>1</v>
          </cell>
          <cell r="E993" t="str">
            <v>Arroyo de Piedra</v>
          </cell>
          <cell r="H993" t="str">
            <v>salud_oral</v>
          </cell>
          <cell r="J993" t="str">
            <v>bueno</v>
          </cell>
          <cell r="K993" t="str">
            <v>probsi</v>
          </cell>
        </row>
        <row r="994">
          <cell r="B994" t="b">
            <v>1</v>
          </cell>
          <cell r="E994" t="str">
            <v>Arroyo de Piedra</v>
          </cell>
          <cell r="H994" t="str">
            <v>salud_oral</v>
          </cell>
          <cell r="J994" t="str">
            <v>bueno</v>
          </cell>
          <cell r="K994" t="str">
            <v>probsi</v>
          </cell>
        </row>
        <row r="995">
          <cell r="B995" t="b">
            <v>1</v>
          </cell>
          <cell r="E995" t="str">
            <v>Arroyo de Piedra</v>
          </cell>
          <cell r="H995" t="str">
            <v>salud_oral</v>
          </cell>
          <cell r="J995" t="str">
            <v>bueno</v>
          </cell>
          <cell r="K995" t="str">
            <v>probsi</v>
          </cell>
        </row>
        <row r="996">
          <cell r="B996" t="b">
            <v>1</v>
          </cell>
          <cell r="E996" t="str">
            <v>Arroyo de Piedra</v>
          </cell>
          <cell r="H996" t="str">
            <v>salud_oral</v>
          </cell>
          <cell r="J996" t="str">
            <v>bueno</v>
          </cell>
          <cell r="K996" t="str">
            <v>probsi</v>
          </cell>
        </row>
        <row r="997">
          <cell r="B997" t="b">
            <v>1</v>
          </cell>
          <cell r="E997" t="str">
            <v>Arroyo de Piedra</v>
          </cell>
          <cell r="H997" t="str">
            <v>salud_oral</v>
          </cell>
          <cell r="J997" t="str">
            <v>bueno</v>
          </cell>
          <cell r="K997" t="str">
            <v>probsi</v>
          </cell>
        </row>
        <row r="998">
          <cell r="B998" t="b">
            <v>1</v>
          </cell>
          <cell r="E998" t="str">
            <v>Arroyo de Piedra</v>
          </cell>
          <cell r="H998" t="str">
            <v>salud_oral</v>
          </cell>
          <cell r="J998" t="str">
            <v>bueno</v>
          </cell>
          <cell r="K998" t="str">
            <v>probsi</v>
          </cell>
        </row>
        <row r="999">
          <cell r="B999" t="b">
            <v>1</v>
          </cell>
          <cell r="E999" t="str">
            <v>Arroyo de Piedra</v>
          </cell>
          <cell r="H999" t="str">
            <v>salud_oral</v>
          </cell>
          <cell r="J999" t="str">
            <v>bueno</v>
          </cell>
          <cell r="K999" t="str">
            <v>probsi</v>
          </cell>
        </row>
        <row r="1000">
          <cell r="B1000" t="b">
            <v>1</v>
          </cell>
          <cell r="E1000" t="str">
            <v>Arroyo de Piedra</v>
          </cell>
          <cell r="H1000" t="str">
            <v>salud_oral</v>
          </cell>
          <cell r="J1000" t="str">
            <v>bueno</v>
          </cell>
          <cell r="K1000" t="str">
            <v>probsi</v>
          </cell>
        </row>
        <row r="1001">
          <cell r="B1001" t="b">
            <v>1</v>
          </cell>
          <cell r="E1001" t="str">
            <v>Arroyo de Piedra</v>
          </cell>
          <cell r="H1001" t="str">
            <v>salud_oral</v>
          </cell>
          <cell r="J1001" t="str">
            <v>bueno</v>
          </cell>
          <cell r="K1001" t="str">
            <v>probsi</v>
          </cell>
        </row>
        <row r="1002">
          <cell r="B1002" t="b">
            <v>1</v>
          </cell>
          <cell r="E1002" t="str">
            <v>Arroyo de Piedra</v>
          </cell>
          <cell r="H1002" t="str">
            <v>consulta_externa</v>
          </cell>
          <cell r="J1002" t="str">
            <v>bueno</v>
          </cell>
          <cell r="K1002" t="str">
            <v>probsi</v>
          </cell>
        </row>
        <row r="1003">
          <cell r="B1003" t="b">
            <v>1</v>
          </cell>
          <cell r="E1003" t="str">
            <v>Arroyo de Piedra</v>
          </cell>
          <cell r="H1003" t="str">
            <v>consulta_externa</v>
          </cell>
          <cell r="J1003" t="str">
            <v>bueno</v>
          </cell>
          <cell r="K1003" t="str">
            <v>probsi</v>
          </cell>
        </row>
        <row r="1004">
          <cell r="B1004" t="b">
            <v>1</v>
          </cell>
          <cell r="E1004" t="str">
            <v>Arroyo de Piedra</v>
          </cell>
          <cell r="H1004" t="str">
            <v>consulta_externa</v>
          </cell>
          <cell r="J1004" t="str">
            <v>bueno</v>
          </cell>
          <cell r="K1004" t="str">
            <v>probsi</v>
          </cell>
        </row>
        <row r="1005">
          <cell r="B1005" t="b">
            <v>1</v>
          </cell>
          <cell r="E1005" t="str">
            <v>Arroyo de Piedra</v>
          </cell>
          <cell r="H1005" t="str">
            <v>laboratorio</v>
          </cell>
          <cell r="J1005" t="str">
            <v>bueno</v>
          </cell>
          <cell r="K1005" t="str">
            <v>probsi</v>
          </cell>
        </row>
        <row r="1006">
          <cell r="B1006" t="b">
            <v>1</v>
          </cell>
          <cell r="E1006" t="str">
            <v>Arroyo de Piedra</v>
          </cell>
          <cell r="H1006" t="str">
            <v>laboratorio</v>
          </cell>
          <cell r="J1006" t="str">
            <v>bueno</v>
          </cell>
          <cell r="K1006" t="str">
            <v>probsi</v>
          </cell>
        </row>
        <row r="1007">
          <cell r="B1007" t="b">
            <v>1</v>
          </cell>
          <cell r="E1007" t="str">
            <v>Arroyo de Piedra</v>
          </cell>
          <cell r="H1007" t="str">
            <v>laboratorio</v>
          </cell>
          <cell r="J1007" t="str">
            <v>bueno</v>
          </cell>
          <cell r="K1007" t="str">
            <v>probsi</v>
          </cell>
        </row>
        <row r="1008">
          <cell r="B1008" t="b">
            <v>1</v>
          </cell>
          <cell r="E1008" t="str">
            <v>Arroyo de Piedra</v>
          </cell>
          <cell r="H1008" t="str">
            <v>laboratorio</v>
          </cell>
          <cell r="J1008" t="str">
            <v>bueno</v>
          </cell>
          <cell r="K1008" t="str">
            <v>probsi</v>
          </cell>
        </row>
        <row r="1009">
          <cell r="B1009" t="b">
            <v>1</v>
          </cell>
          <cell r="E1009" t="str">
            <v>Arroyo de Piedra</v>
          </cell>
          <cell r="H1009" t="str">
            <v>laboratorio</v>
          </cell>
          <cell r="J1009" t="str">
            <v>bueno</v>
          </cell>
          <cell r="K1009" t="str">
            <v>probsi</v>
          </cell>
        </row>
        <row r="1010">
          <cell r="B1010" t="b">
            <v>1</v>
          </cell>
          <cell r="E1010" t="str">
            <v>Arroyo de Piedra</v>
          </cell>
          <cell r="H1010" t="str">
            <v>laboratorio</v>
          </cell>
          <cell r="J1010" t="str">
            <v>bueno</v>
          </cell>
          <cell r="K1010" t="str">
            <v>probsi</v>
          </cell>
        </row>
        <row r="1011">
          <cell r="B1011" t="b">
            <v>0</v>
          </cell>
          <cell r="E1011" t="str">
            <v>Arroyo de Piedra</v>
          </cell>
          <cell r="H1011" t="str">
            <v>laboratorio</v>
          </cell>
          <cell r="J1011" t="str">
            <v>regular</v>
          </cell>
          <cell r="K1011" t="str">
            <v>probsi</v>
          </cell>
        </row>
        <row r="1012">
          <cell r="B1012" t="b">
            <v>1</v>
          </cell>
          <cell r="E1012" t="str">
            <v>Tierra Baja</v>
          </cell>
          <cell r="H1012" t="str">
            <v>consulta_externa</v>
          </cell>
          <cell r="J1012" t="str">
            <v>bueno</v>
          </cell>
          <cell r="K1012" t="str">
            <v>probsi</v>
          </cell>
        </row>
        <row r="1013">
          <cell r="B1013" t="b">
            <v>1</v>
          </cell>
          <cell r="E1013" t="str">
            <v>Tierra Baja</v>
          </cell>
          <cell r="H1013" t="str">
            <v>consulta_externa</v>
          </cell>
          <cell r="J1013" t="str">
            <v>bueno</v>
          </cell>
          <cell r="K1013" t="str">
            <v>probsi</v>
          </cell>
        </row>
        <row r="1014">
          <cell r="B1014" t="b">
            <v>1</v>
          </cell>
          <cell r="E1014" t="str">
            <v>Tierra Baja</v>
          </cell>
          <cell r="H1014" t="str">
            <v>consulta_externa</v>
          </cell>
          <cell r="J1014" t="str">
            <v>bueno</v>
          </cell>
          <cell r="K1014" t="str">
            <v>probsi</v>
          </cell>
        </row>
        <row r="1015">
          <cell r="B1015" t="b">
            <v>1</v>
          </cell>
          <cell r="E1015" t="str">
            <v>Tierra Baja</v>
          </cell>
          <cell r="H1015" t="str">
            <v>consulta_externa</v>
          </cell>
          <cell r="J1015" t="str">
            <v>bueno</v>
          </cell>
          <cell r="K1015" t="str">
            <v>probsi</v>
          </cell>
        </row>
        <row r="1016">
          <cell r="B1016" t="b">
            <v>1</v>
          </cell>
          <cell r="E1016" t="str">
            <v>Tierra Baja</v>
          </cell>
          <cell r="H1016" t="str">
            <v>laboratorio</v>
          </cell>
          <cell r="J1016" t="str">
            <v>bueno</v>
          </cell>
          <cell r="K1016" t="str">
            <v>probsi</v>
          </cell>
        </row>
        <row r="1017">
          <cell r="B1017" t="b">
            <v>1</v>
          </cell>
          <cell r="E1017" t="str">
            <v>Tierra Baja</v>
          </cell>
          <cell r="H1017" t="str">
            <v>laboratorio</v>
          </cell>
          <cell r="J1017" t="str">
            <v>bueno</v>
          </cell>
          <cell r="K1017" t="str">
            <v>probsi</v>
          </cell>
        </row>
        <row r="1018">
          <cell r="B1018" t="b">
            <v>1</v>
          </cell>
          <cell r="E1018" t="str">
            <v>Tierra Baja</v>
          </cell>
          <cell r="H1018" t="str">
            <v>laboratorio</v>
          </cell>
          <cell r="J1018" t="str">
            <v>bueno</v>
          </cell>
          <cell r="K1018" t="str">
            <v>probsi</v>
          </cell>
        </row>
        <row r="1019">
          <cell r="B1019" t="b">
            <v>1</v>
          </cell>
          <cell r="E1019" t="str">
            <v>Tierra Baja</v>
          </cell>
          <cell r="H1019" t="str">
            <v>laboratorio</v>
          </cell>
          <cell r="J1019" t="str">
            <v>bueno</v>
          </cell>
          <cell r="K1019" t="str">
            <v>probsi</v>
          </cell>
        </row>
        <row r="1020">
          <cell r="B1020" t="b">
            <v>1</v>
          </cell>
          <cell r="E1020" t="str">
            <v>Tierra Baja</v>
          </cell>
          <cell r="H1020" t="str">
            <v>laboratorio</v>
          </cell>
          <cell r="J1020" t="str">
            <v>bueno</v>
          </cell>
          <cell r="K1020" t="str">
            <v>probsi</v>
          </cell>
        </row>
        <row r="1021">
          <cell r="B1021" t="b">
            <v>1</v>
          </cell>
          <cell r="E1021" t="str">
            <v>Tierra Baja</v>
          </cell>
          <cell r="H1021" t="str">
            <v>laboratorio</v>
          </cell>
          <cell r="J1021" t="str">
            <v>bueno</v>
          </cell>
          <cell r="K1021" t="str">
            <v>probsi</v>
          </cell>
        </row>
        <row r="1022">
          <cell r="B1022" t="b">
            <v>1</v>
          </cell>
          <cell r="E1022" t="str">
            <v>Tierra Baja</v>
          </cell>
          <cell r="H1022" t="str">
            <v>laboratorio</v>
          </cell>
          <cell r="J1022" t="str">
            <v>bueno</v>
          </cell>
          <cell r="K1022" t="str">
            <v>probsi</v>
          </cell>
        </row>
        <row r="1023">
          <cell r="B1023" t="b">
            <v>1</v>
          </cell>
          <cell r="E1023" t="str">
            <v>Tierra Baja</v>
          </cell>
          <cell r="H1023" t="str">
            <v>salud_oral</v>
          </cell>
          <cell r="J1023" t="str">
            <v>bueno</v>
          </cell>
          <cell r="K1023" t="str">
            <v>probsi</v>
          </cell>
        </row>
        <row r="1024">
          <cell r="B1024" t="b">
            <v>1</v>
          </cell>
          <cell r="E1024" t="str">
            <v>Tierra Baja</v>
          </cell>
          <cell r="H1024" t="str">
            <v>salud_oral</v>
          </cell>
          <cell r="J1024" t="str">
            <v>bueno</v>
          </cell>
          <cell r="K1024" t="str">
            <v>probsi</v>
          </cell>
        </row>
        <row r="1025">
          <cell r="B1025" t="b">
            <v>1</v>
          </cell>
          <cell r="E1025" t="str">
            <v>Tierra Baja</v>
          </cell>
          <cell r="H1025" t="str">
            <v>salud_oral</v>
          </cell>
          <cell r="J1025" t="str">
            <v>bueno</v>
          </cell>
          <cell r="K1025" t="str">
            <v>probsi</v>
          </cell>
        </row>
        <row r="1026">
          <cell r="B1026" t="b">
            <v>1</v>
          </cell>
          <cell r="E1026" t="str">
            <v>Tierra Baja</v>
          </cell>
          <cell r="H1026" t="str">
            <v>salud_oral</v>
          </cell>
          <cell r="J1026" t="str">
            <v>bueno</v>
          </cell>
          <cell r="K1026" t="str">
            <v>probsi</v>
          </cell>
        </row>
        <row r="1027">
          <cell r="B1027" t="b">
            <v>1</v>
          </cell>
          <cell r="E1027" t="str">
            <v>Tierra Baja</v>
          </cell>
          <cell r="H1027" t="str">
            <v>salud_oral</v>
          </cell>
          <cell r="J1027" t="str">
            <v>bueno</v>
          </cell>
          <cell r="K1027" t="str">
            <v>probsi</v>
          </cell>
        </row>
        <row r="1028">
          <cell r="B1028" t="b">
            <v>1</v>
          </cell>
          <cell r="E1028" t="str">
            <v>Tierra Baja</v>
          </cell>
          <cell r="H1028" t="str">
            <v>salud_oral</v>
          </cell>
          <cell r="J1028" t="str">
            <v>bueno</v>
          </cell>
          <cell r="K1028" t="str">
            <v>probsi</v>
          </cell>
        </row>
        <row r="1029">
          <cell r="B1029" t="b">
            <v>1</v>
          </cell>
          <cell r="E1029" t="str">
            <v>Tierra Baja</v>
          </cell>
          <cell r="H1029" t="str">
            <v>salud_oral</v>
          </cell>
          <cell r="J1029" t="str">
            <v>bueno</v>
          </cell>
          <cell r="K1029" t="str">
            <v>probsi</v>
          </cell>
        </row>
        <row r="1030">
          <cell r="B1030" t="b">
            <v>1</v>
          </cell>
          <cell r="E1030" t="str">
            <v>Tierra Baja</v>
          </cell>
          <cell r="H1030" t="str">
            <v>salud_oral</v>
          </cell>
          <cell r="J1030" t="str">
            <v>bueno</v>
          </cell>
          <cell r="K1030" t="str">
            <v>probsi</v>
          </cell>
        </row>
        <row r="1031">
          <cell r="B1031" t="b">
            <v>1</v>
          </cell>
          <cell r="E1031" t="str">
            <v>Tierra Baja</v>
          </cell>
          <cell r="H1031" t="str">
            <v>salud_oral</v>
          </cell>
          <cell r="J1031" t="str">
            <v>bueno</v>
          </cell>
          <cell r="K1031" t="str">
            <v>probsi</v>
          </cell>
        </row>
        <row r="1032">
          <cell r="B1032" t="b">
            <v>1</v>
          </cell>
          <cell r="E1032" t="str">
            <v>Tierra Baja</v>
          </cell>
          <cell r="H1032" t="str">
            <v>salud_oral</v>
          </cell>
          <cell r="J1032" t="str">
            <v>bueno</v>
          </cell>
          <cell r="K1032" t="str">
            <v>probsi</v>
          </cell>
        </row>
        <row r="1033">
          <cell r="B1033" t="b">
            <v>1</v>
          </cell>
          <cell r="E1033" t="str">
            <v>Tierra Baja</v>
          </cell>
          <cell r="H1033" t="str">
            <v>salud_oral</v>
          </cell>
          <cell r="J1033" t="str">
            <v>bueno</v>
          </cell>
          <cell r="K1033" t="str">
            <v>probsi</v>
          </cell>
        </row>
        <row r="1034">
          <cell r="B1034" t="b">
            <v>1</v>
          </cell>
          <cell r="E1034" t="str">
            <v>Tierra Baja</v>
          </cell>
          <cell r="H1034" t="str">
            <v>salud_oral</v>
          </cell>
          <cell r="J1034" t="str">
            <v>bueno</v>
          </cell>
          <cell r="K1034" t="str">
            <v>probsi</v>
          </cell>
        </row>
        <row r="1035">
          <cell r="B1035" t="b">
            <v>1</v>
          </cell>
          <cell r="E1035" t="str">
            <v>Tierra Baja</v>
          </cell>
          <cell r="H1035" t="str">
            <v>salud_oral</v>
          </cell>
          <cell r="J1035" t="str">
            <v>bueno</v>
          </cell>
          <cell r="K1035" t="str">
            <v>probsi</v>
          </cell>
        </row>
        <row r="1036">
          <cell r="B1036" t="b">
            <v>1</v>
          </cell>
          <cell r="E1036" t="str">
            <v>Tierra Baja</v>
          </cell>
          <cell r="H1036" t="str">
            <v>salud_oral</v>
          </cell>
          <cell r="J1036" t="str">
            <v>bueno</v>
          </cell>
          <cell r="K1036" t="str">
            <v>probsi</v>
          </cell>
        </row>
        <row r="1037">
          <cell r="B1037" t="b">
            <v>1</v>
          </cell>
          <cell r="E1037" t="str">
            <v>Tierra Baja</v>
          </cell>
          <cell r="H1037" t="str">
            <v>salud_oral</v>
          </cell>
          <cell r="J1037" t="str">
            <v>bueno</v>
          </cell>
          <cell r="K1037" t="str">
            <v>probsi</v>
          </cell>
        </row>
        <row r="1038">
          <cell r="B1038" t="b">
            <v>1</v>
          </cell>
          <cell r="E1038" t="str">
            <v>Tierra Baja</v>
          </cell>
          <cell r="H1038" t="str">
            <v>salud_oral</v>
          </cell>
          <cell r="J1038" t="str">
            <v>bueno</v>
          </cell>
          <cell r="K1038" t="str">
            <v>probsi</v>
          </cell>
        </row>
        <row r="1039">
          <cell r="B1039" t="b">
            <v>1</v>
          </cell>
          <cell r="E1039" t="str">
            <v>Tierra Baja</v>
          </cell>
          <cell r="H1039" t="str">
            <v>salud_oral</v>
          </cell>
          <cell r="J1039" t="str">
            <v>bueno</v>
          </cell>
          <cell r="K1039" t="str">
            <v>probsi</v>
          </cell>
        </row>
        <row r="1040">
          <cell r="B1040" t="b">
            <v>1</v>
          </cell>
          <cell r="E1040" t="str">
            <v>Blasdelezo</v>
          </cell>
          <cell r="H1040" t="str">
            <v>laboratorio</v>
          </cell>
          <cell r="J1040" t="str">
            <v>bueno</v>
          </cell>
          <cell r="K1040" t="str">
            <v>probsi</v>
          </cell>
        </row>
        <row r="1041">
          <cell r="B1041" t="b">
            <v>1</v>
          </cell>
          <cell r="E1041" t="str">
            <v>Blasdelezo</v>
          </cell>
          <cell r="H1041" t="str">
            <v>laboratorio</v>
          </cell>
          <cell r="J1041" t="str">
            <v>bueno</v>
          </cell>
          <cell r="K1041" t="str">
            <v>probsi</v>
          </cell>
        </row>
        <row r="1042">
          <cell r="B1042" t="b">
            <v>1</v>
          </cell>
          <cell r="E1042" t="str">
            <v>Blasdelezo</v>
          </cell>
          <cell r="H1042" t="str">
            <v>laboratorio</v>
          </cell>
          <cell r="J1042" t="str">
            <v>bueno</v>
          </cell>
          <cell r="K1042" t="str">
            <v>probsi</v>
          </cell>
        </row>
        <row r="1043">
          <cell r="B1043" t="b">
            <v>1</v>
          </cell>
          <cell r="E1043" t="str">
            <v>Blasdelezo</v>
          </cell>
          <cell r="H1043" t="str">
            <v>laboratorio</v>
          </cell>
          <cell r="J1043" t="str">
            <v>bueno</v>
          </cell>
          <cell r="K1043" t="str">
            <v>probsi</v>
          </cell>
        </row>
        <row r="1044">
          <cell r="B1044" t="b">
            <v>1</v>
          </cell>
          <cell r="E1044" t="str">
            <v>Blasdelezo</v>
          </cell>
          <cell r="H1044" t="str">
            <v>laboratorio</v>
          </cell>
          <cell r="J1044" t="str">
            <v>bueno</v>
          </cell>
          <cell r="K1044" t="str">
            <v>probsi</v>
          </cell>
        </row>
        <row r="1045">
          <cell r="B1045" t="b">
            <v>1</v>
          </cell>
          <cell r="E1045" t="str">
            <v>Blasdelezo</v>
          </cell>
          <cell r="H1045" t="str">
            <v>laboratorio</v>
          </cell>
          <cell r="J1045" t="str">
            <v>bueno</v>
          </cell>
          <cell r="K1045" t="str">
            <v>probsi</v>
          </cell>
        </row>
        <row r="1046">
          <cell r="B1046" t="b">
            <v>1</v>
          </cell>
          <cell r="E1046" t="str">
            <v>Blasdelezo</v>
          </cell>
          <cell r="H1046" t="str">
            <v>laboratorio</v>
          </cell>
          <cell r="J1046" t="str">
            <v>bueno</v>
          </cell>
          <cell r="K1046" t="str">
            <v>probsi</v>
          </cell>
        </row>
        <row r="1047">
          <cell r="B1047" t="b">
            <v>1</v>
          </cell>
          <cell r="E1047" t="str">
            <v>Blasdelezo</v>
          </cell>
          <cell r="H1047" t="str">
            <v>laboratorio</v>
          </cell>
          <cell r="J1047" t="str">
            <v>bueno</v>
          </cell>
          <cell r="K1047" t="str">
            <v>probsi</v>
          </cell>
        </row>
        <row r="1048">
          <cell r="B1048" t="b">
            <v>1</v>
          </cell>
          <cell r="E1048" t="str">
            <v>Blasdelezo</v>
          </cell>
          <cell r="H1048" t="str">
            <v>laboratorio</v>
          </cell>
          <cell r="J1048" t="str">
            <v>bueno</v>
          </cell>
          <cell r="K1048" t="str">
            <v>probsi</v>
          </cell>
        </row>
        <row r="1049">
          <cell r="B1049" t="b">
            <v>1</v>
          </cell>
          <cell r="E1049" t="str">
            <v>Blasdelezo</v>
          </cell>
          <cell r="H1049" t="str">
            <v>laboratorio</v>
          </cell>
          <cell r="J1049" t="str">
            <v>bueno</v>
          </cell>
          <cell r="K1049" t="str">
            <v>probsi</v>
          </cell>
        </row>
        <row r="1050">
          <cell r="B1050" t="b">
            <v>1</v>
          </cell>
          <cell r="E1050" t="str">
            <v>Blasdelezo</v>
          </cell>
          <cell r="H1050" t="str">
            <v>laboratorio</v>
          </cell>
          <cell r="J1050" t="str">
            <v>bueno</v>
          </cell>
          <cell r="K1050" t="str">
            <v>probsi</v>
          </cell>
        </row>
        <row r="1051">
          <cell r="B1051" t="b">
            <v>1</v>
          </cell>
          <cell r="E1051" t="str">
            <v>Blasdelezo</v>
          </cell>
          <cell r="H1051" t="str">
            <v>laboratorio</v>
          </cell>
          <cell r="J1051" t="str">
            <v>bueno</v>
          </cell>
          <cell r="K1051" t="str">
            <v>probsi</v>
          </cell>
        </row>
        <row r="1052">
          <cell r="B1052" t="b">
            <v>1</v>
          </cell>
          <cell r="E1052" t="str">
            <v>Blasdelezo</v>
          </cell>
          <cell r="H1052" t="str">
            <v>laboratorio</v>
          </cell>
          <cell r="J1052" t="str">
            <v>bueno</v>
          </cell>
          <cell r="K1052" t="str">
            <v>probsi</v>
          </cell>
        </row>
        <row r="1053">
          <cell r="B1053" t="b">
            <v>1</v>
          </cell>
          <cell r="E1053" t="str">
            <v>Blasdelezo</v>
          </cell>
          <cell r="H1053" t="str">
            <v>laboratorio</v>
          </cell>
          <cell r="J1053" t="str">
            <v>bueno</v>
          </cell>
          <cell r="K1053" t="str">
            <v>probsi</v>
          </cell>
        </row>
        <row r="1054">
          <cell r="B1054" t="b">
            <v>1</v>
          </cell>
          <cell r="E1054" t="str">
            <v>Blasdelezo</v>
          </cell>
          <cell r="H1054" t="str">
            <v>laboratorio</v>
          </cell>
          <cell r="J1054" t="str">
            <v>bueno</v>
          </cell>
          <cell r="K1054" t="str">
            <v>probsi</v>
          </cell>
        </row>
        <row r="1055">
          <cell r="B1055" t="b">
            <v>1</v>
          </cell>
          <cell r="E1055" t="str">
            <v>Blasdelezo</v>
          </cell>
          <cell r="H1055" t="str">
            <v>laboratorio</v>
          </cell>
          <cell r="J1055" t="str">
            <v>bueno</v>
          </cell>
          <cell r="K1055" t="str">
            <v>probsi</v>
          </cell>
        </row>
        <row r="1056">
          <cell r="B1056" t="b">
            <v>1</v>
          </cell>
          <cell r="E1056" t="str">
            <v>Blasdelezo</v>
          </cell>
          <cell r="H1056" t="str">
            <v>laboratorio</v>
          </cell>
          <cell r="J1056" t="str">
            <v>bueno</v>
          </cell>
          <cell r="K1056" t="str">
            <v>probsi</v>
          </cell>
        </row>
        <row r="1057">
          <cell r="B1057" t="b">
            <v>1</v>
          </cell>
          <cell r="E1057" t="str">
            <v>Blasdelezo</v>
          </cell>
          <cell r="H1057" t="str">
            <v>laboratorio</v>
          </cell>
          <cell r="J1057" t="str">
            <v>bueno</v>
          </cell>
          <cell r="K1057" t="str">
            <v>probsi</v>
          </cell>
        </row>
        <row r="1058">
          <cell r="B1058" t="b">
            <v>1</v>
          </cell>
          <cell r="E1058" t="str">
            <v>Blasdelezo</v>
          </cell>
          <cell r="H1058" t="str">
            <v>laboratorio</v>
          </cell>
          <cell r="J1058" t="str">
            <v>bueno</v>
          </cell>
          <cell r="K1058" t="str">
            <v>probsi</v>
          </cell>
        </row>
        <row r="1059">
          <cell r="B1059" t="b">
            <v>1</v>
          </cell>
          <cell r="E1059" t="str">
            <v>Blasdelezo</v>
          </cell>
          <cell r="H1059" t="str">
            <v>laboratorio</v>
          </cell>
          <cell r="J1059" t="str">
            <v>bueno</v>
          </cell>
          <cell r="K1059" t="str">
            <v>probsi</v>
          </cell>
        </row>
        <row r="1060">
          <cell r="B1060" t="b">
            <v>1</v>
          </cell>
          <cell r="E1060" t="str">
            <v>Hospital Pozon</v>
          </cell>
          <cell r="H1060" t="str">
            <v>consulta_externa</v>
          </cell>
          <cell r="J1060" t="str">
            <v>bueno</v>
          </cell>
          <cell r="K1060" t="str">
            <v>defsi</v>
          </cell>
        </row>
        <row r="1061">
          <cell r="B1061" t="b">
            <v>1</v>
          </cell>
          <cell r="E1061" t="str">
            <v>Hospital Pozon</v>
          </cell>
          <cell r="H1061" t="str">
            <v>salud_oral</v>
          </cell>
          <cell r="J1061" t="str">
            <v>bueno</v>
          </cell>
          <cell r="K1061" t="str">
            <v>defsi</v>
          </cell>
        </row>
        <row r="1062">
          <cell r="B1062" t="b">
            <v>1</v>
          </cell>
          <cell r="E1062" t="str">
            <v>Hospital Pozon</v>
          </cell>
          <cell r="H1062" t="str">
            <v>laboratorio</v>
          </cell>
          <cell r="J1062" t="str">
            <v>bueno</v>
          </cell>
          <cell r="K1062" t="str">
            <v>defsi</v>
          </cell>
        </row>
        <row r="1063">
          <cell r="B1063" t="b">
            <v>1</v>
          </cell>
          <cell r="E1063" t="str">
            <v>Hospital Pozon</v>
          </cell>
          <cell r="H1063" t="str">
            <v>urgencia</v>
          </cell>
          <cell r="J1063" t="str">
            <v>bueno</v>
          </cell>
          <cell r="K1063" t="str">
            <v>defsi</v>
          </cell>
        </row>
        <row r="1064">
          <cell r="B1064" t="b">
            <v>1</v>
          </cell>
          <cell r="E1064" t="str">
            <v>Hospital Pozon</v>
          </cell>
          <cell r="H1064" t="str">
            <v>ginecologia</v>
          </cell>
          <cell r="J1064" t="str">
            <v>bueno</v>
          </cell>
          <cell r="K1064" t="str">
            <v>defsi</v>
          </cell>
        </row>
        <row r="1065">
          <cell r="B1065" t="b">
            <v>1</v>
          </cell>
          <cell r="E1065" t="str">
            <v>Hospital Pozon</v>
          </cell>
          <cell r="H1065" t="str">
            <v>pediatria</v>
          </cell>
          <cell r="J1065" t="str">
            <v>bueno</v>
          </cell>
          <cell r="K1065" t="str">
            <v>defsi</v>
          </cell>
        </row>
        <row r="1066">
          <cell r="B1066" t="b">
            <v>1</v>
          </cell>
          <cell r="E1066" t="str">
            <v>Hospital Pozon</v>
          </cell>
          <cell r="H1066" t="str">
            <v>rx</v>
          </cell>
          <cell r="J1066" t="str">
            <v>bueno</v>
          </cell>
          <cell r="K1066" t="str">
            <v>defsi</v>
          </cell>
        </row>
        <row r="1067">
          <cell r="B1067" t="b">
            <v>1</v>
          </cell>
          <cell r="E1067" t="str">
            <v>Hospital Pozon</v>
          </cell>
          <cell r="H1067" t="str">
            <v>consulta_externa</v>
          </cell>
          <cell r="J1067" t="str">
            <v>bueno</v>
          </cell>
          <cell r="K1067" t="str">
            <v>defsi</v>
          </cell>
        </row>
        <row r="1068">
          <cell r="B1068" t="b">
            <v>1</v>
          </cell>
          <cell r="E1068" t="str">
            <v>Hospital Pozon</v>
          </cell>
          <cell r="H1068" t="str">
            <v>salud_oral</v>
          </cell>
          <cell r="J1068" t="str">
            <v>bueno</v>
          </cell>
          <cell r="K1068" t="str">
            <v>defsi</v>
          </cell>
        </row>
        <row r="1069">
          <cell r="B1069" t="b">
            <v>1</v>
          </cell>
          <cell r="E1069" t="str">
            <v>Hospital Pozon</v>
          </cell>
          <cell r="H1069" t="str">
            <v>laboratorio</v>
          </cell>
          <cell r="J1069" t="str">
            <v>bueno</v>
          </cell>
          <cell r="K1069" t="str">
            <v>defsi</v>
          </cell>
        </row>
        <row r="1070">
          <cell r="B1070" t="b">
            <v>1</v>
          </cell>
          <cell r="E1070" t="str">
            <v>Hospital Pozon</v>
          </cell>
          <cell r="H1070" t="str">
            <v>urgencia</v>
          </cell>
          <cell r="J1070" t="str">
            <v>bueno</v>
          </cell>
          <cell r="K1070" t="str">
            <v>defsi</v>
          </cell>
        </row>
        <row r="1071">
          <cell r="B1071" t="b">
            <v>1</v>
          </cell>
          <cell r="E1071" t="str">
            <v>Hospital Pozon</v>
          </cell>
          <cell r="H1071" t="str">
            <v>rx</v>
          </cell>
          <cell r="J1071" t="str">
            <v>bueno</v>
          </cell>
          <cell r="K1071" t="str">
            <v>defsi</v>
          </cell>
        </row>
        <row r="1072">
          <cell r="B1072" t="b">
            <v>1</v>
          </cell>
          <cell r="E1072" t="str">
            <v>Hospital Pozon</v>
          </cell>
          <cell r="H1072" t="str">
            <v>ginecologia</v>
          </cell>
          <cell r="J1072" t="str">
            <v>bueno</v>
          </cell>
          <cell r="K1072" t="str">
            <v>defsi</v>
          </cell>
        </row>
        <row r="1073">
          <cell r="B1073" t="b">
            <v>1</v>
          </cell>
          <cell r="E1073" t="str">
            <v>Hospital Pozon</v>
          </cell>
          <cell r="H1073" t="str">
            <v>pediatria</v>
          </cell>
          <cell r="J1073" t="str">
            <v>bueno</v>
          </cell>
          <cell r="K1073" t="str">
            <v>defsi</v>
          </cell>
        </row>
        <row r="1074">
          <cell r="B1074" t="b">
            <v>1</v>
          </cell>
          <cell r="E1074" t="str">
            <v>Hospital Pozon</v>
          </cell>
          <cell r="H1074" t="str">
            <v>consulta_externa</v>
          </cell>
          <cell r="J1074" t="str">
            <v>bueno</v>
          </cell>
          <cell r="K1074" t="str">
            <v>defsi</v>
          </cell>
        </row>
        <row r="1075">
          <cell r="B1075" t="b">
            <v>1</v>
          </cell>
          <cell r="E1075" t="str">
            <v>Hospital Pozon</v>
          </cell>
          <cell r="H1075" t="str">
            <v>laboratorio</v>
          </cell>
          <cell r="J1075" t="str">
            <v>bueno</v>
          </cell>
          <cell r="K1075" t="str">
            <v>defsi</v>
          </cell>
        </row>
        <row r="1076">
          <cell r="B1076" t="b">
            <v>1</v>
          </cell>
          <cell r="E1076" t="str">
            <v>Hospital Pozon</v>
          </cell>
          <cell r="H1076" t="str">
            <v>laboratorio</v>
          </cell>
          <cell r="J1076" t="str">
            <v>bueno</v>
          </cell>
          <cell r="K1076" t="str">
            <v>defsi</v>
          </cell>
        </row>
        <row r="1077">
          <cell r="B1077" t="b">
            <v>1</v>
          </cell>
          <cell r="E1077" t="str">
            <v>Hospital Pozon</v>
          </cell>
          <cell r="H1077" t="str">
            <v>urgencia</v>
          </cell>
          <cell r="J1077" t="str">
            <v>bueno</v>
          </cell>
          <cell r="K1077" t="str">
            <v>defsi</v>
          </cell>
        </row>
        <row r="1078">
          <cell r="B1078" t="b">
            <v>1</v>
          </cell>
          <cell r="E1078" t="str">
            <v>Hospital Pozon</v>
          </cell>
          <cell r="H1078" t="str">
            <v>rx</v>
          </cell>
          <cell r="J1078" t="str">
            <v>bueno</v>
          </cell>
          <cell r="K1078" t="str">
            <v>defsi</v>
          </cell>
        </row>
        <row r="1079">
          <cell r="B1079" t="b">
            <v>1</v>
          </cell>
          <cell r="E1079" t="str">
            <v>Hospital Pozon</v>
          </cell>
          <cell r="H1079" t="str">
            <v>ginecologia</v>
          </cell>
          <cell r="J1079" t="str">
            <v>bueno</v>
          </cell>
          <cell r="K1079" t="str">
            <v>defsi</v>
          </cell>
        </row>
        <row r="1080">
          <cell r="B1080" t="b">
            <v>1</v>
          </cell>
          <cell r="E1080" t="str">
            <v>Hospital Pozon</v>
          </cell>
          <cell r="H1080" t="str">
            <v>pediatria</v>
          </cell>
          <cell r="J1080" t="str">
            <v>bueno</v>
          </cell>
          <cell r="K1080" t="str">
            <v>defsi</v>
          </cell>
        </row>
        <row r="1081">
          <cell r="B1081" t="b">
            <v>1</v>
          </cell>
          <cell r="E1081" t="str">
            <v>Bosque</v>
          </cell>
          <cell r="H1081" t="str">
            <v>consulta_externa</v>
          </cell>
          <cell r="J1081" t="str">
            <v>bueno</v>
          </cell>
          <cell r="K1081" t="str">
            <v>probsi</v>
          </cell>
        </row>
        <row r="1082">
          <cell r="B1082" t="b">
            <v>1</v>
          </cell>
          <cell r="E1082" t="str">
            <v>Bosque</v>
          </cell>
          <cell r="H1082" t="str">
            <v>consulta_externa</v>
          </cell>
          <cell r="J1082" t="str">
            <v>bueno</v>
          </cell>
          <cell r="K1082" t="str">
            <v>probsi</v>
          </cell>
        </row>
        <row r="1083">
          <cell r="B1083" t="b">
            <v>1</v>
          </cell>
          <cell r="E1083" t="str">
            <v>Bosque</v>
          </cell>
          <cell r="H1083" t="str">
            <v>consulta_externa</v>
          </cell>
          <cell r="J1083" t="str">
            <v>bueno</v>
          </cell>
          <cell r="K1083" t="str">
            <v>probsi</v>
          </cell>
        </row>
        <row r="1084">
          <cell r="B1084" t="b">
            <v>1</v>
          </cell>
          <cell r="E1084" t="str">
            <v>Boston</v>
          </cell>
          <cell r="H1084" t="str">
            <v>consulta_externa</v>
          </cell>
          <cell r="J1084" t="str">
            <v>bueno</v>
          </cell>
          <cell r="K1084" t="str">
            <v>probsi</v>
          </cell>
        </row>
        <row r="1085">
          <cell r="B1085" t="b">
            <v>1</v>
          </cell>
          <cell r="E1085" t="str">
            <v>Boston</v>
          </cell>
          <cell r="H1085" t="str">
            <v>consulta_externa</v>
          </cell>
          <cell r="J1085" t="str">
            <v>bueno</v>
          </cell>
          <cell r="K1085" t="str">
            <v>probsi</v>
          </cell>
        </row>
        <row r="1086">
          <cell r="B1086" t="b">
            <v>1</v>
          </cell>
          <cell r="E1086" t="str">
            <v>Bosque</v>
          </cell>
          <cell r="H1086" t="str">
            <v>consulta_externa</v>
          </cell>
          <cell r="J1086" t="str">
            <v>bueno</v>
          </cell>
          <cell r="K1086" t="str">
            <v>probsi</v>
          </cell>
        </row>
        <row r="1087">
          <cell r="B1087" t="b">
            <v>1</v>
          </cell>
          <cell r="E1087" t="str">
            <v>Bosque</v>
          </cell>
          <cell r="H1087" t="str">
            <v>laboratorio</v>
          </cell>
          <cell r="J1087" t="str">
            <v>bueno</v>
          </cell>
          <cell r="K1087" t="str">
            <v>probsi</v>
          </cell>
        </row>
        <row r="1088">
          <cell r="B1088" t="b">
            <v>1</v>
          </cell>
          <cell r="E1088" t="str">
            <v>Bosque</v>
          </cell>
          <cell r="H1088" t="str">
            <v>laboratorio</v>
          </cell>
          <cell r="J1088" t="str">
            <v>bueno</v>
          </cell>
          <cell r="K1088" t="str">
            <v>probsi</v>
          </cell>
        </row>
        <row r="1089">
          <cell r="B1089" t="b">
            <v>1</v>
          </cell>
          <cell r="E1089" t="str">
            <v>Bosque</v>
          </cell>
          <cell r="H1089" t="str">
            <v>laboratorio</v>
          </cell>
          <cell r="J1089" t="str">
            <v>bueno</v>
          </cell>
          <cell r="K1089" t="str">
            <v>probsi</v>
          </cell>
        </row>
        <row r="1090">
          <cell r="B1090" t="b">
            <v>1</v>
          </cell>
          <cell r="E1090" t="str">
            <v>Bosque</v>
          </cell>
          <cell r="H1090" t="str">
            <v>laboratorio</v>
          </cell>
          <cell r="J1090" t="str">
            <v>bueno</v>
          </cell>
          <cell r="K1090" t="str">
            <v>probsi</v>
          </cell>
        </row>
        <row r="1091">
          <cell r="B1091" t="b">
            <v>1</v>
          </cell>
          <cell r="E1091" t="str">
            <v>Bosque</v>
          </cell>
          <cell r="H1091" t="str">
            <v>laboratorio</v>
          </cell>
          <cell r="J1091" t="str">
            <v>bueno</v>
          </cell>
          <cell r="K1091" t="str">
            <v>probsi</v>
          </cell>
        </row>
        <row r="1092">
          <cell r="B1092" t="b">
            <v>1</v>
          </cell>
          <cell r="E1092" t="str">
            <v>Bosque</v>
          </cell>
          <cell r="H1092" t="str">
            <v>laboratorio</v>
          </cell>
          <cell r="J1092" t="str">
            <v>bueno</v>
          </cell>
          <cell r="K1092" t="str">
            <v>probsi</v>
          </cell>
        </row>
        <row r="1093">
          <cell r="B1093" t="b">
            <v>1</v>
          </cell>
          <cell r="E1093" t="str">
            <v>Bosque</v>
          </cell>
          <cell r="H1093" t="str">
            <v>laboratorio</v>
          </cell>
          <cell r="J1093" t="str">
            <v>bueno</v>
          </cell>
          <cell r="K1093" t="str">
            <v>probsi</v>
          </cell>
        </row>
        <row r="1094">
          <cell r="B1094" t="b">
            <v>1</v>
          </cell>
          <cell r="E1094" t="str">
            <v>Bosque</v>
          </cell>
          <cell r="H1094" t="str">
            <v>laboratorio</v>
          </cell>
          <cell r="J1094" t="str">
            <v>bueno</v>
          </cell>
          <cell r="K1094" t="str">
            <v>probsi</v>
          </cell>
        </row>
        <row r="1095">
          <cell r="B1095" t="b">
            <v>1</v>
          </cell>
          <cell r="E1095" t="str">
            <v>Bosque</v>
          </cell>
          <cell r="H1095" t="str">
            <v>laboratorio</v>
          </cell>
          <cell r="J1095" t="str">
            <v>bueno</v>
          </cell>
          <cell r="K1095" t="str">
            <v>probsi</v>
          </cell>
        </row>
        <row r="1096">
          <cell r="B1096" t="b">
            <v>1</v>
          </cell>
          <cell r="E1096" t="str">
            <v>Bosque</v>
          </cell>
          <cell r="H1096" t="str">
            <v>laboratorio</v>
          </cell>
          <cell r="J1096" t="str">
            <v>bueno</v>
          </cell>
          <cell r="K1096" t="str">
            <v>probsi</v>
          </cell>
        </row>
        <row r="1097">
          <cell r="B1097" t="b">
            <v>1</v>
          </cell>
          <cell r="E1097" t="str">
            <v>Bosque</v>
          </cell>
          <cell r="H1097" t="str">
            <v>laboratorio</v>
          </cell>
          <cell r="J1097" t="str">
            <v>bueno</v>
          </cell>
          <cell r="K1097" t="str">
            <v>probsi</v>
          </cell>
        </row>
        <row r="1098">
          <cell r="B1098" t="b">
            <v>1</v>
          </cell>
          <cell r="E1098" t="str">
            <v>Bosque</v>
          </cell>
          <cell r="H1098" t="str">
            <v>laboratorio</v>
          </cell>
          <cell r="J1098" t="str">
            <v>bueno</v>
          </cell>
          <cell r="K1098" t="str">
            <v>probsi</v>
          </cell>
        </row>
        <row r="1099">
          <cell r="B1099" t="b">
            <v>1</v>
          </cell>
          <cell r="E1099" t="str">
            <v>Bosque</v>
          </cell>
          <cell r="H1099" t="str">
            <v>laboratorio</v>
          </cell>
          <cell r="J1099" t="str">
            <v>bueno</v>
          </cell>
          <cell r="K1099" t="str">
            <v>probsi</v>
          </cell>
        </row>
        <row r="1100">
          <cell r="B1100" t="b">
            <v>1</v>
          </cell>
          <cell r="E1100" t="str">
            <v>Bosque</v>
          </cell>
          <cell r="H1100" t="str">
            <v>laboratorio</v>
          </cell>
          <cell r="J1100" t="str">
            <v>bueno</v>
          </cell>
          <cell r="K1100" t="str">
            <v>probsi</v>
          </cell>
        </row>
        <row r="1101">
          <cell r="B1101" t="b">
            <v>1</v>
          </cell>
          <cell r="E1101" t="str">
            <v>Bosque</v>
          </cell>
          <cell r="H1101" t="str">
            <v>laboratorio</v>
          </cell>
          <cell r="J1101" t="str">
            <v>bueno</v>
          </cell>
          <cell r="K1101" t="str">
            <v>probsi</v>
          </cell>
        </row>
        <row r="1102">
          <cell r="B1102" t="b">
            <v>1</v>
          </cell>
          <cell r="E1102" t="str">
            <v>Bosque</v>
          </cell>
          <cell r="H1102" t="str">
            <v>laboratorio</v>
          </cell>
          <cell r="J1102" t="str">
            <v>bueno</v>
          </cell>
          <cell r="K1102" t="str">
            <v>probsi</v>
          </cell>
        </row>
        <row r="1103">
          <cell r="B1103" t="b">
            <v>1</v>
          </cell>
          <cell r="E1103" t="str">
            <v>Bosque</v>
          </cell>
          <cell r="H1103" t="str">
            <v>consulta_externa</v>
          </cell>
          <cell r="J1103" t="str">
            <v>bueno</v>
          </cell>
          <cell r="K1103" t="str">
            <v>probsi</v>
          </cell>
        </row>
        <row r="1104">
          <cell r="B1104" t="b">
            <v>1</v>
          </cell>
          <cell r="E1104" t="str">
            <v>Bosque</v>
          </cell>
          <cell r="H1104" t="str">
            <v>salud_oral</v>
          </cell>
          <cell r="J1104" t="str">
            <v>bueno</v>
          </cell>
          <cell r="K1104" t="str">
            <v>probsi</v>
          </cell>
        </row>
        <row r="1105">
          <cell r="B1105" t="b">
            <v>1</v>
          </cell>
          <cell r="E1105" t="str">
            <v>Bosque</v>
          </cell>
          <cell r="H1105" t="str">
            <v>salud_oral</v>
          </cell>
          <cell r="J1105" t="str">
            <v>bueno</v>
          </cell>
          <cell r="K1105" t="str">
            <v>probsi</v>
          </cell>
        </row>
        <row r="1106">
          <cell r="B1106" t="b">
            <v>1</v>
          </cell>
          <cell r="E1106" t="str">
            <v>Bosque</v>
          </cell>
          <cell r="H1106" t="str">
            <v>laboratorio</v>
          </cell>
          <cell r="J1106" t="str">
            <v>bueno</v>
          </cell>
          <cell r="K1106" t="str">
            <v>probsi</v>
          </cell>
        </row>
        <row r="1107">
          <cell r="B1107" t="b">
            <v>1</v>
          </cell>
          <cell r="E1107" t="str">
            <v>Bosque</v>
          </cell>
          <cell r="H1107" t="str">
            <v>laboratorio</v>
          </cell>
          <cell r="J1107" t="str">
            <v>bueno</v>
          </cell>
          <cell r="K1107" t="str">
            <v>probsi</v>
          </cell>
        </row>
        <row r="1108">
          <cell r="B1108" t="b">
            <v>1</v>
          </cell>
          <cell r="E1108" t="str">
            <v>Boston</v>
          </cell>
          <cell r="H1108" t="str">
            <v>consulta_externa</v>
          </cell>
          <cell r="J1108" t="str">
            <v>bueno</v>
          </cell>
          <cell r="K1108" t="str">
            <v>probsi</v>
          </cell>
        </row>
        <row r="1109">
          <cell r="B1109" t="b">
            <v>1</v>
          </cell>
          <cell r="E1109" t="str">
            <v>Boston</v>
          </cell>
          <cell r="H1109" t="str">
            <v>consulta_externa</v>
          </cell>
          <cell r="J1109" t="str">
            <v>bueno</v>
          </cell>
          <cell r="K1109" t="str">
            <v>probsi</v>
          </cell>
        </row>
        <row r="1110">
          <cell r="B1110" t="b">
            <v>1</v>
          </cell>
          <cell r="E1110" t="str">
            <v>Boston</v>
          </cell>
          <cell r="H1110" t="str">
            <v>consulta_externa</v>
          </cell>
          <cell r="J1110" t="str">
            <v>bueno</v>
          </cell>
          <cell r="K1110" t="str">
            <v>probsi</v>
          </cell>
        </row>
        <row r="1111">
          <cell r="B1111" t="b">
            <v>1</v>
          </cell>
          <cell r="E1111" t="str">
            <v>Boston</v>
          </cell>
          <cell r="H1111" t="str">
            <v>consulta_externa</v>
          </cell>
          <cell r="J1111" t="str">
            <v>bueno</v>
          </cell>
          <cell r="K1111" t="str">
            <v>probsi</v>
          </cell>
        </row>
        <row r="1112">
          <cell r="B1112" t="b">
            <v>1</v>
          </cell>
          <cell r="E1112" t="str">
            <v>Hospital Pozon</v>
          </cell>
          <cell r="H1112" t="str">
            <v>consulta_externa</v>
          </cell>
          <cell r="J1112" t="str">
            <v>bueno</v>
          </cell>
          <cell r="K1112" t="str">
            <v>defsi</v>
          </cell>
        </row>
        <row r="1113">
          <cell r="B1113" t="b">
            <v>1</v>
          </cell>
          <cell r="E1113" t="str">
            <v>Hospital Pozon</v>
          </cell>
          <cell r="H1113" t="str">
            <v>salud_oral</v>
          </cell>
          <cell r="J1113" t="str">
            <v>bueno</v>
          </cell>
          <cell r="K1113" t="str">
            <v>defsi</v>
          </cell>
        </row>
        <row r="1114">
          <cell r="B1114" t="b">
            <v>1</v>
          </cell>
          <cell r="E1114" t="str">
            <v>Hospital Pozon</v>
          </cell>
          <cell r="H1114" t="str">
            <v>laboratorio</v>
          </cell>
          <cell r="J1114" t="str">
            <v>bueno</v>
          </cell>
          <cell r="K1114" t="str">
            <v>defsi</v>
          </cell>
        </row>
        <row r="1115">
          <cell r="B1115" t="b">
            <v>1</v>
          </cell>
          <cell r="E1115" t="str">
            <v>Hospital Pozon</v>
          </cell>
          <cell r="H1115" t="str">
            <v>urgencia</v>
          </cell>
          <cell r="J1115" t="str">
            <v>bueno</v>
          </cell>
          <cell r="K1115" t="str">
            <v>defsi</v>
          </cell>
        </row>
        <row r="1116">
          <cell r="B1116" t="b">
            <v>1</v>
          </cell>
          <cell r="E1116" t="str">
            <v>Hospital Pozon</v>
          </cell>
          <cell r="H1116" t="str">
            <v>rx</v>
          </cell>
          <cell r="J1116" t="str">
            <v>bueno</v>
          </cell>
          <cell r="K1116" t="str">
            <v>defsi</v>
          </cell>
        </row>
        <row r="1117">
          <cell r="B1117" t="b">
            <v>1</v>
          </cell>
          <cell r="E1117" t="str">
            <v>Hospital Pozon</v>
          </cell>
          <cell r="H1117" t="str">
            <v>ginecologia</v>
          </cell>
          <cell r="J1117" t="str">
            <v>bueno</v>
          </cell>
          <cell r="K1117" t="str">
            <v>defsi</v>
          </cell>
        </row>
        <row r="1118">
          <cell r="B1118" t="b">
            <v>1</v>
          </cell>
          <cell r="E1118" t="str">
            <v>Hospital Pozon</v>
          </cell>
          <cell r="H1118" t="str">
            <v>pediatria</v>
          </cell>
          <cell r="J1118" t="str">
            <v>bueno</v>
          </cell>
          <cell r="K1118" t="str">
            <v>probno</v>
          </cell>
        </row>
        <row r="1119">
          <cell r="B1119" t="b">
            <v>1</v>
          </cell>
          <cell r="E1119" t="str">
            <v>Hospital Pozon</v>
          </cell>
          <cell r="H1119" t="str">
            <v>consulta_externa</v>
          </cell>
          <cell r="J1119" t="str">
            <v>bueno</v>
          </cell>
          <cell r="K1119" t="str">
            <v>defsi</v>
          </cell>
        </row>
        <row r="1120">
          <cell r="B1120" t="b">
            <v>1</v>
          </cell>
          <cell r="E1120" t="str">
            <v>Hospital Pozon</v>
          </cell>
          <cell r="H1120" t="str">
            <v>salud_oral</v>
          </cell>
          <cell r="J1120" t="str">
            <v>bueno</v>
          </cell>
          <cell r="K1120" t="str">
            <v>defsi</v>
          </cell>
        </row>
        <row r="1121">
          <cell r="B1121" t="b">
            <v>1</v>
          </cell>
          <cell r="E1121" t="str">
            <v>Hospital Pozon</v>
          </cell>
          <cell r="H1121" t="str">
            <v>laboratorio</v>
          </cell>
          <cell r="J1121" t="str">
            <v>bueno</v>
          </cell>
          <cell r="K1121" t="str">
            <v>defsi</v>
          </cell>
        </row>
        <row r="1122">
          <cell r="B1122" t="b">
            <v>1</v>
          </cell>
          <cell r="E1122" t="str">
            <v>Hospital Pozon</v>
          </cell>
          <cell r="H1122" t="str">
            <v>urgencia</v>
          </cell>
          <cell r="J1122" t="str">
            <v>bueno</v>
          </cell>
          <cell r="K1122" t="str">
            <v>defsi</v>
          </cell>
        </row>
        <row r="1123">
          <cell r="B1123" t="b">
            <v>1</v>
          </cell>
          <cell r="E1123" t="str">
            <v>Hospital Pozon</v>
          </cell>
          <cell r="H1123" t="str">
            <v>rx</v>
          </cell>
          <cell r="J1123" t="str">
            <v>bueno</v>
          </cell>
          <cell r="K1123" t="str">
            <v>defsi</v>
          </cell>
        </row>
        <row r="1124">
          <cell r="B1124" t="b">
            <v>1</v>
          </cell>
          <cell r="E1124" t="str">
            <v>Hospital Pozon</v>
          </cell>
          <cell r="H1124" t="str">
            <v>ginecologia</v>
          </cell>
          <cell r="J1124" t="str">
            <v>bueno</v>
          </cell>
          <cell r="K1124" t="str">
            <v>defsi</v>
          </cell>
        </row>
        <row r="1125">
          <cell r="B1125" t="b">
            <v>1</v>
          </cell>
          <cell r="E1125" t="str">
            <v>Hospital Pozon</v>
          </cell>
          <cell r="H1125" t="str">
            <v>pediatria</v>
          </cell>
          <cell r="J1125" t="str">
            <v>bueno</v>
          </cell>
          <cell r="K1125" t="str">
            <v>defsi</v>
          </cell>
        </row>
        <row r="1126">
          <cell r="B1126" t="b">
            <v>1</v>
          </cell>
          <cell r="E1126" t="str">
            <v>Candelaria</v>
          </cell>
          <cell r="H1126" t="str">
            <v>consulta_externa</v>
          </cell>
          <cell r="J1126" t="str">
            <v>bueno</v>
          </cell>
          <cell r="K1126" t="str">
            <v>defsi</v>
          </cell>
        </row>
        <row r="1127">
          <cell r="B1127" t="b">
            <v>1</v>
          </cell>
          <cell r="E1127" t="str">
            <v>Candelaria</v>
          </cell>
          <cell r="H1127" t="str">
            <v>consulta_externa</v>
          </cell>
          <cell r="J1127" t="str">
            <v>bueno</v>
          </cell>
          <cell r="K1127" t="str">
            <v>defsi</v>
          </cell>
        </row>
        <row r="1128">
          <cell r="B1128" t="b">
            <v>1</v>
          </cell>
          <cell r="E1128" t="str">
            <v>Candelaria</v>
          </cell>
          <cell r="H1128" t="str">
            <v>consulta_externa</v>
          </cell>
          <cell r="J1128" t="str">
            <v>bueno</v>
          </cell>
          <cell r="K1128" t="str">
            <v>defsi</v>
          </cell>
        </row>
        <row r="1129">
          <cell r="B1129" t="b">
            <v>1</v>
          </cell>
          <cell r="E1129" t="str">
            <v>Candelaria</v>
          </cell>
          <cell r="H1129" t="str">
            <v>laboratorio</v>
          </cell>
          <cell r="J1129" t="str">
            <v>bueno</v>
          </cell>
          <cell r="K1129" t="str">
            <v>defsi</v>
          </cell>
        </row>
        <row r="1130">
          <cell r="B1130" t="b">
            <v>1</v>
          </cell>
          <cell r="E1130" t="str">
            <v>Candelaria</v>
          </cell>
          <cell r="H1130" t="str">
            <v>laboratorio</v>
          </cell>
          <cell r="J1130" t="str">
            <v>bueno</v>
          </cell>
          <cell r="K1130" t="str">
            <v>defsi</v>
          </cell>
        </row>
        <row r="1131">
          <cell r="B1131" t="b">
            <v>1</v>
          </cell>
          <cell r="E1131" t="str">
            <v>Hospital Pozon</v>
          </cell>
          <cell r="H1131" t="str">
            <v>consulta_externa</v>
          </cell>
          <cell r="J1131" t="str">
            <v>bueno</v>
          </cell>
          <cell r="K1131" t="str">
            <v>defsi</v>
          </cell>
        </row>
        <row r="1132">
          <cell r="B1132" t="b">
            <v>1</v>
          </cell>
          <cell r="E1132" t="str">
            <v>Hospital Pozon</v>
          </cell>
          <cell r="H1132" t="str">
            <v>salud_oral</v>
          </cell>
          <cell r="J1132" t="str">
            <v>bueno</v>
          </cell>
          <cell r="K1132" t="str">
            <v>defsi</v>
          </cell>
        </row>
        <row r="1133">
          <cell r="B1133" t="b">
            <v>1</v>
          </cell>
          <cell r="E1133" t="str">
            <v>Boston</v>
          </cell>
          <cell r="H1133" t="str">
            <v>consulta_externa</v>
          </cell>
          <cell r="J1133" t="str">
            <v>bueno</v>
          </cell>
          <cell r="K1133" t="str">
            <v>probsi</v>
          </cell>
        </row>
        <row r="1134">
          <cell r="B1134" t="b">
            <v>1</v>
          </cell>
          <cell r="E1134" t="str">
            <v>Candelaria</v>
          </cell>
          <cell r="H1134" t="str">
            <v>laboratorio</v>
          </cell>
          <cell r="J1134" t="str">
            <v>bueno</v>
          </cell>
          <cell r="K1134" t="str">
            <v>defsi</v>
          </cell>
        </row>
        <row r="1135">
          <cell r="B1135" t="b">
            <v>1</v>
          </cell>
          <cell r="E1135" t="str">
            <v>Boston</v>
          </cell>
          <cell r="H1135" t="str">
            <v>consulta_externa</v>
          </cell>
          <cell r="J1135" t="str">
            <v>bueno</v>
          </cell>
          <cell r="K1135" t="str">
            <v>probsi</v>
          </cell>
        </row>
        <row r="1136">
          <cell r="B1136" t="b">
            <v>1</v>
          </cell>
          <cell r="E1136" t="str">
            <v>Boston</v>
          </cell>
          <cell r="H1136" t="str">
            <v>consulta_externa</v>
          </cell>
          <cell r="J1136" t="str">
            <v>bueno</v>
          </cell>
          <cell r="K1136" t="str">
            <v>probsi</v>
          </cell>
        </row>
        <row r="1137">
          <cell r="B1137" t="b">
            <v>1</v>
          </cell>
          <cell r="E1137" t="str">
            <v>Candelaria</v>
          </cell>
          <cell r="H1137" t="str">
            <v>consulta_externa</v>
          </cell>
          <cell r="J1137" t="str">
            <v>bueno</v>
          </cell>
          <cell r="K1137" t="str">
            <v>defsi</v>
          </cell>
        </row>
        <row r="1138">
          <cell r="B1138" t="b">
            <v>1</v>
          </cell>
          <cell r="E1138" t="str">
            <v>Boston</v>
          </cell>
          <cell r="H1138" t="str">
            <v>consulta_externa</v>
          </cell>
          <cell r="J1138" t="str">
            <v>bueno</v>
          </cell>
          <cell r="K1138" t="str">
            <v>probsi</v>
          </cell>
        </row>
        <row r="1139">
          <cell r="B1139" t="b">
            <v>1</v>
          </cell>
          <cell r="E1139" t="str">
            <v>Boston</v>
          </cell>
          <cell r="H1139" t="str">
            <v>consulta_externa</v>
          </cell>
          <cell r="J1139" t="str">
            <v>bueno</v>
          </cell>
          <cell r="K1139" t="str">
            <v>probsi</v>
          </cell>
        </row>
        <row r="1140">
          <cell r="B1140" t="b">
            <v>1</v>
          </cell>
          <cell r="E1140" t="str">
            <v>Boston</v>
          </cell>
          <cell r="H1140" t="str">
            <v>consulta_externa</v>
          </cell>
          <cell r="J1140" t="str">
            <v>bueno</v>
          </cell>
          <cell r="K1140" t="str">
            <v>probsi</v>
          </cell>
        </row>
        <row r="1141">
          <cell r="B1141" t="b">
            <v>1</v>
          </cell>
          <cell r="E1141" t="str">
            <v>Hospital Pozon</v>
          </cell>
          <cell r="H1141" t="str">
            <v>laboratorio</v>
          </cell>
          <cell r="J1141" t="str">
            <v>bueno</v>
          </cell>
          <cell r="K1141" t="str">
            <v>defsi</v>
          </cell>
        </row>
        <row r="1142">
          <cell r="B1142" t="b">
            <v>1</v>
          </cell>
          <cell r="E1142" t="str">
            <v>Candelaria</v>
          </cell>
          <cell r="H1142" t="str">
            <v>consulta_externa</v>
          </cell>
          <cell r="J1142" t="str">
            <v>muybueno</v>
          </cell>
          <cell r="K1142" t="str">
            <v>defsi</v>
          </cell>
        </row>
        <row r="1143">
          <cell r="B1143" t="b">
            <v>1</v>
          </cell>
          <cell r="E1143" t="str">
            <v>Candelaria</v>
          </cell>
          <cell r="H1143" t="str">
            <v>laboratorio</v>
          </cell>
          <cell r="J1143" t="str">
            <v>muybueno</v>
          </cell>
          <cell r="K1143" t="str">
            <v>defsi</v>
          </cell>
        </row>
        <row r="1144">
          <cell r="B1144" t="b">
            <v>1</v>
          </cell>
          <cell r="E1144" t="str">
            <v>Candelaria</v>
          </cell>
          <cell r="H1144" t="str">
            <v>laboratorio</v>
          </cell>
          <cell r="J1144" t="str">
            <v>muybueno</v>
          </cell>
          <cell r="K1144" t="str">
            <v>defsi</v>
          </cell>
        </row>
        <row r="1145">
          <cell r="B1145" t="b">
            <v>1</v>
          </cell>
          <cell r="E1145" t="str">
            <v>Hospital Pozon</v>
          </cell>
          <cell r="H1145" t="str">
            <v>urgencia</v>
          </cell>
          <cell r="J1145" t="str">
            <v>bueno</v>
          </cell>
          <cell r="K1145" t="str">
            <v>defsi</v>
          </cell>
        </row>
        <row r="1146">
          <cell r="B1146" t="b">
            <v>1</v>
          </cell>
          <cell r="E1146" t="str">
            <v>Hospital Pozon</v>
          </cell>
          <cell r="H1146" t="str">
            <v>rx</v>
          </cell>
          <cell r="J1146" t="str">
            <v>bueno</v>
          </cell>
          <cell r="K1146" t="str">
            <v>defsi</v>
          </cell>
        </row>
        <row r="1147">
          <cell r="B1147" t="b">
            <v>1</v>
          </cell>
          <cell r="E1147" t="str">
            <v>Hospital Pozon</v>
          </cell>
          <cell r="H1147" t="str">
            <v>ginecologia</v>
          </cell>
          <cell r="J1147" t="str">
            <v>bueno</v>
          </cell>
          <cell r="K1147" t="str">
            <v>defsi</v>
          </cell>
        </row>
        <row r="1148">
          <cell r="B1148" t="b">
            <v>1</v>
          </cell>
          <cell r="E1148" t="str">
            <v>Hospital Pozon</v>
          </cell>
          <cell r="H1148" t="str">
            <v>pediatria</v>
          </cell>
          <cell r="J1148" t="str">
            <v>bueno</v>
          </cell>
          <cell r="K1148" t="str">
            <v>defsi</v>
          </cell>
        </row>
        <row r="1149">
          <cell r="B1149" t="b">
            <v>1</v>
          </cell>
          <cell r="E1149" t="str">
            <v>Boston</v>
          </cell>
          <cell r="H1149" t="str">
            <v>consulta_externa</v>
          </cell>
          <cell r="J1149" t="str">
            <v>bueno</v>
          </cell>
          <cell r="K1149" t="str">
            <v>probsi</v>
          </cell>
        </row>
        <row r="1150">
          <cell r="B1150" t="b">
            <v>1</v>
          </cell>
          <cell r="E1150" t="str">
            <v>Candelaria</v>
          </cell>
          <cell r="H1150" t="str">
            <v>consulta_externa</v>
          </cell>
          <cell r="J1150" t="str">
            <v>bueno</v>
          </cell>
          <cell r="K1150" t="str">
            <v>defsi</v>
          </cell>
        </row>
        <row r="1151">
          <cell r="B1151" t="b">
            <v>1</v>
          </cell>
          <cell r="E1151" t="str">
            <v>Candelaria</v>
          </cell>
          <cell r="H1151" t="str">
            <v>salud_oral</v>
          </cell>
          <cell r="J1151" t="str">
            <v>bueno</v>
          </cell>
          <cell r="K1151" t="str">
            <v>defsi</v>
          </cell>
        </row>
        <row r="1152">
          <cell r="B1152" t="b">
            <v>0</v>
          </cell>
          <cell r="E1152" t="str">
            <v>Candelaria</v>
          </cell>
          <cell r="H1152" t="str">
            <v>salud_oral</v>
          </cell>
          <cell r="J1152" t="str">
            <v>regular</v>
          </cell>
          <cell r="K1152" t="str">
            <v>defsi</v>
          </cell>
        </row>
        <row r="1153">
          <cell r="B1153" t="b">
            <v>1</v>
          </cell>
          <cell r="E1153" t="str">
            <v>Candelaria</v>
          </cell>
          <cell r="H1153" t="str">
            <v>salud_oral</v>
          </cell>
          <cell r="J1153" t="str">
            <v>bueno</v>
          </cell>
          <cell r="K1153" t="str">
            <v>defsi</v>
          </cell>
        </row>
        <row r="1154">
          <cell r="B1154" t="b">
            <v>1</v>
          </cell>
          <cell r="E1154" t="str">
            <v>Hospital Pozon</v>
          </cell>
          <cell r="H1154" t="str">
            <v>consulta_externa</v>
          </cell>
          <cell r="J1154" t="str">
            <v>bueno</v>
          </cell>
          <cell r="K1154" t="str">
            <v>defsi</v>
          </cell>
        </row>
        <row r="1155">
          <cell r="B1155" t="b">
            <v>1</v>
          </cell>
          <cell r="E1155" t="str">
            <v>Candelaria</v>
          </cell>
          <cell r="H1155" t="str">
            <v>consulta_externa</v>
          </cell>
          <cell r="J1155" t="str">
            <v>bueno</v>
          </cell>
          <cell r="K1155" t="str">
            <v>defsi</v>
          </cell>
        </row>
        <row r="1156">
          <cell r="B1156" t="b">
            <v>1</v>
          </cell>
          <cell r="E1156" t="str">
            <v>Candelaria</v>
          </cell>
          <cell r="H1156" t="str">
            <v>laboratorio</v>
          </cell>
          <cell r="J1156" t="str">
            <v>bueno</v>
          </cell>
          <cell r="K1156" t="str">
            <v>defsi</v>
          </cell>
        </row>
        <row r="1157">
          <cell r="B1157" t="b">
            <v>1</v>
          </cell>
          <cell r="E1157" t="str">
            <v>Boston</v>
          </cell>
          <cell r="H1157" t="str">
            <v>consulta_externa</v>
          </cell>
          <cell r="J1157" t="str">
            <v>bueno</v>
          </cell>
          <cell r="K1157" t="str">
            <v>probsi</v>
          </cell>
        </row>
        <row r="1158">
          <cell r="B1158" t="b">
            <v>1</v>
          </cell>
          <cell r="E1158" t="str">
            <v>Hospital Pozon</v>
          </cell>
          <cell r="H1158" t="str">
            <v>salud_oral</v>
          </cell>
          <cell r="J1158" t="str">
            <v>bueno</v>
          </cell>
          <cell r="K1158" t="str">
            <v>defsi</v>
          </cell>
        </row>
        <row r="1159">
          <cell r="B1159" t="b">
            <v>1</v>
          </cell>
          <cell r="E1159" t="str">
            <v>Candelaria</v>
          </cell>
          <cell r="H1159" t="str">
            <v>laboratorio</v>
          </cell>
          <cell r="J1159" t="str">
            <v>bueno</v>
          </cell>
          <cell r="K1159" t="str">
            <v>defsi</v>
          </cell>
        </row>
        <row r="1160">
          <cell r="B1160" t="b">
            <v>1</v>
          </cell>
          <cell r="E1160" t="str">
            <v>Hospital Pozon</v>
          </cell>
          <cell r="H1160" t="str">
            <v>laboratorio</v>
          </cell>
          <cell r="J1160" t="str">
            <v>bueno</v>
          </cell>
          <cell r="K1160" t="str">
            <v>defsi</v>
          </cell>
        </row>
        <row r="1161">
          <cell r="B1161" t="b">
            <v>0</v>
          </cell>
          <cell r="E1161" t="str">
            <v>Candelaria</v>
          </cell>
          <cell r="H1161" t="str">
            <v>laboratorio</v>
          </cell>
          <cell r="J1161" t="str">
            <v>regular</v>
          </cell>
          <cell r="K1161" t="str">
            <v>defsi</v>
          </cell>
        </row>
        <row r="1162">
          <cell r="B1162" t="b">
            <v>1</v>
          </cell>
          <cell r="E1162" t="str">
            <v>Hospital Pozon</v>
          </cell>
          <cell r="H1162" t="str">
            <v>urgencia</v>
          </cell>
          <cell r="J1162" t="str">
            <v>bueno</v>
          </cell>
          <cell r="K1162" t="str">
            <v>defsi</v>
          </cell>
        </row>
        <row r="1163">
          <cell r="B1163" t="b">
            <v>1</v>
          </cell>
          <cell r="E1163" t="str">
            <v>Hospital Pozon</v>
          </cell>
          <cell r="H1163" t="str">
            <v>pediatria</v>
          </cell>
          <cell r="J1163" t="str">
            <v>bueno</v>
          </cell>
          <cell r="K1163" t="str">
            <v>defsi</v>
          </cell>
        </row>
        <row r="1164">
          <cell r="B1164" t="b">
            <v>1</v>
          </cell>
          <cell r="E1164" t="str">
            <v>Candelaria</v>
          </cell>
          <cell r="H1164" t="str">
            <v>laboratorio</v>
          </cell>
          <cell r="J1164" t="str">
            <v>bueno</v>
          </cell>
          <cell r="K1164" t="str">
            <v>defsi</v>
          </cell>
        </row>
        <row r="1165">
          <cell r="B1165" t="b">
            <v>1</v>
          </cell>
          <cell r="E1165" t="str">
            <v>Candelaria</v>
          </cell>
          <cell r="H1165" t="str">
            <v>consulta_externa</v>
          </cell>
          <cell r="J1165" t="str">
            <v>bueno</v>
          </cell>
          <cell r="K1165" t="str">
            <v>defsi</v>
          </cell>
        </row>
        <row r="1166">
          <cell r="B1166" t="b">
            <v>1</v>
          </cell>
          <cell r="E1166" t="str">
            <v>Candelaria</v>
          </cell>
          <cell r="H1166" t="str">
            <v>laboratorio</v>
          </cell>
          <cell r="J1166" t="str">
            <v>bueno</v>
          </cell>
          <cell r="K1166" t="str">
            <v>defsi</v>
          </cell>
        </row>
        <row r="1167">
          <cell r="B1167" t="b">
            <v>1</v>
          </cell>
          <cell r="E1167" t="str">
            <v>Candelaria</v>
          </cell>
          <cell r="H1167" t="str">
            <v>consulta_externa</v>
          </cell>
          <cell r="J1167" t="str">
            <v>bueno</v>
          </cell>
          <cell r="K1167" t="str">
            <v>defsi</v>
          </cell>
        </row>
        <row r="1168">
          <cell r="B1168" t="b">
            <v>1</v>
          </cell>
          <cell r="E1168" t="str">
            <v>Candelaria</v>
          </cell>
          <cell r="H1168" t="str">
            <v>laboratorio</v>
          </cell>
          <cell r="J1168" t="str">
            <v>muybueno</v>
          </cell>
          <cell r="K1168" t="str">
            <v>defsi</v>
          </cell>
        </row>
        <row r="1169">
          <cell r="B1169" t="b">
            <v>1</v>
          </cell>
          <cell r="E1169" t="str">
            <v>Candelaria</v>
          </cell>
          <cell r="H1169" t="str">
            <v>consulta_externa</v>
          </cell>
          <cell r="J1169" t="str">
            <v>bueno</v>
          </cell>
          <cell r="K1169" t="str">
            <v>defsi</v>
          </cell>
        </row>
        <row r="1170">
          <cell r="B1170" t="b">
            <v>1</v>
          </cell>
          <cell r="E1170" t="str">
            <v>Candelaria</v>
          </cell>
          <cell r="H1170" t="str">
            <v>salud_oral</v>
          </cell>
          <cell r="J1170" t="str">
            <v>bueno</v>
          </cell>
          <cell r="K1170" t="str">
            <v>defsi</v>
          </cell>
        </row>
        <row r="1171">
          <cell r="B1171" t="b">
            <v>1</v>
          </cell>
          <cell r="E1171" t="str">
            <v>Candelaria</v>
          </cell>
          <cell r="H1171" t="str">
            <v>laboratorio</v>
          </cell>
          <cell r="J1171" t="str">
            <v>bueno</v>
          </cell>
          <cell r="K1171" t="str">
            <v>defsi</v>
          </cell>
        </row>
        <row r="1172">
          <cell r="B1172" t="b">
            <v>1</v>
          </cell>
          <cell r="E1172" t="str">
            <v>Candelaria</v>
          </cell>
          <cell r="H1172" t="str">
            <v>consulta_externa</v>
          </cell>
          <cell r="J1172" t="str">
            <v>bueno</v>
          </cell>
          <cell r="K1172" t="str">
            <v>defsi</v>
          </cell>
        </row>
        <row r="1173">
          <cell r="B1173" t="b">
            <v>1</v>
          </cell>
          <cell r="E1173" t="str">
            <v>Candelaria</v>
          </cell>
          <cell r="H1173" t="str">
            <v>salud_oral</v>
          </cell>
          <cell r="J1173" t="str">
            <v>bueno</v>
          </cell>
          <cell r="K1173" t="str">
            <v>defno</v>
          </cell>
        </row>
        <row r="1174">
          <cell r="B1174" t="b">
            <v>1</v>
          </cell>
          <cell r="E1174" t="str">
            <v>Candelaria</v>
          </cell>
          <cell r="H1174" t="str">
            <v>laboratorio</v>
          </cell>
          <cell r="J1174" t="str">
            <v>bueno</v>
          </cell>
          <cell r="K1174" t="str">
            <v>defsi</v>
          </cell>
        </row>
        <row r="1175">
          <cell r="B1175" t="b">
            <v>1</v>
          </cell>
          <cell r="E1175" t="str">
            <v>Candelaria</v>
          </cell>
          <cell r="H1175" t="str">
            <v>laboratorio</v>
          </cell>
          <cell r="J1175" t="str">
            <v>bueno</v>
          </cell>
          <cell r="K1175" t="str">
            <v>defsi</v>
          </cell>
        </row>
        <row r="1176">
          <cell r="B1176" t="b">
            <v>1</v>
          </cell>
          <cell r="E1176" t="str">
            <v>Candelaria</v>
          </cell>
          <cell r="H1176" t="str">
            <v>laboratorio</v>
          </cell>
          <cell r="J1176" t="str">
            <v>bueno</v>
          </cell>
          <cell r="K1176" t="str">
            <v>defsi</v>
          </cell>
        </row>
        <row r="1177">
          <cell r="B1177" t="b">
            <v>1</v>
          </cell>
          <cell r="E1177" t="str">
            <v>Candelaria</v>
          </cell>
          <cell r="H1177" t="str">
            <v>laboratorio</v>
          </cell>
          <cell r="J1177" t="str">
            <v>bueno</v>
          </cell>
          <cell r="K1177" t="str">
            <v>defsi</v>
          </cell>
        </row>
        <row r="1178">
          <cell r="B1178" t="b">
            <v>1</v>
          </cell>
          <cell r="E1178" t="str">
            <v>Candelaria</v>
          </cell>
          <cell r="H1178" t="str">
            <v>salud_oral</v>
          </cell>
          <cell r="J1178" t="str">
            <v>bueno</v>
          </cell>
          <cell r="K1178" t="str">
            <v>defsi</v>
          </cell>
        </row>
        <row r="1179">
          <cell r="B1179" t="b">
            <v>1</v>
          </cell>
          <cell r="E1179" t="str">
            <v>Candelaria</v>
          </cell>
          <cell r="H1179" t="str">
            <v>laboratorio</v>
          </cell>
          <cell r="J1179" t="str">
            <v>bueno</v>
          </cell>
          <cell r="K1179" t="str">
            <v>defsi</v>
          </cell>
        </row>
        <row r="1180">
          <cell r="B1180" t="b">
            <v>1</v>
          </cell>
          <cell r="E1180" t="str">
            <v>Candelaria</v>
          </cell>
          <cell r="H1180" t="str">
            <v>consulta_externa</v>
          </cell>
          <cell r="J1180" t="str">
            <v>bueno</v>
          </cell>
          <cell r="K1180" t="str">
            <v>defsi</v>
          </cell>
        </row>
        <row r="1181">
          <cell r="B1181" t="b">
            <v>1</v>
          </cell>
          <cell r="E1181" t="str">
            <v>Hospital Pozon</v>
          </cell>
          <cell r="H1181" t="str">
            <v>consulta_externa</v>
          </cell>
          <cell r="J1181" t="str">
            <v>bueno</v>
          </cell>
          <cell r="K1181" t="str">
            <v>defsi</v>
          </cell>
        </row>
        <row r="1182">
          <cell r="B1182" t="b">
            <v>1</v>
          </cell>
          <cell r="E1182" t="str">
            <v>Hospital Pozon</v>
          </cell>
          <cell r="H1182" t="str">
            <v>salud_oral</v>
          </cell>
          <cell r="J1182" t="str">
            <v>bueno</v>
          </cell>
          <cell r="K1182" t="str">
            <v>defsi</v>
          </cell>
        </row>
        <row r="1183">
          <cell r="B1183" t="b">
            <v>1</v>
          </cell>
          <cell r="E1183" t="str">
            <v>Hospital Pozon</v>
          </cell>
          <cell r="H1183" t="str">
            <v>laboratorio</v>
          </cell>
          <cell r="J1183" t="str">
            <v>bueno</v>
          </cell>
          <cell r="K1183" t="str">
            <v>defsi</v>
          </cell>
        </row>
        <row r="1184">
          <cell r="B1184" t="b">
            <v>1</v>
          </cell>
          <cell r="E1184" t="str">
            <v>Hospital Pozon</v>
          </cell>
          <cell r="H1184" t="str">
            <v>laboratorio</v>
          </cell>
          <cell r="J1184" t="str">
            <v>bueno</v>
          </cell>
          <cell r="K1184" t="str">
            <v>defsi</v>
          </cell>
        </row>
        <row r="1185">
          <cell r="B1185" t="b">
            <v>1</v>
          </cell>
          <cell r="E1185" t="str">
            <v>Hospital Pozon</v>
          </cell>
          <cell r="H1185" t="str">
            <v>urgencia</v>
          </cell>
          <cell r="J1185" t="str">
            <v>bueno</v>
          </cell>
          <cell r="K1185" t="str">
            <v>defsi</v>
          </cell>
        </row>
        <row r="1186">
          <cell r="B1186" t="b">
            <v>1</v>
          </cell>
          <cell r="E1186" t="str">
            <v>Hospital Pozon</v>
          </cell>
          <cell r="H1186" t="str">
            <v>rx</v>
          </cell>
          <cell r="J1186" t="str">
            <v>bueno</v>
          </cell>
          <cell r="K1186" t="str">
            <v>defsi</v>
          </cell>
        </row>
        <row r="1187">
          <cell r="B1187" t="b">
            <v>1</v>
          </cell>
          <cell r="E1187" t="str">
            <v>Hospital Pozon</v>
          </cell>
          <cell r="H1187" t="str">
            <v>ginecologia</v>
          </cell>
          <cell r="J1187" t="str">
            <v>bueno</v>
          </cell>
          <cell r="K1187" t="str">
            <v>defsi</v>
          </cell>
        </row>
        <row r="1188">
          <cell r="B1188" t="b">
            <v>1</v>
          </cell>
          <cell r="E1188" t="str">
            <v>Hospital Pozon</v>
          </cell>
          <cell r="H1188" t="str">
            <v>pediatria</v>
          </cell>
          <cell r="J1188" t="str">
            <v>bueno</v>
          </cell>
          <cell r="K1188" t="str">
            <v>defsi</v>
          </cell>
        </row>
        <row r="1189">
          <cell r="B1189" t="b">
            <v>1</v>
          </cell>
          <cell r="E1189" t="str">
            <v>Hospital Pozon</v>
          </cell>
          <cell r="H1189" t="str">
            <v>consulta_externa</v>
          </cell>
          <cell r="J1189" t="str">
            <v>bueno</v>
          </cell>
          <cell r="K1189" t="str">
            <v>defsi</v>
          </cell>
        </row>
        <row r="1190">
          <cell r="B1190" t="b">
            <v>1</v>
          </cell>
          <cell r="E1190" t="str">
            <v>Hospital Pozon</v>
          </cell>
          <cell r="H1190" t="str">
            <v>salud_oral</v>
          </cell>
          <cell r="J1190" t="str">
            <v>bueno</v>
          </cell>
          <cell r="K1190" t="str">
            <v>defsi</v>
          </cell>
        </row>
        <row r="1191">
          <cell r="B1191" t="b">
            <v>1</v>
          </cell>
          <cell r="E1191" t="str">
            <v>Hospital Pozon</v>
          </cell>
          <cell r="H1191" t="str">
            <v>laboratorio</v>
          </cell>
          <cell r="J1191" t="str">
            <v>bueno</v>
          </cell>
          <cell r="K1191" t="str">
            <v>defsi</v>
          </cell>
        </row>
        <row r="1192">
          <cell r="B1192" t="b">
            <v>1</v>
          </cell>
          <cell r="E1192" t="str">
            <v>Hospital Pozon</v>
          </cell>
          <cell r="H1192" t="str">
            <v>urgencia</v>
          </cell>
          <cell r="J1192" t="str">
            <v>bueno</v>
          </cell>
          <cell r="K1192" t="str">
            <v>defsi</v>
          </cell>
        </row>
        <row r="1193">
          <cell r="B1193" t="b">
            <v>1</v>
          </cell>
          <cell r="E1193" t="str">
            <v>Hospital Pozon</v>
          </cell>
          <cell r="H1193" t="str">
            <v>rx</v>
          </cell>
          <cell r="J1193" t="str">
            <v>bueno</v>
          </cell>
          <cell r="K1193" t="str">
            <v>defsi</v>
          </cell>
        </row>
        <row r="1194">
          <cell r="B1194" t="b">
            <v>1</v>
          </cell>
          <cell r="E1194" t="str">
            <v>Hospital Pozon</v>
          </cell>
          <cell r="H1194" t="str">
            <v>consulta_externa</v>
          </cell>
          <cell r="J1194" t="str">
            <v>bueno</v>
          </cell>
          <cell r="K1194" t="str">
            <v>defsi</v>
          </cell>
        </row>
        <row r="1195">
          <cell r="B1195" t="b">
            <v>1</v>
          </cell>
          <cell r="E1195" t="str">
            <v>Candelaria</v>
          </cell>
          <cell r="H1195" t="str">
            <v>salud_oral</v>
          </cell>
          <cell r="J1195" t="str">
            <v>bueno</v>
          </cell>
          <cell r="K1195" t="str">
            <v>defsi</v>
          </cell>
        </row>
        <row r="1196">
          <cell r="B1196" t="b">
            <v>1</v>
          </cell>
          <cell r="E1196" t="str">
            <v>Hospital Pozon</v>
          </cell>
          <cell r="H1196" t="str">
            <v>salud_oral</v>
          </cell>
          <cell r="J1196" t="str">
            <v>bueno</v>
          </cell>
          <cell r="K1196" t="str">
            <v>defsi</v>
          </cell>
        </row>
        <row r="1197">
          <cell r="B1197" t="b">
            <v>1</v>
          </cell>
          <cell r="E1197" t="str">
            <v>Hospital Pozon</v>
          </cell>
          <cell r="H1197" t="str">
            <v>laboratorio</v>
          </cell>
          <cell r="J1197" t="str">
            <v>bueno</v>
          </cell>
          <cell r="K1197" t="str">
            <v>defsi</v>
          </cell>
        </row>
        <row r="1198">
          <cell r="B1198" t="b">
            <v>1</v>
          </cell>
          <cell r="E1198" t="str">
            <v>Hospital Pozon</v>
          </cell>
          <cell r="H1198" t="str">
            <v>urgencia</v>
          </cell>
          <cell r="J1198" t="str">
            <v>bueno</v>
          </cell>
          <cell r="K1198" t="str">
            <v>defsi</v>
          </cell>
        </row>
        <row r="1199">
          <cell r="B1199" t="b">
            <v>1</v>
          </cell>
          <cell r="E1199" t="str">
            <v>Hospital Pozon</v>
          </cell>
          <cell r="H1199" t="str">
            <v>rx</v>
          </cell>
          <cell r="J1199" t="str">
            <v>bueno</v>
          </cell>
          <cell r="K1199" t="str">
            <v>defsi</v>
          </cell>
        </row>
        <row r="1200">
          <cell r="B1200" t="b">
            <v>1</v>
          </cell>
          <cell r="E1200" t="str">
            <v>Hospital Pozon</v>
          </cell>
          <cell r="H1200" t="str">
            <v>consulta_externa</v>
          </cell>
          <cell r="J1200" t="str">
            <v>bueno</v>
          </cell>
          <cell r="K1200" t="str">
            <v>defsi</v>
          </cell>
        </row>
        <row r="1201">
          <cell r="B1201" t="b">
            <v>1</v>
          </cell>
          <cell r="E1201" t="str">
            <v>Hospital Pozon</v>
          </cell>
          <cell r="H1201" t="str">
            <v>salud_oral</v>
          </cell>
          <cell r="J1201" t="str">
            <v>bueno</v>
          </cell>
          <cell r="K1201" t="str">
            <v>defsi</v>
          </cell>
        </row>
        <row r="1202">
          <cell r="B1202" t="b">
            <v>1</v>
          </cell>
          <cell r="E1202" t="str">
            <v>Hospital Pozon</v>
          </cell>
          <cell r="H1202" t="str">
            <v>laboratorio</v>
          </cell>
          <cell r="J1202" t="str">
            <v>bueno</v>
          </cell>
          <cell r="K1202" t="str">
            <v>defsi</v>
          </cell>
        </row>
        <row r="1203">
          <cell r="B1203" t="b">
            <v>1</v>
          </cell>
          <cell r="E1203" t="str">
            <v>Hospital Pozon</v>
          </cell>
          <cell r="H1203" t="str">
            <v>urgencia</v>
          </cell>
          <cell r="J1203" t="str">
            <v>bueno</v>
          </cell>
          <cell r="K1203" t="str">
            <v>defsi</v>
          </cell>
        </row>
        <row r="1204">
          <cell r="B1204" t="b">
            <v>1</v>
          </cell>
          <cell r="E1204" t="str">
            <v>Hospital Pozon</v>
          </cell>
          <cell r="H1204" t="str">
            <v>rx</v>
          </cell>
          <cell r="J1204" t="str">
            <v>bueno</v>
          </cell>
          <cell r="K1204" t="str">
            <v>defsi</v>
          </cell>
        </row>
        <row r="1205">
          <cell r="B1205" t="b">
            <v>1</v>
          </cell>
          <cell r="E1205" t="str">
            <v>Hospital Pozon</v>
          </cell>
          <cell r="H1205" t="str">
            <v>consulta_externa</v>
          </cell>
          <cell r="J1205" t="str">
            <v>bueno</v>
          </cell>
          <cell r="K1205" t="str">
            <v>defsi</v>
          </cell>
        </row>
        <row r="1206">
          <cell r="B1206" t="b">
            <v>1</v>
          </cell>
          <cell r="E1206" t="str">
            <v>Hospital Pozon</v>
          </cell>
          <cell r="H1206" t="str">
            <v>salud_oral</v>
          </cell>
          <cell r="J1206" t="str">
            <v>bueno</v>
          </cell>
          <cell r="K1206" t="str">
            <v>defsi</v>
          </cell>
        </row>
        <row r="1207">
          <cell r="B1207" t="b">
            <v>1</v>
          </cell>
          <cell r="E1207" t="str">
            <v>Hospital Pozon</v>
          </cell>
          <cell r="H1207" t="str">
            <v>laboratorio</v>
          </cell>
          <cell r="J1207" t="str">
            <v>bueno</v>
          </cell>
          <cell r="K1207" t="str">
            <v>defsi</v>
          </cell>
        </row>
        <row r="1208">
          <cell r="B1208" t="b">
            <v>1</v>
          </cell>
          <cell r="E1208" t="str">
            <v>Pozon</v>
          </cell>
          <cell r="H1208" t="str">
            <v>consulta_externa</v>
          </cell>
          <cell r="J1208" t="str">
            <v>bueno</v>
          </cell>
          <cell r="K1208" t="str">
            <v>defsi</v>
          </cell>
        </row>
        <row r="1209">
          <cell r="B1209" t="b">
            <v>1</v>
          </cell>
          <cell r="E1209" t="str">
            <v>Pozon</v>
          </cell>
          <cell r="H1209" t="str">
            <v>salud_oral</v>
          </cell>
          <cell r="J1209" t="str">
            <v>bueno</v>
          </cell>
          <cell r="K1209" t="str">
            <v>defsi</v>
          </cell>
        </row>
        <row r="1210">
          <cell r="B1210" t="b">
            <v>1</v>
          </cell>
          <cell r="E1210" t="str">
            <v>Pozon</v>
          </cell>
          <cell r="H1210" t="str">
            <v>laboratorio</v>
          </cell>
          <cell r="J1210" t="str">
            <v>bueno</v>
          </cell>
          <cell r="K1210" t="str">
            <v>defsi</v>
          </cell>
        </row>
        <row r="1211">
          <cell r="B1211" t="b">
            <v>1</v>
          </cell>
          <cell r="E1211" t="str">
            <v>Pozon</v>
          </cell>
          <cell r="H1211" t="str">
            <v>consulta_externa</v>
          </cell>
          <cell r="J1211" t="str">
            <v>bueno</v>
          </cell>
          <cell r="K1211" t="str">
            <v>defsi</v>
          </cell>
        </row>
        <row r="1212">
          <cell r="B1212" t="b">
            <v>1</v>
          </cell>
          <cell r="E1212" t="str">
            <v>Pozon</v>
          </cell>
          <cell r="H1212" t="str">
            <v>salud_oral</v>
          </cell>
          <cell r="J1212" t="str">
            <v>bueno</v>
          </cell>
          <cell r="K1212" t="str">
            <v>defsi</v>
          </cell>
        </row>
        <row r="1213">
          <cell r="B1213" t="b">
            <v>1</v>
          </cell>
          <cell r="E1213" t="str">
            <v>Pozon</v>
          </cell>
          <cell r="H1213" t="str">
            <v>laboratorio</v>
          </cell>
          <cell r="J1213" t="str">
            <v>bueno</v>
          </cell>
          <cell r="K1213" t="str">
            <v>defsi</v>
          </cell>
        </row>
        <row r="1214">
          <cell r="B1214" t="b">
            <v>1</v>
          </cell>
          <cell r="E1214" t="str">
            <v>Pozon</v>
          </cell>
          <cell r="H1214" t="str">
            <v>consulta_externa</v>
          </cell>
          <cell r="J1214" t="str">
            <v>bueno</v>
          </cell>
          <cell r="K1214" t="str">
            <v>defsi</v>
          </cell>
        </row>
        <row r="1215">
          <cell r="B1215" t="b">
            <v>1</v>
          </cell>
          <cell r="E1215" t="str">
            <v>Pozon</v>
          </cell>
          <cell r="H1215" t="str">
            <v>salud_oral</v>
          </cell>
          <cell r="J1215" t="str">
            <v>bueno</v>
          </cell>
          <cell r="K1215" t="str">
            <v>defsi</v>
          </cell>
        </row>
        <row r="1216">
          <cell r="B1216" t="b">
            <v>1</v>
          </cell>
          <cell r="E1216" t="str">
            <v>Pozon</v>
          </cell>
          <cell r="H1216" t="str">
            <v>laboratorio</v>
          </cell>
          <cell r="J1216" t="str">
            <v>bueno</v>
          </cell>
          <cell r="K1216" t="str">
            <v>defsi</v>
          </cell>
        </row>
        <row r="1217">
          <cell r="B1217" t="b">
            <v>1</v>
          </cell>
          <cell r="E1217" t="str">
            <v>Pozon</v>
          </cell>
          <cell r="H1217" t="str">
            <v>consulta_externa</v>
          </cell>
          <cell r="J1217" t="str">
            <v>bueno</v>
          </cell>
          <cell r="K1217" t="str">
            <v>defsi</v>
          </cell>
        </row>
        <row r="1218">
          <cell r="B1218" t="b">
            <v>1</v>
          </cell>
          <cell r="E1218" t="str">
            <v>Pozon</v>
          </cell>
          <cell r="H1218" t="str">
            <v>salud_oral</v>
          </cell>
          <cell r="J1218" t="str">
            <v>bueno</v>
          </cell>
          <cell r="K1218" t="str">
            <v>defsi</v>
          </cell>
        </row>
        <row r="1219">
          <cell r="B1219" t="b">
            <v>1</v>
          </cell>
          <cell r="E1219" t="str">
            <v>Pozon</v>
          </cell>
          <cell r="H1219" t="str">
            <v>laboratorio</v>
          </cell>
          <cell r="J1219" t="str">
            <v>bueno</v>
          </cell>
          <cell r="K1219" t="str">
            <v>defsi</v>
          </cell>
        </row>
        <row r="1220">
          <cell r="B1220" t="b">
            <v>1</v>
          </cell>
          <cell r="E1220" t="str">
            <v>Pozon</v>
          </cell>
          <cell r="H1220" t="str">
            <v>consulta_externa</v>
          </cell>
          <cell r="J1220" t="str">
            <v>bueno</v>
          </cell>
          <cell r="K1220" t="str">
            <v>defsi</v>
          </cell>
        </row>
        <row r="1221">
          <cell r="B1221" t="b">
            <v>1</v>
          </cell>
          <cell r="E1221" t="str">
            <v>Pozon</v>
          </cell>
          <cell r="H1221" t="str">
            <v>salud_oral</v>
          </cell>
          <cell r="J1221" t="str">
            <v>bueno</v>
          </cell>
          <cell r="K1221" t="str">
            <v>defsi</v>
          </cell>
        </row>
        <row r="1222">
          <cell r="B1222" t="b">
            <v>1</v>
          </cell>
          <cell r="E1222" t="str">
            <v>Pozon</v>
          </cell>
          <cell r="H1222" t="str">
            <v>laboratorio</v>
          </cell>
          <cell r="J1222" t="str">
            <v>bueno</v>
          </cell>
          <cell r="K1222" t="str">
            <v>defsi</v>
          </cell>
        </row>
        <row r="1223">
          <cell r="B1223" t="b">
            <v>1</v>
          </cell>
          <cell r="E1223" t="str">
            <v>Candelaria</v>
          </cell>
          <cell r="H1223" t="str">
            <v>electros</v>
          </cell>
          <cell r="J1223" t="str">
            <v>bueno</v>
          </cell>
          <cell r="K1223" t="str">
            <v>defsi</v>
          </cell>
        </row>
        <row r="1224">
          <cell r="B1224" t="b">
            <v>1</v>
          </cell>
          <cell r="E1224" t="str">
            <v>Candelaria</v>
          </cell>
          <cell r="H1224" t="str">
            <v>electros</v>
          </cell>
          <cell r="J1224" t="str">
            <v>bueno</v>
          </cell>
          <cell r="K1224" t="str">
            <v>defsi</v>
          </cell>
        </row>
        <row r="1225">
          <cell r="B1225" t="b">
            <v>1</v>
          </cell>
          <cell r="E1225" t="str">
            <v>Candelaria</v>
          </cell>
          <cell r="H1225" t="str">
            <v>electros</v>
          </cell>
          <cell r="J1225" t="str">
            <v>bueno</v>
          </cell>
          <cell r="K1225" t="str">
            <v>defsi</v>
          </cell>
        </row>
        <row r="1226">
          <cell r="B1226" t="b">
            <v>0</v>
          </cell>
          <cell r="E1226" t="str">
            <v>Candelaria</v>
          </cell>
          <cell r="H1226" t="str">
            <v>electros</v>
          </cell>
          <cell r="J1226" t="str">
            <v>regular</v>
          </cell>
          <cell r="K1226" t="str">
            <v>defsi</v>
          </cell>
        </row>
        <row r="1227">
          <cell r="B1227" t="b">
            <v>1</v>
          </cell>
          <cell r="E1227" t="str">
            <v>Candelaria</v>
          </cell>
          <cell r="H1227" t="str">
            <v>salud_oral</v>
          </cell>
          <cell r="J1227" t="str">
            <v>bueno</v>
          </cell>
          <cell r="K1227" t="str">
            <v>defsi</v>
          </cell>
        </row>
        <row r="1228">
          <cell r="B1228" t="b">
            <v>1</v>
          </cell>
          <cell r="E1228" t="str">
            <v>Candelaria</v>
          </cell>
          <cell r="H1228" t="str">
            <v>electros</v>
          </cell>
          <cell r="J1228" t="str">
            <v>bueno</v>
          </cell>
          <cell r="K1228" t="str">
            <v>defsi</v>
          </cell>
        </row>
        <row r="1229">
          <cell r="B1229" t="b">
            <v>1</v>
          </cell>
          <cell r="E1229" t="str">
            <v>Candelaria</v>
          </cell>
          <cell r="H1229" t="str">
            <v>electros</v>
          </cell>
          <cell r="J1229" t="str">
            <v>bueno</v>
          </cell>
          <cell r="K1229" t="str">
            <v>defsi</v>
          </cell>
        </row>
        <row r="1230">
          <cell r="B1230" t="b">
            <v>1</v>
          </cell>
          <cell r="E1230" t="str">
            <v>Candelaria</v>
          </cell>
          <cell r="H1230" t="str">
            <v>electros</v>
          </cell>
          <cell r="J1230" t="str">
            <v>bueno</v>
          </cell>
          <cell r="K1230" t="str">
            <v>defsi</v>
          </cell>
        </row>
        <row r="1231">
          <cell r="B1231" t="b">
            <v>1</v>
          </cell>
          <cell r="E1231" t="str">
            <v>Nuevo Porvenir</v>
          </cell>
          <cell r="H1231" t="str">
            <v>consulta_externa</v>
          </cell>
          <cell r="J1231" t="str">
            <v>bueno</v>
          </cell>
          <cell r="K1231" t="str">
            <v>probsi</v>
          </cell>
        </row>
        <row r="1232">
          <cell r="B1232" t="b">
            <v>1</v>
          </cell>
          <cell r="E1232" t="str">
            <v>Nuevo Porvenir</v>
          </cell>
          <cell r="H1232" t="str">
            <v>laboratorio</v>
          </cell>
          <cell r="J1232" t="str">
            <v>bueno</v>
          </cell>
          <cell r="K1232" t="str">
            <v>probsi</v>
          </cell>
        </row>
        <row r="1233">
          <cell r="B1233" t="b">
            <v>1</v>
          </cell>
          <cell r="E1233" t="str">
            <v>Nuevo Porvenir</v>
          </cell>
          <cell r="H1233" t="str">
            <v>consulta_externa</v>
          </cell>
          <cell r="J1233" t="str">
            <v>bueno</v>
          </cell>
          <cell r="K1233" t="str">
            <v>probsi</v>
          </cell>
        </row>
        <row r="1234">
          <cell r="B1234" t="b">
            <v>1</v>
          </cell>
          <cell r="E1234" t="str">
            <v>Nuevo Porvenir</v>
          </cell>
          <cell r="H1234" t="str">
            <v>consulta_externa</v>
          </cell>
          <cell r="J1234" t="str">
            <v>bueno</v>
          </cell>
          <cell r="K1234" t="str">
            <v>probsi</v>
          </cell>
        </row>
        <row r="1235">
          <cell r="B1235" t="b">
            <v>1</v>
          </cell>
          <cell r="E1235" t="str">
            <v>Nuevo Porvenir</v>
          </cell>
          <cell r="H1235" t="str">
            <v>salud_oral</v>
          </cell>
          <cell r="J1235" t="str">
            <v>bueno</v>
          </cell>
          <cell r="K1235" t="str">
            <v>probsi</v>
          </cell>
        </row>
        <row r="1236">
          <cell r="B1236" t="b">
            <v>1</v>
          </cell>
          <cell r="E1236" t="str">
            <v>Nuevo Porvenir</v>
          </cell>
          <cell r="H1236" t="str">
            <v>consulta_externa</v>
          </cell>
          <cell r="J1236" t="str">
            <v>muybueno</v>
          </cell>
          <cell r="K1236" t="str">
            <v>probsi</v>
          </cell>
        </row>
        <row r="1237">
          <cell r="B1237" t="b">
            <v>1</v>
          </cell>
          <cell r="E1237" t="str">
            <v>Nuevo Porvenir</v>
          </cell>
          <cell r="H1237" t="str">
            <v>laboratorio</v>
          </cell>
          <cell r="J1237" t="str">
            <v>bueno</v>
          </cell>
          <cell r="K1237" t="str">
            <v>probsi</v>
          </cell>
        </row>
        <row r="1238">
          <cell r="B1238" t="b">
            <v>1</v>
          </cell>
          <cell r="E1238" t="str">
            <v>Nuevo Porvenir</v>
          </cell>
          <cell r="H1238" t="str">
            <v>consulta_externa</v>
          </cell>
          <cell r="J1238" t="str">
            <v>bueno</v>
          </cell>
          <cell r="K1238" t="str">
            <v>probsi</v>
          </cell>
        </row>
        <row r="1239">
          <cell r="B1239" t="b">
            <v>1</v>
          </cell>
          <cell r="E1239" t="str">
            <v>Nuevo Porvenir</v>
          </cell>
          <cell r="H1239" t="str">
            <v>consulta_externa</v>
          </cell>
          <cell r="J1239" t="str">
            <v>bueno</v>
          </cell>
          <cell r="K1239" t="str">
            <v>probsi</v>
          </cell>
        </row>
        <row r="1240">
          <cell r="B1240" t="b">
            <v>1</v>
          </cell>
          <cell r="E1240" t="str">
            <v>Nuevo Porvenir</v>
          </cell>
          <cell r="H1240" t="str">
            <v>salud_oral</v>
          </cell>
          <cell r="J1240" t="str">
            <v>bueno</v>
          </cell>
          <cell r="K1240" t="str">
            <v>probsi</v>
          </cell>
        </row>
        <row r="1241">
          <cell r="B1241" t="b">
            <v>1</v>
          </cell>
          <cell r="E1241" t="str">
            <v>Nuevo Porvenir</v>
          </cell>
          <cell r="H1241" t="str">
            <v>laboratorio</v>
          </cell>
          <cell r="J1241" t="str">
            <v>bueno</v>
          </cell>
          <cell r="K1241" t="str">
            <v>probsi</v>
          </cell>
        </row>
        <row r="1242">
          <cell r="B1242" t="b">
            <v>1</v>
          </cell>
          <cell r="E1242" t="str">
            <v>Nuevo Porvenir</v>
          </cell>
          <cell r="H1242" t="str">
            <v>consulta_externa</v>
          </cell>
          <cell r="J1242" t="str">
            <v>bueno</v>
          </cell>
          <cell r="K1242" t="str">
            <v>probsi</v>
          </cell>
        </row>
        <row r="1243">
          <cell r="B1243" t="b">
            <v>1</v>
          </cell>
          <cell r="E1243" t="str">
            <v>Nuevo Porvenir</v>
          </cell>
          <cell r="H1243" t="str">
            <v>salud_oral</v>
          </cell>
          <cell r="J1243" t="str">
            <v>bueno</v>
          </cell>
          <cell r="K1243" t="str">
            <v>probsi</v>
          </cell>
        </row>
        <row r="1244">
          <cell r="B1244" t="b">
            <v>1</v>
          </cell>
          <cell r="E1244" t="str">
            <v>Nuevo Porvenir</v>
          </cell>
          <cell r="H1244" t="str">
            <v>laboratorio</v>
          </cell>
          <cell r="J1244" t="str">
            <v>bueno</v>
          </cell>
          <cell r="K1244" t="str">
            <v>probsi</v>
          </cell>
        </row>
        <row r="1245">
          <cell r="B1245" t="b">
            <v>1</v>
          </cell>
          <cell r="E1245" t="str">
            <v>Nuevo Porvenir</v>
          </cell>
          <cell r="H1245" t="str">
            <v>consulta_externa</v>
          </cell>
          <cell r="J1245" t="str">
            <v>bueno</v>
          </cell>
          <cell r="K1245" t="str">
            <v>probsi</v>
          </cell>
        </row>
        <row r="1246">
          <cell r="B1246" t="b">
            <v>0</v>
          </cell>
          <cell r="E1246" t="str">
            <v>Nuevo Porvenir</v>
          </cell>
          <cell r="H1246" t="str">
            <v>laboratorio</v>
          </cell>
          <cell r="J1246" t="str">
            <v>regular</v>
          </cell>
          <cell r="K1246" t="str">
            <v>probsi</v>
          </cell>
        </row>
        <row r="1247">
          <cell r="B1247" t="b">
            <v>1</v>
          </cell>
          <cell r="E1247" t="str">
            <v>Nuevo Porvenir</v>
          </cell>
          <cell r="H1247" t="str">
            <v>consulta_externa</v>
          </cell>
          <cell r="J1247" t="str">
            <v>bueno</v>
          </cell>
          <cell r="K1247" t="str">
            <v>probsi</v>
          </cell>
        </row>
        <row r="1248">
          <cell r="B1248" t="b">
            <v>1</v>
          </cell>
          <cell r="E1248" t="str">
            <v>Nuevo Porvenir</v>
          </cell>
          <cell r="H1248" t="str">
            <v>salud_oral</v>
          </cell>
          <cell r="J1248" t="str">
            <v>bueno</v>
          </cell>
          <cell r="K1248" t="str">
            <v>probsi</v>
          </cell>
        </row>
        <row r="1249">
          <cell r="B1249" t="b">
            <v>1</v>
          </cell>
          <cell r="E1249" t="str">
            <v>Nuevo Porvenir</v>
          </cell>
          <cell r="H1249" t="str">
            <v>consulta_externa</v>
          </cell>
          <cell r="J1249" t="str">
            <v>bueno</v>
          </cell>
          <cell r="K1249" t="str">
            <v>probsi</v>
          </cell>
        </row>
        <row r="1250">
          <cell r="B1250" t="b">
            <v>1</v>
          </cell>
          <cell r="E1250" t="str">
            <v>Nuevo Porvenir</v>
          </cell>
          <cell r="H1250" t="str">
            <v>consulta_externa</v>
          </cell>
          <cell r="J1250" t="str">
            <v>bueno</v>
          </cell>
          <cell r="K1250" t="str">
            <v>probsi</v>
          </cell>
        </row>
        <row r="1251">
          <cell r="B1251" t="b">
            <v>1</v>
          </cell>
          <cell r="E1251" t="str">
            <v>Nuevo Porvenir</v>
          </cell>
          <cell r="H1251" t="str">
            <v>laboratorio</v>
          </cell>
          <cell r="J1251" t="str">
            <v>bueno</v>
          </cell>
          <cell r="K1251" t="str">
            <v>probsi</v>
          </cell>
        </row>
        <row r="1252">
          <cell r="B1252" t="b">
            <v>1</v>
          </cell>
          <cell r="E1252" t="str">
            <v>Nuevo Porvenir</v>
          </cell>
          <cell r="H1252" t="str">
            <v>consulta_externa</v>
          </cell>
          <cell r="J1252" t="str">
            <v>bueno</v>
          </cell>
          <cell r="K1252" t="str">
            <v>probsi</v>
          </cell>
        </row>
        <row r="1253">
          <cell r="B1253" t="b">
            <v>1</v>
          </cell>
          <cell r="E1253" t="str">
            <v>Nuevo Porvenir</v>
          </cell>
          <cell r="H1253" t="str">
            <v>consulta_externa</v>
          </cell>
          <cell r="J1253" t="str">
            <v>bueno</v>
          </cell>
          <cell r="K1253" t="str">
            <v>probsi</v>
          </cell>
        </row>
        <row r="1254">
          <cell r="B1254" t="b">
            <v>1</v>
          </cell>
          <cell r="E1254" t="str">
            <v>Nuevo Porvenir</v>
          </cell>
          <cell r="H1254" t="str">
            <v>salud_oral</v>
          </cell>
          <cell r="J1254" t="str">
            <v>bueno</v>
          </cell>
          <cell r="K1254" t="str">
            <v>probsi</v>
          </cell>
        </row>
        <row r="1255">
          <cell r="B1255" t="b">
            <v>1</v>
          </cell>
          <cell r="E1255" t="str">
            <v>Nuevo Porvenir</v>
          </cell>
          <cell r="H1255" t="str">
            <v>laboratorio</v>
          </cell>
          <cell r="J1255" t="str">
            <v>bueno</v>
          </cell>
          <cell r="K1255" t="str">
            <v>probsi</v>
          </cell>
        </row>
        <row r="1256">
          <cell r="B1256" t="b">
            <v>1</v>
          </cell>
          <cell r="E1256" t="str">
            <v>Nuevo Porvenir</v>
          </cell>
          <cell r="H1256" t="str">
            <v>salud_oral</v>
          </cell>
          <cell r="J1256" t="str">
            <v>bueno</v>
          </cell>
          <cell r="K1256" t="str">
            <v>probsi</v>
          </cell>
        </row>
        <row r="1257">
          <cell r="B1257" t="b">
            <v>1</v>
          </cell>
          <cell r="E1257" t="str">
            <v>Nuevo Porvenir</v>
          </cell>
          <cell r="H1257" t="str">
            <v>laboratorio</v>
          </cell>
          <cell r="J1257" t="str">
            <v>bueno</v>
          </cell>
          <cell r="K1257" t="str">
            <v>probsi</v>
          </cell>
        </row>
        <row r="1258">
          <cell r="B1258" t="b">
            <v>1</v>
          </cell>
          <cell r="E1258" t="str">
            <v>Nuevo Porvenir</v>
          </cell>
          <cell r="H1258" t="str">
            <v>salud_oral</v>
          </cell>
          <cell r="J1258" t="str">
            <v>muybueno</v>
          </cell>
          <cell r="K1258" t="str">
            <v>probsi</v>
          </cell>
        </row>
        <row r="1259">
          <cell r="B1259" t="b">
            <v>1</v>
          </cell>
          <cell r="E1259" t="str">
            <v>Nuevo Porvenir</v>
          </cell>
          <cell r="H1259" t="str">
            <v>laboratorio</v>
          </cell>
          <cell r="J1259" t="str">
            <v>bueno</v>
          </cell>
          <cell r="K1259" t="str">
            <v>probsi</v>
          </cell>
        </row>
        <row r="1260">
          <cell r="B1260" t="b">
            <v>1</v>
          </cell>
          <cell r="E1260" t="str">
            <v>Nuevo Porvenir</v>
          </cell>
          <cell r="H1260" t="str">
            <v>salud_oral</v>
          </cell>
          <cell r="J1260" t="str">
            <v>bueno</v>
          </cell>
          <cell r="K1260" t="str">
            <v>probsi</v>
          </cell>
        </row>
        <row r="1261">
          <cell r="B1261" t="b">
            <v>1</v>
          </cell>
          <cell r="E1261" t="str">
            <v>Nuevo Porvenir</v>
          </cell>
          <cell r="H1261" t="str">
            <v>laboratorio</v>
          </cell>
          <cell r="J1261" t="str">
            <v>bueno</v>
          </cell>
          <cell r="K1261" t="str">
            <v>probsi</v>
          </cell>
        </row>
        <row r="1262">
          <cell r="B1262" t="b">
            <v>1</v>
          </cell>
          <cell r="E1262" t="str">
            <v>Bayunca</v>
          </cell>
          <cell r="H1262" t="str">
            <v>consulta_externa</v>
          </cell>
          <cell r="J1262" t="str">
            <v>bueno</v>
          </cell>
          <cell r="K1262" t="str">
            <v>defsi</v>
          </cell>
        </row>
        <row r="1263">
          <cell r="B1263" t="b">
            <v>1</v>
          </cell>
          <cell r="E1263" t="str">
            <v>Bayunca</v>
          </cell>
          <cell r="H1263" t="str">
            <v>laboratorio</v>
          </cell>
          <cell r="J1263" t="str">
            <v>bueno</v>
          </cell>
          <cell r="K1263" t="str">
            <v>defsi</v>
          </cell>
        </row>
        <row r="1264">
          <cell r="B1264" t="b">
            <v>1</v>
          </cell>
          <cell r="E1264" t="str">
            <v>Nuevo Porvenir</v>
          </cell>
          <cell r="H1264" t="str">
            <v>salud_oral</v>
          </cell>
          <cell r="J1264" t="str">
            <v>bueno</v>
          </cell>
          <cell r="K1264" t="str">
            <v>probsi</v>
          </cell>
        </row>
        <row r="1265">
          <cell r="B1265" t="b">
            <v>1</v>
          </cell>
          <cell r="E1265" t="str">
            <v>Canapote</v>
          </cell>
          <cell r="H1265" t="str">
            <v>consulta_externa</v>
          </cell>
          <cell r="J1265" t="str">
            <v>bueno</v>
          </cell>
          <cell r="K1265" t="str">
            <v>defsi</v>
          </cell>
        </row>
        <row r="1266">
          <cell r="B1266" t="b">
            <v>1</v>
          </cell>
          <cell r="E1266" t="str">
            <v>Canapote</v>
          </cell>
          <cell r="H1266" t="str">
            <v>salud_oral</v>
          </cell>
          <cell r="J1266" t="str">
            <v>bueno</v>
          </cell>
          <cell r="K1266" t="str">
            <v>defsi</v>
          </cell>
        </row>
        <row r="1267">
          <cell r="B1267" t="b">
            <v>1</v>
          </cell>
          <cell r="E1267" t="str">
            <v>Canapote</v>
          </cell>
          <cell r="H1267" t="str">
            <v>laboratorio</v>
          </cell>
          <cell r="J1267" t="str">
            <v>bueno</v>
          </cell>
          <cell r="K1267" t="str">
            <v>defsi</v>
          </cell>
        </row>
        <row r="1268">
          <cell r="B1268" t="b">
            <v>1</v>
          </cell>
          <cell r="E1268" t="str">
            <v>Nuevo Porvenir</v>
          </cell>
          <cell r="H1268" t="str">
            <v>laboratorio</v>
          </cell>
          <cell r="J1268" t="str">
            <v>bueno</v>
          </cell>
          <cell r="K1268" t="str">
            <v>probsi</v>
          </cell>
        </row>
        <row r="1269">
          <cell r="B1269" t="b">
            <v>1</v>
          </cell>
          <cell r="E1269" t="str">
            <v>Bayunca</v>
          </cell>
          <cell r="H1269" t="str">
            <v>laboratorio</v>
          </cell>
          <cell r="J1269" t="str">
            <v>bueno</v>
          </cell>
          <cell r="K1269" t="str">
            <v>defsi</v>
          </cell>
        </row>
        <row r="1270">
          <cell r="B1270" t="b">
            <v>1</v>
          </cell>
          <cell r="E1270" t="str">
            <v>Canapote</v>
          </cell>
          <cell r="H1270" t="str">
            <v>consulta_externa</v>
          </cell>
          <cell r="J1270" t="str">
            <v>bueno</v>
          </cell>
          <cell r="K1270" t="str">
            <v>defsi</v>
          </cell>
        </row>
        <row r="1271">
          <cell r="B1271" t="b">
            <v>1</v>
          </cell>
          <cell r="E1271" t="str">
            <v>Bayunca</v>
          </cell>
          <cell r="H1271" t="str">
            <v>laboratorio</v>
          </cell>
          <cell r="J1271" t="str">
            <v>bueno</v>
          </cell>
          <cell r="K1271" t="str">
            <v>defsi</v>
          </cell>
        </row>
        <row r="1272">
          <cell r="B1272" t="b">
            <v>1</v>
          </cell>
          <cell r="E1272" t="str">
            <v>Bayunca</v>
          </cell>
          <cell r="H1272" t="str">
            <v>laboratorio</v>
          </cell>
          <cell r="J1272" t="str">
            <v>bueno</v>
          </cell>
          <cell r="K1272" t="str">
            <v>defsi</v>
          </cell>
        </row>
        <row r="1273">
          <cell r="B1273" t="b">
            <v>1</v>
          </cell>
          <cell r="E1273" t="str">
            <v>Canapote</v>
          </cell>
          <cell r="H1273" t="str">
            <v>salud_oral</v>
          </cell>
          <cell r="J1273" t="str">
            <v>bueno</v>
          </cell>
          <cell r="K1273" t="str">
            <v>defsi</v>
          </cell>
        </row>
        <row r="1274">
          <cell r="B1274" t="b">
            <v>1</v>
          </cell>
          <cell r="E1274" t="str">
            <v>Bayunca</v>
          </cell>
          <cell r="H1274" t="str">
            <v>laboratorio</v>
          </cell>
          <cell r="J1274" t="str">
            <v>bueno</v>
          </cell>
          <cell r="K1274" t="str">
            <v>defsi</v>
          </cell>
        </row>
        <row r="1275">
          <cell r="B1275" t="b">
            <v>1</v>
          </cell>
          <cell r="E1275" t="str">
            <v>Canapote</v>
          </cell>
          <cell r="H1275" t="str">
            <v>laboratorio</v>
          </cell>
          <cell r="J1275" t="str">
            <v>bueno</v>
          </cell>
          <cell r="K1275" t="str">
            <v>defsi</v>
          </cell>
        </row>
        <row r="1276">
          <cell r="B1276" t="b">
            <v>1</v>
          </cell>
          <cell r="E1276" t="str">
            <v>Bayunca</v>
          </cell>
          <cell r="H1276" t="str">
            <v>laboratorio</v>
          </cell>
          <cell r="J1276" t="str">
            <v>bueno</v>
          </cell>
          <cell r="K1276" t="str">
            <v>defsi</v>
          </cell>
        </row>
        <row r="1277">
          <cell r="B1277" t="b">
            <v>1</v>
          </cell>
          <cell r="E1277" t="str">
            <v>Bayunca</v>
          </cell>
          <cell r="H1277" t="str">
            <v>laboratorio</v>
          </cell>
          <cell r="J1277" t="str">
            <v>bueno</v>
          </cell>
          <cell r="K1277" t="str">
            <v>defsi</v>
          </cell>
        </row>
        <row r="1278">
          <cell r="B1278" t="b">
            <v>1</v>
          </cell>
          <cell r="E1278" t="str">
            <v>Canapote</v>
          </cell>
          <cell r="H1278" t="str">
            <v>consulta_externa</v>
          </cell>
          <cell r="J1278" t="str">
            <v>bueno</v>
          </cell>
          <cell r="K1278" t="str">
            <v>defsi</v>
          </cell>
        </row>
        <row r="1279">
          <cell r="B1279" t="b">
            <v>0</v>
          </cell>
          <cell r="E1279" t="str">
            <v>Bayunca</v>
          </cell>
          <cell r="H1279" t="str">
            <v>laboratorio</v>
          </cell>
          <cell r="J1279" t="str">
            <v>regular</v>
          </cell>
          <cell r="K1279" t="str">
            <v>defsi</v>
          </cell>
        </row>
        <row r="1280">
          <cell r="B1280" t="b">
            <v>1</v>
          </cell>
          <cell r="E1280" t="str">
            <v>Bayunca</v>
          </cell>
          <cell r="H1280" t="str">
            <v>laboratorio</v>
          </cell>
          <cell r="J1280" t="str">
            <v>bueno</v>
          </cell>
          <cell r="K1280" t="str">
            <v>defsi</v>
          </cell>
        </row>
        <row r="1281">
          <cell r="B1281" t="b">
            <v>1</v>
          </cell>
          <cell r="E1281" t="str">
            <v>Bayunca</v>
          </cell>
          <cell r="H1281" t="str">
            <v>laboratorio</v>
          </cell>
          <cell r="J1281" t="str">
            <v>bueno</v>
          </cell>
          <cell r="K1281" t="str">
            <v>defsi</v>
          </cell>
        </row>
        <row r="1282">
          <cell r="B1282" t="b">
            <v>1</v>
          </cell>
          <cell r="E1282" t="str">
            <v>Canapote</v>
          </cell>
          <cell r="H1282" t="str">
            <v>salud_oral</v>
          </cell>
          <cell r="J1282" t="str">
            <v>bueno</v>
          </cell>
          <cell r="K1282" t="str">
            <v>defsi</v>
          </cell>
        </row>
        <row r="1283">
          <cell r="B1283" t="b">
            <v>1</v>
          </cell>
          <cell r="E1283" t="str">
            <v>Canapote</v>
          </cell>
          <cell r="H1283" t="str">
            <v>laboratorio</v>
          </cell>
          <cell r="J1283" t="str">
            <v>bueno</v>
          </cell>
          <cell r="K1283" t="str">
            <v>defsi</v>
          </cell>
        </row>
        <row r="1284">
          <cell r="B1284" t="b">
            <v>1</v>
          </cell>
          <cell r="E1284" t="str">
            <v>Canapote</v>
          </cell>
          <cell r="H1284" t="str">
            <v>consulta_externa</v>
          </cell>
          <cell r="J1284" t="str">
            <v>bueno</v>
          </cell>
          <cell r="K1284" t="str">
            <v>defsi</v>
          </cell>
        </row>
        <row r="1285">
          <cell r="B1285" t="b">
            <v>1</v>
          </cell>
          <cell r="E1285" t="str">
            <v>Canapote</v>
          </cell>
          <cell r="H1285" t="str">
            <v>salud_oral</v>
          </cell>
          <cell r="J1285" t="str">
            <v>bueno</v>
          </cell>
          <cell r="K1285" t="str">
            <v>defsi</v>
          </cell>
        </row>
        <row r="1286">
          <cell r="B1286" t="b">
            <v>1</v>
          </cell>
          <cell r="E1286" t="str">
            <v>Canapote</v>
          </cell>
          <cell r="H1286" t="str">
            <v>laboratorio</v>
          </cell>
          <cell r="J1286" t="str">
            <v>bueno</v>
          </cell>
          <cell r="K1286" t="str">
            <v>defsi</v>
          </cell>
        </row>
        <row r="1287">
          <cell r="B1287" t="b">
            <v>0</v>
          </cell>
          <cell r="E1287" t="str">
            <v>Bayunca</v>
          </cell>
          <cell r="H1287" t="str">
            <v>laboratorio</v>
          </cell>
          <cell r="J1287" t="str">
            <v>regular</v>
          </cell>
          <cell r="K1287" t="str">
            <v>probsi</v>
          </cell>
        </row>
        <row r="1288">
          <cell r="B1288" t="b">
            <v>1</v>
          </cell>
          <cell r="E1288" t="str">
            <v>Canapote</v>
          </cell>
          <cell r="H1288" t="str">
            <v>consulta_externa</v>
          </cell>
          <cell r="J1288" t="str">
            <v>bueno</v>
          </cell>
          <cell r="K1288" t="str">
            <v>defsi</v>
          </cell>
        </row>
        <row r="1289">
          <cell r="B1289" t="b">
            <v>1</v>
          </cell>
          <cell r="E1289" t="str">
            <v>Canapote</v>
          </cell>
          <cell r="H1289" t="str">
            <v>salud_oral</v>
          </cell>
          <cell r="J1289" t="str">
            <v>bueno</v>
          </cell>
          <cell r="K1289" t="str">
            <v>defsi</v>
          </cell>
        </row>
        <row r="1290">
          <cell r="B1290" t="b">
            <v>1</v>
          </cell>
          <cell r="E1290" t="str">
            <v>Canapote</v>
          </cell>
          <cell r="H1290" t="str">
            <v>laboratorio</v>
          </cell>
          <cell r="J1290" t="str">
            <v>bueno</v>
          </cell>
          <cell r="K1290" t="str">
            <v>defsi</v>
          </cell>
        </row>
        <row r="1291">
          <cell r="B1291" t="b">
            <v>1</v>
          </cell>
          <cell r="E1291" t="str">
            <v>Bayunca</v>
          </cell>
          <cell r="H1291" t="str">
            <v>consulta_externa</v>
          </cell>
          <cell r="J1291" t="str">
            <v>bueno</v>
          </cell>
          <cell r="K1291" t="str">
            <v>defsi</v>
          </cell>
        </row>
        <row r="1292">
          <cell r="B1292" t="b">
            <v>0</v>
          </cell>
          <cell r="E1292" t="str">
            <v>Bayunca</v>
          </cell>
          <cell r="H1292" t="str">
            <v>laboratorio</v>
          </cell>
          <cell r="J1292" t="str">
            <v>regular</v>
          </cell>
          <cell r="K1292" t="str">
            <v>probno</v>
          </cell>
        </row>
        <row r="1293">
          <cell r="B1293" t="b">
            <v>1</v>
          </cell>
          <cell r="E1293" t="str">
            <v>Bayunca</v>
          </cell>
          <cell r="H1293" t="str">
            <v>consulta_externa</v>
          </cell>
          <cell r="J1293" t="str">
            <v>bueno</v>
          </cell>
          <cell r="K1293" t="str">
            <v>defsi</v>
          </cell>
        </row>
        <row r="1294">
          <cell r="B1294" t="b">
            <v>1</v>
          </cell>
          <cell r="E1294" t="str">
            <v>Bayunca</v>
          </cell>
          <cell r="H1294" t="str">
            <v>consulta_externa</v>
          </cell>
          <cell r="J1294" t="str">
            <v>bueno</v>
          </cell>
          <cell r="K1294" t="str">
            <v>defsi</v>
          </cell>
        </row>
        <row r="1295">
          <cell r="B1295" t="b">
            <v>1</v>
          </cell>
          <cell r="E1295" t="str">
            <v>Canapote</v>
          </cell>
          <cell r="H1295" t="str">
            <v>consulta_externa</v>
          </cell>
          <cell r="J1295" t="str">
            <v>bueno</v>
          </cell>
          <cell r="K1295" t="str">
            <v>defsi</v>
          </cell>
        </row>
        <row r="1296">
          <cell r="B1296" t="b">
            <v>1</v>
          </cell>
          <cell r="E1296" t="str">
            <v>Canapote</v>
          </cell>
          <cell r="H1296" t="str">
            <v>salud_oral</v>
          </cell>
          <cell r="J1296" t="str">
            <v>bueno</v>
          </cell>
          <cell r="K1296" t="str">
            <v>defsi</v>
          </cell>
        </row>
        <row r="1297">
          <cell r="B1297" t="b">
            <v>1</v>
          </cell>
          <cell r="E1297" t="str">
            <v>Canapote</v>
          </cell>
          <cell r="H1297" t="str">
            <v>laboratorio</v>
          </cell>
          <cell r="J1297" t="str">
            <v>bueno</v>
          </cell>
          <cell r="K1297" t="str">
            <v>defsi</v>
          </cell>
        </row>
        <row r="1298">
          <cell r="B1298" t="b">
            <v>1</v>
          </cell>
          <cell r="E1298" t="str">
            <v>Bayunca</v>
          </cell>
          <cell r="H1298" t="str">
            <v>consulta_externa</v>
          </cell>
          <cell r="J1298" t="str">
            <v>muybueno</v>
          </cell>
          <cell r="K1298" t="str">
            <v>defsi</v>
          </cell>
        </row>
        <row r="1299">
          <cell r="B1299" t="b">
            <v>1</v>
          </cell>
          <cell r="E1299" t="str">
            <v>Bayunca</v>
          </cell>
          <cell r="H1299" t="str">
            <v>salud_oral</v>
          </cell>
          <cell r="J1299" t="str">
            <v>bueno</v>
          </cell>
          <cell r="K1299" t="str">
            <v>defsi</v>
          </cell>
        </row>
        <row r="1300">
          <cell r="B1300" t="b">
            <v>1</v>
          </cell>
          <cell r="E1300" t="str">
            <v>Bayunca</v>
          </cell>
          <cell r="H1300" t="str">
            <v>salud_oral</v>
          </cell>
          <cell r="J1300" t="str">
            <v>bueno</v>
          </cell>
          <cell r="K1300" t="str">
            <v>defsi</v>
          </cell>
        </row>
        <row r="1301">
          <cell r="B1301" t="b">
            <v>1</v>
          </cell>
          <cell r="E1301" t="str">
            <v>Bayunca</v>
          </cell>
          <cell r="H1301" t="str">
            <v>laboratorio</v>
          </cell>
          <cell r="J1301" t="str">
            <v>bueno</v>
          </cell>
          <cell r="K1301" t="str">
            <v>defsi</v>
          </cell>
        </row>
        <row r="1302">
          <cell r="B1302" t="b">
            <v>1</v>
          </cell>
          <cell r="E1302" t="str">
            <v>Bayunca</v>
          </cell>
          <cell r="H1302" t="str">
            <v>salud_oral</v>
          </cell>
          <cell r="J1302" t="str">
            <v>bueno</v>
          </cell>
          <cell r="K1302" t="str">
            <v>defsi</v>
          </cell>
        </row>
        <row r="1303">
          <cell r="B1303" t="b">
            <v>1</v>
          </cell>
          <cell r="E1303" t="str">
            <v>Canapote</v>
          </cell>
          <cell r="H1303" t="str">
            <v>consulta_externa</v>
          </cell>
          <cell r="J1303" t="str">
            <v>bueno</v>
          </cell>
          <cell r="K1303" t="str">
            <v>defsi</v>
          </cell>
        </row>
        <row r="1304">
          <cell r="B1304" t="b">
            <v>1</v>
          </cell>
          <cell r="E1304" t="str">
            <v>Canapote</v>
          </cell>
          <cell r="H1304" t="str">
            <v>salud_oral</v>
          </cell>
          <cell r="J1304" t="str">
            <v>bueno</v>
          </cell>
          <cell r="K1304" t="str">
            <v>defsi</v>
          </cell>
        </row>
        <row r="1305">
          <cell r="B1305" t="b">
            <v>1</v>
          </cell>
          <cell r="E1305" t="str">
            <v>Canapote</v>
          </cell>
          <cell r="H1305" t="str">
            <v>laboratorio</v>
          </cell>
          <cell r="J1305" t="str">
            <v>bueno</v>
          </cell>
          <cell r="K1305" t="str">
            <v>defsi</v>
          </cell>
        </row>
        <row r="1306">
          <cell r="B1306" t="b">
            <v>1</v>
          </cell>
          <cell r="E1306" t="str">
            <v>Canapote</v>
          </cell>
          <cell r="H1306" t="str">
            <v>consulta_externa</v>
          </cell>
          <cell r="J1306" t="str">
            <v>bueno</v>
          </cell>
          <cell r="K1306" t="str">
            <v>defsi</v>
          </cell>
        </row>
        <row r="1307">
          <cell r="B1307" t="b">
            <v>0</v>
          </cell>
          <cell r="E1307" t="str">
            <v>Bayunca</v>
          </cell>
          <cell r="H1307" t="str">
            <v>urgencia</v>
          </cell>
          <cell r="J1307" t="str">
            <v>malo</v>
          </cell>
          <cell r="K1307" t="str">
            <v>defno</v>
          </cell>
        </row>
        <row r="1308">
          <cell r="B1308" t="b">
            <v>1</v>
          </cell>
          <cell r="E1308" t="str">
            <v>Los Cerros</v>
          </cell>
          <cell r="H1308" t="str">
            <v>consulta_externa</v>
          </cell>
          <cell r="J1308" t="str">
            <v>bueno</v>
          </cell>
          <cell r="K1308" t="str">
            <v>probsi</v>
          </cell>
        </row>
        <row r="1309">
          <cell r="B1309" t="b">
            <v>1</v>
          </cell>
          <cell r="E1309" t="str">
            <v>Bayunca</v>
          </cell>
          <cell r="H1309" t="str">
            <v>consulta_externa</v>
          </cell>
          <cell r="J1309" t="str">
            <v>bueno</v>
          </cell>
          <cell r="K1309" t="str">
            <v>defsi</v>
          </cell>
        </row>
        <row r="1310">
          <cell r="B1310" t="b">
            <v>1</v>
          </cell>
          <cell r="E1310" t="str">
            <v>Bayunca</v>
          </cell>
          <cell r="H1310" t="str">
            <v>salud_oral</v>
          </cell>
          <cell r="J1310" t="str">
            <v>bueno</v>
          </cell>
          <cell r="K1310" t="str">
            <v>defsi</v>
          </cell>
        </row>
        <row r="1311">
          <cell r="B1311" t="b">
            <v>1</v>
          </cell>
          <cell r="E1311" t="str">
            <v>Bayunca</v>
          </cell>
          <cell r="H1311" t="str">
            <v>consulta_externa</v>
          </cell>
          <cell r="J1311" t="str">
            <v>bueno</v>
          </cell>
          <cell r="K1311" t="str">
            <v>defsi</v>
          </cell>
        </row>
        <row r="1312">
          <cell r="B1312" t="b">
            <v>1</v>
          </cell>
          <cell r="E1312" t="str">
            <v>Bayunca</v>
          </cell>
          <cell r="H1312" t="str">
            <v>consulta_externa</v>
          </cell>
          <cell r="J1312" t="str">
            <v>bueno</v>
          </cell>
          <cell r="K1312" t="str">
            <v>defsi</v>
          </cell>
        </row>
        <row r="1313">
          <cell r="B1313" t="b">
            <v>1</v>
          </cell>
          <cell r="E1313" t="str">
            <v>Bayunca</v>
          </cell>
          <cell r="H1313" t="str">
            <v>salud_oral</v>
          </cell>
          <cell r="J1313" t="str">
            <v>bueno</v>
          </cell>
          <cell r="K1313" t="str">
            <v>defsi</v>
          </cell>
        </row>
        <row r="1314">
          <cell r="B1314" t="b">
            <v>1</v>
          </cell>
          <cell r="E1314" t="str">
            <v>Bayunca</v>
          </cell>
          <cell r="H1314" t="str">
            <v>consulta_externa</v>
          </cell>
          <cell r="J1314" t="str">
            <v>bueno</v>
          </cell>
          <cell r="K1314" t="str">
            <v>defsi</v>
          </cell>
        </row>
        <row r="1315">
          <cell r="B1315" t="b">
            <v>1</v>
          </cell>
          <cell r="E1315" t="str">
            <v>Bayunca</v>
          </cell>
          <cell r="H1315" t="str">
            <v>salud_oral</v>
          </cell>
          <cell r="J1315" t="str">
            <v>bueno</v>
          </cell>
          <cell r="K1315" t="str">
            <v>defsi</v>
          </cell>
        </row>
        <row r="1316">
          <cell r="B1316" t="b">
            <v>1</v>
          </cell>
          <cell r="E1316" t="str">
            <v>Bayunca</v>
          </cell>
          <cell r="H1316" t="str">
            <v>consulta_externa</v>
          </cell>
          <cell r="J1316" t="str">
            <v>bueno</v>
          </cell>
          <cell r="K1316" t="str">
            <v>defsi</v>
          </cell>
        </row>
        <row r="1317">
          <cell r="B1317" t="b">
            <v>1</v>
          </cell>
          <cell r="E1317" t="str">
            <v>Bayunca</v>
          </cell>
          <cell r="H1317" t="str">
            <v>laboratorio</v>
          </cell>
          <cell r="J1317" t="str">
            <v>bueno</v>
          </cell>
          <cell r="K1317" t="str">
            <v>defsi</v>
          </cell>
        </row>
        <row r="1318">
          <cell r="B1318" t="b">
            <v>1</v>
          </cell>
          <cell r="E1318" t="str">
            <v>Bayunca</v>
          </cell>
          <cell r="H1318" t="str">
            <v>salud_oral</v>
          </cell>
          <cell r="J1318" t="str">
            <v>bueno</v>
          </cell>
          <cell r="K1318" t="str">
            <v>defsi</v>
          </cell>
        </row>
        <row r="1319">
          <cell r="B1319" t="b">
            <v>1</v>
          </cell>
          <cell r="E1319" t="str">
            <v>Los Cerros</v>
          </cell>
          <cell r="H1319" t="str">
            <v>consulta_externa</v>
          </cell>
          <cell r="J1319" t="str">
            <v>bueno</v>
          </cell>
          <cell r="K1319" t="str">
            <v>probsi</v>
          </cell>
        </row>
        <row r="1320">
          <cell r="B1320" t="b">
            <v>1</v>
          </cell>
          <cell r="E1320" t="str">
            <v>Los Cerros</v>
          </cell>
          <cell r="H1320" t="str">
            <v>consulta_externa</v>
          </cell>
          <cell r="J1320" t="str">
            <v>bueno</v>
          </cell>
          <cell r="K1320" t="str">
            <v>probsi</v>
          </cell>
        </row>
        <row r="1321">
          <cell r="B1321" t="b">
            <v>1</v>
          </cell>
          <cell r="E1321" t="str">
            <v>Los Cerros</v>
          </cell>
          <cell r="H1321" t="str">
            <v>laboratorio</v>
          </cell>
          <cell r="J1321" t="str">
            <v>bueno</v>
          </cell>
          <cell r="K1321" t="str">
            <v>probsi</v>
          </cell>
        </row>
        <row r="1322">
          <cell r="B1322" t="b">
            <v>1</v>
          </cell>
          <cell r="E1322" t="str">
            <v>Bayunca</v>
          </cell>
          <cell r="H1322" t="str">
            <v>consulta_externa</v>
          </cell>
          <cell r="J1322" t="str">
            <v>bueno</v>
          </cell>
          <cell r="K1322" t="str">
            <v>defsi</v>
          </cell>
        </row>
        <row r="1323">
          <cell r="B1323" t="b">
            <v>1</v>
          </cell>
          <cell r="E1323" t="str">
            <v>Los Cerros</v>
          </cell>
          <cell r="H1323" t="str">
            <v>salud_oral</v>
          </cell>
          <cell r="J1323" t="str">
            <v>bueno</v>
          </cell>
          <cell r="K1323" t="str">
            <v>probsi</v>
          </cell>
        </row>
        <row r="1324">
          <cell r="B1324" t="b">
            <v>1</v>
          </cell>
          <cell r="E1324" t="str">
            <v>Los Cerros</v>
          </cell>
          <cell r="H1324" t="str">
            <v>salud_oral</v>
          </cell>
          <cell r="J1324" t="str">
            <v>bueno</v>
          </cell>
          <cell r="K1324" t="str">
            <v>probsi</v>
          </cell>
        </row>
        <row r="1325">
          <cell r="B1325" t="b">
            <v>1</v>
          </cell>
          <cell r="E1325" t="str">
            <v>Los Cerros</v>
          </cell>
          <cell r="H1325" t="str">
            <v>salud_oral</v>
          </cell>
          <cell r="J1325" t="str">
            <v>bueno</v>
          </cell>
          <cell r="K1325" t="str">
            <v>probsi</v>
          </cell>
        </row>
        <row r="1326">
          <cell r="B1326" t="b">
            <v>1</v>
          </cell>
          <cell r="E1326" t="str">
            <v>Bayunca</v>
          </cell>
          <cell r="H1326" t="str">
            <v>consulta_externa</v>
          </cell>
          <cell r="J1326" t="str">
            <v>bueno</v>
          </cell>
          <cell r="K1326" t="str">
            <v>defsi</v>
          </cell>
        </row>
        <row r="1327">
          <cell r="B1327" t="b">
            <v>1</v>
          </cell>
          <cell r="E1327" t="str">
            <v>Bayunca</v>
          </cell>
          <cell r="H1327" t="str">
            <v>salud_oral</v>
          </cell>
          <cell r="J1327" t="str">
            <v>bueno</v>
          </cell>
          <cell r="K1327" t="str">
            <v>defsi</v>
          </cell>
        </row>
        <row r="1328">
          <cell r="B1328" t="b">
            <v>1</v>
          </cell>
          <cell r="E1328" t="str">
            <v>Bayunca</v>
          </cell>
          <cell r="H1328" t="str">
            <v>consulta_externa</v>
          </cell>
          <cell r="J1328" t="str">
            <v>bueno</v>
          </cell>
          <cell r="K1328" t="str">
            <v>defsi</v>
          </cell>
        </row>
        <row r="1329">
          <cell r="B1329" t="b">
            <v>1</v>
          </cell>
          <cell r="E1329" t="str">
            <v>Los Cerros</v>
          </cell>
          <cell r="H1329" t="str">
            <v>salud_oral</v>
          </cell>
          <cell r="J1329" t="str">
            <v>bueno</v>
          </cell>
          <cell r="K1329" t="str">
            <v>probsi</v>
          </cell>
        </row>
        <row r="1330">
          <cell r="B1330" t="b">
            <v>1</v>
          </cell>
          <cell r="E1330" t="str">
            <v>Los Cerros</v>
          </cell>
          <cell r="H1330" t="str">
            <v>consulta_externa</v>
          </cell>
          <cell r="J1330" t="str">
            <v>bueno</v>
          </cell>
          <cell r="K1330" t="str">
            <v>probsi</v>
          </cell>
        </row>
        <row r="1331">
          <cell r="B1331" t="b">
            <v>1</v>
          </cell>
          <cell r="E1331" t="str">
            <v>Los Cerros</v>
          </cell>
          <cell r="H1331" t="str">
            <v>consulta_externa</v>
          </cell>
          <cell r="J1331" t="str">
            <v>bueno</v>
          </cell>
          <cell r="K1331" t="str">
            <v>probsi</v>
          </cell>
        </row>
        <row r="1332">
          <cell r="B1332" t="b">
            <v>1</v>
          </cell>
          <cell r="E1332" t="str">
            <v>Los Cerros</v>
          </cell>
          <cell r="H1332" t="str">
            <v>laboratorio</v>
          </cell>
          <cell r="J1332" t="str">
            <v>bueno</v>
          </cell>
          <cell r="K1332" t="str">
            <v>probsi</v>
          </cell>
        </row>
        <row r="1333">
          <cell r="B1333" t="b">
            <v>1</v>
          </cell>
          <cell r="E1333" t="str">
            <v>Los Cerros</v>
          </cell>
          <cell r="H1333" t="str">
            <v>laboratorio</v>
          </cell>
          <cell r="J1333" t="str">
            <v>bueno</v>
          </cell>
          <cell r="K1333" t="str">
            <v>probsi</v>
          </cell>
        </row>
        <row r="1334">
          <cell r="B1334" t="b">
            <v>1</v>
          </cell>
          <cell r="E1334" t="str">
            <v>Los Cerros</v>
          </cell>
          <cell r="H1334" t="str">
            <v>laboratorio</v>
          </cell>
          <cell r="J1334" t="str">
            <v>bueno</v>
          </cell>
          <cell r="K1334" t="str">
            <v>probsi</v>
          </cell>
        </row>
        <row r="1335">
          <cell r="B1335" t="b">
            <v>1</v>
          </cell>
          <cell r="E1335" t="str">
            <v>Los Cerros</v>
          </cell>
          <cell r="H1335" t="str">
            <v>laboratorio</v>
          </cell>
          <cell r="J1335" t="str">
            <v>bueno</v>
          </cell>
          <cell r="K1335" t="str">
            <v>probsi</v>
          </cell>
        </row>
        <row r="1336">
          <cell r="B1336" t="b">
            <v>1</v>
          </cell>
          <cell r="E1336" t="str">
            <v>Los Cerros</v>
          </cell>
          <cell r="H1336" t="str">
            <v>medicina_interna</v>
          </cell>
          <cell r="J1336" t="str">
            <v>bueno</v>
          </cell>
          <cell r="K1336" t="str">
            <v>probsi</v>
          </cell>
        </row>
        <row r="1337">
          <cell r="B1337" t="b">
            <v>1</v>
          </cell>
          <cell r="E1337" t="str">
            <v>Bayunca</v>
          </cell>
          <cell r="H1337" t="str">
            <v>consulta_externa</v>
          </cell>
          <cell r="J1337" t="str">
            <v>bueno</v>
          </cell>
          <cell r="K1337" t="str">
            <v>defsi</v>
          </cell>
        </row>
        <row r="1338">
          <cell r="B1338" t="b">
            <v>0</v>
          </cell>
          <cell r="E1338" t="str">
            <v>Bayunca</v>
          </cell>
          <cell r="H1338" t="str">
            <v>laboratorio</v>
          </cell>
          <cell r="J1338" t="str">
            <v>regular</v>
          </cell>
          <cell r="K1338" t="str">
            <v>probsi</v>
          </cell>
        </row>
        <row r="1339">
          <cell r="B1339" t="b">
            <v>0</v>
          </cell>
          <cell r="E1339" t="str">
            <v>Bayunca</v>
          </cell>
          <cell r="H1339" t="str">
            <v>salud_oral</v>
          </cell>
          <cell r="J1339" t="str">
            <v>regular</v>
          </cell>
          <cell r="K1339" t="str">
            <v>probsi</v>
          </cell>
        </row>
        <row r="1340">
          <cell r="B1340" t="b">
            <v>1</v>
          </cell>
          <cell r="E1340" t="str">
            <v>Bayunca</v>
          </cell>
          <cell r="H1340" t="str">
            <v>salud_oral</v>
          </cell>
          <cell r="J1340" t="str">
            <v>muybueno</v>
          </cell>
          <cell r="K1340" t="str">
            <v>probsi</v>
          </cell>
        </row>
        <row r="1341">
          <cell r="B1341" t="b">
            <v>1</v>
          </cell>
          <cell r="E1341" t="str">
            <v>Los Cerros</v>
          </cell>
          <cell r="H1341" t="str">
            <v>consulta_externa</v>
          </cell>
          <cell r="J1341" t="str">
            <v>bueno</v>
          </cell>
          <cell r="K1341" t="str">
            <v>probsi</v>
          </cell>
        </row>
        <row r="1342">
          <cell r="B1342" t="b">
            <v>1</v>
          </cell>
          <cell r="E1342" t="str">
            <v>Los Cerros</v>
          </cell>
          <cell r="H1342" t="str">
            <v>laboratorio</v>
          </cell>
          <cell r="J1342" t="str">
            <v>bueno</v>
          </cell>
          <cell r="K1342" t="str">
            <v>probsi</v>
          </cell>
        </row>
        <row r="1343">
          <cell r="B1343" t="b">
            <v>1</v>
          </cell>
          <cell r="E1343" t="str">
            <v>Canapote</v>
          </cell>
          <cell r="H1343" t="str">
            <v>salud_oral</v>
          </cell>
          <cell r="J1343" t="str">
            <v>bueno</v>
          </cell>
          <cell r="K1343" t="str">
            <v>defsi</v>
          </cell>
        </row>
        <row r="1344">
          <cell r="B1344" t="b">
            <v>1</v>
          </cell>
          <cell r="E1344" t="str">
            <v>Canapote</v>
          </cell>
          <cell r="H1344" t="str">
            <v>laboratorio</v>
          </cell>
          <cell r="J1344" t="str">
            <v>bueno</v>
          </cell>
          <cell r="K1344" t="str">
            <v>defsi</v>
          </cell>
        </row>
        <row r="1345">
          <cell r="B1345" t="b">
            <v>1</v>
          </cell>
          <cell r="E1345" t="str">
            <v>Los Cerros</v>
          </cell>
          <cell r="H1345" t="str">
            <v>laboratorio</v>
          </cell>
          <cell r="J1345" t="str">
            <v>bueno</v>
          </cell>
          <cell r="K1345" t="str">
            <v>probsi</v>
          </cell>
        </row>
        <row r="1346">
          <cell r="B1346" t="b">
            <v>1</v>
          </cell>
          <cell r="E1346" t="str">
            <v>Los Cerros</v>
          </cell>
          <cell r="H1346" t="str">
            <v>laboratorio</v>
          </cell>
          <cell r="J1346" t="str">
            <v>bueno</v>
          </cell>
          <cell r="K1346" t="str">
            <v>probsi</v>
          </cell>
        </row>
        <row r="1347">
          <cell r="B1347" t="b">
            <v>1</v>
          </cell>
          <cell r="E1347" t="str">
            <v>Los Cerros</v>
          </cell>
          <cell r="H1347" t="str">
            <v>laboratorio</v>
          </cell>
          <cell r="J1347" t="str">
            <v>bueno</v>
          </cell>
          <cell r="K1347" t="str">
            <v>probsi</v>
          </cell>
        </row>
        <row r="1348">
          <cell r="B1348" t="b">
            <v>1</v>
          </cell>
          <cell r="E1348" t="str">
            <v>Los Cerros</v>
          </cell>
          <cell r="H1348" t="str">
            <v>consulta_externa</v>
          </cell>
          <cell r="J1348" t="str">
            <v>bueno</v>
          </cell>
          <cell r="K1348" t="str">
            <v>probsi</v>
          </cell>
        </row>
        <row r="1349">
          <cell r="B1349" t="b">
            <v>1</v>
          </cell>
          <cell r="E1349" t="str">
            <v>Los Cerros</v>
          </cell>
          <cell r="H1349" t="str">
            <v>consulta_externa</v>
          </cell>
          <cell r="J1349" t="str">
            <v>bueno</v>
          </cell>
          <cell r="K1349" t="str">
            <v>probsi</v>
          </cell>
        </row>
        <row r="1350">
          <cell r="B1350" t="b">
            <v>1</v>
          </cell>
          <cell r="E1350" t="str">
            <v>Los Cerros</v>
          </cell>
          <cell r="H1350" t="str">
            <v>consulta_externa</v>
          </cell>
          <cell r="J1350" t="str">
            <v>bueno</v>
          </cell>
          <cell r="K1350" t="str">
            <v>probsi</v>
          </cell>
        </row>
        <row r="1351">
          <cell r="B1351" t="b">
            <v>1</v>
          </cell>
          <cell r="E1351" t="str">
            <v>Canapote</v>
          </cell>
          <cell r="H1351" t="str">
            <v>consulta_externa</v>
          </cell>
          <cell r="J1351" t="str">
            <v>bueno</v>
          </cell>
          <cell r="K1351" t="str">
            <v>defsi</v>
          </cell>
        </row>
        <row r="1352">
          <cell r="B1352" t="b">
            <v>1</v>
          </cell>
          <cell r="E1352" t="str">
            <v>Canapote</v>
          </cell>
          <cell r="H1352" t="str">
            <v>salud_oral</v>
          </cell>
          <cell r="J1352" t="str">
            <v>bueno</v>
          </cell>
          <cell r="K1352" t="str">
            <v>defsi</v>
          </cell>
        </row>
        <row r="1353">
          <cell r="B1353" t="b">
            <v>1</v>
          </cell>
          <cell r="E1353" t="str">
            <v>Canapote</v>
          </cell>
          <cell r="H1353" t="str">
            <v>salud_oral</v>
          </cell>
          <cell r="J1353" t="str">
            <v>bueno</v>
          </cell>
          <cell r="K1353" t="str">
            <v>defsi</v>
          </cell>
        </row>
        <row r="1354">
          <cell r="B1354" t="b">
            <v>1</v>
          </cell>
          <cell r="E1354" t="str">
            <v>Los Cerros</v>
          </cell>
          <cell r="H1354" t="str">
            <v>consulta_externa</v>
          </cell>
          <cell r="J1354" t="str">
            <v>bueno</v>
          </cell>
          <cell r="K1354" t="str">
            <v>probsi</v>
          </cell>
        </row>
        <row r="1355">
          <cell r="B1355" t="b">
            <v>1</v>
          </cell>
          <cell r="E1355" t="str">
            <v>Los Cerros</v>
          </cell>
          <cell r="H1355" t="str">
            <v>consulta_externa</v>
          </cell>
          <cell r="J1355" t="str">
            <v>bueno</v>
          </cell>
          <cell r="K1355" t="str">
            <v>probsi</v>
          </cell>
        </row>
        <row r="1356">
          <cell r="B1356" t="b">
            <v>1</v>
          </cell>
          <cell r="E1356" t="str">
            <v>Canapote</v>
          </cell>
          <cell r="H1356" t="str">
            <v>consulta_externa</v>
          </cell>
          <cell r="J1356" t="str">
            <v>bueno</v>
          </cell>
          <cell r="K1356" t="str">
            <v>defsi</v>
          </cell>
        </row>
        <row r="1357">
          <cell r="B1357" t="b">
            <v>1</v>
          </cell>
          <cell r="E1357" t="str">
            <v>Canapote</v>
          </cell>
          <cell r="H1357" t="str">
            <v>salud_oral</v>
          </cell>
          <cell r="J1357" t="str">
            <v>bueno</v>
          </cell>
          <cell r="K1357" t="str">
            <v>defsi</v>
          </cell>
        </row>
        <row r="1358">
          <cell r="B1358" t="b">
            <v>1</v>
          </cell>
          <cell r="E1358" t="str">
            <v>Canapote</v>
          </cell>
          <cell r="H1358" t="str">
            <v>laboratorio</v>
          </cell>
          <cell r="J1358" t="str">
            <v>bueno</v>
          </cell>
          <cell r="K1358" t="str">
            <v>defsi</v>
          </cell>
        </row>
        <row r="1359">
          <cell r="B1359" t="b">
            <v>1</v>
          </cell>
          <cell r="E1359" t="str">
            <v>Canapote</v>
          </cell>
          <cell r="H1359" t="str">
            <v>consulta_externa</v>
          </cell>
          <cell r="J1359" t="str">
            <v>bueno</v>
          </cell>
          <cell r="K1359" t="str">
            <v>defsi</v>
          </cell>
        </row>
        <row r="1360">
          <cell r="B1360" t="b">
            <v>1</v>
          </cell>
          <cell r="E1360" t="str">
            <v>Canapote</v>
          </cell>
          <cell r="H1360" t="str">
            <v>salud_oral</v>
          </cell>
          <cell r="J1360" t="str">
            <v>bueno</v>
          </cell>
          <cell r="K1360" t="str">
            <v>defsi</v>
          </cell>
        </row>
        <row r="1361">
          <cell r="B1361" t="b">
            <v>1</v>
          </cell>
          <cell r="E1361" t="str">
            <v>Canapote</v>
          </cell>
          <cell r="H1361" t="str">
            <v>laboratorio</v>
          </cell>
          <cell r="J1361" t="str">
            <v>bueno</v>
          </cell>
          <cell r="K1361" t="str">
            <v>defsi</v>
          </cell>
        </row>
        <row r="1362">
          <cell r="B1362" t="b">
            <v>1</v>
          </cell>
          <cell r="E1362" t="str">
            <v>Canapote</v>
          </cell>
          <cell r="H1362" t="str">
            <v>consulta_externa</v>
          </cell>
          <cell r="J1362" t="str">
            <v>bueno</v>
          </cell>
          <cell r="K1362" t="str">
            <v>defsi</v>
          </cell>
        </row>
        <row r="1363">
          <cell r="B1363" t="b">
            <v>1</v>
          </cell>
          <cell r="E1363" t="str">
            <v>Daniel Lemaitre</v>
          </cell>
          <cell r="H1363" t="str">
            <v>consulta_externa</v>
          </cell>
          <cell r="J1363" t="str">
            <v>bueno</v>
          </cell>
          <cell r="K1363" t="str">
            <v>defsi</v>
          </cell>
        </row>
        <row r="1364">
          <cell r="B1364" t="b">
            <v>1</v>
          </cell>
          <cell r="E1364" t="str">
            <v>Daniel Lemaitre</v>
          </cell>
          <cell r="H1364" t="str">
            <v>salud_oral</v>
          </cell>
          <cell r="J1364" t="str">
            <v>bueno</v>
          </cell>
          <cell r="K1364" t="str">
            <v>defsi</v>
          </cell>
        </row>
        <row r="1365">
          <cell r="B1365" t="b">
            <v>1</v>
          </cell>
          <cell r="E1365" t="str">
            <v>Daniel Lemaitre</v>
          </cell>
          <cell r="H1365" t="str">
            <v>laboratorio</v>
          </cell>
          <cell r="J1365" t="str">
            <v>bueno</v>
          </cell>
          <cell r="K1365" t="str">
            <v>defsi</v>
          </cell>
        </row>
        <row r="1366">
          <cell r="B1366" t="b">
            <v>1</v>
          </cell>
          <cell r="E1366" t="str">
            <v>Daniel Lemaitre</v>
          </cell>
          <cell r="H1366" t="str">
            <v>consulta_externa</v>
          </cell>
          <cell r="J1366" t="str">
            <v>bueno</v>
          </cell>
          <cell r="K1366" t="str">
            <v>defsi</v>
          </cell>
        </row>
        <row r="1367">
          <cell r="B1367" t="b">
            <v>1</v>
          </cell>
          <cell r="E1367" t="str">
            <v>Daniel Lemaitre</v>
          </cell>
          <cell r="H1367" t="str">
            <v>salud_oral</v>
          </cell>
          <cell r="J1367" t="str">
            <v>bueno</v>
          </cell>
          <cell r="K1367" t="str">
            <v>defsi</v>
          </cell>
        </row>
        <row r="1368">
          <cell r="B1368" t="b">
            <v>1</v>
          </cell>
          <cell r="E1368" t="str">
            <v>Daniel Lemaitre</v>
          </cell>
          <cell r="H1368" t="str">
            <v>laboratorio</v>
          </cell>
          <cell r="J1368" t="str">
            <v>bueno</v>
          </cell>
          <cell r="K1368" t="str">
            <v>defsi</v>
          </cell>
        </row>
        <row r="1369">
          <cell r="B1369" t="b">
            <v>1</v>
          </cell>
          <cell r="E1369" t="str">
            <v>Los Cerros</v>
          </cell>
          <cell r="H1369" t="str">
            <v>consulta_externa</v>
          </cell>
          <cell r="J1369" t="str">
            <v>bueno</v>
          </cell>
          <cell r="K1369" t="str">
            <v>probsi</v>
          </cell>
        </row>
        <row r="1370">
          <cell r="B1370" t="b">
            <v>1</v>
          </cell>
          <cell r="E1370" t="str">
            <v>Los Cerros</v>
          </cell>
          <cell r="H1370" t="str">
            <v>consulta_externa</v>
          </cell>
          <cell r="J1370" t="str">
            <v>bueno</v>
          </cell>
          <cell r="K1370" t="str">
            <v>probsi</v>
          </cell>
        </row>
        <row r="1371">
          <cell r="B1371" t="b">
            <v>1</v>
          </cell>
          <cell r="E1371" t="str">
            <v>Los Cerros</v>
          </cell>
          <cell r="H1371" t="str">
            <v>ginecologia</v>
          </cell>
          <cell r="J1371" t="str">
            <v>bueno</v>
          </cell>
          <cell r="K1371" t="str">
            <v>probsi</v>
          </cell>
        </row>
        <row r="1372">
          <cell r="B1372" t="b">
            <v>1</v>
          </cell>
          <cell r="E1372" t="str">
            <v>Los Cerros</v>
          </cell>
          <cell r="H1372" t="str">
            <v>ginecologia</v>
          </cell>
          <cell r="J1372" t="str">
            <v>bueno</v>
          </cell>
          <cell r="K1372" t="str">
            <v>probsi</v>
          </cell>
        </row>
        <row r="1373">
          <cell r="B1373" t="b">
            <v>1</v>
          </cell>
          <cell r="E1373" t="str">
            <v>Los Cerros</v>
          </cell>
          <cell r="H1373" t="str">
            <v>ecografias</v>
          </cell>
          <cell r="J1373" t="str">
            <v>bueno</v>
          </cell>
          <cell r="K1373" t="str">
            <v>probsi</v>
          </cell>
        </row>
        <row r="1374">
          <cell r="B1374" t="b">
            <v>1</v>
          </cell>
          <cell r="E1374" t="str">
            <v>Los Cerros</v>
          </cell>
          <cell r="H1374" t="str">
            <v>ecografias</v>
          </cell>
          <cell r="J1374" t="str">
            <v>bueno</v>
          </cell>
          <cell r="K1374" t="str">
            <v>probsi</v>
          </cell>
        </row>
        <row r="1375">
          <cell r="B1375" t="b">
            <v>1</v>
          </cell>
          <cell r="E1375" t="str">
            <v>Los Cerros</v>
          </cell>
          <cell r="H1375" t="str">
            <v>laboratorio</v>
          </cell>
          <cell r="J1375" t="str">
            <v>bueno</v>
          </cell>
          <cell r="K1375" t="str">
            <v>probsi</v>
          </cell>
        </row>
        <row r="1376">
          <cell r="B1376" t="b">
            <v>1</v>
          </cell>
          <cell r="E1376" t="str">
            <v>Los Cerros</v>
          </cell>
          <cell r="H1376" t="str">
            <v>laboratorio</v>
          </cell>
          <cell r="J1376" t="str">
            <v>bueno</v>
          </cell>
          <cell r="K1376" t="str">
            <v>probsi</v>
          </cell>
        </row>
        <row r="1377">
          <cell r="B1377" t="b">
            <v>1</v>
          </cell>
          <cell r="E1377" t="str">
            <v>Los Cerros</v>
          </cell>
          <cell r="H1377" t="str">
            <v>laboratorio</v>
          </cell>
          <cell r="J1377" t="str">
            <v>bueno</v>
          </cell>
          <cell r="K1377" t="str">
            <v>probsi</v>
          </cell>
        </row>
        <row r="1378">
          <cell r="B1378" t="b">
            <v>1</v>
          </cell>
          <cell r="E1378" t="str">
            <v>Los Cerros</v>
          </cell>
          <cell r="H1378" t="str">
            <v>consulta_externa</v>
          </cell>
          <cell r="J1378" t="str">
            <v>bueno</v>
          </cell>
          <cell r="K1378" t="str">
            <v>probsi</v>
          </cell>
        </row>
        <row r="1379">
          <cell r="B1379" t="b">
            <v>1</v>
          </cell>
          <cell r="E1379" t="str">
            <v>Los Cerros</v>
          </cell>
          <cell r="H1379" t="str">
            <v>pediatria</v>
          </cell>
          <cell r="J1379" t="str">
            <v>bueno</v>
          </cell>
          <cell r="K1379" t="str">
            <v>probsi</v>
          </cell>
        </row>
        <row r="1380">
          <cell r="B1380" t="b">
            <v>1</v>
          </cell>
          <cell r="E1380" t="str">
            <v>Los Cerros</v>
          </cell>
          <cell r="H1380" t="str">
            <v>pediatria</v>
          </cell>
          <cell r="J1380" t="str">
            <v>bueno</v>
          </cell>
          <cell r="K1380" t="str">
            <v>probsi</v>
          </cell>
        </row>
        <row r="1381">
          <cell r="B1381" t="b">
            <v>1</v>
          </cell>
          <cell r="E1381" t="str">
            <v>Los Cerros</v>
          </cell>
          <cell r="H1381" t="str">
            <v>pediatria</v>
          </cell>
          <cell r="J1381" t="str">
            <v>bueno</v>
          </cell>
          <cell r="K1381" t="str">
            <v>probsi</v>
          </cell>
        </row>
        <row r="1382">
          <cell r="B1382" t="b">
            <v>1</v>
          </cell>
          <cell r="E1382" t="str">
            <v>Los Cerros</v>
          </cell>
          <cell r="H1382" t="str">
            <v>consulta_externa</v>
          </cell>
          <cell r="J1382" t="str">
            <v>bueno</v>
          </cell>
          <cell r="K1382" t="str">
            <v>probsi</v>
          </cell>
        </row>
        <row r="1383">
          <cell r="B1383" t="b">
            <v>1</v>
          </cell>
          <cell r="E1383" t="str">
            <v>Los Cerros</v>
          </cell>
          <cell r="H1383" t="str">
            <v>consulta_externa</v>
          </cell>
          <cell r="J1383" t="str">
            <v>bueno</v>
          </cell>
          <cell r="K1383" t="str">
            <v>probsi</v>
          </cell>
        </row>
        <row r="1384">
          <cell r="B1384" t="b">
            <v>1</v>
          </cell>
          <cell r="E1384" t="str">
            <v>Los Cerros</v>
          </cell>
          <cell r="H1384" t="str">
            <v>consulta_externa</v>
          </cell>
          <cell r="J1384" t="str">
            <v>bueno</v>
          </cell>
          <cell r="K1384" t="str">
            <v>probsi</v>
          </cell>
        </row>
        <row r="1385">
          <cell r="B1385" t="b">
            <v>1</v>
          </cell>
          <cell r="E1385" t="str">
            <v>Los Cerros</v>
          </cell>
          <cell r="H1385" t="str">
            <v>salud_oral</v>
          </cell>
          <cell r="J1385" t="str">
            <v>bueno</v>
          </cell>
          <cell r="K1385" t="str">
            <v>probsi</v>
          </cell>
        </row>
        <row r="1386">
          <cell r="B1386" t="b">
            <v>1</v>
          </cell>
          <cell r="E1386" t="str">
            <v>Los Cerros</v>
          </cell>
          <cell r="H1386" t="str">
            <v>ginecologia</v>
          </cell>
          <cell r="J1386" t="str">
            <v>bueno</v>
          </cell>
          <cell r="K1386" t="str">
            <v>probsi</v>
          </cell>
        </row>
        <row r="1387">
          <cell r="B1387" t="b">
            <v>1</v>
          </cell>
          <cell r="E1387" t="str">
            <v>Los Cerros</v>
          </cell>
          <cell r="H1387" t="str">
            <v>ginecologia</v>
          </cell>
          <cell r="J1387" t="str">
            <v>bueno</v>
          </cell>
          <cell r="K1387" t="str">
            <v>probsi</v>
          </cell>
        </row>
        <row r="1388">
          <cell r="B1388" t="b">
            <v>1</v>
          </cell>
          <cell r="E1388" t="str">
            <v>Los Cerros</v>
          </cell>
          <cell r="H1388" t="str">
            <v>laboratorio</v>
          </cell>
          <cell r="J1388" t="str">
            <v>bueno</v>
          </cell>
          <cell r="K1388" t="str">
            <v>probsi</v>
          </cell>
        </row>
        <row r="1389">
          <cell r="B1389" t="b">
            <v>1</v>
          </cell>
          <cell r="E1389" t="str">
            <v>Los Cerros</v>
          </cell>
          <cell r="H1389" t="str">
            <v>salud_oral</v>
          </cell>
          <cell r="J1389" t="str">
            <v>bueno</v>
          </cell>
          <cell r="K1389" t="str">
            <v>probsi</v>
          </cell>
        </row>
        <row r="1390">
          <cell r="B1390" t="b">
            <v>1</v>
          </cell>
          <cell r="E1390" t="str">
            <v>Los Cerros</v>
          </cell>
          <cell r="H1390" t="str">
            <v>salud_oral</v>
          </cell>
          <cell r="J1390" t="str">
            <v>bueno</v>
          </cell>
          <cell r="K1390" t="str">
            <v>probsi</v>
          </cell>
        </row>
        <row r="1391">
          <cell r="B1391" t="b">
            <v>1</v>
          </cell>
          <cell r="E1391" t="str">
            <v>Los Cerros</v>
          </cell>
          <cell r="H1391" t="str">
            <v>salud_oral</v>
          </cell>
          <cell r="J1391" t="str">
            <v>bueno</v>
          </cell>
          <cell r="K1391" t="str">
            <v>probsi</v>
          </cell>
        </row>
        <row r="1392">
          <cell r="B1392" t="b">
            <v>1</v>
          </cell>
          <cell r="E1392" t="str">
            <v>Los Cerros</v>
          </cell>
          <cell r="H1392" t="str">
            <v>salud_oral</v>
          </cell>
          <cell r="J1392" t="str">
            <v>bueno</v>
          </cell>
          <cell r="K1392" t="str">
            <v>probsi</v>
          </cell>
        </row>
        <row r="1393">
          <cell r="B1393" t="b">
            <v>1</v>
          </cell>
          <cell r="E1393" t="str">
            <v>Los Cerros</v>
          </cell>
          <cell r="H1393" t="str">
            <v>salud_oral</v>
          </cell>
          <cell r="J1393" t="str">
            <v>bueno</v>
          </cell>
          <cell r="K1393" t="str">
            <v>probsi</v>
          </cell>
        </row>
        <row r="1394">
          <cell r="B1394" t="b">
            <v>1</v>
          </cell>
          <cell r="E1394" t="str">
            <v>Los Cerros</v>
          </cell>
          <cell r="H1394" t="str">
            <v>salud_oral</v>
          </cell>
          <cell r="J1394" t="str">
            <v>bueno</v>
          </cell>
          <cell r="K1394" t="str">
            <v>probsi</v>
          </cell>
        </row>
        <row r="1395">
          <cell r="B1395" t="b">
            <v>1</v>
          </cell>
          <cell r="E1395" t="str">
            <v>Los Cerros</v>
          </cell>
          <cell r="H1395" t="str">
            <v>salud_oral</v>
          </cell>
          <cell r="J1395" t="str">
            <v>bueno</v>
          </cell>
          <cell r="K1395" t="str">
            <v>probsi</v>
          </cell>
        </row>
        <row r="1396">
          <cell r="B1396" t="b">
            <v>1</v>
          </cell>
          <cell r="E1396" t="str">
            <v>Los Cerros</v>
          </cell>
          <cell r="H1396" t="str">
            <v>salud_oral</v>
          </cell>
          <cell r="J1396" t="str">
            <v>bueno</v>
          </cell>
          <cell r="K1396" t="str">
            <v>probsi</v>
          </cell>
        </row>
        <row r="1397">
          <cell r="B1397" t="b">
            <v>1</v>
          </cell>
          <cell r="E1397" t="str">
            <v>Bayunca</v>
          </cell>
          <cell r="H1397" t="str">
            <v>urgencia</v>
          </cell>
          <cell r="J1397" t="str">
            <v>bueno</v>
          </cell>
          <cell r="K1397" t="str">
            <v>defsi</v>
          </cell>
        </row>
        <row r="1398">
          <cell r="B1398" t="b">
            <v>1</v>
          </cell>
          <cell r="E1398" t="str">
            <v>Bayunca</v>
          </cell>
          <cell r="H1398" t="str">
            <v>urgencia</v>
          </cell>
          <cell r="J1398" t="str">
            <v>bueno</v>
          </cell>
          <cell r="K1398" t="str">
            <v>defsi</v>
          </cell>
        </row>
        <row r="1399">
          <cell r="B1399" t="b">
            <v>0</v>
          </cell>
          <cell r="E1399" t="str">
            <v>Bayunca</v>
          </cell>
          <cell r="H1399" t="str">
            <v>urgencia</v>
          </cell>
          <cell r="J1399" t="str">
            <v>regular</v>
          </cell>
          <cell r="K1399" t="str">
            <v>defsi</v>
          </cell>
        </row>
        <row r="1400">
          <cell r="B1400" t="b">
            <v>1</v>
          </cell>
          <cell r="E1400" t="str">
            <v>Daniel Lemaitre</v>
          </cell>
          <cell r="H1400" t="str">
            <v>consulta_externa</v>
          </cell>
          <cell r="J1400" t="str">
            <v>bueno</v>
          </cell>
          <cell r="K1400" t="str">
            <v>defsi</v>
          </cell>
        </row>
        <row r="1401">
          <cell r="B1401" t="b">
            <v>1</v>
          </cell>
          <cell r="E1401" t="str">
            <v>Daniel Lemaitre</v>
          </cell>
          <cell r="H1401" t="str">
            <v>salud_oral</v>
          </cell>
          <cell r="J1401" t="str">
            <v>bueno</v>
          </cell>
          <cell r="K1401" t="str">
            <v>defsi</v>
          </cell>
        </row>
        <row r="1402">
          <cell r="B1402" t="b">
            <v>1</v>
          </cell>
          <cell r="E1402" t="str">
            <v>Daniel Lemaitre</v>
          </cell>
          <cell r="H1402" t="str">
            <v>laboratorio</v>
          </cell>
          <cell r="J1402" t="str">
            <v>bueno</v>
          </cell>
          <cell r="K1402" t="str">
            <v>defsi</v>
          </cell>
        </row>
        <row r="1403">
          <cell r="B1403" t="b">
            <v>1</v>
          </cell>
          <cell r="E1403" t="str">
            <v>Daniel Lemaitre</v>
          </cell>
          <cell r="H1403" t="str">
            <v>consulta_externa</v>
          </cell>
          <cell r="J1403" t="str">
            <v>bueno</v>
          </cell>
          <cell r="K1403" t="str">
            <v>defsi</v>
          </cell>
        </row>
        <row r="1404">
          <cell r="B1404" t="b">
            <v>1</v>
          </cell>
          <cell r="E1404" t="str">
            <v>Daniel Lemaitre</v>
          </cell>
          <cell r="H1404" t="str">
            <v>salud_oral</v>
          </cell>
          <cell r="J1404" t="str">
            <v>bueno</v>
          </cell>
          <cell r="K1404" t="str">
            <v>defsi</v>
          </cell>
        </row>
        <row r="1405">
          <cell r="B1405" t="b">
            <v>1</v>
          </cell>
          <cell r="E1405" t="str">
            <v>Daniel Lemaitre</v>
          </cell>
          <cell r="H1405" t="str">
            <v>laboratorio</v>
          </cell>
          <cell r="J1405" t="str">
            <v>bueno</v>
          </cell>
          <cell r="K1405" t="str">
            <v>defsi</v>
          </cell>
        </row>
        <row r="1406">
          <cell r="B1406" t="b">
            <v>1</v>
          </cell>
          <cell r="E1406" t="str">
            <v>Daniel Lemaitre</v>
          </cell>
          <cell r="H1406" t="str">
            <v>consulta_externa</v>
          </cell>
          <cell r="J1406" t="str">
            <v>bueno</v>
          </cell>
          <cell r="K1406" t="str">
            <v>defsi</v>
          </cell>
        </row>
        <row r="1407">
          <cell r="B1407" t="b">
            <v>1</v>
          </cell>
          <cell r="E1407" t="str">
            <v>Daniel Lemaitre</v>
          </cell>
          <cell r="H1407" t="str">
            <v>salud_oral</v>
          </cell>
          <cell r="J1407" t="str">
            <v>bueno</v>
          </cell>
          <cell r="K1407" t="str">
            <v>defsi</v>
          </cell>
        </row>
        <row r="1408">
          <cell r="B1408" t="b">
            <v>1</v>
          </cell>
          <cell r="E1408" t="str">
            <v>Daniel Lemaitre</v>
          </cell>
          <cell r="H1408" t="str">
            <v>laboratorio</v>
          </cell>
          <cell r="J1408" t="str">
            <v>bueno</v>
          </cell>
          <cell r="K1408" t="str">
            <v>defsi</v>
          </cell>
        </row>
        <row r="1409">
          <cell r="B1409" t="b">
            <v>0</v>
          </cell>
          <cell r="E1409" t="str">
            <v>Bayunca</v>
          </cell>
          <cell r="H1409" t="str">
            <v>urgencia</v>
          </cell>
          <cell r="J1409" t="str">
            <v>regular</v>
          </cell>
          <cell r="K1409" t="str">
            <v>probsi</v>
          </cell>
        </row>
        <row r="1410">
          <cell r="B1410" t="b">
            <v>1</v>
          </cell>
          <cell r="E1410" t="str">
            <v>Bayunca</v>
          </cell>
          <cell r="H1410" t="str">
            <v>urgencia</v>
          </cell>
          <cell r="J1410" t="str">
            <v>bueno</v>
          </cell>
          <cell r="K1410" t="str">
            <v>defsi</v>
          </cell>
        </row>
        <row r="1411">
          <cell r="B1411" t="b">
            <v>1</v>
          </cell>
          <cell r="E1411" t="str">
            <v>Daniel Lemaitre</v>
          </cell>
          <cell r="H1411" t="str">
            <v>consulta_externa</v>
          </cell>
          <cell r="J1411" t="str">
            <v>bueno</v>
          </cell>
          <cell r="K1411" t="str">
            <v>defsi</v>
          </cell>
        </row>
        <row r="1412">
          <cell r="B1412" t="b">
            <v>0</v>
          </cell>
          <cell r="E1412" t="str">
            <v>Bayunca</v>
          </cell>
          <cell r="H1412" t="str">
            <v>urgencia</v>
          </cell>
          <cell r="J1412" t="str">
            <v>regular</v>
          </cell>
          <cell r="K1412" t="str">
            <v>defsi</v>
          </cell>
        </row>
        <row r="1413">
          <cell r="B1413" t="b">
            <v>1</v>
          </cell>
          <cell r="E1413" t="str">
            <v>Daniel Lemaitre</v>
          </cell>
          <cell r="H1413" t="str">
            <v>salud_oral</v>
          </cell>
          <cell r="J1413" t="str">
            <v>bueno</v>
          </cell>
          <cell r="K1413" t="str">
            <v>defsi</v>
          </cell>
        </row>
        <row r="1414">
          <cell r="B1414" t="b">
            <v>1</v>
          </cell>
          <cell r="E1414" t="str">
            <v>Bayunca</v>
          </cell>
          <cell r="H1414" t="str">
            <v>urgencia</v>
          </cell>
          <cell r="J1414" t="str">
            <v>bueno</v>
          </cell>
          <cell r="K1414" t="str">
            <v>defsi</v>
          </cell>
        </row>
        <row r="1415">
          <cell r="B1415" t="b">
            <v>1</v>
          </cell>
          <cell r="E1415" t="str">
            <v>Daniel Lemaitre</v>
          </cell>
          <cell r="H1415" t="str">
            <v>laboratorio</v>
          </cell>
          <cell r="J1415" t="str">
            <v>bueno</v>
          </cell>
          <cell r="K1415" t="str">
            <v>defsi</v>
          </cell>
        </row>
        <row r="1416">
          <cell r="B1416" t="b">
            <v>1</v>
          </cell>
          <cell r="E1416" t="str">
            <v>Bayunca</v>
          </cell>
          <cell r="H1416" t="str">
            <v>pediatria</v>
          </cell>
          <cell r="J1416" t="str">
            <v>bueno</v>
          </cell>
          <cell r="K1416" t="str">
            <v>defsi</v>
          </cell>
        </row>
        <row r="1417">
          <cell r="B1417" t="b">
            <v>1</v>
          </cell>
          <cell r="E1417" t="str">
            <v>Bayunca</v>
          </cell>
          <cell r="H1417" t="str">
            <v>pediatria</v>
          </cell>
          <cell r="J1417" t="str">
            <v>muybueno</v>
          </cell>
          <cell r="K1417" t="str">
            <v>defsi</v>
          </cell>
        </row>
        <row r="1418">
          <cell r="B1418" t="b">
            <v>1</v>
          </cell>
          <cell r="E1418" t="str">
            <v>Bayunca</v>
          </cell>
          <cell r="H1418" t="str">
            <v>salud_oral</v>
          </cell>
          <cell r="J1418" t="str">
            <v>bueno</v>
          </cell>
          <cell r="K1418" t="str">
            <v>defsi</v>
          </cell>
        </row>
        <row r="1419">
          <cell r="B1419" t="b">
            <v>1</v>
          </cell>
          <cell r="E1419" t="str">
            <v>Bayunca</v>
          </cell>
          <cell r="H1419" t="str">
            <v>salud_oral</v>
          </cell>
          <cell r="J1419" t="str">
            <v>bueno</v>
          </cell>
          <cell r="K1419" t="str">
            <v>defsi</v>
          </cell>
        </row>
        <row r="1420">
          <cell r="B1420" t="b">
            <v>1</v>
          </cell>
          <cell r="E1420" t="str">
            <v>Bayunca</v>
          </cell>
          <cell r="H1420" t="str">
            <v>pediatria</v>
          </cell>
          <cell r="J1420" t="str">
            <v>muybueno</v>
          </cell>
          <cell r="K1420" t="str">
            <v>defsi</v>
          </cell>
        </row>
        <row r="1421">
          <cell r="B1421" t="b">
            <v>1</v>
          </cell>
          <cell r="E1421" t="str">
            <v>Daniel Lemaitre</v>
          </cell>
          <cell r="H1421" t="str">
            <v>consulta_externa</v>
          </cell>
          <cell r="J1421" t="str">
            <v>bueno</v>
          </cell>
          <cell r="K1421" t="str">
            <v>defsi</v>
          </cell>
        </row>
        <row r="1422">
          <cell r="B1422" t="b">
            <v>1</v>
          </cell>
          <cell r="E1422" t="str">
            <v>Daniel Lemaitre</v>
          </cell>
          <cell r="H1422" t="str">
            <v>consulta_externa</v>
          </cell>
          <cell r="J1422" t="str">
            <v>bueno</v>
          </cell>
          <cell r="K1422" t="str">
            <v>defsi</v>
          </cell>
        </row>
        <row r="1423">
          <cell r="B1423" t="b">
            <v>1</v>
          </cell>
          <cell r="E1423" t="str">
            <v>Bayunca</v>
          </cell>
          <cell r="H1423" t="str">
            <v>pediatria</v>
          </cell>
          <cell r="J1423" t="str">
            <v>bueno</v>
          </cell>
          <cell r="K1423" t="str">
            <v>defsi</v>
          </cell>
        </row>
        <row r="1424">
          <cell r="B1424" t="b">
            <v>1</v>
          </cell>
          <cell r="E1424" t="str">
            <v>Nuevo Porvenir</v>
          </cell>
          <cell r="H1424" t="str">
            <v>laboratorio</v>
          </cell>
          <cell r="J1424" t="str">
            <v>bueno</v>
          </cell>
          <cell r="K1424" t="str">
            <v>probsi</v>
          </cell>
        </row>
        <row r="1425">
          <cell r="B1425" t="b">
            <v>1</v>
          </cell>
          <cell r="E1425" t="str">
            <v>Nuevo Porvenir</v>
          </cell>
          <cell r="H1425" t="str">
            <v>laboratorio</v>
          </cell>
          <cell r="J1425" t="str">
            <v>bueno</v>
          </cell>
          <cell r="K1425" t="str">
            <v>probsi</v>
          </cell>
        </row>
        <row r="1426">
          <cell r="B1426" t="b">
            <v>1</v>
          </cell>
          <cell r="E1426" t="str">
            <v>Nuevo Porvenir</v>
          </cell>
          <cell r="H1426" t="str">
            <v>laboratorio</v>
          </cell>
          <cell r="J1426" t="str">
            <v>bueno</v>
          </cell>
          <cell r="K1426" t="str">
            <v>probsi</v>
          </cell>
        </row>
        <row r="1427">
          <cell r="B1427" t="b">
            <v>0</v>
          </cell>
          <cell r="E1427" t="str">
            <v>Fredonia</v>
          </cell>
          <cell r="H1427" t="str">
            <v>laboratorio</v>
          </cell>
          <cell r="J1427" t="str">
            <v>regular</v>
          </cell>
          <cell r="K1427" t="str">
            <v>probsi</v>
          </cell>
        </row>
        <row r="1428">
          <cell r="B1428" t="b">
            <v>1</v>
          </cell>
          <cell r="E1428" t="str">
            <v>Fredonia</v>
          </cell>
          <cell r="H1428" t="str">
            <v>laboratorio</v>
          </cell>
          <cell r="J1428" t="str">
            <v>bueno</v>
          </cell>
          <cell r="K1428" t="str">
            <v>probsi</v>
          </cell>
        </row>
        <row r="1429">
          <cell r="B1429" t="b">
            <v>1</v>
          </cell>
          <cell r="E1429" t="str">
            <v>Fredonia</v>
          </cell>
          <cell r="H1429" t="str">
            <v>laboratorio</v>
          </cell>
          <cell r="J1429" t="str">
            <v>bueno</v>
          </cell>
          <cell r="K1429" t="str">
            <v>probsi</v>
          </cell>
        </row>
        <row r="1430">
          <cell r="B1430" t="b">
            <v>1</v>
          </cell>
          <cell r="E1430" t="str">
            <v>Fredonia</v>
          </cell>
          <cell r="H1430" t="str">
            <v>laboratorio</v>
          </cell>
          <cell r="J1430" t="str">
            <v>bueno</v>
          </cell>
          <cell r="K1430" t="str">
            <v>probsi</v>
          </cell>
        </row>
        <row r="1431">
          <cell r="B1431" t="b">
            <v>1</v>
          </cell>
          <cell r="E1431" t="str">
            <v>Fredonia</v>
          </cell>
          <cell r="H1431" t="str">
            <v>laboratorio</v>
          </cell>
          <cell r="J1431" t="str">
            <v>bueno</v>
          </cell>
          <cell r="K1431" t="str">
            <v>probsi</v>
          </cell>
        </row>
        <row r="1432">
          <cell r="B1432" t="b">
            <v>1</v>
          </cell>
          <cell r="E1432" t="str">
            <v>Fredonia</v>
          </cell>
          <cell r="H1432" t="str">
            <v>laboratorio</v>
          </cell>
          <cell r="J1432" t="str">
            <v>bueno</v>
          </cell>
          <cell r="K1432" t="str">
            <v>probsi</v>
          </cell>
        </row>
        <row r="1433">
          <cell r="B1433" t="b">
            <v>0</v>
          </cell>
          <cell r="E1433" t="str">
            <v>Fredonia</v>
          </cell>
          <cell r="H1433" t="str">
            <v>laboratorio</v>
          </cell>
          <cell r="J1433" t="str">
            <v>regular</v>
          </cell>
          <cell r="K1433" t="str">
            <v>probsi</v>
          </cell>
        </row>
        <row r="1434">
          <cell r="B1434" t="b">
            <v>0</v>
          </cell>
          <cell r="E1434" t="str">
            <v>Fredonia</v>
          </cell>
          <cell r="H1434" t="str">
            <v>laboratorio</v>
          </cell>
          <cell r="J1434" t="str">
            <v>regular</v>
          </cell>
          <cell r="K1434" t="str">
            <v>probsi</v>
          </cell>
        </row>
        <row r="1435">
          <cell r="B1435" t="b">
            <v>1</v>
          </cell>
          <cell r="E1435" t="str">
            <v>Fredonia</v>
          </cell>
          <cell r="H1435" t="str">
            <v>laboratorio</v>
          </cell>
          <cell r="J1435" t="str">
            <v>bueno</v>
          </cell>
          <cell r="K1435" t="str">
            <v>probsi</v>
          </cell>
        </row>
        <row r="1436">
          <cell r="B1436" t="b">
            <v>1</v>
          </cell>
          <cell r="E1436" t="str">
            <v>Fredonia</v>
          </cell>
          <cell r="H1436" t="str">
            <v>laboratorio</v>
          </cell>
          <cell r="J1436" t="str">
            <v>bueno</v>
          </cell>
          <cell r="K1436" t="str">
            <v>probsi</v>
          </cell>
        </row>
        <row r="1437">
          <cell r="B1437" t="b">
            <v>1</v>
          </cell>
          <cell r="E1437" t="str">
            <v>Daniel Lemaitre</v>
          </cell>
          <cell r="H1437" t="str">
            <v>laboratorio</v>
          </cell>
          <cell r="J1437" t="str">
            <v>bueno</v>
          </cell>
          <cell r="K1437" t="str">
            <v>defsi</v>
          </cell>
        </row>
        <row r="1438">
          <cell r="B1438" t="b">
            <v>1</v>
          </cell>
          <cell r="E1438" t="str">
            <v>Daniel Lemaitre</v>
          </cell>
          <cell r="H1438" t="str">
            <v>consulta_externa</v>
          </cell>
          <cell r="J1438" t="str">
            <v>bueno</v>
          </cell>
          <cell r="K1438" t="str">
            <v>defsi</v>
          </cell>
        </row>
        <row r="1439">
          <cell r="B1439" t="b">
            <v>1</v>
          </cell>
          <cell r="E1439" t="str">
            <v>Daniel Lemaitre</v>
          </cell>
          <cell r="H1439" t="str">
            <v>salud_oral</v>
          </cell>
          <cell r="J1439" t="str">
            <v>bueno</v>
          </cell>
          <cell r="K1439" t="str">
            <v>defsi</v>
          </cell>
        </row>
        <row r="1440">
          <cell r="B1440" t="b">
            <v>1</v>
          </cell>
          <cell r="E1440" t="str">
            <v>Daniel Lemaitre</v>
          </cell>
          <cell r="H1440" t="str">
            <v>laboratorio</v>
          </cell>
          <cell r="J1440" t="str">
            <v>bueno</v>
          </cell>
          <cell r="K1440" t="str">
            <v>defsi</v>
          </cell>
        </row>
        <row r="1441">
          <cell r="B1441" t="b">
            <v>1</v>
          </cell>
          <cell r="E1441" t="str">
            <v>Daniel Lemaitre</v>
          </cell>
          <cell r="H1441" t="str">
            <v>consulta_externa</v>
          </cell>
          <cell r="J1441" t="str">
            <v>bueno</v>
          </cell>
          <cell r="K1441" t="str">
            <v>defsi</v>
          </cell>
        </row>
        <row r="1442">
          <cell r="B1442" t="b">
            <v>1</v>
          </cell>
          <cell r="E1442" t="str">
            <v>Daniel Lemaitre</v>
          </cell>
          <cell r="H1442" t="str">
            <v>salud_oral</v>
          </cell>
          <cell r="J1442" t="str">
            <v>bueno</v>
          </cell>
          <cell r="K1442" t="str">
            <v>defsi</v>
          </cell>
        </row>
        <row r="1443">
          <cell r="B1443" t="b">
            <v>1</v>
          </cell>
          <cell r="E1443" t="str">
            <v>Daniel Lemaitre</v>
          </cell>
          <cell r="H1443" t="str">
            <v>laboratorio</v>
          </cell>
          <cell r="J1443" t="str">
            <v>bueno</v>
          </cell>
          <cell r="K1443" t="str">
            <v>defsi</v>
          </cell>
        </row>
        <row r="1444">
          <cell r="B1444" t="b">
            <v>1</v>
          </cell>
          <cell r="E1444" t="str">
            <v>Daniel Lemaitre</v>
          </cell>
          <cell r="H1444" t="str">
            <v>consulta_externa</v>
          </cell>
          <cell r="J1444" t="str">
            <v>bueno</v>
          </cell>
          <cell r="K1444" t="str">
            <v>defsi</v>
          </cell>
        </row>
        <row r="1445">
          <cell r="B1445" t="b">
            <v>1</v>
          </cell>
          <cell r="E1445" t="str">
            <v>Daniel Lemaitre</v>
          </cell>
          <cell r="H1445" t="str">
            <v>salud_oral</v>
          </cell>
          <cell r="J1445" t="str">
            <v>bueno</v>
          </cell>
          <cell r="K1445" t="str">
            <v>defsi</v>
          </cell>
        </row>
        <row r="1446">
          <cell r="B1446" t="b">
            <v>1</v>
          </cell>
          <cell r="E1446" t="str">
            <v>Daniel Lemaitre</v>
          </cell>
          <cell r="H1446" t="str">
            <v>laboratorio</v>
          </cell>
          <cell r="J1446" t="str">
            <v>bueno</v>
          </cell>
          <cell r="K1446" t="str">
            <v>defsi</v>
          </cell>
        </row>
        <row r="1447">
          <cell r="B1447" t="b">
            <v>1</v>
          </cell>
          <cell r="E1447" t="str">
            <v>Daniel Lemaitre</v>
          </cell>
          <cell r="H1447" t="str">
            <v>consulta_externa</v>
          </cell>
          <cell r="J1447" t="str">
            <v>bueno</v>
          </cell>
          <cell r="K1447" t="str">
            <v>defsi</v>
          </cell>
        </row>
        <row r="1448">
          <cell r="B1448" t="b">
            <v>1</v>
          </cell>
          <cell r="E1448" t="str">
            <v>Daniel Lemaitre</v>
          </cell>
          <cell r="H1448" t="str">
            <v>salud_oral</v>
          </cell>
          <cell r="J1448" t="str">
            <v>bueno</v>
          </cell>
          <cell r="K1448" t="str">
            <v>defsi</v>
          </cell>
        </row>
        <row r="1449">
          <cell r="B1449" t="b">
            <v>1</v>
          </cell>
          <cell r="E1449" t="str">
            <v>Daniel Lemaitre</v>
          </cell>
          <cell r="H1449" t="str">
            <v>laboratorio</v>
          </cell>
          <cell r="J1449" t="str">
            <v>bueno</v>
          </cell>
          <cell r="K1449" t="str">
            <v>defsi</v>
          </cell>
        </row>
        <row r="1450">
          <cell r="B1450" t="b">
            <v>1</v>
          </cell>
          <cell r="E1450" t="str">
            <v>Daniel Lemaitre</v>
          </cell>
          <cell r="H1450" t="str">
            <v>consulta_externa</v>
          </cell>
          <cell r="J1450" t="str">
            <v>bueno</v>
          </cell>
          <cell r="K1450" t="str">
            <v>defsi</v>
          </cell>
        </row>
        <row r="1451">
          <cell r="B1451" t="b">
            <v>1</v>
          </cell>
          <cell r="E1451" t="str">
            <v>Daniel Lemaitre</v>
          </cell>
          <cell r="H1451" t="str">
            <v>salud_oral</v>
          </cell>
          <cell r="J1451" t="str">
            <v>bueno</v>
          </cell>
          <cell r="K1451" t="str">
            <v>defsi</v>
          </cell>
        </row>
        <row r="1452">
          <cell r="B1452" t="b">
            <v>1</v>
          </cell>
          <cell r="E1452" t="str">
            <v>Daniel Lemaitre</v>
          </cell>
          <cell r="H1452" t="str">
            <v>laboratorio</v>
          </cell>
          <cell r="J1452" t="str">
            <v>bueno</v>
          </cell>
          <cell r="K1452" t="str">
            <v>defsi</v>
          </cell>
        </row>
        <row r="1453">
          <cell r="B1453" t="b">
            <v>1</v>
          </cell>
          <cell r="E1453" t="str">
            <v>Daniel Lemaitre</v>
          </cell>
          <cell r="H1453" t="str">
            <v>consulta_externa</v>
          </cell>
          <cell r="J1453" t="str">
            <v>bueno</v>
          </cell>
          <cell r="K1453" t="str">
            <v>defsi</v>
          </cell>
        </row>
        <row r="1454">
          <cell r="B1454" t="b">
            <v>1</v>
          </cell>
          <cell r="E1454" t="str">
            <v>Daniel Lemaitre</v>
          </cell>
          <cell r="H1454" t="str">
            <v>salud_oral</v>
          </cell>
          <cell r="J1454" t="str">
            <v>bueno</v>
          </cell>
          <cell r="K1454" t="str">
            <v>defsi</v>
          </cell>
        </row>
        <row r="1455">
          <cell r="B1455" t="b">
            <v>1</v>
          </cell>
          <cell r="E1455" t="str">
            <v>Gaviotas</v>
          </cell>
          <cell r="H1455" t="str">
            <v>consulta_externa</v>
          </cell>
          <cell r="J1455" t="str">
            <v>bueno</v>
          </cell>
          <cell r="K1455" t="str">
            <v>probsi</v>
          </cell>
        </row>
        <row r="1456">
          <cell r="B1456" t="b">
            <v>1</v>
          </cell>
          <cell r="E1456" t="str">
            <v>Gaviotas</v>
          </cell>
          <cell r="H1456" t="str">
            <v>consulta_externa</v>
          </cell>
          <cell r="J1456" t="str">
            <v>bueno</v>
          </cell>
          <cell r="K1456" t="str">
            <v>probsi</v>
          </cell>
        </row>
        <row r="1457">
          <cell r="B1457" t="b">
            <v>1</v>
          </cell>
          <cell r="E1457" t="str">
            <v>Gaviotas</v>
          </cell>
          <cell r="H1457" t="str">
            <v>laboratorio</v>
          </cell>
          <cell r="J1457" t="str">
            <v>bueno</v>
          </cell>
          <cell r="K1457" t="str">
            <v>probsi</v>
          </cell>
        </row>
        <row r="1458">
          <cell r="B1458" t="b">
            <v>1</v>
          </cell>
          <cell r="E1458" t="str">
            <v>Gaviotas</v>
          </cell>
          <cell r="H1458" t="str">
            <v>laboratorio</v>
          </cell>
          <cell r="J1458" t="str">
            <v>bueno</v>
          </cell>
          <cell r="K1458" t="str">
            <v>probsi</v>
          </cell>
        </row>
        <row r="1459">
          <cell r="B1459" t="b">
            <v>1</v>
          </cell>
          <cell r="E1459" t="str">
            <v>Gaviotas</v>
          </cell>
          <cell r="H1459" t="str">
            <v>laboratorio</v>
          </cell>
          <cell r="J1459" t="str">
            <v>bueno</v>
          </cell>
          <cell r="K1459" t="str">
            <v>probsi</v>
          </cell>
        </row>
        <row r="1460">
          <cell r="B1460" t="b">
            <v>1</v>
          </cell>
          <cell r="E1460" t="str">
            <v>Gaviotas</v>
          </cell>
          <cell r="H1460" t="str">
            <v>laboratorio</v>
          </cell>
          <cell r="J1460" t="str">
            <v>bueno</v>
          </cell>
          <cell r="K1460" t="str">
            <v>probsi</v>
          </cell>
        </row>
        <row r="1461">
          <cell r="B1461" t="b">
            <v>0</v>
          </cell>
          <cell r="E1461" t="str">
            <v>Gaviotas</v>
          </cell>
          <cell r="H1461" t="str">
            <v>laboratorio</v>
          </cell>
          <cell r="J1461" t="str">
            <v>malo</v>
          </cell>
          <cell r="K1461" t="str">
            <v>probsi</v>
          </cell>
        </row>
        <row r="1462">
          <cell r="B1462" t="b">
            <v>0</v>
          </cell>
          <cell r="E1462" t="str">
            <v>Gaviotas</v>
          </cell>
          <cell r="H1462" t="str">
            <v>consulta_externa</v>
          </cell>
          <cell r="J1462" t="str">
            <v>malo</v>
          </cell>
          <cell r="K1462" t="str">
            <v>probsi</v>
          </cell>
        </row>
        <row r="1463">
          <cell r="B1463" t="b">
            <v>1</v>
          </cell>
          <cell r="E1463" t="str">
            <v>Gaviotas</v>
          </cell>
          <cell r="H1463" t="str">
            <v>consulta_externa</v>
          </cell>
          <cell r="J1463" t="str">
            <v>bueno</v>
          </cell>
          <cell r="K1463" t="str">
            <v>probsi</v>
          </cell>
        </row>
        <row r="1464">
          <cell r="B1464" t="b">
            <v>1</v>
          </cell>
          <cell r="E1464" t="str">
            <v>Gaviotas</v>
          </cell>
          <cell r="H1464" t="str">
            <v>consulta_externa</v>
          </cell>
          <cell r="J1464" t="str">
            <v>bueno</v>
          </cell>
          <cell r="K1464" t="str">
            <v>probsi</v>
          </cell>
        </row>
        <row r="1465">
          <cell r="B1465" t="b">
            <v>1</v>
          </cell>
          <cell r="E1465" t="str">
            <v>Gaviotas</v>
          </cell>
          <cell r="H1465" t="str">
            <v>salud_oral</v>
          </cell>
          <cell r="J1465" t="str">
            <v>muybueno</v>
          </cell>
          <cell r="K1465" t="str">
            <v>probsi</v>
          </cell>
        </row>
        <row r="1466">
          <cell r="B1466" t="b">
            <v>0</v>
          </cell>
          <cell r="E1466" t="str">
            <v>Gaviotas</v>
          </cell>
          <cell r="H1466" t="str">
            <v>laboratorio</v>
          </cell>
          <cell r="J1466" t="str">
            <v>regular</v>
          </cell>
          <cell r="K1466" t="str">
            <v>probsi</v>
          </cell>
        </row>
        <row r="1467">
          <cell r="B1467" t="b">
            <v>1</v>
          </cell>
          <cell r="E1467" t="str">
            <v>Gaviotas</v>
          </cell>
          <cell r="H1467" t="str">
            <v>consulta_externa</v>
          </cell>
          <cell r="J1467" t="str">
            <v>bueno</v>
          </cell>
          <cell r="K1467" t="str">
            <v>probsi</v>
          </cell>
        </row>
        <row r="1468">
          <cell r="B1468" t="b">
            <v>1</v>
          </cell>
          <cell r="E1468" t="str">
            <v>Gaviotas</v>
          </cell>
          <cell r="H1468" t="str">
            <v>laboratorio</v>
          </cell>
          <cell r="J1468" t="str">
            <v>bueno</v>
          </cell>
          <cell r="K1468" t="str">
            <v>probsi</v>
          </cell>
        </row>
        <row r="1469">
          <cell r="B1469" t="b">
            <v>1</v>
          </cell>
          <cell r="E1469" t="str">
            <v>Gaviotas</v>
          </cell>
          <cell r="H1469" t="str">
            <v>consulta_externa</v>
          </cell>
          <cell r="J1469" t="str">
            <v>bueno</v>
          </cell>
          <cell r="K1469" t="str">
            <v>probsi</v>
          </cell>
        </row>
        <row r="1470">
          <cell r="B1470" t="b">
            <v>1</v>
          </cell>
          <cell r="E1470" t="str">
            <v>Gaviotas</v>
          </cell>
          <cell r="H1470" t="str">
            <v>salud_oral</v>
          </cell>
          <cell r="J1470" t="str">
            <v>bueno</v>
          </cell>
          <cell r="K1470" t="str">
            <v>probsi</v>
          </cell>
        </row>
        <row r="1471">
          <cell r="B1471" t="b">
            <v>0</v>
          </cell>
          <cell r="E1471" t="str">
            <v>Gaviotas</v>
          </cell>
          <cell r="H1471" t="str">
            <v>consulta_externa</v>
          </cell>
          <cell r="J1471" t="str">
            <v>regular</v>
          </cell>
          <cell r="K1471" t="str">
            <v>probsi</v>
          </cell>
        </row>
        <row r="1472">
          <cell r="B1472" t="b">
            <v>0</v>
          </cell>
          <cell r="E1472" t="str">
            <v>Gaviotas</v>
          </cell>
          <cell r="H1472" t="str">
            <v>laboratorio</v>
          </cell>
          <cell r="J1472" t="str">
            <v>regular</v>
          </cell>
          <cell r="K1472" t="str">
            <v>probsi</v>
          </cell>
        </row>
        <row r="1473">
          <cell r="B1473" t="b">
            <v>1</v>
          </cell>
          <cell r="E1473" t="str">
            <v>Gaviotas</v>
          </cell>
          <cell r="H1473" t="str">
            <v>consulta_externa</v>
          </cell>
          <cell r="J1473" t="str">
            <v>bueno</v>
          </cell>
          <cell r="K1473" t="str">
            <v>probsi</v>
          </cell>
        </row>
        <row r="1474">
          <cell r="B1474" t="b">
            <v>1</v>
          </cell>
          <cell r="E1474" t="str">
            <v>Gaviotas</v>
          </cell>
          <cell r="H1474" t="str">
            <v>salud_oral</v>
          </cell>
          <cell r="J1474" t="str">
            <v>muybueno</v>
          </cell>
          <cell r="K1474" t="str">
            <v>probsi</v>
          </cell>
        </row>
        <row r="1475">
          <cell r="B1475" t="b">
            <v>1</v>
          </cell>
          <cell r="E1475" t="str">
            <v>Gaviotas</v>
          </cell>
          <cell r="H1475" t="str">
            <v>consulta_externa</v>
          </cell>
          <cell r="J1475" t="str">
            <v>bueno</v>
          </cell>
          <cell r="K1475" t="str">
            <v>probsi</v>
          </cell>
        </row>
        <row r="1476">
          <cell r="B1476" t="b">
            <v>1</v>
          </cell>
          <cell r="E1476" t="str">
            <v>Gaviotas</v>
          </cell>
          <cell r="H1476" t="str">
            <v>consulta_externa</v>
          </cell>
          <cell r="J1476" t="str">
            <v>bueno</v>
          </cell>
          <cell r="K1476" t="str">
            <v>probsi</v>
          </cell>
        </row>
        <row r="1477">
          <cell r="B1477" t="b">
            <v>1</v>
          </cell>
          <cell r="E1477" t="str">
            <v>Gaviotas</v>
          </cell>
          <cell r="H1477" t="str">
            <v>consulta_externa</v>
          </cell>
          <cell r="J1477" t="str">
            <v>bueno</v>
          </cell>
          <cell r="K1477" t="str">
            <v>probsi</v>
          </cell>
        </row>
        <row r="1478">
          <cell r="B1478" t="b">
            <v>1</v>
          </cell>
          <cell r="E1478" t="str">
            <v>San Francisco I</v>
          </cell>
          <cell r="H1478" t="str">
            <v>consulta_externa</v>
          </cell>
          <cell r="J1478" t="str">
            <v>bueno</v>
          </cell>
          <cell r="K1478" t="str">
            <v>defsi</v>
          </cell>
        </row>
        <row r="1479">
          <cell r="B1479" t="b">
            <v>1</v>
          </cell>
          <cell r="E1479" t="str">
            <v>San Francisco I</v>
          </cell>
          <cell r="H1479" t="str">
            <v>salud_oral</v>
          </cell>
          <cell r="J1479" t="str">
            <v>bueno</v>
          </cell>
          <cell r="K1479" t="str">
            <v>defsi</v>
          </cell>
        </row>
        <row r="1480">
          <cell r="B1480" t="b">
            <v>1</v>
          </cell>
          <cell r="E1480" t="str">
            <v>San Francisco I</v>
          </cell>
          <cell r="H1480" t="str">
            <v>laboratorio</v>
          </cell>
          <cell r="J1480" t="str">
            <v>bueno</v>
          </cell>
          <cell r="K1480" t="str">
            <v>defsi</v>
          </cell>
        </row>
        <row r="1481">
          <cell r="B1481" t="b">
            <v>1</v>
          </cell>
          <cell r="E1481" t="str">
            <v>San Francisco I</v>
          </cell>
          <cell r="H1481" t="str">
            <v>consulta_externa</v>
          </cell>
          <cell r="J1481" t="str">
            <v>bueno</v>
          </cell>
          <cell r="K1481" t="str">
            <v>defsi</v>
          </cell>
        </row>
        <row r="1482">
          <cell r="B1482" t="b">
            <v>1</v>
          </cell>
          <cell r="E1482" t="str">
            <v>San Francisco I</v>
          </cell>
          <cell r="H1482" t="str">
            <v>salud_oral</v>
          </cell>
          <cell r="J1482" t="str">
            <v>bueno</v>
          </cell>
          <cell r="K1482" t="str">
            <v>defsi</v>
          </cell>
        </row>
        <row r="1483">
          <cell r="B1483" t="b">
            <v>1</v>
          </cell>
          <cell r="E1483" t="str">
            <v>San Francisco I</v>
          </cell>
          <cell r="H1483" t="str">
            <v>laboratorio</v>
          </cell>
          <cell r="J1483" t="str">
            <v>bueno</v>
          </cell>
          <cell r="K1483" t="str">
            <v>defsi</v>
          </cell>
        </row>
        <row r="1484">
          <cell r="B1484" t="b">
            <v>1</v>
          </cell>
          <cell r="E1484" t="str">
            <v>San Francisco I</v>
          </cell>
          <cell r="H1484" t="str">
            <v>consulta_externa</v>
          </cell>
          <cell r="J1484" t="str">
            <v>bueno</v>
          </cell>
          <cell r="K1484" t="str">
            <v>defsi</v>
          </cell>
        </row>
        <row r="1485">
          <cell r="B1485" t="b">
            <v>1</v>
          </cell>
          <cell r="E1485" t="str">
            <v>San Francisco I</v>
          </cell>
          <cell r="H1485" t="str">
            <v>salud_oral</v>
          </cell>
          <cell r="J1485" t="str">
            <v>bueno</v>
          </cell>
          <cell r="K1485" t="str">
            <v>defsi</v>
          </cell>
        </row>
        <row r="1486">
          <cell r="B1486" t="b">
            <v>1</v>
          </cell>
          <cell r="E1486" t="str">
            <v>San Francisco I</v>
          </cell>
          <cell r="H1486" t="str">
            <v>laboratorio</v>
          </cell>
          <cell r="J1486" t="str">
            <v>bueno</v>
          </cell>
          <cell r="K1486" t="str">
            <v>defsi</v>
          </cell>
        </row>
        <row r="1487">
          <cell r="B1487" t="b">
            <v>1</v>
          </cell>
          <cell r="E1487" t="str">
            <v>San Francisco I</v>
          </cell>
          <cell r="H1487" t="str">
            <v>consulta_externa</v>
          </cell>
          <cell r="J1487" t="str">
            <v>bueno</v>
          </cell>
          <cell r="K1487" t="str">
            <v>defsi</v>
          </cell>
        </row>
        <row r="1488">
          <cell r="B1488" t="b">
            <v>1</v>
          </cell>
          <cell r="E1488" t="str">
            <v>San Francisco I</v>
          </cell>
          <cell r="H1488" t="str">
            <v>salud_oral</v>
          </cell>
          <cell r="J1488" t="str">
            <v>bueno</v>
          </cell>
          <cell r="K1488" t="str">
            <v>defsi</v>
          </cell>
        </row>
        <row r="1489">
          <cell r="B1489" t="b">
            <v>1</v>
          </cell>
          <cell r="E1489" t="str">
            <v>San Francisco I</v>
          </cell>
          <cell r="H1489" t="str">
            <v>laboratorio</v>
          </cell>
          <cell r="J1489" t="str">
            <v>bueno</v>
          </cell>
          <cell r="K1489" t="str">
            <v>defsi</v>
          </cell>
        </row>
        <row r="1490">
          <cell r="B1490" t="b">
            <v>1</v>
          </cell>
          <cell r="E1490" t="str">
            <v>San Francisco I</v>
          </cell>
          <cell r="H1490" t="str">
            <v>consulta_externa</v>
          </cell>
          <cell r="J1490" t="str">
            <v>bueno</v>
          </cell>
          <cell r="K1490" t="str">
            <v>defsi</v>
          </cell>
        </row>
        <row r="1491">
          <cell r="B1491" t="b">
            <v>1</v>
          </cell>
          <cell r="E1491" t="str">
            <v>San Francisco I</v>
          </cell>
          <cell r="H1491" t="str">
            <v>salud_oral</v>
          </cell>
          <cell r="J1491" t="str">
            <v>bueno</v>
          </cell>
          <cell r="K1491" t="str">
            <v>defsi</v>
          </cell>
        </row>
        <row r="1492">
          <cell r="B1492" t="b">
            <v>1</v>
          </cell>
          <cell r="E1492" t="str">
            <v>San Francisco I</v>
          </cell>
          <cell r="H1492" t="str">
            <v>laboratorio</v>
          </cell>
          <cell r="J1492" t="str">
            <v>bueno</v>
          </cell>
          <cell r="K1492" t="str">
            <v>defsi</v>
          </cell>
        </row>
        <row r="1493">
          <cell r="B1493" t="b">
            <v>1</v>
          </cell>
          <cell r="E1493" t="str">
            <v>Gaviotas</v>
          </cell>
          <cell r="H1493" t="str">
            <v>consulta_externa</v>
          </cell>
          <cell r="J1493" t="str">
            <v>bueno</v>
          </cell>
          <cell r="K1493" t="str">
            <v>probsi</v>
          </cell>
        </row>
        <row r="1494">
          <cell r="B1494" t="b">
            <v>1</v>
          </cell>
          <cell r="E1494" t="str">
            <v>Gaviotas</v>
          </cell>
          <cell r="H1494" t="str">
            <v>consulta_externa</v>
          </cell>
          <cell r="J1494" t="str">
            <v>bueno</v>
          </cell>
          <cell r="K1494" t="str">
            <v>probsi</v>
          </cell>
        </row>
        <row r="1495">
          <cell r="B1495" t="b">
            <v>1</v>
          </cell>
          <cell r="E1495" t="str">
            <v>Gaviotas</v>
          </cell>
          <cell r="H1495" t="str">
            <v>salud_oral</v>
          </cell>
          <cell r="J1495" t="str">
            <v>bueno</v>
          </cell>
          <cell r="K1495" t="str">
            <v>probsi</v>
          </cell>
        </row>
        <row r="1496">
          <cell r="B1496" t="b">
            <v>1</v>
          </cell>
          <cell r="E1496" t="str">
            <v>Gaviotas</v>
          </cell>
          <cell r="H1496" t="str">
            <v>consulta_externa</v>
          </cell>
          <cell r="J1496" t="str">
            <v>muybueno</v>
          </cell>
          <cell r="K1496" t="str">
            <v>probsi</v>
          </cell>
        </row>
        <row r="1497">
          <cell r="B1497" t="b">
            <v>1</v>
          </cell>
          <cell r="E1497" t="str">
            <v>Gaviotas</v>
          </cell>
          <cell r="H1497" t="str">
            <v>laboratorio</v>
          </cell>
          <cell r="J1497" t="str">
            <v>bueno</v>
          </cell>
          <cell r="K1497" t="str">
            <v>probsi</v>
          </cell>
        </row>
        <row r="1498">
          <cell r="B1498" t="b">
            <v>1</v>
          </cell>
          <cell r="E1498" t="str">
            <v>Gaviotas</v>
          </cell>
          <cell r="H1498" t="str">
            <v>consulta_externa</v>
          </cell>
          <cell r="J1498" t="str">
            <v>bueno</v>
          </cell>
          <cell r="K1498" t="str">
            <v>probsi</v>
          </cell>
        </row>
        <row r="1499">
          <cell r="B1499" t="b">
            <v>1</v>
          </cell>
          <cell r="E1499" t="str">
            <v>Gaviotas</v>
          </cell>
          <cell r="H1499" t="str">
            <v>salud_oral</v>
          </cell>
          <cell r="J1499" t="str">
            <v>bueno</v>
          </cell>
          <cell r="K1499" t="str">
            <v>probsi</v>
          </cell>
        </row>
        <row r="1500">
          <cell r="B1500" t="b">
            <v>1</v>
          </cell>
          <cell r="E1500" t="str">
            <v>Gaviotas</v>
          </cell>
          <cell r="H1500" t="str">
            <v>laboratorio</v>
          </cell>
          <cell r="J1500" t="str">
            <v>bueno</v>
          </cell>
          <cell r="K1500" t="str">
            <v>probsi</v>
          </cell>
        </row>
        <row r="1501">
          <cell r="B1501" t="b">
            <v>1</v>
          </cell>
          <cell r="E1501" t="str">
            <v>Gaviotas</v>
          </cell>
          <cell r="H1501" t="str">
            <v>laboratorio</v>
          </cell>
          <cell r="J1501" t="str">
            <v>muybueno</v>
          </cell>
          <cell r="K1501" t="str">
            <v>probsi</v>
          </cell>
        </row>
        <row r="1502">
          <cell r="B1502" t="b">
            <v>1</v>
          </cell>
          <cell r="E1502" t="str">
            <v>Gaviotas</v>
          </cell>
          <cell r="H1502" t="str">
            <v>laboratorio</v>
          </cell>
          <cell r="J1502" t="str">
            <v>muybueno</v>
          </cell>
          <cell r="K1502" t="str">
            <v>probsi</v>
          </cell>
        </row>
        <row r="1503">
          <cell r="B1503" t="b">
            <v>1</v>
          </cell>
          <cell r="E1503" t="str">
            <v>San Francisco I</v>
          </cell>
          <cell r="H1503" t="str">
            <v>consulta_externa</v>
          </cell>
          <cell r="J1503" t="str">
            <v>bueno</v>
          </cell>
          <cell r="K1503" t="str">
            <v>defsi</v>
          </cell>
        </row>
        <row r="1504">
          <cell r="B1504" t="b">
            <v>1</v>
          </cell>
          <cell r="E1504" t="str">
            <v>San Francisco I</v>
          </cell>
          <cell r="H1504" t="str">
            <v>salud_oral</v>
          </cell>
          <cell r="J1504" t="str">
            <v>bueno</v>
          </cell>
          <cell r="K1504" t="str">
            <v>defsi</v>
          </cell>
        </row>
        <row r="1505">
          <cell r="B1505" t="b">
            <v>1</v>
          </cell>
          <cell r="E1505" t="str">
            <v>San Francisco I</v>
          </cell>
          <cell r="H1505" t="str">
            <v>laboratorio</v>
          </cell>
          <cell r="J1505" t="str">
            <v>bueno</v>
          </cell>
          <cell r="K1505" t="str">
            <v>defsi</v>
          </cell>
        </row>
        <row r="1506">
          <cell r="B1506" t="b">
            <v>1</v>
          </cell>
          <cell r="E1506" t="str">
            <v>San Vicente de Paul</v>
          </cell>
          <cell r="H1506" t="str">
            <v>consulta_externa</v>
          </cell>
          <cell r="J1506" t="str">
            <v>bueno</v>
          </cell>
          <cell r="K1506" t="str">
            <v>probsi</v>
          </cell>
        </row>
        <row r="1507">
          <cell r="B1507" t="b">
            <v>1</v>
          </cell>
          <cell r="E1507" t="str">
            <v>San Vicente de Paul</v>
          </cell>
          <cell r="H1507" t="str">
            <v>consulta_externa</v>
          </cell>
          <cell r="J1507" t="str">
            <v>bueno</v>
          </cell>
          <cell r="K1507" t="str">
            <v>probsi</v>
          </cell>
        </row>
        <row r="1508">
          <cell r="B1508" t="b">
            <v>1</v>
          </cell>
          <cell r="E1508" t="str">
            <v>San Vicente de Paul</v>
          </cell>
          <cell r="H1508" t="str">
            <v>consulta_externa</v>
          </cell>
          <cell r="J1508" t="str">
            <v>bueno</v>
          </cell>
          <cell r="K1508" t="str">
            <v>probsi</v>
          </cell>
        </row>
        <row r="1509">
          <cell r="B1509" t="b">
            <v>1</v>
          </cell>
          <cell r="E1509" t="str">
            <v>San Vicente de Paul</v>
          </cell>
          <cell r="H1509" t="str">
            <v>consulta_externa</v>
          </cell>
          <cell r="J1509" t="str">
            <v>bueno</v>
          </cell>
          <cell r="K1509" t="str">
            <v>probsi</v>
          </cell>
        </row>
        <row r="1510">
          <cell r="B1510" t="b">
            <v>1</v>
          </cell>
          <cell r="E1510" t="str">
            <v>San Vicente de Paul</v>
          </cell>
          <cell r="H1510" t="str">
            <v>laboratorio</v>
          </cell>
          <cell r="J1510" t="str">
            <v>bueno</v>
          </cell>
          <cell r="K1510" t="str">
            <v>probsi</v>
          </cell>
        </row>
        <row r="1511">
          <cell r="B1511" t="b">
            <v>1</v>
          </cell>
          <cell r="E1511" t="str">
            <v>San Vicente de Paul</v>
          </cell>
          <cell r="H1511" t="str">
            <v>laboratorio</v>
          </cell>
          <cell r="J1511" t="str">
            <v>bueno</v>
          </cell>
          <cell r="K1511" t="str">
            <v>probsi</v>
          </cell>
        </row>
        <row r="1512">
          <cell r="B1512" t="b">
            <v>1</v>
          </cell>
          <cell r="E1512" t="str">
            <v>San Vicente de Paul</v>
          </cell>
          <cell r="H1512" t="str">
            <v>salud_oral</v>
          </cell>
          <cell r="J1512" t="str">
            <v>bueno</v>
          </cell>
          <cell r="K1512" t="str">
            <v>probsi</v>
          </cell>
        </row>
        <row r="1513">
          <cell r="B1513" t="b">
            <v>1</v>
          </cell>
          <cell r="E1513" t="str">
            <v>San Vicente de Paul</v>
          </cell>
          <cell r="H1513" t="str">
            <v>salud_oral</v>
          </cell>
          <cell r="J1513" t="str">
            <v>bueno</v>
          </cell>
          <cell r="K1513" t="str">
            <v>probsi</v>
          </cell>
        </row>
        <row r="1514">
          <cell r="B1514" t="b">
            <v>1</v>
          </cell>
          <cell r="E1514" t="str">
            <v>San Vicente de Paul</v>
          </cell>
          <cell r="H1514" t="str">
            <v>salud_oral</v>
          </cell>
          <cell r="J1514" t="str">
            <v>bueno</v>
          </cell>
          <cell r="K1514" t="str">
            <v>probsi</v>
          </cell>
        </row>
        <row r="1515">
          <cell r="B1515" t="b">
            <v>1</v>
          </cell>
          <cell r="E1515" t="str">
            <v>San Vicente de Paul</v>
          </cell>
          <cell r="H1515" t="str">
            <v>consulta_externa</v>
          </cell>
          <cell r="J1515" t="str">
            <v>bueno</v>
          </cell>
          <cell r="K1515" t="str">
            <v>probsi</v>
          </cell>
        </row>
        <row r="1516">
          <cell r="B1516" t="b">
            <v>1</v>
          </cell>
          <cell r="E1516" t="str">
            <v>San Vicente de Paul</v>
          </cell>
          <cell r="H1516" t="str">
            <v>laboratorio</v>
          </cell>
          <cell r="J1516" t="str">
            <v>bueno</v>
          </cell>
          <cell r="K1516" t="str">
            <v>probsi</v>
          </cell>
        </row>
        <row r="1517">
          <cell r="B1517" t="b">
            <v>1</v>
          </cell>
          <cell r="E1517" t="str">
            <v>San Vicente de Paul</v>
          </cell>
          <cell r="H1517" t="str">
            <v>laboratorio</v>
          </cell>
          <cell r="J1517" t="str">
            <v>bueno</v>
          </cell>
          <cell r="K1517" t="str">
            <v>probsi</v>
          </cell>
        </row>
        <row r="1518">
          <cell r="B1518" t="b">
            <v>1</v>
          </cell>
          <cell r="E1518" t="str">
            <v>San Vicente de Paul</v>
          </cell>
          <cell r="H1518" t="str">
            <v>laboratorio</v>
          </cell>
          <cell r="J1518" t="str">
            <v>bueno</v>
          </cell>
          <cell r="K1518" t="str">
            <v>probsi</v>
          </cell>
        </row>
        <row r="1519">
          <cell r="B1519" t="b">
            <v>1</v>
          </cell>
          <cell r="E1519" t="str">
            <v>San Vicente de Paul</v>
          </cell>
          <cell r="H1519" t="str">
            <v>consulta_externa</v>
          </cell>
          <cell r="J1519" t="str">
            <v>bueno</v>
          </cell>
          <cell r="K1519" t="str">
            <v>probsi</v>
          </cell>
        </row>
        <row r="1520">
          <cell r="B1520" t="b">
            <v>1</v>
          </cell>
          <cell r="E1520" t="str">
            <v>San Vicente de Paul</v>
          </cell>
          <cell r="H1520" t="str">
            <v>consulta_externa</v>
          </cell>
          <cell r="J1520" t="str">
            <v>bueno</v>
          </cell>
          <cell r="K1520" t="str">
            <v>probsi</v>
          </cell>
        </row>
        <row r="1521">
          <cell r="B1521" t="b">
            <v>1</v>
          </cell>
          <cell r="E1521" t="str">
            <v>San Francisco I</v>
          </cell>
          <cell r="H1521" t="str">
            <v>consulta_externa</v>
          </cell>
          <cell r="J1521" t="str">
            <v>bueno</v>
          </cell>
          <cell r="K1521" t="str">
            <v>defsi</v>
          </cell>
        </row>
        <row r="1522">
          <cell r="B1522" t="b">
            <v>1</v>
          </cell>
          <cell r="E1522" t="str">
            <v>San Francisco I</v>
          </cell>
          <cell r="H1522" t="str">
            <v>salud_oral</v>
          </cell>
          <cell r="J1522" t="str">
            <v>bueno</v>
          </cell>
          <cell r="K1522" t="str">
            <v>defsi</v>
          </cell>
        </row>
        <row r="1523">
          <cell r="B1523" t="b">
            <v>1</v>
          </cell>
          <cell r="E1523" t="str">
            <v>San Francisco I</v>
          </cell>
          <cell r="H1523" t="str">
            <v>laboratorio</v>
          </cell>
          <cell r="J1523" t="str">
            <v>bueno</v>
          </cell>
          <cell r="K1523" t="str">
            <v>defsi</v>
          </cell>
        </row>
        <row r="1524">
          <cell r="B1524" t="b">
            <v>1</v>
          </cell>
          <cell r="E1524" t="str">
            <v>Socorro</v>
          </cell>
          <cell r="H1524" t="str">
            <v>consulta_externa</v>
          </cell>
          <cell r="J1524" t="str">
            <v>bueno</v>
          </cell>
          <cell r="K1524" t="str">
            <v>defsi</v>
          </cell>
        </row>
        <row r="1525">
          <cell r="B1525" t="b">
            <v>1</v>
          </cell>
          <cell r="E1525" t="str">
            <v>Socorro</v>
          </cell>
          <cell r="H1525" t="str">
            <v>salud_oral</v>
          </cell>
          <cell r="J1525" t="str">
            <v>muybueno</v>
          </cell>
          <cell r="K1525" t="str">
            <v>defsi</v>
          </cell>
        </row>
        <row r="1526">
          <cell r="B1526" t="b">
            <v>1</v>
          </cell>
          <cell r="E1526" t="str">
            <v>Socorro</v>
          </cell>
          <cell r="H1526" t="str">
            <v>salud_oral</v>
          </cell>
          <cell r="J1526" t="str">
            <v>bueno</v>
          </cell>
          <cell r="K1526" t="str">
            <v>defsi</v>
          </cell>
        </row>
        <row r="1527">
          <cell r="B1527" t="b">
            <v>1</v>
          </cell>
          <cell r="E1527" t="str">
            <v>Socorro</v>
          </cell>
          <cell r="H1527" t="str">
            <v>consulta_externa</v>
          </cell>
          <cell r="J1527" t="str">
            <v>bueno</v>
          </cell>
          <cell r="K1527" t="str">
            <v>defsi</v>
          </cell>
        </row>
        <row r="1528">
          <cell r="B1528" t="b">
            <v>1</v>
          </cell>
          <cell r="E1528" t="str">
            <v>Socorro</v>
          </cell>
          <cell r="H1528" t="str">
            <v>consulta_externa</v>
          </cell>
          <cell r="J1528" t="str">
            <v>bueno</v>
          </cell>
          <cell r="K1528" t="str">
            <v>defsi</v>
          </cell>
        </row>
        <row r="1529">
          <cell r="B1529" t="b">
            <v>1</v>
          </cell>
          <cell r="E1529" t="str">
            <v>Socorro</v>
          </cell>
          <cell r="H1529" t="str">
            <v>laboratorio</v>
          </cell>
          <cell r="J1529" t="str">
            <v>bueno</v>
          </cell>
          <cell r="K1529" t="str">
            <v>defsi</v>
          </cell>
        </row>
        <row r="1530">
          <cell r="B1530" t="b">
            <v>0</v>
          </cell>
          <cell r="E1530" t="str">
            <v>Socorro</v>
          </cell>
          <cell r="H1530" t="str">
            <v>consulta_externa</v>
          </cell>
          <cell r="J1530" t="str">
            <v>regular</v>
          </cell>
          <cell r="K1530" t="str">
            <v>defsi</v>
          </cell>
        </row>
        <row r="1531">
          <cell r="B1531" t="b">
            <v>0</v>
          </cell>
          <cell r="E1531" t="str">
            <v>Socorro</v>
          </cell>
          <cell r="H1531" t="str">
            <v>salud_oral</v>
          </cell>
          <cell r="J1531" t="str">
            <v>regular</v>
          </cell>
          <cell r="K1531" t="str">
            <v>defsi</v>
          </cell>
        </row>
        <row r="1532">
          <cell r="B1532" t="b">
            <v>1</v>
          </cell>
          <cell r="E1532" t="str">
            <v>Socorro</v>
          </cell>
          <cell r="H1532" t="str">
            <v>laboratorio</v>
          </cell>
          <cell r="J1532" t="str">
            <v>bueno</v>
          </cell>
          <cell r="K1532" t="str">
            <v>defsi</v>
          </cell>
        </row>
        <row r="1533">
          <cell r="B1533" t="b">
            <v>1</v>
          </cell>
          <cell r="E1533" t="str">
            <v>Gaviotas</v>
          </cell>
          <cell r="H1533" t="str">
            <v>salud_oral</v>
          </cell>
          <cell r="J1533" t="str">
            <v>bueno</v>
          </cell>
          <cell r="K1533" t="str">
            <v>probsi</v>
          </cell>
        </row>
        <row r="1534">
          <cell r="B1534" t="b">
            <v>1</v>
          </cell>
          <cell r="E1534" t="str">
            <v>Socorro</v>
          </cell>
          <cell r="H1534" t="str">
            <v>consulta_externa</v>
          </cell>
          <cell r="J1534" t="str">
            <v>bueno</v>
          </cell>
          <cell r="K1534" t="str">
            <v>defsi</v>
          </cell>
        </row>
        <row r="1535">
          <cell r="B1535" t="b">
            <v>1</v>
          </cell>
          <cell r="E1535" t="str">
            <v>Gaviotas</v>
          </cell>
          <cell r="H1535" t="str">
            <v>salud_oral</v>
          </cell>
          <cell r="J1535" t="str">
            <v>muybueno</v>
          </cell>
          <cell r="K1535" t="str">
            <v>probsi</v>
          </cell>
        </row>
        <row r="1536">
          <cell r="B1536" t="b">
            <v>1</v>
          </cell>
          <cell r="E1536" t="str">
            <v>Gaviotas</v>
          </cell>
          <cell r="H1536" t="str">
            <v>salud_oral</v>
          </cell>
          <cell r="J1536" t="str">
            <v>bueno</v>
          </cell>
          <cell r="K1536" t="str">
            <v>probsi</v>
          </cell>
        </row>
        <row r="1537">
          <cell r="B1537" t="b">
            <v>1</v>
          </cell>
          <cell r="E1537" t="str">
            <v>Gaviotas</v>
          </cell>
          <cell r="H1537" t="str">
            <v>salud_oral</v>
          </cell>
          <cell r="J1537" t="str">
            <v>bueno</v>
          </cell>
          <cell r="K1537" t="str">
            <v>probsi</v>
          </cell>
        </row>
        <row r="1538">
          <cell r="B1538" t="b">
            <v>1</v>
          </cell>
          <cell r="E1538" t="str">
            <v>San Vicente de Paul</v>
          </cell>
          <cell r="H1538" t="str">
            <v>consulta_externa</v>
          </cell>
          <cell r="J1538" t="str">
            <v>bueno</v>
          </cell>
          <cell r="K1538" t="str">
            <v>probsi</v>
          </cell>
        </row>
        <row r="1539">
          <cell r="B1539" t="b">
            <v>1</v>
          </cell>
          <cell r="E1539" t="str">
            <v>San Vicente de Paul</v>
          </cell>
          <cell r="H1539" t="str">
            <v>consulta_externa</v>
          </cell>
          <cell r="J1539" t="str">
            <v>bueno</v>
          </cell>
          <cell r="K1539" t="str">
            <v>probsi</v>
          </cell>
        </row>
        <row r="1540">
          <cell r="B1540" t="b">
            <v>1</v>
          </cell>
          <cell r="E1540" t="str">
            <v>San Vicente de Paul</v>
          </cell>
          <cell r="H1540" t="str">
            <v>consulta_externa</v>
          </cell>
          <cell r="J1540" t="str">
            <v>bueno</v>
          </cell>
          <cell r="K1540" t="str">
            <v>probsi</v>
          </cell>
        </row>
        <row r="1541">
          <cell r="B1541" t="b">
            <v>1</v>
          </cell>
          <cell r="E1541" t="str">
            <v>San Vicente de Paul</v>
          </cell>
          <cell r="H1541" t="str">
            <v>laboratorio</v>
          </cell>
          <cell r="J1541" t="str">
            <v>bueno</v>
          </cell>
          <cell r="K1541" t="str">
            <v>probsi</v>
          </cell>
        </row>
        <row r="1542">
          <cell r="B1542" t="b">
            <v>1</v>
          </cell>
          <cell r="E1542" t="str">
            <v>San Vicente de Paul</v>
          </cell>
          <cell r="H1542" t="str">
            <v>laboratorio</v>
          </cell>
          <cell r="J1542" t="str">
            <v>bueno</v>
          </cell>
          <cell r="K1542" t="str">
            <v>probsi</v>
          </cell>
        </row>
        <row r="1543">
          <cell r="B1543" t="b">
            <v>1</v>
          </cell>
          <cell r="E1543" t="str">
            <v>San Vicente de Paul</v>
          </cell>
          <cell r="H1543" t="str">
            <v>laboratorio</v>
          </cell>
          <cell r="J1543" t="str">
            <v>bueno</v>
          </cell>
          <cell r="K1543" t="str">
            <v>probsi</v>
          </cell>
        </row>
        <row r="1544">
          <cell r="B1544" t="b">
            <v>1</v>
          </cell>
          <cell r="E1544" t="str">
            <v>San Vicente de Paul</v>
          </cell>
          <cell r="H1544" t="str">
            <v>laboratorio</v>
          </cell>
          <cell r="J1544" t="str">
            <v>bueno</v>
          </cell>
          <cell r="K1544" t="str">
            <v>probsi</v>
          </cell>
        </row>
        <row r="1545">
          <cell r="B1545" t="b">
            <v>1</v>
          </cell>
          <cell r="E1545" t="str">
            <v>San Vicente de Paul</v>
          </cell>
          <cell r="H1545" t="str">
            <v>salud_oral</v>
          </cell>
          <cell r="J1545" t="str">
            <v>bueno</v>
          </cell>
          <cell r="K1545" t="str">
            <v>probsi</v>
          </cell>
        </row>
        <row r="1546">
          <cell r="B1546" t="b">
            <v>1</v>
          </cell>
          <cell r="E1546" t="str">
            <v>San Vicente de Paul</v>
          </cell>
          <cell r="H1546" t="str">
            <v>salud_oral</v>
          </cell>
          <cell r="J1546" t="str">
            <v>bueno</v>
          </cell>
          <cell r="K1546" t="str">
            <v>probsi</v>
          </cell>
        </row>
        <row r="1547">
          <cell r="B1547" t="b">
            <v>1</v>
          </cell>
          <cell r="E1547" t="str">
            <v>San Vicente de Paul</v>
          </cell>
          <cell r="H1547" t="str">
            <v>salud_oral</v>
          </cell>
          <cell r="J1547" t="str">
            <v>bueno</v>
          </cell>
          <cell r="K1547" t="str">
            <v>probsi</v>
          </cell>
        </row>
        <row r="1548">
          <cell r="B1548" t="b">
            <v>1</v>
          </cell>
          <cell r="E1548" t="str">
            <v>San Vicente de Paul</v>
          </cell>
          <cell r="H1548" t="str">
            <v>salud_oral</v>
          </cell>
          <cell r="J1548" t="str">
            <v>bueno</v>
          </cell>
          <cell r="K1548" t="str">
            <v>probsi</v>
          </cell>
        </row>
        <row r="1549">
          <cell r="B1549" t="b">
            <v>1</v>
          </cell>
          <cell r="E1549" t="str">
            <v>San Vicente de Paul</v>
          </cell>
          <cell r="H1549" t="str">
            <v>salud_oral</v>
          </cell>
          <cell r="J1549" t="str">
            <v>bueno</v>
          </cell>
          <cell r="K1549" t="str">
            <v>probsi</v>
          </cell>
        </row>
        <row r="1550">
          <cell r="B1550" t="b">
            <v>1</v>
          </cell>
          <cell r="E1550" t="str">
            <v>San Vicente de Paul</v>
          </cell>
          <cell r="H1550" t="str">
            <v>salud_oral</v>
          </cell>
          <cell r="J1550" t="str">
            <v>bueno</v>
          </cell>
          <cell r="K1550" t="str">
            <v>probsi</v>
          </cell>
        </row>
        <row r="1551">
          <cell r="B1551" t="b">
            <v>1</v>
          </cell>
          <cell r="E1551" t="str">
            <v>San Vicente de Paul</v>
          </cell>
          <cell r="H1551" t="str">
            <v>salud_oral</v>
          </cell>
          <cell r="J1551" t="str">
            <v>bueno</v>
          </cell>
          <cell r="K1551" t="str">
            <v>probsi</v>
          </cell>
        </row>
        <row r="1552">
          <cell r="B1552" t="b">
            <v>1</v>
          </cell>
          <cell r="E1552" t="str">
            <v>San Vicente de Paul</v>
          </cell>
          <cell r="H1552" t="str">
            <v>salud_oral</v>
          </cell>
          <cell r="J1552" t="str">
            <v>bueno</v>
          </cell>
          <cell r="K1552" t="str">
            <v>probsi</v>
          </cell>
        </row>
        <row r="1553">
          <cell r="B1553" t="b">
            <v>1</v>
          </cell>
          <cell r="E1553" t="str">
            <v>Libano</v>
          </cell>
          <cell r="H1553" t="str">
            <v>salud_oral</v>
          </cell>
          <cell r="J1553" t="str">
            <v>bueno</v>
          </cell>
          <cell r="K1553" t="str">
            <v>probsi</v>
          </cell>
        </row>
        <row r="1554">
          <cell r="B1554" t="b">
            <v>1</v>
          </cell>
          <cell r="E1554" t="str">
            <v>Libano</v>
          </cell>
          <cell r="H1554" t="str">
            <v>salud_oral</v>
          </cell>
          <cell r="J1554" t="str">
            <v>bueno</v>
          </cell>
          <cell r="K1554" t="str">
            <v>probsi</v>
          </cell>
        </row>
        <row r="1555">
          <cell r="B1555" t="b">
            <v>1</v>
          </cell>
          <cell r="E1555" t="str">
            <v>Libano</v>
          </cell>
          <cell r="H1555" t="str">
            <v>salud_oral</v>
          </cell>
          <cell r="J1555" t="str">
            <v>bueno</v>
          </cell>
          <cell r="K1555" t="str">
            <v>probsi</v>
          </cell>
        </row>
        <row r="1556">
          <cell r="B1556" t="b">
            <v>1</v>
          </cell>
          <cell r="E1556" t="str">
            <v>Libano</v>
          </cell>
          <cell r="H1556" t="str">
            <v>salud_oral</v>
          </cell>
          <cell r="J1556" t="str">
            <v>bueno</v>
          </cell>
          <cell r="K1556" t="str">
            <v>probsi</v>
          </cell>
        </row>
        <row r="1557">
          <cell r="B1557" t="b">
            <v>1</v>
          </cell>
          <cell r="E1557" t="str">
            <v>Libano</v>
          </cell>
          <cell r="H1557" t="str">
            <v>consulta_externa</v>
          </cell>
          <cell r="J1557" t="str">
            <v>bueno</v>
          </cell>
          <cell r="K1557" t="str">
            <v>probsi</v>
          </cell>
        </row>
        <row r="1558">
          <cell r="B1558" t="b">
            <v>1</v>
          </cell>
          <cell r="E1558" t="str">
            <v>Libano</v>
          </cell>
          <cell r="H1558" t="str">
            <v>consulta_externa</v>
          </cell>
          <cell r="J1558" t="str">
            <v>bueno</v>
          </cell>
          <cell r="K1558" t="str">
            <v>probsi</v>
          </cell>
        </row>
        <row r="1559">
          <cell r="B1559" t="b">
            <v>1</v>
          </cell>
          <cell r="E1559" t="str">
            <v>Libano</v>
          </cell>
          <cell r="H1559" t="str">
            <v>consulta_externa</v>
          </cell>
          <cell r="J1559" t="str">
            <v>bueno</v>
          </cell>
          <cell r="K1559" t="str">
            <v>probsi</v>
          </cell>
        </row>
        <row r="1560">
          <cell r="B1560" t="b">
            <v>1</v>
          </cell>
          <cell r="E1560" t="str">
            <v>Libano</v>
          </cell>
          <cell r="H1560" t="str">
            <v>laboratorio</v>
          </cell>
          <cell r="J1560" t="str">
            <v>bueno</v>
          </cell>
          <cell r="K1560" t="str">
            <v>probsi</v>
          </cell>
        </row>
        <row r="1561">
          <cell r="B1561" t="b">
            <v>1</v>
          </cell>
          <cell r="E1561" t="str">
            <v>Libano</v>
          </cell>
          <cell r="H1561" t="str">
            <v>laboratorio</v>
          </cell>
          <cell r="J1561" t="str">
            <v>bueno</v>
          </cell>
          <cell r="K1561" t="str">
            <v>probsi</v>
          </cell>
        </row>
        <row r="1562">
          <cell r="B1562" t="b">
            <v>1</v>
          </cell>
          <cell r="E1562" t="str">
            <v>Libano</v>
          </cell>
          <cell r="H1562" t="str">
            <v>laboratorio</v>
          </cell>
          <cell r="J1562" t="str">
            <v>bueno</v>
          </cell>
          <cell r="K1562" t="str">
            <v>probsi</v>
          </cell>
        </row>
        <row r="1563">
          <cell r="B1563" t="b">
            <v>1</v>
          </cell>
          <cell r="E1563" t="str">
            <v>Libano</v>
          </cell>
          <cell r="H1563" t="str">
            <v>laboratorio</v>
          </cell>
          <cell r="J1563" t="str">
            <v>bueno</v>
          </cell>
          <cell r="K1563" t="str">
            <v>probsi</v>
          </cell>
        </row>
        <row r="1564">
          <cell r="B1564" t="b">
            <v>1</v>
          </cell>
          <cell r="E1564" t="str">
            <v>Libano</v>
          </cell>
          <cell r="H1564" t="str">
            <v>laboratorio</v>
          </cell>
          <cell r="J1564" t="str">
            <v>bueno</v>
          </cell>
          <cell r="K1564" t="str">
            <v>probsi</v>
          </cell>
        </row>
        <row r="1565">
          <cell r="B1565" t="b">
            <v>1</v>
          </cell>
          <cell r="E1565" t="str">
            <v>Libano</v>
          </cell>
          <cell r="H1565" t="str">
            <v>laboratorio</v>
          </cell>
          <cell r="J1565" t="str">
            <v>bueno</v>
          </cell>
          <cell r="K1565" t="str">
            <v>probsi</v>
          </cell>
        </row>
        <row r="1566">
          <cell r="B1566" t="b">
            <v>1</v>
          </cell>
          <cell r="E1566" t="str">
            <v>Libano</v>
          </cell>
          <cell r="H1566" t="str">
            <v>salud_oral</v>
          </cell>
          <cell r="J1566" t="str">
            <v>bueno</v>
          </cell>
          <cell r="K1566" t="str">
            <v>probsi</v>
          </cell>
        </row>
        <row r="1567">
          <cell r="B1567" t="b">
            <v>1</v>
          </cell>
          <cell r="E1567" t="str">
            <v>Libano</v>
          </cell>
          <cell r="H1567" t="str">
            <v>salud_oral</v>
          </cell>
          <cell r="J1567" t="str">
            <v>bueno</v>
          </cell>
          <cell r="K1567" t="str">
            <v>probsi</v>
          </cell>
        </row>
        <row r="1568">
          <cell r="B1568" t="b">
            <v>1</v>
          </cell>
          <cell r="E1568" t="str">
            <v>Libano</v>
          </cell>
          <cell r="H1568" t="str">
            <v>laboratorio</v>
          </cell>
          <cell r="J1568" t="str">
            <v>bueno</v>
          </cell>
          <cell r="K1568" t="str">
            <v>probsi</v>
          </cell>
        </row>
        <row r="1569">
          <cell r="B1569" t="b">
            <v>1</v>
          </cell>
          <cell r="E1569" t="str">
            <v>Libano</v>
          </cell>
          <cell r="H1569" t="str">
            <v>laboratorio</v>
          </cell>
          <cell r="J1569" t="str">
            <v>bueno</v>
          </cell>
          <cell r="K1569" t="str">
            <v>probsi</v>
          </cell>
        </row>
        <row r="1570">
          <cell r="B1570" t="b">
            <v>1</v>
          </cell>
          <cell r="E1570" t="str">
            <v>San Francisco I</v>
          </cell>
          <cell r="H1570" t="str">
            <v>consulta_externa</v>
          </cell>
          <cell r="J1570" t="str">
            <v>bueno</v>
          </cell>
          <cell r="K1570" t="str">
            <v>defsi</v>
          </cell>
        </row>
        <row r="1571">
          <cell r="B1571" t="b">
            <v>1</v>
          </cell>
          <cell r="E1571" t="str">
            <v>San Francisco I</v>
          </cell>
          <cell r="H1571" t="str">
            <v>salud_oral</v>
          </cell>
          <cell r="J1571" t="str">
            <v>bueno</v>
          </cell>
          <cell r="K1571" t="str">
            <v>defsi</v>
          </cell>
        </row>
        <row r="1572">
          <cell r="B1572" t="b">
            <v>1</v>
          </cell>
          <cell r="E1572" t="str">
            <v>San Francisco I</v>
          </cell>
          <cell r="H1572" t="str">
            <v>laboratorio</v>
          </cell>
          <cell r="J1572" t="str">
            <v>bueno</v>
          </cell>
          <cell r="K1572" t="str">
            <v>defsi</v>
          </cell>
        </row>
        <row r="1573">
          <cell r="B1573" t="b">
            <v>1</v>
          </cell>
          <cell r="E1573" t="str">
            <v>San Francisco I</v>
          </cell>
          <cell r="H1573" t="str">
            <v>consulta_externa</v>
          </cell>
          <cell r="J1573" t="str">
            <v>bueno</v>
          </cell>
          <cell r="K1573" t="str">
            <v>defsi</v>
          </cell>
        </row>
        <row r="1574">
          <cell r="B1574" t="b">
            <v>1</v>
          </cell>
          <cell r="E1574" t="str">
            <v>Socorro</v>
          </cell>
          <cell r="H1574" t="str">
            <v>laboratorio</v>
          </cell>
          <cell r="J1574" t="str">
            <v>bueno</v>
          </cell>
          <cell r="K1574" t="str">
            <v>defsi</v>
          </cell>
        </row>
        <row r="1575">
          <cell r="B1575" t="b">
            <v>1</v>
          </cell>
          <cell r="E1575" t="str">
            <v>Socorro</v>
          </cell>
          <cell r="H1575" t="str">
            <v>laboratorio</v>
          </cell>
          <cell r="J1575" t="str">
            <v>bueno</v>
          </cell>
          <cell r="K1575" t="str">
            <v>defsi</v>
          </cell>
        </row>
        <row r="1576">
          <cell r="B1576" t="b">
            <v>1</v>
          </cell>
          <cell r="E1576" t="str">
            <v>San Francisco I</v>
          </cell>
          <cell r="H1576" t="str">
            <v>salud_oral</v>
          </cell>
          <cell r="J1576" t="str">
            <v>bueno</v>
          </cell>
          <cell r="K1576" t="str">
            <v>defsi</v>
          </cell>
        </row>
        <row r="1577">
          <cell r="B1577" t="b">
            <v>0</v>
          </cell>
          <cell r="E1577" t="str">
            <v>Socorro</v>
          </cell>
          <cell r="H1577" t="str">
            <v>laboratorio</v>
          </cell>
          <cell r="J1577" t="str">
            <v>regular</v>
          </cell>
          <cell r="K1577" t="str">
            <v>defsi</v>
          </cell>
        </row>
        <row r="1578">
          <cell r="B1578" t="b">
            <v>1</v>
          </cell>
          <cell r="E1578" t="str">
            <v>San Francisco I</v>
          </cell>
          <cell r="H1578" t="str">
            <v>salud_oral</v>
          </cell>
          <cell r="J1578" t="str">
            <v>bueno</v>
          </cell>
          <cell r="K1578" t="str">
            <v>defsi</v>
          </cell>
        </row>
        <row r="1579">
          <cell r="B1579" t="b">
            <v>1</v>
          </cell>
          <cell r="E1579" t="str">
            <v>San Francisco I</v>
          </cell>
          <cell r="H1579" t="str">
            <v>consulta_externa</v>
          </cell>
          <cell r="J1579" t="str">
            <v>bueno</v>
          </cell>
          <cell r="K1579" t="str">
            <v>defsi</v>
          </cell>
        </row>
        <row r="1580">
          <cell r="B1580" t="b">
            <v>1</v>
          </cell>
          <cell r="E1580" t="str">
            <v>San Francisco I</v>
          </cell>
          <cell r="H1580" t="str">
            <v>salud_oral</v>
          </cell>
          <cell r="J1580" t="str">
            <v>bueno</v>
          </cell>
          <cell r="K1580" t="str">
            <v>defsi</v>
          </cell>
        </row>
        <row r="1581">
          <cell r="B1581" t="b">
            <v>1</v>
          </cell>
          <cell r="E1581" t="str">
            <v>San Francisco I</v>
          </cell>
          <cell r="H1581" t="str">
            <v>laboratorio</v>
          </cell>
          <cell r="J1581" t="str">
            <v>bueno</v>
          </cell>
          <cell r="K1581" t="str">
            <v>defsi</v>
          </cell>
        </row>
        <row r="1582">
          <cell r="B1582" t="b">
            <v>1</v>
          </cell>
          <cell r="E1582" t="str">
            <v>San Francisco I</v>
          </cell>
          <cell r="H1582" t="str">
            <v>consulta_externa</v>
          </cell>
          <cell r="J1582" t="str">
            <v>bueno</v>
          </cell>
          <cell r="K1582" t="str">
            <v>defsi</v>
          </cell>
        </row>
        <row r="1583">
          <cell r="B1583" t="b">
            <v>1</v>
          </cell>
          <cell r="E1583" t="str">
            <v>San Francisco I</v>
          </cell>
          <cell r="H1583" t="str">
            <v>salud_oral</v>
          </cell>
          <cell r="J1583" t="str">
            <v>bueno</v>
          </cell>
          <cell r="K1583" t="str">
            <v>defsi</v>
          </cell>
        </row>
        <row r="1584">
          <cell r="B1584" t="b">
            <v>1</v>
          </cell>
          <cell r="E1584" t="str">
            <v>San Francisco I</v>
          </cell>
          <cell r="H1584" t="str">
            <v>laboratorio</v>
          </cell>
          <cell r="J1584" t="str">
            <v>bueno</v>
          </cell>
          <cell r="K1584" t="str">
            <v>defsi</v>
          </cell>
        </row>
        <row r="1585">
          <cell r="B1585" t="b">
            <v>0</v>
          </cell>
          <cell r="E1585" t="str">
            <v>Socorro</v>
          </cell>
          <cell r="H1585" t="str">
            <v>laboratorio</v>
          </cell>
          <cell r="J1585" t="str">
            <v>regular</v>
          </cell>
          <cell r="K1585" t="str">
            <v>defsi</v>
          </cell>
        </row>
        <row r="1586">
          <cell r="B1586" t="b">
            <v>1</v>
          </cell>
          <cell r="E1586" t="str">
            <v>Socorro</v>
          </cell>
          <cell r="H1586" t="str">
            <v>laboratorio</v>
          </cell>
          <cell r="J1586" t="str">
            <v>bueno</v>
          </cell>
          <cell r="K1586" t="str">
            <v>defsi</v>
          </cell>
        </row>
        <row r="1587">
          <cell r="B1587" t="b">
            <v>1</v>
          </cell>
          <cell r="E1587" t="str">
            <v>Socorro</v>
          </cell>
          <cell r="H1587" t="str">
            <v>laboratorio</v>
          </cell>
          <cell r="J1587" t="str">
            <v>bueno</v>
          </cell>
          <cell r="K1587" t="str">
            <v>defsi</v>
          </cell>
        </row>
        <row r="1588">
          <cell r="B1588" t="b">
            <v>1</v>
          </cell>
          <cell r="E1588" t="str">
            <v>Socorro</v>
          </cell>
          <cell r="H1588" t="str">
            <v>laboratorio</v>
          </cell>
          <cell r="J1588" t="str">
            <v>bueno</v>
          </cell>
          <cell r="K1588" t="str">
            <v>defsi</v>
          </cell>
        </row>
        <row r="1589">
          <cell r="B1589" t="b">
            <v>1</v>
          </cell>
          <cell r="E1589" t="str">
            <v>Socorro</v>
          </cell>
          <cell r="H1589" t="str">
            <v>salud_oral</v>
          </cell>
          <cell r="J1589" t="str">
            <v>bueno</v>
          </cell>
          <cell r="K1589" t="str">
            <v>defsi</v>
          </cell>
        </row>
        <row r="1590">
          <cell r="B1590" t="b">
            <v>1</v>
          </cell>
          <cell r="E1590" t="str">
            <v>Socorro</v>
          </cell>
          <cell r="H1590" t="str">
            <v>consulta_externa</v>
          </cell>
          <cell r="J1590" t="str">
            <v>bueno</v>
          </cell>
          <cell r="K1590" t="str">
            <v>defsi</v>
          </cell>
        </row>
        <row r="1591">
          <cell r="B1591" t="b">
            <v>1</v>
          </cell>
          <cell r="E1591" t="str">
            <v>Socorro</v>
          </cell>
          <cell r="H1591" t="str">
            <v>consulta_externa</v>
          </cell>
          <cell r="J1591" t="str">
            <v>bueno</v>
          </cell>
          <cell r="K1591" t="str">
            <v>defsi</v>
          </cell>
        </row>
        <row r="1592">
          <cell r="B1592" t="b">
            <v>1</v>
          </cell>
          <cell r="E1592" t="str">
            <v>Socorro</v>
          </cell>
          <cell r="H1592" t="str">
            <v>consulta_externa</v>
          </cell>
          <cell r="J1592" t="str">
            <v>bueno</v>
          </cell>
          <cell r="K1592" t="str">
            <v>defsi</v>
          </cell>
        </row>
        <row r="1593">
          <cell r="B1593" t="b">
            <v>1</v>
          </cell>
          <cell r="E1593" t="str">
            <v>Socorro</v>
          </cell>
          <cell r="H1593" t="str">
            <v>salud_oral</v>
          </cell>
          <cell r="J1593" t="str">
            <v>bueno</v>
          </cell>
          <cell r="K1593" t="str">
            <v>defsi</v>
          </cell>
        </row>
        <row r="1594">
          <cell r="B1594" t="b">
            <v>1</v>
          </cell>
          <cell r="E1594" t="str">
            <v>Socorro</v>
          </cell>
          <cell r="H1594" t="str">
            <v>salud_oral</v>
          </cell>
          <cell r="J1594" t="str">
            <v>bueno</v>
          </cell>
          <cell r="K1594" t="str">
            <v>defsi</v>
          </cell>
        </row>
        <row r="1595">
          <cell r="B1595" t="b">
            <v>1</v>
          </cell>
          <cell r="E1595" t="str">
            <v>Socorro</v>
          </cell>
          <cell r="H1595" t="str">
            <v>consulta_externa</v>
          </cell>
          <cell r="J1595" t="str">
            <v>bueno</v>
          </cell>
          <cell r="K1595" t="str">
            <v>defsi</v>
          </cell>
        </row>
        <row r="1596">
          <cell r="B1596" t="b">
            <v>1</v>
          </cell>
          <cell r="E1596" t="str">
            <v>Socorro</v>
          </cell>
          <cell r="H1596" t="str">
            <v>laboratorio</v>
          </cell>
          <cell r="J1596" t="str">
            <v>bueno</v>
          </cell>
          <cell r="K1596" t="str">
            <v>defsi</v>
          </cell>
        </row>
        <row r="1597">
          <cell r="B1597" t="b">
            <v>1</v>
          </cell>
          <cell r="E1597" t="str">
            <v>Socorro</v>
          </cell>
          <cell r="H1597" t="str">
            <v>laboratorio</v>
          </cell>
          <cell r="J1597" t="str">
            <v>bueno</v>
          </cell>
          <cell r="K1597" t="str">
            <v>defsi</v>
          </cell>
        </row>
        <row r="1598">
          <cell r="B1598" t="b">
            <v>1</v>
          </cell>
          <cell r="E1598" t="str">
            <v>Socorro</v>
          </cell>
          <cell r="H1598" t="str">
            <v>laboratorio</v>
          </cell>
          <cell r="J1598" t="str">
            <v>bueno</v>
          </cell>
          <cell r="K1598" t="str">
            <v>defsi</v>
          </cell>
        </row>
        <row r="1599">
          <cell r="B1599" t="b">
            <v>1</v>
          </cell>
          <cell r="E1599" t="str">
            <v>Socorro</v>
          </cell>
          <cell r="H1599" t="str">
            <v>consulta_externa</v>
          </cell>
          <cell r="J1599" t="str">
            <v>bueno</v>
          </cell>
          <cell r="K1599" t="str">
            <v>defsi</v>
          </cell>
        </row>
        <row r="1600">
          <cell r="B1600" t="b">
            <v>1</v>
          </cell>
          <cell r="E1600" t="str">
            <v>Socorro</v>
          </cell>
          <cell r="H1600" t="str">
            <v>consulta_externa</v>
          </cell>
          <cell r="J1600" t="str">
            <v>bueno</v>
          </cell>
          <cell r="K1600" t="str">
            <v>defsi</v>
          </cell>
        </row>
        <row r="1601">
          <cell r="B1601" t="b">
            <v>1</v>
          </cell>
          <cell r="E1601" t="str">
            <v>Socorro</v>
          </cell>
          <cell r="H1601" t="str">
            <v>laboratorio</v>
          </cell>
          <cell r="J1601" t="str">
            <v>bueno</v>
          </cell>
          <cell r="K1601" t="str">
            <v>defsi</v>
          </cell>
        </row>
        <row r="1602">
          <cell r="B1602" t="b">
            <v>1</v>
          </cell>
          <cell r="E1602" t="str">
            <v>Socorro</v>
          </cell>
          <cell r="H1602" t="str">
            <v>consulta_externa</v>
          </cell>
          <cell r="J1602" t="str">
            <v>bueno</v>
          </cell>
          <cell r="K1602" t="str">
            <v>defsi</v>
          </cell>
        </row>
        <row r="1603">
          <cell r="B1603" t="b">
            <v>0</v>
          </cell>
          <cell r="E1603" t="str">
            <v>Socorro</v>
          </cell>
          <cell r="H1603" t="str">
            <v>salud_oral</v>
          </cell>
          <cell r="J1603" t="str">
            <v>regular</v>
          </cell>
          <cell r="K1603" t="str">
            <v>defsi</v>
          </cell>
        </row>
        <row r="1604">
          <cell r="B1604" t="b">
            <v>1</v>
          </cell>
          <cell r="E1604" t="str">
            <v>Socorro</v>
          </cell>
          <cell r="H1604" t="str">
            <v>consulta_externa</v>
          </cell>
          <cell r="J1604" t="str">
            <v>bueno</v>
          </cell>
          <cell r="K1604" t="str">
            <v>defsi</v>
          </cell>
        </row>
        <row r="1605">
          <cell r="B1605" t="b">
            <v>1</v>
          </cell>
          <cell r="E1605" t="str">
            <v>Socorro</v>
          </cell>
          <cell r="H1605" t="str">
            <v>consulta_externa</v>
          </cell>
          <cell r="J1605" t="str">
            <v>bueno</v>
          </cell>
          <cell r="K1605" t="str">
            <v>defsi</v>
          </cell>
        </row>
        <row r="1606">
          <cell r="B1606" t="b">
            <v>1</v>
          </cell>
          <cell r="E1606" t="str">
            <v>Socorro</v>
          </cell>
          <cell r="H1606" t="str">
            <v>laboratorio</v>
          </cell>
          <cell r="J1606" t="str">
            <v>bueno</v>
          </cell>
          <cell r="K1606" t="str">
            <v>defsi</v>
          </cell>
        </row>
        <row r="1607">
          <cell r="B1607" t="b">
            <v>1</v>
          </cell>
          <cell r="E1607" t="str">
            <v>Socorro</v>
          </cell>
          <cell r="H1607" t="str">
            <v>consulta_externa</v>
          </cell>
          <cell r="J1607" t="str">
            <v>bueno</v>
          </cell>
          <cell r="K1607" t="str">
            <v>defsi</v>
          </cell>
        </row>
        <row r="1608">
          <cell r="B1608" t="b">
            <v>1</v>
          </cell>
          <cell r="E1608" t="str">
            <v>Socorro</v>
          </cell>
          <cell r="H1608" t="str">
            <v>consulta_externa</v>
          </cell>
          <cell r="J1608" t="str">
            <v>bueno</v>
          </cell>
          <cell r="K1608" t="str">
            <v>defsi</v>
          </cell>
        </row>
        <row r="1609">
          <cell r="B1609" t="b">
            <v>1</v>
          </cell>
          <cell r="E1609" t="str">
            <v>Socorro</v>
          </cell>
          <cell r="H1609" t="str">
            <v>consulta_externa</v>
          </cell>
          <cell r="J1609" t="str">
            <v>bueno</v>
          </cell>
          <cell r="K1609" t="str">
            <v>defsi</v>
          </cell>
        </row>
        <row r="1610">
          <cell r="B1610" t="b">
            <v>1</v>
          </cell>
          <cell r="E1610" t="str">
            <v>Socorro</v>
          </cell>
          <cell r="H1610" t="str">
            <v>consulta_externa</v>
          </cell>
          <cell r="J1610" t="str">
            <v>bueno</v>
          </cell>
          <cell r="K1610" t="str">
            <v>defsi</v>
          </cell>
        </row>
        <row r="1611">
          <cell r="B1611" t="b">
            <v>1</v>
          </cell>
          <cell r="E1611" t="str">
            <v>Socorro</v>
          </cell>
          <cell r="H1611" t="str">
            <v>consulta_externa</v>
          </cell>
          <cell r="J1611" t="str">
            <v>bueno</v>
          </cell>
          <cell r="K1611" t="str">
            <v>defsi</v>
          </cell>
        </row>
        <row r="1612">
          <cell r="B1612" t="b">
            <v>1</v>
          </cell>
          <cell r="E1612" t="str">
            <v>Socorro</v>
          </cell>
          <cell r="H1612" t="str">
            <v>consulta_externa</v>
          </cell>
          <cell r="J1612" t="str">
            <v>muybueno</v>
          </cell>
          <cell r="K1612" t="str">
            <v>defsi</v>
          </cell>
        </row>
        <row r="1613">
          <cell r="B1613" t="b">
            <v>1</v>
          </cell>
          <cell r="E1613" t="str">
            <v>Ternera</v>
          </cell>
          <cell r="H1613" t="str">
            <v>consulta_externa</v>
          </cell>
          <cell r="J1613" t="str">
            <v>bueno</v>
          </cell>
          <cell r="K1613" t="str">
            <v>defsi</v>
          </cell>
        </row>
        <row r="1614">
          <cell r="B1614" t="b">
            <v>1</v>
          </cell>
          <cell r="E1614" t="str">
            <v>Socorro</v>
          </cell>
          <cell r="H1614" t="str">
            <v>salud_oral</v>
          </cell>
          <cell r="J1614" t="str">
            <v>bueno</v>
          </cell>
          <cell r="K1614" t="str">
            <v>defsi</v>
          </cell>
        </row>
        <row r="1615">
          <cell r="B1615" t="b">
            <v>1</v>
          </cell>
          <cell r="E1615" t="str">
            <v>Esperanza</v>
          </cell>
          <cell r="H1615" t="str">
            <v>consulta_externa</v>
          </cell>
          <cell r="J1615" t="str">
            <v>bueno</v>
          </cell>
          <cell r="K1615" t="str">
            <v>defsi</v>
          </cell>
        </row>
        <row r="1616">
          <cell r="B1616" t="b">
            <v>1</v>
          </cell>
          <cell r="E1616" t="str">
            <v>Esperanza</v>
          </cell>
          <cell r="H1616" t="str">
            <v>salud_oral</v>
          </cell>
          <cell r="J1616" t="str">
            <v>bueno</v>
          </cell>
          <cell r="K1616" t="str">
            <v>defsi</v>
          </cell>
        </row>
        <row r="1617">
          <cell r="B1617" t="b">
            <v>1</v>
          </cell>
          <cell r="E1617" t="str">
            <v>Esperanza</v>
          </cell>
          <cell r="H1617" t="str">
            <v>laboratorio</v>
          </cell>
          <cell r="J1617" t="str">
            <v>bueno</v>
          </cell>
          <cell r="K1617" t="str">
            <v>defsi</v>
          </cell>
        </row>
        <row r="1618">
          <cell r="B1618" t="b">
            <v>1</v>
          </cell>
          <cell r="E1618" t="str">
            <v>Esperanza</v>
          </cell>
          <cell r="H1618" t="str">
            <v>urgencia</v>
          </cell>
          <cell r="J1618" t="str">
            <v>bueno</v>
          </cell>
          <cell r="K1618" t="str">
            <v>defsi</v>
          </cell>
        </row>
        <row r="1619">
          <cell r="B1619" t="b">
            <v>1</v>
          </cell>
          <cell r="E1619" t="str">
            <v>Esperanza</v>
          </cell>
          <cell r="H1619" t="str">
            <v>electros</v>
          </cell>
          <cell r="J1619" t="str">
            <v>bueno</v>
          </cell>
          <cell r="K1619" t="str">
            <v>defsi</v>
          </cell>
        </row>
        <row r="1620">
          <cell r="B1620" t="b">
            <v>0</v>
          </cell>
          <cell r="E1620" t="str">
            <v>Fredonia</v>
          </cell>
          <cell r="H1620" t="str">
            <v>consulta_externa</v>
          </cell>
          <cell r="J1620" t="str">
            <v>regular</v>
          </cell>
          <cell r="K1620" t="str">
            <v>probsi</v>
          </cell>
        </row>
        <row r="1621">
          <cell r="B1621" t="b">
            <v>0</v>
          </cell>
          <cell r="E1621" t="str">
            <v>Fredonia</v>
          </cell>
          <cell r="H1621" t="str">
            <v>consulta_externa</v>
          </cell>
          <cell r="J1621" t="str">
            <v>regular</v>
          </cell>
          <cell r="K1621" t="str">
            <v>probsi</v>
          </cell>
        </row>
        <row r="1622">
          <cell r="B1622" t="b">
            <v>1</v>
          </cell>
          <cell r="E1622" t="str">
            <v>Fredonia</v>
          </cell>
          <cell r="H1622" t="str">
            <v>consulta_externa</v>
          </cell>
          <cell r="J1622" t="str">
            <v>bueno</v>
          </cell>
          <cell r="K1622" t="str">
            <v>probsi</v>
          </cell>
        </row>
        <row r="1623">
          <cell r="B1623" t="b">
            <v>1</v>
          </cell>
          <cell r="E1623" t="str">
            <v>Fredonia</v>
          </cell>
          <cell r="H1623" t="str">
            <v>consulta_externa</v>
          </cell>
          <cell r="J1623" t="str">
            <v>bueno</v>
          </cell>
          <cell r="K1623" t="str">
            <v>probsi</v>
          </cell>
        </row>
        <row r="1624">
          <cell r="B1624" t="b">
            <v>1</v>
          </cell>
          <cell r="E1624" t="str">
            <v>Fredonia</v>
          </cell>
          <cell r="H1624" t="str">
            <v>consulta_externa</v>
          </cell>
          <cell r="J1624" t="str">
            <v>bueno</v>
          </cell>
          <cell r="K1624" t="str">
            <v>probsi</v>
          </cell>
        </row>
        <row r="1625">
          <cell r="B1625" t="b">
            <v>1</v>
          </cell>
          <cell r="E1625" t="str">
            <v>Fredonia</v>
          </cell>
          <cell r="H1625" t="str">
            <v>consulta_externa</v>
          </cell>
          <cell r="J1625" t="str">
            <v>bueno</v>
          </cell>
          <cell r="K1625" t="str">
            <v>probsi</v>
          </cell>
        </row>
        <row r="1626">
          <cell r="B1626" t="b">
            <v>1</v>
          </cell>
          <cell r="E1626" t="str">
            <v>Fredonia</v>
          </cell>
          <cell r="H1626" t="str">
            <v>salud_oral</v>
          </cell>
          <cell r="J1626" t="str">
            <v>bueno</v>
          </cell>
          <cell r="K1626" t="str">
            <v>probsi</v>
          </cell>
        </row>
        <row r="1627">
          <cell r="B1627" t="b">
            <v>1</v>
          </cell>
          <cell r="E1627" t="str">
            <v>Fredonia</v>
          </cell>
          <cell r="H1627" t="str">
            <v>salud_oral</v>
          </cell>
          <cell r="J1627" t="str">
            <v>bueno</v>
          </cell>
          <cell r="K1627" t="str">
            <v>probsi</v>
          </cell>
        </row>
        <row r="1628">
          <cell r="B1628" t="b">
            <v>1</v>
          </cell>
          <cell r="E1628" t="str">
            <v>Fredonia</v>
          </cell>
          <cell r="H1628" t="str">
            <v>salud_oral</v>
          </cell>
          <cell r="J1628" t="str">
            <v>bueno</v>
          </cell>
          <cell r="K1628" t="str">
            <v>probsi</v>
          </cell>
        </row>
        <row r="1629">
          <cell r="B1629" t="b">
            <v>1</v>
          </cell>
          <cell r="E1629" t="str">
            <v>Fredonia</v>
          </cell>
          <cell r="H1629" t="str">
            <v>salud_oral</v>
          </cell>
          <cell r="J1629" t="str">
            <v>bueno</v>
          </cell>
          <cell r="K1629" t="str">
            <v>probsi</v>
          </cell>
        </row>
        <row r="1630">
          <cell r="B1630" t="b">
            <v>1</v>
          </cell>
          <cell r="E1630" t="str">
            <v>Fredonia</v>
          </cell>
          <cell r="H1630" t="str">
            <v>salud_oral</v>
          </cell>
          <cell r="J1630" t="str">
            <v>bueno</v>
          </cell>
          <cell r="K1630" t="str">
            <v>probsi</v>
          </cell>
        </row>
        <row r="1631">
          <cell r="B1631" t="b">
            <v>1</v>
          </cell>
          <cell r="E1631" t="str">
            <v>Fredonia</v>
          </cell>
          <cell r="H1631" t="str">
            <v>salud_oral</v>
          </cell>
          <cell r="J1631" t="str">
            <v>bueno</v>
          </cell>
          <cell r="K1631" t="str">
            <v>probsi</v>
          </cell>
        </row>
        <row r="1632">
          <cell r="B1632" t="b">
            <v>1</v>
          </cell>
          <cell r="E1632" t="str">
            <v>Fredonia</v>
          </cell>
          <cell r="H1632" t="str">
            <v>laboratorio</v>
          </cell>
          <cell r="J1632" t="str">
            <v>bueno</v>
          </cell>
          <cell r="K1632" t="str">
            <v>probsi</v>
          </cell>
        </row>
        <row r="1633">
          <cell r="B1633" t="b">
            <v>1</v>
          </cell>
          <cell r="E1633" t="str">
            <v>Fredonia</v>
          </cell>
          <cell r="H1633" t="str">
            <v>laboratorio</v>
          </cell>
          <cell r="J1633" t="str">
            <v>bueno</v>
          </cell>
          <cell r="K1633" t="str">
            <v>probsi</v>
          </cell>
        </row>
        <row r="1634">
          <cell r="B1634" t="b">
            <v>1</v>
          </cell>
          <cell r="E1634" t="str">
            <v>Fredonia</v>
          </cell>
          <cell r="H1634" t="str">
            <v>laboratorio</v>
          </cell>
          <cell r="J1634" t="str">
            <v>bueno</v>
          </cell>
          <cell r="K1634" t="str">
            <v>probsi</v>
          </cell>
        </row>
        <row r="1635">
          <cell r="B1635" t="b">
            <v>1</v>
          </cell>
          <cell r="E1635" t="str">
            <v>Fredonia</v>
          </cell>
          <cell r="H1635" t="str">
            <v>laboratorio</v>
          </cell>
          <cell r="J1635" t="str">
            <v>bueno</v>
          </cell>
          <cell r="K1635" t="str">
            <v>probsi</v>
          </cell>
        </row>
        <row r="1636">
          <cell r="B1636" t="b">
            <v>0</v>
          </cell>
          <cell r="E1636" t="str">
            <v>Fredonia</v>
          </cell>
          <cell r="H1636" t="str">
            <v>laboratorio</v>
          </cell>
          <cell r="J1636" t="str">
            <v>regular</v>
          </cell>
          <cell r="K1636" t="str">
            <v>probsi</v>
          </cell>
        </row>
        <row r="1637">
          <cell r="B1637" t="b">
            <v>0</v>
          </cell>
          <cell r="E1637" t="str">
            <v>Fredonia</v>
          </cell>
          <cell r="H1637" t="str">
            <v>laboratorio</v>
          </cell>
          <cell r="J1637" t="str">
            <v>regular</v>
          </cell>
          <cell r="K1637" t="str">
            <v>probsi</v>
          </cell>
        </row>
        <row r="1638">
          <cell r="B1638" t="b">
            <v>1</v>
          </cell>
          <cell r="E1638" t="str">
            <v>Esperanza</v>
          </cell>
          <cell r="H1638" t="str">
            <v>consulta_externa</v>
          </cell>
          <cell r="J1638" t="str">
            <v>bueno</v>
          </cell>
          <cell r="K1638" t="str">
            <v>defsi</v>
          </cell>
        </row>
        <row r="1639">
          <cell r="B1639" t="b">
            <v>1</v>
          </cell>
          <cell r="E1639" t="str">
            <v>Esperanza</v>
          </cell>
          <cell r="H1639" t="str">
            <v>salud_oral</v>
          </cell>
          <cell r="J1639" t="str">
            <v>bueno</v>
          </cell>
          <cell r="K1639" t="str">
            <v>defsi</v>
          </cell>
        </row>
        <row r="1640">
          <cell r="B1640" t="b">
            <v>1</v>
          </cell>
          <cell r="E1640" t="str">
            <v>Esperanza</v>
          </cell>
          <cell r="H1640" t="str">
            <v>laboratorio</v>
          </cell>
          <cell r="J1640" t="str">
            <v>bueno</v>
          </cell>
          <cell r="K1640" t="str">
            <v>defsi</v>
          </cell>
        </row>
        <row r="1641">
          <cell r="B1641" t="b">
            <v>1</v>
          </cell>
          <cell r="E1641" t="str">
            <v>Esperanza</v>
          </cell>
          <cell r="H1641" t="str">
            <v>urgencia</v>
          </cell>
          <cell r="J1641" t="str">
            <v>bueno</v>
          </cell>
          <cell r="K1641" t="str">
            <v>defsi</v>
          </cell>
        </row>
        <row r="1642">
          <cell r="B1642" t="b">
            <v>1</v>
          </cell>
          <cell r="E1642" t="str">
            <v>Esperanza</v>
          </cell>
          <cell r="H1642" t="str">
            <v>electros</v>
          </cell>
          <cell r="J1642" t="str">
            <v>bueno</v>
          </cell>
          <cell r="K1642" t="str">
            <v>defsi</v>
          </cell>
        </row>
        <row r="1643">
          <cell r="B1643" t="b">
            <v>1</v>
          </cell>
          <cell r="E1643" t="str">
            <v>Esperanza</v>
          </cell>
          <cell r="H1643" t="str">
            <v>consulta_externa</v>
          </cell>
          <cell r="J1643" t="str">
            <v>bueno</v>
          </cell>
          <cell r="K1643" t="str">
            <v>defsi</v>
          </cell>
        </row>
        <row r="1644">
          <cell r="B1644" t="b">
            <v>1</v>
          </cell>
          <cell r="E1644" t="str">
            <v>Esperanza</v>
          </cell>
          <cell r="H1644" t="str">
            <v>consulta_externa</v>
          </cell>
          <cell r="J1644" t="str">
            <v>bueno</v>
          </cell>
          <cell r="K1644" t="str">
            <v>defsi</v>
          </cell>
        </row>
        <row r="1645">
          <cell r="B1645" t="b">
            <v>1</v>
          </cell>
          <cell r="E1645" t="str">
            <v>Esperanza</v>
          </cell>
          <cell r="H1645" t="str">
            <v>salud_oral</v>
          </cell>
          <cell r="J1645" t="str">
            <v>bueno</v>
          </cell>
          <cell r="K1645" t="str">
            <v>defsi</v>
          </cell>
        </row>
        <row r="1646">
          <cell r="B1646" t="b">
            <v>1</v>
          </cell>
          <cell r="E1646" t="str">
            <v>Fredonia</v>
          </cell>
          <cell r="H1646" t="str">
            <v>consulta_externa</v>
          </cell>
          <cell r="J1646" t="str">
            <v>bueno</v>
          </cell>
          <cell r="K1646" t="str">
            <v>probsi</v>
          </cell>
        </row>
        <row r="1647">
          <cell r="B1647" t="b">
            <v>1</v>
          </cell>
          <cell r="E1647" t="str">
            <v>Fredonia</v>
          </cell>
          <cell r="H1647" t="str">
            <v>consulta_externa</v>
          </cell>
          <cell r="J1647" t="str">
            <v>bueno</v>
          </cell>
          <cell r="K1647" t="str">
            <v>probsi</v>
          </cell>
        </row>
        <row r="1648">
          <cell r="B1648" t="b">
            <v>1</v>
          </cell>
          <cell r="E1648" t="str">
            <v>Fredonia</v>
          </cell>
          <cell r="H1648" t="str">
            <v>consulta_externa</v>
          </cell>
          <cell r="J1648" t="str">
            <v>bueno</v>
          </cell>
          <cell r="K1648" t="str">
            <v>probsi</v>
          </cell>
        </row>
        <row r="1649">
          <cell r="B1649" t="b">
            <v>1</v>
          </cell>
          <cell r="E1649" t="str">
            <v>Fredonia</v>
          </cell>
          <cell r="H1649" t="str">
            <v>consulta_externa</v>
          </cell>
          <cell r="J1649" t="str">
            <v>bueno</v>
          </cell>
          <cell r="K1649" t="str">
            <v>probsi</v>
          </cell>
        </row>
        <row r="1650">
          <cell r="B1650" t="b">
            <v>1</v>
          </cell>
          <cell r="E1650" t="str">
            <v>Fredonia</v>
          </cell>
          <cell r="H1650" t="str">
            <v>consulta_externa</v>
          </cell>
          <cell r="J1650" t="str">
            <v>bueno</v>
          </cell>
          <cell r="K1650" t="str">
            <v>probsi</v>
          </cell>
        </row>
        <row r="1651">
          <cell r="B1651" t="b">
            <v>1</v>
          </cell>
          <cell r="E1651" t="str">
            <v>Fredonia</v>
          </cell>
          <cell r="H1651" t="str">
            <v>salud_oral</v>
          </cell>
          <cell r="J1651" t="str">
            <v>bueno</v>
          </cell>
          <cell r="K1651" t="str">
            <v>probsi</v>
          </cell>
        </row>
        <row r="1652">
          <cell r="B1652" t="b">
            <v>1</v>
          </cell>
          <cell r="E1652" t="str">
            <v>Esperanza</v>
          </cell>
          <cell r="H1652" t="str">
            <v>laboratorio</v>
          </cell>
          <cell r="J1652" t="str">
            <v>bueno</v>
          </cell>
          <cell r="K1652" t="str">
            <v>defsi</v>
          </cell>
        </row>
        <row r="1653">
          <cell r="B1653" t="b">
            <v>1</v>
          </cell>
          <cell r="E1653" t="str">
            <v>Fredonia</v>
          </cell>
          <cell r="H1653" t="str">
            <v>salud_oral</v>
          </cell>
          <cell r="J1653" t="str">
            <v>bueno</v>
          </cell>
          <cell r="K1653" t="str">
            <v>probsi</v>
          </cell>
        </row>
        <row r="1654">
          <cell r="B1654" t="b">
            <v>1</v>
          </cell>
          <cell r="E1654" t="str">
            <v>Fredonia</v>
          </cell>
          <cell r="H1654" t="str">
            <v>salud_oral</v>
          </cell>
          <cell r="J1654" t="str">
            <v>bueno</v>
          </cell>
          <cell r="K1654" t="str">
            <v>probsi</v>
          </cell>
        </row>
        <row r="1655">
          <cell r="B1655" t="b">
            <v>1</v>
          </cell>
          <cell r="E1655" t="str">
            <v>Esperanza</v>
          </cell>
          <cell r="H1655" t="str">
            <v>urgencia</v>
          </cell>
          <cell r="J1655" t="str">
            <v>bueno</v>
          </cell>
          <cell r="K1655" t="str">
            <v>defsi</v>
          </cell>
        </row>
        <row r="1656">
          <cell r="B1656" t="b">
            <v>1</v>
          </cell>
          <cell r="E1656" t="str">
            <v>Esperanza</v>
          </cell>
          <cell r="H1656" t="str">
            <v>electros</v>
          </cell>
          <cell r="J1656" t="str">
            <v>bueno</v>
          </cell>
          <cell r="K1656" t="str">
            <v>defsi</v>
          </cell>
        </row>
        <row r="1657">
          <cell r="B1657" t="b">
            <v>1</v>
          </cell>
          <cell r="E1657" t="str">
            <v>Esperanza</v>
          </cell>
          <cell r="H1657" t="str">
            <v>consulta_externa</v>
          </cell>
          <cell r="J1657" t="str">
            <v>bueno</v>
          </cell>
          <cell r="K1657" t="str">
            <v>defsi</v>
          </cell>
        </row>
        <row r="1658">
          <cell r="B1658" t="b">
            <v>1</v>
          </cell>
          <cell r="E1658" t="str">
            <v>Esperanza</v>
          </cell>
          <cell r="H1658" t="str">
            <v>salud_oral</v>
          </cell>
          <cell r="J1658" t="str">
            <v>bueno</v>
          </cell>
          <cell r="K1658" t="str">
            <v>defsi</v>
          </cell>
        </row>
        <row r="1659">
          <cell r="B1659" t="b">
            <v>1</v>
          </cell>
          <cell r="E1659" t="str">
            <v>Esperanza</v>
          </cell>
          <cell r="H1659" t="str">
            <v>laboratorio</v>
          </cell>
          <cell r="J1659" t="str">
            <v>bueno</v>
          </cell>
          <cell r="K1659" t="str">
            <v>defsi</v>
          </cell>
        </row>
        <row r="1660">
          <cell r="B1660" t="b">
            <v>1</v>
          </cell>
          <cell r="E1660" t="str">
            <v>Esperanza</v>
          </cell>
          <cell r="H1660" t="str">
            <v>urgencia</v>
          </cell>
          <cell r="J1660" t="str">
            <v>bueno</v>
          </cell>
          <cell r="K1660" t="str">
            <v>defsi</v>
          </cell>
        </row>
        <row r="1661">
          <cell r="B1661" t="b">
            <v>1</v>
          </cell>
          <cell r="E1661" t="str">
            <v>Esperanza</v>
          </cell>
          <cell r="H1661" t="str">
            <v>electros</v>
          </cell>
          <cell r="J1661" t="str">
            <v>bueno</v>
          </cell>
          <cell r="K1661" t="str">
            <v>defsi</v>
          </cell>
        </row>
        <row r="1662">
          <cell r="B1662" t="b">
            <v>1</v>
          </cell>
          <cell r="E1662" t="str">
            <v>Esperanza</v>
          </cell>
          <cell r="H1662" t="str">
            <v>consulta_externa</v>
          </cell>
          <cell r="J1662" t="str">
            <v>bueno</v>
          </cell>
          <cell r="K1662" t="str">
            <v>defsi</v>
          </cell>
        </row>
        <row r="1663">
          <cell r="B1663" t="b">
            <v>1</v>
          </cell>
          <cell r="E1663" t="str">
            <v>Esperanza</v>
          </cell>
          <cell r="H1663" t="str">
            <v>salud_oral</v>
          </cell>
          <cell r="J1663" t="str">
            <v>bueno</v>
          </cell>
          <cell r="K1663" t="str">
            <v>defsi</v>
          </cell>
        </row>
        <row r="1664">
          <cell r="B1664" t="b">
            <v>1</v>
          </cell>
          <cell r="E1664" t="str">
            <v>Esperanza</v>
          </cell>
          <cell r="H1664" t="str">
            <v>laboratorio</v>
          </cell>
          <cell r="J1664" t="str">
            <v>bueno</v>
          </cell>
          <cell r="K1664" t="str">
            <v>defsi</v>
          </cell>
        </row>
        <row r="1665">
          <cell r="B1665" t="b">
            <v>1</v>
          </cell>
          <cell r="E1665" t="str">
            <v>Esperanza</v>
          </cell>
          <cell r="H1665" t="str">
            <v>urgencia</v>
          </cell>
          <cell r="J1665" t="str">
            <v>bueno</v>
          </cell>
          <cell r="K1665" t="str">
            <v>defsi</v>
          </cell>
        </row>
        <row r="1666">
          <cell r="B1666" t="b">
            <v>1</v>
          </cell>
          <cell r="E1666" t="str">
            <v>Esperanza</v>
          </cell>
          <cell r="H1666" t="str">
            <v>electros</v>
          </cell>
          <cell r="J1666" t="str">
            <v>bueno</v>
          </cell>
          <cell r="K1666" t="str">
            <v>defsi</v>
          </cell>
        </row>
        <row r="1667">
          <cell r="B1667" t="b">
            <v>1</v>
          </cell>
          <cell r="E1667" t="str">
            <v>Esperanza</v>
          </cell>
          <cell r="H1667" t="str">
            <v>consulta_externa</v>
          </cell>
          <cell r="J1667" t="str">
            <v>bueno</v>
          </cell>
          <cell r="K1667" t="str">
            <v>defsi</v>
          </cell>
        </row>
        <row r="1668">
          <cell r="B1668" t="b">
            <v>1</v>
          </cell>
          <cell r="E1668" t="str">
            <v>Esperanza</v>
          </cell>
          <cell r="H1668" t="str">
            <v>salud_oral</v>
          </cell>
          <cell r="J1668" t="str">
            <v>bueno</v>
          </cell>
          <cell r="K1668" t="str">
            <v>defsi</v>
          </cell>
        </row>
        <row r="1669">
          <cell r="B1669" t="b">
            <v>1</v>
          </cell>
          <cell r="E1669" t="str">
            <v>Esperanza</v>
          </cell>
          <cell r="H1669" t="str">
            <v>laboratorio</v>
          </cell>
          <cell r="J1669" t="str">
            <v>bueno</v>
          </cell>
          <cell r="K1669" t="str">
            <v>defsi</v>
          </cell>
        </row>
        <row r="1670">
          <cell r="B1670" t="b">
            <v>1</v>
          </cell>
          <cell r="E1670" t="str">
            <v>Esperanza</v>
          </cell>
          <cell r="H1670" t="str">
            <v>urgencia</v>
          </cell>
          <cell r="J1670" t="str">
            <v>bueno</v>
          </cell>
          <cell r="K1670" t="str">
            <v>defsi</v>
          </cell>
        </row>
        <row r="1671">
          <cell r="B1671" t="b">
            <v>1</v>
          </cell>
          <cell r="E1671" t="str">
            <v>Esperanza</v>
          </cell>
          <cell r="H1671" t="str">
            <v>electros</v>
          </cell>
          <cell r="J1671" t="str">
            <v>bueno</v>
          </cell>
          <cell r="K1671" t="str">
            <v>defsi</v>
          </cell>
        </row>
        <row r="1672">
          <cell r="B1672" t="b">
            <v>1</v>
          </cell>
          <cell r="E1672" t="str">
            <v>Ternera</v>
          </cell>
          <cell r="H1672" t="str">
            <v>salud_oral</v>
          </cell>
          <cell r="J1672" t="str">
            <v>bueno</v>
          </cell>
          <cell r="K1672" t="str">
            <v>defsi</v>
          </cell>
        </row>
        <row r="1673">
          <cell r="B1673" t="b">
            <v>1</v>
          </cell>
          <cell r="E1673" t="str">
            <v>Ternera</v>
          </cell>
          <cell r="H1673" t="str">
            <v>consulta_externa</v>
          </cell>
          <cell r="J1673" t="str">
            <v>bueno</v>
          </cell>
          <cell r="K1673" t="str">
            <v>defsi</v>
          </cell>
        </row>
        <row r="1674">
          <cell r="B1674" t="b">
            <v>1</v>
          </cell>
          <cell r="E1674" t="str">
            <v>Ternera</v>
          </cell>
          <cell r="H1674" t="str">
            <v>salud_oral</v>
          </cell>
          <cell r="J1674" t="str">
            <v>bueno</v>
          </cell>
          <cell r="K1674" t="str">
            <v>defsi</v>
          </cell>
        </row>
        <row r="1675">
          <cell r="B1675" t="b">
            <v>1</v>
          </cell>
          <cell r="E1675" t="str">
            <v>Ternera</v>
          </cell>
          <cell r="H1675" t="str">
            <v>salud_oral</v>
          </cell>
          <cell r="J1675" t="str">
            <v>bueno</v>
          </cell>
          <cell r="K1675" t="str">
            <v>probsi</v>
          </cell>
        </row>
        <row r="1676">
          <cell r="B1676" t="b">
            <v>1</v>
          </cell>
          <cell r="E1676" t="str">
            <v>Ternera</v>
          </cell>
          <cell r="H1676" t="str">
            <v>salud_oral</v>
          </cell>
          <cell r="J1676" t="str">
            <v>bueno</v>
          </cell>
          <cell r="K1676" t="str">
            <v>defsi</v>
          </cell>
        </row>
        <row r="1677">
          <cell r="B1677" t="b">
            <v>1</v>
          </cell>
          <cell r="E1677" t="str">
            <v>Ternera</v>
          </cell>
          <cell r="H1677" t="str">
            <v>salud_oral</v>
          </cell>
          <cell r="J1677" t="str">
            <v>bueno</v>
          </cell>
          <cell r="K1677" t="str">
            <v>defsi</v>
          </cell>
        </row>
        <row r="1678">
          <cell r="B1678" t="b">
            <v>1</v>
          </cell>
          <cell r="E1678" t="str">
            <v>Ternera</v>
          </cell>
          <cell r="H1678" t="str">
            <v>consulta_externa</v>
          </cell>
          <cell r="J1678" t="str">
            <v>bueno</v>
          </cell>
          <cell r="K1678" t="str">
            <v>defsi</v>
          </cell>
        </row>
        <row r="1679">
          <cell r="B1679" t="b">
            <v>1</v>
          </cell>
          <cell r="E1679" t="str">
            <v>Socorro</v>
          </cell>
          <cell r="H1679" t="str">
            <v>consulta_externa</v>
          </cell>
          <cell r="J1679" t="str">
            <v>bueno</v>
          </cell>
          <cell r="K1679" t="str">
            <v>defsi</v>
          </cell>
        </row>
        <row r="1680">
          <cell r="B1680" t="b">
            <v>1</v>
          </cell>
          <cell r="E1680" t="str">
            <v>Socorro</v>
          </cell>
          <cell r="H1680" t="str">
            <v>salud_oral</v>
          </cell>
          <cell r="J1680" t="str">
            <v>bueno</v>
          </cell>
          <cell r="K1680" t="str">
            <v>defsi</v>
          </cell>
        </row>
        <row r="1681">
          <cell r="B1681" t="b">
            <v>1</v>
          </cell>
          <cell r="E1681" t="str">
            <v>Socorro</v>
          </cell>
          <cell r="H1681" t="str">
            <v>consulta_externa</v>
          </cell>
          <cell r="J1681" t="str">
            <v>bueno</v>
          </cell>
          <cell r="K1681" t="str">
            <v>defsi</v>
          </cell>
        </row>
        <row r="1682">
          <cell r="B1682" t="b">
            <v>1</v>
          </cell>
          <cell r="E1682" t="str">
            <v>Socorro</v>
          </cell>
          <cell r="H1682" t="str">
            <v>laboratorio</v>
          </cell>
          <cell r="J1682" t="str">
            <v>bueno</v>
          </cell>
          <cell r="K1682" t="str">
            <v>defsi</v>
          </cell>
        </row>
        <row r="1683">
          <cell r="B1683" t="b">
            <v>1</v>
          </cell>
          <cell r="E1683" t="str">
            <v>Socorro</v>
          </cell>
          <cell r="H1683" t="str">
            <v>laboratorio</v>
          </cell>
          <cell r="J1683" t="str">
            <v>bueno</v>
          </cell>
          <cell r="K1683" t="str">
            <v>defsi</v>
          </cell>
        </row>
        <row r="1684">
          <cell r="B1684" t="b">
            <v>1</v>
          </cell>
          <cell r="E1684" t="str">
            <v>Socorro</v>
          </cell>
          <cell r="H1684" t="str">
            <v>laboratorio</v>
          </cell>
          <cell r="J1684" t="str">
            <v>bueno</v>
          </cell>
          <cell r="K1684" t="str">
            <v>defsi</v>
          </cell>
        </row>
        <row r="1685">
          <cell r="B1685" t="b">
            <v>0</v>
          </cell>
          <cell r="E1685" t="str">
            <v>Socorro</v>
          </cell>
          <cell r="H1685" t="str">
            <v>consulta_externa</v>
          </cell>
          <cell r="J1685" t="str">
            <v>regular</v>
          </cell>
          <cell r="K1685" t="str">
            <v>defsi</v>
          </cell>
        </row>
        <row r="1686">
          <cell r="B1686" t="b">
            <v>1</v>
          </cell>
          <cell r="E1686" t="str">
            <v>Socorro</v>
          </cell>
          <cell r="H1686" t="str">
            <v>laboratorio</v>
          </cell>
          <cell r="J1686" t="str">
            <v>bueno</v>
          </cell>
          <cell r="K1686" t="str">
            <v>defsi</v>
          </cell>
        </row>
        <row r="1687">
          <cell r="B1687" t="b">
            <v>1</v>
          </cell>
          <cell r="E1687" t="str">
            <v>Esperanza</v>
          </cell>
          <cell r="H1687" t="str">
            <v>consulta_externa</v>
          </cell>
          <cell r="J1687" t="str">
            <v>bueno</v>
          </cell>
          <cell r="K1687" t="str">
            <v>defsi</v>
          </cell>
        </row>
        <row r="1688">
          <cell r="B1688" t="b">
            <v>1</v>
          </cell>
          <cell r="E1688" t="str">
            <v>Esperanza</v>
          </cell>
          <cell r="H1688" t="str">
            <v>salud_oral</v>
          </cell>
          <cell r="J1688" t="str">
            <v>bueno</v>
          </cell>
          <cell r="K1688" t="str">
            <v>defsi</v>
          </cell>
        </row>
        <row r="1689">
          <cell r="B1689" t="b">
            <v>1</v>
          </cell>
          <cell r="E1689" t="str">
            <v>Arroyo Grande</v>
          </cell>
          <cell r="H1689" t="str">
            <v>consulta_externa</v>
          </cell>
          <cell r="J1689" t="str">
            <v>bueno</v>
          </cell>
          <cell r="K1689" t="str">
            <v>probsi</v>
          </cell>
        </row>
        <row r="1690">
          <cell r="B1690" t="b">
            <v>1</v>
          </cell>
          <cell r="E1690" t="str">
            <v>Arroyo Grande</v>
          </cell>
          <cell r="H1690" t="str">
            <v>consulta_externa</v>
          </cell>
          <cell r="J1690" t="str">
            <v>bueno</v>
          </cell>
          <cell r="K1690" t="str">
            <v>probsi</v>
          </cell>
        </row>
        <row r="1691">
          <cell r="B1691" t="b">
            <v>1</v>
          </cell>
          <cell r="E1691" t="str">
            <v>Arroyo Grande</v>
          </cell>
          <cell r="H1691" t="str">
            <v>salud_oral</v>
          </cell>
          <cell r="J1691" t="str">
            <v>bueno</v>
          </cell>
          <cell r="K1691" t="str">
            <v>probsi</v>
          </cell>
        </row>
        <row r="1692">
          <cell r="B1692" t="b">
            <v>1</v>
          </cell>
          <cell r="E1692" t="str">
            <v>Arroyo Grande</v>
          </cell>
          <cell r="H1692" t="str">
            <v>laboratorio</v>
          </cell>
          <cell r="J1692" t="str">
            <v>bueno</v>
          </cell>
          <cell r="K1692" t="str">
            <v>probsi</v>
          </cell>
        </row>
        <row r="1693">
          <cell r="B1693" t="b">
            <v>1</v>
          </cell>
          <cell r="E1693" t="str">
            <v>Arroyo Grande</v>
          </cell>
          <cell r="H1693" t="str">
            <v>laboratorio</v>
          </cell>
          <cell r="J1693" t="str">
            <v>bueno</v>
          </cell>
          <cell r="K1693" t="str">
            <v>probsi</v>
          </cell>
        </row>
        <row r="1694">
          <cell r="B1694" t="b">
            <v>1</v>
          </cell>
          <cell r="E1694" t="str">
            <v>Arroyo Grande</v>
          </cell>
          <cell r="H1694" t="str">
            <v>consulta_externa</v>
          </cell>
          <cell r="J1694" t="str">
            <v>bueno</v>
          </cell>
          <cell r="K1694" t="str">
            <v>probsi</v>
          </cell>
        </row>
        <row r="1695">
          <cell r="B1695" t="b">
            <v>1</v>
          </cell>
          <cell r="E1695" t="str">
            <v>Arroyo Grande</v>
          </cell>
          <cell r="H1695" t="str">
            <v>laboratorio</v>
          </cell>
          <cell r="J1695" t="str">
            <v>bueno</v>
          </cell>
          <cell r="K1695" t="str">
            <v>probsi</v>
          </cell>
        </row>
        <row r="1696">
          <cell r="B1696" t="b">
            <v>1</v>
          </cell>
          <cell r="E1696" t="str">
            <v>Arroyo Grande</v>
          </cell>
          <cell r="H1696" t="str">
            <v>laboratorio</v>
          </cell>
          <cell r="J1696" t="str">
            <v>bueno</v>
          </cell>
          <cell r="K1696" t="str">
            <v>probsi</v>
          </cell>
        </row>
        <row r="1697">
          <cell r="B1697" t="b">
            <v>1</v>
          </cell>
          <cell r="E1697" t="str">
            <v>Arroyo Grande</v>
          </cell>
          <cell r="H1697" t="str">
            <v>consulta_externa</v>
          </cell>
          <cell r="J1697" t="str">
            <v>bueno</v>
          </cell>
          <cell r="K1697" t="str">
            <v>probsi</v>
          </cell>
        </row>
        <row r="1698">
          <cell r="B1698" t="b">
            <v>1</v>
          </cell>
          <cell r="E1698" t="str">
            <v>Arroyo Grande</v>
          </cell>
          <cell r="H1698" t="str">
            <v>laboratorio</v>
          </cell>
          <cell r="J1698" t="str">
            <v>bueno</v>
          </cell>
          <cell r="K1698" t="str">
            <v>probsi</v>
          </cell>
        </row>
        <row r="1699">
          <cell r="B1699" t="b">
            <v>1</v>
          </cell>
          <cell r="E1699" t="str">
            <v>Arroyo Grande</v>
          </cell>
          <cell r="H1699" t="str">
            <v>laboratorio</v>
          </cell>
          <cell r="J1699" t="str">
            <v>bueno</v>
          </cell>
          <cell r="K1699" t="str">
            <v>probsi</v>
          </cell>
        </row>
        <row r="1700">
          <cell r="B1700" t="b">
            <v>1</v>
          </cell>
          <cell r="E1700" t="str">
            <v>Arroyo Grande</v>
          </cell>
          <cell r="H1700" t="str">
            <v>consulta_externa</v>
          </cell>
          <cell r="J1700" t="str">
            <v>bueno</v>
          </cell>
          <cell r="K1700" t="str">
            <v>probsi</v>
          </cell>
        </row>
        <row r="1701">
          <cell r="B1701" t="b">
            <v>1</v>
          </cell>
          <cell r="E1701" t="str">
            <v>Arroyo Grande</v>
          </cell>
          <cell r="H1701" t="str">
            <v>laboratorio</v>
          </cell>
          <cell r="J1701" t="str">
            <v>bueno</v>
          </cell>
          <cell r="K1701" t="str">
            <v>probsi</v>
          </cell>
        </row>
        <row r="1702">
          <cell r="B1702" t="b">
            <v>1</v>
          </cell>
          <cell r="E1702" t="str">
            <v>Manzanillo</v>
          </cell>
          <cell r="H1702" t="str">
            <v>consulta_externa</v>
          </cell>
          <cell r="J1702" t="str">
            <v>bueno</v>
          </cell>
          <cell r="K1702" t="str">
            <v>defsi</v>
          </cell>
        </row>
        <row r="1703">
          <cell r="B1703" t="b">
            <v>1</v>
          </cell>
          <cell r="E1703" t="str">
            <v>Manzanillo</v>
          </cell>
          <cell r="H1703" t="str">
            <v>salud_oral</v>
          </cell>
          <cell r="J1703" t="str">
            <v>bueno</v>
          </cell>
          <cell r="K1703" t="str">
            <v>defsi</v>
          </cell>
        </row>
        <row r="1704">
          <cell r="B1704" t="b">
            <v>1</v>
          </cell>
          <cell r="E1704" t="str">
            <v>Manzanillo</v>
          </cell>
          <cell r="H1704" t="str">
            <v>laboratorio</v>
          </cell>
          <cell r="J1704" t="str">
            <v>bueno</v>
          </cell>
          <cell r="K1704" t="str">
            <v>defsi</v>
          </cell>
        </row>
        <row r="1705">
          <cell r="B1705" t="b">
            <v>1</v>
          </cell>
          <cell r="E1705" t="str">
            <v>Manzanillo</v>
          </cell>
          <cell r="H1705" t="str">
            <v>consulta_externa</v>
          </cell>
          <cell r="J1705" t="str">
            <v>bueno</v>
          </cell>
          <cell r="K1705" t="str">
            <v>defsi</v>
          </cell>
        </row>
        <row r="1706">
          <cell r="B1706" t="b">
            <v>1</v>
          </cell>
          <cell r="E1706" t="str">
            <v>Manzanillo</v>
          </cell>
          <cell r="H1706" t="str">
            <v>salud_oral</v>
          </cell>
          <cell r="J1706" t="str">
            <v>bueno</v>
          </cell>
          <cell r="K1706" t="str">
            <v>defsi</v>
          </cell>
        </row>
        <row r="1707">
          <cell r="B1707" t="b">
            <v>1</v>
          </cell>
          <cell r="E1707" t="str">
            <v>Manzanillo</v>
          </cell>
          <cell r="H1707" t="str">
            <v>laboratorio</v>
          </cell>
          <cell r="J1707" t="str">
            <v>bueno</v>
          </cell>
          <cell r="K1707" t="str">
            <v>defsi</v>
          </cell>
        </row>
        <row r="1708">
          <cell r="B1708" t="b">
            <v>1</v>
          </cell>
          <cell r="E1708" t="str">
            <v>Arroz Barato</v>
          </cell>
          <cell r="H1708" t="str">
            <v>consulta_externa</v>
          </cell>
          <cell r="J1708" t="str">
            <v>bueno</v>
          </cell>
          <cell r="K1708" t="str">
            <v>defsi</v>
          </cell>
        </row>
        <row r="1709">
          <cell r="B1709" t="b">
            <v>1</v>
          </cell>
          <cell r="E1709" t="str">
            <v>Bosque</v>
          </cell>
          <cell r="H1709" t="str">
            <v>consulta_externa</v>
          </cell>
          <cell r="J1709" t="str">
            <v>bueno</v>
          </cell>
          <cell r="K1709" t="str">
            <v>probsi</v>
          </cell>
        </row>
        <row r="1710">
          <cell r="B1710" t="b">
            <v>1</v>
          </cell>
          <cell r="E1710" t="str">
            <v>Bosque</v>
          </cell>
          <cell r="H1710" t="str">
            <v>consulta_externa</v>
          </cell>
          <cell r="J1710" t="str">
            <v>bueno</v>
          </cell>
          <cell r="K1710" t="str">
            <v>probsi</v>
          </cell>
        </row>
        <row r="1711">
          <cell r="B1711" t="b">
            <v>1</v>
          </cell>
          <cell r="E1711" t="str">
            <v>Bosque</v>
          </cell>
          <cell r="H1711" t="str">
            <v>salud_oral</v>
          </cell>
          <cell r="J1711" t="str">
            <v>bueno</v>
          </cell>
          <cell r="K1711" t="str">
            <v>probsi</v>
          </cell>
        </row>
        <row r="1712">
          <cell r="B1712" t="b">
            <v>1</v>
          </cell>
          <cell r="E1712" t="str">
            <v>Bosque</v>
          </cell>
          <cell r="H1712" t="str">
            <v>laboratorio</v>
          </cell>
          <cell r="J1712" t="str">
            <v>bueno</v>
          </cell>
          <cell r="K1712" t="str">
            <v>probsi</v>
          </cell>
        </row>
        <row r="1713">
          <cell r="B1713" t="b">
            <v>1</v>
          </cell>
          <cell r="E1713" t="str">
            <v>Bosque</v>
          </cell>
          <cell r="H1713" t="str">
            <v>laboratorio</v>
          </cell>
          <cell r="J1713" t="str">
            <v>bueno</v>
          </cell>
          <cell r="K1713" t="str">
            <v>probsi</v>
          </cell>
        </row>
        <row r="1714">
          <cell r="B1714" t="b">
            <v>1</v>
          </cell>
          <cell r="E1714" t="str">
            <v>Bosque</v>
          </cell>
          <cell r="H1714" t="str">
            <v>laboratorio</v>
          </cell>
          <cell r="J1714" t="str">
            <v>bueno</v>
          </cell>
          <cell r="K1714" t="str">
            <v>probsi</v>
          </cell>
        </row>
        <row r="1715">
          <cell r="B1715" t="b">
            <v>1</v>
          </cell>
          <cell r="E1715" t="str">
            <v>Bosque</v>
          </cell>
          <cell r="H1715" t="str">
            <v>laboratorio</v>
          </cell>
          <cell r="J1715" t="str">
            <v>bueno</v>
          </cell>
          <cell r="K1715" t="str">
            <v>probsi</v>
          </cell>
        </row>
        <row r="1716">
          <cell r="B1716" t="b">
            <v>1</v>
          </cell>
          <cell r="E1716" t="str">
            <v>Bosque</v>
          </cell>
          <cell r="H1716" t="str">
            <v>consulta_externa</v>
          </cell>
          <cell r="J1716" t="str">
            <v>bueno</v>
          </cell>
          <cell r="K1716" t="str">
            <v>probsi</v>
          </cell>
        </row>
        <row r="1717">
          <cell r="B1717" t="b">
            <v>1</v>
          </cell>
          <cell r="E1717" t="str">
            <v>Bosque</v>
          </cell>
          <cell r="H1717" t="str">
            <v>consulta_externa</v>
          </cell>
          <cell r="J1717" t="str">
            <v>bueno</v>
          </cell>
          <cell r="K1717" t="str">
            <v>probsi</v>
          </cell>
        </row>
        <row r="1718">
          <cell r="B1718" t="b">
            <v>1</v>
          </cell>
          <cell r="E1718" t="str">
            <v>Bosque</v>
          </cell>
          <cell r="H1718" t="str">
            <v>laboratorio</v>
          </cell>
          <cell r="J1718" t="str">
            <v>bueno</v>
          </cell>
          <cell r="K1718" t="str">
            <v>probsi</v>
          </cell>
        </row>
        <row r="1719">
          <cell r="B1719" t="b">
            <v>1</v>
          </cell>
          <cell r="E1719" t="str">
            <v>Bosque</v>
          </cell>
          <cell r="H1719" t="str">
            <v>laboratorio</v>
          </cell>
          <cell r="J1719" t="str">
            <v>bueno</v>
          </cell>
          <cell r="K1719" t="str">
            <v>probsi</v>
          </cell>
        </row>
        <row r="1720">
          <cell r="B1720" t="b">
            <v>1</v>
          </cell>
          <cell r="E1720" t="str">
            <v>Bosque</v>
          </cell>
          <cell r="H1720" t="str">
            <v>laboratorio</v>
          </cell>
          <cell r="J1720" t="str">
            <v>bueno</v>
          </cell>
          <cell r="K1720" t="str">
            <v>probsi</v>
          </cell>
        </row>
        <row r="1721">
          <cell r="B1721" t="b">
            <v>1</v>
          </cell>
          <cell r="E1721" t="str">
            <v>Bosque</v>
          </cell>
          <cell r="H1721" t="str">
            <v>laboratorio</v>
          </cell>
          <cell r="J1721" t="str">
            <v>bueno</v>
          </cell>
          <cell r="K1721" t="str">
            <v>probsi</v>
          </cell>
        </row>
        <row r="1722">
          <cell r="B1722" t="b">
            <v>1</v>
          </cell>
          <cell r="E1722" t="str">
            <v>Manzanillo</v>
          </cell>
          <cell r="H1722" t="str">
            <v>consulta_externa</v>
          </cell>
          <cell r="J1722" t="str">
            <v>bueno</v>
          </cell>
          <cell r="K1722" t="str">
            <v>defsi</v>
          </cell>
        </row>
        <row r="1723">
          <cell r="B1723" t="b">
            <v>1</v>
          </cell>
          <cell r="E1723" t="str">
            <v>Bosque</v>
          </cell>
          <cell r="H1723" t="str">
            <v>consulta_externa</v>
          </cell>
          <cell r="J1723" t="str">
            <v>bueno</v>
          </cell>
          <cell r="K1723" t="str">
            <v>probsi</v>
          </cell>
        </row>
        <row r="1724">
          <cell r="B1724" t="b">
            <v>1</v>
          </cell>
          <cell r="E1724" t="str">
            <v>Bosque</v>
          </cell>
          <cell r="H1724" t="str">
            <v>consulta_externa</v>
          </cell>
          <cell r="J1724" t="str">
            <v>bueno</v>
          </cell>
          <cell r="K1724" t="str">
            <v>probsi</v>
          </cell>
        </row>
        <row r="1725">
          <cell r="B1725" t="b">
            <v>1</v>
          </cell>
          <cell r="E1725" t="str">
            <v>Bosque</v>
          </cell>
          <cell r="H1725" t="str">
            <v>salud_oral</v>
          </cell>
          <cell r="J1725" t="str">
            <v>bueno</v>
          </cell>
          <cell r="K1725" t="str">
            <v>probsi</v>
          </cell>
        </row>
        <row r="1726">
          <cell r="B1726" t="b">
            <v>1</v>
          </cell>
          <cell r="E1726" t="str">
            <v>Bosque</v>
          </cell>
          <cell r="H1726" t="str">
            <v>salud_oral</v>
          </cell>
          <cell r="J1726" t="str">
            <v>bueno</v>
          </cell>
          <cell r="K1726" t="str">
            <v>probsi</v>
          </cell>
        </row>
        <row r="1727">
          <cell r="B1727" t="b">
            <v>1</v>
          </cell>
          <cell r="E1727" t="str">
            <v>Bosque</v>
          </cell>
          <cell r="H1727" t="str">
            <v>salud_oral</v>
          </cell>
          <cell r="J1727" t="str">
            <v>bueno</v>
          </cell>
          <cell r="K1727" t="str">
            <v>probsi</v>
          </cell>
        </row>
        <row r="1728">
          <cell r="B1728" t="b">
            <v>1</v>
          </cell>
          <cell r="E1728" t="str">
            <v>Manzanillo</v>
          </cell>
          <cell r="H1728" t="str">
            <v>salud_oral</v>
          </cell>
          <cell r="J1728" t="str">
            <v>bueno</v>
          </cell>
          <cell r="K1728" t="str">
            <v>defsi</v>
          </cell>
        </row>
        <row r="1729">
          <cell r="B1729" t="b">
            <v>1</v>
          </cell>
          <cell r="E1729" t="str">
            <v>Manzanillo</v>
          </cell>
          <cell r="H1729" t="str">
            <v>laboratorio</v>
          </cell>
          <cell r="J1729" t="str">
            <v>bueno</v>
          </cell>
          <cell r="K1729" t="str">
            <v>defsi</v>
          </cell>
        </row>
        <row r="1730">
          <cell r="B1730" t="b">
            <v>1</v>
          </cell>
          <cell r="E1730" t="str">
            <v>Manzanillo</v>
          </cell>
          <cell r="H1730" t="str">
            <v>consulta_externa</v>
          </cell>
          <cell r="J1730" t="str">
            <v>bueno</v>
          </cell>
          <cell r="K1730" t="str">
            <v>defsi</v>
          </cell>
        </row>
        <row r="1731">
          <cell r="B1731" t="b">
            <v>1</v>
          </cell>
          <cell r="E1731" t="str">
            <v>Manzanillo</v>
          </cell>
          <cell r="H1731" t="str">
            <v>salud_oral</v>
          </cell>
          <cell r="J1731" t="str">
            <v>bueno</v>
          </cell>
          <cell r="K1731" t="str">
            <v>defsi</v>
          </cell>
        </row>
        <row r="1732">
          <cell r="B1732" t="b">
            <v>1</v>
          </cell>
          <cell r="E1732" t="str">
            <v>Arroz Barato</v>
          </cell>
          <cell r="H1732" t="str">
            <v>laboratorio</v>
          </cell>
          <cell r="J1732" t="str">
            <v>bueno</v>
          </cell>
          <cell r="K1732" t="str">
            <v>defsi</v>
          </cell>
        </row>
        <row r="1733">
          <cell r="B1733" t="b">
            <v>1</v>
          </cell>
          <cell r="E1733" t="str">
            <v>Arroz Barato</v>
          </cell>
          <cell r="H1733" t="str">
            <v>laboratorio</v>
          </cell>
          <cell r="J1733" t="str">
            <v>bueno</v>
          </cell>
          <cell r="K1733" t="str">
            <v>defsi</v>
          </cell>
        </row>
        <row r="1734">
          <cell r="B1734" t="b">
            <v>1</v>
          </cell>
          <cell r="E1734" t="str">
            <v>Manzanillo</v>
          </cell>
          <cell r="H1734" t="str">
            <v>laboratorio</v>
          </cell>
          <cell r="J1734" t="str">
            <v>bueno</v>
          </cell>
          <cell r="K1734" t="str">
            <v>defsi</v>
          </cell>
        </row>
        <row r="1735">
          <cell r="B1735" t="b">
            <v>1</v>
          </cell>
          <cell r="E1735" t="str">
            <v>Bosque</v>
          </cell>
          <cell r="H1735" t="str">
            <v>consulta_externa</v>
          </cell>
          <cell r="J1735" t="str">
            <v>bueno</v>
          </cell>
          <cell r="K1735" t="str">
            <v>probsi</v>
          </cell>
        </row>
        <row r="1736">
          <cell r="B1736" t="b">
            <v>1</v>
          </cell>
          <cell r="E1736" t="str">
            <v>Bosque</v>
          </cell>
          <cell r="H1736" t="str">
            <v>consulta_externa</v>
          </cell>
          <cell r="J1736" t="str">
            <v>bueno</v>
          </cell>
          <cell r="K1736" t="str">
            <v>probsi</v>
          </cell>
        </row>
        <row r="1737">
          <cell r="B1737" t="b">
            <v>1</v>
          </cell>
          <cell r="E1737" t="str">
            <v>Bosque</v>
          </cell>
          <cell r="H1737" t="str">
            <v>consulta_externa</v>
          </cell>
          <cell r="J1737" t="str">
            <v>bueno</v>
          </cell>
          <cell r="K1737" t="str">
            <v>probsi</v>
          </cell>
        </row>
        <row r="1738">
          <cell r="B1738" t="b">
            <v>1</v>
          </cell>
          <cell r="E1738" t="str">
            <v>Bosque</v>
          </cell>
          <cell r="H1738" t="str">
            <v>laboratorio</v>
          </cell>
          <cell r="J1738" t="str">
            <v>bueno</v>
          </cell>
          <cell r="K1738" t="str">
            <v>probsi</v>
          </cell>
        </row>
        <row r="1739">
          <cell r="B1739" t="b">
            <v>1</v>
          </cell>
          <cell r="E1739" t="str">
            <v>Bosque</v>
          </cell>
          <cell r="H1739" t="str">
            <v>laboratorio</v>
          </cell>
          <cell r="J1739" t="str">
            <v>bueno</v>
          </cell>
          <cell r="K1739" t="str">
            <v>probsi</v>
          </cell>
        </row>
        <row r="1740">
          <cell r="B1740" t="b">
            <v>1</v>
          </cell>
          <cell r="E1740" t="str">
            <v>Bosque</v>
          </cell>
          <cell r="H1740" t="str">
            <v>laboratorio</v>
          </cell>
          <cell r="J1740" t="str">
            <v>bueno</v>
          </cell>
          <cell r="K1740" t="str">
            <v>probsi</v>
          </cell>
        </row>
        <row r="1741">
          <cell r="B1741" t="b">
            <v>1</v>
          </cell>
          <cell r="E1741" t="str">
            <v>Arroyo Grande</v>
          </cell>
          <cell r="H1741" t="str">
            <v>consulta_externa</v>
          </cell>
          <cell r="J1741" t="str">
            <v>bueno</v>
          </cell>
          <cell r="K1741" t="str">
            <v>probsi</v>
          </cell>
        </row>
        <row r="1742">
          <cell r="B1742" t="b">
            <v>1</v>
          </cell>
          <cell r="E1742" t="str">
            <v>Arroyo Grande</v>
          </cell>
          <cell r="H1742" t="str">
            <v>consulta_externa</v>
          </cell>
          <cell r="J1742" t="str">
            <v>bueno</v>
          </cell>
          <cell r="K1742" t="str">
            <v>probsi</v>
          </cell>
        </row>
        <row r="1743">
          <cell r="B1743" t="b">
            <v>1</v>
          </cell>
          <cell r="E1743" t="str">
            <v>Arroyo Grande</v>
          </cell>
          <cell r="H1743" t="str">
            <v>consulta_externa</v>
          </cell>
          <cell r="J1743" t="str">
            <v>bueno</v>
          </cell>
          <cell r="K1743" t="str">
            <v>probsi</v>
          </cell>
        </row>
        <row r="1744">
          <cell r="B1744" t="b">
            <v>1</v>
          </cell>
          <cell r="E1744" t="str">
            <v>Arroyo Grande</v>
          </cell>
          <cell r="H1744" t="str">
            <v>salud_oral</v>
          </cell>
          <cell r="J1744" t="str">
            <v>bueno</v>
          </cell>
          <cell r="K1744" t="str">
            <v>probsi</v>
          </cell>
        </row>
        <row r="1745">
          <cell r="B1745" t="b">
            <v>1</v>
          </cell>
          <cell r="E1745" t="str">
            <v>Arroyo Grande</v>
          </cell>
          <cell r="H1745" t="str">
            <v>consulta_externa</v>
          </cell>
          <cell r="J1745" t="str">
            <v>bueno</v>
          </cell>
          <cell r="K1745" t="str">
            <v>probsi</v>
          </cell>
        </row>
        <row r="1746">
          <cell r="B1746" t="b">
            <v>1</v>
          </cell>
          <cell r="E1746" t="str">
            <v>Arroyo Grande</v>
          </cell>
          <cell r="H1746" t="str">
            <v>salud_oral</v>
          </cell>
          <cell r="J1746" t="str">
            <v>bueno</v>
          </cell>
          <cell r="K1746" t="str">
            <v>probsi</v>
          </cell>
        </row>
        <row r="1747">
          <cell r="B1747" t="b">
            <v>1</v>
          </cell>
          <cell r="E1747" t="str">
            <v>Arroyo Grande</v>
          </cell>
          <cell r="H1747" t="str">
            <v>laboratorio</v>
          </cell>
          <cell r="J1747" t="str">
            <v>bueno</v>
          </cell>
          <cell r="K1747" t="str">
            <v>probsi</v>
          </cell>
        </row>
        <row r="1748">
          <cell r="B1748" t="b">
            <v>1</v>
          </cell>
          <cell r="E1748" t="str">
            <v>Arroyo Grande</v>
          </cell>
          <cell r="H1748" t="str">
            <v>consulta_externa</v>
          </cell>
          <cell r="J1748" t="str">
            <v>bueno</v>
          </cell>
          <cell r="K1748" t="str">
            <v>probsi</v>
          </cell>
        </row>
        <row r="1749">
          <cell r="B1749" t="b">
            <v>1</v>
          </cell>
          <cell r="E1749" t="str">
            <v>Arroyo Grande</v>
          </cell>
          <cell r="H1749" t="str">
            <v>salud_oral</v>
          </cell>
          <cell r="J1749" t="str">
            <v>bueno</v>
          </cell>
          <cell r="K1749" t="str">
            <v>probsi</v>
          </cell>
        </row>
        <row r="1750">
          <cell r="B1750" t="b">
            <v>1</v>
          </cell>
          <cell r="E1750" t="str">
            <v>Arroyo Grande</v>
          </cell>
          <cell r="H1750" t="str">
            <v>laboratorio</v>
          </cell>
          <cell r="J1750" t="str">
            <v>bueno</v>
          </cell>
          <cell r="K1750" t="str">
            <v>probsi</v>
          </cell>
        </row>
        <row r="1751">
          <cell r="B1751" t="b">
            <v>1</v>
          </cell>
          <cell r="E1751" t="str">
            <v>Arroyo Grande</v>
          </cell>
          <cell r="H1751" t="str">
            <v>consulta_externa</v>
          </cell>
          <cell r="J1751" t="str">
            <v>bueno</v>
          </cell>
          <cell r="K1751" t="str">
            <v>probsi</v>
          </cell>
        </row>
        <row r="1752">
          <cell r="B1752" t="b">
            <v>1</v>
          </cell>
          <cell r="E1752" t="str">
            <v>Arroyo Grande</v>
          </cell>
          <cell r="H1752" t="str">
            <v>salud_oral</v>
          </cell>
          <cell r="J1752" t="str">
            <v>bueno</v>
          </cell>
          <cell r="K1752" t="str">
            <v>probsi</v>
          </cell>
        </row>
        <row r="1753">
          <cell r="B1753" t="b">
            <v>1</v>
          </cell>
          <cell r="E1753" t="str">
            <v>Arroyo Grande</v>
          </cell>
          <cell r="H1753" t="str">
            <v>laboratorio</v>
          </cell>
          <cell r="J1753" t="str">
            <v>bueno</v>
          </cell>
          <cell r="K1753" t="str">
            <v>probsi</v>
          </cell>
        </row>
        <row r="1754">
          <cell r="B1754" t="b">
            <v>1</v>
          </cell>
          <cell r="E1754" t="str">
            <v>Arroyo Grande</v>
          </cell>
          <cell r="H1754" t="str">
            <v>consulta_externa</v>
          </cell>
          <cell r="J1754" t="str">
            <v>bueno</v>
          </cell>
          <cell r="K1754" t="str">
            <v>probsi</v>
          </cell>
        </row>
        <row r="1755">
          <cell r="B1755" t="b">
            <v>1</v>
          </cell>
          <cell r="E1755" t="str">
            <v>Arroyo Grande</v>
          </cell>
          <cell r="H1755" t="str">
            <v>consulta_externa</v>
          </cell>
          <cell r="J1755" t="str">
            <v>bueno</v>
          </cell>
          <cell r="K1755" t="str">
            <v>probsi</v>
          </cell>
        </row>
        <row r="1756">
          <cell r="B1756" t="b">
            <v>1</v>
          </cell>
          <cell r="E1756" t="str">
            <v>Arroyo Grande</v>
          </cell>
          <cell r="H1756" t="str">
            <v>salud_oral</v>
          </cell>
          <cell r="J1756" t="str">
            <v>bueno</v>
          </cell>
          <cell r="K1756" t="str">
            <v>probsi</v>
          </cell>
        </row>
        <row r="1757">
          <cell r="B1757" t="b">
            <v>1</v>
          </cell>
          <cell r="E1757" t="str">
            <v>Arroyo de Piedra</v>
          </cell>
          <cell r="H1757" t="str">
            <v>salud_oral</v>
          </cell>
          <cell r="J1757" t="str">
            <v>bueno</v>
          </cell>
          <cell r="K1757" t="str">
            <v>probsi</v>
          </cell>
        </row>
        <row r="1758">
          <cell r="B1758" t="b">
            <v>0</v>
          </cell>
          <cell r="E1758" t="str">
            <v>Arroyo de Piedra</v>
          </cell>
          <cell r="H1758" t="str">
            <v>consulta_externa</v>
          </cell>
          <cell r="J1758" t="str">
            <v>regular</v>
          </cell>
          <cell r="K1758" t="str">
            <v>probsi</v>
          </cell>
        </row>
        <row r="1759">
          <cell r="B1759" t="b">
            <v>0</v>
          </cell>
          <cell r="E1759" t="str">
            <v>Arroyo de Piedra</v>
          </cell>
          <cell r="H1759" t="str">
            <v>salud_oral</v>
          </cell>
          <cell r="J1759" t="str">
            <v>regular</v>
          </cell>
          <cell r="K1759" t="str">
            <v>probsi</v>
          </cell>
        </row>
        <row r="1760">
          <cell r="B1760" t="b">
            <v>1</v>
          </cell>
          <cell r="E1760" t="str">
            <v>Arroyo de Piedra</v>
          </cell>
          <cell r="H1760" t="str">
            <v>consulta_externa</v>
          </cell>
          <cell r="J1760" t="str">
            <v>bueno</v>
          </cell>
          <cell r="K1760" t="str">
            <v>probsi</v>
          </cell>
        </row>
        <row r="1761">
          <cell r="B1761" t="b">
            <v>1</v>
          </cell>
          <cell r="E1761" t="str">
            <v>Arroyo de Piedra</v>
          </cell>
          <cell r="H1761" t="str">
            <v>salud_oral</v>
          </cell>
          <cell r="J1761" t="str">
            <v>bueno</v>
          </cell>
          <cell r="K1761" t="str">
            <v>probsi</v>
          </cell>
        </row>
        <row r="1762">
          <cell r="B1762" t="b">
            <v>1</v>
          </cell>
          <cell r="E1762" t="str">
            <v>Arroyo de Piedra</v>
          </cell>
          <cell r="H1762" t="str">
            <v>laboratorio</v>
          </cell>
          <cell r="J1762" t="str">
            <v>bueno</v>
          </cell>
          <cell r="K1762" t="str">
            <v>probsi</v>
          </cell>
        </row>
        <row r="1763">
          <cell r="B1763" t="b">
            <v>1</v>
          </cell>
          <cell r="E1763" t="str">
            <v>Bosque</v>
          </cell>
          <cell r="H1763" t="str">
            <v>consulta_externa</v>
          </cell>
          <cell r="J1763" t="str">
            <v>bueno</v>
          </cell>
          <cell r="K1763" t="str">
            <v>probsi</v>
          </cell>
        </row>
        <row r="1764">
          <cell r="B1764" t="b">
            <v>1</v>
          </cell>
          <cell r="E1764" t="str">
            <v>Bosque</v>
          </cell>
          <cell r="H1764" t="str">
            <v>consulta_externa</v>
          </cell>
          <cell r="J1764" t="str">
            <v>bueno</v>
          </cell>
          <cell r="K1764" t="str">
            <v>probsi</v>
          </cell>
        </row>
        <row r="1765">
          <cell r="B1765" t="b">
            <v>1</v>
          </cell>
          <cell r="E1765" t="str">
            <v>Bosque</v>
          </cell>
          <cell r="H1765" t="str">
            <v>consulta_externa</v>
          </cell>
          <cell r="J1765" t="str">
            <v>bueno</v>
          </cell>
          <cell r="K1765" t="str">
            <v>probsi</v>
          </cell>
        </row>
        <row r="1766">
          <cell r="B1766" t="b">
            <v>1</v>
          </cell>
          <cell r="E1766" t="str">
            <v>Bosque</v>
          </cell>
          <cell r="H1766" t="str">
            <v>consulta_externa</v>
          </cell>
          <cell r="J1766" t="str">
            <v>bueno</v>
          </cell>
          <cell r="K1766" t="str">
            <v>probsi</v>
          </cell>
        </row>
        <row r="1767">
          <cell r="B1767" t="b">
            <v>1</v>
          </cell>
          <cell r="E1767" t="str">
            <v>Bosque</v>
          </cell>
          <cell r="H1767" t="str">
            <v>laboratorio</v>
          </cell>
          <cell r="J1767" t="str">
            <v>bueno</v>
          </cell>
          <cell r="K1767" t="str">
            <v>probsi</v>
          </cell>
        </row>
        <row r="1768">
          <cell r="B1768" t="b">
            <v>1</v>
          </cell>
          <cell r="E1768" t="str">
            <v>Bosque</v>
          </cell>
          <cell r="H1768" t="str">
            <v>laboratorio</v>
          </cell>
          <cell r="J1768" t="str">
            <v>bueno</v>
          </cell>
          <cell r="K1768" t="str">
            <v>probsi</v>
          </cell>
        </row>
        <row r="1769">
          <cell r="B1769" t="b">
            <v>1</v>
          </cell>
          <cell r="E1769" t="str">
            <v>Bosque</v>
          </cell>
          <cell r="H1769" t="str">
            <v>salud_oral</v>
          </cell>
          <cell r="J1769" t="str">
            <v>bueno</v>
          </cell>
          <cell r="K1769" t="str">
            <v>probsi</v>
          </cell>
        </row>
        <row r="1770">
          <cell r="B1770" t="b">
            <v>1</v>
          </cell>
          <cell r="E1770" t="str">
            <v>Bosque</v>
          </cell>
          <cell r="H1770" t="str">
            <v>salud_oral</v>
          </cell>
          <cell r="J1770" t="str">
            <v>bueno</v>
          </cell>
          <cell r="K1770" t="str">
            <v>probsi</v>
          </cell>
        </row>
        <row r="1771">
          <cell r="B1771" t="b">
            <v>1</v>
          </cell>
          <cell r="E1771" t="str">
            <v>Bosque</v>
          </cell>
          <cell r="H1771" t="str">
            <v>salud_oral</v>
          </cell>
          <cell r="J1771" t="str">
            <v>bueno</v>
          </cell>
          <cell r="K1771" t="str">
            <v>probsi</v>
          </cell>
        </row>
        <row r="1772">
          <cell r="B1772" t="b">
            <v>1</v>
          </cell>
          <cell r="E1772" t="str">
            <v>Bosque</v>
          </cell>
          <cell r="H1772" t="str">
            <v>salud_oral</v>
          </cell>
          <cell r="J1772" t="str">
            <v>bueno</v>
          </cell>
          <cell r="K1772" t="str">
            <v>probsi</v>
          </cell>
        </row>
        <row r="1773">
          <cell r="B1773" t="b">
            <v>1</v>
          </cell>
          <cell r="E1773" t="str">
            <v>Bosque</v>
          </cell>
          <cell r="H1773" t="str">
            <v>salud_oral</v>
          </cell>
          <cell r="J1773" t="str">
            <v>bueno</v>
          </cell>
          <cell r="K1773" t="str">
            <v>probsi</v>
          </cell>
        </row>
        <row r="1774">
          <cell r="B1774" t="b">
            <v>1</v>
          </cell>
          <cell r="E1774" t="str">
            <v>Bosque</v>
          </cell>
          <cell r="H1774" t="str">
            <v>salud_oral</v>
          </cell>
          <cell r="J1774" t="str">
            <v>bueno</v>
          </cell>
          <cell r="K1774" t="str">
            <v>probsi</v>
          </cell>
        </row>
        <row r="1775">
          <cell r="B1775" t="b">
            <v>1</v>
          </cell>
          <cell r="E1775" t="str">
            <v>Bosque</v>
          </cell>
          <cell r="H1775" t="str">
            <v>salud_oral</v>
          </cell>
          <cell r="J1775" t="str">
            <v>bueno</v>
          </cell>
          <cell r="K1775" t="str">
            <v>probsi</v>
          </cell>
        </row>
        <row r="1776">
          <cell r="B1776" t="b">
            <v>1</v>
          </cell>
          <cell r="E1776" t="str">
            <v>Bosque</v>
          </cell>
          <cell r="H1776" t="str">
            <v>laboratorio</v>
          </cell>
          <cell r="J1776" t="str">
            <v>bueno</v>
          </cell>
          <cell r="K1776" t="str">
            <v>probsi</v>
          </cell>
        </row>
        <row r="1777">
          <cell r="B1777" t="b">
            <v>1</v>
          </cell>
          <cell r="E1777" t="str">
            <v>Bosque</v>
          </cell>
          <cell r="H1777" t="str">
            <v>consulta_externa</v>
          </cell>
          <cell r="J1777" t="str">
            <v>bueno</v>
          </cell>
          <cell r="K1777" t="str">
            <v>probsi</v>
          </cell>
        </row>
        <row r="1778">
          <cell r="B1778" t="b">
            <v>1</v>
          </cell>
          <cell r="E1778" t="str">
            <v>Bosque</v>
          </cell>
          <cell r="H1778" t="str">
            <v>consulta_externa</v>
          </cell>
          <cell r="J1778" t="str">
            <v>bueno</v>
          </cell>
          <cell r="K1778" t="str">
            <v>probsi</v>
          </cell>
        </row>
        <row r="1779">
          <cell r="B1779" t="b">
            <v>1</v>
          </cell>
          <cell r="E1779" t="str">
            <v>Manzanillo</v>
          </cell>
          <cell r="H1779" t="str">
            <v>consulta_externa</v>
          </cell>
          <cell r="J1779" t="str">
            <v>bueno</v>
          </cell>
          <cell r="K1779" t="str">
            <v>defsi</v>
          </cell>
        </row>
        <row r="1780">
          <cell r="B1780" t="b">
            <v>1</v>
          </cell>
          <cell r="E1780" t="str">
            <v>Arroyo de Piedra</v>
          </cell>
          <cell r="H1780" t="str">
            <v>consulta_externa</v>
          </cell>
          <cell r="J1780" t="str">
            <v>bueno</v>
          </cell>
          <cell r="K1780" t="str">
            <v>probsi</v>
          </cell>
        </row>
        <row r="1781">
          <cell r="B1781" t="b">
            <v>1</v>
          </cell>
          <cell r="E1781" t="str">
            <v>Manzanillo</v>
          </cell>
          <cell r="H1781" t="str">
            <v>salud_oral</v>
          </cell>
          <cell r="J1781" t="str">
            <v>bueno</v>
          </cell>
          <cell r="K1781" t="str">
            <v>defsi</v>
          </cell>
        </row>
        <row r="1782">
          <cell r="B1782" t="b">
            <v>1</v>
          </cell>
          <cell r="E1782" t="str">
            <v>Arroyo de Piedra</v>
          </cell>
          <cell r="H1782" t="str">
            <v>salud_oral</v>
          </cell>
          <cell r="J1782" t="str">
            <v>bueno</v>
          </cell>
          <cell r="K1782" t="str">
            <v>probsi</v>
          </cell>
        </row>
        <row r="1783">
          <cell r="B1783" t="b">
            <v>1</v>
          </cell>
          <cell r="E1783" t="str">
            <v>Manzanillo</v>
          </cell>
          <cell r="H1783" t="str">
            <v>laboratorio</v>
          </cell>
          <cell r="J1783" t="str">
            <v>bueno</v>
          </cell>
          <cell r="K1783" t="str">
            <v>defsi</v>
          </cell>
        </row>
        <row r="1784">
          <cell r="B1784" t="b">
            <v>1</v>
          </cell>
          <cell r="E1784" t="str">
            <v>Manzanillo</v>
          </cell>
          <cell r="H1784" t="str">
            <v>consulta_externa</v>
          </cell>
          <cell r="J1784" t="str">
            <v>bueno</v>
          </cell>
          <cell r="K1784" t="str">
            <v>defsi</v>
          </cell>
        </row>
        <row r="1785">
          <cell r="B1785" t="b">
            <v>1</v>
          </cell>
          <cell r="E1785" t="str">
            <v>Manzanillo</v>
          </cell>
          <cell r="H1785" t="str">
            <v>salud_oral</v>
          </cell>
          <cell r="J1785" t="str">
            <v>bueno</v>
          </cell>
          <cell r="K1785" t="str">
            <v>defsi</v>
          </cell>
        </row>
        <row r="1786">
          <cell r="B1786" t="b">
            <v>1</v>
          </cell>
          <cell r="E1786" t="str">
            <v>Manzanillo</v>
          </cell>
          <cell r="H1786" t="str">
            <v>laboratorio</v>
          </cell>
          <cell r="J1786" t="str">
            <v>bueno</v>
          </cell>
          <cell r="K1786" t="str">
            <v>defsi</v>
          </cell>
        </row>
        <row r="1787">
          <cell r="B1787" t="b">
            <v>1</v>
          </cell>
          <cell r="E1787" t="str">
            <v>Arroyo de Piedra</v>
          </cell>
          <cell r="H1787" t="str">
            <v>consulta_externa</v>
          </cell>
          <cell r="J1787" t="str">
            <v>bueno</v>
          </cell>
          <cell r="K1787" t="str">
            <v>probsi</v>
          </cell>
        </row>
        <row r="1788">
          <cell r="B1788" t="b">
            <v>1</v>
          </cell>
          <cell r="E1788" t="str">
            <v>Arroyo de Piedra</v>
          </cell>
          <cell r="H1788" t="str">
            <v>laboratorio</v>
          </cell>
          <cell r="J1788" t="str">
            <v>bueno</v>
          </cell>
          <cell r="K1788" t="str">
            <v>probsi</v>
          </cell>
        </row>
        <row r="1789">
          <cell r="B1789" t="b">
            <v>0</v>
          </cell>
          <cell r="E1789" t="str">
            <v>Arroyo de Piedra</v>
          </cell>
          <cell r="H1789" t="str">
            <v>consulta_externa</v>
          </cell>
          <cell r="J1789" t="str">
            <v>regular</v>
          </cell>
          <cell r="K1789" t="str">
            <v>probsi</v>
          </cell>
        </row>
        <row r="1790">
          <cell r="B1790" t="b">
            <v>1</v>
          </cell>
          <cell r="E1790" t="str">
            <v>Arroyo de Piedra</v>
          </cell>
          <cell r="H1790" t="str">
            <v>salud_oral</v>
          </cell>
          <cell r="J1790" t="str">
            <v>bueno</v>
          </cell>
          <cell r="K1790" t="str">
            <v>probsi</v>
          </cell>
        </row>
        <row r="1791">
          <cell r="B1791" t="b">
            <v>0</v>
          </cell>
          <cell r="E1791" t="str">
            <v>Arroz Barato</v>
          </cell>
          <cell r="H1791" t="str">
            <v>laboratorio</v>
          </cell>
          <cell r="J1791" t="str">
            <v>malo</v>
          </cell>
          <cell r="K1791" t="str">
            <v>probno</v>
          </cell>
        </row>
        <row r="1792">
          <cell r="B1792" t="b">
            <v>0</v>
          </cell>
          <cell r="E1792" t="str">
            <v>Arroz Barato</v>
          </cell>
          <cell r="H1792" t="str">
            <v>laboratorio</v>
          </cell>
          <cell r="J1792" t="str">
            <v>malo</v>
          </cell>
          <cell r="K1792" t="str">
            <v>probno</v>
          </cell>
        </row>
        <row r="1793">
          <cell r="B1793" t="b">
            <v>0</v>
          </cell>
          <cell r="E1793" t="str">
            <v>Arroyo de Piedra</v>
          </cell>
          <cell r="H1793" t="str">
            <v>consulta_externa</v>
          </cell>
          <cell r="J1793" t="str">
            <v>regular</v>
          </cell>
          <cell r="K1793" t="str">
            <v>probsi</v>
          </cell>
        </row>
        <row r="1794">
          <cell r="B1794" t="b">
            <v>0</v>
          </cell>
          <cell r="E1794" t="str">
            <v>Arroyo de Piedra</v>
          </cell>
          <cell r="H1794" t="str">
            <v>salud_oral</v>
          </cell>
          <cell r="J1794" t="str">
            <v>regular</v>
          </cell>
          <cell r="K1794" t="str">
            <v>probsi</v>
          </cell>
        </row>
        <row r="1795">
          <cell r="B1795" t="b">
            <v>0</v>
          </cell>
          <cell r="E1795" t="str">
            <v>Arroyo de Piedra</v>
          </cell>
          <cell r="H1795" t="str">
            <v>consulta_externa</v>
          </cell>
          <cell r="J1795" t="str">
            <v>regular</v>
          </cell>
          <cell r="K1795" t="str">
            <v>probsi</v>
          </cell>
        </row>
        <row r="1796">
          <cell r="B1796" t="b">
            <v>0</v>
          </cell>
          <cell r="E1796" t="str">
            <v>Arroyo de Piedra</v>
          </cell>
          <cell r="H1796" t="str">
            <v>salud_oral</v>
          </cell>
          <cell r="J1796" t="str">
            <v>regular</v>
          </cell>
          <cell r="K1796" t="str">
            <v>probsi</v>
          </cell>
        </row>
        <row r="1797">
          <cell r="B1797" t="b">
            <v>0</v>
          </cell>
          <cell r="E1797" t="str">
            <v>Arroyo de Piedra</v>
          </cell>
          <cell r="H1797" t="str">
            <v>laboratorio</v>
          </cell>
          <cell r="J1797" t="str">
            <v>regular</v>
          </cell>
          <cell r="K1797" t="str">
            <v>probsi</v>
          </cell>
        </row>
        <row r="1798">
          <cell r="B1798" t="b">
            <v>0</v>
          </cell>
          <cell r="E1798" t="str">
            <v>Arroyo de Piedra</v>
          </cell>
          <cell r="H1798" t="str">
            <v>laboratorio</v>
          </cell>
          <cell r="J1798" t="str">
            <v>regular</v>
          </cell>
          <cell r="K1798" t="str">
            <v>probsi</v>
          </cell>
        </row>
        <row r="1799">
          <cell r="B1799" t="b">
            <v>0</v>
          </cell>
          <cell r="E1799" t="str">
            <v>Arroyo de Piedra</v>
          </cell>
          <cell r="H1799" t="str">
            <v>consulta_externa</v>
          </cell>
          <cell r="J1799" t="str">
            <v>regular</v>
          </cell>
          <cell r="K1799" t="str">
            <v>probsi</v>
          </cell>
        </row>
        <row r="1800">
          <cell r="B1800" t="b">
            <v>0</v>
          </cell>
          <cell r="E1800" t="str">
            <v>Arroyo de Piedra</v>
          </cell>
          <cell r="H1800" t="str">
            <v>salud_oral</v>
          </cell>
          <cell r="J1800" t="str">
            <v>regular</v>
          </cell>
          <cell r="K1800" t="str">
            <v>probsi</v>
          </cell>
        </row>
        <row r="1801">
          <cell r="B1801" t="b">
            <v>1</v>
          </cell>
          <cell r="E1801" t="str">
            <v>Manzanillo</v>
          </cell>
          <cell r="H1801" t="str">
            <v>consulta_externa</v>
          </cell>
          <cell r="J1801" t="str">
            <v>bueno</v>
          </cell>
          <cell r="K1801" t="str">
            <v>defsi</v>
          </cell>
        </row>
        <row r="1802">
          <cell r="B1802" t="b">
            <v>1</v>
          </cell>
          <cell r="E1802" t="str">
            <v>Arroyo de Piedra</v>
          </cell>
          <cell r="H1802" t="str">
            <v>consulta_externa</v>
          </cell>
          <cell r="J1802" t="str">
            <v>bueno</v>
          </cell>
          <cell r="K1802" t="str">
            <v>probsi</v>
          </cell>
        </row>
        <row r="1803">
          <cell r="B1803" t="b">
            <v>1</v>
          </cell>
          <cell r="E1803" t="str">
            <v>Manzanillo</v>
          </cell>
          <cell r="H1803" t="str">
            <v>salud_oral</v>
          </cell>
          <cell r="J1803" t="str">
            <v>bueno</v>
          </cell>
          <cell r="K1803" t="str">
            <v>defsi</v>
          </cell>
        </row>
        <row r="1804">
          <cell r="B1804" t="b">
            <v>1</v>
          </cell>
          <cell r="E1804" t="str">
            <v>Manzanillo</v>
          </cell>
          <cell r="H1804" t="str">
            <v>laboratorio</v>
          </cell>
          <cell r="J1804" t="str">
            <v>bueno</v>
          </cell>
          <cell r="K1804" t="str">
            <v>defsi</v>
          </cell>
        </row>
        <row r="1805">
          <cell r="B1805" t="b">
            <v>1</v>
          </cell>
          <cell r="E1805" t="str">
            <v>Manzanillo</v>
          </cell>
          <cell r="H1805" t="str">
            <v>consulta_externa</v>
          </cell>
          <cell r="J1805" t="str">
            <v>bueno</v>
          </cell>
          <cell r="K1805" t="str">
            <v>defsi</v>
          </cell>
        </row>
        <row r="1806">
          <cell r="B1806" t="b">
            <v>0</v>
          </cell>
          <cell r="E1806" t="str">
            <v>Arroz Barato</v>
          </cell>
          <cell r="H1806" t="str">
            <v>laboratorio</v>
          </cell>
          <cell r="J1806" t="str">
            <v>regular</v>
          </cell>
          <cell r="K1806" t="str">
            <v>probsi</v>
          </cell>
        </row>
        <row r="1807">
          <cell r="B1807" t="b">
            <v>1</v>
          </cell>
          <cell r="E1807" t="str">
            <v>Manzanillo</v>
          </cell>
          <cell r="H1807" t="str">
            <v>salud_oral</v>
          </cell>
          <cell r="J1807" t="str">
            <v>bueno</v>
          </cell>
          <cell r="K1807" t="str">
            <v>defsi</v>
          </cell>
        </row>
        <row r="1808">
          <cell r="B1808" t="b">
            <v>1</v>
          </cell>
          <cell r="E1808" t="str">
            <v>Arroz Barato</v>
          </cell>
          <cell r="H1808" t="str">
            <v>laboratorio</v>
          </cell>
          <cell r="J1808" t="str">
            <v>bueno</v>
          </cell>
          <cell r="K1808" t="str">
            <v>defsi</v>
          </cell>
        </row>
        <row r="1809">
          <cell r="B1809" t="b">
            <v>0</v>
          </cell>
          <cell r="E1809" t="str">
            <v>Arroz Barato</v>
          </cell>
          <cell r="H1809" t="str">
            <v>consulta_externa</v>
          </cell>
          <cell r="J1809" t="str">
            <v>regular</v>
          </cell>
          <cell r="K1809" t="str">
            <v>defsi</v>
          </cell>
        </row>
        <row r="1810">
          <cell r="B1810" t="b">
            <v>1</v>
          </cell>
          <cell r="E1810" t="str">
            <v>Manzanillo</v>
          </cell>
          <cell r="H1810" t="str">
            <v>laboratorio</v>
          </cell>
          <cell r="J1810" t="str">
            <v>bueno</v>
          </cell>
          <cell r="K1810" t="str">
            <v>defsi</v>
          </cell>
        </row>
        <row r="1811">
          <cell r="B1811" t="b">
            <v>1</v>
          </cell>
          <cell r="E1811" t="str">
            <v>Manzanillo</v>
          </cell>
          <cell r="H1811" t="str">
            <v>consulta_externa</v>
          </cell>
          <cell r="J1811" t="str">
            <v>bueno</v>
          </cell>
          <cell r="K1811" t="str">
            <v>defsi</v>
          </cell>
        </row>
        <row r="1812">
          <cell r="B1812" t="b">
            <v>1</v>
          </cell>
          <cell r="E1812" t="str">
            <v>Manzanillo</v>
          </cell>
          <cell r="H1812" t="str">
            <v>salud_oral</v>
          </cell>
          <cell r="J1812" t="str">
            <v>bueno</v>
          </cell>
          <cell r="K1812" t="str">
            <v>defsi</v>
          </cell>
        </row>
        <row r="1813">
          <cell r="B1813" t="b">
            <v>1</v>
          </cell>
          <cell r="E1813" t="str">
            <v>Manzanillo</v>
          </cell>
          <cell r="H1813" t="str">
            <v>laboratorio</v>
          </cell>
          <cell r="J1813" t="str">
            <v>bueno</v>
          </cell>
          <cell r="K1813" t="str">
            <v>defsi</v>
          </cell>
        </row>
        <row r="1814">
          <cell r="B1814" t="b">
            <v>1</v>
          </cell>
          <cell r="E1814" t="str">
            <v>Arroz Barato</v>
          </cell>
          <cell r="H1814" t="str">
            <v>consulta_externa</v>
          </cell>
          <cell r="J1814" t="str">
            <v>bueno</v>
          </cell>
          <cell r="K1814" t="str">
            <v>defsi</v>
          </cell>
        </row>
        <row r="1815">
          <cell r="B1815" t="b">
            <v>1</v>
          </cell>
          <cell r="E1815" t="str">
            <v>Arroz Barato</v>
          </cell>
          <cell r="H1815" t="str">
            <v>salud_oral</v>
          </cell>
          <cell r="J1815" t="str">
            <v>bueno</v>
          </cell>
          <cell r="K1815" t="str">
            <v>defsi</v>
          </cell>
        </row>
        <row r="1816">
          <cell r="B1816" t="b">
            <v>0</v>
          </cell>
          <cell r="E1816" t="str">
            <v>Arroz Barato</v>
          </cell>
          <cell r="H1816" t="str">
            <v>consulta_externa</v>
          </cell>
          <cell r="J1816" t="str">
            <v>regular</v>
          </cell>
          <cell r="K1816" t="str">
            <v>defsi</v>
          </cell>
        </row>
        <row r="1817">
          <cell r="B1817" t="b">
            <v>0</v>
          </cell>
          <cell r="E1817" t="str">
            <v>Arroz Barato</v>
          </cell>
          <cell r="H1817" t="str">
            <v>laboratorio</v>
          </cell>
          <cell r="J1817" t="str">
            <v>malo</v>
          </cell>
          <cell r="K1817" t="str">
            <v>defsi</v>
          </cell>
        </row>
        <row r="1818">
          <cell r="B1818" t="b">
            <v>1</v>
          </cell>
          <cell r="E1818" t="str">
            <v>Arroyo de Piedra</v>
          </cell>
          <cell r="H1818" t="str">
            <v>consulta_externa</v>
          </cell>
          <cell r="J1818" t="str">
            <v>bueno</v>
          </cell>
          <cell r="K1818" t="str">
            <v>probsi</v>
          </cell>
        </row>
        <row r="1819">
          <cell r="B1819" t="b">
            <v>1</v>
          </cell>
          <cell r="E1819" t="str">
            <v>Arroyo de Piedra</v>
          </cell>
          <cell r="H1819" t="str">
            <v>consulta_externa</v>
          </cell>
          <cell r="J1819" t="str">
            <v>bueno</v>
          </cell>
          <cell r="K1819" t="str">
            <v>probsi</v>
          </cell>
        </row>
        <row r="1820">
          <cell r="B1820" t="b">
            <v>1</v>
          </cell>
          <cell r="E1820" t="str">
            <v>Arroyo de Piedra</v>
          </cell>
          <cell r="H1820" t="str">
            <v>salud_oral</v>
          </cell>
          <cell r="J1820" t="str">
            <v>bueno</v>
          </cell>
          <cell r="K1820" t="str">
            <v>probsi</v>
          </cell>
        </row>
        <row r="1821">
          <cell r="B1821" t="b">
            <v>1</v>
          </cell>
          <cell r="E1821" t="str">
            <v>Arroyo de Piedra</v>
          </cell>
          <cell r="H1821" t="str">
            <v>laboratorio</v>
          </cell>
          <cell r="J1821" t="str">
            <v>bueno</v>
          </cell>
          <cell r="K1821" t="str">
            <v>probsi</v>
          </cell>
        </row>
        <row r="1822">
          <cell r="B1822" t="b">
            <v>1</v>
          </cell>
          <cell r="E1822" t="str">
            <v>Arroyo de Piedra</v>
          </cell>
          <cell r="H1822" t="str">
            <v>consulta_externa</v>
          </cell>
          <cell r="J1822" t="str">
            <v>bueno</v>
          </cell>
          <cell r="K1822" t="str">
            <v>probsi</v>
          </cell>
        </row>
        <row r="1823">
          <cell r="B1823" t="b">
            <v>1</v>
          </cell>
          <cell r="E1823" t="str">
            <v>Arroyo de Piedra</v>
          </cell>
          <cell r="H1823" t="str">
            <v>consulta_externa</v>
          </cell>
          <cell r="J1823" t="str">
            <v>bueno</v>
          </cell>
          <cell r="K1823" t="str">
            <v>probsi</v>
          </cell>
        </row>
        <row r="1824">
          <cell r="B1824" t="b">
            <v>1</v>
          </cell>
          <cell r="E1824" t="str">
            <v>Arroyo de Piedra</v>
          </cell>
          <cell r="H1824" t="str">
            <v>salud_oral</v>
          </cell>
          <cell r="J1824" t="str">
            <v>bueno</v>
          </cell>
          <cell r="K1824" t="str">
            <v>probsi</v>
          </cell>
        </row>
        <row r="1825">
          <cell r="B1825" t="b">
            <v>0</v>
          </cell>
          <cell r="E1825" t="str">
            <v>Arroz Barato</v>
          </cell>
          <cell r="H1825" t="str">
            <v>consulta_externa</v>
          </cell>
          <cell r="J1825" t="str">
            <v>regular</v>
          </cell>
          <cell r="K1825" t="str">
            <v>defsi</v>
          </cell>
        </row>
        <row r="1826">
          <cell r="B1826" t="b">
            <v>1</v>
          </cell>
          <cell r="E1826" t="str">
            <v>Arroyo de Piedra</v>
          </cell>
          <cell r="H1826" t="str">
            <v>laboratorio</v>
          </cell>
          <cell r="J1826" t="str">
            <v>bueno</v>
          </cell>
          <cell r="K1826" t="str">
            <v>probsi</v>
          </cell>
        </row>
        <row r="1827">
          <cell r="B1827" t="b">
            <v>0</v>
          </cell>
          <cell r="E1827" t="str">
            <v>Arroz Barato</v>
          </cell>
          <cell r="H1827" t="str">
            <v>laboratorio</v>
          </cell>
          <cell r="J1827" t="str">
            <v>regular</v>
          </cell>
          <cell r="K1827" t="str">
            <v>defsi</v>
          </cell>
        </row>
        <row r="1828">
          <cell r="B1828" t="b">
            <v>0</v>
          </cell>
          <cell r="E1828" t="str">
            <v>Arroz Barato</v>
          </cell>
          <cell r="H1828" t="str">
            <v>consulta_externa</v>
          </cell>
          <cell r="J1828" t="str">
            <v>regular</v>
          </cell>
          <cell r="K1828" t="str">
            <v>probsi</v>
          </cell>
        </row>
        <row r="1829">
          <cell r="B1829" t="b">
            <v>0</v>
          </cell>
          <cell r="E1829" t="str">
            <v>Arroz Barato</v>
          </cell>
          <cell r="H1829" t="str">
            <v>consulta_externa</v>
          </cell>
          <cell r="J1829" t="str">
            <v>regular</v>
          </cell>
          <cell r="K1829" t="str">
            <v>probno</v>
          </cell>
        </row>
        <row r="1830">
          <cell r="B1830" t="b">
            <v>0</v>
          </cell>
          <cell r="E1830" t="str">
            <v>Arroyo de Piedra</v>
          </cell>
          <cell r="H1830" t="str">
            <v>laboratorio</v>
          </cell>
          <cell r="J1830" t="str">
            <v>regular</v>
          </cell>
          <cell r="K1830" t="str">
            <v>probsi</v>
          </cell>
        </row>
        <row r="1831">
          <cell r="B1831" t="b">
            <v>1</v>
          </cell>
          <cell r="E1831" t="str">
            <v>Arroyo de Piedra</v>
          </cell>
          <cell r="H1831" t="str">
            <v>consulta_externa</v>
          </cell>
          <cell r="J1831" t="str">
            <v>bueno</v>
          </cell>
          <cell r="K1831" t="str">
            <v>probsi</v>
          </cell>
        </row>
        <row r="1832">
          <cell r="B1832" t="b">
            <v>1</v>
          </cell>
          <cell r="E1832" t="str">
            <v>Arroyo de Piedra</v>
          </cell>
          <cell r="H1832" t="str">
            <v>salud_oral</v>
          </cell>
          <cell r="J1832" t="str">
            <v>bueno</v>
          </cell>
          <cell r="K1832" t="str">
            <v>probsi</v>
          </cell>
        </row>
        <row r="1833">
          <cell r="B1833" t="b">
            <v>1</v>
          </cell>
          <cell r="E1833" t="str">
            <v>Manzanillo</v>
          </cell>
          <cell r="H1833" t="str">
            <v>consulta_externa</v>
          </cell>
          <cell r="J1833" t="str">
            <v>bueno</v>
          </cell>
          <cell r="K1833" t="str">
            <v>defsi</v>
          </cell>
        </row>
        <row r="1834">
          <cell r="B1834" t="b">
            <v>1</v>
          </cell>
          <cell r="E1834" t="str">
            <v>Manzanillo</v>
          </cell>
          <cell r="H1834" t="str">
            <v>salud_oral</v>
          </cell>
          <cell r="J1834" t="str">
            <v>bueno</v>
          </cell>
          <cell r="K1834" t="str">
            <v>defsi</v>
          </cell>
        </row>
        <row r="1835">
          <cell r="B1835" t="b">
            <v>1</v>
          </cell>
          <cell r="E1835" t="str">
            <v>Manzanillo</v>
          </cell>
          <cell r="H1835" t="str">
            <v>laboratorio</v>
          </cell>
          <cell r="J1835" t="str">
            <v>bueno</v>
          </cell>
          <cell r="K1835" t="str">
            <v>defsi</v>
          </cell>
        </row>
        <row r="1836">
          <cell r="B1836" t="b">
            <v>1</v>
          </cell>
          <cell r="E1836" t="str">
            <v>Manzanillo</v>
          </cell>
          <cell r="H1836" t="str">
            <v>consulta_externa</v>
          </cell>
          <cell r="J1836" t="str">
            <v>bueno</v>
          </cell>
          <cell r="K1836" t="str">
            <v>defsi</v>
          </cell>
        </row>
        <row r="1837">
          <cell r="B1837" t="b">
            <v>1</v>
          </cell>
          <cell r="E1837" t="str">
            <v>Manzanillo</v>
          </cell>
          <cell r="H1837" t="str">
            <v>salud_oral</v>
          </cell>
          <cell r="J1837" t="str">
            <v>bueno</v>
          </cell>
          <cell r="K1837" t="str">
            <v>defsi</v>
          </cell>
        </row>
        <row r="1838">
          <cell r="B1838" t="b">
            <v>1</v>
          </cell>
          <cell r="E1838" t="str">
            <v>Manzanillo</v>
          </cell>
          <cell r="H1838" t="str">
            <v>laboratorio</v>
          </cell>
          <cell r="J1838" t="str">
            <v>bueno</v>
          </cell>
          <cell r="K1838" t="str">
            <v>defsi</v>
          </cell>
        </row>
        <row r="1839">
          <cell r="B1839" t="b">
            <v>1</v>
          </cell>
          <cell r="E1839" t="str">
            <v>Blasdelezo</v>
          </cell>
          <cell r="H1839" t="str">
            <v>consulta_externa</v>
          </cell>
          <cell r="J1839" t="str">
            <v>bueno</v>
          </cell>
          <cell r="K1839" t="str">
            <v>probsi</v>
          </cell>
        </row>
        <row r="1840">
          <cell r="B1840" t="b">
            <v>1</v>
          </cell>
          <cell r="E1840" t="str">
            <v>Blasdelezo</v>
          </cell>
          <cell r="H1840" t="str">
            <v>consulta_externa</v>
          </cell>
          <cell r="J1840" t="str">
            <v>bueno</v>
          </cell>
          <cell r="K1840" t="str">
            <v>probsi</v>
          </cell>
        </row>
        <row r="1841">
          <cell r="B1841" t="b">
            <v>1</v>
          </cell>
          <cell r="E1841" t="str">
            <v>Blasdelezo</v>
          </cell>
          <cell r="H1841" t="str">
            <v>consulta_externa</v>
          </cell>
          <cell r="J1841" t="str">
            <v>bueno</v>
          </cell>
          <cell r="K1841" t="str">
            <v>probsi</v>
          </cell>
        </row>
        <row r="1842">
          <cell r="B1842" t="b">
            <v>1</v>
          </cell>
          <cell r="E1842" t="str">
            <v>Blasdelezo</v>
          </cell>
          <cell r="H1842" t="str">
            <v>consulta_externa</v>
          </cell>
          <cell r="J1842" t="str">
            <v>bueno</v>
          </cell>
          <cell r="K1842" t="str">
            <v>probsi</v>
          </cell>
        </row>
        <row r="1843">
          <cell r="B1843" t="b">
            <v>1</v>
          </cell>
          <cell r="E1843" t="str">
            <v>Blasdelezo</v>
          </cell>
          <cell r="H1843" t="str">
            <v>laboratorio</v>
          </cell>
          <cell r="J1843" t="str">
            <v>bueno</v>
          </cell>
          <cell r="K1843" t="str">
            <v>probsi</v>
          </cell>
        </row>
        <row r="1844">
          <cell r="B1844" t="b">
            <v>1</v>
          </cell>
          <cell r="E1844" t="str">
            <v>Blasdelezo</v>
          </cell>
          <cell r="H1844" t="str">
            <v>salud_oral</v>
          </cell>
          <cell r="J1844" t="str">
            <v>bueno</v>
          </cell>
          <cell r="K1844" t="str">
            <v>probsi</v>
          </cell>
        </row>
        <row r="1845">
          <cell r="B1845" t="b">
            <v>1</v>
          </cell>
          <cell r="E1845" t="str">
            <v>Blasdelezo</v>
          </cell>
          <cell r="H1845" t="str">
            <v>salud_oral</v>
          </cell>
          <cell r="J1845" t="str">
            <v>bueno</v>
          </cell>
          <cell r="K1845" t="str">
            <v>probsi</v>
          </cell>
        </row>
        <row r="1846">
          <cell r="B1846" t="b">
            <v>1</v>
          </cell>
          <cell r="E1846" t="str">
            <v>Blasdelezo</v>
          </cell>
          <cell r="H1846" t="str">
            <v>salud_oral</v>
          </cell>
          <cell r="J1846" t="str">
            <v>bueno</v>
          </cell>
          <cell r="K1846" t="str">
            <v>probsi</v>
          </cell>
        </row>
        <row r="1847">
          <cell r="B1847" t="b">
            <v>1</v>
          </cell>
          <cell r="E1847" t="str">
            <v>Blasdelezo</v>
          </cell>
          <cell r="H1847" t="str">
            <v>salud_oral</v>
          </cell>
          <cell r="J1847" t="str">
            <v>bueno</v>
          </cell>
          <cell r="K1847" t="str">
            <v>probsi</v>
          </cell>
        </row>
        <row r="1848">
          <cell r="B1848" t="b">
            <v>1</v>
          </cell>
          <cell r="E1848" t="str">
            <v>Blasdelezo</v>
          </cell>
          <cell r="H1848" t="str">
            <v>salud_oral</v>
          </cell>
          <cell r="J1848" t="str">
            <v>bueno</v>
          </cell>
          <cell r="K1848" t="str">
            <v>probsi</v>
          </cell>
        </row>
        <row r="1849">
          <cell r="B1849" t="b">
            <v>1</v>
          </cell>
          <cell r="E1849" t="str">
            <v>Blasdelezo</v>
          </cell>
          <cell r="H1849" t="str">
            <v>salud_oral</v>
          </cell>
          <cell r="J1849" t="str">
            <v>bueno</v>
          </cell>
          <cell r="K1849" t="str">
            <v>probsi</v>
          </cell>
        </row>
        <row r="1850">
          <cell r="B1850" t="b">
            <v>1</v>
          </cell>
          <cell r="E1850" t="str">
            <v>Blasdelezo</v>
          </cell>
          <cell r="H1850" t="str">
            <v>salud_oral</v>
          </cell>
          <cell r="J1850" t="str">
            <v>bueno</v>
          </cell>
          <cell r="K1850" t="str">
            <v>probsi</v>
          </cell>
        </row>
        <row r="1851">
          <cell r="B1851" t="b">
            <v>1</v>
          </cell>
          <cell r="E1851" t="str">
            <v>Arroyo de Piedra</v>
          </cell>
          <cell r="H1851" t="str">
            <v>consulta_externa</v>
          </cell>
          <cell r="J1851" t="str">
            <v>bueno</v>
          </cell>
          <cell r="K1851" t="str">
            <v>probsi</v>
          </cell>
        </row>
        <row r="1852">
          <cell r="B1852" t="b">
            <v>1</v>
          </cell>
          <cell r="E1852" t="str">
            <v>Arroyo de Piedra</v>
          </cell>
          <cell r="H1852" t="str">
            <v>salud_oral</v>
          </cell>
          <cell r="J1852" t="str">
            <v>bueno</v>
          </cell>
          <cell r="K1852" t="str">
            <v>probsi</v>
          </cell>
        </row>
        <row r="1853">
          <cell r="B1853" t="b">
            <v>1</v>
          </cell>
          <cell r="E1853" t="str">
            <v>Arroyo de Piedra</v>
          </cell>
          <cell r="H1853" t="str">
            <v>laboratorio</v>
          </cell>
          <cell r="J1853" t="str">
            <v>bueno</v>
          </cell>
          <cell r="K1853" t="str">
            <v>probsi</v>
          </cell>
        </row>
        <row r="1854">
          <cell r="B1854" t="b">
            <v>1</v>
          </cell>
          <cell r="E1854" t="str">
            <v>Arroyo de Piedra</v>
          </cell>
          <cell r="H1854" t="str">
            <v>laboratorio</v>
          </cell>
          <cell r="J1854" t="str">
            <v>bueno</v>
          </cell>
          <cell r="K1854" t="str">
            <v>probsi</v>
          </cell>
        </row>
        <row r="1855">
          <cell r="B1855" t="b">
            <v>1</v>
          </cell>
          <cell r="E1855" t="str">
            <v>Arroyo de Piedra</v>
          </cell>
          <cell r="H1855" t="str">
            <v>laboratorio</v>
          </cell>
          <cell r="J1855" t="str">
            <v>bueno</v>
          </cell>
          <cell r="K1855" t="str">
            <v>probsi</v>
          </cell>
        </row>
        <row r="1856">
          <cell r="B1856" t="b">
            <v>1</v>
          </cell>
          <cell r="E1856" t="str">
            <v>Boquilla</v>
          </cell>
          <cell r="H1856" t="str">
            <v>consulta_externa</v>
          </cell>
          <cell r="J1856" t="str">
            <v>bueno</v>
          </cell>
          <cell r="K1856" t="str">
            <v>defsi</v>
          </cell>
        </row>
        <row r="1857">
          <cell r="B1857" t="b">
            <v>1</v>
          </cell>
          <cell r="E1857" t="str">
            <v>Arroz Barato</v>
          </cell>
          <cell r="H1857" t="str">
            <v>consulta_externa</v>
          </cell>
          <cell r="J1857" t="str">
            <v>bueno</v>
          </cell>
          <cell r="K1857" t="str">
            <v>defsi</v>
          </cell>
        </row>
        <row r="1858">
          <cell r="B1858" t="b">
            <v>1</v>
          </cell>
          <cell r="E1858" t="str">
            <v>Arroz Barato</v>
          </cell>
          <cell r="H1858" t="str">
            <v>laboratorio</v>
          </cell>
          <cell r="J1858" t="str">
            <v>bueno</v>
          </cell>
          <cell r="K1858" t="str">
            <v>defsi</v>
          </cell>
        </row>
        <row r="1859">
          <cell r="B1859" t="b">
            <v>1</v>
          </cell>
          <cell r="E1859" t="str">
            <v>Boquilla</v>
          </cell>
          <cell r="H1859" t="str">
            <v>salud_oral</v>
          </cell>
          <cell r="J1859" t="str">
            <v>bueno</v>
          </cell>
          <cell r="K1859" t="str">
            <v>defsi</v>
          </cell>
        </row>
        <row r="1860">
          <cell r="B1860" t="b">
            <v>0</v>
          </cell>
          <cell r="E1860" t="str">
            <v>Arroz Barato</v>
          </cell>
          <cell r="H1860" t="str">
            <v>laboratorio</v>
          </cell>
          <cell r="J1860" t="str">
            <v>regular</v>
          </cell>
          <cell r="K1860" t="str">
            <v>probsi</v>
          </cell>
        </row>
        <row r="1861">
          <cell r="B1861" t="b">
            <v>1</v>
          </cell>
          <cell r="E1861" t="str">
            <v>Arroz Barato</v>
          </cell>
          <cell r="H1861" t="str">
            <v>consulta_externa</v>
          </cell>
          <cell r="J1861" t="str">
            <v>bueno</v>
          </cell>
          <cell r="K1861" t="str">
            <v>defsi</v>
          </cell>
        </row>
        <row r="1862">
          <cell r="B1862" t="b">
            <v>1</v>
          </cell>
          <cell r="E1862" t="str">
            <v>Arroz Barato</v>
          </cell>
          <cell r="H1862" t="str">
            <v>consulta_externa</v>
          </cell>
          <cell r="J1862" t="str">
            <v>bueno</v>
          </cell>
          <cell r="K1862" t="str">
            <v>defsi</v>
          </cell>
        </row>
        <row r="1863">
          <cell r="B1863" t="b">
            <v>1</v>
          </cell>
          <cell r="E1863" t="str">
            <v>Boquilla</v>
          </cell>
          <cell r="H1863" t="str">
            <v>laboratorio</v>
          </cell>
          <cell r="J1863" t="str">
            <v>bueno</v>
          </cell>
          <cell r="K1863" t="str">
            <v>defsi</v>
          </cell>
        </row>
        <row r="1864">
          <cell r="B1864" t="b">
            <v>1</v>
          </cell>
          <cell r="E1864" t="str">
            <v>Boquilla</v>
          </cell>
          <cell r="H1864" t="str">
            <v>urgencia</v>
          </cell>
          <cell r="J1864" t="str">
            <v>bueno</v>
          </cell>
          <cell r="K1864" t="str">
            <v>defsi</v>
          </cell>
        </row>
        <row r="1865">
          <cell r="B1865" t="b">
            <v>1</v>
          </cell>
          <cell r="E1865" t="str">
            <v>Arroz Barato</v>
          </cell>
          <cell r="H1865" t="str">
            <v>urgencia</v>
          </cell>
          <cell r="J1865" t="str">
            <v>bueno</v>
          </cell>
          <cell r="K1865" t="str">
            <v>probsi</v>
          </cell>
        </row>
        <row r="1866">
          <cell r="B1866" t="b">
            <v>0</v>
          </cell>
          <cell r="E1866" t="str">
            <v>Arroz Barato</v>
          </cell>
          <cell r="H1866" t="str">
            <v>urgencia</v>
          </cell>
          <cell r="J1866" t="str">
            <v>regular</v>
          </cell>
          <cell r="K1866" t="str">
            <v>probsi</v>
          </cell>
        </row>
        <row r="1867">
          <cell r="B1867" t="b">
            <v>1</v>
          </cell>
          <cell r="E1867" t="str">
            <v>Arroz Barato</v>
          </cell>
          <cell r="H1867" t="str">
            <v>urgencia</v>
          </cell>
          <cell r="J1867" t="str">
            <v>bueno</v>
          </cell>
          <cell r="K1867" t="str">
            <v>defsi</v>
          </cell>
        </row>
        <row r="1868">
          <cell r="B1868" t="b">
            <v>1</v>
          </cell>
          <cell r="E1868" t="str">
            <v>Arroz Barato</v>
          </cell>
          <cell r="H1868" t="str">
            <v>urgencia</v>
          </cell>
          <cell r="J1868" t="str">
            <v>bueno</v>
          </cell>
          <cell r="K1868" t="str">
            <v>defsi</v>
          </cell>
        </row>
        <row r="1869">
          <cell r="B1869" t="b">
            <v>0</v>
          </cell>
          <cell r="E1869" t="str">
            <v>Arroz Barato</v>
          </cell>
          <cell r="H1869" t="str">
            <v>urgencia</v>
          </cell>
          <cell r="J1869" t="str">
            <v>regular</v>
          </cell>
          <cell r="K1869" t="str">
            <v>probno</v>
          </cell>
        </row>
        <row r="1870">
          <cell r="B1870" t="b">
            <v>1</v>
          </cell>
          <cell r="E1870" t="str">
            <v>Boquilla</v>
          </cell>
          <cell r="H1870" t="str">
            <v>consulta_externa</v>
          </cell>
          <cell r="J1870" t="str">
            <v>bueno</v>
          </cell>
          <cell r="K1870" t="str">
            <v>defsi</v>
          </cell>
        </row>
        <row r="1871">
          <cell r="B1871" t="b">
            <v>1</v>
          </cell>
          <cell r="E1871" t="str">
            <v>Boquilla</v>
          </cell>
          <cell r="H1871" t="str">
            <v>consulta_externa</v>
          </cell>
          <cell r="J1871" t="str">
            <v>bueno</v>
          </cell>
          <cell r="K1871" t="str">
            <v>defsi</v>
          </cell>
        </row>
        <row r="1872">
          <cell r="B1872" t="b">
            <v>1</v>
          </cell>
          <cell r="E1872" t="str">
            <v>Boquilla</v>
          </cell>
          <cell r="H1872" t="str">
            <v>salud_oral</v>
          </cell>
          <cell r="J1872" t="str">
            <v>bueno</v>
          </cell>
          <cell r="K1872" t="str">
            <v>defsi</v>
          </cell>
        </row>
        <row r="1873">
          <cell r="B1873" t="b">
            <v>1</v>
          </cell>
          <cell r="E1873" t="str">
            <v>Boquilla</v>
          </cell>
          <cell r="H1873" t="str">
            <v>laboratorio</v>
          </cell>
          <cell r="J1873" t="str">
            <v>bueno</v>
          </cell>
          <cell r="K1873" t="str">
            <v>defsi</v>
          </cell>
        </row>
        <row r="1874">
          <cell r="B1874" t="b">
            <v>1</v>
          </cell>
          <cell r="E1874" t="str">
            <v>Boquilla</v>
          </cell>
          <cell r="H1874" t="str">
            <v>urgencia</v>
          </cell>
          <cell r="J1874" t="str">
            <v>bueno</v>
          </cell>
          <cell r="K1874" t="str">
            <v>defsi</v>
          </cell>
        </row>
        <row r="1875">
          <cell r="B1875" t="b">
            <v>1</v>
          </cell>
          <cell r="E1875" t="str">
            <v>Boquilla</v>
          </cell>
          <cell r="H1875" t="str">
            <v>consulta_externa</v>
          </cell>
          <cell r="J1875" t="str">
            <v>bueno</v>
          </cell>
          <cell r="K1875" t="str">
            <v>defsi</v>
          </cell>
        </row>
        <row r="1876">
          <cell r="B1876" t="b">
            <v>1</v>
          </cell>
          <cell r="E1876" t="str">
            <v>Boquilla</v>
          </cell>
          <cell r="H1876" t="str">
            <v>salud_oral</v>
          </cell>
          <cell r="J1876" t="str">
            <v>bueno</v>
          </cell>
          <cell r="K1876" t="str">
            <v>defsi</v>
          </cell>
        </row>
        <row r="1877">
          <cell r="B1877" t="b">
            <v>1</v>
          </cell>
          <cell r="E1877" t="str">
            <v>Boquilla</v>
          </cell>
          <cell r="H1877" t="str">
            <v>laboratorio</v>
          </cell>
          <cell r="J1877" t="str">
            <v>bueno</v>
          </cell>
          <cell r="K1877" t="str">
            <v>defsi</v>
          </cell>
        </row>
        <row r="1878">
          <cell r="B1878" t="b">
            <v>1</v>
          </cell>
          <cell r="E1878" t="str">
            <v>Boquilla</v>
          </cell>
          <cell r="H1878" t="str">
            <v>urgencia</v>
          </cell>
          <cell r="J1878" t="str">
            <v>bueno</v>
          </cell>
          <cell r="K1878" t="str">
            <v>defsi</v>
          </cell>
        </row>
        <row r="1879">
          <cell r="B1879" t="b">
            <v>1</v>
          </cell>
          <cell r="E1879" t="str">
            <v>Boquilla</v>
          </cell>
          <cell r="H1879" t="str">
            <v>consulta_externa</v>
          </cell>
          <cell r="J1879" t="str">
            <v>bueno</v>
          </cell>
          <cell r="K1879" t="str">
            <v>defsi</v>
          </cell>
        </row>
        <row r="1880">
          <cell r="B1880" t="b">
            <v>1</v>
          </cell>
          <cell r="E1880" t="str">
            <v>Boquilla</v>
          </cell>
          <cell r="H1880" t="str">
            <v>salud_oral</v>
          </cell>
          <cell r="J1880" t="str">
            <v>bueno</v>
          </cell>
          <cell r="K1880" t="str">
            <v>defsi</v>
          </cell>
        </row>
        <row r="1881">
          <cell r="B1881" t="b">
            <v>1</v>
          </cell>
          <cell r="E1881" t="str">
            <v>Arroz Barato</v>
          </cell>
          <cell r="H1881" t="str">
            <v>urgencia</v>
          </cell>
          <cell r="J1881" t="str">
            <v>bueno</v>
          </cell>
          <cell r="K1881" t="str">
            <v>defsi</v>
          </cell>
        </row>
        <row r="1882">
          <cell r="B1882" t="b">
            <v>1</v>
          </cell>
          <cell r="E1882" t="str">
            <v>Arroz Barato</v>
          </cell>
          <cell r="H1882" t="str">
            <v>urgencia</v>
          </cell>
          <cell r="J1882" t="str">
            <v>bueno</v>
          </cell>
          <cell r="K1882" t="str">
            <v>defsi</v>
          </cell>
        </row>
        <row r="1883">
          <cell r="B1883" t="b">
            <v>1</v>
          </cell>
          <cell r="E1883" t="str">
            <v>Boquilla</v>
          </cell>
          <cell r="H1883" t="str">
            <v>laboratorio</v>
          </cell>
          <cell r="J1883" t="str">
            <v>bueno</v>
          </cell>
          <cell r="K1883" t="str">
            <v>defsi</v>
          </cell>
        </row>
        <row r="1884">
          <cell r="B1884" t="b">
            <v>1</v>
          </cell>
          <cell r="E1884" t="str">
            <v>Arroz Barato</v>
          </cell>
          <cell r="H1884" t="str">
            <v>urgencia</v>
          </cell>
          <cell r="J1884" t="str">
            <v>bueno</v>
          </cell>
          <cell r="K1884" t="str">
            <v>defsi</v>
          </cell>
        </row>
        <row r="1885">
          <cell r="B1885" t="b">
            <v>0</v>
          </cell>
          <cell r="E1885" t="str">
            <v>Arroz Barato</v>
          </cell>
          <cell r="H1885" t="str">
            <v>laboratorio</v>
          </cell>
          <cell r="J1885" t="str">
            <v>regular</v>
          </cell>
          <cell r="K1885" t="str">
            <v>probno</v>
          </cell>
        </row>
        <row r="1886">
          <cell r="B1886" t="b">
            <v>1</v>
          </cell>
          <cell r="E1886" t="str">
            <v>Boquilla</v>
          </cell>
          <cell r="H1886" t="str">
            <v>urgencia</v>
          </cell>
          <cell r="J1886" t="str">
            <v>bueno</v>
          </cell>
          <cell r="K1886" t="str">
            <v>defsi</v>
          </cell>
        </row>
        <row r="1887">
          <cell r="B1887" t="b">
            <v>0</v>
          </cell>
          <cell r="E1887" t="str">
            <v>Arroz Barato</v>
          </cell>
          <cell r="H1887" t="str">
            <v>laboratorio</v>
          </cell>
          <cell r="J1887" t="str">
            <v>regular</v>
          </cell>
          <cell r="K1887" t="str">
            <v>probsi</v>
          </cell>
        </row>
        <row r="1888">
          <cell r="B1888" t="b">
            <v>1</v>
          </cell>
          <cell r="E1888" t="str">
            <v>Arroz Barato</v>
          </cell>
          <cell r="H1888" t="str">
            <v>laboratorio</v>
          </cell>
          <cell r="J1888" t="str">
            <v>bueno</v>
          </cell>
          <cell r="K1888" t="str">
            <v>defsi</v>
          </cell>
        </row>
        <row r="1889">
          <cell r="B1889" t="b">
            <v>1</v>
          </cell>
          <cell r="E1889" t="str">
            <v>Arroz Barato</v>
          </cell>
          <cell r="H1889" t="str">
            <v>salud_oral</v>
          </cell>
          <cell r="J1889" t="str">
            <v>bueno</v>
          </cell>
          <cell r="K1889" t="str">
            <v>defsi</v>
          </cell>
        </row>
        <row r="1890">
          <cell r="B1890" t="b">
            <v>1</v>
          </cell>
          <cell r="E1890" t="str">
            <v>Boquilla</v>
          </cell>
          <cell r="H1890" t="str">
            <v>consulta_externa</v>
          </cell>
          <cell r="J1890" t="str">
            <v>bueno</v>
          </cell>
          <cell r="K1890" t="str">
            <v>defsi</v>
          </cell>
        </row>
        <row r="1891">
          <cell r="B1891" t="b">
            <v>1</v>
          </cell>
          <cell r="E1891" t="str">
            <v>Boquilla</v>
          </cell>
          <cell r="H1891" t="str">
            <v>salud_oral</v>
          </cell>
          <cell r="J1891" t="str">
            <v>bueno</v>
          </cell>
          <cell r="K1891" t="str">
            <v>defsi</v>
          </cell>
        </row>
        <row r="1892">
          <cell r="B1892" t="b">
            <v>1</v>
          </cell>
          <cell r="E1892" t="str">
            <v>Boquilla</v>
          </cell>
          <cell r="H1892" t="str">
            <v>laboratorio</v>
          </cell>
          <cell r="J1892" t="str">
            <v>bueno</v>
          </cell>
          <cell r="K1892" t="str">
            <v>defsi</v>
          </cell>
        </row>
        <row r="1893">
          <cell r="B1893" t="b">
            <v>1</v>
          </cell>
          <cell r="E1893" t="str">
            <v>Boquilla</v>
          </cell>
          <cell r="H1893" t="str">
            <v>urgencia</v>
          </cell>
          <cell r="J1893" t="str">
            <v>bueno</v>
          </cell>
          <cell r="K1893" t="str">
            <v>defsi</v>
          </cell>
        </row>
        <row r="1894">
          <cell r="B1894" t="b">
            <v>1</v>
          </cell>
          <cell r="E1894" t="str">
            <v>Boquilla</v>
          </cell>
          <cell r="H1894" t="str">
            <v>consulta_externa</v>
          </cell>
          <cell r="J1894" t="str">
            <v>bueno</v>
          </cell>
          <cell r="K1894" t="str">
            <v>defsi</v>
          </cell>
        </row>
        <row r="1895">
          <cell r="B1895" t="b">
            <v>1</v>
          </cell>
          <cell r="E1895" t="str">
            <v>Blasdelezo</v>
          </cell>
          <cell r="H1895" t="str">
            <v>urgencia</v>
          </cell>
          <cell r="J1895" t="str">
            <v>bueno</v>
          </cell>
          <cell r="K1895" t="str">
            <v>probsi</v>
          </cell>
        </row>
        <row r="1896">
          <cell r="B1896" t="b">
            <v>1</v>
          </cell>
          <cell r="E1896" t="str">
            <v>Blasdelezo</v>
          </cell>
          <cell r="H1896" t="str">
            <v>urgencia</v>
          </cell>
          <cell r="J1896" t="str">
            <v>bueno</v>
          </cell>
          <cell r="K1896" t="str">
            <v>probsi</v>
          </cell>
        </row>
        <row r="1897">
          <cell r="B1897" t="b">
            <v>1</v>
          </cell>
          <cell r="E1897" t="str">
            <v>Blasdelezo</v>
          </cell>
          <cell r="H1897" t="str">
            <v>urgencia</v>
          </cell>
          <cell r="J1897" t="str">
            <v>bueno</v>
          </cell>
          <cell r="K1897" t="str">
            <v>probsi</v>
          </cell>
        </row>
        <row r="1898">
          <cell r="B1898" t="b">
            <v>1</v>
          </cell>
          <cell r="E1898" t="str">
            <v>Blasdelezo</v>
          </cell>
          <cell r="H1898" t="str">
            <v>urgencia</v>
          </cell>
          <cell r="J1898" t="str">
            <v>bueno</v>
          </cell>
          <cell r="K1898" t="str">
            <v>probsi</v>
          </cell>
        </row>
        <row r="1899">
          <cell r="B1899" t="b">
            <v>1</v>
          </cell>
          <cell r="E1899" t="str">
            <v>Blasdelezo</v>
          </cell>
          <cell r="H1899" t="str">
            <v>urgencia</v>
          </cell>
          <cell r="J1899" t="str">
            <v>bueno</v>
          </cell>
          <cell r="K1899" t="str">
            <v>probsi</v>
          </cell>
        </row>
        <row r="1900">
          <cell r="B1900" t="b">
            <v>1</v>
          </cell>
          <cell r="E1900" t="str">
            <v>Blasdelezo</v>
          </cell>
          <cell r="H1900" t="str">
            <v>urgencia</v>
          </cell>
          <cell r="J1900" t="str">
            <v>bueno</v>
          </cell>
          <cell r="K1900" t="str">
            <v>probsi</v>
          </cell>
        </row>
        <row r="1901">
          <cell r="B1901" t="b">
            <v>1</v>
          </cell>
          <cell r="E1901" t="str">
            <v>Blasdelezo</v>
          </cell>
          <cell r="H1901" t="str">
            <v>urgencia</v>
          </cell>
          <cell r="J1901" t="str">
            <v>bueno</v>
          </cell>
          <cell r="K1901" t="str">
            <v>probsi</v>
          </cell>
        </row>
        <row r="1902">
          <cell r="B1902" t="b">
            <v>1</v>
          </cell>
          <cell r="E1902" t="str">
            <v>Blasdelezo</v>
          </cell>
          <cell r="H1902" t="str">
            <v>urgencia</v>
          </cell>
          <cell r="J1902" t="str">
            <v>bueno</v>
          </cell>
          <cell r="K1902" t="str">
            <v>probsi</v>
          </cell>
        </row>
        <row r="1903">
          <cell r="B1903" t="b">
            <v>1</v>
          </cell>
          <cell r="E1903" t="str">
            <v>Blasdelezo</v>
          </cell>
          <cell r="H1903" t="str">
            <v>urgencia</v>
          </cell>
          <cell r="J1903" t="str">
            <v>bueno</v>
          </cell>
          <cell r="K1903" t="str">
            <v>probsi</v>
          </cell>
        </row>
        <row r="1904">
          <cell r="B1904" t="b">
            <v>1</v>
          </cell>
          <cell r="E1904" t="str">
            <v>Blasdelezo</v>
          </cell>
          <cell r="H1904" t="str">
            <v>urgencia</v>
          </cell>
          <cell r="J1904" t="str">
            <v>bueno</v>
          </cell>
          <cell r="K1904" t="str">
            <v>probsi</v>
          </cell>
        </row>
        <row r="1905">
          <cell r="B1905" t="b">
            <v>1</v>
          </cell>
          <cell r="E1905" t="str">
            <v>Blasdelezo</v>
          </cell>
          <cell r="H1905" t="str">
            <v>urgencia</v>
          </cell>
          <cell r="J1905" t="str">
            <v>bueno</v>
          </cell>
          <cell r="K1905" t="str">
            <v>probsi</v>
          </cell>
        </row>
        <row r="1906">
          <cell r="B1906" t="b">
            <v>1</v>
          </cell>
          <cell r="E1906" t="str">
            <v>Boquilla</v>
          </cell>
          <cell r="H1906" t="str">
            <v>salud_oral</v>
          </cell>
          <cell r="J1906" t="str">
            <v>bueno</v>
          </cell>
          <cell r="K1906" t="str">
            <v>defsi</v>
          </cell>
        </row>
        <row r="1907">
          <cell r="B1907" t="b">
            <v>1</v>
          </cell>
          <cell r="E1907" t="str">
            <v>Boquilla</v>
          </cell>
          <cell r="H1907" t="str">
            <v>laboratorio</v>
          </cell>
          <cell r="J1907" t="str">
            <v>bueno</v>
          </cell>
          <cell r="K1907" t="str">
            <v>defsi</v>
          </cell>
        </row>
        <row r="1908">
          <cell r="B1908" t="b">
            <v>1</v>
          </cell>
          <cell r="E1908" t="str">
            <v>Boquilla</v>
          </cell>
          <cell r="H1908" t="str">
            <v>urgencia</v>
          </cell>
          <cell r="J1908" t="str">
            <v>bueno</v>
          </cell>
          <cell r="K1908" t="str">
            <v>defsi</v>
          </cell>
        </row>
        <row r="1909">
          <cell r="B1909" t="b">
            <v>1</v>
          </cell>
          <cell r="E1909" t="str">
            <v>Boquilla</v>
          </cell>
          <cell r="H1909" t="str">
            <v>consulta_externa</v>
          </cell>
          <cell r="J1909" t="str">
            <v>bueno</v>
          </cell>
          <cell r="K1909" t="str">
            <v>defsi</v>
          </cell>
        </row>
        <row r="1910">
          <cell r="B1910" t="b">
            <v>1</v>
          </cell>
          <cell r="E1910" t="str">
            <v>Boquilla</v>
          </cell>
          <cell r="H1910" t="str">
            <v>salud_oral</v>
          </cell>
          <cell r="J1910" t="str">
            <v>bueno</v>
          </cell>
          <cell r="K1910" t="str">
            <v>defsi</v>
          </cell>
        </row>
        <row r="1911">
          <cell r="B1911" t="b">
            <v>1</v>
          </cell>
          <cell r="E1911" t="str">
            <v>Boquilla</v>
          </cell>
          <cell r="H1911" t="str">
            <v>laboratorio</v>
          </cell>
          <cell r="J1911" t="str">
            <v>bueno</v>
          </cell>
          <cell r="K1911" t="str">
            <v>defsi</v>
          </cell>
        </row>
        <row r="1912">
          <cell r="B1912" t="b">
            <v>1</v>
          </cell>
          <cell r="E1912" t="str">
            <v>Boquilla</v>
          </cell>
          <cell r="H1912" t="str">
            <v>urgencia</v>
          </cell>
          <cell r="J1912" t="str">
            <v>bueno</v>
          </cell>
          <cell r="K1912" t="str">
            <v>defsi</v>
          </cell>
        </row>
        <row r="1913">
          <cell r="B1913" t="b">
            <v>1</v>
          </cell>
          <cell r="E1913" t="str">
            <v>Boquilla</v>
          </cell>
          <cell r="H1913" t="str">
            <v>consulta_externa</v>
          </cell>
          <cell r="J1913" t="str">
            <v>bueno</v>
          </cell>
          <cell r="K1913" t="str">
            <v>defsi</v>
          </cell>
        </row>
        <row r="1914">
          <cell r="B1914" t="b">
            <v>1</v>
          </cell>
          <cell r="E1914" t="str">
            <v>Boquilla</v>
          </cell>
          <cell r="H1914" t="str">
            <v>salud_oral</v>
          </cell>
          <cell r="J1914" t="str">
            <v>bueno</v>
          </cell>
          <cell r="K1914" t="str">
            <v>defsi</v>
          </cell>
        </row>
        <row r="1915">
          <cell r="B1915" t="b">
            <v>1</v>
          </cell>
          <cell r="E1915" t="str">
            <v>Boquilla</v>
          </cell>
          <cell r="H1915" t="str">
            <v>laboratorio</v>
          </cell>
          <cell r="J1915" t="str">
            <v>bueno</v>
          </cell>
          <cell r="K1915" t="str">
            <v>defsi</v>
          </cell>
        </row>
        <row r="1916">
          <cell r="B1916" t="b">
            <v>1</v>
          </cell>
          <cell r="E1916" t="str">
            <v>Boquilla</v>
          </cell>
          <cell r="H1916" t="str">
            <v>urgencia</v>
          </cell>
          <cell r="J1916" t="str">
            <v>bueno</v>
          </cell>
          <cell r="K1916" t="str">
            <v>defsi</v>
          </cell>
        </row>
        <row r="1917">
          <cell r="B1917" t="b">
            <v>1</v>
          </cell>
          <cell r="E1917" t="str">
            <v>Arroz Barato</v>
          </cell>
          <cell r="H1917" t="str">
            <v>salud_oral</v>
          </cell>
          <cell r="J1917" t="str">
            <v>bueno</v>
          </cell>
          <cell r="K1917" t="str">
            <v>defsi</v>
          </cell>
        </row>
        <row r="1918">
          <cell r="B1918" t="b">
            <v>1</v>
          </cell>
          <cell r="E1918" t="str">
            <v>Arroz Barato</v>
          </cell>
          <cell r="H1918" t="str">
            <v>salud_oral</v>
          </cell>
          <cell r="J1918" t="str">
            <v>bueno</v>
          </cell>
          <cell r="K1918" t="str">
            <v>defsi</v>
          </cell>
        </row>
        <row r="1919">
          <cell r="B1919" t="b">
            <v>1</v>
          </cell>
          <cell r="E1919" t="str">
            <v>Arroz Barato</v>
          </cell>
          <cell r="H1919" t="str">
            <v>salud_oral</v>
          </cell>
          <cell r="J1919" t="str">
            <v>bueno</v>
          </cell>
          <cell r="K1919" t="str">
            <v>defsi</v>
          </cell>
        </row>
        <row r="1920">
          <cell r="B1920" t="b">
            <v>1</v>
          </cell>
          <cell r="E1920" t="str">
            <v>Arroz Barato</v>
          </cell>
          <cell r="H1920" t="str">
            <v>salud_oral</v>
          </cell>
          <cell r="J1920" t="str">
            <v>bueno</v>
          </cell>
          <cell r="K1920" t="str">
            <v>defsi</v>
          </cell>
        </row>
        <row r="1921">
          <cell r="B1921" t="b">
            <v>1</v>
          </cell>
          <cell r="E1921" t="str">
            <v>Arroz Barato</v>
          </cell>
          <cell r="H1921" t="str">
            <v>salud_oral</v>
          </cell>
          <cell r="J1921" t="str">
            <v>bueno</v>
          </cell>
          <cell r="K1921" t="str">
            <v>defsi</v>
          </cell>
        </row>
        <row r="1922">
          <cell r="B1922" t="b">
            <v>1</v>
          </cell>
          <cell r="E1922" t="str">
            <v>Boquilla</v>
          </cell>
          <cell r="H1922" t="str">
            <v>consulta_externa</v>
          </cell>
          <cell r="J1922" t="str">
            <v>bueno</v>
          </cell>
          <cell r="K1922" t="str">
            <v>defsi</v>
          </cell>
        </row>
        <row r="1923">
          <cell r="B1923" t="b">
            <v>1</v>
          </cell>
          <cell r="E1923" t="str">
            <v>Arroz Barato</v>
          </cell>
          <cell r="H1923" t="str">
            <v>salud_oral</v>
          </cell>
          <cell r="J1923" t="str">
            <v>muybueno</v>
          </cell>
          <cell r="K1923" t="str">
            <v>defsi</v>
          </cell>
        </row>
        <row r="1924">
          <cell r="B1924" t="b">
            <v>1</v>
          </cell>
          <cell r="E1924" t="str">
            <v>Arroz Barato</v>
          </cell>
          <cell r="H1924" t="str">
            <v>salud_oral</v>
          </cell>
          <cell r="J1924" t="str">
            <v>bueno</v>
          </cell>
          <cell r="K1924" t="str">
            <v>defsi</v>
          </cell>
        </row>
        <row r="1925">
          <cell r="B1925" t="b">
            <v>1</v>
          </cell>
          <cell r="E1925" t="str">
            <v>Arroz Barato</v>
          </cell>
          <cell r="H1925" t="str">
            <v>urgencia</v>
          </cell>
          <cell r="J1925" t="str">
            <v>bueno</v>
          </cell>
          <cell r="K1925" t="str">
            <v>defsi</v>
          </cell>
        </row>
        <row r="1926">
          <cell r="B1926" t="b">
            <v>0</v>
          </cell>
          <cell r="E1926" t="str">
            <v>Arroz Barato</v>
          </cell>
          <cell r="H1926" t="str">
            <v>urgencia</v>
          </cell>
          <cell r="J1926" t="str">
            <v>regular</v>
          </cell>
          <cell r="K1926" t="str">
            <v>probsi</v>
          </cell>
        </row>
        <row r="1927">
          <cell r="B1927" t="b">
            <v>1</v>
          </cell>
          <cell r="E1927" t="str">
            <v>Arroz Barato</v>
          </cell>
          <cell r="H1927" t="str">
            <v>urgencia</v>
          </cell>
          <cell r="J1927" t="str">
            <v>bueno</v>
          </cell>
          <cell r="K1927" t="str">
            <v>defsi</v>
          </cell>
        </row>
        <row r="1928">
          <cell r="B1928" t="b">
            <v>0</v>
          </cell>
          <cell r="E1928" t="str">
            <v>Arroz Barato</v>
          </cell>
          <cell r="H1928" t="str">
            <v>urgencia</v>
          </cell>
          <cell r="J1928" t="str">
            <v>regular</v>
          </cell>
          <cell r="K1928" t="str">
            <v>defsi</v>
          </cell>
        </row>
        <row r="1929">
          <cell r="B1929" t="b">
            <v>1</v>
          </cell>
          <cell r="E1929" t="str">
            <v>Boquilla</v>
          </cell>
          <cell r="H1929" t="str">
            <v>salud_oral</v>
          </cell>
          <cell r="J1929" t="str">
            <v>bueno</v>
          </cell>
          <cell r="K1929" t="str">
            <v>defsi</v>
          </cell>
        </row>
        <row r="1930">
          <cell r="B1930" t="b">
            <v>1</v>
          </cell>
          <cell r="E1930" t="str">
            <v>Arroz Barato</v>
          </cell>
          <cell r="H1930" t="str">
            <v>urgencia</v>
          </cell>
          <cell r="J1930" t="str">
            <v>bueno</v>
          </cell>
          <cell r="K1930" t="str">
            <v>defsi</v>
          </cell>
        </row>
        <row r="1931">
          <cell r="B1931" t="b">
            <v>1</v>
          </cell>
          <cell r="E1931" t="str">
            <v>Arroz Barato</v>
          </cell>
          <cell r="H1931" t="str">
            <v>urgencia</v>
          </cell>
          <cell r="J1931" t="str">
            <v>bueno</v>
          </cell>
          <cell r="K1931" t="str">
            <v>defsi</v>
          </cell>
        </row>
        <row r="1932">
          <cell r="B1932" t="b">
            <v>1</v>
          </cell>
          <cell r="E1932" t="str">
            <v>Boquilla</v>
          </cell>
          <cell r="H1932" t="str">
            <v>laboratorio</v>
          </cell>
          <cell r="J1932" t="str">
            <v>bueno</v>
          </cell>
          <cell r="K1932" t="str">
            <v>defsi</v>
          </cell>
        </row>
        <row r="1933">
          <cell r="B1933" t="b">
            <v>1</v>
          </cell>
          <cell r="E1933" t="str">
            <v>Arroz Barato</v>
          </cell>
          <cell r="H1933" t="str">
            <v>urgencia</v>
          </cell>
          <cell r="J1933" t="str">
            <v>bueno</v>
          </cell>
          <cell r="K1933" t="str">
            <v>defsi</v>
          </cell>
        </row>
        <row r="1934">
          <cell r="B1934" t="b">
            <v>1</v>
          </cell>
          <cell r="E1934" t="str">
            <v>Boquilla</v>
          </cell>
          <cell r="H1934" t="str">
            <v>urgencia</v>
          </cell>
          <cell r="J1934" t="str">
            <v>bueno</v>
          </cell>
          <cell r="K1934" t="str">
            <v>defsi</v>
          </cell>
        </row>
        <row r="1935">
          <cell r="B1935" t="b">
            <v>0</v>
          </cell>
          <cell r="E1935" t="str">
            <v>Arroz Barato</v>
          </cell>
          <cell r="H1935" t="str">
            <v>urgencia</v>
          </cell>
          <cell r="J1935" t="str">
            <v>regular</v>
          </cell>
          <cell r="K1935" t="str">
            <v>defsi</v>
          </cell>
        </row>
        <row r="1936">
          <cell r="B1936" t="b">
            <v>1</v>
          </cell>
          <cell r="E1936" t="str">
            <v>Arroz Barato</v>
          </cell>
          <cell r="H1936" t="str">
            <v>salud_oral</v>
          </cell>
          <cell r="J1936" t="str">
            <v>bueno</v>
          </cell>
          <cell r="K1936" t="str">
            <v>defsi</v>
          </cell>
        </row>
        <row r="1937">
          <cell r="B1937" t="b">
            <v>1</v>
          </cell>
          <cell r="E1937" t="str">
            <v>Arroz Barato</v>
          </cell>
          <cell r="H1937" t="str">
            <v>salud_oral</v>
          </cell>
          <cell r="J1937" t="str">
            <v>bueno</v>
          </cell>
          <cell r="K1937" t="str">
            <v>defsi</v>
          </cell>
        </row>
        <row r="1938">
          <cell r="B1938" t="b">
            <v>1</v>
          </cell>
          <cell r="E1938" t="str">
            <v>Arroyo Grande</v>
          </cell>
          <cell r="H1938" t="str">
            <v>salud_oral</v>
          </cell>
          <cell r="J1938" t="str">
            <v>bueno</v>
          </cell>
          <cell r="K1938" t="str">
            <v>probsi</v>
          </cell>
        </row>
        <row r="1939">
          <cell r="B1939" t="b">
            <v>1</v>
          </cell>
          <cell r="E1939" t="str">
            <v>Arroyo Grande</v>
          </cell>
          <cell r="H1939" t="str">
            <v>salud_oral</v>
          </cell>
          <cell r="J1939" t="str">
            <v>bueno</v>
          </cell>
          <cell r="K1939" t="str">
            <v>probsi</v>
          </cell>
        </row>
        <row r="1940">
          <cell r="B1940" t="b">
            <v>1</v>
          </cell>
          <cell r="E1940" t="str">
            <v>Arroyo Grande</v>
          </cell>
          <cell r="H1940" t="str">
            <v>salud_oral</v>
          </cell>
          <cell r="J1940" t="str">
            <v>bueno</v>
          </cell>
          <cell r="K1940" t="str">
            <v>probsi</v>
          </cell>
        </row>
        <row r="1941">
          <cell r="B1941" t="b">
            <v>1</v>
          </cell>
          <cell r="E1941" t="str">
            <v>Arroyo Grande</v>
          </cell>
          <cell r="H1941" t="str">
            <v>salud_oral</v>
          </cell>
          <cell r="J1941" t="str">
            <v>bueno</v>
          </cell>
          <cell r="K1941" t="str">
            <v>probsi</v>
          </cell>
        </row>
        <row r="1942">
          <cell r="B1942" t="b">
            <v>1</v>
          </cell>
          <cell r="E1942" t="str">
            <v>Arroyo Grande</v>
          </cell>
          <cell r="H1942" t="str">
            <v>salud_oral</v>
          </cell>
          <cell r="J1942" t="str">
            <v>bueno</v>
          </cell>
          <cell r="K1942" t="str">
            <v>probsi</v>
          </cell>
        </row>
        <row r="1943">
          <cell r="B1943" t="b">
            <v>1</v>
          </cell>
          <cell r="E1943" t="str">
            <v>Arroyo Grande</v>
          </cell>
          <cell r="H1943" t="str">
            <v>salud_oral</v>
          </cell>
          <cell r="J1943" t="str">
            <v>bueno</v>
          </cell>
          <cell r="K1943" t="str">
            <v>probsi</v>
          </cell>
        </row>
        <row r="1944">
          <cell r="B1944" t="b">
            <v>1</v>
          </cell>
          <cell r="E1944" t="str">
            <v>Boquilla</v>
          </cell>
          <cell r="H1944" t="str">
            <v>consulta_externa</v>
          </cell>
          <cell r="J1944" t="str">
            <v>bueno</v>
          </cell>
          <cell r="K1944" t="str">
            <v>defsi</v>
          </cell>
        </row>
        <row r="1945">
          <cell r="B1945" t="b">
            <v>1</v>
          </cell>
          <cell r="E1945" t="str">
            <v>Boquilla</v>
          </cell>
          <cell r="H1945" t="str">
            <v>salud_oral</v>
          </cell>
          <cell r="J1945" t="str">
            <v>bueno</v>
          </cell>
          <cell r="K1945" t="str">
            <v>defsi</v>
          </cell>
        </row>
        <row r="1946">
          <cell r="B1946" t="b">
            <v>1</v>
          </cell>
          <cell r="E1946" t="str">
            <v>Boquilla</v>
          </cell>
          <cell r="H1946" t="str">
            <v>laboratorio</v>
          </cell>
          <cell r="J1946" t="str">
            <v>bueno</v>
          </cell>
          <cell r="K1946" t="str">
            <v>defsi</v>
          </cell>
        </row>
        <row r="1947">
          <cell r="B1947" t="b">
            <v>1</v>
          </cell>
          <cell r="E1947" t="str">
            <v>Boquilla</v>
          </cell>
          <cell r="H1947" t="str">
            <v>urgencia</v>
          </cell>
          <cell r="J1947" t="str">
            <v>bueno</v>
          </cell>
          <cell r="K1947" t="str">
            <v>defsi</v>
          </cell>
        </row>
        <row r="1948">
          <cell r="B1948" t="b">
            <v>1</v>
          </cell>
          <cell r="E1948" t="str">
            <v>Boquilla</v>
          </cell>
          <cell r="H1948" t="str">
            <v>consulta_externa</v>
          </cell>
          <cell r="J1948" t="str">
            <v>bueno</v>
          </cell>
          <cell r="K1948" t="str">
            <v>defsi</v>
          </cell>
        </row>
        <row r="1949">
          <cell r="B1949" t="b">
            <v>1</v>
          </cell>
          <cell r="E1949" t="str">
            <v>Boquilla</v>
          </cell>
          <cell r="H1949" t="str">
            <v>salud_oral</v>
          </cell>
          <cell r="J1949" t="str">
            <v>bueno</v>
          </cell>
          <cell r="K1949" t="str">
            <v>defsi</v>
          </cell>
        </row>
        <row r="1950">
          <cell r="B1950" t="b">
            <v>1</v>
          </cell>
          <cell r="E1950" t="str">
            <v>Boquilla</v>
          </cell>
          <cell r="H1950" t="str">
            <v>laboratorio</v>
          </cell>
          <cell r="J1950" t="str">
            <v>bueno</v>
          </cell>
          <cell r="K1950" t="str">
            <v>defsi</v>
          </cell>
        </row>
        <row r="1951">
          <cell r="B1951" t="b">
            <v>1</v>
          </cell>
          <cell r="E1951" t="str">
            <v>Boquilla</v>
          </cell>
          <cell r="H1951" t="str">
            <v>urgencia</v>
          </cell>
          <cell r="J1951" t="str">
            <v>bueno</v>
          </cell>
          <cell r="K1951" t="str">
            <v>defsi</v>
          </cell>
        </row>
        <row r="1952">
          <cell r="B1952" t="b">
            <v>1</v>
          </cell>
          <cell r="E1952" t="str">
            <v>Boquilla</v>
          </cell>
          <cell r="H1952" t="str">
            <v>consulta_externa</v>
          </cell>
          <cell r="J1952" t="str">
            <v>bueno</v>
          </cell>
          <cell r="K1952" t="str">
            <v>defsi</v>
          </cell>
        </row>
        <row r="1953">
          <cell r="B1953" t="b">
            <v>1</v>
          </cell>
          <cell r="E1953" t="str">
            <v>Boquilla</v>
          </cell>
          <cell r="H1953" t="str">
            <v>salud_oral</v>
          </cell>
          <cell r="J1953" t="str">
            <v>bueno</v>
          </cell>
          <cell r="K1953" t="str">
            <v>defsi</v>
          </cell>
        </row>
        <row r="1954">
          <cell r="B1954" t="b">
            <v>1</v>
          </cell>
          <cell r="E1954" t="str">
            <v>Boquilla</v>
          </cell>
          <cell r="H1954" t="str">
            <v>laboratorio</v>
          </cell>
          <cell r="J1954" t="str">
            <v>bueno</v>
          </cell>
          <cell r="K1954" t="str">
            <v>defsi</v>
          </cell>
        </row>
        <row r="1955">
          <cell r="B1955" t="b">
            <v>1</v>
          </cell>
          <cell r="E1955" t="str">
            <v>Islote de San Bernardo</v>
          </cell>
          <cell r="H1955" t="str">
            <v>consulta_externa</v>
          </cell>
          <cell r="J1955" t="str">
            <v>bueno</v>
          </cell>
          <cell r="K1955" t="str">
            <v>defsi</v>
          </cell>
        </row>
        <row r="1956">
          <cell r="B1956" t="b">
            <v>1</v>
          </cell>
          <cell r="E1956" t="str">
            <v>Islote de San Bernardo</v>
          </cell>
          <cell r="H1956" t="str">
            <v>salud_oral</v>
          </cell>
          <cell r="J1956" t="str">
            <v>bueno</v>
          </cell>
          <cell r="K1956" t="str">
            <v>defsi</v>
          </cell>
        </row>
        <row r="1957">
          <cell r="B1957" t="b">
            <v>1</v>
          </cell>
          <cell r="E1957" t="str">
            <v>Islote de San Bernardo</v>
          </cell>
          <cell r="H1957" t="str">
            <v>laboratorio</v>
          </cell>
          <cell r="J1957" t="str">
            <v>bueno</v>
          </cell>
          <cell r="K1957" t="str">
            <v>defsi</v>
          </cell>
        </row>
        <row r="1958">
          <cell r="B1958" t="b">
            <v>1</v>
          </cell>
          <cell r="E1958" t="str">
            <v>Islote de San Bernardo</v>
          </cell>
          <cell r="H1958" t="str">
            <v>consulta_externa</v>
          </cell>
          <cell r="J1958" t="str">
            <v>bueno</v>
          </cell>
          <cell r="K1958" t="str">
            <v>defsi</v>
          </cell>
        </row>
        <row r="1959">
          <cell r="B1959" t="b">
            <v>1</v>
          </cell>
          <cell r="E1959" t="str">
            <v>Islote de San Bernardo</v>
          </cell>
          <cell r="H1959" t="str">
            <v>salud_oral</v>
          </cell>
          <cell r="J1959" t="str">
            <v>bueno</v>
          </cell>
          <cell r="K1959" t="str">
            <v>defsi</v>
          </cell>
        </row>
        <row r="1960">
          <cell r="B1960" t="b">
            <v>1</v>
          </cell>
          <cell r="E1960" t="str">
            <v>Islote de San Bernardo</v>
          </cell>
          <cell r="H1960" t="str">
            <v>laboratorio</v>
          </cell>
          <cell r="J1960" t="str">
            <v>bueno</v>
          </cell>
          <cell r="K1960" t="str">
            <v>defsi</v>
          </cell>
        </row>
        <row r="1961">
          <cell r="B1961" t="b">
            <v>1</v>
          </cell>
          <cell r="E1961" t="str">
            <v>Islote de San Bernardo</v>
          </cell>
          <cell r="H1961" t="str">
            <v>consulta_externa</v>
          </cell>
          <cell r="J1961" t="str">
            <v>bueno</v>
          </cell>
          <cell r="K1961" t="str">
            <v>defsi</v>
          </cell>
        </row>
        <row r="1962">
          <cell r="B1962" t="b">
            <v>1</v>
          </cell>
          <cell r="E1962" t="str">
            <v>Islote de San Bernardo</v>
          </cell>
          <cell r="H1962" t="str">
            <v>salud_oral</v>
          </cell>
          <cell r="J1962" t="str">
            <v>bueno</v>
          </cell>
          <cell r="K1962" t="str">
            <v>defsi</v>
          </cell>
        </row>
        <row r="1963">
          <cell r="B1963" t="b">
            <v>1</v>
          </cell>
          <cell r="E1963" t="str">
            <v>Islote de San Bernardo</v>
          </cell>
          <cell r="H1963" t="str">
            <v>laboratorio</v>
          </cell>
          <cell r="J1963" t="str">
            <v>bueno</v>
          </cell>
          <cell r="K1963" t="str">
            <v>defsi</v>
          </cell>
        </row>
        <row r="1964">
          <cell r="B1964" t="b">
            <v>1</v>
          </cell>
          <cell r="E1964" t="str">
            <v>Puerto Rey</v>
          </cell>
          <cell r="H1964" t="str">
            <v>consulta_externa</v>
          </cell>
          <cell r="J1964" t="str">
            <v>bueno</v>
          </cell>
          <cell r="K1964" t="str">
            <v>probsi</v>
          </cell>
        </row>
        <row r="1965">
          <cell r="B1965" t="b">
            <v>1</v>
          </cell>
          <cell r="E1965" t="str">
            <v>Puerto Rey</v>
          </cell>
          <cell r="H1965" t="str">
            <v>consulta_externa</v>
          </cell>
          <cell r="J1965" t="str">
            <v>bueno</v>
          </cell>
          <cell r="K1965" t="str">
            <v>probsi</v>
          </cell>
        </row>
        <row r="1966">
          <cell r="B1966" t="b">
            <v>1</v>
          </cell>
          <cell r="E1966" t="str">
            <v>Puerto Rey</v>
          </cell>
          <cell r="H1966" t="str">
            <v>consulta_externa</v>
          </cell>
          <cell r="J1966" t="str">
            <v>bueno</v>
          </cell>
          <cell r="K1966" t="str">
            <v>probsi</v>
          </cell>
        </row>
        <row r="1967">
          <cell r="B1967" t="b">
            <v>1</v>
          </cell>
          <cell r="E1967" t="str">
            <v>Puerto Rey</v>
          </cell>
          <cell r="H1967" t="str">
            <v>consulta_externa</v>
          </cell>
          <cell r="J1967" t="str">
            <v>bueno</v>
          </cell>
          <cell r="K1967" t="str">
            <v>probsi</v>
          </cell>
        </row>
        <row r="1968">
          <cell r="B1968" t="b">
            <v>1</v>
          </cell>
          <cell r="E1968" t="str">
            <v>Puerto Rey</v>
          </cell>
          <cell r="H1968" t="str">
            <v>consulta_externa</v>
          </cell>
          <cell r="J1968" t="str">
            <v>bueno</v>
          </cell>
          <cell r="K1968" t="str">
            <v>probsi</v>
          </cell>
        </row>
        <row r="1969">
          <cell r="B1969" t="b">
            <v>1</v>
          </cell>
          <cell r="E1969" t="str">
            <v>Puerto Rey</v>
          </cell>
          <cell r="H1969" t="str">
            <v>consulta_externa</v>
          </cell>
          <cell r="J1969" t="str">
            <v>bueno</v>
          </cell>
          <cell r="K1969" t="str">
            <v>probsi</v>
          </cell>
        </row>
        <row r="1970">
          <cell r="B1970" t="b">
            <v>1</v>
          </cell>
          <cell r="E1970" t="str">
            <v>Puerto Rey</v>
          </cell>
          <cell r="H1970" t="str">
            <v>laboratorio</v>
          </cell>
          <cell r="J1970" t="str">
            <v>bueno</v>
          </cell>
          <cell r="K1970" t="str">
            <v>probsi</v>
          </cell>
        </row>
        <row r="1971">
          <cell r="B1971" t="b">
            <v>1</v>
          </cell>
          <cell r="E1971" t="str">
            <v>Puerto Rey</v>
          </cell>
          <cell r="H1971" t="str">
            <v>laboratorio</v>
          </cell>
          <cell r="J1971" t="str">
            <v>bueno</v>
          </cell>
          <cell r="K1971" t="str">
            <v>probsi</v>
          </cell>
        </row>
        <row r="1972">
          <cell r="B1972" t="b">
            <v>1</v>
          </cell>
          <cell r="E1972" t="str">
            <v>Puerto Rey</v>
          </cell>
          <cell r="H1972" t="str">
            <v>salud_oral</v>
          </cell>
          <cell r="J1972" t="str">
            <v>bueno</v>
          </cell>
          <cell r="K1972" t="str">
            <v>probsi</v>
          </cell>
        </row>
        <row r="1973">
          <cell r="B1973" t="b">
            <v>1</v>
          </cell>
          <cell r="E1973" t="str">
            <v>Puerto Rey</v>
          </cell>
          <cell r="H1973" t="str">
            <v>salud_oral</v>
          </cell>
          <cell r="J1973" t="str">
            <v>bueno</v>
          </cell>
          <cell r="K1973" t="str">
            <v>probsi</v>
          </cell>
        </row>
        <row r="1974">
          <cell r="B1974" t="b">
            <v>1</v>
          </cell>
          <cell r="E1974" t="str">
            <v>Puerto Rey</v>
          </cell>
          <cell r="H1974" t="str">
            <v>salud_oral</v>
          </cell>
          <cell r="J1974" t="str">
            <v>bueno</v>
          </cell>
          <cell r="K1974" t="str">
            <v>probsi</v>
          </cell>
        </row>
        <row r="1975">
          <cell r="B1975" t="b">
            <v>1</v>
          </cell>
          <cell r="E1975" t="str">
            <v>Puerto Rey</v>
          </cell>
          <cell r="H1975" t="str">
            <v>consulta_externa</v>
          </cell>
          <cell r="J1975" t="str">
            <v>bueno</v>
          </cell>
          <cell r="K1975" t="str">
            <v>probsi</v>
          </cell>
        </row>
        <row r="1976">
          <cell r="B1976" t="b">
            <v>1</v>
          </cell>
          <cell r="E1976" t="str">
            <v>Puerto Rey</v>
          </cell>
          <cell r="H1976" t="str">
            <v>consulta_externa</v>
          </cell>
          <cell r="J1976" t="str">
            <v>bueno</v>
          </cell>
          <cell r="K1976" t="str">
            <v>probsi</v>
          </cell>
        </row>
        <row r="1977">
          <cell r="B1977" t="b">
            <v>1</v>
          </cell>
          <cell r="E1977" t="str">
            <v>Puerto Rey</v>
          </cell>
          <cell r="H1977" t="str">
            <v>consulta_externa</v>
          </cell>
          <cell r="J1977" t="str">
            <v>bueno</v>
          </cell>
          <cell r="K1977" t="str">
            <v>probsi</v>
          </cell>
        </row>
        <row r="1978">
          <cell r="B1978" t="b">
            <v>1</v>
          </cell>
          <cell r="E1978" t="str">
            <v>Puerto Rey</v>
          </cell>
          <cell r="H1978" t="str">
            <v>consulta_externa</v>
          </cell>
          <cell r="J1978" t="str">
            <v>bueno</v>
          </cell>
          <cell r="K1978" t="str">
            <v>probsi</v>
          </cell>
        </row>
        <row r="1979">
          <cell r="B1979" t="b">
            <v>1</v>
          </cell>
          <cell r="E1979" t="str">
            <v>Puerto Rey</v>
          </cell>
          <cell r="H1979" t="str">
            <v>laboratorio</v>
          </cell>
          <cell r="J1979" t="str">
            <v>bueno</v>
          </cell>
          <cell r="K1979" t="str">
            <v>probsi</v>
          </cell>
        </row>
        <row r="1980">
          <cell r="B1980" t="b">
            <v>1</v>
          </cell>
          <cell r="E1980" t="str">
            <v>Puerto Rey</v>
          </cell>
          <cell r="H1980" t="str">
            <v>laboratorio</v>
          </cell>
          <cell r="J1980" t="str">
            <v>bueno</v>
          </cell>
          <cell r="K1980" t="str">
            <v>probsi</v>
          </cell>
        </row>
        <row r="1981">
          <cell r="B1981" t="b">
            <v>1</v>
          </cell>
          <cell r="E1981" t="str">
            <v>Puerto Rey</v>
          </cell>
          <cell r="H1981" t="str">
            <v>laboratorio</v>
          </cell>
          <cell r="J1981" t="str">
            <v>bueno</v>
          </cell>
          <cell r="K1981" t="str">
            <v>probsi</v>
          </cell>
        </row>
        <row r="1982">
          <cell r="B1982" t="b">
            <v>1</v>
          </cell>
          <cell r="E1982" t="str">
            <v>Puerto Rey</v>
          </cell>
          <cell r="H1982" t="str">
            <v>laboratorio</v>
          </cell>
          <cell r="J1982" t="str">
            <v>bueno</v>
          </cell>
          <cell r="K1982" t="str">
            <v>probsi</v>
          </cell>
        </row>
        <row r="1983">
          <cell r="B1983" t="b">
            <v>1</v>
          </cell>
          <cell r="E1983" t="str">
            <v>Puerto Rey</v>
          </cell>
          <cell r="H1983" t="str">
            <v>consulta_externa</v>
          </cell>
          <cell r="J1983" t="str">
            <v>bueno</v>
          </cell>
          <cell r="K1983" t="str">
            <v>probsi</v>
          </cell>
        </row>
        <row r="1984">
          <cell r="B1984" t="b">
            <v>1</v>
          </cell>
          <cell r="E1984" t="str">
            <v>Puerto Rey</v>
          </cell>
          <cell r="H1984" t="str">
            <v>consulta_externa</v>
          </cell>
          <cell r="J1984" t="str">
            <v>bueno</v>
          </cell>
          <cell r="K1984" t="str">
            <v>probsi</v>
          </cell>
        </row>
        <row r="1985">
          <cell r="B1985" t="b">
            <v>1</v>
          </cell>
          <cell r="E1985" t="str">
            <v>Puerto Rey</v>
          </cell>
          <cell r="H1985" t="str">
            <v>consulta_externa</v>
          </cell>
          <cell r="J1985" t="str">
            <v>bueno</v>
          </cell>
          <cell r="K1985" t="str">
            <v>probsi</v>
          </cell>
        </row>
        <row r="1986">
          <cell r="B1986" t="b">
            <v>1</v>
          </cell>
          <cell r="E1986" t="str">
            <v>Puerto Rey</v>
          </cell>
          <cell r="H1986" t="str">
            <v>consulta_externa</v>
          </cell>
          <cell r="J1986" t="str">
            <v>bueno</v>
          </cell>
          <cell r="K1986" t="str">
            <v>probsi</v>
          </cell>
        </row>
        <row r="1987">
          <cell r="B1987" t="b">
            <v>1</v>
          </cell>
          <cell r="E1987" t="str">
            <v>Puerto Rey</v>
          </cell>
          <cell r="H1987" t="str">
            <v>salud_oral</v>
          </cell>
          <cell r="J1987" t="str">
            <v>bueno</v>
          </cell>
          <cell r="K1987" t="str">
            <v>probsi</v>
          </cell>
        </row>
        <row r="1988">
          <cell r="B1988" t="b">
            <v>1</v>
          </cell>
          <cell r="E1988" t="str">
            <v>Puerto Rey</v>
          </cell>
          <cell r="H1988" t="str">
            <v>salud_oral</v>
          </cell>
          <cell r="J1988" t="str">
            <v>bueno</v>
          </cell>
          <cell r="K1988" t="str">
            <v>probsi</v>
          </cell>
        </row>
        <row r="1989">
          <cell r="B1989" t="b">
            <v>1</v>
          </cell>
          <cell r="E1989" t="str">
            <v>Puerto Rey</v>
          </cell>
          <cell r="H1989" t="str">
            <v>salud_oral</v>
          </cell>
          <cell r="J1989" t="str">
            <v>bueno</v>
          </cell>
          <cell r="K1989" t="str">
            <v>probsi</v>
          </cell>
        </row>
        <row r="1990">
          <cell r="B1990" t="b">
            <v>1</v>
          </cell>
          <cell r="E1990" t="str">
            <v>Puerto Rey</v>
          </cell>
          <cell r="H1990" t="str">
            <v>salud_oral</v>
          </cell>
          <cell r="J1990" t="str">
            <v>bueno</v>
          </cell>
          <cell r="K1990" t="str">
            <v>probsi</v>
          </cell>
        </row>
        <row r="1991">
          <cell r="B1991" t="b">
            <v>1</v>
          </cell>
          <cell r="E1991" t="str">
            <v>Puerto Rey</v>
          </cell>
          <cell r="H1991" t="str">
            <v>salud_oral</v>
          </cell>
          <cell r="J1991" t="str">
            <v>bueno</v>
          </cell>
          <cell r="K1991" t="str">
            <v>probsi</v>
          </cell>
        </row>
        <row r="1992">
          <cell r="B1992" t="b">
            <v>1</v>
          </cell>
          <cell r="E1992" t="str">
            <v>Puerto Rey</v>
          </cell>
          <cell r="H1992" t="str">
            <v>salud_oral</v>
          </cell>
          <cell r="J1992" t="str">
            <v>bueno</v>
          </cell>
          <cell r="K1992" t="str">
            <v>probsi</v>
          </cell>
        </row>
        <row r="1993">
          <cell r="B1993" t="b">
            <v>1</v>
          </cell>
          <cell r="E1993" t="str">
            <v>Bicentenario</v>
          </cell>
          <cell r="H1993" t="str">
            <v>consulta_externa</v>
          </cell>
          <cell r="J1993" t="str">
            <v>bueno</v>
          </cell>
          <cell r="K1993" t="str">
            <v>defsi</v>
          </cell>
        </row>
        <row r="1994">
          <cell r="B1994" t="b">
            <v>1</v>
          </cell>
          <cell r="E1994" t="str">
            <v>Las Reinas</v>
          </cell>
          <cell r="H1994" t="str">
            <v>laboratorio</v>
          </cell>
          <cell r="J1994" t="str">
            <v>bueno</v>
          </cell>
          <cell r="K1994" t="str">
            <v>probsi</v>
          </cell>
        </row>
        <row r="1995">
          <cell r="B1995" t="b">
            <v>1</v>
          </cell>
          <cell r="E1995" t="str">
            <v>Las Reinas</v>
          </cell>
          <cell r="H1995" t="str">
            <v>salud_oral</v>
          </cell>
          <cell r="J1995" t="str">
            <v>bueno</v>
          </cell>
          <cell r="K1995" t="str">
            <v>probsi</v>
          </cell>
        </row>
        <row r="1996">
          <cell r="B1996" t="b">
            <v>1</v>
          </cell>
          <cell r="E1996" t="str">
            <v>Las Reinas</v>
          </cell>
          <cell r="H1996" t="str">
            <v>consulta_externa</v>
          </cell>
          <cell r="J1996" t="str">
            <v>bueno</v>
          </cell>
          <cell r="K1996" t="str">
            <v>probsi</v>
          </cell>
        </row>
        <row r="1997">
          <cell r="B1997" t="b">
            <v>1</v>
          </cell>
          <cell r="E1997" t="str">
            <v>Bicentenario</v>
          </cell>
          <cell r="H1997" t="str">
            <v>salud_oral</v>
          </cell>
          <cell r="J1997" t="str">
            <v>bueno</v>
          </cell>
          <cell r="K1997" t="str">
            <v>defsi</v>
          </cell>
        </row>
        <row r="1998">
          <cell r="B1998" t="b">
            <v>1</v>
          </cell>
          <cell r="E1998" t="str">
            <v>Las Reinas</v>
          </cell>
          <cell r="H1998" t="str">
            <v>consulta_externa</v>
          </cell>
          <cell r="J1998" t="str">
            <v>bueno</v>
          </cell>
          <cell r="K1998" t="str">
            <v>probsi</v>
          </cell>
        </row>
        <row r="1999">
          <cell r="B1999" t="b">
            <v>1</v>
          </cell>
          <cell r="E1999" t="str">
            <v>Las Reinas</v>
          </cell>
          <cell r="H1999" t="str">
            <v>salud_oral</v>
          </cell>
          <cell r="J1999" t="str">
            <v>bueno</v>
          </cell>
          <cell r="K1999" t="str">
            <v>probsi</v>
          </cell>
        </row>
        <row r="2000">
          <cell r="B2000" t="b">
            <v>1</v>
          </cell>
          <cell r="E2000" t="str">
            <v>Bicentenario</v>
          </cell>
          <cell r="H2000" t="str">
            <v>laboratorio</v>
          </cell>
          <cell r="J2000" t="str">
            <v>bueno</v>
          </cell>
          <cell r="K2000" t="str">
            <v>defsi</v>
          </cell>
        </row>
        <row r="2001">
          <cell r="B2001" t="b">
            <v>1</v>
          </cell>
          <cell r="E2001" t="str">
            <v>Las Reinas</v>
          </cell>
          <cell r="H2001" t="str">
            <v>consulta_externa</v>
          </cell>
          <cell r="J2001" t="str">
            <v>bueno</v>
          </cell>
          <cell r="K2001" t="str">
            <v>probsi</v>
          </cell>
        </row>
        <row r="2002">
          <cell r="B2002" t="b">
            <v>1</v>
          </cell>
          <cell r="E2002" t="str">
            <v>Bicentenario</v>
          </cell>
          <cell r="H2002" t="str">
            <v>rx</v>
          </cell>
          <cell r="J2002" t="str">
            <v>bueno</v>
          </cell>
          <cell r="K2002" t="str">
            <v>defsi</v>
          </cell>
        </row>
        <row r="2003">
          <cell r="B2003" t="b">
            <v>1</v>
          </cell>
          <cell r="E2003" t="str">
            <v>Las Reinas</v>
          </cell>
          <cell r="H2003" t="str">
            <v>consulta_externa</v>
          </cell>
          <cell r="J2003" t="str">
            <v>bueno</v>
          </cell>
          <cell r="K2003" t="str">
            <v>probsi</v>
          </cell>
        </row>
        <row r="2004">
          <cell r="B2004" t="b">
            <v>1</v>
          </cell>
          <cell r="E2004" t="str">
            <v>Las Reinas</v>
          </cell>
          <cell r="H2004" t="str">
            <v>salud_oral</v>
          </cell>
          <cell r="J2004" t="str">
            <v>bueno</v>
          </cell>
          <cell r="K2004" t="str">
            <v>probsi</v>
          </cell>
        </row>
        <row r="2005">
          <cell r="B2005" t="b">
            <v>1</v>
          </cell>
          <cell r="E2005" t="str">
            <v>Bicentenario</v>
          </cell>
          <cell r="H2005" t="str">
            <v>consulta_externa</v>
          </cell>
          <cell r="J2005" t="str">
            <v>bueno</v>
          </cell>
          <cell r="K2005" t="str">
            <v>defsi</v>
          </cell>
        </row>
        <row r="2006">
          <cell r="B2006" t="b">
            <v>1</v>
          </cell>
          <cell r="E2006" t="str">
            <v>Puerto Rey</v>
          </cell>
          <cell r="H2006" t="str">
            <v>salud_oral</v>
          </cell>
          <cell r="J2006" t="str">
            <v>bueno</v>
          </cell>
          <cell r="K2006" t="str">
            <v>probsi</v>
          </cell>
        </row>
        <row r="2007">
          <cell r="B2007" t="b">
            <v>1</v>
          </cell>
          <cell r="E2007" t="str">
            <v>Puerto Rey</v>
          </cell>
          <cell r="H2007" t="str">
            <v>salud_oral</v>
          </cell>
          <cell r="J2007" t="str">
            <v>bueno</v>
          </cell>
          <cell r="K2007" t="str">
            <v>probsi</v>
          </cell>
        </row>
        <row r="2008">
          <cell r="B2008" t="b">
            <v>1</v>
          </cell>
          <cell r="E2008" t="str">
            <v>Puerto Rey</v>
          </cell>
          <cell r="H2008" t="str">
            <v>consulta_externa</v>
          </cell>
          <cell r="J2008" t="str">
            <v>bueno</v>
          </cell>
          <cell r="K2008" t="str">
            <v>probsi</v>
          </cell>
        </row>
        <row r="2009">
          <cell r="B2009" t="b">
            <v>1</v>
          </cell>
          <cell r="E2009" t="str">
            <v>Puerto Rey</v>
          </cell>
          <cell r="H2009" t="str">
            <v>consulta_externa</v>
          </cell>
          <cell r="J2009" t="str">
            <v>bueno</v>
          </cell>
          <cell r="K2009" t="str">
            <v>probsi</v>
          </cell>
        </row>
        <row r="2010">
          <cell r="B2010" t="b">
            <v>0</v>
          </cell>
          <cell r="E2010" t="str">
            <v>Las Reinas</v>
          </cell>
          <cell r="H2010" t="str">
            <v>laboratorio</v>
          </cell>
          <cell r="J2010" t="str">
            <v>regular</v>
          </cell>
          <cell r="K2010" t="str">
            <v>probsi</v>
          </cell>
        </row>
        <row r="2011">
          <cell r="B2011" t="b">
            <v>1</v>
          </cell>
          <cell r="E2011" t="str">
            <v>Bicentenario</v>
          </cell>
          <cell r="H2011" t="str">
            <v>salud_oral</v>
          </cell>
          <cell r="J2011" t="str">
            <v>bueno</v>
          </cell>
          <cell r="K2011" t="str">
            <v>defsi</v>
          </cell>
        </row>
        <row r="2012">
          <cell r="B2012" t="b">
            <v>1</v>
          </cell>
          <cell r="E2012" t="str">
            <v>Bicentenario</v>
          </cell>
          <cell r="H2012" t="str">
            <v>laboratorio</v>
          </cell>
          <cell r="J2012" t="str">
            <v>bueno</v>
          </cell>
          <cell r="K2012" t="str">
            <v>defsi</v>
          </cell>
        </row>
        <row r="2013">
          <cell r="B2013" t="b">
            <v>1</v>
          </cell>
          <cell r="E2013" t="str">
            <v>Bicentenario</v>
          </cell>
          <cell r="H2013" t="str">
            <v>urgencia</v>
          </cell>
          <cell r="J2013" t="str">
            <v>bueno</v>
          </cell>
          <cell r="K2013" t="str">
            <v>defsi</v>
          </cell>
        </row>
        <row r="2014">
          <cell r="B2014" t="b">
            <v>1</v>
          </cell>
          <cell r="E2014" t="str">
            <v>Bicentenario</v>
          </cell>
          <cell r="H2014" t="str">
            <v>urgencia</v>
          </cell>
          <cell r="J2014" t="str">
            <v>bueno</v>
          </cell>
          <cell r="K2014" t="str">
            <v>defsi</v>
          </cell>
        </row>
        <row r="2015">
          <cell r="B2015" t="b">
            <v>1</v>
          </cell>
          <cell r="E2015" t="str">
            <v>Bicentenario</v>
          </cell>
          <cell r="H2015" t="str">
            <v>rx</v>
          </cell>
          <cell r="J2015" t="str">
            <v>bueno</v>
          </cell>
          <cell r="K2015" t="str">
            <v>defsi</v>
          </cell>
        </row>
        <row r="2016">
          <cell r="B2016" t="b">
            <v>1</v>
          </cell>
          <cell r="E2016" t="str">
            <v>Bicentenario</v>
          </cell>
          <cell r="H2016" t="str">
            <v>consulta_externa</v>
          </cell>
          <cell r="J2016" t="str">
            <v>bueno</v>
          </cell>
          <cell r="K2016" t="str">
            <v>defsi</v>
          </cell>
        </row>
        <row r="2017">
          <cell r="B2017" t="b">
            <v>0</v>
          </cell>
          <cell r="E2017" t="str">
            <v>Las Reinas</v>
          </cell>
          <cell r="H2017" t="str">
            <v>consulta_externa</v>
          </cell>
          <cell r="J2017" t="str">
            <v>regular</v>
          </cell>
          <cell r="K2017" t="str">
            <v>probsi</v>
          </cell>
        </row>
        <row r="2018">
          <cell r="B2018" t="b">
            <v>1</v>
          </cell>
          <cell r="E2018" t="str">
            <v>Las Reinas</v>
          </cell>
          <cell r="H2018" t="str">
            <v>consulta_externa</v>
          </cell>
          <cell r="J2018" t="str">
            <v>bueno</v>
          </cell>
          <cell r="K2018" t="str">
            <v>probsi</v>
          </cell>
        </row>
        <row r="2019">
          <cell r="B2019" t="b">
            <v>1</v>
          </cell>
          <cell r="E2019" t="str">
            <v>Las Reinas</v>
          </cell>
          <cell r="H2019" t="str">
            <v>salud_oral</v>
          </cell>
          <cell r="J2019" t="str">
            <v>bueno</v>
          </cell>
          <cell r="K2019" t="str">
            <v>probsi</v>
          </cell>
        </row>
        <row r="2020">
          <cell r="B2020" t="b">
            <v>1</v>
          </cell>
          <cell r="E2020" t="str">
            <v>Las Reinas</v>
          </cell>
          <cell r="H2020" t="str">
            <v>laboratorio</v>
          </cell>
          <cell r="J2020" t="str">
            <v>bueno</v>
          </cell>
          <cell r="K2020" t="str">
            <v>probsi</v>
          </cell>
        </row>
        <row r="2021">
          <cell r="B2021" t="b">
            <v>1</v>
          </cell>
          <cell r="E2021" t="str">
            <v>Bicentenario</v>
          </cell>
          <cell r="H2021" t="str">
            <v>salud_oral</v>
          </cell>
          <cell r="J2021" t="str">
            <v>bueno</v>
          </cell>
          <cell r="K2021" t="str">
            <v>defsi</v>
          </cell>
        </row>
        <row r="2022">
          <cell r="B2022" t="b">
            <v>1</v>
          </cell>
          <cell r="E2022" t="str">
            <v>Las Reinas</v>
          </cell>
          <cell r="H2022" t="str">
            <v>consulta_externa</v>
          </cell>
          <cell r="J2022" t="str">
            <v>bueno</v>
          </cell>
          <cell r="K2022" t="str">
            <v>probsi</v>
          </cell>
        </row>
        <row r="2023">
          <cell r="B2023" t="b">
            <v>1</v>
          </cell>
          <cell r="E2023" t="str">
            <v>Bicentenario</v>
          </cell>
          <cell r="H2023" t="str">
            <v>laboratorio</v>
          </cell>
          <cell r="J2023" t="str">
            <v>bueno</v>
          </cell>
          <cell r="K2023" t="str">
            <v>defsi</v>
          </cell>
        </row>
        <row r="2024">
          <cell r="B2024" t="b">
            <v>0</v>
          </cell>
          <cell r="E2024" t="str">
            <v>Las Reinas</v>
          </cell>
          <cell r="H2024" t="str">
            <v>salud_oral</v>
          </cell>
          <cell r="J2024" t="str">
            <v>regular</v>
          </cell>
          <cell r="K2024" t="str">
            <v>probsi</v>
          </cell>
        </row>
        <row r="2025">
          <cell r="B2025" t="b">
            <v>0</v>
          </cell>
          <cell r="E2025" t="str">
            <v>Las Reinas</v>
          </cell>
          <cell r="H2025" t="str">
            <v>salud_oral</v>
          </cell>
          <cell r="J2025" t="str">
            <v>regular</v>
          </cell>
          <cell r="K2025" t="str">
            <v>probsi</v>
          </cell>
        </row>
        <row r="2026">
          <cell r="B2026" t="b">
            <v>0</v>
          </cell>
          <cell r="E2026" t="str">
            <v>Las Reinas</v>
          </cell>
          <cell r="H2026" t="str">
            <v>laboratorio</v>
          </cell>
          <cell r="J2026" t="str">
            <v>regular</v>
          </cell>
          <cell r="K2026" t="str">
            <v>probsi</v>
          </cell>
        </row>
        <row r="2027">
          <cell r="B2027" t="b">
            <v>1</v>
          </cell>
          <cell r="E2027" t="str">
            <v>Bicentenario</v>
          </cell>
          <cell r="H2027" t="str">
            <v>urgencia</v>
          </cell>
          <cell r="J2027" t="str">
            <v>bueno</v>
          </cell>
          <cell r="K2027" t="str">
            <v>defsi</v>
          </cell>
        </row>
        <row r="2028">
          <cell r="B2028" t="b">
            <v>1</v>
          </cell>
          <cell r="E2028" t="str">
            <v>Las Reinas</v>
          </cell>
          <cell r="H2028" t="str">
            <v>consulta_externa</v>
          </cell>
          <cell r="J2028" t="str">
            <v>bueno</v>
          </cell>
          <cell r="K2028" t="str">
            <v>probsi</v>
          </cell>
        </row>
        <row r="2029">
          <cell r="B2029" t="b">
            <v>1</v>
          </cell>
          <cell r="E2029" t="str">
            <v>Las Reinas</v>
          </cell>
          <cell r="H2029" t="str">
            <v>laboratorio</v>
          </cell>
          <cell r="J2029" t="str">
            <v>bueno</v>
          </cell>
          <cell r="K2029" t="str">
            <v>probsi</v>
          </cell>
        </row>
        <row r="2030">
          <cell r="B2030" t="b">
            <v>1</v>
          </cell>
          <cell r="E2030" t="str">
            <v>Las Reinas</v>
          </cell>
          <cell r="H2030" t="str">
            <v>laboratorio</v>
          </cell>
          <cell r="J2030" t="str">
            <v>bueno</v>
          </cell>
          <cell r="K2030" t="str">
            <v>probsi</v>
          </cell>
        </row>
        <row r="2031">
          <cell r="B2031" t="b">
            <v>1</v>
          </cell>
          <cell r="E2031" t="str">
            <v>Las Reinas</v>
          </cell>
          <cell r="H2031" t="str">
            <v>consulta_externa</v>
          </cell>
          <cell r="J2031" t="str">
            <v>bueno</v>
          </cell>
          <cell r="K2031" t="str">
            <v>probsi</v>
          </cell>
        </row>
        <row r="2032">
          <cell r="B2032" t="b">
            <v>1</v>
          </cell>
          <cell r="E2032" t="str">
            <v>Bicentenario</v>
          </cell>
          <cell r="H2032" t="str">
            <v>rx</v>
          </cell>
          <cell r="J2032" t="str">
            <v>bueno</v>
          </cell>
          <cell r="K2032" t="str">
            <v>defsi</v>
          </cell>
        </row>
        <row r="2033">
          <cell r="B2033" t="b">
            <v>1</v>
          </cell>
          <cell r="E2033" t="str">
            <v>Las Reinas</v>
          </cell>
          <cell r="H2033" t="str">
            <v>consulta_externa</v>
          </cell>
          <cell r="J2033" t="str">
            <v>bueno</v>
          </cell>
          <cell r="K2033" t="str">
            <v>probsi</v>
          </cell>
        </row>
        <row r="2034">
          <cell r="B2034" t="b">
            <v>1</v>
          </cell>
          <cell r="E2034" t="str">
            <v>Las Reinas</v>
          </cell>
          <cell r="H2034" t="str">
            <v>salud_oral</v>
          </cell>
          <cell r="J2034" t="str">
            <v>bueno</v>
          </cell>
          <cell r="K2034" t="str">
            <v>probsi</v>
          </cell>
        </row>
        <row r="2035">
          <cell r="B2035" t="b">
            <v>0</v>
          </cell>
          <cell r="E2035" t="str">
            <v>Las Reinas</v>
          </cell>
          <cell r="H2035" t="str">
            <v>consulta_externa</v>
          </cell>
          <cell r="J2035" t="str">
            <v>regular</v>
          </cell>
          <cell r="K2035" t="str">
            <v>probsi</v>
          </cell>
        </row>
        <row r="2036">
          <cell r="B2036" t="b">
            <v>0</v>
          </cell>
          <cell r="E2036" t="str">
            <v>Las Reinas</v>
          </cell>
          <cell r="H2036" t="str">
            <v>laboratorio</v>
          </cell>
          <cell r="J2036" t="str">
            <v>regular</v>
          </cell>
          <cell r="K2036" t="str">
            <v>probsi</v>
          </cell>
        </row>
        <row r="2037">
          <cell r="B2037" t="b">
            <v>0</v>
          </cell>
          <cell r="E2037" t="str">
            <v>Las Reinas</v>
          </cell>
          <cell r="H2037" t="str">
            <v>consulta_externa</v>
          </cell>
          <cell r="J2037" t="str">
            <v>regular</v>
          </cell>
          <cell r="K2037" t="str">
            <v>probsi</v>
          </cell>
        </row>
        <row r="2038">
          <cell r="B2038" t="b">
            <v>0</v>
          </cell>
          <cell r="E2038" t="str">
            <v>Las Reinas</v>
          </cell>
          <cell r="H2038" t="str">
            <v>salud_oral</v>
          </cell>
          <cell r="J2038" t="str">
            <v>regular</v>
          </cell>
          <cell r="K2038" t="str">
            <v>probsi</v>
          </cell>
        </row>
        <row r="2039">
          <cell r="B2039" t="b">
            <v>1</v>
          </cell>
          <cell r="E2039" t="str">
            <v>Punta Canoa</v>
          </cell>
          <cell r="H2039" t="str">
            <v>consulta_externa</v>
          </cell>
          <cell r="J2039" t="str">
            <v>bueno</v>
          </cell>
          <cell r="K2039" t="str">
            <v>defsi</v>
          </cell>
        </row>
        <row r="2040">
          <cell r="B2040" t="b">
            <v>1</v>
          </cell>
          <cell r="E2040" t="str">
            <v>Punta Canoa</v>
          </cell>
          <cell r="H2040" t="str">
            <v>laboratorio</v>
          </cell>
          <cell r="J2040" t="str">
            <v>bueno</v>
          </cell>
          <cell r="K2040" t="str">
            <v>defsi</v>
          </cell>
        </row>
        <row r="2041">
          <cell r="B2041" t="b">
            <v>1</v>
          </cell>
          <cell r="E2041" t="str">
            <v>Punta Canoa</v>
          </cell>
          <cell r="H2041" t="str">
            <v>salud_oral</v>
          </cell>
          <cell r="J2041" t="str">
            <v>bueno</v>
          </cell>
          <cell r="K2041" t="str">
            <v>defsi</v>
          </cell>
        </row>
        <row r="2042">
          <cell r="B2042" t="b">
            <v>1</v>
          </cell>
          <cell r="E2042" t="str">
            <v>Punta Canoa</v>
          </cell>
          <cell r="H2042" t="str">
            <v>salud_oral</v>
          </cell>
          <cell r="J2042" t="str">
            <v>bueno</v>
          </cell>
          <cell r="K2042" t="str">
            <v>defsi</v>
          </cell>
        </row>
        <row r="2043">
          <cell r="B2043" t="b">
            <v>1</v>
          </cell>
          <cell r="E2043" t="str">
            <v>Punta Canoa</v>
          </cell>
          <cell r="H2043" t="str">
            <v>consulta_externa</v>
          </cell>
          <cell r="J2043" t="str">
            <v>bueno</v>
          </cell>
          <cell r="K2043" t="str">
            <v>defsi</v>
          </cell>
        </row>
        <row r="2044">
          <cell r="B2044" t="b">
            <v>1</v>
          </cell>
          <cell r="E2044" t="str">
            <v>Punta Canoa</v>
          </cell>
          <cell r="H2044" t="str">
            <v>salud_oral</v>
          </cell>
          <cell r="J2044" t="str">
            <v>bueno</v>
          </cell>
          <cell r="K2044" t="str">
            <v>defsi</v>
          </cell>
        </row>
        <row r="2045">
          <cell r="B2045" t="b">
            <v>1</v>
          </cell>
          <cell r="E2045" t="str">
            <v>Punta Canoa</v>
          </cell>
          <cell r="H2045" t="str">
            <v>consulta_externa</v>
          </cell>
          <cell r="J2045" t="str">
            <v>bueno</v>
          </cell>
          <cell r="K2045" t="str">
            <v>defsi</v>
          </cell>
        </row>
        <row r="2046">
          <cell r="B2046" t="b">
            <v>1</v>
          </cell>
          <cell r="E2046" t="str">
            <v>Bicentenario</v>
          </cell>
          <cell r="H2046" t="str">
            <v>consulta_externa</v>
          </cell>
          <cell r="J2046" t="str">
            <v>bueno</v>
          </cell>
          <cell r="K2046" t="str">
            <v>defsi</v>
          </cell>
        </row>
        <row r="2047">
          <cell r="B2047" t="b">
            <v>1</v>
          </cell>
          <cell r="E2047" t="str">
            <v>Punta Canoa</v>
          </cell>
          <cell r="H2047" t="str">
            <v>consulta_externa</v>
          </cell>
          <cell r="J2047" t="str">
            <v>bueno</v>
          </cell>
          <cell r="K2047" t="str">
            <v>defsi</v>
          </cell>
        </row>
        <row r="2048">
          <cell r="B2048" t="b">
            <v>1</v>
          </cell>
          <cell r="E2048" t="str">
            <v>Bicentenario</v>
          </cell>
          <cell r="H2048" t="str">
            <v>salud_oral</v>
          </cell>
          <cell r="J2048" t="str">
            <v>bueno</v>
          </cell>
          <cell r="K2048" t="str">
            <v>defsi</v>
          </cell>
        </row>
        <row r="2049">
          <cell r="B2049" t="b">
            <v>1</v>
          </cell>
          <cell r="E2049" t="str">
            <v>Punta Canoa</v>
          </cell>
          <cell r="H2049" t="str">
            <v>consulta_externa</v>
          </cell>
          <cell r="J2049" t="str">
            <v>bueno</v>
          </cell>
          <cell r="K2049" t="str">
            <v>defsi</v>
          </cell>
        </row>
        <row r="2050">
          <cell r="B2050" t="b">
            <v>1</v>
          </cell>
          <cell r="E2050" t="str">
            <v>Bicentenario</v>
          </cell>
          <cell r="H2050" t="str">
            <v>laboratorio</v>
          </cell>
          <cell r="J2050" t="str">
            <v>bueno</v>
          </cell>
          <cell r="K2050" t="str">
            <v>defsi</v>
          </cell>
        </row>
        <row r="2051">
          <cell r="B2051" t="b">
            <v>1</v>
          </cell>
          <cell r="E2051" t="str">
            <v>Bicentenario</v>
          </cell>
          <cell r="H2051" t="str">
            <v>urgencia</v>
          </cell>
          <cell r="J2051" t="str">
            <v>bueno</v>
          </cell>
          <cell r="K2051" t="str">
            <v>defsi</v>
          </cell>
        </row>
        <row r="2052">
          <cell r="B2052" t="b">
            <v>1</v>
          </cell>
          <cell r="E2052" t="str">
            <v>Bicentenario</v>
          </cell>
          <cell r="H2052" t="str">
            <v>rx</v>
          </cell>
          <cell r="J2052" t="str">
            <v>bueno</v>
          </cell>
          <cell r="K2052" t="str">
            <v>defsi</v>
          </cell>
        </row>
        <row r="2053">
          <cell r="B2053" t="b">
            <v>1</v>
          </cell>
          <cell r="E2053" t="str">
            <v>Punta Canoa</v>
          </cell>
          <cell r="H2053" t="str">
            <v>consulta_externa</v>
          </cell>
          <cell r="J2053" t="str">
            <v>bueno</v>
          </cell>
          <cell r="K2053" t="str">
            <v>defsi</v>
          </cell>
        </row>
        <row r="2054">
          <cell r="B2054" t="b">
            <v>1</v>
          </cell>
          <cell r="E2054" t="str">
            <v>Punta Canoa</v>
          </cell>
          <cell r="H2054" t="str">
            <v>salud_oral</v>
          </cell>
          <cell r="J2054" t="str">
            <v>bueno</v>
          </cell>
          <cell r="K2054" t="str">
            <v>defsi</v>
          </cell>
        </row>
        <row r="2055">
          <cell r="B2055" t="b">
            <v>1</v>
          </cell>
          <cell r="E2055" t="str">
            <v>Punta Canoa</v>
          </cell>
          <cell r="H2055" t="str">
            <v>salud_oral</v>
          </cell>
          <cell r="J2055" t="str">
            <v>bueno</v>
          </cell>
          <cell r="K2055" t="str">
            <v>defsi</v>
          </cell>
        </row>
        <row r="2056">
          <cell r="B2056" t="b">
            <v>1</v>
          </cell>
          <cell r="E2056" t="str">
            <v>Punta Canoa</v>
          </cell>
          <cell r="H2056" t="str">
            <v>consulta_externa</v>
          </cell>
          <cell r="J2056" t="str">
            <v>bueno</v>
          </cell>
          <cell r="K2056" t="str">
            <v>defsi</v>
          </cell>
        </row>
        <row r="2057">
          <cell r="B2057" t="b">
            <v>1</v>
          </cell>
          <cell r="E2057" t="str">
            <v>Punta Canoa</v>
          </cell>
          <cell r="H2057" t="str">
            <v>consulta_externa</v>
          </cell>
          <cell r="J2057" t="str">
            <v>bueno</v>
          </cell>
          <cell r="K2057" t="str">
            <v>defsi</v>
          </cell>
        </row>
        <row r="2058">
          <cell r="B2058" t="b">
            <v>1</v>
          </cell>
          <cell r="E2058" t="str">
            <v>Punta Canoa</v>
          </cell>
          <cell r="H2058" t="str">
            <v>salud_oral</v>
          </cell>
          <cell r="J2058" t="str">
            <v>bueno</v>
          </cell>
          <cell r="K2058" t="str">
            <v>defsi</v>
          </cell>
        </row>
        <row r="2059">
          <cell r="B2059" t="b">
            <v>1</v>
          </cell>
          <cell r="E2059" t="str">
            <v>Punta Canoa</v>
          </cell>
          <cell r="H2059" t="str">
            <v>salud_oral</v>
          </cell>
          <cell r="J2059" t="str">
            <v>bueno</v>
          </cell>
          <cell r="K2059" t="str">
            <v>defsi</v>
          </cell>
        </row>
        <row r="2060">
          <cell r="B2060" t="b">
            <v>1</v>
          </cell>
          <cell r="E2060" t="str">
            <v>Las Reinas</v>
          </cell>
          <cell r="H2060" t="str">
            <v>consulta_externa</v>
          </cell>
          <cell r="J2060" t="str">
            <v>bueno</v>
          </cell>
          <cell r="K2060" t="str">
            <v>probsi</v>
          </cell>
        </row>
        <row r="2061">
          <cell r="B2061" t="b">
            <v>1</v>
          </cell>
          <cell r="E2061" t="str">
            <v>Las Reinas</v>
          </cell>
          <cell r="H2061" t="str">
            <v>laboratorio</v>
          </cell>
          <cell r="J2061" t="str">
            <v>bueno</v>
          </cell>
          <cell r="K2061" t="str">
            <v>probsi</v>
          </cell>
        </row>
        <row r="2062">
          <cell r="B2062" t="b">
            <v>1</v>
          </cell>
          <cell r="E2062" t="str">
            <v>Punta Canoa</v>
          </cell>
          <cell r="H2062" t="str">
            <v>consulta_externa</v>
          </cell>
          <cell r="J2062" t="str">
            <v>bueno</v>
          </cell>
          <cell r="K2062" t="str">
            <v>defsi</v>
          </cell>
        </row>
        <row r="2063">
          <cell r="B2063" t="b">
            <v>1</v>
          </cell>
          <cell r="E2063" t="str">
            <v>Las Reinas</v>
          </cell>
          <cell r="H2063" t="str">
            <v>salud_oral</v>
          </cell>
          <cell r="J2063" t="str">
            <v>bueno</v>
          </cell>
          <cell r="K2063" t="str">
            <v>probsi</v>
          </cell>
        </row>
        <row r="2064">
          <cell r="B2064" t="b">
            <v>1</v>
          </cell>
          <cell r="E2064" t="str">
            <v>Las Reinas</v>
          </cell>
          <cell r="H2064" t="str">
            <v>laboratorio</v>
          </cell>
          <cell r="J2064" t="str">
            <v>bueno</v>
          </cell>
          <cell r="K2064" t="str">
            <v>probsi</v>
          </cell>
        </row>
        <row r="2065">
          <cell r="B2065" t="b">
            <v>1</v>
          </cell>
          <cell r="E2065" t="str">
            <v>Punta Canoa</v>
          </cell>
          <cell r="H2065" t="str">
            <v>consulta_externa</v>
          </cell>
          <cell r="J2065" t="str">
            <v>bueno</v>
          </cell>
          <cell r="K2065" t="str">
            <v>defsi</v>
          </cell>
        </row>
        <row r="2066">
          <cell r="B2066" t="b">
            <v>1</v>
          </cell>
          <cell r="E2066" t="str">
            <v>Bicentenario</v>
          </cell>
          <cell r="H2066" t="str">
            <v>consulta_externa</v>
          </cell>
          <cell r="J2066" t="str">
            <v>bueno</v>
          </cell>
          <cell r="K2066" t="str">
            <v>defsi</v>
          </cell>
        </row>
        <row r="2067">
          <cell r="B2067" t="b">
            <v>1</v>
          </cell>
          <cell r="E2067" t="str">
            <v>Bicentenario</v>
          </cell>
          <cell r="H2067" t="str">
            <v>salud_oral</v>
          </cell>
          <cell r="J2067" t="str">
            <v>bueno</v>
          </cell>
          <cell r="K2067" t="str">
            <v>defsi</v>
          </cell>
        </row>
        <row r="2068">
          <cell r="B2068" t="b">
            <v>1</v>
          </cell>
          <cell r="E2068" t="str">
            <v>Punta Canoa</v>
          </cell>
          <cell r="H2068" t="str">
            <v>consulta_externa</v>
          </cell>
          <cell r="J2068" t="str">
            <v>bueno</v>
          </cell>
          <cell r="K2068" t="str">
            <v>defsi</v>
          </cell>
        </row>
        <row r="2069">
          <cell r="B2069" t="b">
            <v>0</v>
          </cell>
          <cell r="E2069" t="str">
            <v>Las Reinas</v>
          </cell>
          <cell r="H2069" t="str">
            <v>laboratorio</v>
          </cell>
          <cell r="J2069" t="str">
            <v>regular</v>
          </cell>
          <cell r="K2069" t="str">
            <v>probsi</v>
          </cell>
        </row>
        <row r="2070">
          <cell r="B2070" t="b">
            <v>1</v>
          </cell>
          <cell r="E2070" t="str">
            <v>Bicentenario</v>
          </cell>
          <cell r="H2070" t="str">
            <v>consulta_externa</v>
          </cell>
          <cell r="J2070" t="str">
            <v>bueno</v>
          </cell>
          <cell r="K2070" t="str">
            <v>defsi</v>
          </cell>
        </row>
        <row r="2071">
          <cell r="B2071" t="b">
            <v>1</v>
          </cell>
          <cell r="E2071" t="str">
            <v>Punta Canoa</v>
          </cell>
          <cell r="H2071" t="str">
            <v>laboratorio</v>
          </cell>
          <cell r="J2071" t="str">
            <v>bueno</v>
          </cell>
          <cell r="K2071" t="str">
            <v>defsi</v>
          </cell>
        </row>
        <row r="2072">
          <cell r="B2072" t="b">
            <v>1</v>
          </cell>
          <cell r="E2072" t="str">
            <v>Bicentenario</v>
          </cell>
          <cell r="H2072" t="str">
            <v>urgencia</v>
          </cell>
          <cell r="J2072" t="str">
            <v>bueno</v>
          </cell>
          <cell r="K2072" t="str">
            <v>defsi</v>
          </cell>
        </row>
        <row r="2073">
          <cell r="B2073" t="b">
            <v>1</v>
          </cell>
          <cell r="E2073" t="str">
            <v>Punta Canoa</v>
          </cell>
          <cell r="H2073" t="str">
            <v>laboratorio</v>
          </cell>
          <cell r="J2073" t="str">
            <v>bueno</v>
          </cell>
          <cell r="K2073" t="str">
            <v>defsi</v>
          </cell>
        </row>
        <row r="2074">
          <cell r="B2074" t="b">
            <v>1</v>
          </cell>
          <cell r="E2074" t="str">
            <v>Las Reinas</v>
          </cell>
          <cell r="H2074" t="str">
            <v>laboratorio</v>
          </cell>
          <cell r="J2074" t="str">
            <v>bueno</v>
          </cell>
          <cell r="K2074" t="str">
            <v>probsi</v>
          </cell>
        </row>
        <row r="2075">
          <cell r="B2075" t="b">
            <v>1</v>
          </cell>
          <cell r="E2075" t="str">
            <v>Punta Canoa</v>
          </cell>
          <cell r="H2075" t="str">
            <v>laboratorio</v>
          </cell>
          <cell r="J2075" t="str">
            <v>bueno</v>
          </cell>
          <cell r="K2075" t="str">
            <v>defsi</v>
          </cell>
        </row>
        <row r="2076">
          <cell r="B2076" t="b">
            <v>1</v>
          </cell>
          <cell r="E2076" t="str">
            <v>Bicentenario</v>
          </cell>
          <cell r="H2076" t="str">
            <v>rx</v>
          </cell>
          <cell r="J2076" t="str">
            <v>bueno</v>
          </cell>
          <cell r="K2076" t="str">
            <v>defsi</v>
          </cell>
        </row>
        <row r="2077">
          <cell r="B2077" t="b">
            <v>1</v>
          </cell>
          <cell r="E2077" t="str">
            <v>Las Reinas</v>
          </cell>
          <cell r="H2077" t="str">
            <v>salud_oral</v>
          </cell>
          <cell r="J2077" t="str">
            <v>bueno</v>
          </cell>
          <cell r="K2077" t="str">
            <v>probsi</v>
          </cell>
        </row>
        <row r="2078">
          <cell r="B2078" t="b">
            <v>1</v>
          </cell>
          <cell r="E2078" t="str">
            <v>Punta Canoa</v>
          </cell>
          <cell r="H2078" t="str">
            <v>laboratorio</v>
          </cell>
          <cell r="J2078" t="str">
            <v>bueno</v>
          </cell>
          <cell r="K2078" t="str">
            <v>defsi</v>
          </cell>
        </row>
        <row r="2079">
          <cell r="B2079" t="b">
            <v>1</v>
          </cell>
          <cell r="E2079" t="str">
            <v>Punta Canoa</v>
          </cell>
          <cell r="H2079" t="str">
            <v>consulta_externa</v>
          </cell>
          <cell r="J2079" t="str">
            <v>bueno</v>
          </cell>
          <cell r="K2079" t="str">
            <v>defsi</v>
          </cell>
        </row>
        <row r="2080">
          <cell r="B2080" t="b">
            <v>1</v>
          </cell>
          <cell r="E2080" t="str">
            <v>Punta Canoa</v>
          </cell>
          <cell r="H2080" t="str">
            <v>laboratorio</v>
          </cell>
          <cell r="J2080" t="str">
            <v>bueno</v>
          </cell>
          <cell r="K2080" t="str">
            <v>defsi</v>
          </cell>
        </row>
        <row r="2081">
          <cell r="B2081" t="b">
            <v>1</v>
          </cell>
          <cell r="E2081" t="str">
            <v>Punta Canoa</v>
          </cell>
          <cell r="H2081" t="str">
            <v>consulta_externa</v>
          </cell>
          <cell r="J2081" t="str">
            <v>bueno</v>
          </cell>
          <cell r="K2081" t="str">
            <v>defsi</v>
          </cell>
        </row>
        <row r="2082">
          <cell r="B2082" t="b">
            <v>1</v>
          </cell>
          <cell r="E2082" t="str">
            <v>Las Reinas</v>
          </cell>
          <cell r="H2082" t="str">
            <v>salud_oral</v>
          </cell>
          <cell r="J2082" t="str">
            <v>bueno</v>
          </cell>
          <cell r="K2082" t="str">
            <v>probsi</v>
          </cell>
        </row>
        <row r="2083">
          <cell r="B2083" t="b">
            <v>1</v>
          </cell>
          <cell r="E2083" t="str">
            <v>Punta Canoa</v>
          </cell>
          <cell r="H2083" t="str">
            <v>laboratorio</v>
          </cell>
          <cell r="J2083" t="str">
            <v>bueno</v>
          </cell>
          <cell r="K2083" t="str">
            <v>defsi</v>
          </cell>
        </row>
        <row r="2084">
          <cell r="B2084" t="b">
            <v>1</v>
          </cell>
          <cell r="E2084" t="str">
            <v>Punta Canoa</v>
          </cell>
          <cell r="H2084" t="str">
            <v>laboratorio</v>
          </cell>
          <cell r="J2084" t="str">
            <v>bueno</v>
          </cell>
          <cell r="K2084" t="str">
            <v>defsi</v>
          </cell>
        </row>
        <row r="2085">
          <cell r="B2085" t="b">
            <v>1</v>
          </cell>
          <cell r="E2085" t="str">
            <v>Punta Canoa</v>
          </cell>
          <cell r="H2085" t="str">
            <v>salud_oral</v>
          </cell>
          <cell r="J2085" t="str">
            <v>bueno</v>
          </cell>
          <cell r="K2085" t="str">
            <v>defsi</v>
          </cell>
        </row>
        <row r="2086">
          <cell r="B2086" t="b">
            <v>1</v>
          </cell>
          <cell r="E2086" t="str">
            <v>Las Reinas</v>
          </cell>
          <cell r="H2086" t="str">
            <v>consulta_externa</v>
          </cell>
          <cell r="J2086" t="str">
            <v>bueno</v>
          </cell>
          <cell r="K2086" t="str">
            <v>probsi</v>
          </cell>
        </row>
        <row r="2087">
          <cell r="B2087" t="b">
            <v>1</v>
          </cell>
          <cell r="E2087" t="str">
            <v>Las Reinas</v>
          </cell>
          <cell r="H2087" t="str">
            <v>salud_oral</v>
          </cell>
          <cell r="J2087" t="str">
            <v>bueno</v>
          </cell>
          <cell r="K2087" t="str">
            <v>probsi</v>
          </cell>
        </row>
        <row r="2088">
          <cell r="B2088" t="b">
            <v>1</v>
          </cell>
          <cell r="E2088" t="str">
            <v>Punta Canoa</v>
          </cell>
          <cell r="H2088" t="str">
            <v>salud_oral</v>
          </cell>
          <cell r="J2088" t="str">
            <v>bueno</v>
          </cell>
          <cell r="K2088" t="str">
            <v>defsi</v>
          </cell>
        </row>
        <row r="2089">
          <cell r="B2089" t="b">
            <v>1</v>
          </cell>
          <cell r="E2089" t="str">
            <v>Punta Canoa</v>
          </cell>
          <cell r="H2089" t="str">
            <v>consulta_externa</v>
          </cell>
          <cell r="J2089" t="str">
            <v>bueno</v>
          </cell>
          <cell r="K2089" t="str">
            <v>defsi</v>
          </cell>
        </row>
        <row r="2090">
          <cell r="B2090" t="b">
            <v>1</v>
          </cell>
          <cell r="E2090" t="str">
            <v>Las Reinas</v>
          </cell>
          <cell r="H2090" t="str">
            <v>consulta_externa</v>
          </cell>
          <cell r="J2090" t="str">
            <v>muybueno</v>
          </cell>
          <cell r="K2090" t="str">
            <v>probsi</v>
          </cell>
        </row>
        <row r="2091">
          <cell r="B2091" t="b">
            <v>1</v>
          </cell>
          <cell r="E2091" t="str">
            <v>Punta Canoa</v>
          </cell>
          <cell r="H2091" t="str">
            <v>consulta_externa</v>
          </cell>
          <cell r="J2091" t="str">
            <v>bueno</v>
          </cell>
          <cell r="K2091" t="str">
            <v>defsi</v>
          </cell>
        </row>
        <row r="2092">
          <cell r="B2092" t="b">
            <v>0</v>
          </cell>
          <cell r="E2092" t="str">
            <v>Las Reinas</v>
          </cell>
          <cell r="H2092" t="str">
            <v>consulta_externa</v>
          </cell>
          <cell r="J2092" t="str">
            <v>regular</v>
          </cell>
          <cell r="K2092" t="str">
            <v>probsi</v>
          </cell>
        </row>
        <row r="2093">
          <cell r="B2093" t="b">
            <v>1</v>
          </cell>
          <cell r="E2093" t="str">
            <v>Las Reinas</v>
          </cell>
          <cell r="H2093" t="str">
            <v>consulta_externa</v>
          </cell>
          <cell r="J2093" t="str">
            <v>bueno</v>
          </cell>
          <cell r="K2093" t="str">
            <v>probsi</v>
          </cell>
        </row>
        <row r="2094">
          <cell r="B2094" t="b">
            <v>1</v>
          </cell>
          <cell r="E2094" t="str">
            <v>Las Reinas</v>
          </cell>
          <cell r="H2094" t="str">
            <v>salud_oral</v>
          </cell>
          <cell r="J2094" t="str">
            <v>bueno</v>
          </cell>
          <cell r="K2094" t="str">
            <v>probsi</v>
          </cell>
        </row>
        <row r="2095">
          <cell r="B2095" t="b">
            <v>1</v>
          </cell>
          <cell r="E2095" t="str">
            <v>Las Reinas</v>
          </cell>
          <cell r="H2095" t="str">
            <v>laboratorio</v>
          </cell>
          <cell r="J2095" t="str">
            <v>bueno</v>
          </cell>
          <cell r="K2095" t="str">
            <v>probsi</v>
          </cell>
        </row>
        <row r="2096">
          <cell r="B2096" t="b">
            <v>1</v>
          </cell>
          <cell r="E2096" t="str">
            <v>Tierra Baja</v>
          </cell>
          <cell r="H2096" t="str">
            <v>consulta_externa</v>
          </cell>
          <cell r="J2096" t="str">
            <v>bueno</v>
          </cell>
          <cell r="K2096" t="str">
            <v>probsi</v>
          </cell>
        </row>
        <row r="2097">
          <cell r="B2097" t="b">
            <v>1</v>
          </cell>
          <cell r="E2097" t="str">
            <v>Tierra Baja</v>
          </cell>
          <cell r="H2097" t="str">
            <v>consulta_externa</v>
          </cell>
          <cell r="J2097" t="str">
            <v>bueno</v>
          </cell>
          <cell r="K2097" t="str">
            <v>probsi</v>
          </cell>
        </row>
        <row r="2098">
          <cell r="B2098" t="b">
            <v>1</v>
          </cell>
          <cell r="E2098" t="str">
            <v>Tierra Baja</v>
          </cell>
          <cell r="H2098" t="str">
            <v>consulta_externa</v>
          </cell>
          <cell r="J2098" t="str">
            <v>bueno</v>
          </cell>
          <cell r="K2098" t="str">
            <v>probsi</v>
          </cell>
        </row>
        <row r="2099">
          <cell r="B2099" t="b">
            <v>1</v>
          </cell>
          <cell r="E2099" t="str">
            <v>Tierra Baja</v>
          </cell>
          <cell r="H2099" t="str">
            <v>consulta_externa</v>
          </cell>
          <cell r="J2099" t="str">
            <v>bueno</v>
          </cell>
          <cell r="K2099" t="str">
            <v>probsi</v>
          </cell>
        </row>
        <row r="2100">
          <cell r="B2100" t="b">
            <v>1</v>
          </cell>
          <cell r="E2100" t="str">
            <v>Tierra Baja</v>
          </cell>
          <cell r="H2100" t="str">
            <v>consulta_externa</v>
          </cell>
          <cell r="J2100" t="str">
            <v>bueno</v>
          </cell>
          <cell r="K2100" t="str">
            <v>probsi</v>
          </cell>
        </row>
        <row r="2101">
          <cell r="B2101" t="b">
            <v>1</v>
          </cell>
          <cell r="E2101" t="str">
            <v>Tierra Baja</v>
          </cell>
          <cell r="H2101" t="str">
            <v>consulta_externa</v>
          </cell>
          <cell r="J2101" t="str">
            <v>bueno</v>
          </cell>
          <cell r="K2101" t="str">
            <v>probsi</v>
          </cell>
        </row>
        <row r="2102">
          <cell r="B2102" t="b">
            <v>1</v>
          </cell>
          <cell r="E2102" t="str">
            <v>Tierra Baja</v>
          </cell>
          <cell r="H2102" t="str">
            <v>consulta_externa</v>
          </cell>
          <cell r="J2102" t="str">
            <v>bueno</v>
          </cell>
          <cell r="K2102" t="str">
            <v>probsi</v>
          </cell>
        </row>
        <row r="2103">
          <cell r="B2103" t="b">
            <v>1</v>
          </cell>
          <cell r="E2103" t="str">
            <v>Tierra Baja</v>
          </cell>
          <cell r="H2103" t="str">
            <v>consulta_externa</v>
          </cell>
          <cell r="J2103" t="str">
            <v>bueno</v>
          </cell>
          <cell r="K2103" t="str">
            <v>probsi</v>
          </cell>
        </row>
        <row r="2104">
          <cell r="B2104" t="b">
            <v>1</v>
          </cell>
          <cell r="E2104" t="str">
            <v>Tierra Baja</v>
          </cell>
          <cell r="H2104" t="str">
            <v>consulta_externa</v>
          </cell>
          <cell r="J2104" t="str">
            <v>bueno</v>
          </cell>
          <cell r="K2104" t="str">
            <v>probsi</v>
          </cell>
        </row>
        <row r="2105">
          <cell r="B2105" t="b">
            <v>1</v>
          </cell>
          <cell r="E2105" t="str">
            <v>Tierra Baja</v>
          </cell>
          <cell r="H2105" t="str">
            <v>consulta_externa</v>
          </cell>
          <cell r="J2105" t="str">
            <v>bueno</v>
          </cell>
          <cell r="K2105" t="str">
            <v>probsi</v>
          </cell>
        </row>
        <row r="2106">
          <cell r="B2106" t="b">
            <v>1</v>
          </cell>
          <cell r="E2106" t="str">
            <v>Tierra Baja</v>
          </cell>
          <cell r="H2106" t="str">
            <v>consulta_externa</v>
          </cell>
          <cell r="J2106" t="str">
            <v>bueno</v>
          </cell>
          <cell r="K2106" t="str">
            <v>probsi</v>
          </cell>
        </row>
        <row r="2107">
          <cell r="B2107" t="b">
            <v>1</v>
          </cell>
          <cell r="E2107" t="str">
            <v>Tierra Baja</v>
          </cell>
          <cell r="H2107" t="str">
            <v>consulta_externa</v>
          </cell>
          <cell r="J2107" t="str">
            <v>bueno</v>
          </cell>
          <cell r="K2107" t="str">
            <v>probsi</v>
          </cell>
        </row>
        <row r="2108">
          <cell r="B2108" t="b">
            <v>1</v>
          </cell>
          <cell r="E2108" t="str">
            <v>Tierra Baja</v>
          </cell>
          <cell r="H2108" t="str">
            <v>consulta_externa</v>
          </cell>
          <cell r="J2108" t="str">
            <v>bueno</v>
          </cell>
          <cell r="K2108" t="str">
            <v>probsi</v>
          </cell>
        </row>
        <row r="2109">
          <cell r="B2109" t="b">
            <v>1</v>
          </cell>
          <cell r="E2109" t="str">
            <v>Tierra Baja</v>
          </cell>
          <cell r="H2109" t="str">
            <v>consulta_externa</v>
          </cell>
          <cell r="J2109" t="str">
            <v>bueno</v>
          </cell>
          <cell r="K2109" t="str">
            <v>probsi</v>
          </cell>
        </row>
        <row r="2110">
          <cell r="B2110" t="b">
            <v>1</v>
          </cell>
          <cell r="E2110" t="str">
            <v>Tierra Baja</v>
          </cell>
          <cell r="H2110" t="str">
            <v>laboratorio</v>
          </cell>
          <cell r="J2110" t="str">
            <v>bueno</v>
          </cell>
          <cell r="K2110" t="str">
            <v>probsi</v>
          </cell>
        </row>
        <row r="2111">
          <cell r="B2111" t="b">
            <v>1</v>
          </cell>
          <cell r="E2111" t="str">
            <v>Tierra Baja</v>
          </cell>
          <cell r="H2111" t="str">
            <v>laboratorio</v>
          </cell>
          <cell r="J2111" t="str">
            <v>bueno</v>
          </cell>
          <cell r="K2111" t="str">
            <v>probsi</v>
          </cell>
        </row>
        <row r="2112">
          <cell r="B2112" t="b">
            <v>1</v>
          </cell>
          <cell r="E2112" t="str">
            <v>Tierra Baja</v>
          </cell>
          <cell r="H2112" t="str">
            <v>laboratorio</v>
          </cell>
          <cell r="J2112" t="str">
            <v>bueno</v>
          </cell>
          <cell r="K2112" t="str">
            <v>probsi</v>
          </cell>
        </row>
        <row r="2113">
          <cell r="B2113" t="b">
            <v>1</v>
          </cell>
          <cell r="E2113" t="str">
            <v>Tierra Baja</v>
          </cell>
          <cell r="H2113" t="str">
            <v>laboratorio</v>
          </cell>
          <cell r="J2113" t="str">
            <v>bueno</v>
          </cell>
          <cell r="K2113" t="str">
            <v>probsi</v>
          </cell>
        </row>
        <row r="2114">
          <cell r="B2114" t="b">
            <v>1</v>
          </cell>
          <cell r="E2114" t="str">
            <v>Tierra Baja</v>
          </cell>
          <cell r="H2114" t="str">
            <v>laboratorio</v>
          </cell>
          <cell r="J2114" t="str">
            <v>bueno</v>
          </cell>
          <cell r="K2114" t="str">
            <v>probsi</v>
          </cell>
        </row>
        <row r="2115">
          <cell r="B2115" t="b">
            <v>1</v>
          </cell>
          <cell r="E2115" t="str">
            <v>Tierra Baja</v>
          </cell>
          <cell r="H2115" t="str">
            <v>laboratorio</v>
          </cell>
          <cell r="J2115" t="str">
            <v>bueno</v>
          </cell>
          <cell r="K2115" t="str">
            <v>probsi</v>
          </cell>
        </row>
        <row r="2116">
          <cell r="B2116" t="b">
            <v>1</v>
          </cell>
          <cell r="E2116" t="str">
            <v>Tierra Baja</v>
          </cell>
          <cell r="H2116" t="str">
            <v>laboratorio</v>
          </cell>
          <cell r="J2116" t="str">
            <v>bueno</v>
          </cell>
          <cell r="K2116" t="str">
            <v>probsi</v>
          </cell>
        </row>
        <row r="2117">
          <cell r="B2117" t="b">
            <v>1</v>
          </cell>
          <cell r="E2117" t="str">
            <v>Tierra Baja</v>
          </cell>
          <cell r="H2117" t="str">
            <v>laboratorio</v>
          </cell>
          <cell r="J2117" t="str">
            <v>bueno</v>
          </cell>
          <cell r="K2117" t="str">
            <v>probsi</v>
          </cell>
        </row>
        <row r="2118">
          <cell r="B2118" t="b">
            <v>1</v>
          </cell>
          <cell r="E2118" t="str">
            <v>Tierra Baja</v>
          </cell>
          <cell r="H2118" t="str">
            <v>laboratorio</v>
          </cell>
          <cell r="J2118" t="str">
            <v>bueno</v>
          </cell>
          <cell r="K2118" t="str">
            <v>probsi</v>
          </cell>
        </row>
        <row r="2119">
          <cell r="B2119" t="b">
            <v>1</v>
          </cell>
          <cell r="E2119" t="str">
            <v>Tierra Baja</v>
          </cell>
          <cell r="H2119" t="str">
            <v>laboratorio</v>
          </cell>
          <cell r="J2119" t="str">
            <v>bueno</v>
          </cell>
          <cell r="K2119" t="str">
            <v>probsi</v>
          </cell>
        </row>
        <row r="2120">
          <cell r="B2120" t="b">
            <v>1</v>
          </cell>
          <cell r="E2120" t="str">
            <v>Tierra Baja</v>
          </cell>
          <cell r="H2120" t="str">
            <v>laboratorio</v>
          </cell>
          <cell r="J2120" t="str">
            <v>bueno</v>
          </cell>
          <cell r="K2120" t="str">
            <v>probsi</v>
          </cell>
        </row>
        <row r="2121">
          <cell r="B2121" t="b">
            <v>1</v>
          </cell>
          <cell r="E2121" t="str">
            <v>Bicentenario</v>
          </cell>
          <cell r="H2121" t="str">
            <v>consulta_externa</v>
          </cell>
          <cell r="J2121" t="str">
            <v>bueno</v>
          </cell>
          <cell r="K2121" t="str">
            <v>defsi</v>
          </cell>
        </row>
        <row r="2122">
          <cell r="B2122" t="b">
            <v>1</v>
          </cell>
          <cell r="E2122" t="str">
            <v>Bicentenario</v>
          </cell>
          <cell r="H2122" t="str">
            <v>salud_oral</v>
          </cell>
          <cell r="J2122" t="str">
            <v>bueno</v>
          </cell>
          <cell r="K2122" t="str">
            <v>defsi</v>
          </cell>
        </row>
        <row r="2123">
          <cell r="B2123" t="b">
            <v>1</v>
          </cell>
          <cell r="E2123" t="str">
            <v>Bicentenario</v>
          </cell>
          <cell r="H2123" t="str">
            <v>laboratorio</v>
          </cell>
          <cell r="J2123" t="str">
            <v>bueno</v>
          </cell>
          <cell r="K2123" t="str">
            <v>defsi</v>
          </cell>
        </row>
        <row r="2124">
          <cell r="B2124" t="b">
            <v>1</v>
          </cell>
          <cell r="E2124" t="str">
            <v>Bicentenario</v>
          </cell>
          <cell r="H2124" t="str">
            <v>urgencia</v>
          </cell>
          <cell r="J2124" t="str">
            <v>bueno</v>
          </cell>
          <cell r="K2124" t="str">
            <v>defsi</v>
          </cell>
        </row>
        <row r="2125">
          <cell r="B2125" t="b">
            <v>0</v>
          </cell>
          <cell r="E2125" t="str">
            <v>Nelson Mandela UPA</v>
          </cell>
          <cell r="H2125" t="str">
            <v>consulta_externa</v>
          </cell>
          <cell r="J2125" t="str">
            <v>regular</v>
          </cell>
          <cell r="K2125" t="str">
            <v>probsi</v>
          </cell>
        </row>
        <row r="2126">
          <cell r="B2126" t="b">
            <v>1</v>
          </cell>
          <cell r="E2126" t="str">
            <v>Bicentenario</v>
          </cell>
          <cell r="H2126" t="str">
            <v>rx</v>
          </cell>
          <cell r="J2126" t="str">
            <v>bueno</v>
          </cell>
          <cell r="K2126" t="str">
            <v>defsi</v>
          </cell>
        </row>
        <row r="2127">
          <cell r="B2127" t="b">
            <v>0</v>
          </cell>
          <cell r="E2127" t="str">
            <v>Nelson Mandela UPA</v>
          </cell>
          <cell r="H2127" t="str">
            <v>consulta_externa</v>
          </cell>
          <cell r="J2127" t="str">
            <v>regular</v>
          </cell>
          <cell r="K2127" t="str">
            <v>probsi</v>
          </cell>
        </row>
        <row r="2128">
          <cell r="B2128" t="b">
            <v>1</v>
          </cell>
          <cell r="E2128" t="str">
            <v>Nelson Mandela UPA</v>
          </cell>
          <cell r="H2128" t="str">
            <v>consulta_externa</v>
          </cell>
          <cell r="J2128" t="str">
            <v>bueno</v>
          </cell>
          <cell r="K2128" t="str">
            <v>probsi</v>
          </cell>
        </row>
        <row r="2129">
          <cell r="B2129" t="b">
            <v>1</v>
          </cell>
          <cell r="E2129" t="str">
            <v>Nelson Mandela UPA</v>
          </cell>
          <cell r="H2129" t="str">
            <v>consulta_externa</v>
          </cell>
          <cell r="J2129" t="str">
            <v>bueno</v>
          </cell>
          <cell r="K2129" t="str">
            <v>probsi</v>
          </cell>
        </row>
        <row r="2130">
          <cell r="B2130" t="b">
            <v>1</v>
          </cell>
          <cell r="E2130" t="str">
            <v>Nelson Mandela UPA</v>
          </cell>
          <cell r="H2130" t="str">
            <v>consulta_externa</v>
          </cell>
          <cell r="J2130" t="str">
            <v>bueno</v>
          </cell>
          <cell r="K2130" t="str">
            <v>probsi</v>
          </cell>
        </row>
        <row r="2131">
          <cell r="B2131" t="b">
            <v>1</v>
          </cell>
          <cell r="E2131" t="str">
            <v>Nelson Mandela UPA</v>
          </cell>
          <cell r="H2131" t="str">
            <v>consulta_externa</v>
          </cell>
          <cell r="J2131" t="str">
            <v>bueno</v>
          </cell>
          <cell r="K2131" t="str">
            <v>probsi</v>
          </cell>
        </row>
        <row r="2132">
          <cell r="B2132" t="b">
            <v>1</v>
          </cell>
          <cell r="E2132" t="str">
            <v>Nelson Mandela UPA</v>
          </cell>
          <cell r="H2132" t="str">
            <v>salud_oral</v>
          </cell>
          <cell r="J2132" t="str">
            <v>bueno</v>
          </cell>
          <cell r="K2132" t="str">
            <v>probsi</v>
          </cell>
        </row>
        <row r="2133">
          <cell r="B2133" t="b">
            <v>1</v>
          </cell>
          <cell r="E2133" t="str">
            <v>Nelson Mandela UPA</v>
          </cell>
          <cell r="H2133" t="str">
            <v>salud_oral</v>
          </cell>
          <cell r="J2133" t="str">
            <v>bueno</v>
          </cell>
          <cell r="K2133" t="str">
            <v>probsi</v>
          </cell>
        </row>
        <row r="2134">
          <cell r="B2134" t="b">
            <v>1</v>
          </cell>
          <cell r="E2134" t="str">
            <v>Nelson Mandela UPA</v>
          </cell>
          <cell r="H2134" t="str">
            <v>salud_oral</v>
          </cell>
          <cell r="J2134" t="str">
            <v>bueno</v>
          </cell>
          <cell r="K2134" t="str">
            <v>probsi</v>
          </cell>
        </row>
        <row r="2135">
          <cell r="B2135" t="b">
            <v>1</v>
          </cell>
          <cell r="E2135" t="str">
            <v>Nelson Mandela UPA</v>
          </cell>
          <cell r="H2135" t="str">
            <v>salud_oral</v>
          </cell>
          <cell r="J2135" t="str">
            <v>bueno</v>
          </cell>
          <cell r="K2135" t="str">
            <v>probsi</v>
          </cell>
        </row>
        <row r="2136">
          <cell r="B2136" t="b">
            <v>1</v>
          </cell>
          <cell r="E2136" t="str">
            <v>Nelson Mandela UPA</v>
          </cell>
          <cell r="H2136" t="str">
            <v>salud_oral</v>
          </cell>
          <cell r="J2136" t="str">
            <v>bueno</v>
          </cell>
          <cell r="K2136" t="str">
            <v>probsi</v>
          </cell>
        </row>
        <row r="2137">
          <cell r="B2137" t="b">
            <v>0</v>
          </cell>
          <cell r="E2137" t="str">
            <v>Nelson Mandela UPA</v>
          </cell>
          <cell r="H2137" t="str">
            <v>laboratorio</v>
          </cell>
          <cell r="J2137" t="str">
            <v>regular</v>
          </cell>
          <cell r="K2137" t="str">
            <v>probsi</v>
          </cell>
        </row>
        <row r="2138">
          <cell r="B2138" t="b">
            <v>1</v>
          </cell>
          <cell r="E2138" t="str">
            <v>Nelson Mandela UPA</v>
          </cell>
          <cell r="H2138" t="str">
            <v>laboratorio</v>
          </cell>
          <cell r="J2138" t="str">
            <v>bueno</v>
          </cell>
          <cell r="K2138" t="str">
            <v>probsi</v>
          </cell>
        </row>
        <row r="2139">
          <cell r="B2139" t="b">
            <v>1</v>
          </cell>
          <cell r="E2139" t="str">
            <v>Nelson Mandela UPA</v>
          </cell>
          <cell r="H2139" t="str">
            <v>laboratorio</v>
          </cell>
          <cell r="J2139" t="str">
            <v>bueno</v>
          </cell>
          <cell r="K2139" t="str">
            <v>probsi</v>
          </cell>
        </row>
        <row r="2140">
          <cell r="B2140" t="b">
            <v>1</v>
          </cell>
          <cell r="E2140" t="str">
            <v>Nelson Mandela UPA</v>
          </cell>
          <cell r="H2140" t="str">
            <v>laboratorio</v>
          </cell>
          <cell r="J2140" t="str">
            <v>bueno</v>
          </cell>
          <cell r="K2140" t="str">
            <v>probsi</v>
          </cell>
        </row>
        <row r="2141">
          <cell r="B2141" t="b">
            <v>1</v>
          </cell>
          <cell r="E2141" t="str">
            <v>Bicentenario</v>
          </cell>
          <cell r="H2141" t="str">
            <v>consulta_externa</v>
          </cell>
          <cell r="J2141" t="str">
            <v>bueno</v>
          </cell>
          <cell r="K2141" t="str">
            <v>defsi</v>
          </cell>
        </row>
        <row r="2142">
          <cell r="B2142" t="b">
            <v>0</v>
          </cell>
          <cell r="E2142" t="str">
            <v>Nelson Mandela UPA</v>
          </cell>
          <cell r="H2142" t="str">
            <v>laboratorio</v>
          </cell>
          <cell r="J2142" t="str">
            <v>regular</v>
          </cell>
          <cell r="K2142" t="str">
            <v>probsi</v>
          </cell>
        </row>
        <row r="2143">
          <cell r="B2143" t="b">
            <v>1</v>
          </cell>
          <cell r="E2143" t="str">
            <v>Nelson Mandela UPA</v>
          </cell>
          <cell r="H2143" t="str">
            <v>laboratorio</v>
          </cell>
          <cell r="J2143" t="str">
            <v>bueno</v>
          </cell>
          <cell r="K2143" t="str">
            <v>probsi</v>
          </cell>
        </row>
        <row r="2144">
          <cell r="B2144" t="b">
            <v>1</v>
          </cell>
          <cell r="E2144" t="str">
            <v>Puerto Rey</v>
          </cell>
          <cell r="H2144" t="str">
            <v>consulta_externa</v>
          </cell>
          <cell r="J2144" t="str">
            <v>bueno</v>
          </cell>
          <cell r="K2144" t="str">
            <v>probsi</v>
          </cell>
        </row>
        <row r="2145">
          <cell r="B2145" t="b">
            <v>1</v>
          </cell>
          <cell r="E2145" t="str">
            <v>Nelson Mandela UPA</v>
          </cell>
          <cell r="H2145" t="str">
            <v>laboratorio</v>
          </cell>
          <cell r="J2145" t="str">
            <v>bueno</v>
          </cell>
          <cell r="K2145" t="str">
            <v>probsi</v>
          </cell>
        </row>
        <row r="2146">
          <cell r="B2146" t="b">
            <v>1</v>
          </cell>
          <cell r="E2146" t="str">
            <v>Puerto Rey</v>
          </cell>
          <cell r="H2146" t="str">
            <v>consulta_externa</v>
          </cell>
          <cell r="J2146" t="str">
            <v>bueno</v>
          </cell>
          <cell r="K2146" t="str">
            <v>probsi</v>
          </cell>
        </row>
        <row r="2147">
          <cell r="B2147" t="b">
            <v>1</v>
          </cell>
          <cell r="E2147" t="str">
            <v>Puerto Rey</v>
          </cell>
          <cell r="H2147" t="str">
            <v>consulta_externa</v>
          </cell>
          <cell r="J2147" t="str">
            <v>bueno</v>
          </cell>
          <cell r="K2147" t="str">
            <v>probsi</v>
          </cell>
        </row>
        <row r="2148">
          <cell r="B2148" t="b">
            <v>1</v>
          </cell>
          <cell r="E2148" t="str">
            <v>Puerto Rey</v>
          </cell>
          <cell r="H2148" t="str">
            <v>consulta_externa</v>
          </cell>
          <cell r="J2148" t="str">
            <v>bueno</v>
          </cell>
          <cell r="K2148" t="str">
            <v>probsi</v>
          </cell>
        </row>
        <row r="2149">
          <cell r="B2149" t="b">
            <v>1</v>
          </cell>
          <cell r="E2149" t="str">
            <v>Puerto Rey</v>
          </cell>
          <cell r="H2149" t="str">
            <v>consulta_externa</v>
          </cell>
          <cell r="J2149" t="str">
            <v>bueno</v>
          </cell>
          <cell r="K2149" t="str">
            <v>probsi</v>
          </cell>
        </row>
        <row r="2150">
          <cell r="B2150" t="b">
            <v>1</v>
          </cell>
          <cell r="E2150" t="str">
            <v>Puerto Rey</v>
          </cell>
          <cell r="H2150" t="str">
            <v>consulta_externa</v>
          </cell>
          <cell r="J2150" t="str">
            <v>bueno</v>
          </cell>
          <cell r="K2150" t="str">
            <v>probsi</v>
          </cell>
        </row>
        <row r="2151">
          <cell r="B2151" t="b">
            <v>1</v>
          </cell>
          <cell r="E2151" t="str">
            <v>Tierra Baja</v>
          </cell>
          <cell r="H2151" t="str">
            <v>consulta_externa</v>
          </cell>
          <cell r="J2151" t="str">
            <v>bueno</v>
          </cell>
          <cell r="K2151" t="str">
            <v>probsi</v>
          </cell>
        </row>
        <row r="2152">
          <cell r="B2152" t="b">
            <v>1</v>
          </cell>
          <cell r="E2152" t="str">
            <v>Tierra Baja</v>
          </cell>
          <cell r="H2152" t="str">
            <v>consulta_externa</v>
          </cell>
          <cell r="J2152" t="str">
            <v>bueno</v>
          </cell>
          <cell r="K2152" t="str">
            <v>probsi</v>
          </cell>
        </row>
        <row r="2153">
          <cell r="B2153" t="b">
            <v>1</v>
          </cell>
          <cell r="E2153" t="str">
            <v>Tierra Baja</v>
          </cell>
          <cell r="H2153" t="str">
            <v>laboratorio</v>
          </cell>
          <cell r="J2153" t="str">
            <v>bueno</v>
          </cell>
          <cell r="K2153" t="str">
            <v>probsi</v>
          </cell>
        </row>
        <row r="2154">
          <cell r="B2154" t="b">
            <v>1</v>
          </cell>
          <cell r="E2154" t="str">
            <v>Tierra Baja</v>
          </cell>
          <cell r="H2154" t="str">
            <v>laboratorio</v>
          </cell>
          <cell r="J2154" t="str">
            <v>bueno</v>
          </cell>
          <cell r="K2154" t="str">
            <v>probsi</v>
          </cell>
        </row>
        <row r="2155">
          <cell r="B2155" t="b">
            <v>1</v>
          </cell>
          <cell r="E2155" t="str">
            <v>Tierra Baja</v>
          </cell>
          <cell r="H2155" t="str">
            <v>salud_oral</v>
          </cell>
          <cell r="J2155" t="str">
            <v>bueno</v>
          </cell>
          <cell r="K2155" t="str">
            <v>probsi</v>
          </cell>
        </row>
        <row r="2156">
          <cell r="B2156" t="b">
            <v>1</v>
          </cell>
          <cell r="E2156" t="str">
            <v>Tierra Baja</v>
          </cell>
          <cell r="H2156" t="str">
            <v>salud_oral</v>
          </cell>
          <cell r="J2156" t="str">
            <v>bueno</v>
          </cell>
          <cell r="K2156" t="str">
            <v>probsi</v>
          </cell>
        </row>
        <row r="2157">
          <cell r="B2157" t="b">
            <v>1</v>
          </cell>
          <cell r="E2157" t="str">
            <v>Tierra Baja</v>
          </cell>
          <cell r="H2157" t="str">
            <v>salud_oral</v>
          </cell>
          <cell r="J2157" t="str">
            <v>bueno</v>
          </cell>
          <cell r="K2157" t="str">
            <v>probsi</v>
          </cell>
        </row>
        <row r="2158">
          <cell r="B2158" t="b">
            <v>1</v>
          </cell>
          <cell r="E2158" t="str">
            <v>Tierra Baja</v>
          </cell>
          <cell r="H2158" t="str">
            <v>salud_oral</v>
          </cell>
          <cell r="J2158" t="str">
            <v>bueno</v>
          </cell>
          <cell r="K2158" t="str">
            <v>probsi</v>
          </cell>
        </row>
        <row r="2159">
          <cell r="B2159" t="b">
            <v>1</v>
          </cell>
          <cell r="E2159" t="str">
            <v>Tierra Baja</v>
          </cell>
          <cell r="H2159" t="str">
            <v>salud_oral</v>
          </cell>
          <cell r="J2159" t="str">
            <v>bueno</v>
          </cell>
          <cell r="K2159" t="str">
            <v>probsi</v>
          </cell>
        </row>
        <row r="2160">
          <cell r="B2160" t="b">
            <v>1</v>
          </cell>
          <cell r="E2160" t="str">
            <v>Tierra Baja</v>
          </cell>
          <cell r="H2160" t="str">
            <v>salud_oral</v>
          </cell>
          <cell r="J2160" t="str">
            <v>bueno</v>
          </cell>
          <cell r="K2160" t="str">
            <v>probsi</v>
          </cell>
        </row>
        <row r="2161">
          <cell r="B2161" t="b">
            <v>1</v>
          </cell>
          <cell r="E2161" t="str">
            <v>Tierra Baja</v>
          </cell>
          <cell r="H2161" t="str">
            <v>salud_oral</v>
          </cell>
          <cell r="J2161" t="str">
            <v>bueno</v>
          </cell>
          <cell r="K2161" t="str">
            <v>probsi</v>
          </cell>
        </row>
        <row r="2162">
          <cell r="B2162" t="b">
            <v>1</v>
          </cell>
          <cell r="E2162" t="str">
            <v>Tierra Baja</v>
          </cell>
          <cell r="H2162" t="str">
            <v>salud_oral</v>
          </cell>
          <cell r="J2162" t="str">
            <v>bueno</v>
          </cell>
          <cell r="K2162" t="str">
            <v>probsi</v>
          </cell>
        </row>
        <row r="2163">
          <cell r="B2163" t="b">
            <v>1</v>
          </cell>
          <cell r="E2163" t="str">
            <v>Tierra Baja</v>
          </cell>
          <cell r="H2163" t="str">
            <v>salud_oral</v>
          </cell>
          <cell r="J2163" t="str">
            <v>bueno</v>
          </cell>
          <cell r="K2163" t="str">
            <v>probsi</v>
          </cell>
        </row>
        <row r="2164">
          <cell r="B2164" t="b">
            <v>1</v>
          </cell>
          <cell r="E2164" t="str">
            <v>Tierra Baja</v>
          </cell>
          <cell r="H2164" t="str">
            <v>laboratorio</v>
          </cell>
          <cell r="J2164" t="str">
            <v>bueno</v>
          </cell>
          <cell r="K2164" t="str">
            <v>probsi</v>
          </cell>
        </row>
        <row r="2165">
          <cell r="B2165" t="b">
            <v>1</v>
          </cell>
          <cell r="E2165" t="str">
            <v>Tierra Baja</v>
          </cell>
          <cell r="H2165" t="str">
            <v>laboratorio</v>
          </cell>
          <cell r="J2165" t="str">
            <v>bueno</v>
          </cell>
          <cell r="K2165" t="str">
            <v>probsi</v>
          </cell>
        </row>
        <row r="2166">
          <cell r="B2166" t="b">
            <v>1</v>
          </cell>
          <cell r="E2166" t="str">
            <v>Tierra Baja</v>
          </cell>
          <cell r="H2166" t="str">
            <v>laboratorio</v>
          </cell>
          <cell r="J2166" t="str">
            <v>bueno</v>
          </cell>
          <cell r="K2166" t="str">
            <v>probsi</v>
          </cell>
        </row>
        <row r="2167">
          <cell r="B2167" t="b">
            <v>1</v>
          </cell>
          <cell r="E2167" t="str">
            <v>Puerto Rey</v>
          </cell>
          <cell r="H2167" t="str">
            <v>laboratorio</v>
          </cell>
          <cell r="J2167" t="str">
            <v>bueno</v>
          </cell>
          <cell r="K2167" t="str">
            <v>probsi</v>
          </cell>
        </row>
        <row r="2168">
          <cell r="B2168" t="b">
            <v>1</v>
          </cell>
          <cell r="E2168" t="str">
            <v>Puerto Rey</v>
          </cell>
          <cell r="H2168" t="str">
            <v>laboratorio</v>
          </cell>
          <cell r="J2168" t="str">
            <v>bueno</v>
          </cell>
          <cell r="K2168" t="str">
            <v>probsi</v>
          </cell>
        </row>
        <row r="2169">
          <cell r="B2169" t="b">
            <v>1</v>
          </cell>
          <cell r="E2169" t="str">
            <v>Puerto Rey</v>
          </cell>
          <cell r="H2169" t="str">
            <v>laboratorio</v>
          </cell>
          <cell r="J2169" t="str">
            <v>bueno</v>
          </cell>
          <cell r="K2169" t="str">
            <v>probsi</v>
          </cell>
        </row>
        <row r="2170">
          <cell r="B2170" t="b">
            <v>1</v>
          </cell>
          <cell r="E2170" t="str">
            <v>Puerto Rey</v>
          </cell>
          <cell r="H2170" t="str">
            <v>laboratorio</v>
          </cell>
          <cell r="J2170" t="str">
            <v>bueno</v>
          </cell>
          <cell r="K2170" t="str">
            <v>probsi</v>
          </cell>
        </row>
        <row r="2171">
          <cell r="B2171" t="b">
            <v>1</v>
          </cell>
          <cell r="E2171" t="str">
            <v>Puerto Rey</v>
          </cell>
          <cell r="H2171" t="str">
            <v>laboratorio</v>
          </cell>
          <cell r="J2171" t="str">
            <v>bueno</v>
          </cell>
          <cell r="K2171" t="str">
            <v>probsi</v>
          </cell>
        </row>
        <row r="2172">
          <cell r="B2172" t="b">
            <v>1</v>
          </cell>
          <cell r="E2172" t="str">
            <v>Puerto Rey</v>
          </cell>
          <cell r="H2172" t="str">
            <v>consulta_externa</v>
          </cell>
          <cell r="J2172" t="str">
            <v>bueno</v>
          </cell>
          <cell r="K2172" t="str">
            <v>probsi</v>
          </cell>
        </row>
        <row r="2173">
          <cell r="B2173" t="b">
            <v>1</v>
          </cell>
          <cell r="E2173" t="str">
            <v>Puerto Rey</v>
          </cell>
          <cell r="H2173" t="str">
            <v>consulta_externa</v>
          </cell>
          <cell r="J2173" t="str">
            <v>bueno</v>
          </cell>
          <cell r="K2173" t="str">
            <v>probsi</v>
          </cell>
        </row>
        <row r="2174">
          <cell r="B2174" t="b">
            <v>1</v>
          </cell>
          <cell r="E2174" t="str">
            <v>Puerto Rey</v>
          </cell>
          <cell r="H2174" t="str">
            <v>consulta_externa</v>
          </cell>
          <cell r="J2174" t="str">
            <v>bueno</v>
          </cell>
          <cell r="K2174" t="str">
            <v>probsi</v>
          </cell>
        </row>
        <row r="2175">
          <cell r="B2175" t="b">
            <v>1</v>
          </cell>
          <cell r="E2175" t="str">
            <v>Puerto Rey</v>
          </cell>
          <cell r="H2175" t="str">
            <v>consulta_externa</v>
          </cell>
          <cell r="J2175" t="str">
            <v>bueno</v>
          </cell>
          <cell r="K2175" t="str">
            <v>probsi</v>
          </cell>
        </row>
        <row r="2176">
          <cell r="B2176" t="b">
            <v>1</v>
          </cell>
          <cell r="E2176" t="str">
            <v>Puerto Rey</v>
          </cell>
          <cell r="H2176" t="str">
            <v>salud_oral</v>
          </cell>
          <cell r="J2176" t="str">
            <v>bueno</v>
          </cell>
          <cell r="K2176" t="str">
            <v>probsi</v>
          </cell>
        </row>
        <row r="2177">
          <cell r="B2177" t="b">
            <v>1</v>
          </cell>
          <cell r="E2177" t="str">
            <v>Puerto Rey</v>
          </cell>
          <cell r="H2177" t="str">
            <v>laboratorio</v>
          </cell>
          <cell r="J2177" t="str">
            <v>bueno</v>
          </cell>
          <cell r="K2177" t="str">
            <v>probsi</v>
          </cell>
        </row>
        <row r="2178">
          <cell r="B2178" t="b">
            <v>1</v>
          </cell>
          <cell r="E2178" t="str">
            <v>Puerto Rey</v>
          </cell>
          <cell r="H2178" t="str">
            <v>laboratorio</v>
          </cell>
          <cell r="J2178" t="str">
            <v>bueno</v>
          </cell>
          <cell r="K2178" t="str">
            <v>probsi</v>
          </cell>
        </row>
        <row r="2179">
          <cell r="B2179" t="b">
            <v>1</v>
          </cell>
          <cell r="E2179" t="str">
            <v>Puerto Rey</v>
          </cell>
          <cell r="H2179" t="str">
            <v>laboratorio</v>
          </cell>
          <cell r="J2179" t="str">
            <v>bueno</v>
          </cell>
          <cell r="K2179" t="str">
            <v>probsi</v>
          </cell>
        </row>
        <row r="2180">
          <cell r="B2180" t="b">
            <v>1</v>
          </cell>
          <cell r="E2180" t="str">
            <v>Puerto Rey</v>
          </cell>
          <cell r="H2180" t="str">
            <v>salud_oral</v>
          </cell>
          <cell r="J2180" t="str">
            <v>bueno</v>
          </cell>
          <cell r="K2180" t="str">
            <v>probsi</v>
          </cell>
        </row>
        <row r="2181">
          <cell r="B2181" t="b">
            <v>1</v>
          </cell>
          <cell r="E2181" t="str">
            <v>Puerto Rey</v>
          </cell>
          <cell r="H2181" t="str">
            <v>salud_oral</v>
          </cell>
          <cell r="J2181" t="str">
            <v>bueno</v>
          </cell>
          <cell r="K2181" t="str">
            <v>probsi</v>
          </cell>
        </row>
        <row r="2182">
          <cell r="B2182" t="b">
            <v>1</v>
          </cell>
          <cell r="E2182" t="str">
            <v>Bicentenario</v>
          </cell>
          <cell r="H2182" t="str">
            <v>salud_oral</v>
          </cell>
          <cell r="J2182" t="str">
            <v>bueno</v>
          </cell>
          <cell r="K2182" t="str">
            <v>defsi</v>
          </cell>
        </row>
        <row r="2183">
          <cell r="B2183" t="b">
            <v>1</v>
          </cell>
          <cell r="E2183" t="str">
            <v>Bicentenario</v>
          </cell>
          <cell r="H2183" t="str">
            <v>laboratorio</v>
          </cell>
          <cell r="J2183" t="str">
            <v>bueno</v>
          </cell>
          <cell r="K2183" t="str">
            <v>defsi</v>
          </cell>
        </row>
        <row r="2184">
          <cell r="B2184" t="b">
            <v>1</v>
          </cell>
          <cell r="E2184" t="str">
            <v>Bicentenario</v>
          </cell>
          <cell r="H2184" t="str">
            <v>urgencia</v>
          </cell>
          <cell r="J2184" t="str">
            <v>bueno</v>
          </cell>
          <cell r="K2184" t="str">
            <v>defsi</v>
          </cell>
        </row>
        <row r="2185">
          <cell r="B2185" t="b">
            <v>1</v>
          </cell>
          <cell r="E2185" t="str">
            <v>Bicentenario</v>
          </cell>
          <cell r="H2185" t="str">
            <v>rx</v>
          </cell>
          <cell r="J2185" t="str">
            <v>bueno</v>
          </cell>
          <cell r="K2185" t="str">
            <v>defsi</v>
          </cell>
        </row>
        <row r="2186">
          <cell r="B2186" t="b">
            <v>0</v>
          </cell>
          <cell r="E2186" t="str">
            <v>Nelson Mandela UPA</v>
          </cell>
          <cell r="H2186" t="str">
            <v>consulta_externa</v>
          </cell>
          <cell r="J2186" t="str">
            <v>regular</v>
          </cell>
          <cell r="K2186" t="str">
            <v>probsi</v>
          </cell>
        </row>
        <row r="2187">
          <cell r="B2187" t="b">
            <v>1</v>
          </cell>
          <cell r="E2187" t="str">
            <v>Nelson Mandela UPA</v>
          </cell>
          <cell r="H2187" t="str">
            <v>consulta_externa</v>
          </cell>
          <cell r="J2187" t="str">
            <v>bueno</v>
          </cell>
          <cell r="K2187" t="str">
            <v>probsi</v>
          </cell>
        </row>
        <row r="2188">
          <cell r="B2188" t="b">
            <v>1</v>
          </cell>
          <cell r="E2188" t="str">
            <v>Nelson Mandela UPA</v>
          </cell>
          <cell r="H2188" t="str">
            <v>consulta_externa</v>
          </cell>
          <cell r="J2188" t="str">
            <v>bueno</v>
          </cell>
          <cell r="K2188" t="str">
            <v>probsi</v>
          </cell>
        </row>
        <row r="2189">
          <cell r="B2189" t="b">
            <v>1</v>
          </cell>
          <cell r="E2189" t="str">
            <v>Nelson Mandela UPA</v>
          </cell>
          <cell r="H2189" t="str">
            <v>salud_oral</v>
          </cell>
          <cell r="J2189" t="str">
            <v>bueno</v>
          </cell>
          <cell r="K2189" t="str">
            <v>probsi</v>
          </cell>
        </row>
        <row r="2190">
          <cell r="B2190" t="b">
            <v>1</v>
          </cell>
          <cell r="E2190" t="str">
            <v>Bicentenario</v>
          </cell>
          <cell r="H2190" t="str">
            <v>consulta_externa</v>
          </cell>
          <cell r="J2190" t="str">
            <v>bueno</v>
          </cell>
          <cell r="K2190" t="str">
            <v>defsi</v>
          </cell>
        </row>
        <row r="2191">
          <cell r="B2191" t="b">
            <v>1</v>
          </cell>
          <cell r="E2191" t="str">
            <v>Nelson Mandela UPA</v>
          </cell>
          <cell r="H2191" t="str">
            <v>salud_oral</v>
          </cell>
          <cell r="J2191" t="str">
            <v>bueno</v>
          </cell>
          <cell r="K2191" t="str">
            <v>probsi</v>
          </cell>
        </row>
        <row r="2192">
          <cell r="B2192" t="b">
            <v>1</v>
          </cell>
          <cell r="E2192" t="str">
            <v>Nelson Mandela UPA</v>
          </cell>
          <cell r="H2192" t="str">
            <v>salud_oral</v>
          </cell>
          <cell r="J2192" t="str">
            <v>bueno</v>
          </cell>
          <cell r="K2192" t="str">
            <v>probsi</v>
          </cell>
        </row>
        <row r="2193">
          <cell r="B2193" t="b">
            <v>1</v>
          </cell>
          <cell r="E2193" t="str">
            <v>Nelson Mandela UPA</v>
          </cell>
          <cell r="H2193" t="str">
            <v>salud_oral</v>
          </cell>
          <cell r="J2193" t="str">
            <v>bueno</v>
          </cell>
          <cell r="K2193" t="str">
            <v>probsi</v>
          </cell>
        </row>
        <row r="2194">
          <cell r="B2194" t="b">
            <v>1</v>
          </cell>
          <cell r="E2194" t="str">
            <v>Nelson Mandela UPA</v>
          </cell>
          <cell r="H2194" t="str">
            <v>laboratorio</v>
          </cell>
          <cell r="J2194" t="str">
            <v>bueno</v>
          </cell>
          <cell r="K2194" t="str">
            <v>probsi</v>
          </cell>
        </row>
        <row r="2195">
          <cell r="B2195" t="b">
            <v>0</v>
          </cell>
          <cell r="E2195" t="str">
            <v>Nelson Mandela UPA</v>
          </cell>
          <cell r="H2195" t="str">
            <v>laboratorio</v>
          </cell>
          <cell r="J2195" t="str">
            <v>regular</v>
          </cell>
          <cell r="K2195" t="str">
            <v>probsi</v>
          </cell>
        </row>
        <row r="2196">
          <cell r="B2196" t="b">
            <v>0</v>
          </cell>
          <cell r="E2196" t="str">
            <v>Nelson Mandela UPA</v>
          </cell>
          <cell r="H2196" t="str">
            <v>laboratorio</v>
          </cell>
          <cell r="J2196" t="str">
            <v>regular</v>
          </cell>
          <cell r="K2196" t="str">
            <v>probsi</v>
          </cell>
        </row>
        <row r="2197">
          <cell r="B2197" t="b">
            <v>0</v>
          </cell>
          <cell r="E2197" t="str">
            <v>Nelson Mandela UPA</v>
          </cell>
          <cell r="H2197" t="str">
            <v>consulta_externa</v>
          </cell>
          <cell r="J2197" t="str">
            <v>regular</v>
          </cell>
          <cell r="K2197" t="str">
            <v>probsi</v>
          </cell>
        </row>
        <row r="2198">
          <cell r="B2198" t="b">
            <v>1</v>
          </cell>
          <cell r="E2198" t="str">
            <v>Nelson Mandela UPA</v>
          </cell>
          <cell r="H2198" t="str">
            <v>consulta_externa</v>
          </cell>
          <cell r="J2198" t="str">
            <v>bueno</v>
          </cell>
          <cell r="K2198" t="str">
            <v>probsi</v>
          </cell>
        </row>
        <row r="2199">
          <cell r="B2199" t="b">
            <v>1</v>
          </cell>
          <cell r="E2199" t="str">
            <v>Nelson Mandela UPA</v>
          </cell>
          <cell r="H2199" t="str">
            <v>salud_oral</v>
          </cell>
          <cell r="J2199" t="str">
            <v>bueno</v>
          </cell>
          <cell r="K2199" t="str">
            <v>probsi</v>
          </cell>
        </row>
        <row r="2200">
          <cell r="B2200" t="b">
            <v>1</v>
          </cell>
          <cell r="E2200" t="str">
            <v>Nelson Mandela UPA</v>
          </cell>
          <cell r="H2200" t="str">
            <v>salud_oral</v>
          </cell>
          <cell r="J2200" t="str">
            <v>bueno</v>
          </cell>
          <cell r="K2200" t="str">
            <v>probsi</v>
          </cell>
        </row>
        <row r="2201">
          <cell r="B2201" t="b">
            <v>1</v>
          </cell>
          <cell r="E2201" t="str">
            <v>Bicentenario</v>
          </cell>
          <cell r="H2201" t="str">
            <v>salud_oral</v>
          </cell>
          <cell r="J2201" t="str">
            <v>bueno</v>
          </cell>
          <cell r="K2201" t="str">
            <v>defsi</v>
          </cell>
        </row>
        <row r="2202">
          <cell r="B2202" t="b">
            <v>1</v>
          </cell>
          <cell r="E2202" t="str">
            <v>Bicentenario</v>
          </cell>
          <cell r="H2202" t="str">
            <v>urgencia</v>
          </cell>
          <cell r="J2202" t="str">
            <v>bueno</v>
          </cell>
          <cell r="K2202" t="str">
            <v>defsi</v>
          </cell>
        </row>
        <row r="2203">
          <cell r="B2203" t="b">
            <v>1</v>
          </cell>
          <cell r="E2203" t="str">
            <v>Bicentenario</v>
          </cell>
          <cell r="H2203" t="str">
            <v>rx</v>
          </cell>
          <cell r="J2203" t="str">
            <v>bueno</v>
          </cell>
          <cell r="K2203" t="str">
            <v>defsi</v>
          </cell>
        </row>
        <row r="2204">
          <cell r="B2204" t="b">
            <v>1</v>
          </cell>
          <cell r="E2204" t="str">
            <v>Bicentenario</v>
          </cell>
          <cell r="H2204" t="str">
            <v>laboratorio</v>
          </cell>
          <cell r="J2204" t="str">
            <v>bueno</v>
          </cell>
          <cell r="K2204" t="str">
            <v>defsi</v>
          </cell>
        </row>
        <row r="2205">
          <cell r="B2205" t="b">
            <v>1</v>
          </cell>
          <cell r="E2205" t="str">
            <v>Bicentenario</v>
          </cell>
          <cell r="H2205" t="str">
            <v>consulta_externa</v>
          </cell>
          <cell r="J2205" t="str">
            <v>bueno</v>
          </cell>
          <cell r="K2205" t="str">
            <v>defsi</v>
          </cell>
        </row>
        <row r="2206">
          <cell r="B2206" t="b">
            <v>1</v>
          </cell>
          <cell r="E2206" t="str">
            <v>Bicentenario</v>
          </cell>
          <cell r="H2206" t="str">
            <v>salud_oral</v>
          </cell>
          <cell r="J2206" t="str">
            <v>bueno</v>
          </cell>
          <cell r="K2206" t="str">
            <v>defsi</v>
          </cell>
        </row>
        <row r="2207">
          <cell r="B2207" t="b">
            <v>1</v>
          </cell>
          <cell r="E2207" t="str">
            <v>Bicentenario</v>
          </cell>
          <cell r="H2207" t="str">
            <v>laboratorio</v>
          </cell>
          <cell r="J2207" t="str">
            <v>bueno</v>
          </cell>
          <cell r="K2207" t="str">
            <v>defsi</v>
          </cell>
        </row>
        <row r="2208">
          <cell r="B2208" t="b">
            <v>1</v>
          </cell>
          <cell r="E2208" t="str">
            <v>Bicentenario</v>
          </cell>
          <cell r="H2208" t="str">
            <v>urgencia</v>
          </cell>
          <cell r="J2208" t="str">
            <v>bueno</v>
          </cell>
          <cell r="K2208" t="str">
            <v>defsi</v>
          </cell>
        </row>
        <row r="2209">
          <cell r="B2209" t="b">
            <v>1</v>
          </cell>
          <cell r="E2209" t="str">
            <v>Bicentenario</v>
          </cell>
          <cell r="H2209" t="str">
            <v>rx</v>
          </cell>
          <cell r="J2209" t="str">
            <v>bueno</v>
          </cell>
          <cell r="K2209" t="str">
            <v>defsi</v>
          </cell>
        </row>
        <row r="2210">
          <cell r="B2210" t="b">
            <v>0</v>
          </cell>
          <cell r="E2210" t="str">
            <v>Bicentenario</v>
          </cell>
          <cell r="H2210" t="str">
            <v>consulta_externa</v>
          </cell>
          <cell r="J2210" t="str">
            <v>regular</v>
          </cell>
          <cell r="K2210" t="str">
            <v>defsi</v>
          </cell>
        </row>
        <row r="2211">
          <cell r="B2211" t="b">
            <v>1</v>
          </cell>
          <cell r="E2211" t="str">
            <v>Nelson Mandela UPA</v>
          </cell>
          <cell r="H2211" t="str">
            <v>urgencia</v>
          </cell>
          <cell r="J2211" t="str">
            <v>bueno</v>
          </cell>
          <cell r="K2211" t="str">
            <v>probsi</v>
          </cell>
        </row>
        <row r="2212">
          <cell r="B2212" t="b">
            <v>1</v>
          </cell>
          <cell r="E2212" t="str">
            <v>Nelson Mandela UPA</v>
          </cell>
          <cell r="H2212" t="str">
            <v>urgencia</v>
          </cell>
          <cell r="J2212" t="str">
            <v>bueno</v>
          </cell>
          <cell r="K2212" t="str">
            <v>probsi</v>
          </cell>
        </row>
        <row r="2213">
          <cell r="B2213" t="b">
            <v>1</v>
          </cell>
          <cell r="E2213" t="str">
            <v>Nelson Mandela UPA</v>
          </cell>
          <cell r="H2213" t="str">
            <v>urgencia</v>
          </cell>
          <cell r="J2213" t="str">
            <v>bueno</v>
          </cell>
          <cell r="K2213" t="str">
            <v>probsi</v>
          </cell>
        </row>
        <row r="2214">
          <cell r="B2214" t="b">
            <v>1</v>
          </cell>
          <cell r="E2214" t="str">
            <v>Nelson Mandela UPA</v>
          </cell>
          <cell r="H2214" t="str">
            <v>urgencia</v>
          </cell>
          <cell r="J2214" t="str">
            <v>bueno</v>
          </cell>
          <cell r="K2214" t="str">
            <v>probsi</v>
          </cell>
        </row>
        <row r="2215">
          <cell r="B2215" t="b">
            <v>1</v>
          </cell>
          <cell r="E2215" t="str">
            <v>Nelson Mandela UPA</v>
          </cell>
          <cell r="H2215" t="str">
            <v>urgencia</v>
          </cell>
          <cell r="J2215" t="str">
            <v>bueno</v>
          </cell>
          <cell r="K2215" t="str">
            <v>probsi</v>
          </cell>
        </row>
        <row r="2216">
          <cell r="B2216" t="b">
            <v>1</v>
          </cell>
          <cell r="E2216" t="str">
            <v>Bicentenario</v>
          </cell>
          <cell r="H2216" t="str">
            <v>salud_oral</v>
          </cell>
          <cell r="J2216" t="str">
            <v>bueno</v>
          </cell>
          <cell r="K2216" t="str">
            <v>defsi</v>
          </cell>
        </row>
        <row r="2217">
          <cell r="B2217" t="b">
            <v>1</v>
          </cell>
          <cell r="E2217" t="str">
            <v>Nelson Mandela UPA</v>
          </cell>
          <cell r="H2217" t="str">
            <v>urgencia</v>
          </cell>
          <cell r="J2217" t="str">
            <v>bueno</v>
          </cell>
          <cell r="K2217" t="str">
            <v>probsi</v>
          </cell>
        </row>
        <row r="2218">
          <cell r="B2218" t="b">
            <v>1</v>
          </cell>
          <cell r="E2218" t="str">
            <v>Nelson Mandela UPA</v>
          </cell>
          <cell r="H2218" t="str">
            <v>urgencia</v>
          </cell>
          <cell r="J2218" t="str">
            <v>bueno</v>
          </cell>
          <cell r="K2218" t="str">
            <v>probsi</v>
          </cell>
        </row>
        <row r="2219">
          <cell r="B2219" t="b">
            <v>1</v>
          </cell>
          <cell r="E2219" t="str">
            <v>Nelson Mandela UPA</v>
          </cell>
          <cell r="H2219" t="str">
            <v>urgencia</v>
          </cell>
          <cell r="J2219" t="str">
            <v>bueno</v>
          </cell>
          <cell r="K2219" t="str">
            <v>probsi</v>
          </cell>
        </row>
        <row r="2220">
          <cell r="B2220" t="b">
            <v>0</v>
          </cell>
          <cell r="E2220" t="str">
            <v>Nelson Mandela UPA</v>
          </cell>
          <cell r="H2220" t="str">
            <v>urgencia</v>
          </cell>
          <cell r="J2220" t="str">
            <v>regular</v>
          </cell>
          <cell r="K2220" t="str">
            <v>probsi</v>
          </cell>
        </row>
        <row r="2221">
          <cell r="B2221" t="b">
            <v>0</v>
          </cell>
          <cell r="E2221" t="str">
            <v>Nelson Mandela UPA</v>
          </cell>
          <cell r="H2221" t="str">
            <v>urgencia</v>
          </cell>
          <cell r="J2221" t="str">
            <v>regular</v>
          </cell>
          <cell r="K2221" t="str">
            <v>probsi</v>
          </cell>
        </row>
        <row r="2222">
          <cell r="B2222" t="b">
            <v>1</v>
          </cell>
          <cell r="E2222" t="str">
            <v>Bicentenario</v>
          </cell>
          <cell r="H2222" t="str">
            <v>laboratorio</v>
          </cell>
          <cell r="J2222" t="str">
            <v>bueno</v>
          </cell>
          <cell r="K2222" t="str">
            <v>defsi</v>
          </cell>
        </row>
        <row r="2223">
          <cell r="B2223" t="b">
            <v>1</v>
          </cell>
          <cell r="E2223" t="str">
            <v>Bicentenario</v>
          </cell>
          <cell r="H2223" t="str">
            <v>urgencia</v>
          </cell>
          <cell r="J2223" t="str">
            <v>bueno</v>
          </cell>
          <cell r="K2223" t="str">
            <v>defsi</v>
          </cell>
        </row>
        <row r="2224">
          <cell r="B2224" t="b">
            <v>1</v>
          </cell>
          <cell r="E2224" t="str">
            <v>Bicentenario</v>
          </cell>
          <cell r="H2224" t="str">
            <v>rx</v>
          </cell>
          <cell r="J2224" t="str">
            <v>bueno</v>
          </cell>
          <cell r="K2224" t="str">
            <v>defsi</v>
          </cell>
        </row>
        <row r="2225">
          <cell r="B2225" t="b">
            <v>1</v>
          </cell>
          <cell r="E2225" t="str">
            <v>Bicentenario</v>
          </cell>
          <cell r="H2225" t="str">
            <v>consulta_externa</v>
          </cell>
          <cell r="J2225" t="str">
            <v>bueno</v>
          </cell>
          <cell r="K2225" t="str">
            <v>defsi</v>
          </cell>
        </row>
        <row r="2226">
          <cell r="B2226" t="b">
            <v>1</v>
          </cell>
          <cell r="E2226" t="str">
            <v>Bicentenario</v>
          </cell>
          <cell r="H2226" t="str">
            <v>salud_oral</v>
          </cell>
          <cell r="J2226" t="str">
            <v>bueno</v>
          </cell>
          <cell r="K2226" t="str">
            <v>defsi</v>
          </cell>
        </row>
        <row r="2227">
          <cell r="B2227" t="b">
            <v>1</v>
          </cell>
          <cell r="E2227" t="str">
            <v>Bicentenario</v>
          </cell>
          <cell r="H2227" t="str">
            <v>laboratorio</v>
          </cell>
          <cell r="J2227" t="str">
            <v>bueno</v>
          </cell>
          <cell r="K2227" t="str">
            <v>defsi</v>
          </cell>
        </row>
        <row r="2228">
          <cell r="B2228" t="b">
            <v>1</v>
          </cell>
          <cell r="E2228" t="str">
            <v>Bicentenario</v>
          </cell>
          <cell r="H2228" t="str">
            <v>urgencia</v>
          </cell>
          <cell r="J2228" t="str">
            <v>bueno</v>
          </cell>
          <cell r="K2228" t="str">
            <v>defsi</v>
          </cell>
        </row>
        <row r="2229">
          <cell r="B2229" t="b">
            <v>1</v>
          </cell>
          <cell r="E2229" t="str">
            <v>Bicentenario</v>
          </cell>
          <cell r="H2229" t="str">
            <v>consulta_externa</v>
          </cell>
          <cell r="J2229" t="str">
            <v>bueno</v>
          </cell>
          <cell r="K2229" t="str">
            <v>defsi</v>
          </cell>
        </row>
        <row r="2230">
          <cell r="B2230" t="b">
            <v>1</v>
          </cell>
          <cell r="E2230" t="str">
            <v>Bicentenario</v>
          </cell>
          <cell r="H2230" t="str">
            <v>salud_oral</v>
          </cell>
          <cell r="J2230" t="str">
            <v>bueno</v>
          </cell>
          <cell r="K2230" t="str">
            <v>defsi</v>
          </cell>
        </row>
        <row r="2231">
          <cell r="B2231" t="b">
            <v>1</v>
          </cell>
          <cell r="E2231" t="str">
            <v>Bicentenario</v>
          </cell>
          <cell r="H2231" t="str">
            <v>laboratorio</v>
          </cell>
          <cell r="J2231" t="str">
            <v>bueno</v>
          </cell>
          <cell r="K2231" t="str">
            <v>defsi</v>
          </cell>
        </row>
        <row r="2232">
          <cell r="B2232" t="b">
            <v>1</v>
          </cell>
          <cell r="E2232" t="str">
            <v>Bicentenario</v>
          </cell>
          <cell r="H2232" t="str">
            <v>urgencia</v>
          </cell>
          <cell r="J2232" t="str">
            <v>bueno</v>
          </cell>
          <cell r="K2232" t="str">
            <v>defsi</v>
          </cell>
        </row>
        <row r="2233">
          <cell r="B2233" t="b">
            <v>1</v>
          </cell>
          <cell r="E2233" t="str">
            <v>Bicentenario</v>
          </cell>
          <cell r="H2233" t="str">
            <v>urgencia</v>
          </cell>
          <cell r="J2233" t="str">
            <v>bueno</v>
          </cell>
          <cell r="K2233" t="str">
            <v>defsi</v>
          </cell>
        </row>
        <row r="2234">
          <cell r="B2234" t="b">
            <v>1</v>
          </cell>
          <cell r="E2234" t="str">
            <v>Pozon</v>
          </cell>
          <cell r="H2234" t="str">
            <v>consulta_externa</v>
          </cell>
          <cell r="J2234" t="str">
            <v>bueno</v>
          </cell>
          <cell r="K2234" t="str">
            <v>defsi</v>
          </cell>
        </row>
        <row r="2235">
          <cell r="B2235" t="b">
            <v>1</v>
          </cell>
          <cell r="E2235" t="str">
            <v>Pozon</v>
          </cell>
          <cell r="H2235" t="str">
            <v>salud_oral</v>
          </cell>
          <cell r="J2235" t="str">
            <v>bueno</v>
          </cell>
          <cell r="K2235" t="str">
            <v>defsi</v>
          </cell>
        </row>
        <row r="2236">
          <cell r="B2236" t="b">
            <v>1</v>
          </cell>
          <cell r="E2236" t="str">
            <v>Pozon</v>
          </cell>
          <cell r="H2236" t="str">
            <v>laboratorio</v>
          </cell>
          <cell r="J2236" t="str">
            <v>bueno</v>
          </cell>
          <cell r="K2236" t="str">
            <v>defsi</v>
          </cell>
        </row>
        <row r="2237">
          <cell r="B2237" t="b">
            <v>1</v>
          </cell>
          <cell r="E2237" t="str">
            <v>Pozon</v>
          </cell>
          <cell r="H2237" t="str">
            <v>consulta_externa</v>
          </cell>
          <cell r="J2237" t="str">
            <v>bueno</v>
          </cell>
          <cell r="K2237" t="str">
            <v>defsi</v>
          </cell>
        </row>
        <row r="2238">
          <cell r="B2238" t="b">
            <v>1</v>
          </cell>
          <cell r="E2238" t="str">
            <v>Pozon</v>
          </cell>
          <cell r="H2238" t="str">
            <v>salud_oral</v>
          </cell>
          <cell r="J2238" t="str">
            <v>bueno</v>
          </cell>
          <cell r="K2238" t="str">
            <v>defsi</v>
          </cell>
        </row>
        <row r="2239">
          <cell r="B2239" t="b">
            <v>1</v>
          </cell>
          <cell r="E2239" t="str">
            <v>Pozon</v>
          </cell>
          <cell r="H2239" t="str">
            <v>laboratorio</v>
          </cell>
          <cell r="J2239" t="str">
            <v>bueno</v>
          </cell>
          <cell r="K2239" t="str">
            <v>defsi</v>
          </cell>
        </row>
        <row r="2240">
          <cell r="B2240" t="b">
            <v>1</v>
          </cell>
          <cell r="E2240" t="str">
            <v>Pozon</v>
          </cell>
          <cell r="H2240" t="str">
            <v>salud_oral</v>
          </cell>
          <cell r="J2240" t="str">
            <v>bueno</v>
          </cell>
          <cell r="K2240" t="str">
            <v>defsi</v>
          </cell>
        </row>
        <row r="2241">
          <cell r="B2241" t="b">
            <v>1</v>
          </cell>
          <cell r="E2241" t="str">
            <v>Pozon</v>
          </cell>
          <cell r="H2241" t="str">
            <v>laboratorio</v>
          </cell>
          <cell r="J2241" t="str">
            <v>bueno</v>
          </cell>
          <cell r="K2241" t="str">
            <v>defsi</v>
          </cell>
        </row>
        <row r="2242">
          <cell r="B2242" t="b">
            <v>1</v>
          </cell>
          <cell r="E2242" t="str">
            <v>Pozon</v>
          </cell>
          <cell r="H2242" t="str">
            <v>laboratorio</v>
          </cell>
          <cell r="J2242" t="str">
            <v>bueno</v>
          </cell>
          <cell r="K2242" t="str">
            <v>defsi</v>
          </cell>
        </row>
        <row r="2243">
          <cell r="B2243" t="b">
            <v>1</v>
          </cell>
          <cell r="E2243" t="str">
            <v>Pozon</v>
          </cell>
          <cell r="H2243" t="str">
            <v>consulta_externa</v>
          </cell>
          <cell r="J2243" t="str">
            <v>bueno</v>
          </cell>
          <cell r="K2243" t="str">
            <v>defsi</v>
          </cell>
        </row>
        <row r="2244">
          <cell r="B2244" t="b">
            <v>1</v>
          </cell>
          <cell r="E2244" t="str">
            <v>Pozon</v>
          </cell>
          <cell r="H2244" t="str">
            <v>salud_oral</v>
          </cell>
          <cell r="J2244" t="str">
            <v>bueno</v>
          </cell>
          <cell r="K2244" t="str">
            <v>defsi</v>
          </cell>
        </row>
        <row r="2245">
          <cell r="B2245" t="b">
            <v>1</v>
          </cell>
          <cell r="E2245" t="str">
            <v>Pozon</v>
          </cell>
          <cell r="H2245" t="str">
            <v>laboratorio</v>
          </cell>
          <cell r="J2245" t="str">
            <v>bueno</v>
          </cell>
          <cell r="K2245" t="str">
            <v>defsi</v>
          </cell>
        </row>
        <row r="2246">
          <cell r="B2246" t="b">
            <v>1</v>
          </cell>
          <cell r="E2246" t="str">
            <v>Pozon</v>
          </cell>
          <cell r="H2246" t="str">
            <v>consulta_externa</v>
          </cell>
          <cell r="J2246" t="str">
            <v>bueno</v>
          </cell>
          <cell r="K2246" t="str">
            <v>defsi</v>
          </cell>
        </row>
        <row r="2247">
          <cell r="B2247" t="b">
            <v>1</v>
          </cell>
          <cell r="E2247" t="str">
            <v>Pozon</v>
          </cell>
          <cell r="H2247" t="str">
            <v>salud_oral</v>
          </cell>
          <cell r="J2247" t="str">
            <v>bueno</v>
          </cell>
          <cell r="K2247" t="str">
            <v>defsi</v>
          </cell>
        </row>
        <row r="2248">
          <cell r="B2248" t="b">
            <v>1</v>
          </cell>
          <cell r="E2248" t="str">
            <v>Pozon</v>
          </cell>
          <cell r="H2248" t="str">
            <v>laboratorio</v>
          </cell>
          <cell r="J2248" t="str">
            <v>bueno</v>
          </cell>
          <cell r="K2248" t="str">
            <v>defsi</v>
          </cell>
        </row>
        <row r="2249">
          <cell r="B2249" t="b">
            <v>1</v>
          </cell>
          <cell r="E2249" t="str">
            <v>Pozon</v>
          </cell>
          <cell r="H2249" t="str">
            <v>consulta_externa</v>
          </cell>
          <cell r="J2249" t="str">
            <v>bueno</v>
          </cell>
          <cell r="K2249" t="str">
            <v>defsi</v>
          </cell>
        </row>
        <row r="2250">
          <cell r="B2250" t="b">
            <v>1</v>
          </cell>
          <cell r="E2250" t="str">
            <v>Pozon</v>
          </cell>
          <cell r="H2250" t="str">
            <v>laboratorio</v>
          </cell>
          <cell r="J2250" t="str">
            <v>bueno</v>
          </cell>
          <cell r="K2250" t="str">
            <v>defsi</v>
          </cell>
        </row>
        <row r="2251">
          <cell r="B2251" t="b">
            <v>1</v>
          </cell>
          <cell r="E2251" t="str">
            <v>Pozon</v>
          </cell>
          <cell r="H2251" t="str">
            <v>salud_oral</v>
          </cell>
          <cell r="J2251" t="str">
            <v>bueno</v>
          </cell>
          <cell r="K2251" t="str">
            <v>defsi</v>
          </cell>
        </row>
        <row r="2252">
          <cell r="B2252" t="b">
            <v>1</v>
          </cell>
          <cell r="E2252" t="str">
            <v>Pozon</v>
          </cell>
          <cell r="H2252" t="str">
            <v>consulta_externa</v>
          </cell>
          <cell r="J2252" t="str">
            <v>bueno</v>
          </cell>
          <cell r="K2252" t="str">
            <v>defsi</v>
          </cell>
        </row>
        <row r="2253">
          <cell r="B2253" t="b">
            <v>1</v>
          </cell>
          <cell r="E2253" t="str">
            <v>Pozon</v>
          </cell>
          <cell r="H2253" t="str">
            <v>salud_oral</v>
          </cell>
          <cell r="J2253" t="str">
            <v>bueno</v>
          </cell>
          <cell r="K2253" t="str">
            <v>defsi</v>
          </cell>
        </row>
        <row r="2254">
          <cell r="B2254" t="b">
            <v>1</v>
          </cell>
          <cell r="E2254" t="str">
            <v>Pozon</v>
          </cell>
          <cell r="H2254" t="str">
            <v>laboratorio</v>
          </cell>
          <cell r="J2254" t="str">
            <v>bueno</v>
          </cell>
          <cell r="K2254" t="str">
            <v>defsi</v>
          </cell>
        </row>
        <row r="2255">
          <cell r="B2255" t="b">
            <v>1</v>
          </cell>
          <cell r="E2255" t="str">
            <v>Pozon</v>
          </cell>
          <cell r="H2255" t="str">
            <v>consulta_externa</v>
          </cell>
          <cell r="J2255" t="str">
            <v>bueno</v>
          </cell>
          <cell r="K2255" t="str">
            <v>defsi</v>
          </cell>
        </row>
        <row r="2256">
          <cell r="B2256" t="b">
            <v>1</v>
          </cell>
          <cell r="E2256" t="str">
            <v>Pozon</v>
          </cell>
          <cell r="H2256" t="str">
            <v>salud_oral</v>
          </cell>
          <cell r="J2256" t="str">
            <v>bueno</v>
          </cell>
          <cell r="K2256" t="str">
            <v>defsi</v>
          </cell>
        </row>
        <row r="2257">
          <cell r="B2257" t="b">
            <v>1</v>
          </cell>
          <cell r="E2257" t="str">
            <v>Pozon</v>
          </cell>
          <cell r="H2257" t="str">
            <v>laboratorio</v>
          </cell>
          <cell r="J2257" t="str">
            <v>bueno</v>
          </cell>
          <cell r="K2257" t="str">
            <v>defsi</v>
          </cell>
        </row>
        <row r="2258">
          <cell r="B2258" t="b">
            <v>1</v>
          </cell>
          <cell r="E2258" t="str">
            <v>Pozon</v>
          </cell>
          <cell r="H2258" t="str">
            <v>consulta_externa</v>
          </cell>
          <cell r="J2258" t="str">
            <v>bueno</v>
          </cell>
          <cell r="K2258" t="str">
            <v>defsi</v>
          </cell>
        </row>
        <row r="2259">
          <cell r="B2259" t="b">
            <v>1</v>
          </cell>
          <cell r="E2259" t="str">
            <v>Pozon</v>
          </cell>
          <cell r="H2259" t="str">
            <v>salud_oral</v>
          </cell>
          <cell r="J2259" t="str">
            <v>bueno</v>
          </cell>
          <cell r="K2259" t="str">
            <v>defsi</v>
          </cell>
        </row>
        <row r="2260">
          <cell r="B2260" t="b">
            <v>1</v>
          </cell>
          <cell r="E2260" t="str">
            <v>Pozon</v>
          </cell>
          <cell r="H2260" t="str">
            <v>laboratorio</v>
          </cell>
          <cell r="J2260" t="str">
            <v>bueno</v>
          </cell>
          <cell r="K2260" t="str">
            <v>defsi</v>
          </cell>
        </row>
        <row r="2261">
          <cell r="B2261" t="b">
            <v>1</v>
          </cell>
          <cell r="E2261" t="str">
            <v>Pozon</v>
          </cell>
          <cell r="H2261" t="str">
            <v>consulta_externa</v>
          </cell>
          <cell r="J2261" t="str">
            <v>bueno</v>
          </cell>
          <cell r="K2261" t="str">
            <v>defsi</v>
          </cell>
        </row>
        <row r="2262">
          <cell r="B2262" t="b">
            <v>1</v>
          </cell>
          <cell r="E2262" t="str">
            <v>Pozon</v>
          </cell>
          <cell r="H2262" t="str">
            <v>salud_oral</v>
          </cell>
          <cell r="J2262" t="str">
            <v>bueno</v>
          </cell>
          <cell r="K2262" t="str">
            <v>defsi</v>
          </cell>
        </row>
        <row r="2263">
          <cell r="B2263" t="b">
            <v>1</v>
          </cell>
          <cell r="E2263" t="str">
            <v>Pozon</v>
          </cell>
          <cell r="H2263" t="str">
            <v>laboratorio</v>
          </cell>
          <cell r="J2263" t="str">
            <v>bueno</v>
          </cell>
          <cell r="K2263" t="str">
            <v>defsi</v>
          </cell>
        </row>
        <row r="2264">
          <cell r="B2264" t="b">
            <v>1</v>
          </cell>
          <cell r="E2264" t="str">
            <v>Pozon</v>
          </cell>
          <cell r="H2264" t="str">
            <v>consulta_externa</v>
          </cell>
          <cell r="J2264" t="str">
            <v>bueno</v>
          </cell>
          <cell r="K2264" t="str">
            <v>defsi</v>
          </cell>
        </row>
        <row r="2265">
          <cell r="B2265" t="b">
            <v>1</v>
          </cell>
          <cell r="E2265" t="str">
            <v>Pozon</v>
          </cell>
          <cell r="H2265" t="str">
            <v>salud_oral</v>
          </cell>
          <cell r="J2265" t="str">
            <v>bueno</v>
          </cell>
          <cell r="K2265" t="str">
            <v>defsi</v>
          </cell>
        </row>
        <row r="2266">
          <cell r="B2266" t="b">
            <v>1</v>
          </cell>
          <cell r="E2266" t="str">
            <v>Pozon</v>
          </cell>
          <cell r="H2266" t="str">
            <v>laboratorio</v>
          </cell>
          <cell r="J2266" t="str">
            <v>bueno</v>
          </cell>
          <cell r="K2266" t="str">
            <v>defsi</v>
          </cell>
        </row>
        <row r="2267">
          <cell r="B2267" t="b">
            <v>1</v>
          </cell>
          <cell r="E2267" t="str">
            <v>Pozon</v>
          </cell>
          <cell r="H2267" t="str">
            <v>consulta_externa</v>
          </cell>
          <cell r="J2267" t="str">
            <v>bueno</v>
          </cell>
          <cell r="K2267" t="str">
            <v>defsi</v>
          </cell>
        </row>
        <row r="2268">
          <cell r="B2268" t="b">
            <v>1</v>
          </cell>
          <cell r="E2268" t="str">
            <v>Pozon</v>
          </cell>
          <cell r="H2268" t="str">
            <v>salud_oral</v>
          </cell>
          <cell r="J2268" t="str">
            <v>bueno</v>
          </cell>
          <cell r="K2268" t="str">
            <v>defsi</v>
          </cell>
        </row>
        <row r="2269">
          <cell r="B2269" t="b">
            <v>1</v>
          </cell>
          <cell r="E2269" t="str">
            <v>Pozon</v>
          </cell>
          <cell r="H2269" t="str">
            <v>laboratorio</v>
          </cell>
          <cell r="J2269" t="str">
            <v>bueno</v>
          </cell>
          <cell r="K2269" t="str">
            <v>defsi</v>
          </cell>
        </row>
        <row r="2270">
          <cell r="B2270" t="b">
            <v>1</v>
          </cell>
          <cell r="E2270" t="str">
            <v>Pozon</v>
          </cell>
          <cell r="H2270" t="str">
            <v>consulta_externa</v>
          </cell>
          <cell r="J2270" t="str">
            <v>bueno</v>
          </cell>
          <cell r="K2270" t="str">
            <v>defsi</v>
          </cell>
        </row>
        <row r="2271">
          <cell r="B2271" t="b">
            <v>1</v>
          </cell>
          <cell r="E2271" t="str">
            <v>Pozon</v>
          </cell>
          <cell r="H2271" t="str">
            <v>salud_oral</v>
          </cell>
          <cell r="J2271" t="str">
            <v>bueno</v>
          </cell>
          <cell r="K2271" t="str">
            <v>defsi</v>
          </cell>
        </row>
        <row r="2272">
          <cell r="B2272" t="b">
            <v>1</v>
          </cell>
          <cell r="E2272" t="str">
            <v>Pozon</v>
          </cell>
          <cell r="H2272" t="str">
            <v>laboratorio</v>
          </cell>
          <cell r="J2272" t="str">
            <v>bueno</v>
          </cell>
          <cell r="K2272" t="str">
            <v>defsi</v>
          </cell>
        </row>
        <row r="2273">
          <cell r="B2273" t="b">
            <v>1</v>
          </cell>
          <cell r="E2273" t="str">
            <v>Pozon</v>
          </cell>
          <cell r="H2273" t="str">
            <v>consulta_externa</v>
          </cell>
          <cell r="J2273" t="str">
            <v>bueno</v>
          </cell>
          <cell r="K2273" t="str">
            <v>defsi</v>
          </cell>
        </row>
        <row r="2274">
          <cell r="B2274" t="b">
            <v>1</v>
          </cell>
          <cell r="E2274" t="str">
            <v>Pozon</v>
          </cell>
          <cell r="H2274" t="str">
            <v>salud_oral</v>
          </cell>
          <cell r="J2274" t="str">
            <v>bueno</v>
          </cell>
          <cell r="K2274" t="str">
            <v>defsi</v>
          </cell>
        </row>
        <row r="2275">
          <cell r="B2275" t="b">
            <v>1</v>
          </cell>
          <cell r="E2275" t="str">
            <v>Pozon</v>
          </cell>
          <cell r="H2275" t="str">
            <v>laboratorio</v>
          </cell>
          <cell r="J2275" t="str">
            <v>bueno</v>
          </cell>
          <cell r="K2275" t="str">
            <v>defsi</v>
          </cell>
        </row>
        <row r="2276">
          <cell r="B2276" t="b">
            <v>1</v>
          </cell>
          <cell r="E2276" t="str">
            <v>Pozon</v>
          </cell>
          <cell r="H2276" t="str">
            <v>consulta_externa</v>
          </cell>
          <cell r="J2276" t="str">
            <v>bueno</v>
          </cell>
          <cell r="K2276" t="str">
            <v>defsi</v>
          </cell>
        </row>
        <row r="2277">
          <cell r="B2277" t="b">
            <v>1</v>
          </cell>
          <cell r="E2277" t="str">
            <v>Pozon</v>
          </cell>
          <cell r="H2277" t="str">
            <v>consulta_externa</v>
          </cell>
          <cell r="J2277" t="str">
            <v>bueno</v>
          </cell>
          <cell r="K2277" t="str">
            <v>defsi</v>
          </cell>
        </row>
        <row r="2278">
          <cell r="B2278" t="b">
            <v>1</v>
          </cell>
          <cell r="E2278" t="str">
            <v>Pozon</v>
          </cell>
          <cell r="H2278" t="str">
            <v>salud_oral</v>
          </cell>
          <cell r="J2278" t="str">
            <v>bueno</v>
          </cell>
          <cell r="K2278" t="str">
            <v>defsi</v>
          </cell>
        </row>
        <row r="2279">
          <cell r="B2279" t="b">
            <v>1</v>
          </cell>
          <cell r="E2279" t="str">
            <v>Pozon</v>
          </cell>
          <cell r="H2279" t="str">
            <v>laboratorio</v>
          </cell>
          <cell r="J2279" t="str">
            <v>bueno</v>
          </cell>
          <cell r="K2279" t="str">
            <v>defsi</v>
          </cell>
        </row>
        <row r="2280">
          <cell r="B2280" t="b">
            <v>1</v>
          </cell>
          <cell r="E2280" t="str">
            <v>Isla del Rosario</v>
          </cell>
          <cell r="H2280" t="str">
            <v>consulta_externa</v>
          </cell>
          <cell r="J2280" t="str">
            <v>bueno</v>
          </cell>
          <cell r="K2280" t="str">
            <v>defsi</v>
          </cell>
        </row>
        <row r="2281">
          <cell r="B2281" t="b">
            <v>1</v>
          </cell>
          <cell r="E2281" t="str">
            <v>Isla del Rosario</v>
          </cell>
          <cell r="H2281" t="str">
            <v>laboratorio</v>
          </cell>
          <cell r="J2281" t="str">
            <v>bueno</v>
          </cell>
          <cell r="K2281" t="str">
            <v>defsi</v>
          </cell>
        </row>
        <row r="2282">
          <cell r="B2282" t="b">
            <v>1</v>
          </cell>
          <cell r="E2282" t="str">
            <v>Isla del Rosario</v>
          </cell>
          <cell r="H2282" t="str">
            <v>salud_oral</v>
          </cell>
          <cell r="J2282" t="str">
            <v>bueno</v>
          </cell>
          <cell r="K2282" t="str">
            <v>defsi</v>
          </cell>
        </row>
        <row r="2283">
          <cell r="B2283" t="b">
            <v>1</v>
          </cell>
          <cell r="E2283" t="str">
            <v>Isla del Rosario</v>
          </cell>
          <cell r="H2283" t="str">
            <v>salud_oral</v>
          </cell>
          <cell r="J2283" t="str">
            <v>muybueno</v>
          </cell>
          <cell r="K2283" t="str">
            <v>defsi</v>
          </cell>
        </row>
        <row r="2284">
          <cell r="B2284" t="b">
            <v>1</v>
          </cell>
          <cell r="E2284" t="str">
            <v>Isla del Rosario</v>
          </cell>
          <cell r="H2284" t="str">
            <v>consulta_externa</v>
          </cell>
          <cell r="J2284" t="str">
            <v>bueno</v>
          </cell>
          <cell r="K2284" t="str">
            <v>defsi</v>
          </cell>
        </row>
        <row r="2285">
          <cell r="B2285" t="b">
            <v>1</v>
          </cell>
          <cell r="E2285" t="str">
            <v>Isla del Rosario</v>
          </cell>
          <cell r="H2285" t="str">
            <v>consulta_externa</v>
          </cell>
          <cell r="J2285" t="str">
            <v>bueno</v>
          </cell>
          <cell r="K2285" t="str">
            <v>defsi</v>
          </cell>
        </row>
        <row r="2286">
          <cell r="B2286" t="b">
            <v>1</v>
          </cell>
          <cell r="E2286" t="str">
            <v>Isla del Rosario</v>
          </cell>
          <cell r="H2286" t="str">
            <v>laboratorio</v>
          </cell>
          <cell r="J2286" t="str">
            <v>bueno</v>
          </cell>
          <cell r="K2286" t="str">
            <v>defsi</v>
          </cell>
        </row>
        <row r="2287">
          <cell r="B2287" t="b">
            <v>1</v>
          </cell>
          <cell r="E2287" t="str">
            <v>Isla del Rosario</v>
          </cell>
          <cell r="H2287" t="str">
            <v>laboratorio</v>
          </cell>
          <cell r="J2287" t="str">
            <v>bueno</v>
          </cell>
          <cell r="K2287" t="str">
            <v>defsi</v>
          </cell>
        </row>
        <row r="2288">
          <cell r="B2288" t="b">
            <v>1</v>
          </cell>
          <cell r="E2288" t="str">
            <v>Isla del Rosario</v>
          </cell>
          <cell r="H2288" t="str">
            <v>salud_oral</v>
          </cell>
          <cell r="J2288" t="str">
            <v>bueno</v>
          </cell>
          <cell r="K2288" t="str">
            <v>defsi</v>
          </cell>
        </row>
        <row r="2289">
          <cell r="B2289" t="b">
            <v>1</v>
          </cell>
          <cell r="E2289" t="str">
            <v>Isla del Rosario</v>
          </cell>
          <cell r="H2289" t="str">
            <v>consulta_externa</v>
          </cell>
          <cell r="J2289" t="str">
            <v>bueno</v>
          </cell>
          <cell r="K2289" t="str">
            <v>defsi</v>
          </cell>
        </row>
        <row r="2290">
          <cell r="B2290" t="b">
            <v>1</v>
          </cell>
          <cell r="E2290" t="str">
            <v>Isla del Rosario</v>
          </cell>
          <cell r="H2290" t="str">
            <v>consulta_externa</v>
          </cell>
          <cell r="J2290" t="str">
            <v>bueno</v>
          </cell>
          <cell r="K2290" t="str">
            <v>defsi</v>
          </cell>
        </row>
        <row r="2291">
          <cell r="B2291" t="b">
            <v>1</v>
          </cell>
          <cell r="E2291" t="str">
            <v>Isla del Rosario</v>
          </cell>
          <cell r="H2291" t="str">
            <v>laboratorio</v>
          </cell>
          <cell r="J2291" t="str">
            <v>bueno</v>
          </cell>
          <cell r="K2291" t="str">
            <v>defsi</v>
          </cell>
        </row>
        <row r="2292">
          <cell r="B2292" t="b">
            <v>1</v>
          </cell>
          <cell r="E2292" t="str">
            <v>Isla del Rosario</v>
          </cell>
          <cell r="H2292" t="str">
            <v>laboratorio</v>
          </cell>
          <cell r="J2292" t="str">
            <v>bueno</v>
          </cell>
          <cell r="K2292" t="str">
            <v>defsi</v>
          </cell>
        </row>
        <row r="2293">
          <cell r="B2293" t="b">
            <v>1</v>
          </cell>
          <cell r="E2293" t="str">
            <v>Isla del Rosario</v>
          </cell>
          <cell r="H2293" t="str">
            <v>salud_oral</v>
          </cell>
          <cell r="J2293" t="str">
            <v>bueno</v>
          </cell>
          <cell r="K2293" t="str">
            <v>defsi</v>
          </cell>
        </row>
        <row r="2294">
          <cell r="B2294" t="b">
            <v>1</v>
          </cell>
          <cell r="E2294" t="str">
            <v>Isla del Rosario</v>
          </cell>
          <cell r="H2294" t="str">
            <v>consulta_externa</v>
          </cell>
          <cell r="J2294" t="str">
            <v>bueno</v>
          </cell>
          <cell r="K2294" t="str">
            <v>defsi</v>
          </cell>
        </row>
        <row r="2295">
          <cell r="B2295" t="b">
            <v>0</v>
          </cell>
          <cell r="E2295" t="str">
            <v>Baru</v>
          </cell>
          <cell r="H2295" t="str">
            <v>consulta_externa</v>
          </cell>
          <cell r="J2295" t="str">
            <v>regular</v>
          </cell>
          <cell r="K2295" t="str">
            <v>probsi</v>
          </cell>
        </row>
        <row r="2296">
          <cell r="B2296" t="b">
            <v>0</v>
          </cell>
          <cell r="E2296" t="str">
            <v>Baru</v>
          </cell>
          <cell r="H2296" t="str">
            <v>consulta_externa</v>
          </cell>
          <cell r="J2296" t="str">
            <v>regular</v>
          </cell>
          <cell r="K2296" t="str">
            <v>probsi</v>
          </cell>
        </row>
        <row r="2297">
          <cell r="B2297" t="b">
            <v>1</v>
          </cell>
          <cell r="E2297" t="str">
            <v>Isla del Rosario</v>
          </cell>
          <cell r="H2297" t="str">
            <v>consulta_externa</v>
          </cell>
          <cell r="J2297" t="str">
            <v>bueno</v>
          </cell>
          <cell r="K2297" t="str">
            <v>defsi</v>
          </cell>
        </row>
        <row r="2298">
          <cell r="B2298" t="b">
            <v>1</v>
          </cell>
          <cell r="E2298" t="str">
            <v>Baru</v>
          </cell>
          <cell r="H2298" t="str">
            <v>consulta_externa</v>
          </cell>
          <cell r="J2298" t="str">
            <v>bueno</v>
          </cell>
          <cell r="K2298" t="str">
            <v>probsi</v>
          </cell>
        </row>
        <row r="2299">
          <cell r="B2299" t="b">
            <v>1</v>
          </cell>
          <cell r="E2299" t="str">
            <v>Baru</v>
          </cell>
          <cell r="H2299" t="str">
            <v>consulta_externa</v>
          </cell>
          <cell r="J2299" t="str">
            <v>bueno</v>
          </cell>
          <cell r="K2299" t="str">
            <v>probsi</v>
          </cell>
        </row>
        <row r="2300">
          <cell r="B2300" t="b">
            <v>1</v>
          </cell>
          <cell r="E2300" t="str">
            <v>Baru</v>
          </cell>
          <cell r="H2300" t="str">
            <v>consulta_externa</v>
          </cell>
          <cell r="J2300" t="str">
            <v>bueno</v>
          </cell>
          <cell r="K2300" t="str">
            <v>probsi</v>
          </cell>
        </row>
        <row r="2301">
          <cell r="B2301" t="b">
            <v>1</v>
          </cell>
          <cell r="E2301" t="str">
            <v>Isla del Rosario</v>
          </cell>
          <cell r="H2301" t="str">
            <v>consulta_externa</v>
          </cell>
          <cell r="J2301" t="str">
            <v>bueno</v>
          </cell>
          <cell r="K2301" t="str">
            <v>defsi</v>
          </cell>
        </row>
        <row r="2302">
          <cell r="B2302" t="b">
            <v>1</v>
          </cell>
          <cell r="E2302" t="str">
            <v>Isla del Rosario</v>
          </cell>
          <cell r="H2302" t="str">
            <v>laboratorio</v>
          </cell>
          <cell r="J2302" t="str">
            <v>bueno</v>
          </cell>
          <cell r="K2302" t="str">
            <v>defsi</v>
          </cell>
        </row>
        <row r="2303">
          <cell r="B2303" t="b">
            <v>1</v>
          </cell>
          <cell r="E2303" t="str">
            <v>Isla del Rosario</v>
          </cell>
          <cell r="H2303" t="str">
            <v>consulta_externa</v>
          </cell>
          <cell r="J2303" t="str">
            <v>bueno</v>
          </cell>
          <cell r="K2303" t="str">
            <v>defsi</v>
          </cell>
        </row>
        <row r="2304">
          <cell r="B2304" t="b">
            <v>1</v>
          </cell>
          <cell r="E2304" t="str">
            <v>Isla del Rosario</v>
          </cell>
          <cell r="H2304" t="str">
            <v>consulta_externa</v>
          </cell>
          <cell r="J2304" t="str">
            <v>bueno</v>
          </cell>
          <cell r="K2304" t="str">
            <v>defsi</v>
          </cell>
        </row>
        <row r="2305">
          <cell r="B2305" t="b">
            <v>1</v>
          </cell>
          <cell r="E2305" t="str">
            <v>Isla del Rosario</v>
          </cell>
          <cell r="H2305" t="str">
            <v>salud_oral</v>
          </cell>
          <cell r="J2305" t="str">
            <v>bueno</v>
          </cell>
          <cell r="K2305" t="str">
            <v>defsi</v>
          </cell>
        </row>
        <row r="2306">
          <cell r="B2306" t="b">
            <v>0</v>
          </cell>
          <cell r="E2306" t="str">
            <v>Isla del Rosario</v>
          </cell>
          <cell r="H2306" t="str">
            <v>salud_oral</v>
          </cell>
          <cell r="J2306" t="str">
            <v>regular</v>
          </cell>
          <cell r="K2306" t="str">
            <v>defsi</v>
          </cell>
        </row>
        <row r="2307">
          <cell r="B2307" t="b">
            <v>0</v>
          </cell>
          <cell r="E2307" t="str">
            <v>Isla del Rosario</v>
          </cell>
          <cell r="H2307" t="str">
            <v>salud_oral</v>
          </cell>
          <cell r="J2307" t="str">
            <v>regular</v>
          </cell>
          <cell r="K2307" t="str">
            <v>defsi</v>
          </cell>
        </row>
        <row r="2308">
          <cell r="B2308" t="b">
            <v>1</v>
          </cell>
          <cell r="E2308" t="str">
            <v>Foco Rojo</v>
          </cell>
          <cell r="H2308" t="str">
            <v>laboratorio</v>
          </cell>
          <cell r="J2308" t="str">
            <v>bueno</v>
          </cell>
          <cell r="K2308" t="str">
            <v>defsi</v>
          </cell>
        </row>
        <row r="2309">
          <cell r="B2309" t="b">
            <v>0</v>
          </cell>
          <cell r="E2309" t="str">
            <v>Foco Rojo</v>
          </cell>
          <cell r="H2309" t="str">
            <v>laboratorio</v>
          </cell>
          <cell r="J2309" t="str">
            <v>regular</v>
          </cell>
          <cell r="K2309" t="str">
            <v>defsi</v>
          </cell>
        </row>
        <row r="2310">
          <cell r="B2310" t="b">
            <v>0</v>
          </cell>
          <cell r="E2310" t="str">
            <v>Foco Rojo</v>
          </cell>
          <cell r="H2310" t="str">
            <v>laboratorio</v>
          </cell>
          <cell r="J2310" t="str">
            <v>malo</v>
          </cell>
          <cell r="K2310" t="str">
            <v>defsi</v>
          </cell>
        </row>
        <row r="2311">
          <cell r="B2311" t="b">
            <v>1</v>
          </cell>
          <cell r="E2311" t="str">
            <v>Foco Rojo</v>
          </cell>
          <cell r="H2311" t="str">
            <v>consulta_externa</v>
          </cell>
          <cell r="J2311" t="str">
            <v>bueno</v>
          </cell>
          <cell r="K2311" t="str">
            <v>defsi</v>
          </cell>
        </row>
        <row r="2312">
          <cell r="B2312" t="b">
            <v>1</v>
          </cell>
          <cell r="E2312" t="str">
            <v>Foco Rojo</v>
          </cell>
          <cell r="H2312" t="str">
            <v>salud_oral</v>
          </cell>
          <cell r="J2312" t="str">
            <v>bueno</v>
          </cell>
          <cell r="K2312" t="str">
            <v>defsi</v>
          </cell>
        </row>
        <row r="2313">
          <cell r="B2313" t="b">
            <v>1</v>
          </cell>
          <cell r="E2313" t="str">
            <v>Foco Rojo</v>
          </cell>
          <cell r="H2313" t="str">
            <v>salud_oral</v>
          </cell>
          <cell r="J2313" t="str">
            <v>muybueno</v>
          </cell>
          <cell r="K2313" t="str">
            <v>defsi</v>
          </cell>
        </row>
        <row r="2314">
          <cell r="B2314" t="b">
            <v>1</v>
          </cell>
          <cell r="E2314" t="str">
            <v>Foco Rojo</v>
          </cell>
          <cell r="H2314" t="str">
            <v>laboratorio</v>
          </cell>
          <cell r="J2314" t="str">
            <v>bueno</v>
          </cell>
          <cell r="K2314" t="str">
            <v>defsi</v>
          </cell>
        </row>
        <row r="2315">
          <cell r="B2315" t="b">
            <v>1</v>
          </cell>
          <cell r="E2315" t="str">
            <v>Foco Rojo</v>
          </cell>
          <cell r="H2315" t="str">
            <v>laboratorio</v>
          </cell>
          <cell r="J2315" t="str">
            <v>bueno</v>
          </cell>
          <cell r="K2315" t="str">
            <v>defsi</v>
          </cell>
        </row>
        <row r="2316">
          <cell r="B2316" t="b">
            <v>1</v>
          </cell>
          <cell r="E2316" t="str">
            <v>Foco Rojo</v>
          </cell>
          <cell r="H2316" t="str">
            <v>laboratorio</v>
          </cell>
          <cell r="J2316" t="str">
            <v>bueno</v>
          </cell>
          <cell r="K2316" t="str">
            <v>defsi</v>
          </cell>
        </row>
        <row r="2317">
          <cell r="B2317" t="b">
            <v>1</v>
          </cell>
          <cell r="E2317" t="str">
            <v>Foco Rojo</v>
          </cell>
          <cell r="H2317" t="str">
            <v>consulta_externa</v>
          </cell>
          <cell r="J2317" t="str">
            <v>bueno</v>
          </cell>
          <cell r="K2317" t="str">
            <v>defsi</v>
          </cell>
        </row>
        <row r="2318">
          <cell r="B2318" t="b">
            <v>1</v>
          </cell>
          <cell r="E2318" t="str">
            <v>Foco Rojo</v>
          </cell>
          <cell r="H2318" t="str">
            <v>laboratorio</v>
          </cell>
          <cell r="J2318" t="str">
            <v>bueno</v>
          </cell>
          <cell r="K2318" t="str">
            <v>defsi</v>
          </cell>
        </row>
        <row r="2319">
          <cell r="B2319" t="b">
            <v>1</v>
          </cell>
          <cell r="E2319" t="str">
            <v>Baru</v>
          </cell>
          <cell r="H2319" t="str">
            <v>salud_oral</v>
          </cell>
          <cell r="J2319" t="str">
            <v>bueno</v>
          </cell>
          <cell r="K2319" t="str">
            <v>probsi</v>
          </cell>
        </row>
        <row r="2320">
          <cell r="B2320" t="b">
            <v>1</v>
          </cell>
          <cell r="E2320" t="str">
            <v>Foco Rojo</v>
          </cell>
          <cell r="H2320" t="str">
            <v>salud_oral</v>
          </cell>
          <cell r="J2320" t="str">
            <v>muybueno</v>
          </cell>
          <cell r="K2320" t="str">
            <v>defsi</v>
          </cell>
        </row>
        <row r="2321">
          <cell r="B2321" t="b">
            <v>1</v>
          </cell>
          <cell r="E2321" t="str">
            <v>Foco Rojo</v>
          </cell>
          <cell r="H2321" t="str">
            <v>salud_oral</v>
          </cell>
          <cell r="J2321" t="str">
            <v>bueno</v>
          </cell>
          <cell r="K2321" t="str">
            <v>defsi</v>
          </cell>
        </row>
        <row r="2322">
          <cell r="B2322" t="b">
            <v>1</v>
          </cell>
          <cell r="E2322" t="str">
            <v>Foco Rojo</v>
          </cell>
          <cell r="H2322" t="str">
            <v>consulta_externa</v>
          </cell>
          <cell r="J2322" t="str">
            <v>bueno</v>
          </cell>
          <cell r="K2322" t="str">
            <v>defsi</v>
          </cell>
        </row>
        <row r="2323">
          <cell r="B2323" t="b">
            <v>1</v>
          </cell>
          <cell r="E2323" t="str">
            <v>Foco Rojo</v>
          </cell>
          <cell r="H2323" t="str">
            <v>salud_oral</v>
          </cell>
          <cell r="J2323" t="str">
            <v>bueno</v>
          </cell>
          <cell r="K2323" t="str">
            <v>defsi</v>
          </cell>
        </row>
        <row r="2324">
          <cell r="B2324" t="b">
            <v>1</v>
          </cell>
          <cell r="E2324" t="str">
            <v>Foco Rojo</v>
          </cell>
          <cell r="H2324" t="str">
            <v>salud_oral</v>
          </cell>
          <cell r="J2324" t="str">
            <v>muybueno</v>
          </cell>
          <cell r="K2324" t="str">
            <v>defsi</v>
          </cell>
        </row>
        <row r="2325">
          <cell r="B2325" t="b">
            <v>1</v>
          </cell>
          <cell r="E2325" t="str">
            <v>Foco Rojo</v>
          </cell>
          <cell r="H2325" t="str">
            <v>salud_oral</v>
          </cell>
          <cell r="J2325" t="str">
            <v>muybueno</v>
          </cell>
          <cell r="K2325" t="str">
            <v>defsi</v>
          </cell>
        </row>
        <row r="2326">
          <cell r="B2326" t="b">
            <v>1</v>
          </cell>
          <cell r="E2326" t="str">
            <v>Foco Rojo</v>
          </cell>
          <cell r="H2326" t="str">
            <v>salud_oral</v>
          </cell>
          <cell r="J2326" t="str">
            <v>bueno</v>
          </cell>
          <cell r="K2326" t="str">
            <v>defsi</v>
          </cell>
        </row>
        <row r="2327">
          <cell r="B2327" t="b">
            <v>1</v>
          </cell>
          <cell r="E2327" t="str">
            <v>Tierra Bomba</v>
          </cell>
          <cell r="H2327" t="str">
            <v>consulta_externa</v>
          </cell>
          <cell r="J2327" t="str">
            <v>bueno</v>
          </cell>
          <cell r="K2327" t="str">
            <v>probsi</v>
          </cell>
        </row>
        <row r="2328">
          <cell r="B2328" t="b">
            <v>1</v>
          </cell>
          <cell r="E2328" t="str">
            <v>Tierra Bomba</v>
          </cell>
          <cell r="H2328" t="str">
            <v>consulta_externa</v>
          </cell>
          <cell r="J2328" t="str">
            <v>bueno</v>
          </cell>
          <cell r="K2328" t="str">
            <v>probsi</v>
          </cell>
        </row>
        <row r="2329">
          <cell r="B2329" t="b">
            <v>1</v>
          </cell>
          <cell r="E2329" t="str">
            <v>Tierra Bomba</v>
          </cell>
          <cell r="H2329" t="str">
            <v>consulta_externa</v>
          </cell>
          <cell r="J2329" t="str">
            <v>bueno</v>
          </cell>
          <cell r="K2329" t="str">
            <v>probsi</v>
          </cell>
        </row>
        <row r="2330">
          <cell r="B2330" t="b">
            <v>1</v>
          </cell>
          <cell r="E2330" t="str">
            <v>Tierra Bomba</v>
          </cell>
          <cell r="H2330" t="str">
            <v>consulta_externa</v>
          </cell>
          <cell r="J2330" t="str">
            <v>bueno</v>
          </cell>
          <cell r="K2330" t="str">
            <v>probsi</v>
          </cell>
        </row>
        <row r="2331">
          <cell r="B2331" t="b">
            <v>1</v>
          </cell>
          <cell r="E2331" t="str">
            <v>Tierra Bomba</v>
          </cell>
          <cell r="H2331" t="str">
            <v>laboratorio</v>
          </cell>
          <cell r="J2331" t="str">
            <v>bueno</v>
          </cell>
          <cell r="K2331" t="str">
            <v>probsi</v>
          </cell>
        </row>
        <row r="2332">
          <cell r="B2332" t="b">
            <v>1</v>
          </cell>
          <cell r="E2332" t="str">
            <v>Tierra Bomba</v>
          </cell>
          <cell r="H2332" t="str">
            <v>laboratorio</v>
          </cell>
          <cell r="J2332" t="str">
            <v>bueno</v>
          </cell>
          <cell r="K2332" t="str">
            <v>probsi</v>
          </cell>
        </row>
        <row r="2333">
          <cell r="B2333" t="b">
            <v>1</v>
          </cell>
          <cell r="E2333" t="str">
            <v>Tierra Bomba</v>
          </cell>
          <cell r="H2333" t="str">
            <v>laboratorio</v>
          </cell>
          <cell r="J2333" t="str">
            <v>bueno</v>
          </cell>
          <cell r="K2333" t="str">
            <v>probsi</v>
          </cell>
        </row>
        <row r="2334">
          <cell r="B2334" t="b">
            <v>1</v>
          </cell>
          <cell r="E2334" t="str">
            <v>Tierra Bomba</v>
          </cell>
          <cell r="H2334" t="str">
            <v>laboratorio</v>
          </cell>
          <cell r="J2334" t="str">
            <v>bueno</v>
          </cell>
          <cell r="K2334" t="str">
            <v>probsi</v>
          </cell>
        </row>
        <row r="2335">
          <cell r="B2335" t="b">
            <v>1</v>
          </cell>
          <cell r="E2335" t="str">
            <v>Tierra Bomba</v>
          </cell>
          <cell r="H2335" t="str">
            <v>laboratorio</v>
          </cell>
          <cell r="J2335" t="str">
            <v>bueno</v>
          </cell>
          <cell r="K2335" t="str">
            <v>probsi</v>
          </cell>
        </row>
        <row r="2336">
          <cell r="B2336" t="b">
            <v>1</v>
          </cell>
          <cell r="E2336" t="str">
            <v>Tierra Bomba</v>
          </cell>
          <cell r="H2336" t="str">
            <v>consulta_externa</v>
          </cell>
          <cell r="J2336" t="str">
            <v>bueno</v>
          </cell>
          <cell r="K2336" t="str">
            <v>probsi</v>
          </cell>
        </row>
        <row r="2337">
          <cell r="B2337" t="b">
            <v>1</v>
          </cell>
          <cell r="E2337" t="str">
            <v>Tierra Bomba</v>
          </cell>
          <cell r="H2337" t="str">
            <v>consulta_externa</v>
          </cell>
          <cell r="J2337" t="str">
            <v>bueno</v>
          </cell>
          <cell r="K2337" t="str">
            <v>probsi</v>
          </cell>
        </row>
        <row r="2338">
          <cell r="B2338" t="b">
            <v>1</v>
          </cell>
          <cell r="E2338" t="str">
            <v>Tierra Bomba</v>
          </cell>
          <cell r="H2338" t="str">
            <v>salud_oral</v>
          </cell>
          <cell r="J2338" t="str">
            <v>bueno</v>
          </cell>
          <cell r="K2338" t="str">
            <v>probsi</v>
          </cell>
        </row>
        <row r="2339">
          <cell r="B2339" t="b">
            <v>1</v>
          </cell>
          <cell r="E2339" t="str">
            <v>Tierra Bomba</v>
          </cell>
          <cell r="H2339" t="str">
            <v>salud_oral</v>
          </cell>
          <cell r="J2339" t="str">
            <v>bueno</v>
          </cell>
          <cell r="K2339" t="str">
            <v>probsi</v>
          </cell>
        </row>
        <row r="2340">
          <cell r="B2340" t="b">
            <v>1</v>
          </cell>
          <cell r="E2340" t="str">
            <v>Tierra Bomba</v>
          </cell>
          <cell r="H2340" t="str">
            <v>salud_oral</v>
          </cell>
          <cell r="J2340" t="str">
            <v>bueno</v>
          </cell>
          <cell r="K2340" t="str">
            <v>probsi</v>
          </cell>
        </row>
        <row r="2341">
          <cell r="B2341" t="b">
            <v>1</v>
          </cell>
          <cell r="E2341" t="str">
            <v>Tierra Bomba</v>
          </cell>
          <cell r="H2341" t="str">
            <v>salud_oral</v>
          </cell>
          <cell r="J2341" t="str">
            <v>bueno</v>
          </cell>
          <cell r="K2341" t="str">
            <v>probsi</v>
          </cell>
        </row>
        <row r="2342">
          <cell r="B2342" t="b">
            <v>1</v>
          </cell>
          <cell r="E2342" t="str">
            <v>Tierra Bomba</v>
          </cell>
          <cell r="H2342" t="str">
            <v>laboratorio</v>
          </cell>
          <cell r="J2342" t="str">
            <v>bueno</v>
          </cell>
          <cell r="K2342" t="str">
            <v>probsi</v>
          </cell>
        </row>
        <row r="2343">
          <cell r="B2343" t="b">
            <v>1</v>
          </cell>
          <cell r="E2343" t="str">
            <v>Tierra Bomba</v>
          </cell>
          <cell r="H2343" t="str">
            <v>consulta_externa</v>
          </cell>
          <cell r="J2343" t="str">
            <v>bueno</v>
          </cell>
          <cell r="K2343" t="str">
            <v>probsi</v>
          </cell>
        </row>
        <row r="2344">
          <cell r="B2344" t="b">
            <v>1</v>
          </cell>
          <cell r="E2344" t="str">
            <v>Tierra Bomba</v>
          </cell>
          <cell r="H2344" t="str">
            <v>salud_oral</v>
          </cell>
          <cell r="J2344" t="str">
            <v>bueno</v>
          </cell>
          <cell r="K2344" t="str">
            <v>probsi</v>
          </cell>
        </row>
        <row r="2345">
          <cell r="B2345" t="b">
            <v>1</v>
          </cell>
          <cell r="E2345" t="str">
            <v>Tierra Bomba</v>
          </cell>
          <cell r="H2345" t="str">
            <v>salud_oral</v>
          </cell>
          <cell r="J2345" t="str">
            <v>bueno</v>
          </cell>
          <cell r="K2345" t="str">
            <v>probsi</v>
          </cell>
        </row>
        <row r="2346">
          <cell r="B2346" t="b">
            <v>1</v>
          </cell>
          <cell r="E2346" t="str">
            <v>Tierra Bomba</v>
          </cell>
          <cell r="H2346" t="str">
            <v>salud_oral</v>
          </cell>
          <cell r="J2346" t="str">
            <v>bueno</v>
          </cell>
          <cell r="K2346" t="str">
            <v>probsi</v>
          </cell>
        </row>
        <row r="2347">
          <cell r="B2347" t="b">
            <v>1</v>
          </cell>
          <cell r="E2347" t="str">
            <v>Tierra Bomba</v>
          </cell>
          <cell r="H2347" t="str">
            <v>laboratorio</v>
          </cell>
          <cell r="J2347" t="str">
            <v>bueno</v>
          </cell>
          <cell r="K2347" t="str">
            <v>probsi</v>
          </cell>
        </row>
        <row r="2348">
          <cell r="B2348" t="b">
            <v>1</v>
          </cell>
          <cell r="E2348" t="str">
            <v>Tierra Bomba</v>
          </cell>
          <cell r="H2348" t="str">
            <v>laboratorio</v>
          </cell>
          <cell r="J2348" t="str">
            <v>bueno</v>
          </cell>
          <cell r="K2348" t="str">
            <v>probsi</v>
          </cell>
        </row>
        <row r="2349">
          <cell r="B2349" t="b">
            <v>1</v>
          </cell>
          <cell r="E2349" t="str">
            <v>Tierra Bomba</v>
          </cell>
          <cell r="H2349" t="str">
            <v>consulta_externa</v>
          </cell>
          <cell r="J2349" t="str">
            <v>bueno</v>
          </cell>
          <cell r="K2349" t="str">
            <v>probsi</v>
          </cell>
        </row>
        <row r="2350">
          <cell r="B2350" t="b">
            <v>1</v>
          </cell>
          <cell r="E2350" t="str">
            <v>Tierra Bomba</v>
          </cell>
          <cell r="H2350" t="str">
            <v>consulta_externa</v>
          </cell>
          <cell r="J2350" t="str">
            <v>bueno</v>
          </cell>
          <cell r="K2350" t="str">
            <v>probsi</v>
          </cell>
        </row>
        <row r="2351">
          <cell r="B2351" t="b">
            <v>1</v>
          </cell>
          <cell r="E2351" t="str">
            <v>Tierra Bomba</v>
          </cell>
          <cell r="H2351" t="str">
            <v>consulta_externa</v>
          </cell>
          <cell r="J2351" t="str">
            <v>bueno</v>
          </cell>
          <cell r="K2351" t="str">
            <v>probsi</v>
          </cell>
        </row>
        <row r="2352">
          <cell r="B2352" t="b">
            <v>1</v>
          </cell>
          <cell r="E2352" t="str">
            <v>Tierra Bomba</v>
          </cell>
          <cell r="H2352" t="str">
            <v>laboratorio</v>
          </cell>
          <cell r="J2352" t="str">
            <v>bueno</v>
          </cell>
          <cell r="K2352" t="str">
            <v>probsi</v>
          </cell>
        </row>
        <row r="2353">
          <cell r="B2353" t="b">
            <v>1</v>
          </cell>
          <cell r="E2353" t="str">
            <v>Tierra Bomba</v>
          </cell>
          <cell r="H2353" t="str">
            <v>laboratorio</v>
          </cell>
          <cell r="J2353" t="str">
            <v>bueno</v>
          </cell>
          <cell r="K2353" t="str">
            <v>probsi</v>
          </cell>
        </row>
        <row r="2354">
          <cell r="B2354" t="b">
            <v>1</v>
          </cell>
          <cell r="E2354" t="str">
            <v>Tierra Bomba</v>
          </cell>
          <cell r="H2354" t="str">
            <v>laboratorio</v>
          </cell>
          <cell r="J2354" t="str">
            <v>bueno</v>
          </cell>
          <cell r="K2354" t="str">
            <v>probsi</v>
          </cell>
        </row>
        <row r="2355">
          <cell r="B2355" t="b">
            <v>1</v>
          </cell>
          <cell r="E2355" t="str">
            <v>Tierra Bomba</v>
          </cell>
          <cell r="H2355" t="str">
            <v>salud_oral</v>
          </cell>
          <cell r="J2355" t="str">
            <v>bueno</v>
          </cell>
          <cell r="K2355" t="str">
            <v>probsi</v>
          </cell>
        </row>
        <row r="2356">
          <cell r="B2356" t="b">
            <v>1</v>
          </cell>
          <cell r="E2356" t="str">
            <v>Tierra Bomba</v>
          </cell>
          <cell r="H2356" t="str">
            <v>salud_oral</v>
          </cell>
          <cell r="J2356" t="str">
            <v>bueno</v>
          </cell>
          <cell r="K2356" t="str">
            <v>probsi</v>
          </cell>
        </row>
        <row r="2357">
          <cell r="B2357" t="b">
            <v>1</v>
          </cell>
          <cell r="E2357" t="str">
            <v>Foco Rojo</v>
          </cell>
          <cell r="H2357" t="str">
            <v>consulta_externa</v>
          </cell>
          <cell r="J2357" t="str">
            <v>bueno</v>
          </cell>
          <cell r="K2357" t="str">
            <v>defsi</v>
          </cell>
        </row>
        <row r="2358">
          <cell r="B2358" t="b">
            <v>1</v>
          </cell>
          <cell r="E2358" t="str">
            <v>Tierra Bomba</v>
          </cell>
          <cell r="H2358" t="str">
            <v>laboratorio</v>
          </cell>
          <cell r="J2358" t="str">
            <v>bueno</v>
          </cell>
          <cell r="K2358" t="str">
            <v>probsi</v>
          </cell>
        </row>
        <row r="2359">
          <cell r="B2359" t="b">
            <v>1</v>
          </cell>
          <cell r="E2359" t="str">
            <v>Foco Rojo</v>
          </cell>
          <cell r="H2359" t="str">
            <v>laboratorio</v>
          </cell>
          <cell r="J2359" t="str">
            <v>bueno</v>
          </cell>
          <cell r="K2359" t="str">
            <v>defsi</v>
          </cell>
        </row>
        <row r="2360">
          <cell r="B2360" t="b">
            <v>1</v>
          </cell>
          <cell r="E2360" t="str">
            <v>Foco Rojo</v>
          </cell>
          <cell r="H2360" t="str">
            <v>salud_oral</v>
          </cell>
          <cell r="J2360" t="str">
            <v>bueno</v>
          </cell>
          <cell r="K2360" t="str">
            <v>defsi</v>
          </cell>
        </row>
        <row r="2361">
          <cell r="B2361" t="b">
            <v>1</v>
          </cell>
          <cell r="E2361" t="str">
            <v>Foco Rojo</v>
          </cell>
          <cell r="H2361" t="str">
            <v>consulta_externa</v>
          </cell>
          <cell r="J2361" t="str">
            <v>bueno</v>
          </cell>
          <cell r="K2361" t="str">
            <v>defsi</v>
          </cell>
        </row>
        <row r="2362">
          <cell r="B2362" t="b">
            <v>1</v>
          </cell>
          <cell r="E2362" t="str">
            <v>Foco Rojo</v>
          </cell>
          <cell r="H2362" t="str">
            <v>consulta_externa</v>
          </cell>
          <cell r="J2362" t="str">
            <v>bueno</v>
          </cell>
          <cell r="K2362" t="str">
            <v>defsi</v>
          </cell>
        </row>
        <row r="2363">
          <cell r="B2363" t="b">
            <v>1</v>
          </cell>
          <cell r="E2363" t="str">
            <v>Foco Rojo</v>
          </cell>
          <cell r="H2363" t="str">
            <v>laboratorio</v>
          </cell>
          <cell r="J2363" t="str">
            <v>bueno</v>
          </cell>
          <cell r="K2363" t="str">
            <v>defsi</v>
          </cell>
        </row>
        <row r="2364">
          <cell r="B2364" t="b">
            <v>0</v>
          </cell>
          <cell r="E2364" t="str">
            <v>Foco Rojo</v>
          </cell>
          <cell r="H2364" t="str">
            <v>laboratorio</v>
          </cell>
          <cell r="J2364" t="str">
            <v>regular</v>
          </cell>
          <cell r="K2364" t="str">
            <v>defsi</v>
          </cell>
        </row>
        <row r="2365">
          <cell r="B2365" t="b">
            <v>1</v>
          </cell>
          <cell r="E2365" t="str">
            <v>Islote de San Bernardo</v>
          </cell>
          <cell r="H2365" t="str">
            <v>consulta_externa</v>
          </cell>
          <cell r="J2365" t="str">
            <v>bueno</v>
          </cell>
          <cell r="K2365" t="str">
            <v>defsi</v>
          </cell>
        </row>
        <row r="2366">
          <cell r="B2366" t="b">
            <v>1</v>
          </cell>
          <cell r="E2366" t="str">
            <v>Islote de San Bernardo</v>
          </cell>
          <cell r="H2366" t="str">
            <v>salud_oral</v>
          </cell>
          <cell r="J2366" t="str">
            <v>bueno</v>
          </cell>
          <cell r="K2366" t="str">
            <v>defsi</v>
          </cell>
        </row>
        <row r="2367">
          <cell r="B2367" t="b">
            <v>1</v>
          </cell>
          <cell r="E2367" t="str">
            <v>Islote de San Bernardo</v>
          </cell>
          <cell r="H2367" t="str">
            <v>laboratorio</v>
          </cell>
          <cell r="J2367" t="str">
            <v>bueno</v>
          </cell>
          <cell r="K2367" t="str">
            <v>defsi</v>
          </cell>
        </row>
        <row r="2368">
          <cell r="B2368" t="b">
            <v>1</v>
          </cell>
          <cell r="E2368" t="str">
            <v>Islote de San Bernardo</v>
          </cell>
          <cell r="H2368" t="str">
            <v>consulta_externa</v>
          </cell>
          <cell r="J2368" t="str">
            <v>bueno</v>
          </cell>
          <cell r="K2368" t="str">
            <v>defsi</v>
          </cell>
        </row>
        <row r="2369">
          <cell r="B2369" t="b">
            <v>1</v>
          </cell>
          <cell r="E2369" t="str">
            <v>Islote de San Bernardo</v>
          </cell>
          <cell r="H2369" t="str">
            <v>salud_oral</v>
          </cell>
          <cell r="J2369" t="str">
            <v>bueno</v>
          </cell>
          <cell r="K2369" t="str">
            <v>defsi</v>
          </cell>
        </row>
        <row r="2370">
          <cell r="B2370" t="b">
            <v>1</v>
          </cell>
          <cell r="E2370" t="str">
            <v>Islote de San Bernardo</v>
          </cell>
          <cell r="H2370" t="str">
            <v>laboratorio</v>
          </cell>
          <cell r="J2370" t="str">
            <v>bueno</v>
          </cell>
          <cell r="K2370" t="str">
            <v>defsi</v>
          </cell>
        </row>
        <row r="2371">
          <cell r="B2371" t="b">
            <v>1</v>
          </cell>
          <cell r="E2371" t="str">
            <v>Baru</v>
          </cell>
          <cell r="H2371" t="str">
            <v>salud_oral</v>
          </cell>
          <cell r="J2371" t="str">
            <v>bueno</v>
          </cell>
          <cell r="K2371" t="str">
            <v>probsi</v>
          </cell>
        </row>
        <row r="2372">
          <cell r="B2372" t="b">
            <v>1</v>
          </cell>
          <cell r="E2372" t="str">
            <v>Baru</v>
          </cell>
          <cell r="H2372" t="str">
            <v>salud_oral</v>
          </cell>
          <cell r="J2372" t="str">
            <v>bueno</v>
          </cell>
          <cell r="K2372" t="str">
            <v>probsi</v>
          </cell>
        </row>
        <row r="2373">
          <cell r="B2373" t="b">
            <v>0</v>
          </cell>
          <cell r="E2373" t="str">
            <v>Baru</v>
          </cell>
          <cell r="H2373" t="str">
            <v>salud_oral</v>
          </cell>
          <cell r="J2373" t="str">
            <v>regular</v>
          </cell>
          <cell r="K2373" t="str">
            <v>probsi</v>
          </cell>
        </row>
        <row r="2374">
          <cell r="B2374" t="b">
            <v>0</v>
          </cell>
          <cell r="E2374" t="str">
            <v>Baru</v>
          </cell>
          <cell r="H2374" t="str">
            <v>salud_oral</v>
          </cell>
          <cell r="J2374" t="str">
            <v>regular</v>
          </cell>
          <cell r="K2374" t="str">
            <v>probsi</v>
          </cell>
        </row>
        <row r="2375">
          <cell r="B2375" t="b">
            <v>0</v>
          </cell>
          <cell r="E2375" t="str">
            <v>Baru</v>
          </cell>
          <cell r="H2375" t="str">
            <v>salud_oral</v>
          </cell>
          <cell r="J2375" t="str">
            <v>regular</v>
          </cell>
          <cell r="K2375" t="str">
            <v>probsi</v>
          </cell>
        </row>
        <row r="2376">
          <cell r="B2376" t="b">
            <v>1</v>
          </cell>
          <cell r="E2376" t="str">
            <v>Baru</v>
          </cell>
          <cell r="H2376" t="str">
            <v>salud_oral</v>
          </cell>
          <cell r="J2376" t="str">
            <v>bueno</v>
          </cell>
          <cell r="K2376" t="str">
            <v>probsi</v>
          </cell>
        </row>
        <row r="2377">
          <cell r="B2377" t="b">
            <v>1</v>
          </cell>
          <cell r="E2377" t="str">
            <v>Baru</v>
          </cell>
          <cell r="H2377" t="str">
            <v>salud_oral</v>
          </cell>
          <cell r="J2377" t="str">
            <v>bueno</v>
          </cell>
          <cell r="K2377" t="str">
            <v>probsi</v>
          </cell>
        </row>
        <row r="2378">
          <cell r="B2378" t="b">
            <v>1</v>
          </cell>
          <cell r="E2378" t="str">
            <v>Islote de San Bernardo</v>
          </cell>
          <cell r="H2378" t="str">
            <v>consulta_externa</v>
          </cell>
          <cell r="J2378" t="str">
            <v>bueno</v>
          </cell>
          <cell r="K2378" t="str">
            <v>defsi</v>
          </cell>
        </row>
        <row r="2379">
          <cell r="B2379" t="b">
            <v>0</v>
          </cell>
          <cell r="E2379" t="str">
            <v>Baru</v>
          </cell>
          <cell r="H2379" t="str">
            <v>laboratorio</v>
          </cell>
          <cell r="J2379" t="str">
            <v>regular</v>
          </cell>
          <cell r="K2379" t="str">
            <v>probsi</v>
          </cell>
        </row>
        <row r="2380">
          <cell r="B2380" t="b">
            <v>0</v>
          </cell>
          <cell r="E2380" t="str">
            <v>Baru</v>
          </cell>
          <cell r="H2380" t="str">
            <v>laboratorio</v>
          </cell>
          <cell r="J2380" t="str">
            <v>regular</v>
          </cell>
          <cell r="K2380" t="str">
            <v>probsi</v>
          </cell>
        </row>
        <row r="2381">
          <cell r="B2381" t="b">
            <v>1</v>
          </cell>
          <cell r="E2381" t="str">
            <v>Baru</v>
          </cell>
          <cell r="H2381" t="str">
            <v>laboratorio</v>
          </cell>
          <cell r="J2381" t="str">
            <v>bueno</v>
          </cell>
          <cell r="K2381" t="str">
            <v>probsi</v>
          </cell>
        </row>
        <row r="2382">
          <cell r="B2382" t="b">
            <v>1</v>
          </cell>
          <cell r="E2382" t="str">
            <v>Baru</v>
          </cell>
          <cell r="H2382" t="str">
            <v>laboratorio</v>
          </cell>
          <cell r="J2382" t="str">
            <v>bueno</v>
          </cell>
          <cell r="K2382" t="str">
            <v>probsi</v>
          </cell>
        </row>
        <row r="2383">
          <cell r="B2383" t="b">
            <v>1</v>
          </cell>
          <cell r="E2383" t="str">
            <v>Baru</v>
          </cell>
          <cell r="H2383" t="str">
            <v>laboratorio</v>
          </cell>
          <cell r="J2383" t="str">
            <v>bueno</v>
          </cell>
          <cell r="K2383" t="str">
            <v>probsi</v>
          </cell>
        </row>
        <row r="2384">
          <cell r="B2384" t="b">
            <v>1</v>
          </cell>
          <cell r="E2384" t="str">
            <v>Islote de San Bernardo</v>
          </cell>
          <cell r="H2384" t="str">
            <v>salud_oral</v>
          </cell>
          <cell r="J2384" t="str">
            <v>bueno</v>
          </cell>
          <cell r="K2384" t="str">
            <v>defsi</v>
          </cell>
        </row>
        <row r="2385">
          <cell r="B2385" t="b">
            <v>0</v>
          </cell>
          <cell r="E2385" t="str">
            <v>Foco Rojo</v>
          </cell>
          <cell r="H2385" t="str">
            <v>laboratorio</v>
          </cell>
          <cell r="J2385" t="str">
            <v>regular</v>
          </cell>
          <cell r="K2385" t="str">
            <v>defsi</v>
          </cell>
        </row>
        <row r="2386">
          <cell r="B2386" t="b">
            <v>1</v>
          </cell>
          <cell r="E2386" t="str">
            <v>Islote de San Bernardo</v>
          </cell>
          <cell r="H2386" t="str">
            <v>laboratorio</v>
          </cell>
          <cell r="J2386" t="str">
            <v>bueno</v>
          </cell>
          <cell r="K2386" t="str">
            <v>defsi</v>
          </cell>
        </row>
        <row r="2387">
          <cell r="B2387" t="b">
            <v>1</v>
          </cell>
          <cell r="E2387" t="str">
            <v>Foco Rojo</v>
          </cell>
          <cell r="H2387" t="str">
            <v>consulta_externa</v>
          </cell>
          <cell r="J2387" t="str">
            <v>bueno</v>
          </cell>
          <cell r="K2387" t="str">
            <v>defsi</v>
          </cell>
        </row>
        <row r="2388">
          <cell r="B2388" t="b">
            <v>1</v>
          </cell>
          <cell r="E2388" t="str">
            <v>Foco Rojo</v>
          </cell>
          <cell r="H2388" t="str">
            <v>laboratorio</v>
          </cell>
          <cell r="J2388" t="str">
            <v>bueno</v>
          </cell>
          <cell r="K2388" t="str">
            <v>defsi</v>
          </cell>
        </row>
        <row r="2389">
          <cell r="B2389" t="b">
            <v>1</v>
          </cell>
          <cell r="E2389" t="str">
            <v>Foco Rojo</v>
          </cell>
          <cell r="H2389" t="str">
            <v>salud_oral</v>
          </cell>
          <cell r="J2389" t="str">
            <v>bueno</v>
          </cell>
          <cell r="K2389" t="str">
            <v>defsi</v>
          </cell>
        </row>
        <row r="2390">
          <cell r="B2390" t="b">
            <v>1</v>
          </cell>
          <cell r="E2390" t="str">
            <v>Tierra Bomba</v>
          </cell>
          <cell r="H2390" t="str">
            <v>laboratorio</v>
          </cell>
          <cell r="J2390" t="str">
            <v>bueno</v>
          </cell>
          <cell r="K2390" t="str">
            <v>probsi</v>
          </cell>
        </row>
        <row r="2391">
          <cell r="B2391" t="b">
            <v>1</v>
          </cell>
          <cell r="E2391" t="str">
            <v>Santa Ana</v>
          </cell>
          <cell r="H2391" t="str">
            <v>consulta_externa</v>
          </cell>
          <cell r="J2391" t="str">
            <v>bueno</v>
          </cell>
          <cell r="K2391" t="str">
            <v>defsi</v>
          </cell>
        </row>
        <row r="2392">
          <cell r="B2392" t="b">
            <v>1</v>
          </cell>
          <cell r="E2392" t="str">
            <v>Santa Ana</v>
          </cell>
          <cell r="H2392" t="str">
            <v>consulta_externa</v>
          </cell>
          <cell r="J2392" t="str">
            <v>bueno</v>
          </cell>
          <cell r="K2392" t="str">
            <v>defsi</v>
          </cell>
        </row>
        <row r="2393">
          <cell r="B2393" t="b">
            <v>1</v>
          </cell>
          <cell r="E2393" t="str">
            <v>Santa Ana</v>
          </cell>
          <cell r="H2393" t="str">
            <v>consulta_externa</v>
          </cell>
          <cell r="J2393" t="str">
            <v>bueno</v>
          </cell>
          <cell r="K2393" t="str">
            <v>defsi</v>
          </cell>
        </row>
        <row r="2394">
          <cell r="B2394" t="b">
            <v>1</v>
          </cell>
          <cell r="E2394" t="str">
            <v>Santa Ana</v>
          </cell>
          <cell r="H2394" t="str">
            <v>consulta_externa</v>
          </cell>
          <cell r="J2394" t="str">
            <v>bueno</v>
          </cell>
          <cell r="K2394" t="str">
            <v>defsi</v>
          </cell>
        </row>
        <row r="2395">
          <cell r="B2395" t="b">
            <v>1</v>
          </cell>
          <cell r="E2395" t="str">
            <v>Santa Ana</v>
          </cell>
          <cell r="H2395" t="str">
            <v>laboratorio</v>
          </cell>
          <cell r="J2395" t="str">
            <v>bueno</v>
          </cell>
          <cell r="K2395" t="str">
            <v>defsi</v>
          </cell>
        </row>
        <row r="2396">
          <cell r="B2396" t="b">
            <v>1</v>
          </cell>
          <cell r="E2396" t="str">
            <v>Santa Ana</v>
          </cell>
          <cell r="H2396" t="str">
            <v>laboratorio</v>
          </cell>
          <cell r="J2396" t="str">
            <v>bueno</v>
          </cell>
          <cell r="K2396" t="str">
            <v>defsi</v>
          </cell>
        </row>
        <row r="2397">
          <cell r="B2397" t="b">
            <v>1</v>
          </cell>
          <cell r="E2397" t="str">
            <v>Santa Ana</v>
          </cell>
          <cell r="H2397" t="str">
            <v>laboratorio</v>
          </cell>
          <cell r="J2397" t="str">
            <v>bueno</v>
          </cell>
          <cell r="K2397" t="str">
            <v>defsi</v>
          </cell>
        </row>
        <row r="2398">
          <cell r="B2398" t="b">
            <v>1</v>
          </cell>
          <cell r="E2398" t="str">
            <v>Santa Ana</v>
          </cell>
          <cell r="H2398" t="str">
            <v>laboratorio</v>
          </cell>
          <cell r="J2398" t="str">
            <v>bueno</v>
          </cell>
          <cell r="K2398" t="str">
            <v>defsi</v>
          </cell>
        </row>
        <row r="2399">
          <cell r="B2399" t="b">
            <v>1</v>
          </cell>
          <cell r="E2399" t="str">
            <v>Santa Ana</v>
          </cell>
          <cell r="H2399" t="str">
            <v>salud_oral</v>
          </cell>
          <cell r="J2399" t="str">
            <v>bueno</v>
          </cell>
          <cell r="K2399" t="str">
            <v>defsi</v>
          </cell>
        </row>
        <row r="2400">
          <cell r="B2400" t="b">
            <v>1</v>
          </cell>
          <cell r="E2400" t="str">
            <v>Santa Ana</v>
          </cell>
          <cell r="H2400" t="str">
            <v>salud_oral</v>
          </cell>
          <cell r="J2400" t="str">
            <v>bueno</v>
          </cell>
          <cell r="K2400" t="str">
            <v>defsi</v>
          </cell>
        </row>
        <row r="2401">
          <cell r="B2401" t="b">
            <v>1</v>
          </cell>
          <cell r="E2401" t="str">
            <v>Santa Ana</v>
          </cell>
          <cell r="H2401" t="str">
            <v>salud_oral</v>
          </cell>
          <cell r="J2401" t="str">
            <v>bueno</v>
          </cell>
          <cell r="K2401" t="str">
            <v>defsi</v>
          </cell>
        </row>
        <row r="2402">
          <cell r="B2402" t="b">
            <v>1</v>
          </cell>
          <cell r="E2402" t="str">
            <v>Santa Ana</v>
          </cell>
          <cell r="H2402" t="str">
            <v>salud_oral</v>
          </cell>
          <cell r="J2402" t="str">
            <v>bueno</v>
          </cell>
          <cell r="K2402" t="str">
            <v>defsi</v>
          </cell>
        </row>
        <row r="2403">
          <cell r="B2403" t="b">
            <v>1</v>
          </cell>
          <cell r="E2403" t="str">
            <v>Santa Ana</v>
          </cell>
          <cell r="H2403" t="str">
            <v>salud_oral</v>
          </cell>
          <cell r="J2403" t="str">
            <v>bueno</v>
          </cell>
          <cell r="K2403" t="str">
            <v>defsi</v>
          </cell>
        </row>
        <row r="2404">
          <cell r="B2404" t="b">
            <v>1</v>
          </cell>
          <cell r="E2404" t="str">
            <v>Santa Ana</v>
          </cell>
          <cell r="H2404" t="str">
            <v>salud_oral</v>
          </cell>
          <cell r="J2404" t="str">
            <v>bueno</v>
          </cell>
          <cell r="K2404" t="str">
            <v>defsi</v>
          </cell>
        </row>
        <row r="2405">
          <cell r="B2405" t="b">
            <v>1</v>
          </cell>
          <cell r="E2405" t="str">
            <v>Santa Ana</v>
          </cell>
          <cell r="H2405" t="str">
            <v>laboratorio</v>
          </cell>
          <cell r="J2405" t="str">
            <v>bueno</v>
          </cell>
          <cell r="K2405" t="str">
            <v>defsi</v>
          </cell>
        </row>
        <row r="2406">
          <cell r="B2406" t="b">
            <v>1</v>
          </cell>
          <cell r="E2406" t="str">
            <v>Santa Ana</v>
          </cell>
          <cell r="H2406" t="str">
            <v>laboratorio</v>
          </cell>
          <cell r="J2406" t="str">
            <v>bueno</v>
          </cell>
          <cell r="K2406" t="str">
            <v>defsi</v>
          </cell>
        </row>
        <row r="2407">
          <cell r="B2407" t="b">
            <v>1</v>
          </cell>
          <cell r="E2407" t="str">
            <v>Santa Ana</v>
          </cell>
          <cell r="H2407" t="str">
            <v>laboratorio</v>
          </cell>
          <cell r="J2407" t="str">
            <v>bueno</v>
          </cell>
          <cell r="K2407" t="str">
            <v>defsi</v>
          </cell>
        </row>
        <row r="2408">
          <cell r="B2408" t="b">
            <v>1</v>
          </cell>
          <cell r="E2408" t="str">
            <v>Santa Ana</v>
          </cell>
          <cell r="H2408" t="str">
            <v>laboratorio</v>
          </cell>
          <cell r="J2408" t="str">
            <v>bueno</v>
          </cell>
          <cell r="K2408" t="str">
            <v>defsi</v>
          </cell>
        </row>
        <row r="2409">
          <cell r="B2409" t="b">
            <v>1</v>
          </cell>
          <cell r="E2409" t="str">
            <v>Santa Ana</v>
          </cell>
          <cell r="H2409" t="str">
            <v>laboratorio</v>
          </cell>
          <cell r="J2409" t="str">
            <v>bueno</v>
          </cell>
          <cell r="K2409" t="str">
            <v>defsi</v>
          </cell>
        </row>
        <row r="2410">
          <cell r="B2410" t="b">
            <v>1</v>
          </cell>
          <cell r="E2410" t="str">
            <v>Santa Ana</v>
          </cell>
          <cell r="H2410" t="str">
            <v>consulta_externa</v>
          </cell>
          <cell r="J2410" t="str">
            <v>bueno</v>
          </cell>
          <cell r="K2410" t="str">
            <v>defsi</v>
          </cell>
        </row>
        <row r="2411">
          <cell r="B2411" t="b">
            <v>1</v>
          </cell>
          <cell r="E2411" t="str">
            <v>Santa Ana</v>
          </cell>
          <cell r="H2411" t="str">
            <v>consulta_externa</v>
          </cell>
          <cell r="J2411" t="str">
            <v>bueno</v>
          </cell>
          <cell r="K2411" t="str">
            <v>defsi</v>
          </cell>
        </row>
        <row r="2412">
          <cell r="B2412" t="b">
            <v>1</v>
          </cell>
          <cell r="E2412" t="str">
            <v>Santa Ana</v>
          </cell>
          <cell r="H2412" t="str">
            <v>consulta_externa</v>
          </cell>
          <cell r="J2412" t="str">
            <v>bueno</v>
          </cell>
          <cell r="K2412" t="str">
            <v>defsi</v>
          </cell>
        </row>
        <row r="2413">
          <cell r="B2413" t="b">
            <v>1</v>
          </cell>
          <cell r="E2413" t="str">
            <v>Santa Ana</v>
          </cell>
          <cell r="H2413" t="str">
            <v>consulta_externa</v>
          </cell>
          <cell r="J2413" t="str">
            <v>bueno</v>
          </cell>
          <cell r="K2413" t="str">
            <v>defsi</v>
          </cell>
        </row>
        <row r="2414">
          <cell r="B2414" t="b">
            <v>1</v>
          </cell>
          <cell r="E2414" t="str">
            <v>Santa Ana</v>
          </cell>
          <cell r="H2414" t="str">
            <v>consulta_externa</v>
          </cell>
          <cell r="J2414" t="str">
            <v>bueno</v>
          </cell>
          <cell r="K2414" t="str">
            <v>defsi</v>
          </cell>
        </row>
        <row r="2415">
          <cell r="B2415" t="b">
            <v>1</v>
          </cell>
          <cell r="E2415" t="str">
            <v>Santa Ana</v>
          </cell>
          <cell r="H2415" t="str">
            <v>consulta_externa</v>
          </cell>
          <cell r="J2415" t="str">
            <v>bueno</v>
          </cell>
          <cell r="K2415" t="str">
            <v>defsi</v>
          </cell>
        </row>
        <row r="2416">
          <cell r="B2416" t="b">
            <v>1</v>
          </cell>
          <cell r="E2416" t="str">
            <v>Santa Ana</v>
          </cell>
          <cell r="H2416" t="str">
            <v>consulta_externa</v>
          </cell>
          <cell r="J2416" t="str">
            <v>bueno</v>
          </cell>
          <cell r="K2416" t="str">
            <v>defsi</v>
          </cell>
        </row>
        <row r="2417">
          <cell r="B2417" t="b">
            <v>1</v>
          </cell>
          <cell r="E2417" t="str">
            <v>Santa Ana</v>
          </cell>
          <cell r="H2417" t="str">
            <v>laboratorio</v>
          </cell>
          <cell r="J2417" t="str">
            <v>bueno</v>
          </cell>
          <cell r="K2417" t="str">
            <v>defsi</v>
          </cell>
        </row>
        <row r="2418">
          <cell r="B2418" t="b">
            <v>1</v>
          </cell>
          <cell r="E2418" t="str">
            <v>Santa Ana</v>
          </cell>
          <cell r="H2418" t="str">
            <v>laboratorio</v>
          </cell>
          <cell r="J2418" t="str">
            <v>bueno</v>
          </cell>
          <cell r="K2418" t="str">
            <v>defsi</v>
          </cell>
        </row>
        <row r="2419">
          <cell r="B2419" t="b">
            <v>1</v>
          </cell>
          <cell r="E2419" t="str">
            <v>Santa Ana</v>
          </cell>
          <cell r="H2419" t="str">
            <v>laboratorio</v>
          </cell>
          <cell r="J2419" t="str">
            <v>bueno</v>
          </cell>
          <cell r="K2419" t="str">
            <v>defsi</v>
          </cell>
        </row>
        <row r="2420">
          <cell r="B2420" t="b">
            <v>1</v>
          </cell>
          <cell r="E2420" t="str">
            <v>Santa Ana</v>
          </cell>
          <cell r="H2420" t="str">
            <v>laboratorio</v>
          </cell>
          <cell r="J2420" t="str">
            <v>bueno</v>
          </cell>
          <cell r="K2420" t="str">
            <v>defsi</v>
          </cell>
        </row>
        <row r="2421">
          <cell r="B2421" t="b">
            <v>1</v>
          </cell>
          <cell r="E2421" t="str">
            <v>Santa Ana</v>
          </cell>
          <cell r="H2421" t="str">
            <v>laboratorio</v>
          </cell>
          <cell r="J2421" t="str">
            <v>bueno</v>
          </cell>
          <cell r="K2421" t="str">
            <v>defsi</v>
          </cell>
        </row>
        <row r="2422">
          <cell r="B2422" t="b">
            <v>1</v>
          </cell>
          <cell r="E2422" t="str">
            <v>Santa Ana</v>
          </cell>
          <cell r="H2422" t="str">
            <v>laboratorio</v>
          </cell>
          <cell r="J2422" t="str">
            <v>bueno</v>
          </cell>
          <cell r="K2422" t="str">
            <v>defsi</v>
          </cell>
        </row>
        <row r="2423">
          <cell r="B2423" t="b">
            <v>1</v>
          </cell>
          <cell r="E2423" t="str">
            <v>Santa Ana</v>
          </cell>
          <cell r="H2423" t="str">
            <v>salud_oral</v>
          </cell>
          <cell r="J2423" t="str">
            <v>bueno</v>
          </cell>
          <cell r="K2423" t="str">
            <v>defsi</v>
          </cell>
        </row>
        <row r="2424">
          <cell r="B2424" t="b">
            <v>1</v>
          </cell>
          <cell r="E2424" t="str">
            <v>Santa Ana</v>
          </cell>
          <cell r="H2424" t="str">
            <v>salud_oral</v>
          </cell>
          <cell r="J2424" t="str">
            <v>bueno</v>
          </cell>
          <cell r="K2424" t="str">
            <v>defsi</v>
          </cell>
        </row>
        <row r="2425">
          <cell r="B2425" t="b">
            <v>1</v>
          </cell>
          <cell r="E2425" t="str">
            <v>Santa Ana</v>
          </cell>
          <cell r="H2425" t="str">
            <v>salud_oral</v>
          </cell>
          <cell r="J2425" t="str">
            <v>bueno</v>
          </cell>
          <cell r="K2425" t="str">
            <v>defsi</v>
          </cell>
        </row>
        <row r="2426">
          <cell r="B2426" t="b">
            <v>1</v>
          </cell>
          <cell r="E2426" t="str">
            <v>Santa Ana</v>
          </cell>
          <cell r="H2426" t="str">
            <v>salud_oral</v>
          </cell>
          <cell r="J2426" t="str">
            <v>bueno</v>
          </cell>
          <cell r="K2426" t="str">
            <v>defsi</v>
          </cell>
        </row>
        <row r="2427">
          <cell r="B2427" t="b">
            <v>1</v>
          </cell>
          <cell r="E2427" t="str">
            <v>Foco Rojo</v>
          </cell>
          <cell r="H2427" t="str">
            <v>consulta_externa</v>
          </cell>
          <cell r="J2427" t="str">
            <v>bueno</v>
          </cell>
          <cell r="K2427" t="str">
            <v>defsi</v>
          </cell>
        </row>
        <row r="2428">
          <cell r="B2428" t="b">
            <v>1</v>
          </cell>
          <cell r="E2428" t="str">
            <v>Foco Rojo</v>
          </cell>
          <cell r="H2428" t="str">
            <v>consulta_externa</v>
          </cell>
          <cell r="J2428" t="str">
            <v>bueno</v>
          </cell>
          <cell r="K2428" t="str">
            <v>defsi</v>
          </cell>
        </row>
        <row r="2429">
          <cell r="B2429" t="b">
            <v>1</v>
          </cell>
          <cell r="E2429" t="str">
            <v>Foco Rojo</v>
          </cell>
          <cell r="H2429" t="str">
            <v>consulta_externa</v>
          </cell>
          <cell r="J2429" t="str">
            <v>bueno</v>
          </cell>
          <cell r="K2429" t="str">
            <v>defsi</v>
          </cell>
        </row>
        <row r="2430">
          <cell r="B2430" t="b">
            <v>1</v>
          </cell>
          <cell r="E2430" t="str">
            <v>Foco Rojo</v>
          </cell>
          <cell r="H2430" t="str">
            <v>consulta_externa</v>
          </cell>
          <cell r="J2430" t="str">
            <v>bueno</v>
          </cell>
          <cell r="K2430" t="str">
            <v>defsi</v>
          </cell>
        </row>
        <row r="2431">
          <cell r="B2431" t="b">
            <v>1</v>
          </cell>
          <cell r="E2431" t="str">
            <v>Foco Rojo</v>
          </cell>
          <cell r="H2431" t="str">
            <v>consulta_externa</v>
          </cell>
          <cell r="J2431" t="str">
            <v>bueno</v>
          </cell>
          <cell r="K2431" t="str">
            <v>defsi</v>
          </cell>
        </row>
        <row r="2432">
          <cell r="B2432" t="b">
            <v>0</v>
          </cell>
          <cell r="E2432" t="str">
            <v>Baru</v>
          </cell>
          <cell r="H2432" t="str">
            <v>urgencia</v>
          </cell>
          <cell r="J2432" t="str">
            <v>regular</v>
          </cell>
          <cell r="K2432" t="str">
            <v>probsi</v>
          </cell>
        </row>
        <row r="2433">
          <cell r="B2433" t="b">
            <v>0</v>
          </cell>
          <cell r="E2433" t="str">
            <v>Baru</v>
          </cell>
          <cell r="H2433" t="str">
            <v>urgencia</v>
          </cell>
          <cell r="J2433" t="str">
            <v>regular</v>
          </cell>
          <cell r="K2433" t="str">
            <v>probsi</v>
          </cell>
        </row>
        <row r="2434">
          <cell r="B2434" t="b">
            <v>0</v>
          </cell>
          <cell r="E2434" t="str">
            <v>Baru</v>
          </cell>
          <cell r="H2434" t="str">
            <v>urgencia</v>
          </cell>
          <cell r="J2434" t="str">
            <v>regular</v>
          </cell>
          <cell r="K2434" t="str">
            <v>probsi</v>
          </cell>
        </row>
        <row r="2435">
          <cell r="B2435" t="b">
            <v>0</v>
          </cell>
          <cell r="E2435" t="str">
            <v>Baru</v>
          </cell>
          <cell r="H2435" t="str">
            <v>urgencia</v>
          </cell>
          <cell r="J2435" t="str">
            <v>regular</v>
          </cell>
          <cell r="K2435" t="str">
            <v>probsi</v>
          </cell>
        </row>
        <row r="2436">
          <cell r="B2436" t="b">
            <v>1</v>
          </cell>
          <cell r="E2436" t="str">
            <v>Foco Rojo</v>
          </cell>
          <cell r="H2436" t="str">
            <v>consulta_externa</v>
          </cell>
          <cell r="J2436" t="str">
            <v>bueno</v>
          </cell>
          <cell r="K2436" t="str">
            <v>defsi</v>
          </cell>
        </row>
        <row r="2437">
          <cell r="B2437" t="b">
            <v>1</v>
          </cell>
          <cell r="E2437" t="str">
            <v>Baru</v>
          </cell>
          <cell r="H2437" t="str">
            <v>urgencia</v>
          </cell>
          <cell r="J2437" t="str">
            <v>bueno</v>
          </cell>
          <cell r="K2437" t="str">
            <v>probsi</v>
          </cell>
        </row>
        <row r="2438">
          <cell r="B2438" t="b">
            <v>1</v>
          </cell>
          <cell r="E2438" t="str">
            <v>Baru</v>
          </cell>
          <cell r="H2438" t="str">
            <v>urgencia</v>
          </cell>
          <cell r="J2438" t="str">
            <v>bueno</v>
          </cell>
          <cell r="K2438" t="str">
            <v>probsi</v>
          </cell>
        </row>
        <row r="2439">
          <cell r="B2439" t="b">
            <v>1</v>
          </cell>
          <cell r="E2439" t="str">
            <v>Baru</v>
          </cell>
          <cell r="H2439" t="str">
            <v>urgencia</v>
          </cell>
          <cell r="J2439" t="str">
            <v>bueno</v>
          </cell>
          <cell r="K2439" t="str">
            <v>probsi</v>
          </cell>
        </row>
        <row r="2440">
          <cell r="B2440" t="b">
            <v>1</v>
          </cell>
          <cell r="E2440" t="str">
            <v>Baru</v>
          </cell>
          <cell r="H2440" t="str">
            <v>urgencia</v>
          </cell>
          <cell r="J2440" t="str">
            <v>bueno</v>
          </cell>
          <cell r="K2440" t="str">
            <v>probsi</v>
          </cell>
        </row>
        <row r="2441">
          <cell r="B2441" t="b">
            <v>1</v>
          </cell>
          <cell r="E2441" t="str">
            <v>Baru</v>
          </cell>
          <cell r="H2441" t="str">
            <v>consulta_externa</v>
          </cell>
          <cell r="J2441" t="str">
            <v>bueno</v>
          </cell>
          <cell r="K2441" t="str">
            <v>probsi</v>
          </cell>
        </row>
        <row r="2442">
          <cell r="B2442" t="b">
            <v>1</v>
          </cell>
          <cell r="E2442" t="str">
            <v>Baru</v>
          </cell>
          <cell r="H2442" t="str">
            <v>consulta_externa</v>
          </cell>
          <cell r="J2442" t="str">
            <v>bueno</v>
          </cell>
          <cell r="K2442" t="str">
            <v>probsi</v>
          </cell>
        </row>
        <row r="2443">
          <cell r="B2443" t="b">
            <v>1</v>
          </cell>
          <cell r="E2443" t="str">
            <v>Foco Rojo</v>
          </cell>
          <cell r="H2443" t="str">
            <v>salud_oral</v>
          </cell>
          <cell r="J2443" t="str">
            <v>bueno</v>
          </cell>
          <cell r="K2443" t="str">
            <v>defsi</v>
          </cell>
        </row>
        <row r="2444">
          <cell r="B2444" t="b">
            <v>1</v>
          </cell>
          <cell r="E2444" t="str">
            <v>Baru</v>
          </cell>
          <cell r="H2444" t="str">
            <v>consulta_externa</v>
          </cell>
          <cell r="J2444" t="str">
            <v>bueno</v>
          </cell>
          <cell r="K2444" t="str">
            <v>probsi</v>
          </cell>
        </row>
        <row r="2445">
          <cell r="B2445" t="b">
            <v>1</v>
          </cell>
          <cell r="E2445" t="str">
            <v>Baru</v>
          </cell>
          <cell r="H2445" t="str">
            <v>consulta_externa</v>
          </cell>
          <cell r="J2445" t="str">
            <v>bueno</v>
          </cell>
          <cell r="K2445" t="str">
            <v>probsi</v>
          </cell>
        </row>
        <row r="2446">
          <cell r="B2446" t="b">
            <v>1</v>
          </cell>
          <cell r="E2446" t="str">
            <v>Baru</v>
          </cell>
          <cell r="H2446" t="str">
            <v>consulta_externa</v>
          </cell>
          <cell r="J2446" t="str">
            <v>bueno</v>
          </cell>
          <cell r="K2446" t="str">
            <v>probsi</v>
          </cell>
        </row>
        <row r="2447">
          <cell r="B2447" t="b">
            <v>1</v>
          </cell>
          <cell r="E2447" t="str">
            <v>Baru</v>
          </cell>
          <cell r="H2447" t="str">
            <v>consulta_externa</v>
          </cell>
          <cell r="J2447" t="str">
            <v>bueno</v>
          </cell>
          <cell r="K2447" t="str">
            <v>probsi</v>
          </cell>
        </row>
        <row r="2448">
          <cell r="B2448" t="b">
            <v>1</v>
          </cell>
          <cell r="E2448" t="str">
            <v>Baru</v>
          </cell>
          <cell r="H2448" t="str">
            <v>salud_oral</v>
          </cell>
          <cell r="J2448" t="str">
            <v>bueno</v>
          </cell>
          <cell r="K2448" t="str">
            <v>probsi</v>
          </cell>
        </row>
        <row r="2449">
          <cell r="B2449" t="b">
            <v>1</v>
          </cell>
          <cell r="E2449" t="str">
            <v>Baru</v>
          </cell>
          <cell r="H2449" t="str">
            <v>salud_oral</v>
          </cell>
          <cell r="J2449" t="str">
            <v>bueno</v>
          </cell>
          <cell r="K2449" t="str">
            <v>probsi</v>
          </cell>
        </row>
        <row r="2450">
          <cell r="B2450" t="b">
            <v>1</v>
          </cell>
          <cell r="E2450" t="str">
            <v>Baru</v>
          </cell>
          <cell r="H2450" t="str">
            <v>salud_oral</v>
          </cell>
          <cell r="J2450" t="str">
            <v>bueno</v>
          </cell>
          <cell r="K2450" t="str">
            <v>probsi</v>
          </cell>
        </row>
        <row r="2451">
          <cell r="B2451" t="b">
            <v>1</v>
          </cell>
          <cell r="E2451" t="str">
            <v>Baru</v>
          </cell>
          <cell r="H2451" t="str">
            <v>salud_oral</v>
          </cell>
          <cell r="J2451" t="str">
            <v>bueno</v>
          </cell>
          <cell r="K2451" t="str">
            <v>probsi</v>
          </cell>
        </row>
        <row r="2452">
          <cell r="B2452" t="b">
            <v>1</v>
          </cell>
          <cell r="E2452" t="str">
            <v>Baru</v>
          </cell>
          <cell r="H2452" t="str">
            <v>salud_oral</v>
          </cell>
          <cell r="J2452" t="str">
            <v>bueno</v>
          </cell>
          <cell r="K2452" t="str">
            <v>probsi</v>
          </cell>
        </row>
        <row r="2453">
          <cell r="B2453" t="b">
            <v>1</v>
          </cell>
          <cell r="E2453" t="str">
            <v>Foco Rojo</v>
          </cell>
          <cell r="H2453" t="str">
            <v>consulta_externa</v>
          </cell>
          <cell r="J2453" t="str">
            <v>bueno</v>
          </cell>
          <cell r="K2453" t="str">
            <v>defsi</v>
          </cell>
        </row>
        <row r="2454">
          <cell r="B2454" t="b">
            <v>1</v>
          </cell>
          <cell r="E2454" t="str">
            <v>Foco Rojo</v>
          </cell>
          <cell r="H2454" t="str">
            <v>salud_oral</v>
          </cell>
          <cell r="J2454" t="str">
            <v>bueno</v>
          </cell>
          <cell r="K2454" t="str">
            <v>defsi</v>
          </cell>
        </row>
        <row r="2455">
          <cell r="B2455" t="b">
            <v>1</v>
          </cell>
          <cell r="E2455" t="str">
            <v>Foco Rojo</v>
          </cell>
          <cell r="H2455" t="str">
            <v>laboratorio</v>
          </cell>
          <cell r="J2455" t="str">
            <v>bueno</v>
          </cell>
          <cell r="K2455" t="str">
            <v>defsi</v>
          </cell>
        </row>
        <row r="2456">
          <cell r="B2456" t="b">
            <v>1</v>
          </cell>
          <cell r="E2456" t="str">
            <v>Foco Rojo</v>
          </cell>
          <cell r="H2456" t="str">
            <v>salud_oral</v>
          </cell>
          <cell r="J2456" t="str">
            <v>bueno</v>
          </cell>
          <cell r="K2456" t="str">
            <v>defsi</v>
          </cell>
        </row>
        <row r="2457">
          <cell r="B2457" t="b">
            <v>1</v>
          </cell>
          <cell r="E2457" t="str">
            <v>Foco Rojo</v>
          </cell>
          <cell r="H2457" t="str">
            <v>salud_oral</v>
          </cell>
          <cell r="J2457" t="str">
            <v>bueno</v>
          </cell>
          <cell r="K2457" t="str">
            <v>defsi</v>
          </cell>
        </row>
        <row r="2458">
          <cell r="B2458" t="b">
            <v>1</v>
          </cell>
          <cell r="E2458" t="str">
            <v>Foco Rojo</v>
          </cell>
          <cell r="H2458" t="str">
            <v>salud_oral</v>
          </cell>
          <cell r="J2458" t="str">
            <v>bueno</v>
          </cell>
          <cell r="K2458" t="str">
            <v>defsi</v>
          </cell>
        </row>
        <row r="2459">
          <cell r="B2459" t="b">
            <v>0</v>
          </cell>
          <cell r="E2459" t="str">
            <v>Foco Rojo</v>
          </cell>
          <cell r="H2459" t="str">
            <v>laboratorio</v>
          </cell>
          <cell r="J2459" t="str">
            <v>regular</v>
          </cell>
          <cell r="K2459" t="str">
            <v>defsi</v>
          </cell>
        </row>
        <row r="2460">
          <cell r="B2460" t="b">
            <v>1</v>
          </cell>
          <cell r="E2460" t="str">
            <v>Foco Rojo</v>
          </cell>
          <cell r="H2460" t="str">
            <v>consulta_externa</v>
          </cell>
          <cell r="J2460" t="str">
            <v>bueno</v>
          </cell>
          <cell r="K2460" t="str">
            <v>defsi</v>
          </cell>
        </row>
        <row r="2461">
          <cell r="B2461" t="b">
            <v>1</v>
          </cell>
          <cell r="E2461" t="str">
            <v>Foco Rojo</v>
          </cell>
          <cell r="H2461" t="str">
            <v>salud_oral</v>
          </cell>
          <cell r="J2461" t="str">
            <v>bueno</v>
          </cell>
          <cell r="K2461" t="str">
            <v>defsi</v>
          </cell>
        </row>
        <row r="2462">
          <cell r="B2462" t="b">
            <v>1</v>
          </cell>
          <cell r="E2462" t="str">
            <v>Foco Rojo</v>
          </cell>
          <cell r="H2462" t="str">
            <v>salud_oral</v>
          </cell>
          <cell r="J2462" t="str">
            <v>bueno</v>
          </cell>
          <cell r="K2462" t="str">
            <v>defsi</v>
          </cell>
        </row>
        <row r="2463">
          <cell r="B2463" t="b">
            <v>1</v>
          </cell>
          <cell r="E2463" t="str">
            <v>Foco Rojo</v>
          </cell>
          <cell r="H2463" t="str">
            <v>consulta_externa</v>
          </cell>
          <cell r="J2463" t="str">
            <v>bueno</v>
          </cell>
          <cell r="K2463" t="str">
            <v>defsi</v>
          </cell>
        </row>
        <row r="2464">
          <cell r="B2464" t="b">
            <v>1</v>
          </cell>
          <cell r="E2464" t="str">
            <v>Baru</v>
          </cell>
          <cell r="H2464" t="str">
            <v>consulta_externa</v>
          </cell>
          <cell r="J2464" t="str">
            <v>bueno</v>
          </cell>
          <cell r="K2464" t="str">
            <v>probsi</v>
          </cell>
        </row>
        <row r="2465">
          <cell r="B2465" t="b">
            <v>1</v>
          </cell>
          <cell r="E2465" t="str">
            <v>Baru</v>
          </cell>
          <cell r="H2465" t="str">
            <v>consulta_externa</v>
          </cell>
          <cell r="J2465" t="str">
            <v>bueno</v>
          </cell>
          <cell r="K2465" t="str">
            <v>probsi</v>
          </cell>
        </row>
        <row r="2466">
          <cell r="B2466" t="b">
            <v>1</v>
          </cell>
          <cell r="E2466" t="str">
            <v>Baru</v>
          </cell>
          <cell r="H2466" t="str">
            <v>consulta_externa</v>
          </cell>
          <cell r="J2466" t="str">
            <v>bueno</v>
          </cell>
          <cell r="K2466" t="str">
            <v>probsi</v>
          </cell>
        </row>
        <row r="2467">
          <cell r="B2467" t="b">
            <v>1</v>
          </cell>
          <cell r="E2467" t="str">
            <v>Baru</v>
          </cell>
          <cell r="H2467" t="str">
            <v>laboratorio</v>
          </cell>
          <cell r="J2467" t="str">
            <v>bueno</v>
          </cell>
          <cell r="K2467" t="str">
            <v>probsi</v>
          </cell>
        </row>
        <row r="2468">
          <cell r="B2468" t="b">
            <v>1</v>
          </cell>
          <cell r="E2468" t="str">
            <v>Baru</v>
          </cell>
          <cell r="H2468" t="str">
            <v>laboratorio</v>
          </cell>
          <cell r="J2468" t="str">
            <v>bueno</v>
          </cell>
          <cell r="K2468" t="str">
            <v>probsi</v>
          </cell>
        </row>
        <row r="2469">
          <cell r="B2469" t="b">
            <v>1</v>
          </cell>
          <cell r="E2469" t="str">
            <v>Baru</v>
          </cell>
          <cell r="H2469" t="str">
            <v>laboratorio</v>
          </cell>
          <cell r="J2469" t="str">
            <v>bueno</v>
          </cell>
          <cell r="K2469" t="str">
            <v>probsi</v>
          </cell>
        </row>
        <row r="2470">
          <cell r="B2470" t="b">
            <v>1</v>
          </cell>
          <cell r="E2470" t="str">
            <v>Baru</v>
          </cell>
          <cell r="H2470" t="str">
            <v>laboratorio</v>
          </cell>
          <cell r="J2470" t="str">
            <v>bueno</v>
          </cell>
          <cell r="K2470" t="str">
            <v>probsi</v>
          </cell>
        </row>
        <row r="2471">
          <cell r="B2471" t="b">
            <v>1</v>
          </cell>
          <cell r="E2471" t="str">
            <v>Baru</v>
          </cell>
          <cell r="H2471" t="str">
            <v>urgencia</v>
          </cell>
          <cell r="J2471" t="str">
            <v>bueno</v>
          </cell>
          <cell r="K2471" t="str">
            <v>probsi</v>
          </cell>
        </row>
        <row r="2472">
          <cell r="B2472" t="b">
            <v>1</v>
          </cell>
          <cell r="E2472" t="str">
            <v>Baru</v>
          </cell>
          <cell r="H2472" t="str">
            <v>urgencia</v>
          </cell>
          <cell r="J2472" t="str">
            <v>bueno</v>
          </cell>
          <cell r="K2472" t="str">
            <v>probsi</v>
          </cell>
        </row>
        <row r="2473">
          <cell r="B2473" t="b">
            <v>0</v>
          </cell>
          <cell r="E2473" t="str">
            <v>Baru</v>
          </cell>
          <cell r="H2473" t="str">
            <v>urgencia</v>
          </cell>
          <cell r="J2473" t="str">
            <v>regular</v>
          </cell>
          <cell r="K2473" t="str">
            <v>probsi</v>
          </cell>
        </row>
        <row r="2474">
          <cell r="B2474" t="b">
            <v>0</v>
          </cell>
          <cell r="E2474" t="str">
            <v>Baru</v>
          </cell>
          <cell r="H2474" t="str">
            <v>urgencia</v>
          </cell>
          <cell r="J2474" t="str">
            <v>regular</v>
          </cell>
          <cell r="K2474" t="str">
            <v>probsi</v>
          </cell>
        </row>
        <row r="2475">
          <cell r="B2475" t="b">
            <v>0</v>
          </cell>
          <cell r="E2475" t="str">
            <v>Baru</v>
          </cell>
          <cell r="H2475" t="str">
            <v>urgencia</v>
          </cell>
          <cell r="J2475" t="str">
            <v>regular</v>
          </cell>
          <cell r="K2475" t="str">
            <v>probsi</v>
          </cell>
        </row>
        <row r="2476">
          <cell r="B2476" t="b">
            <v>1</v>
          </cell>
          <cell r="E2476" t="str">
            <v>Baru</v>
          </cell>
          <cell r="H2476" t="str">
            <v>urgencia</v>
          </cell>
          <cell r="J2476" t="str">
            <v>bueno</v>
          </cell>
          <cell r="K2476" t="str">
            <v>probsi</v>
          </cell>
        </row>
        <row r="2477">
          <cell r="B2477" t="b">
            <v>1</v>
          </cell>
          <cell r="E2477" t="str">
            <v>Baru</v>
          </cell>
          <cell r="H2477" t="str">
            <v>salud_oral</v>
          </cell>
          <cell r="J2477" t="str">
            <v>bueno</v>
          </cell>
          <cell r="K2477" t="str">
            <v>probsi</v>
          </cell>
        </row>
        <row r="2478">
          <cell r="B2478" t="b">
            <v>1</v>
          </cell>
          <cell r="E2478" t="str">
            <v>Baru</v>
          </cell>
          <cell r="H2478" t="str">
            <v>salud_oral</v>
          </cell>
          <cell r="J2478" t="str">
            <v>bueno</v>
          </cell>
          <cell r="K2478" t="str">
            <v>probsi</v>
          </cell>
        </row>
        <row r="2479">
          <cell r="B2479" t="b">
            <v>1</v>
          </cell>
          <cell r="E2479" t="str">
            <v>Baru</v>
          </cell>
          <cell r="H2479" t="str">
            <v>salud_oral</v>
          </cell>
          <cell r="J2479" t="str">
            <v>bueno</v>
          </cell>
          <cell r="K2479" t="str">
            <v>probsi</v>
          </cell>
        </row>
        <row r="2480">
          <cell r="B2480" t="b">
            <v>1</v>
          </cell>
          <cell r="E2480" t="str">
            <v>Baru</v>
          </cell>
          <cell r="H2480" t="str">
            <v>salud_oral</v>
          </cell>
          <cell r="J2480" t="str">
            <v>bueno</v>
          </cell>
          <cell r="K2480" t="str">
            <v>probsi</v>
          </cell>
        </row>
        <row r="2481">
          <cell r="B2481" t="b">
            <v>1</v>
          </cell>
          <cell r="E2481" t="str">
            <v>Candelaria</v>
          </cell>
          <cell r="H2481" t="str">
            <v>pediatria</v>
          </cell>
          <cell r="J2481" t="str">
            <v>bueno</v>
          </cell>
          <cell r="K2481" t="str">
            <v>defsi</v>
          </cell>
        </row>
        <row r="2482">
          <cell r="B2482" t="b">
            <v>1</v>
          </cell>
          <cell r="E2482" t="str">
            <v>Candelaria</v>
          </cell>
          <cell r="H2482" t="str">
            <v>pediatria</v>
          </cell>
          <cell r="J2482" t="str">
            <v>bueno</v>
          </cell>
          <cell r="K2482" t="str">
            <v>defsi</v>
          </cell>
        </row>
        <row r="2483">
          <cell r="B2483" t="b">
            <v>1</v>
          </cell>
          <cell r="E2483" t="str">
            <v>Candelaria</v>
          </cell>
          <cell r="H2483" t="str">
            <v>pediatria</v>
          </cell>
          <cell r="J2483" t="str">
            <v>bueno</v>
          </cell>
          <cell r="K2483" t="str">
            <v>defsi</v>
          </cell>
        </row>
        <row r="2484">
          <cell r="B2484" t="b">
            <v>1</v>
          </cell>
          <cell r="E2484" t="str">
            <v>Candelaria</v>
          </cell>
          <cell r="H2484" t="str">
            <v>pediatria</v>
          </cell>
          <cell r="J2484" t="str">
            <v>bueno</v>
          </cell>
          <cell r="K2484" t="str">
            <v>defsi</v>
          </cell>
        </row>
        <row r="2485">
          <cell r="B2485" t="b">
            <v>1</v>
          </cell>
          <cell r="E2485" t="str">
            <v>Isla del Rosario</v>
          </cell>
          <cell r="H2485" t="str">
            <v>consulta_externa</v>
          </cell>
          <cell r="J2485" t="str">
            <v>bueno</v>
          </cell>
          <cell r="K2485" t="str">
            <v>probsi</v>
          </cell>
        </row>
        <row r="2486">
          <cell r="B2486" t="b">
            <v>1</v>
          </cell>
          <cell r="E2486" t="str">
            <v>Isla del Rosario</v>
          </cell>
          <cell r="H2486" t="str">
            <v>consulta_externa</v>
          </cell>
          <cell r="J2486" t="str">
            <v>bueno</v>
          </cell>
          <cell r="K2486" t="str">
            <v>probsi</v>
          </cell>
        </row>
        <row r="2487">
          <cell r="B2487" t="b">
            <v>1</v>
          </cell>
          <cell r="E2487" t="str">
            <v>Candelaria</v>
          </cell>
          <cell r="H2487" t="str">
            <v>medicina_interna</v>
          </cell>
          <cell r="J2487" t="str">
            <v>bueno</v>
          </cell>
          <cell r="K2487" t="str">
            <v>defsi</v>
          </cell>
        </row>
        <row r="2488">
          <cell r="B2488" t="b">
            <v>1</v>
          </cell>
          <cell r="E2488" t="str">
            <v>Isla del Rosario</v>
          </cell>
          <cell r="H2488" t="str">
            <v>consulta_externa</v>
          </cell>
          <cell r="J2488" t="str">
            <v>bueno</v>
          </cell>
          <cell r="K2488" t="str">
            <v>probsi</v>
          </cell>
        </row>
        <row r="2489">
          <cell r="B2489" t="b">
            <v>1</v>
          </cell>
          <cell r="E2489" t="str">
            <v>Isla del Rosario</v>
          </cell>
          <cell r="H2489" t="str">
            <v>consulta_externa</v>
          </cell>
          <cell r="J2489" t="str">
            <v>bueno</v>
          </cell>
          <cell r="K2489" t="str">
            <v>probsi</v>
          </cell>
        </row>
        <row r="2490">
          <cell r="B2490" t="b">
            <v>1</v>
          </cell>
          <cell r="E2490" t="str">
            <v>Isla del Rosario</v>
          </cell>
          <cell r="H2490" t="str">
            <v>consulta_externa</v>
          </cell>
          <cell r="J2490" t="str">
            <v>bueno</v>
          </cell>
          <cell r="K2490" t="str">
            <v>probsi</v>
          </cell>
        </row>
        <row r="2491">
          <cell r="B2491" t="b">
            <v>1</v>
          </cell>
          <cell r="E2491" t="str">
            <v>Candelaria</v>
          </cell>
          <cell r="H2491" t="str">
            <v>electros</v>
          </cell>
          <cell r="J2491" t="str">
            <v>bueno</v>
          </cell>
          <cell r="K2491" t="str">
            <v>defsi</v>
          </cell>
        </row>
        <row r="2492">
          <cell r="B2492" t="b">
            <v>1</v>
          </cell>
          <cell r="E2492" t="str">
            <v>Candelaria</v>
          </cell>
          <cell r="H2492" t="str">
            <v>electros</v>
          </cell>
          <cell r="J2492" t="str">
            <v>bueno</v>
          </cell>
          <cell r="K2492" t="str">
            <v>defsi</v>
          </cell>
        </row>
        <row r="2493">
          <cell r="B2493" t="b">
            <v>1</v>
          </cell>
          <cell r="E2493" t="str">
            <v>Isla del Rosario</v>
          </cell>
          <cell r="H2493" t="str">
            <v>laboratorio</v>
          </cell>
          <cell r="J2493" t="str">
            <v>bueno</v>
          </cell>
          <cell r="K2493" t="str">
            <v>probsi</v>
          </cell>
        </row>
        <row r="2494">
          <cell r="B2494" t="b">
            <v>1</v>
          </cell>
          <cell r="E2494" t="str">
            <v>Isla del Rosario</v>
          </cell>
          <cell r="H2494" t="str">
            <v>laboratorio</v>
          </cell>
          <cell r="J2494" t="str">
            <v>bueno</v>
          </cell>
          <cell r="K2494" t="str">
            <v>probsi</v>
          </cell>
        </row>
        <row r="2495">
          <cell r="B2495" t="b">
            <v>1</v>
          </cell>
          <cell r="E2495" t="str">
            <v>Isla del Rosario</v>
          </cell>
          <cell r="H2495" t="str">
            <v>laboratorio</v>
          </cell>
          <cell r="J2495" t="str">
            <v>bueno</v>
          </cell>
          <cell r="K2495" t="str">
            <v>probsi</v>
          </cell>
        </row>
        <row r="2496">
          <cell r="B2496" t="b">
            <v>1</v>
          </cell>
          <cell r="E2496" t="str">
            <v>Isla del Rosario</v>
          </cell>
          <cell r="H2496" t="str">
            <v>laboratorio</v>
          </cell>
          <cell r="J2496" t="str">
            <v>bueno</v>
          </cell>
          <cell r="K2496" t="str">
            <v>probsi</v>
          </cell>
        </row>
        <row r="2497">
          <cell r="B2497" t="b">
            <v>1</v>
          </cell>
          <cell r="E2497" t="str">
            <v>Isla del Rosario</v>
          </cell>
          <cell r="H2497" t="str">
            <v>consulta_externa</v>
          </cell>
          <cell r="J2497" t="str">
            <v>bueno</v>
          </cell>
          <cell r="K2497" t="str">
            <v>probsi</v>
          </cell>
        </row>
        <row r="2498">
          <cell r="B2498" t="b">
            <v>1</v>
          </cell>
          <cell r="E2498" t="str">
            <v>Blasdelezo</v>
          </cell>
          <cell r="H2498" t="str">
            <v>consulta_externa</v>
          </cell>
          <cell r="J2498" t="str">
            <v>bueno</v>
          </cell>
          <cell r="K2498" t="str">
            <v>probsi</v>
          </cell>
        </row>
        <row r="2499">
          <cell r="B2499" t="b">
            <v>1</v>
          </cell>
          <cell r="E2499" t="str">
            <v>Blasdelezo</v>
          </cell>
          <cell r="H2499" t="str">
            <v>pediatria</v>
          </cell>
          <cell r="J2499" t="str">
            <v>bueno</v>
          </cell>
          <cell r="K2499" t="str">
            <v>probsi</v>
          </cell>
        </row>
        <row r="2500">
          <cell r="B2500" t="b">
            <v>1</v>
          </cell>
          <cell r="E2500" t="str">
            <v>Blasdelezo</v>
          </cell>
          <cell r="H2500" t="str">
            <v>pediatria</v>
          </cell>
          <cell r="J2500" t="str">
            <v>bueno</v>
          </cell>
          <cell r="K2500" t="str">
            <v>probsi</v>
          </cell>
        </row>
        <row r="2501">
          <cell r="B2501" t="b">
            <v>1</v>
          </cell>
          <cell r="E2501" t="str">
            <v>Blasdelezo</v>
          </cell>
          <cell r="H2501" t="str">
            <v>pediatria</v>
          </cell>
          <cell r="J2501" t="str">
            <v>bueno</v>
          </cell>
          <cell r="K2501" t="str">
            <v>probsi</v>
          </cell>
        </row>
        <row r="2502">
          <cell r="B2502" t="b">
            <v>1</v>
          </cell>
          <cell r="E2502" t="str">
            <v>Blasdelezo</v>
          </cell>
          <cell r="H2502" t="str">
            <v>pediatria</v>
          </cell>
          <cell r="J2502" t="str">
            <v>bueno</v>
          </cell>
          <cell r="K2502" t="str">
            <v>probsi</v>
          </cell>
        </row>
        <row r="2503">
          <cell r="B2503" t="b">
            <v>1</v>
          </cell>
          <cell r="E2503" t="str">
            <v>Blasdelezo</v>
          </cell>
          <cell r="H2503" t="str">
            <v>pediatria</v>
          </cell>
          <cell r="J2503" t="str">
            <v>bueno</v>
          </cell>
          <cell r="K2503" t="str">
            <v>probsi</v>
          </cell>
        </row>
        <row r="2504">
          <cell r="B2504" t="b">
            <v>1</v>
          </cell>
          <cell r="E2504" t="str">
            <v>Blasdelezo</v>
          </cell>
          <cell r="H2504" t="str">
            <v>urgencia</v>
          </cell>
          <cell r="J2504" t="str">
            <v>bueno</v>
          </cell>
          <cell r="K2504" t="str">
            <v>probsi</v>
          </cell>
        </row>
        <row r="2505">
          <cell r="B2505" t="b">
            <v>1</v>
          </cell>
          <cell r="E2505" t="str">
            <v>Blasdelezo</v>
          </cell>
          <cell r="H2505" t="str">
            <v>urgencia</v>
          </cell>
          <cell r="J2505" t="str">
            <v>bueno</v>
          </cell>
          <cell r="K2505" t="str">
            <v>probsi</v>
          </cell>
        </row>
        <row r="2506">
          <cell r="B2506" t="b">
            <v>1</v>
          </cell>
          <cell r="E2506" t="str">
            <v>Blasdelezo</v>
          </cell>
          <cell r="H2506" t="str">
            <v>urgencia</v>
          </cell>
          <cell r="J2506" t="str">
            <v>bueno</v>
          </cell>
          <cell r="K2506" t="str">
            <v>probsi</v>
          </cell>
        </row>
        <row r="2507">
          <cell r="B2507" t="b">
            <v>1</v>
          </cell>
          <cell r="E2507" t="str">
            <v>Santa Ana</v>
          </cell>
          <cell r="H2507" t="str">
            <v>consulta_externa</v>
          </cell>
          <cell r="J2507" t="str">
            <v>bueno</v>
          </cell>
          <cell r="K2507" t="str">
            <v>probsi</v>
          </cell>
        </row>
        <row r="2508">
          <cell r="B2508" t="b">
            <v>1</v>
          </cell>
          <cell r="E2508" t="str">
            <v>Santa Ana</v>
          </cell>
          <cell r="H2508" t="str">
            <v>consulta_externa</v>
          </cell>
          <cell r="J2508" t="str">
            <v>bueno</v>
          </cell>
          <cell r="K2508" t="str">
            <v>probsi</v>
          </cell>
        </row>
        <row r="2509">
          <cell r="B2509" t="b">
            <v>1</v>
          </cell>
          <cell r="E2509" t="str">
            <v>Santa Ana</v>
          </cell>
          <cell r="H2509" t="str">
            <v>consulta_externa</v>
          </cell>
          <cell r="J2509" t="str">
            <v>bueno</v>
          </cell>
          <cell r="K2509" t="str">
            <v>probsi</v>
          </cell>
        </row>
        <row r="2510">
          <cell r="B2510" t="b">
            <v>1</v>
          </cell>
          <cell r="E2510" t="str">
            <v>Santa Ana</v>
          </cell>
          <cell r="H2510" t="str">
            <v>consulta_externa</v>
          </cell>
          <cell r="J2510" t="str">
            <v>bueno</v>
          </cell>
          <cell r="K2510" t="str">
            <v>probsi</v>
          </cell>
        </row>
        <row r="2511">
          <cell r="B2511" t="b">
            <v>1</v>
          </cell>
          <cell r="E2511" t="str">
            <v>Santa Ana</v>
          </cell>
          <cell r="H2511" t="str">
            <v>consulta_externa</v>
          </cell>
          <cell r="J2511" t="str">
            <v>bueno</v>
          </cell>
          <cell r="K2511" t="str">
            <v>probsi</v>
          </cell>
        </row>
        <row r="2512">
          <cell r="B2512" t="b">
            <v>1</v>
          </cell>
          <cell r="E2512" t="str">
            <v>Santa Ana</v>
          </cell>
          <cell r="H2512" t="str">
            <v>consulta_externa</v>
          </cell>
          <cell r="J2512" t="str">
            <v>bueno</v>
          </cell>
          <cell r="K2512" t="str">
            <v>probsi</v>
          </cell>
        </row>
        <row r="2513">
          <cell r="B2513" t="b">
            <v>1</v>
          </cell>
          <cell r="E2513" t="str">
            <v>Santa Ana</v>
          </cell>
          <cell r="H2513" t="str">
            <v>consulta_externa</v>
          </cell>
          <cell r="J2513" t="str">
            <v>bueno</v>
          </cell>
          <cell r="K2513" t="str">
            <v>probsi</v>
          </cell>
        </row>
        <row r="2514">
          <cell r="B2514" t="b">
            <v>1</v>
          </cell>
          <cell r="E2514" t="str">
            <v>Santa Ana</v>
          </cell>
          <cell r="H2514" t="str">
            <v>consulta_externa</v>
          </cell>
          <cell r="J2514" t="str">
            <v>bueno</v>
          </cell>
          <cell r="K2514" t="str">
            <v>probsi</v>
          </cell>
        </row>
        <row r="2515">
          <cell r="B2515" t="b">
            <v>1</v>
          </cell>
          <cell r="E2515" t="str">
            <v>Santa Ana</v>
          </cell>
          <cell r="H2515" t="str">
            <v>consulta_externa</v>
          </cell>
          <cell r="J2515" t="str">
            <v>bueno</v>
          </cell>
          <cell r="K2515" t="str">
            <v>probsi</v>
          </cell>
        </row>
        <row r="2516">
          <cell r="B2516" t="b">
            <v>1</v>
          </cell>
          <cell r="E2516" t="str">
            <v>Santa Ana</v>
          </cell>
          <cell r="H2516" t="str">
            <v>consulta_externa</v>
          </cell>
          <cell r="J2516" t="str">
            <v>bueno</v>
          </cell>
          <cell r="K2516" t="str">
            <v>probsi</v>
          </cell>
        </row>
        <row r="2517">
          <cell r="B2517" t="b">
            <v>1</v>
          </cell>
          <cell r="E2517" t="str">
            <v>Santa Ana</v>
          </cell>
          <cell r="H2517" t="str">
            <v>consulta_externa</v>
          </cell>
          <cell r="J2517" t="str">
            <v>bueno</v>
          </cell>
          <cell r="K2517" t="str">
            <v>probsi</v>
          </cell>
        </row>
        <row r="2518">
          <cell r="B2518" t="b">
            <v>1</v>
          </cell>
          <cell r="E2518" t="str">
            <v>Santa Ana</v>
          </cell>
          <cell r="H2518" t="str">
            <v>consulta_externa</v>
          </cell>
          <cell r="J2518" t="str">
            <v>bueno</v>
          </cell>
          <cell r="K2518" t="str">
            <v>probsi</v>
          </cell>
        </row>
        <row r="2519">
          <cell r="B2519" t="b">
            <v>1</v>
          </cell>
          <cell r="E2519" t="str">
            <v>Santa Ana</v>
          </cell>
          <cell r="H2519" t="str">
            <v>salud_oral</v>
          </cell>
          <cell r="J2519" t="str">
            <v>bueno</v>
          </cell>
          <cell r="K2519" t="str">
            <v>probsi</v>
          </cell>
        </row>
        <row r="2520">
          <cell r="B2520" t="b">
            <v>1</v>
          </cell>
          <cell r="E2520" t="str">
            <v>Santa Ana</v>
          </cell>
          <cell r="H2520" t="str">
            <v>salud_oral</v>
          </cell>
          <cell r="J2520" t="str">
            <v>bueno</v>
          </cell>
          <cell r="K2520" t="str">
            <v>probsi</v>
          </cell>
        </row>
        <row r="2521">
          <cell r="B2521" t="b">
            <v>1</v>
          </cell>
          <cell r="E2521" t="str">
            <v>Santa Ana</v>
          </cell>
          <cell r="H2521" t="str">
            <v>salud_oral</v>
          </cell>
          <cell r="J2521" t="str">
            <v>bueno</v>
          </cell>
          <cell r="K2521" t="str">
            <v>probsi</v>
          </cell>
        </row>
        <row r="2522">
          <cell r="B2522" t="b">
            <v>1</v>
          </cell>
          <cell r="E2522" t="str">
            <v>Santa Ana</v>
          </cell>
          <cell r="H2522" t="str">
            <v>laboratorio</v>
          </cell>
          <cell r="J2522" t="str">
            <v>bueno</v>
          </cell>
          <cell r="K2522" t="str">
            <v>probsi</v>
          </cell>
        </row>
        <row r="2523">
          <cell r="B2523" t="b">
            <v>1</v>
          </cell>
          <cell r="E2523" t="str">
            <v>Santa Ana</v>
          </cell>
          <cell r="H2523" t="str">
            <v>laboratorio</v>
          </cell>
          <cell r="J2523" t="str">
            <v>bueno</v>
          </cell>
          <cell r="K2523" t="str">
            <v>probsi</v>
          </cell>
        </row>
        <row r="2524">
          <cell r="B2524" t="b">
            <v>1</v>
          </cell>
          <cell r="E2524" t="str">
            <v>Candelaria</v>
          </cell>
          <cell r="H2524" t="str">
            <v>electros</v>
          </cell>
          <cell r="J2524" t="str">
            <v>bueno</v>
          </cell>
          <cell r="K2524" t="str">
            <v>defsi</v>
          </cell>
        </row>
        <row r="2525">
          <cell r="B2525" t="b">
            <v>1</v>
          </cell>
          <cell r="E2525" t="str">
            <v>Candelaria</v>
          </cell>
          <cell r="H2525" t="str">
            <v>electros</v>
          </cell>
          <cell r="J2525" t="str">
            <v>bueno</v>
          </cell>
          <cell r="K2525" t="str">
            <v>defsi</v>
          </cell>
        </row>
        <row r="2526">
          <cell r="B2526" t="b">
            <v>1</v>
          </cell>
          <cell r="E2526" t="str">
            <v>Candelaria</v>
          </cell>
          <cell r="H2526" t="str">
            <v>electros</v>
          </cell>
          <cell r="J2526" t="str">
            <v>bueno</v>
          </cell>
          <cell r="K2526" t="str">
            <v>defsi</v>
          </cell>
        </row>
        <row r="2527">
          <cell r="B2527" t="b">
            <v>1</v>
          </cell>
          <cell r="E2527" t="str">
            <v>Candelaria</v>
          </cell>
          <cell r="H2527" t="str">
            <v>pediatria</v>
          </cell>
          <cell r="J2527" t="str">
            <v>bueno</v>
          </cell>
          <cell r="K2527" t="str">
            <v>defsi</v>
          </cell>
        </row>
        <row r="2528">
          <cell r="B2528" t="b">
            <v>1</v>
          </cell>
          <cell r="E2528" t="str">
            <v>Candelaria</v>
          </cell>
          <cell r="H2528" t="str">
            <v>medicina_interna</v>
          </cell>
          <cell r="J2528" t="str">
            <v>bueno</v>
          </cell>
          <cell r="K2528" t="str">
            <v>defsi</v>
          </cell>
        </row>
        <row r="2529">
          <cell r="B2529" t="b">
            <v>1</v>
          </cell>
          <cell r="E2529" t="str">
            <v>Candelaria</v>
          </cell>
          <cell r="H2529" t="str">
            <v>medicina_interna</v>
          </cell>
          <cell r="J2529" t="str">
            <v>bueno</v>
          </cell>
          <cell r="K2529" t="str">
            <v>defsi</v>
          </cell>
        </row>
        <row r="2530">
          <cell r="B2530" t="b">
            <v>0</v>
          </cell>
          <cell r="E2530" t="str">
            <v>Candelaria</v>
          </cell>
          <cell r="H2530" t="str">
            <v>medicina_interna</v>
          </cell>
          <cell r="J2530" t="str">
            <v>regular</v>
          </cell>
          <cell r="K2530" t="str">
            <v>defsi</v>
          </cell>
        </row>
        <row r="2531">
          <cell r="B2531" t="b">
            <v>1</v>
          </cell>
          <cell r="E2531" t="str">
            <v>Candelaria</v>
          </cell>
          <cell r="H2531" t="str">
            <v>salud_oral</v>
          </cell>
          <cell r="J2531" t="str">
            <v>bueno</v>
          </cell>
          <cell r="K2531" t="str">
            <v>probsi</v>
          </cell>
        </row>
        <row r="2532">
          <cell r="B2532" t="b">
            <v>0</v>
          </cell>
          <cell r="E2532" t="str">
            <v>Candelaria</v>
          </cell>
          <cell r="H2532" t="str">
            <v>salud_oral</v>
          </cell>
          <cell r="J2532" t="str">
            <v>regular</v>
          </cell>
        </row>
        <row r="2533">
          <cell r="B2533" t="b">
            <v>1</v>
          </cell>
          <cell r="E2533" t="str">
            <v>Candelaria</v>
          </cell>
          <cell r="H2533" t="str">
            <v>pediatria</v>
          </cell>
          <cell r="J2533" t="str">
            <v>bueno</v>
          </cell>
          <cell r="K2533" t="str">
            <v>defsi</v>
          </cell>
        </row>
        <row r="2534">
          <cell r="B2534" t="b">
            <v>1</v>
          </cell>
          <cell r="E2534" t="str">
            <v>Candelaria</v>
          </cell>
          <cell r="H2534" t="str">
            <v>salud_oral</v>
          </cell>
          <cell r="J2534" t="str">
            <v>bueno</v>
          </cell>
          <cell r="K2534" t="str">
            <v>defsi</v>
          </cell>
        </row>
        <row r="2535">
          <cell r="B2535" t="b">
            <v>0</v>
          </cell>
          <cell r="E2535" t="str">
            <v>Baru</v>
          </cell>
          <cell r="H2535" t="str">
            <v>laboratorio</v>
          </cell>
          <cell r="J2535" t="str">
            <v>regular</v>
          </cell>
          <cell r="K2535" t="str">
            <v>probsi</v>
          </cell>
        </row>
        <row r="2536">
          <cell r="B2536" t="b">
            <v>1</v>
          </cell>
          <cell r="E2536" t="str">
            <v>Baru</v>
          </cell>
          <cell r="H2536" t="str">
            <v>laboratorio</v>
          </cell>
          <cell r="J2536" t="str">
            <v>bueno</v>
          </cell>
          <cell r="K2536" t="str">
            <v>probsi</v>
          </cell>
        </row>
        <row r="2537">
          <cell r="B2537" t="b">
            <v>1</v>
          </cell>
          <cell r="E2537" t="str">
            <v>Baru</v>
          </cell>
          <cell r="H2537" t="str">
            <v>laboratorio</v>
          </cell>
          <cell r="J2537" t="str">
            <v>bueno</v>
          </cell>
          <cell r="K2537" t="str">
            <v>probsi</v>
          </cell>
        </row>
        <row r="2538">
          <cell r="B2538" t="b">
            <v>1</v>
          </cell>
          <cell r="E2538" t="str">
            <v>Baru</v>
          </cell>
          <cell r="H2538" t="str">
            <v>urgencia</v>
          </cell>
          <cell r="J2538" t="str">
            <v>bueno</v>
          </cell>
          <cell r="K2538" t="str">
            <v>probsi</v>
          </cell>
        </row>
        <row r="2539">
          <cell r="B2539" t="b">
            <v>1</v>
          </cell>
          <cell r="E2539" t="str">
            <v>Baru</v>
          </cell>
          <cell r="H2539" t="str">
            <v>urgencia</v>
          </cell>
          <cell r="J2539" t="str">
            <v>bueno</v>
          </cell>
          <cell r="K2539" t="str">
            <v>probsi</v>
          </cell>
        </row>
        <row r="2540">
          <cell r="B2540" t="b">
            <v>0</v>
          </cell>
          <cell r="E2540" t="str">
            <v>Baru</v>
          </cell>
          <cell r="H2540" t="str">
            <v>urgencia</v>
          </cell>
          <cell r="J2540" t="str">
            <v>regular</v>
          </cell>
          <cell r="K2540" t="str">
            <v>probno</v>
          </cell>
        </row>
        <row r="2541">
          <cell r="B2541" t="b">
            <v>1</v>
          </cell>
          <cell r="E2541" t="str">
            <v>Islote de San Bernardo</v>
          </cell>
          <cell r="H2541" t="str">
            <v>consulta_externa</v>
          </cell>
          <cell r="J2541" t="str">
            <v>bueno</v>
          </cell>
          <cell r="K2541" t="str">
            <v>defsi</v>
          </cell>
        </row>
        <row r="2542">
          <cell r="B2542" t="b">
            <v>1</v>
          </cell>
          <cell r="E2542" t="str">
            <v>Islote de San Bernardo</v>
          </cell>
          <cell r="H2542" t="str">
            <v>salud_oral</v>
          </cell>
          <cell r="J2542" t="str">
            <v>bueno</v>
          </cell>
          <cell r="K2542" t="str">
            <v>defsi</v>
          </cell>
        </row>
        <row r="2543">
          <cell r="B2543" t="b">
            <v>1</v>
          </cell>
          <cell r="E2543" t="str">
            <v>Isla Fuerte</v>
          </cell>
          <cell r="H2543" t="str">
            <v>consulta_externa</v>
          </cell>
          <cell r="J2543" t="str">
            <v>bueno</v>
          </cell>
          <cell r="K2543" t="str">
            <v>defsi</v>
          </cell>
        </row>
        <row r="2544">
          <cell r="B2544" t="b">
            <v>1</v>
          </cell>
          <cell r="E2544" t="str">
            <v>Isla Fuerte</v>
          </cell>
          <cell r="H2544" t="str">
            <v>consulta_externa</v>
          </cell>
          <cell r="J2544" t="str">
            <v>bueno</v>
          </cell>
          <cell r="K2544" t="str">
            <v>defsi</v>
          </cell>
        </row>
        <row r="2545">
          <cell r="B2545" t="b">
            <v>1</v>
          </cell>
          <cell r="E2545" t="str">
            <v>Isla Fuerte</v>
          </cell>
          <cell r="H2545" t="str">
            <v>laboratorio</v>
          </cell>
          <cell r="J2545" t="str">
            <v>bueno</v>
          </cell>
          <cell r="K2545" t="str">
            <v>defsi</v>
          </cell>
        </row>
        <row r="2546">
          <cell r="B2546" t="b">
            <v>0</v>
          </cell>
          <cell r="E2546" t="str">
            <v>Isla Fuerte</v>
          </cell>
          <cell r="H2546" t="str">
            <v>laboratorio</v>
          </cell>
          <cell r="J2546" t="str">
            <v>regular</v>
          </cell>
          <cell r="K2546" t="str">
            <v>defsi</v>
          </cell>
        </row>
        <row r="2547">
          <cell r="B2547" t="b">
            <v>1</v>
          </cell>
          <cell r="E2547" t="str">
            <v>Isla Fuerte</v>
          </cell>
          <cell r="H2547" t="str">
            <v>salud_oral</v>
          </cell>
          <cell r="J2547" t="str">
            <v>bueno</v>
          </cell>
          <cell r="K2547" t="str">
            <v>defsi</v>
          </cell>
        </row>
        <row r="2548">
          <cell r="B2548" t="b">
            <v>1</v>
          </cell>
          <cell r="E2548" t="str">
            <v>Isla Fuerte</v>
          </cell>
          <cell r="H2548" t="str">
            <v>salud_oral</v>
          </cell>
          <cell r="J2548" t="str">
            <v>bueno</v>
          </cell>
          <cell r="K2548" t="str">
            <v>defsi</v>
          </cell>
        </row>
        <row r="2549">
          <cell r="B2549" t="b">
            <v>1</v>
          </cell>
          <cell r="E2549" t="str">
            <v>Isla Fuerte</v>
          </cell>
          <cell r="H2549" t="str">
            <v>consulta_externa</v>
          </cell>
          <cell r="J2549" t="str">
            <v>bueno</v>
          </cell>
          <cell r="K2549" t="str">
            <v>defsi</v>
          </cell>
        </row>
        <row r="2550">
          <cell r="B2550" t="b">
            <v>1</v>
          </cell>
          <cell r="E2550" t="str">
            <v>Isla Fuerte</v>
          </cell>
          <cell r="H2550" t="str">
            <v>consulta_externa</v>
          </cell>
          <cell r="J2550" t="str">
            <v>bueno</v>
          </cell>
          <cell r="K2550" t="str">
            <v>defsi</v>
          </cell>
        </row>
        <row r="2551">
          <cell r="B2551" t="b">
            <v>1</v>
          </cell>
          <cell r="E2551" t="str">
            <v>Isla Fuerte</v>
          </cell>
          <cell r="H2551" t="str">
            <v>salud_oral</v>
          </cell>
          <cell r="J2551" t="str">
            <v>bueno</v>
          </cell>
          <cell r="K2551" t="str">
            <v>defsi</v>
          </cell>
        </row>
        <row r="2552">
          <cell r="B2552" t="b">
            <v>1</v>
          </cell>
          <cell r="E2552" t="str">
            <v>Isla Fuerte</v>
          </cell>
          <cell r="H2552" t="str">
            <v>salud_oral</v>
          </cell>
          <cell r="J2552" t="str">
            <v>bueno</v>
          </cell>
          <cell r="K2552" t="str">
            <v>defsi</v>
          </cell>
        </row>
        <row r="2553">
          <cell r="B2553" t="b">
            <v>1</v>
          </cell>
          <cell r="E2553" t="str">
            <v>Isla Fuerte</v>
          </cell>
          <cell r="H2553" t="str">
            <v>salud_oral</v>
          </cell>
          <cell r="J2553" t="str">
            <v>bueno</v>
          </cell>
          <cell r="K2553" t="str">
            <v>defsi</v>
          </cell>
        </row>
        <row r="2554">
          <cell r="B2554" t="b">
            <v>1</v>
          </cell>
          <cell r="E2554" t="str">
            <v>Isla Fuerte</v>
          </cell>
          <cell r="H2554" t="str">
            <v>salud_oral</v>
          </cell>
          <cell r="J2554" t="str">
            <v>bueno</v>
          </cell>
          <cell r="K2554" t="str">
            <v>defsi</v>
          </cell>
        </row>
        <row r="2555">
          <cell r="B2555" t="b">
            <v>1</v>
          </cell>
          <cell r="E2555" t="str">
            <v>Isla Fuerte</v>
          </cell>
          <cell r="H2555" t="str">
            <v>consulta_externa</v>
          </cell>
          <cell r="J2555" t="str">
            <v>bueno</v>
          </cell>
          <cell r="K2555" t="str">
            <v>defsi</v>
          </cell>
        </row>
        <row r="2556">
          <cell r="B2556" t="b">
            <v>1</v>
          </cell>
          <cell r="E2556" t="str">
            <v>Isla Fuerte</v>
          </cell>
          <cell r="H2556" t="str">
            <v>consulta_externa</v>
          </cell>
          <cell r="J2556" t="str">
            <v>bueno</v>
          </cell>
          <cell r="K2556" t="str">
            <v>defsi</v>
          </cell>
        </row>
        <row r="2557">
          <cell r="B2557" t="b">
            <v>1</v>
          </cell>
          <cell r="E2557" t="str">
            <v>Isla Fuerte</v>
          </cell>
          <cell r="H2557" t="str">
            <v>laboratorio</v>
          </cell>
          <cell r="J2557" t="str">
            <v>bueno</v>
          </cell>
          <cell r="K2557" t="str">
            <v>defsi</v>
          </cell>
        </row>
        <row r="2558">
          <cell r="B2558" t="b">
            <v>1</v>
          </cell>
          <cell r="E2558" t="str">
            <v>Isla Fuerte</v>
          </cell>
          <cell r="H2558" t="str">
            <v>consulta_externa</v>
          </cell>
          <cell r="J2558" t="str">
            <v>bueno</v>
          </cell>
          <cell r="K2558" t="str">
            <v>defsi</v>
          </cell>
        </row>
        <row r="2559">
          <cell r="B2559" t="b">
            <v>1</v>
          </cell>
          <cell r="E2559" t="str">
            <v>Isla Fuerte</v>
          </cell>
          <cell r="H2559" t="str">
            <v>consulta_externa</v>
          </cell>
          <cell r="J2559" t="str">
            <v>bueno</v>
          </cell>
          <cell r="K2559" t="str">
            <v>defsi</v>
          </cell>
        </row>
        <row r="2560">
          <cell r="B2560" t="b">
            <v>1</v>
          </cell>
          <cell r="E2560" t="str">
            <v>Isla Fuerte</v>
          </cell>
          <cell r="H2560" t="str">
            <v>laboratorio</v>
          </cell>
          <cell r="J2560" t="str">
            <v>bueno</v>
          </cell>
          <cell r="K2560" t="str">
            <v>defsi</v>
          </cell>
        </row>
        <row r="2561">
          <cell r="B2561" t="b">
            <v>1</v>
          </cell>
          <cell r="E2561" t="str">
            <v>Isla Fuerte</v>
          </cell>
          <cell r="H2561" t="str">
            <v>laboratorio</v>
          </cell>
          <cell r="J2561" t="str">
            <v>bueno</v>
          </cell>
          <cell r="K2561" t="str">
            <v>defsi</v>
          </cell>
        </row>
        <row r="2562">
          <cell r="B2562" t="b">
            <v>1</v>
          </cell>
          <cell r="E2562" t="str">
            <v>Isla Fuerte</v>
          </cell>
          <cell r="H2562" t="str">
            <v>laboratorio</v>
          </cell>
          <cell r="J2562" t="str">
            <v>bueno</v>
          </cell>
          <cell r="K2562" t="str">
            <v>defsi</v>
          </cell>
        </row>
        <row r="2563">
          <cell r="B2563" t="b">
            <v>1</v>
          </cell>
          <cell r="E2563" t="str">
            <v>Isla Fuerte</v>
          </cell>
          <cell r="H2563" t="str">
            <v>consulta_externa</v>
          </cell>
          <cell r="J2563" t="str">
            <v>bueno</v>
          </cell>
          <cell r="K2563" t="str">
            <v>defsi</v>
          </cell>
        </row>
        <row r="2564">
          <cell r="B2564" t="b">
            <v>1</v>
          </cell>
          <cell r="E2564" t="str">
            <v>Isla Fuerte</v>
          </cell>
          <cell r="H2564" t="str">
            <v>consulta_externa</v>
          </cell>
          <cell r="J2564" t="str">
            <v>bueno</v>
          </cell>
          <cell r="K2564" t="str">
            <v>defsi</v>
          </cell>
        </row>
        <row r="2565">
          <cell r="B2565" t="b">
            <v>0</v>
          </cell>
          <cell r="E2565" t="str">
            <v>Isla Fuerte</v>
          </cell>
          <cell r="H2565" t="str">
            <v>consulta_externa</v>
          </cell>
          <cell r="J2565" t="str">
            <v>regular</v>
          </cell>
          <cell r="K2565" t="str">
            <v>defsi</v>
          </cell>
        </row>
        <row r="2566">
          <cell r="B2566" t="b">
            <v>1</v>
          </cell>
          <cell r="E2566" t="str">
            <v>Isla Fuerte</v>
          </cell>
          <cell r="H2566" t="str">
            <v>laboratorio</v>
          </cell>
          <cell r="J2566" t="str">
            <v>bueno</v>
          </cell>
          <cell r="K2566" t="str">
            <v>defsi</v>
          </cell>
        </row>
        <row r="2567">
          <cell r="B2567" t="b">
            <v>1</v>
          </cell>
          <cell r="E2567" t="str">
            <v>Isla Fuerte</v>
          </cell>
          <cell r="H2567" t="str">
            <v>consulta_externa</v>
          </cell>
          <cell r="J2567" t="str">
            <v>bueno</v>
          </cell>
          <cell r="K2567" t="str">
            <v>defsi</v>
          </cell>
        </row>
        <row r="2568">
          <cell r="B2568" t="b">
            <v>1</v>
          </cell>
          <cell r="E2568" t="str">
            <v>Isla Fuerte</v>
          </cell>
          <cell r="H2568" t="str">
            <v>salud_oral</v>
          </cell>
          <cell r="J2568" t="str">
            <v>bueno</v>
          </cell>
          <cell r="K2568" t="str">
            <v>defsi</v>
          </cell>
        </row>
        <row r="2569">
          <cell r="B2569" t="b">
            <v>1</v>
          </cell>
          <cell r="E2569" t="str">
            <v>Isla Fuerte</v>
          </cell>
          <cell r="H2569" t="str">
            <v>salud_oral</v>
          </cell>
          <cell r="J2569" t="str">
            <v>bueno</v>
          </cell>
          <cell r="K2569" t="str">
            <v>defsi</v>
          </cell>
        </row>
        <row r="2570">
          <cell r="B2570" t="b">
            <v>0</v>
          </cell>
          <cell r="E2570" t="str">
            <v>Isla Fuerte</v>
          </cell>
          <cell r="H2570" t="str">
            <v>consulta_externa</v>
          </cell>
          <cell r="J2570" t="str">
            <v>regular</v>
          </cell>
          <cell r="K2570" t="str">
            <v>defsi</v>
          </cell>
        </row>
        <row r="2571">
          <cell r="B2571" t="b">
            <v>1</v>
          </cell>
          <cell r="E2571" t="str">
            <v>Isla Fuerte</v>
          </cell>
          <cell r="H2571" t="str">
            <v>consulta_externa</v>
          </cell>
          <cell r="J2571" t="str">
            <v>bueno</v>
          </cell>
          <cell r="K2571" t="str">
            <v>defsi</v>
          </cell>
        </row>
        <row r="2572">
          <cell r="B2572" t="b">
            <v>1</v>
          </cell>
          <cell r="E2572" t="str">
            <v>Isla Fuerte</v>
          </cell>
          <cell r="H2572" t="str">
            <v>laboratorio</v>
          </cell>
          <cell r="J2572" t="str">
            <v>bueno</v>
          </cell>
          <cell r="K2572" t="str">
            <v>defsi</v>
          </cell>
        </row>
        <row r="2573">
          <cell r="B2573" t="b">
            <v>1</v>
          </cell>
          <cell r="E2573" t="str">
            <v>Isla Fuerte</v>
          </cell>
          <cell r="H2573" t="str">
            <v>laboratorio</v>
          </cell>
          <cell r="J2573" t="str">
            <v>bueno</v>
          </cell>
          <cell r="K2573" t="str">
            <v>defsi</v>
          </cell>
        </row>
        <row r="2574">
          <cell r="B2574" t="b">
            <v>1</v>
          </cell>
          <cell r="E2574" t="str">
            <v>Isla Fuerte</v>
          </cell>
          <cell r="H2574" t="str">
            <v>consulta_externa</v>
          </cell>
          <cell r="J2574" t="str">
            <v>bueno</v>
          </cell>
          <cell r="K2574" t="str">
            <v>defsi</v>
          </cell>
        </row>
        <row r="2575">
          <cell r="B2575" t="b">
            <v>1</v>
          </cell>
          <cell r="E2575" t="str">
            <v>Foco Rojo</v>
          </cell>
          <cell r="H2575" t="str">
            <v>consulta_externa</v>
          </cell>
          <cell r="J2575" t="str">
            <v>bueno</v>
          </cell>
          <cell r="K2575" t="str">
            <v>defsi</v>
          </cell>
        </row>
        <row r="2576">
          <cell r="B2576" t="b">
            <v>1</v>
          </cell>
          <cell r="E2576" t="str">
            <v>Fredonia</v>
          </cell>
          <cell r="H2576" t="str">
            <v>consulta_externa</v>
          </cell>
          <cell r="J2576" t="str">
            <v>bueno</v>
          </cell>
          <cell r="K2576" t="str">
            <v>probsi</v>
          </cell>
        </row>
        <row r="2577">
          <cell r="B2577" t="b">
            <v>1</v>
          </cell>
          <cell r="E2577" t="str">
            <v>Foco Rojo</v>
          </cell>
          <cell r="H2577" t="str">
            <v>laboratorio</v>
          </cell>
          <cell r="J2577" t="str">
            <v>bueno</v>
          </cell>
          <cell r="K2577" t="str">
            <v>defsi</v>
          </cell>
        </row>
        <row r="2578">
          <cell r="B2578" t="b">
            <v>1</v>
          </cell>
          <cell r="E2578" t="str">
            <v>Fredonia</v>
          </cell>
          <cell r="H2578" t="str">
            <v>consulta_externa</v>
          </cell>
          <cell r="J2578" t="str">
            <v>bueno</v>
          </cell>
          <cell r="K2578" t="str">
            <v>probsi</v>
          </cell>
        </row>
        <row r="2579">
          <cell r="B2579" t="b">
            <v>1</v>
          </cell>
          <cell r="E2579" t="str">
            <v>Fredonia</v>
          </cell>
          <cell r="H2579" t="str">
            <v>laboratorio</v>
          </cell>
          <cell r="J2579" t="str">
            <v>bueno</v>
          </cell>
          <cell r="K2579" t="str">
            <v>probsi</v>
          </cell>
        </row>
        <row r="2580">
          <cell r="B2580" t="b">
            <v>1</v>
          </cell>
          <cell r="E2580" t="str">
            <v>Fredonia</v>
          </cell>
          <cell r="H2580" t="str">
            <v>consulta_externa</v>
          </cell>
          <cell r="J2580" t="str">
            <v>bueno</v>
          </cell>
          <cell r="K2580" t="str">
            <v>probsi</v>
          </cell>
        </row>
        <row r="2581">
          <cell r="B2581" t="b">
            <v>1</v>
          </cell>
          <cell r="E2581" t="str">
            <v>Fredonia</v>
          </cell>
          <cell r="H2581" t="str">
            <v>laboratorio</v>
          </cell>
          <cell r="J2581" t="str">
            <v>bueno</v>
          </cell>
          <cell r="K2581" t="str">
            <v>probsi</v>
          </cell>
        </row>
        <row r="2582">
          <cell r="B2582" t="b">
            <v>1</v>
          </cell>
          <cell r="E2582" t="str">
            <v>Fredonia</v>
          </cell>
          <cell r="H2582" t="str">
            <v>consulta_externa</v>
          </cell>
          <cell r="J2582" t="str">
            <v>bueno</v>
          </cell>
          <cell r="K2582" t="str">
            <v>probsi</v>
          </cell>
        </row>
        <row r="2583">
          <cell r="B2583" t="b">
            <v>1</v>
          </cell>
          <cell r="E2583" t="str">
            <v>Fredonia</v>
          </cell>
          <cell r="H2583" t="str">
            <v>salud_oral</v>
          </cell>
          <cell r="J2583" t="str">
            <v>bueno</v>
          </cell>
          <cell r="K2583" t="str">
            <v>probsi</v>
          </cell>
        </row>
        <row r="2584">
          <cell r="B2584" t="b">
            <v>0</v>
          </cell>
          <cell r="E2584" t="str">
            <v>Fredonia</v>
          </cell>
          <cell r="H2584" t="str">
            <v>consulta_externa</v>
          </cell>
          <cell r="J2584" t="str">
            <v>regular</v>
          </cell>
          <cell r="K2584" t="str">
            <v>probsi</v>
          </cell>
        </row>
        <row r="2585">
          <cell r="B2585" t="b">
            <v>0</v>
          </cell>
          <cell r="E2585" t="str">
            <v>Fredonia</v>
          </cell>
          <cell r="H2585" t="str">
            <v>consulta_externa</v>
          </cell>
          <cell r="J2585" t="str">
            <v>regular</v>
          </cell>
          <cell r="K2585" t="str">
            <v>probsi</v>
          </cell>
        </row>
        <row r="2586">
          <cell r="B2586" t="b">
            <v>1</v>
          </cell>
          <cell r="E2586" t="str">
            <v>Foco Rojo</v>
          </cell>
          <cell r="H2586" t="str">
            <v>laboratorio</v>
          </cell>
          <cell r="J2586" t="str">
            <v>bueno</v>
          </cell>
          <cell r="K2586" t="str">
            <v>defsi</v>
          </cell>
        </row>
        <row r="2587">
          <cell r="B2587" t="b">
            <v>1</v>
          </cell>
          <cell r="E2587" t="str">
            <v>Fredonia</v>
          </cell>
          <cell r="H2587" t="str">
            <v>consulta_externa</v>
          </cell>
          <cell r="J2587" t="str">
            <v>bueno</v>
          </cell>
          <cell r="K2587" t="str">
            <v>probsi</v>
          </cell>
        </row>
        <row r="2588">
          <cell r="B2588" t="b">
            <v>1</v>
          </cell>
          <cell r="E2588" t="str">
            <v>Fredonia</v>
          </cell>
          <cell r="H2588" t="str">
            <v>consulta_externa</v>
          </cell>
          <cell r="J2588" t="str">
            <v>bueno</v>
          </cell>
          <cell r="K2588" t="str">
            <v>probsi</v>
          </cell>
        </row>
        <row r="2589">
          <cell r="B2589" t="b">
            <v>1</v>
          </cell>
          <cell r="E2589" t="str">
            <v>Fredonia</v>
          </cell>
          <cell r="H2589" t="str">
            <v>salud_oral</v>
          </cell>
          <cell r="J2589" t="str">
            <v>bueno</v>
          </cell>
          <cell r="K2589" t="str">
            <v>probsi</v>
          </cell>
        </row>
        <row r="2590">
          <cell r="B2590" t="b">
            <v>1</v>
          </cell>
          <cell r="E2590" t="str">
            <v>Foco Rojo</v>
          </cell>
          <cell r="H2590" t="str">
            <v>laboratorio</v>
          </cell>
          <cell r="J2590" t="str">
            <v>bueno</v>
          </cell>
          <cell r="K2590" t="str">
            <v>defsi</v>
          </cell>
        </row>
        <row r="2591">
          <cell r="B2591" t="b">
            <v>1</v>
          </cell>
          <cell r="E2591" t="str">
            <v>Foco Rojo</v>
          </cell>
          <cell r="H2591" t="str">
            <v>laboratorio</v>
          </cell>
          <cell r="J2591" t="str">
            <v>bueno</v>
          </cell>
          <cell r="K2591" t="str">
            <v>defsi</v>
          </cell>
        </row>
        <row r="2592">
          <cell r="B2592" t="b">
            <v>1</v>
          </cell>
          <cell r="E2592" t="str">
            <v>Foco Rojo</v>
          </cell>
          <cell r="H2592" t="str">
            <v>consulta_externa</v>
          </cell>
          <cell r="J2592" t="str">
            <v>bueno</v>
          </cell>
          <cell r="K2592" t="str">
            <v>defsi</v>
          </cell>
        </row>
        <row r="2593">
          <cell r="B2593" t="b">
            <v>1</v>
          </cell>
          <cell r="E2593" t="str">
            <v>Foco Rojo</v>
          </cell>
          <cell r="H2593" t="str">
            <v>salud_oral</v>
          </cell>
          <cell r="J2593" t="str">
            <v>bueno</v>
          </cell>
          <cell r="K2593" t="str">
            <v>defsi</v>
          </cell>
        </row>
        <row r="2594">
          <cell r="B2594" t="b">
            <v>1</v>
          </cell>
          <cell r="E2594" t="str">
            <v>Foco Rojo</v>
          </cell>
          <cell r="H2594" t="str">
            <v>consulta_externa</v>
          </cell>
          <cell r="J2594" t="str">
            <v>bueno</v>
          </cell>
          <cell r="K2594" t="str">
            <v>defsi</v>
          </cell>
        </row>
        <row r="2595">
          <cell r="B2595" t="b">
            <v>1</v>
          </cell>
          <cell r="E2595" t="str">
            <v>Foco Rojo</v>
          </cell>
          <cell r="H2595" t="str">
            <v>consulta_externa</v>
          </cell>
          <cell r="J2595" t="str">
            <v>bueno</v>
          </cell>
          <cell r="K2595" t="str">
            <v>defsi</v>
          </cell>
        </row>
        <row r="2596">
          <cell r="B2596" t="b">
            <v>1</v>
          </cell>
          <cell r="E2596" t="str">
            <v>Foco Rojo</v>
          </cell>
          <cell r="H2596" t="str">
            <v>laboratorio</v>
          </cell>
          <cell r="J2596" t="str">
            <v>bueno</v>
          </cell>
          <cell r="K2596" t="str">
            <v>defsi</v>
          </cell>
        </row>
        <row r="2597">
          <cell r="B2597" t="b">
            <v>1</v>
          </cell>
          <cell r="E2597" t="str">
            <v>Fredonia</v>
          </cell>
          <cell r="H2597" t="str">
            <v>consulta_externa</v>
          </cell>
          <cell r="J2597" t="str">
            <v>bueno</v>
          </cell>
          <cell r="K2597" t="str">
            <v>probsi</v>
          </cell>
        </row>
        <row r="2598">
          <cell r="B2598" t="b">
            <v>1</v>
          </cell>
          <cell r="E2598" t="str">
            <v>Foco Rojo</v>
          </cell>
          <cell r="H2598" t="str">
            <v>consulta_externa</v>
          </cell>
          <cell r="J2598" t="str">
            <v>bueno</v>
          </cell>
          <cell r="K2598" t="str">
            <v>defsi</v>
          </cell>
        </row>
        <row r="2599">
          <cell r="B2599" t="b">
            <v>1</v>
          </cell>
          <cell r="E2599" t="str">
            <v>Fredonia</v>
          </cell>
          <cell r="H2599" t="str">
            <v>salud_oral</v>
          </cell>
          <cell r="J2599" t="str">
            <v>bueno</v>
          </cell>
          <cell r="K2599" t="str">
            <v>probsi</v>
          </cell>
        </row>
        <row r="2600">
          <cell r="B2600" t="b">
            <v>1</v>
          </cell>
          <cell r="E2600" t="str">
            <v>Foco Rojo</v>
          </cell>
          <cell r="H2600" t="str">
            <v>consulta_externa</v>
          </cell>
          <cell r="J2600" t="str">
            <v>bueno</v>
          </cell>
          <cell r="K2600" t="str">
            <v>defsi</v>
          </cell>
        </row>
        <row r="2601">
          <cell r="B2601" t="b">
            <v>1</v>
          </cell>
          <cell r="E2601" t="str">
            <v>Foco Rojo</v>
          </cell>
          <cell r="H2601" t="str">
            <v>salud_oral</v>
          </cell>
          <cell r="J2601" t="str">
            <v>muybueno</v>
          </cell>
          <cell r="K2601" t="str">
            <v>defsi</v>
          </cell>
        </row>
        <row r="2602">
          <cell r="B2602" t="b">
            <v>1</v>
          </cell>
          <cell r="E2602" t="str">
            <v>Foco Rojo</v>
          </cell>
          <cell r="H2602" t="str">
            <v>salud_oral</v>
          </cell>
          <cell r="J2602" t="str">
            <v>muybueno</v>
          </cell>
          <cell r="K2602" t="str">
            <v>defsi</v>
          </cell>
        </row>
        <row r="2603">
          <cell r="B2603" t="b">
            <v>1</v>
          </cell>
          <cell r="E2603" t="str">
            <v>Foco Rojo</v>
          </cell>
          <cell r="H2603" t="str">
            <v>laboratorio</v>
          </cell>
          <cell r="J2603" t="str">
            <v>bueno</v>
          </cell>
          <cell r="K2603" t="str">
            <v>defsi</v>
          </cell>
        </row>
        <row r="2604">
          <cell r="B2604" t="b">
            <v>1</v>
          </cell>
          <cell r="E2604" t="str">
            <v>Foco Rojo</v>
          </cell>
          <cell r="H2604" t="str">
            <v>consulta_externa</v>
          </cell>
          <cell r="J2604" t="str">
            <v>bueno</v>
          </cell>
          <cell r="K2604" t="str">
            <v>defsi</v>
          </cell>
        </row>
        <row r="2605">
          <cell r="B2605" t="b">
            <v>1</v>
          </cell>
          <cell r="E2605" t="str">
            <v>Foco Rojo</v>
          </cell>
          <cell r="H2605" t="str">
            <v>consulta_externa</v>
          </cell>
          <cell r="J2605" t="str">
            <v>bueno</v>
          </cell>
          <cell r="K2605" t="str">
            <v>defsi</v>
          </cell>
        </row>
        <row r="2606">
          <cell r="B2606" t="b">
            <v>1</v>
          </cell>
          <cell r="E2606" t="str">
            <v>Foco Rojo</v>
          </cell>
          <cell r="H2606" t="str">
            <v>salud_oral</v>
          </cell>
          <cell r="J2606" t="str">
            <v>bueno</v>
          </cell>
          <cell r="K2606" t="str">
            <v>defsi</v>
          </cell>
        </row>
        <row r="2607">
          <cell r="B2607" t="b">
            <v>1</v>
          </cell>
          <cell r="E2607" t="str">
            <v>Foco Rojo</v>
          </cell>
          <cell r="H2607" t="str">
            <v>salud_oral</v>
          </cell>
          <cell r="J2607" t="str">
            <v>bueno</v>
          </cell>
          <cell r="K2607" t="str">
            <v>defsi</v>
          </cell>
        </row>
        <row r="2608">
          <cell r="B2608" t="b">
            <v>1</v>
          </cell>
          <cell r="E2608" t="str">
            <v>Foco Rojo</v>
          </cell>
          <cell r="H2608" t="str">
            <v>laboratorio</v>
          </cell>
          <cell r="J2608" t="str">
            <v>bueno</v>
          </cell>
          <cell r="K2608" t="str">
            <v>defsi</v>
          </cell>
        </row>
        <row r="2609">
          <cell r="B2609" t="b">
            <v>1</v>
          </cell>
          <cell r="E2609" t="str">
            <v>Foco Rojo</v>
          </cell>
          <cell r="H2609" t="str">
            <v>consulta_externa</v>
          </cell>
          <cell r="J2609" t="str">
            <v>bueno</v>
          </cell>
          <cell r="K2609" t="str">
            <v>defsi</v>
          </cell>
        </row>
        <row r="2610">
          <cell r="B2610" t="b">
            <v>1</v>
          </cell>
          <cell r="E2610" t="str">
            <v>Foco Rojo</v>
          </cell>
          <cell r="H2610" t="str">
            <v>consulta_externa</v>
          </cell>
          <cell r="J2610" t="str">
            <v>bueno</v>
          </cell>
          <cell r="K2610" t="str">
            <v>defsi</v>
          </cell>
        </row>
        <row r="2611">
          <cell r="B2611" t="b">
            <v>1</v>
          </cell>
          <cell r="E2611" t="str">
            <v>Fredonia</v>
          </cell>
          <cell r="H2611" t="str">
            <v>consulta_externa</v>
          </cell>
          <cell r="J2611" t="str">
            <v>bueno</v>
          </cell>
          <cell r="K2611" t="str">
            <v>probsi</v>
          </cell>
        </row>
        <row r="2612">
          <cell r="B2612" t="b">
            <v>1</v>
          </cell>
          <cell r="E2612" t="str">
            <v>Fredonia</v>
          </cell>
          <cell r="H2612" t="str">
            <v>laboratorio</v>
          </cell>
          <cell r="J2612" t="str">
            <v>bueno</v>
          </cell>
          <cell r="K2612" t="str">
            <v>probsi</v>
          </cell>
        </row>
        <row r="2613">
          <cell r="B2613" t="b">
            <v>1</v>
          </cell>
          <cell r="E2613" t="str">
            <v>Fredonia</v>
          </cell>
          <cell r="H2613" t="str">
            <v>consulta_externa</v>
          </cell>
          <cell r="J2613" t="str">
            <v>bueno</v>
          </cell>
          <cell r="K2613" t="str">
            <v>probsi</v>
          </cell>
        </row>
        <row r="2614">
          <cell r="B2614" t="b">
            <v>1</v>
          </cell>
          <cell r="E2614" t="str">
            <v>Fredonia</v>
          </cell>
          <cell r="H2614" t="str">
            <v>salud_oral</v>
          </cell>
          <cell r="J2614" t="str">
            <v>bueno</v>
          </cell>
          <cell r="K2614" t="str">
            <v>probsi</v>
          </cell>
        </row>
        <row r="2615">
          <cell r="B2615" t="b">
            <v>1</v>
          </cell>
          <cell r="E2615" t="str">
            <v>Fredonia</v>
          </cell>
          <cell r="H2615" t="str">
            <v>consulta_externa</v>
          </cell>
          <cell r="J2615" t="str">
            <v>bueno</v>
          </cell>
          <cell r="K2615" t="str">
            <v>probsi</v>
          </cell>
        </row>
        <row r="2616">
          <cell r="B2616" t="b">
            <v>1</v>
          </cell>
          <cell r="E2616" t="str">
            <v>Fredonia</v>
          </cell>
          <cell r="H2616" t="str">
            <v>laboratorio</v>
          </cell>
          <cell r="J2616" t="str">
            <v>bueno</v>
          </cell>
          <cell r="K2616" t="str">
            <v>probsi</v>
          </cell>
        </row>
        <row r="2617">
          <cell r="B2617" t="b">
            <v>1</v>
          </cell>
          <cell r="E2617" t="str">
            <v>Fredonia</v>
          </cell>
          <cell r="H2617" t="str">
            <v>consulta_externa</v>
          </cell>
          <cell r="J2617" t="str">
            <v>bueno</v>
          </cell>
          <cell r="K2617" t="str">
            <v>probsi</v>
          </cell>
        </row>
        <row r="2618">
          <cell r="B2618" t="b">
            <v>1</v>
          </cell>
          <cell r="E2618" t="str">
            <v>Fredonia</v>
          </cell>
          <cell r="H2618" t="str">
            <v>laboratorio</v>
          </cell>
          <cell r="J2618" t="str">
            <v>bueno</v>
          </cell>
          <cell r="K2618" t="str">
            <v>probsi</v>
          </cell>
        </row>
        <row r="2619">
          <cell r="B2619" t="b">
            <v>1</v>
          </cell>
          <cell r="E2619" t="str">
            <v>Fredonia</v>
          </cell>
          <cell r="H2619" t="str">
            <v>salud_oral</v>
          </cell>
          <cell r="J2619" t="str">
            <v>bueno</v>
          </cell>
          <cell r="K2619" t="str">
            <v>probsi</v>
          </cell>
        </row>
        <row r="2620">
          <cell r="B2620" t="b">
            <v>1</v>
          </cell>
          <cell r="E2620" t="str">
            <v>Fredonia</v>
          </cell>
          <cell r="H2620" t="str">
            <v>salud_oral</v>
          </cell>
          <cell r="J2620" t="str">
            <v>bueno</v>
          </cell>
          <cell r="K2620" t="str">
            <v>probsi</v>
          </cell>
        </row>
        <row r="2621">
          <cell r="B2621" t="b">
            <v>1</v>
          </cell>
          <cell r="E2621" t="str">
            <v>Fredonia</v>
          </cell>
          <cell r="H2621" t="str">
            <v>salud_oral</v>
          </cell>
          <cell r="J2621" t="str">
            <v>bueno</v>
          </cell>
          <cell r="K2621" t="str">
            <v>probsi</v>
          </cell>
        </row>
        <row r="2622">
          <cell r="B2622" t="b">
            <v>1</v>
          </cell>
          <cell r="E2622" t="str">
            <v>Fredonia</v>
          </cell>
          <cell r="H2622" t="str">
            <v>laboratorio</v>
          </cell>
          <cell r="J2622" t="str">
            <v>bueno</v>
          </cell>
          <cell r="K2622" t="str">
            <v>probsi</v>
          </cell>
        </row>
        <row r="2623">
          <cell r="B2623" t="b">
            <v>0</v>
          </cell>
          <cell r="E2623" t="str">
            <v>Fredonia</v>
          </cell>
          <cell r="H2623" t="str">
            <v>laboratorio</v>
          </cell>
          <cell r="J2623" t="str">
            <v>regular</v>
          </cell>
          <cell r="K2623" t="str">
            <v>probsi</v>
          </cell>
        </row>
        <row r="2624">
          <cell r="B2624" t="b">
            <v>0</v>
          </cell>
          <cell r="E2624" t="str">
            <v>Fredonia</v>
          </cell>
          <cell r="H2624" t="str">
            <v>laboratorio</v>
          </cell>
          <cell r="J2624" t="str">
            <v>regular</v>
          </cell>
          <cell r="K2624" t="str">
            <v>probsi</v>
          </cell>
        </row>
        <row r="2625">
          <cell r="B2625" t="b">
            <v>1</v>
          </cell>
          <cell r="E2625" t="str">
            <v>Fredonia</v>
          </cell>
          <cell r="H2625" t="str">
            <v>consulta_externa</v>
          </cell>
          <cell r="J2625" t="str">
            <v>bueno</v>
          </cell>
          <cell r="K2625" t="str">
            <v>probsi</v>
          </cell>
        </row>
        <row r="2626">
          <cell r="B2626" t="b">
            <v>1</v>
          </cell>
          <cell r="E2626" t="str">
            <v>Fredonia</v>
          </cell>
          <cell r="H2626" t="str">
            <v>consulta_externa</v>
          </cell>
          <cell r="J2626" t="str">
            <v>bueno</v>
          </cell>
          <cell r="K2626" t="str">
            <v>probsi</v>
          </cell>
        </row>
        <row r="2627">
          <cell r="B2627" t="b">
            <v>1</v>
          </cell>
          <cell r="E2627" t="str">
            <v>San Pedro y Libertad</v>
          </cell>
          <cell r="H2627" t="str">
            <v>consulta_externa</v>
          </cell>
          <cell r="J2627" t="str">
            <v>bueno</v>
          </cell>
          <cell r="K2627" t="str">
            <v>defsi</v>
          </cell>
        </row>
        <row r="2628">
          <cell r="B2628" t="b">
            <v>1</v>
          </cell>
          <cell r="E2628" t="str">
            <v>San Pedro y Libertad</v>
          </cell>
          <cell r="H2628" t="str">
            <v>salud_oral</v>
          </cell>
          <cell r="J2628" t="str">
            <v>bueno</v>
          </cell>
          <cell r="K2628" t="str">
            <v>defsi</v>
          </cell>
        </row>
        <row r="2629">
          <cell r="B2629" t="b">
            <v>1</v>
          </cell>
          <cell r="E2629" t="str">
            <v>San Pedro y Libertad</v>
          </cell>
          <cell r="H2629" t="str">
            <v>laboratorio</v>
          </cell>
          <cell r="J2629" t="str">
            <v>bueno</v>
          </cell>
          <cell r="K2629" t="str">
            <v>defsi</v>
          </cell>
        </row>
        <row r="2630">
          <cell r="B2630" t="b">
            <v>1</v>
          </cell>
          <cell r="E2630" t="str">
            <v>San Pedro y Libertad</v>
          </cell>
          <cell r="H2630" t="str">
            <v>consulta_externa</v>
          </cell>
          <cell r="J2630" t="str">
            <v>bueno</v>
          </cell>
          <cell r="K2630" t="str">
            <v>defsi</v>
          </cell>
        </row>
        <row r="2631">
          <cell r="B2631" t="b">
            <v>1</v>
          </cell>
          <cell r="E2631" t="str">
            <v>San Pedro y Libertad</v>
          </cell>
          <cell r="H2631" t="str">
            <v>salud_oral</v>
          </cell>
          <cell r="J2631" t="str">
            <v>bueno</v>
          </cell>
          <cell r="K2631" t="str">
            <v>defsi</v>
          </cell>
        </row>
        <row r="2632">
          <cell r="B2632" t="b">
            <v>1</v>
          </cell>
          <cell r="E2632" t="str">
            <v>San Pedro y Libertad</v>
          </cell>
          <cell r="H2632" t="str">
            <v>laboratorio</v>
          </cell>
          <cell r="J2632" t="str">
            <v>bueno</v>
          </cell>
          <cell r="K2632" t="str">
            <v>defsi</v>
          </cell>
        </row>
        <row r="2633">
          <cell r="B2633" t="b">
            <v>1</v>
          </cell>
          <cell r="E2633" t="str">
            <v>San Pedro y Libertad</v>
          </cell>
          <cell r="H2633" t="str">
            <v>consulta_externa</v>
          </cell>
          <cell r="J2633" t="str">
            <v>bueno</v>
          </cell>
          <cell r="K2633" t="str">
            <v>defsi</v>
          </cell>
        </row>
        <row r="2634">
          <cell r="B2634" t="b">
            <v>1</v>
          </cell>
          <cell r="E2634" t="str">
            <v>San Pedro y Libertad</v>
          </cell>
          <cell r="H2634" t="str">
            <v>salud_oral</v>
          </cell>
          <cell r="J2634" t="str">
            <v>bueno</v>
          </cell>
          <cell r="K2634" t="str">
            <v>defsi</v>
          </cell>
        </row>
        <row r="2635">
          <cell r="B2635" t="b">
            <v>1</v>
          </cell>
          <cell r="E2635" t="str">
            <v>San Pedro y Libertad</v>
          </cell>
          <cell r="H2635" t="str">
            <v>laboratorio</v>
          </cell>
          <cell r="J2635" t="str">
            <v>bueno</v>
          </cell>
          <cell r="K2635" t="str">
            <v>defsi</v>
          </cell>
        </row>
        <row r="2636">
          <cell r="B2636" t="b">
            <v>1</v>
          </cell>
          <cell r="E2636" t="str">
            <v>Nuevo Porvenir</v>
          </cell>
          <cell r="H2636" t="str">
            <v>consulta_externa</v>
          </cell>
          <cell r="J2636" t="str">
            <v>bueno</v>
          </cell>
          <cell r="K2636" t="str">
            <v>probsi</v>
          </cell>
        </row>
        <row r="2637">
          <cell r="B2637" t="b">
            <v>1</v>
          </cell>
          <cell r="E2637" t="str">
            <v>San Pedro y Libertad</v>
          </cell>
          <cell r="H2637" t="str">
            <v>consulta_externa</v>
          </cell>
          <cell r="J2637" t="str">
            <v>bueno</v>
          </cell>
          <cell r="K2637" t="str">
            <v>defsi</v>
          </cell>
        </row>
        <row r="2638">
          <cell r="B2638" t="b">
            <v>1</v>
          </cell>
          <cell r="E2638" t="str">
            <v>Nuevo Porvenir</v>
          </cell>
          <cell r="H2638" t="str">
            <v>consulta_externa</v>
          </cell>
          <cell r="J2638" t="str">
            <v>bueno</v>
          </cell>
          <cell r="K2638" t="str">
            <v>probsi</v>
          </cell>
        </row>
        <row r="2639">
          <cell r="B2639" t="b">
            <v>1</v>
          </cell>
          <cell r="E2639" t="str">
            <v>Nuevo Porvenir</v>
          </cell>
          <cell r="H2639" t="str">
            <v>laboratorio</v>
          </cell>
          <cell r="J2639" t="str">
            <v>bueno</v>
          </cell>
          <cell r="K2639" t="str">
            <v>probsi</v>
          </cell>
        </row>
        <row r="2640">
          <cell r="B2640" t="b">
            <v>1</v>
          </cell>
          <cell r="E2640" t="str">
            <v>San Pedro y Libertad</v>
          </cell>
          <cell r="H2640" t="str">
            <v>salud_oral</v>
          </cell>
          <cell r="J2640" t="str">
            <v>bueno</v>
          </cell>
          <cell r="K2640" t="str">
            <v>defsi</v>
          </cell>
        </row>
        <row r="2641">
          <cell r="B2641" t="b">
            <v>1</v>
          </cell>
          <cell r="E2641" t="str">
            <v>San Pedro y Libertad</v>
          </cell>
          <cell r="H2641" t="str">
            <v>laboratorio</v>
          </cell>
          <cell r="J2641" t="str">
            <v>bueno</v>
          </cell>
          <cell r="K2641" t="str">
            <v>defsi</v>
          </cell>
        </row>
        <row r="2642">
          <cell r="B2642" t="b">
            <v>1</v>
          </cell>
          <cell r="E2642" t="str">
            <v>San Pedro y Libertad</v>
          </cell>
          <cell r="H2642" t="str">
            <v>consulta_externa</v>
          </cell>
          <cell r="J2642" t="str">
            <v>bueno</v>
          </cell>
          <cell r="K2642" t="str">
            <v>defsi</v>
          </cell>
        </row>
        <row r="2643">
          <cell r="B2643" t="b">
            <v>1</v>
          </cell>
          <cell r="E2643" t="str">
            <v>San Pedro y Libertad</v>
          </cell>
          <cell r="H2643" t="str">
            <v>salud_oral</v>
          </cell>
          <cell r="J2643" t="str">
            <v>bueno</v>
          </cell>
          <cell r="K2643" t="str">
            <v>defsi</v>
          </cell>
        </row>
        <row r="2644">
          <cell r="B2644" t="b">
            <v>1</v>
          </cell>
          <cell r="E2644" t="str">
            <v>San Pedro y Libertad</v>
          </cell>
          <cell r="H2644" t="str">
            <v>laboratorio</v>
          </cell>
          <cell r="J2644" t="str">
            <v>bueno</v>
          </cell>
          <cell r="K2644" t="str">
            <v>defsi</v>
          </cell>
        </row>
        <row r="2645">
          <cell r="B2645" t="b">
            <v>1</v>
          </cell>
          <cell r="E2645" t="str">
            <v>San Pedro y Libertad</v>
          </cell>
          <cell r="H2645" t="str">
            <v>consulta_externa</v>
          </cell>
          <cell r="J2645" t="str">
            <v>bueno</v>
          </cell>
          <cell r="K2645" t="str">
            <v>defsi</v>
          </cell>
        </row>
        <row r="2646">
          <cell r="B2646" t="b">
            <v>1</v>
          </cell>
          <cell r="E2646" t="str">
            <v>San Pedro y Libertad</v>
          </cell>
          <cell r="H2646" t="str">
            <v>salud_oral</v>
          </cell>
          <cell r="J2646" t="str">
            <v>bueno</v>
          </cell>
          <cell r="K2646" t="str">
            <v>defsi</v>
          </cell>
        </row>
        <row r="2647">
          <cell r="B2647" t="b">
            <v>1</v>
          </cell>
          <cell r="E2647" t="str">
            <v>Nuevo Porvenir</v>
          </cell>
          <cell r="H2647" t="str">
            <v>consulta_externa</v>
          </cell>
          <cell r="J2647" t="str">
            <v>bueno</v>
          </cell>
          <cell r="K2647" t="str">
            <v>probsi</v>
          </cell>
        </row>
        <row r="2648">
          <cell r="B2648" t="b">
            <v>1</v>
          </cell>
          <cell r="E2648" t="str">
            <v>San Pedro y Libertad</v>
          </cell>
          <cell r="H2648" t="str">
            <v>laboratorio</v>
          </cell>
          <cell r="J2648" t="str">
            <v>bueno</v>
          </cell>
          <cell r="K2648" t="str">
            <v>defsi</v>
          </cell>
        </row>
        <row r="2649">
          <cell r="B2649" t="b">
            <v>1</v>
          </cell>
          <cell r="E2649" t="str">
            <v>Nuevo Porvenir</v>
          </cell>
          <cell r="H2649" t="str">
            <v>consulta_externa</v>
          </cell>
          <cell r="J2649" t="str">
            <v>bueno</v>
          </cell>
          <cell r="K2649" t="str">
            <v>probsi</v>
          </cell>
        </row>
        <row r="2650">
          <cell r="B2650" t="b">
            <v>1</v>
          </cell>
          <cell r="E2650" t="str">
            <v>San Pedro y Libertad</v>
          </cell>
          <cell r="H2650" t="str">
            <v>consulta_externa</v>
          </cell>
          <cell r="J2650" t="str">
            <v>bueno</v>
          </cell>
          <cell r="K2650" t="str">
            <v>defsi</v>
          </cell>
        </row>
        <row r="2651">
          <cell r="B2651" t="b">
            <v>1</v>
          </cell>
          <cell r="E2651" t="str">
            <v>San Pedro y Libertad</v>
          </cell>
          <cell r="H2651" t="str">
            <v>salud_oral</v>
          </cell>
          <cell r="J2651" t="str">
            <v>bueno</v>
          </cell>
          <cell r="K2651" t="str">
            <v>defsi</v>
          </cell>
        </row>
        <row r="2652">
          <cell r="B2652" t="b">
            <v>1</v>
          </cell>
          <cell r="E2652" t="str">
            <v>San Pedro y Libertad</v>
          </cell>
          <cell r="H2652" t="str">
            <v>laboratorio</v>
          </cell>
          <cell r="J2652" t="str">
            <v>bueno</v>
          </cell>
          <cell r="K2652" t="str">
            <v>defsi</v>
          </cell>
        </row>
        <row r="2653">
          <cell r="B2653" t="b">
            <v>1</v>
          </cell>
          <cell r="E2653" t="str">
            <v>San Pedro y Libertad</v>
          </cell>
          <cell r="H2653" t="str">
            <v>consulta_externa</v>
          </cell>
          <cell r="J2653" t="str">
            <v>bueno</v>
          </cell>
          <cell r="K2653" t="str">
            <v>defsi</v>
          </cell>
        </row>
        <row r="2654">
          <cell r="B2654" t="b">
            <v>1</v>
          </cell>
          <cell r="E2654" t="str">
            <v>Nuevo Porvenir</v>
          </cell>
          <cell r="H2654" t="str">
            <v>salud_oral</v>
          </cell>
          <cell r="J2654" t="str">
            <v>bueno</v>
          </cell>
          <cell r="K2654" t="str">
            <v>probsi</v>
          </cell>
        </row>
        <row r="2655">
          <cell r="B2655" t="b">
            <v>1</v>
          </cell>
          <cell r="E2655" t="str">
            <v>Nuevo Porvenir</v>
          </cell>
          <cell r="H2655" t="str">
            <v>salud_oral</v>
          </cell>
          <cell r="J2655" t="str">
            <v>bueno</v>
          </cell>
          <cell r="K2655" t="str">
            <v>probsi</v>
          </cell>
        </row>
        <row r="2656">
          <cell r="B2656" t="b">
            <v>1</v>
          </cell>
          <cell r="E2656" t="str">
            <v>Nuevo Porvenir</v>
          </cell>
          <cell r="H2656" t="str">
            <v>salud_oral</v>
          </cell>
          <cell r="J2656" t="str">
            <v>bueno</v>
          </cell>
          <cell r="K2656" t="str">
            <v>probsi</v>
          </cell>
        </row>
        <row r="2657">
          <cell r="B2657" t="b">
            <v>1</v>
          </cell>
          <cell r="E2657" t="str">
            <v>Nuevo Porvenir</v>
          </cell>
          <cell r="H2657" t="str">
            <v>laboratorio</v>
          </cell>
          <cell r="J2657" t="str">
            <v>bueno</v>
          </cell>
          <cell r="K2657" t="str">
            <v>probsi</v>
          </cell>
        </row>
        <row r="2658">
          <cell r="B2658" t="b">
            <v>1</v>
          </cell>
          <cell r="E2658" t="str">
            <v>Nuevo Porvenir</v>
          </cell>
          <cell r="H2658" t="str">
            <v>laboratorio</v>
          </cell>
          <cell r="J2658" t="str">
            <v>bueno</v>
          </cell>
          <cell r="K2658" t="str">
            <v>probsi</v>
          </cell>
        </row>
        <row r="2659">
          <cell r="B2659" t="b">
            <v>1</v>
          </cell>
          <cell r="E2659" t="str">
            <v>Nuevo Porvenir</v>
          </cell>
          <cell r="H2659" t="str">
            <v>laboratorio</v>
          </cell>
          <cell r="J2659" t="str">
            <v>bueno</v>
          </cell>
          <cell r="K2659" t="str">
            <v>probsi</v>
          </cell>
        </row>
        <row r="2660">
          <cell r="B2660" t="b">
            <v>1</v>
          </cell>
          <cell r="E2660" t="str">
            <v>San Pedro y Libertad</v>
          </cell>
          <cell r="H2660" t="str">
            <v>salud_oral</v>
          </cell>
          <cell r="J2660" t="str">
            <v>bueno</v>
          </cell>
          <cell r="K2660" t="str">
            <v>defsi</v>
          </cell>
        </row>
        <row r="2661">
          <cell r="B2661" t="b">
            <v>1</v>
          </cell>
          <cell r="E2661" t="str">
            <v>San Pedro y Libertad</v>
          </cell>
          <cell r="H2661" t="str">
            <v>laboratorio</v>
          </cell>
          <cell r="J2661" t="str">
            <v>bueno</v>
          </cell>
          <cell r="K2661" t="str">
            <v>defsi</v>
          </cell>
        </row>
        <row r="2662">
          <cell r="B2662" t="b">
            <v>1</v>
          </cell>
          <cell r="E2662" t="str">
            <v>San Pedro y Libertad</v>
          </cell>
          <cell r="H2662" t="str">
            <v>consulta_externa</v>
          </cell>
          <cell r="J2662" t="str">
            <v>bueno</v>
          </cell>
          <cell r="K2662" t="str">
            <v>defsi</v>
          </cell>
        </row>
        <row r="2663">
          <cell r="B2663" t="b">
            <v>1</v>
          </cell>
          <cell r="E2663" t="str">
            <v>San Pedro y Libertad</v>
          </cell>
          <cell r="H2663" t="str">
            <v>salud_oral</v>
          </cell>
          <cell r="J2663" t="str">
            <v>bueno</v>
          </cell>
          <cell r="K2663" t="str">
            <v>defsi</v>
          </cell>
        </row>
        <row r="2664">
          <cell r="B2664" t="b">
            <v>1</v>
          </cell>
          <cell r="E2664" t="str">
            <v>San Pedro y Libertad</v>
          </cell>
          <cell r="H2664" t="str">
            <v>laboratorio</v>
          </cell>
          <cell r="J2664" t="str">
            <v>bueno</v>
          </cell>
          <cell r="K2664" t="str">
            <v>defsi</v>
          </cell>
        </row>
        <row r="2665">
          <cell r="B2665" t="b">
            <v>1</v>
          </cell>
          <cell r="E2665" t="str">
            <v>Nuevo Porvenir</v>
          </cell>
          <cell r="H2665" t="str">
            <v>consulta_externa</v>
          </cell>
          <cell r="J2665" t="str">
            <v>bueno</v>
          </cell>
          <cell r="K2665" t="str">
            <v>probsi</v>
          </cell>
        </row>
        <row r="2666">
          <cell r="B2666" t="b">
            <v>1</v>
          </cell>
          <cell r="E2666" t="str">
            <v>Nuevo Porvenir</v>
          </cell>
          <cell r="H2666" t="str">
            <v>laboratorio</v>
          </cell>
          <cell r="J2666" t="str">
            <v>bueno</v>
          </cell>
          <cell r="K2666" t="str">
            <v>probsi</v>
          </cell>
        </row>
        <row r="2667">
          <cell r="B2667" t="b">
            <v>1</v>
          </cell>
          <cell r="E2667" t="str">
            <v>Nuevo Porvenir</v>
          </cell>
          <cell r="H2667" t="str">
            <v>laboratorio</v>
          </cell>
          <cell r="J2667" t="str">
            <v>bueno</v>
          </cell>
          <cell r="K2667" t="str">
            <v>probsi</v>
          </cell>
        </row>
        <row r="2668">
          <cell r="B2668" t="b">
            <v>1</v>
          </cell>
          <cell r="E2668" t="str">
            <v>Nuevo Porvenir</v>
          </cell>
          <cell r="H2668" t="str">
            <v>consulta_externa</v>
          </cell>
          <cell r="J2668" t="str">
            <v>bueno</v>
          </cell>
          <cell r="K2668" t="str">
            <v>probsi</v>
          </cell>
        </row>
        <row r="2669">
          <cell r="B2669" t="b">
            <v>1</v>
          </cell>
          <cell r="E2669" t="str">
            <v>Nuevo Porvenir</v>
          </cell>
          <cell r="H2669" t="str">
            <v>salud_oral</v>
          </cell>
          <cell r="J2669" t="str">
            <v>bueno</v>
          </cell>
          <cell r="K2669" t="str">
            <v>probsi</v>
          </cell>
        </row>
        <row r="2670">
          <cell r="B2670" t="b">
            <v>1</v>
          </cell>
          <cell r="E2670" t="str">
            <v>Nuevo Porvenir</v>
          </cell>
          <cell r="H2670" t="str">
            <v>salud_oral</v>
          </cell>
          <cell r="J2670" t="str">
            <v>bueno</v>
          </cell>
          <cell r="K2670" t="str">
            <v>probsi</v>
          </cell>
        </row>
        <row r="2671">
          <cell r="B2671" t="b">
            <v>1</v>
          </cell>
          <cell r="E2671" t="str">
            <v>Nuevo Porvenir</v>
          </cell>
          <cell r="H2671" t="str">
            <v>salud_oral</v>
          </cell>
          <cell r="J2671" t="str">
            <v>bueno</v>
          </cell>
          <cell r="K2671" t="str">
            <v>probsi</v>
          </cell>
        </row>
        <row r="2672">
          <cell r="B2672" t="b">
            <v>1</v>
          </cell>
          <cell r="E2672" t="str">
            <v>San Pedro y Libertad</v>
          </cell>
          <cell r="H2672" t="str">
            <v>consulta_externa</v>
          </cell>
          <cell r="J2672" t="str">
            <v>bueno</v>
          </cell>
          <cell r="K2672" t="str">
            <v>defsi</v>
          </cell>
        </row>
        <row r="2673">
          <cell r="B2673" t="b">
            <v>1</v>
          </cell>
          <cell r="E2673" t="str">
            <v>San Pedro y Libertad</v>
          </cell>
          <cell r="H2673" t="str">
            <v>salud_oral</v>
          </cell>
          <cell r="J2673" t="str">
            <v>bueno</v>
          </cell>
          <cell r="K2673" t="str">
            <v>defsi</v>
          </cell>
        </row>
        <row r="2674">
          <cell r="B2674" t="b">
            <v>1</v>
          </cell>
          <cell r="E2674" t="str">
            <v>San Pedro y Libertad</v>
          </cell>
          <cell r="H2674" t="str">
            <v>laboratorio</v>
          </cell>
          <cell r="J2674" t="str">
            <v>bueno</v>
          </cell>
          <cell r="K2674" t="str">
            <v>defsi</v>
          </cell>
        </row>
        <row r="2675">
          <cell r="B2675" t="b">
            <v>1</v>
          </cell>
          <cell r="E2675" t="str">
            <v>San Pedro y Libertad</v>
          </cell>
          <cell r="H2675" t="str">
            <v>consulta_externa</v>
          </cell>
          <cell r="J2675" t="str">
            <v>bueno</v>
          </cell>
          <cell r="K2675" t="str">
            <v>defsi</v>
          </cell>
        </row>
        <row r="2676">
          <cell r="B2676" t="b">
            <v>1</v>
          </cell>
          <cell r="E2676" t="str">
            <v>San Pedro y Libertad</v>
          </cell>
          <cell r="H2676" t="str">
            <v>salud_oral</v>
          </cell>
          <cell r="J2676" t="str">
            <v>bueno</v>
          </cell>
          <cell r="K2676" t="str">
            <v>defsi</v>
          </cell>
        </row>
        <row r="2677">
          <cell r="B2677" t="b">
            <v>1</v>
          </cell>
          <cell r="E2677" t="str">
            <v>Los Cerros</v>
          </cell>
          <cell r="H2677" t="str">
            <v>consulta_externa</v>
          </cell>
          <cell r="J2677" t="str">
            <v>bueno</v>
          </cell>
          <cell r="K2677" t="str">
            <v>probsi</v>
          </cell>
        </row>
        <row r="2678">
          <cell r="B2678" t="b">
            <v>1</v>
          </cell>
          <cell r="E2678" t="str">
            <v>Los Cerros</v>
          </cell>
          <cell r="H2678" t="str">
            <v>consulta_externa</v>
          </cell>
          <cell r="J2678" t="str">
            <v>bueno</v>
          </cell>
          <cell r="K2678" t="str">
            <v>probsi</v>
          </cell>
        </row>
        <row r="2679">
          <cell r="B2679" t="b">
            <v>1</v>
          </cell>
          <cell r="E2679" t="str">
            <v>San Pedro y Libertad</v>
          </cell>
          <cell r="H2679" t="str">
            <v>laboratorio</v>
          </cell>
          <cell r="J2679" t="str">
            <v>bueno</v>
          </cell>
          <cell r="K2679" t="str">
            <v>defsi</v>
          </cell>
        </row>
        <row r="2680">
          <cell r="B2680" t="b">
            <v>1</v>
          </cell>
          <cell r="E2680" t="str">
            <v>San Pedro y Libertad</v>
          </cell>
          <cell r="H2680" t="str">
            <v>consulta_externa</v>
          </cell>
          <cell r="J2680" t="str">
            <v>bueno</v>
          </cell>
          <cell r="K2680" t="str">
            <v>defsi</v>
          </cell>
        </row>
        <row r="2681">
          <cell r="B2681" t="b">
            <v>1</v>
          </cell>
          <cell r="E2681" t="str">
            <v>San Pedro y Libertad</v>
          </cell>
          <cell r="H2681" t="str">
            <v>salud_oral</v>
          </cell>
          <cell r="J2681" t="str">
            <v>bueno</v>
          </cell>
          <cell r="K2681" t="str">
            <v>defsi</v>
          </cell>
        </row>
        <row r="2682">
          <cell r="B2682" t="b">
            <v>1</v>
          </cell>
          <cell r="E2682" t="str">
            <v>Los Cerros</v>
          </cell>
          <cell r="H2682" t="str">
            <v>consulta_externa</v>
          </cell>
          <cell r="J2682" t="str">
            <v>bueno</v>
          </cell>
          <cell r="K2682" t="str">
            <v>probsi</v>
          </cell>
        </row>
        <row r="2683">
          <cell r="B2683" t="b">
            <v>1</v>
          </cell>
          <cell r="E2683" t="str">
            <v>Los Cerros</v>
          </cell>
          <cell r="H2683" t="str">
            <v>consulta_externa</v>
          </cell>
          <cell r="J2683" t="str">
            <v>bueno</v>
          </cell>
          <cell r="K2683" t="str">
            <v>probsi</v>
          </cell>
        </row>
        <row r="2684">
          <cell r="B2684" t="b">
            <v>1</v>
          </cell>
          <cell r="E2684" t="str">
            <v>Los Cerros</v>
          </cell>
          <cell r="H2684" t="str">
            <v>laboratorio</v>
          </cell>
          <cell r="J2684" t="str">
            <v>bueno</v>
          </cell>
          <cell r="K2684" t="str">
            <v>probsi</v>
          </cell>
        </row>
        <row r="2685">
          <cell r="B2685" t="b">
            <v>1</v>
          </cell>
          <cell r="E2685" t="str">
            <v>Los Cerros</v>
          </cell>
          <cell r="H2685" t="str">
            <v>laboratorio</v>
          </cell>
          <cell r="J2685" t="str">
            <v>bueno</v>
          </cell>
          <cell r="K2685" t="str">
            <v>probsi</v>
          </cell>
        </row>
        <row r="2686">
          <cell r="B2686" t="b">
            <v>1</v>
          </cell>
          <cell r="E2686" t="str">
            <v>San Pedro y Libertad</v>
          </cell>
          <cell r="H2686" t="str">
            <v>laboratorio</v>
          </cell>
          <cell r="J2686" t="str">
            <v>bueno</v>
          </cell>
          <cell r="K2686" t="str">
            <v>defsi</v>
          </cell>
        </row>
        <row r="2687">
          <cell r="B2687" t="b">
            <v>1</v>
          </cell>
          <cell r="E2687" t="str">
            <v>San Pedro y Libertad</v>
          </cell>
          <cell r="H2687" t="str">
            <v>consulta_externa</v>
          </cell>
          <cell r="J2687" t="str">
            <v>bueno</v>
          </cell>
          <cell r="K2687" t="str">
            <v>defsi</v>
          </cell>
        </row>
        <row r="2688">
          <cell r="B2688" t="b">
            <v>1</v>
          </cell>
          <cell r="E2688" t="str">
            <v>San Pedro y Libertad</v>
          </cell>
          <cell r="H2688" t="str">
            <v>salud_oral</v>
          </cell>
          <cell r="J2688" t="str">
            <v>bueno</v>
          </cell>
          <cell r="K2688" t="str">
            <v>defsi</v>
          </cell>
        </row>
        <row r="2689">
          <cell r="B2689" t="b">
            <v>1</v>
          </cell>
          <cell r="E2689" t="str">
            <v>San Pedro y Libertad</v>
          </cell>
          <cell r="H2689" t="str">
            <v>laboratorio</v>
          </cell>
          <cell r="J2689" t="str">
            <v>bueno</v>
          </cell>
          <cell r="K2689" t="str">
            <v>defsi</v>
          </cell>
        </row>
        <row r="2690">
          <cell r="B2690" t="b">
            <v>1</v>
          </cell>
          <cell r="E2690" t="str">
            <v>San Pedro y Libertad</v>
          </cell>
          <cell r="H2690" t="str">
            <v>consulta_externa</v>
          </cell>
          <cell r="J2690" t="str">
            <v>bueno</v>
          </cell>
          <cell r="K2690" t="str">
            <v>defsi</v>
          </cell>
        </row>
        <row r="2691">
          <cell r="B2691" t="b">
            <v>1</v>
          </cell>
          <cell r="E2691" t="str">
            <v>San Pedro y Libertad</v>
          </cell>
          <cell r="H2691" t="str">
            <v>salud_oral</v>
          </cell>
          <cell r="J2691" t="str">
            <v>bueno</v>
          </cell>
          <cell r="K2691" t="str">
            <v>defsi</v>
          </cell>
        </row>
        <row r="2692">
          <cell r="B2692" t="b">
            <v>1</v>
          </cell>
          <cell r="E2692" t="str">
            <v>Los Cerros</v>
          </cell>
          <cell r="H2692" t="str">
            <v>consulta_externa</v>
          </cell>
          <cell r="J2692" t="str">
            <v>bueno</v>
          </cell>
          <cell r="K2692" t="str">
            <v>probsi</v>
          </cell>
        </row>
        <row r="2693">
          <cell r="B2693" t="b">
            <v>1</v>
          </cell>
          <cell r="E2693" t="str">
            <v>Los Cerros</v>
          </cell>
          <cell r="H2693" t="str">
            <v>consulta_externa</v>
          </cell>
          <cell r="J2693" t="str">
            <v>bueno</v>
          </cell>
          <cell r="K2693" t="str">
            <v>probsi</v>
          </cell>
        </row>
        <row r="2694">
          <cell r="B2694" t="b">
            <v>1</v>
          </cell>
          <cell r="E2694" t="str">
            <v>Los Cerros</v>
          </cell>
          <cell r="H2694" t="str">
            <v>consulta_externa</v>
          </cell>
          <cell r="J2694" t="str">
            <v>bueno</v>
          </cell>
          <cell r="K2694" t="str">
            <v>probsi</v>
          </cell>
        </row>
        <row r="2695">
          <cell r="B2695" t="b">
            <v>1</v>
          </cell>
          <cell r="E2695" t="str">
            <v>Los Cerros</v>
          </cell>
          <cell r="H2695" t="str">
            <v>consulta_externa</v>
          </cell>
          <cell r="J2695" t="str">
            <v>bueno</v>
          </cell>
          <cell r="K2695" t="str">
            <v>probsi</v>
          </cell>
        </row>
        <row r="2696">
          <cell r="B2696" t="b">
            <v>1</v>
          </cell>
          <cell r="E2696" t="str">
            <v>Los Cerros</v>
          </cell>
          <cell r="H2696" t="str">
            <v>laboratorio</v>
          </cell>
          <cell r="J2696" t="str">
            <v>bueno</v>
          </cell>
          <cell r="K2696" t="str">
            <v>probsi</v>
          </cell>
        </row>
        <row r="2697">
          <cell r="B2697" t="b">
            <v>1</v>
          </cell>
          <cell r="E2697" t="str">
            <v>Los Cerros</v>
          </cell>
          <cell r="H2697" t="str">
            <v>laboratorio</v>
          </cell>
          <cell r="J2697" t="str">
            <v>bueno</v>
          </cell>
          <cell r="K2697" t="str">
            <v>probsi</v>
          </cell>
        </row>
        <row r="2698">
          <cell r="B2698" t="b">
            <v>1</v>
          </cell>
          <cell r="E2698" t="str">
            <v>Los Cerros</v>
          </cell>
          <cell r="H2698" t="str">
            <v>laboratorio</v>
          </cell>
          <cell r="J2698" t="str">
            <v>bueno</v>
          </cell>
          <cell r="K2698" t="str">
            <v>probsi</v>
          </cell>
        </row>
        <row r="2699">
          <cell r="B2699" t="b">
            <v>1</v>
          </cell>
          <cell r="E2699" t="str">
            <v>Los Cerros</v>
          </cell>
          <cell r="H2699" t="str">
            <v>salud_oral</v>
          </cell>
          <cell r="J2699" t="str">
            <v>bueno</v>
          </cell>
          <cell r="K2699" t="str">
            <v>probsi</v>
          </cell>
        </row>
        <row r="2700">
          <cell r="B2700" t="b">
            <v>1</v>
          </cell>
          <cell r="E2700" t="str">
            <v>Los Cerros</v>
          </cell>
          <cell r="H2700" t="str">
            <v>salud_oral</v>
          </cell>
          <cell r="J2700" t="str">
            <v>bueno</v>
          </cell>
          <cell r="K2700" t="str">
            <v>probsi</v>
          </cell>
        </row>
        <row r="2701">
          <cell r="B2701" t="b">
            <v>1</v>
          </cell>
          <cell r="E2701" t="str">
            <v>Los Cerros</v>
          </cell>
          <cell r="H2701" t="str">
            <v>consulta_externa</v>
          </cell>
          <cell r="J2701" t="str">
            <v>bueno</v>
          </cell>
          <cell r="K2701" t="str">
            <v>probsi</v>
          </cell>
        </row>
        <row r="2702">
          <cell r="B2702" t="b">
            <v>1</v>
          </cell>
          <cell r="E2702" t="str">
            <v>Los Cerros</v>
          </cell>
          <cell r="H2702" t="str">
            <v>consulta_externa</v>
          </cell>
          <cell r="J2702" t="str">
            <v>bueno</v>
          </cell>
          <cell r="K2702" t="str">
            <v>probsi</v>
          </cell>
        </row>
        <row r="2703">
          <cell r="B2703" t="b">
            <v>1</v>
          </cell>
          <cell r="E2703" t="str">
            <v>Los Cerros</v>
          </cell>
          <cell r="H2703" t="str">
            <v>consulta_externa</v>
          </cell>
          <cell r="J2703" t="str">
            <v>bueno</v>
          </cell>
          <cell r="K2703" t="str">
            <v>probsi</v>
          </cell>
        </row>
        <row r="2704">
          <cell r="B2704" t="b">
            <v>1</v>
          </cell>
          <cell r="E2704" t="str">
            <v>Los Cerros</v>
          </cell>
          <cell r="H2704" t="str">
            <v>pediatria</v>
          </cell>
          <cell r="J2704" t="str">
            <v>bueno</v>
          </cell>
          <cell r="K2704" t="str">
            <v>probsi</v>
          </cell>
        </row>
        <row r="2705">
          <cell r="B2705" t="b">
            <v>1</v>
          </cell>
          <cell r="E2705" t="str">
            <v>Los Cerros</v>
          </cell>
          <cell r="H2705" t="str">
            <v>pediatria</v>
          </cell>
          <cell r="J2705" t="str">
            <v>bueno</v>
          </cell>
          <cell r="K2705" t="str">
            <v>probsi</v>
          </cell>
        </row>
        <row r="2706">
          <cell r="B2706" t="b">
            <v>1</v>
          </cell>
          <cell r="E2706" t="str">
            <v>Los Cerros</v>
          </cell>
          <cell r="H2706" t="str">
            <v>consulta_externa</v>
          </cell>
          <cell r="J2706" t="str">
            <v>bueno</v>
          </cell>
          <cell r="K2706" t="str">
            <v>probsi</v>
          </cell>
        </row>
        <row r="2707">
          <cell r="B2707" t="b">
            <v>1</v>
          </cell>
          <cell r="E2707" t="str">
            <v>Los Cerros</v>
          </cell>
          <cell r="H2707" t="str">
            <v>consulta_externa</v>
          </cell>
          <cell r="J2707" t="str">
            <v>bueno</v>
          </cell>
          <cell r="K2707" t="str">
            <v>probsi</v>
          </cell>
        </row>
        <row r="2708">
          <cell r="B2708" t="b">
            <v>1</v>
          </cell>
          <cell r="E2708" t="str">
            <v>Los Cerros</v>
          </cell>
          <cell r="H2708" t="str">
            <v>consulta_externa</v>
          </cell>
          <cell r="J2708" t="str">
            <v>bueno</v>
          </cell>
          <cell r="K2708" t="str">
            <v>probsi</v>
          </cell>
        </row>
        <row r="2709">
          <cell r="B2709" t="b">
            <v>1</v>
          </cell>
          <cell r="E2709" t="str">
            <v>Los Cerros</v>
          </cell>
          <cell r="H2709" t="str">
            <v>laboratorio</v>
          </cell>
          <cell r="J2709" t="str">
            <v>bueno</v>
          </cell>
          <cell r="K2709" t="str">
            <v>probsi</v>
          </cell>
        </row>
        <row r="2710">
          <cell r="B2710" t="b">
            <v>1</v>
          </cell>
          <cell r="E2710" t="str">
            <v>Los Cerros</v>
          </cell>
          <cell r="H2710" t="str">
            <v>laboratorio</v>
          </cell>
          <cell r="J2710" t="str">
            <v>bueno</v>
          </cell>
          <cell r="K2710" t="str">
            <v>probsi</v>
          </cell>
        </row>
        <row r="2711">
          <cell r="B2711" t="b">
            <v>1</v>
          </cell>
          <cell r="E2711" t="str">
            <v>Los Cerros</v>
          </cell>
          <cell r="H2711" t="str">
            <v>salud_oral</v>
          </cell>
          <cell r="J2711" t="str">
            <v>bueno</v>
          </cell>
          <cell r="K2711" t="str">
            <v>probsi</v>
          </cell>
        </row>
        <row r="2712">
          <cell r="B2712" t="b">
            <v>1</v>
          </cell>
          <cell r="E2712" t="str">
            <v>Los Cerros</v>
          </cell>
          <cell r="H2712" t="str">
            <v>salud_oral</v>
          </cell>
          <cell r="J2712" t="str">
            <v>bueno</v>
          </cell>
          <cell r="K2712" t="str">
            <v>probsi</v>
          </cell>
        </row>
        <row r="2713">
          <cell r="B2713" t="b">
            <v>1</v>
          </cell>
          <cell r="E2713" t="str">
            <v>Los Cerros</v>
          </cell>
          <cell r="H2713" t="str">
            <v>salud_oral</v>
          </cell>
          <cell r="J2713" t="str">
            <v>bueno</v>
          </cell>
          <cell r="K2713" t="str">
            <v>probsi</v>
          </cell>
        </row>
        <row r="2714">
          <cell r="B2714" t="b">
            <v>1</v>
          </cell>
          <cell r="E2714" t="str">
            <v>Los Cerros</v>
          </cell>
          <cell r="H2714" t="str">
            <v>consulta_externa</v>
          </cell>
          <cell r="J2714" t="str">
            <v>bueno</v>
          </cell>
          <cell r="K2714" t="str">
            <v>probsi</v>
          </cell>
        </row>
        <row r="2715">
          <cell r="B2715" t="b">
            <v>1</v>
          </cell>
          <cell r="E2715" t="str">
            <v>Los Cerros</v>
          </cell>
          <cell r="H2715" t="str">
            <v>consulta_externa</v>
          </cell>
          <cell r="J2715" t="str">
            <v>bueno</v>
          </cell>
          <cell r="K2715" t="str">
            <v>probsi</v>
          </cell>
        </row>
        <row r="2716">
          <cell r="B2716" t="b">
            <v>1</v>
          </cell>
          <cell r="E2716" t="str">
            <v>Los Cerros</v>
          </cell>
          <cell r="H2716" t="str">
            <v>laboratorio</v>
          </cell>
          <cell r="J2716" t="str">
            <v>bueno</v>
          </cell>
          <cell r="K2716" t="str">
            <v>probsi</v>
          </cell>
        </row>
        <row r="2717">
          <cell r="B2717" t="b">
            <v>1</v>
          </cell>
          <cell r="E2717" t="str">
            <v>Los Cerros</v>
          </cell>
          <cell r="H2717" t="str">
            <v>laboratorio</v>
          </cell>
          <cell r="J2717" t="str">
            <v>bueno</v>
          </cell>
          <cell r="K2717" t="str">
            <v>probsi</v>
          </cell>
        </row>
        <row r="2718">
          <cell r="B2718" t="b">
            <v>1</v>
          </cell>
          <cell r="E2718" t="str">
            <v>Los Cerros</v>
          </cell>
          <cell r="H2718" t="str">
            <v>ecografias</v>
          </cell>
          <cell r="J2718" t="str">
            <v>bueno</v>
          </cell>
          <cell r="K2718" t="str">
            <v>probsi</v>
          </cell>
        </row>
        <row r="2719">
          <cell r="B2719" t="b">
            <v>1</v>
          </cell>
          <cell r="E2719" t="str">
            <v>Los Cerros</v>
          </cell>
          <cell r="H2719" t="str">
            <v>ecografias</v>
          </cell>
          <cell r="J2719" t="str">
            <v>bueno</v>
          </cell>
          <cell r="K2719" t="str">
            <v>probsi</v>
          </cell>
        </row>
        <row r="2720">
          <cell r="B2720" t="b">
            <v>1</v>
          </cell>
          <cell r="E2720" t="str">
            <v>Los Cerros</v>
          </cell>
          <cell r="H2720" t="str">
            <v>ecografias</v>
          </cell>
          <cell r="J2720" t="str">
            <v>bueno</v>
          </cell>
          <cell r="K2720" t="str">
            <v>probsi</v>
          </cell>
        </row>
        <row r="2721">
          <cell r="B2721" t="b">
            <v>1</v>
          </cell>
          <cell r="E2721" t="str">
            <v>Los Cerros</v>
          </cell>
          <cell r="H2721" t="str">
            <v>ecografias</v>
          </cell>
          <cell r="J2721" t="str">
            <v>bueno</v>
          </cell>
          <cell r="K2721" t="str">
            <v>probsi</v>
          </cell>
        </row>
        <row r="2722">
          <cell r="B2722" t="b">
            <v>1</v>
          </cell>
          <cell r="E2722" t="str">
            <v>Los Cerros</v>
          </cell>
          <cell r="H2722" t="str">
            <v>medicina_interna</v>
          </cell>
          <cell r="J2722" t="str">
            <v>bueno</v>
          </cell>
          <cell r="K2722" t="str">
            <v>probsi</v>
          </cell>
        </row>
        <row r="2723">
          <cell r="B2723" t="b">
            <v>1</v>
          </cell>
          <cell r="E2723" t="str">
            <v>Los Cerros</v>
          </cell>
          <cell r="H2723" t="str">
            <v>medicina_interna</v>
          </cell>
          <cell r="J2723" t="str">
            <v>bueno</v>
          </cell>
          <cell r="K2723" t="str">
            <v>probsi</v>
          </cell>
        </row>
        <row r="2724">
          <cell r="B2724" t="b">
            <v>1</v>
          </cell>
          <cell r="E2724" t="str">
            <v>Los Cerros</v>
          </cell>
          <cell r="H2724" t="str">
            <v>pediatria</v>
          </cell>
          <cell r="J2724" t="str">
            <v>bueno</v>
          </cell>
          <cell r="K2724" t="str">
            <v>probsi</v>
          </cell>
        </row>
        <row r="2725">
          <cell r="B2725" t="b">
            <v>1</v>
          </cell>
          <cell r="E2725" t="str">
            <v>Los Cerros</v>
          </cell>
          <cell r="H2725" t="str">
            <v>pediatria</v>
          </cell>
          <cell r="J2725" t="str">
            <v>bueno</v>
          </cell>
          <cell r="K2725" t="str">
            <v>probsi</v>
          </cell>
        </row>
        <row r="2726">
          <cell r="B2726" t="b">
            <v>1</v>
          </cell>
          <cell r="E2726" t="str">
            <v>Los Cerros</v>
          </cell>
          <cell r="H2726" t="str">
            <v>pediatria</v>
          </cell>
          <cell r="J2726" t="str">
            <v>bueno</v>
          </cell>
          <cell r="K2726" t="str">
            <v>probsi</v>
          </cell>
        </row>
        <row r="2727">
          <cell r="B2727" t="b">
            <v>1</v>
          </cell>
          <cell r="E2727" t="str">
            <v>Los Cerros</v>
          </cell>
          <cell r="H2727" t="str">
            <v>consulta_externa</v>
          </cell>
          <cell r="J2727" t="str">
            <v>bueno</v>
          </cell>
          <cell r="K2727" t="str">
            <v>probsi</v>
          </cell>
        </row>
        <row r="2728">
          <cell r="B2728" t="b">
            <v>1</v>
          </cell>
          <cell r="E2728" t="str">
            <v>Los Cerros</v>
          </cell>
          <cell r="H2728" t="str">
            <v>consulta_externa</v>
          </cell>
          <cell r="J2728" t="str">
            <v>bueno</v>
          </cell>
          <cell r="K2728" t="str">
            <v>probsi</v>
          </cell>
        </row>
        <row r="2729">
          <cell r="B2729" t="b">
            <v>1</v>
          </cell>
          <cell r="E2729" t="str">
            <v>San Pedro y Libertad</v>
          </cell>
          <cell r="H2729" t="str">
            <v>laboratorio</v>
          </cell>
          <cell r="J2729" t="str">
            <v>bueno</v>
          </cell>
          <cell r="K2729" t="str">
            <v>defsi</v>
          </cell>
        </row>
        <row r="2730">
          <cell r="B2730" t="b">
            <v>1</v>
          </cell>
          <cell r="E2730" t="str">
            <v>Los Cerros</v>
          </cell>
          <cell r="H2730" t="str">
            <v>laboratorio</v>
          </cell>
          <cell r="J2730" t="str">
            <v>bueno</v>
          </cell>
          <cell r="K2730" t="str">
            <v>probsi</v>
          </cell>
        </row>
        <row r="2731">
          <cell r="B2731" t="b">
            <v>1</v>
          </cell>
          <cell r="E2731" t="str">
            <v>Los Cerros</v>
          </cell>
          <cell r="H2731" t="str">
            <v>laboratorio</v>
          </cell>
          <cell r="J2731" t="str">
            <v>bueno</v>
          </cell>
          <cell r="K2731" t="str">
            <v>probsi</v>
          </cell>
        </row>
        <row r="2732">
          <cell r="B2732" t="b">
            <v>1</v>
          </cell>
          <cell r="E2732" t="str">
            <v>Los Cerros</v>
          </cell>
          <cell r="H2732" t="str">
            <v>ginecologia</v>
          </cell>
          <cell r="J2732" t="str">
            <v>bueno</v>
          </cell>
          <cell r="K2732" t="str">
            <v>probsi</v>
          </cell>
        </row>
        <row r="2733">
          <cell r="B2733" t="b">
            <v>1</v>
          </cell>
          <cell r="E2733" t="str">
            <v>Los Cerros</v>
          </cell>
          <cell r="H2733" t="str">
            <v>ginecologia</v>
          </cell>
          <cell r="J2733" t="str">
            <v>bueno</v>
          </cell>
          <cell r="K2733" t="str">
            <v>probsi</v>
          </cell>
        </row>
        <row r="2734">
          <cell r="B2734" t="b">
            <v>1</v>
          </cell>
          <cell r="E2734" t="str">
            <v>Los Cerros</v>
          </cell>
          <cell r="H2734" t="str">
            <v>ginecologia</v>
          </cell>
          <cell r="J2734" t="str">
            <v>bueno</v>
          </cell>
          <cell r="K2734" t="str">
            <v>probsi</v>
          </cell>
        </row>
        <row r="2735">
          <cell r="B2735" t="b">
            <v>1</v>
          </cell>
          <cell r="E2735" t="str">
            <v>Los Cerros</v>
          </cell>
          <cell r="H2735" t="str">
            <v>ginecologia</v>
          </cell>
          <cell r="J2735" t="str">
            <v>bueno</v>
          </cell>
          <cell r="K2735" t="str">
            <v>probsi</v>
          </cell>
        </row>
        <row r="2736">
          <cell r="B2736" t="b">
            <v>1</v>
          </cell>
          <cell r="E2736" t="str">
            <v>Los Cerros</v>
          </cell>
          <cell r="H2736" t="str">
            <v>laboratorio</v>
          </cell>
          <cell r="J2736" t="str">
            <v>bueno</v>
          </cell>
          <cell r="K2736" t="str">
            <v>probsi</v>
          </cell>
        </row>
        <row r="2737">
          <cell r="B2737" t="b">
            <v>1</v>
          </cell>
          <cell r="E2737" t="str">
            <v>Los Cerros</v>
          </cell>
          <cell r="H2737" t="str">
            <v>laboratorio</v>
          </cell>
          <cell r="J2737" t="str">
            <v>bueno</v>
          </cell>
          <cell r="K2737" t="str">
            <v>probsi</v>
          </cell>
        </row>
        <row r="2738">
          <cell r="B2738" t="b">
            <v>1</v>
          </cell>
          <cell r="E2738" t="str">
            <v>Los Cerros</v>
          </cell>
          <cell r="H2738" t="str">
            <v>consulta_externa</v>
          </cell>
          <cell r="J2738" t="str">
            <v>bueno</v>
          </cell>
          <cell r="K2738" t="str">
            <v>probsi</v>
          </cell>
        </row>
        <row r="2739">
          <cell r="B2739" t="b">
            <v>1</v>
          </cell>
          <cell r="E2739" t="str">
            <v>Los Cerros</v>
          </cell>
          <cell r="H2739" t="str">
            <v>consulta_externa</v>
          </cell>
          <cell r="J2739" t="str">
            <v>bueno</v>
          </cell>
          <cell r="K2739" t="str">
            <v>probsi</v>
          </cell>
        </row>
        <row r="2740">
          <cell r="B2740" t="b">
            <v>1</v>
          </cell>
          <cell r="E2740" t="str">
            <v>Los Cerros</v>
          </cell>
          <cell r="H2740" t="str">
            <v>consulta_externa</v>
          </cell>
          <cell r="J2740" t="str">
            <v>bueno</v>
          </cell>
          <cell r="K2740" t="str">
            <v>probsi</v>
          </cell>
        </row>
        <row r="2741">
          <cell r="B2741" t="b">
            <v>1</v>
          </cell>
          <cell r="E2741" t="str">
            <v>Los Cerros</v>
          </cell>
          <cell r="H2741" t="str">
            <v>laboratorio</v>
          </cell>
          <cell r="J2741" t="str">
            <v>bueno</v>
          </cell>
          <cell r="K2741" t="str">
            <v>probsi</v>
          </cell>
        </row>
        <row r="2742">
          <cell r="B2742" t="b">
            <v>1</v>
          </cell>
          <cell r="E2742" t="str">
            <v>Los Cerros</v>
          </cell>
          <cell r="H2742" t="str">
            <v>laboratorio</v>
          </cell>
          <cell r="J2742" t="str">
            <v>bueno</v>
          </cell>
          <cell r="K2742" t="str">
            <v>probsi</v>
          </cell>
        </row>
        <row r="2743">
          <cell r="B2743" t="b">
            <v>1</v>
          </cell>
          <cell r="E2743" t="str">
            <v>Los Cerros</v>
          </cell>
          <cell r="H2743" t="str">
            <v>salud_oral</v>
          </cell>
          <cell r="J2743" t="str">
            <v>bueno</v>
          </cell>
          <cell r="K2743" t="str">
            <v>probsi</v>
          </cell>
        </row>
        <row r="2744">
          <cell r="B2744" t="b">
            <v>1</v>
          </cell>
          <cell r="E2744" t="str">
            <v>Los Cerros</v>
          </cell>
          <cell r="H2744" t="str">
            <v>salud_oral</v>
          </cell>
          <cell r="J2744" t="str">
            <v>bueno</v>
          </cell>
          <cell r="K2744" t="str">
            <v>probsi</v>
          </cell>
        </row>
        <row r="2745">
          <cell r="B2745" t="b">
            <v>1</v>
          </cell>
          <cell r="E2745" t="str">
            <v>Los Cerros</v>
          </cell>
          <cell r="H2745" t="str">
            <v>salud_oral</v>
          </cell>
          <cell r="J2745" t="str">
            <v>bueno</v>
          </cell>
          <cell r="K2745" t="str">
            <v>probsi</v>
          </cell>
        </row>
        <row r="2746">
          <cell r="B2746" t="b">
            <v>1</v>
          </cell>
          <cell r="E2746" t="str">
            <v>Los Cerros</v>
          </cell>
          <cell r="H2746" t="str">
            <v>salud_oral</v>
          </cell>
          <cell r="J2746" t="str">
            <v>bueno</v>
          </cell>
          <cell r="K2746" t="str">
            <v>probsi</v>
          </cell>
        </row>
        <row r="2747">
          <cell r="B2747" t="b">
            <v>1</v>
          </cell>
          <cell r="E2747" t="str">
            <v>Los Cerros</v>
          </cell>
          <cell r="H2747" t="str">
            <v>salud_oral</v>
          </cell>
          <cell r="J2747" t="str">
            <v>bueno</v>
          </cell>
          <cell r="K2747" t="str">
            <v>probsi</v>
          </cell>
        </row>
        <row r="2748">
          <cell r="B2748" t="b">
            <v>1</v>
          </cell>
          <cell r="E2748" t="str">
            <v>Los Cerros</v>
          </cell>
          <cell r="H2748" t="str">
            <v>salud_oral</v>
          </cell>
          <cell r="J2748" t="str">
            <v>bueno</v>
          </cell>
          <cell r="K2748" t="str">
            <v>probsi</v>
          </cell>
        </row>
        <row r="2749">
          <cell r="B2749" t="b">
            <v>1</v>
          </cell>
          <cell r="E2749" t="str">
            <v>Los Cerros</v>
          </cell>
          <cell r="H2749" t="str">
            <v>consulta_externa</v>
          </cell>
          <cell r="J2749" t="str">
            <v>bueno</v>
          </cell>
          <cell r="K2749" t="str">
            <v>probsi</v>
          </cell>
        </row>
        <row r="2750">
          <cell r="B2750" t="b">
            <v>1</v>
          </cell>
          <cell r="E2750" t="str">
            <v>Los Cerros</v>
          </cell>
          <cell r="H2750" t="str">
            <v>salud_oral</v>
          </cell>
          <cell r="J2750" t="str">
            <v>bueno</v>
          </cell>
          <cell r="K2750" t="str">
            <v>probsi</v>
          </cell>
        </row>
        <row r="2751">
          <cell r="B2751" t="b">
            <v>1</v>
          </cell>
          <cell r="E2751" t="str">
            <v>Nuevo Porvenir</v>
          </cell>
          <cell r="H2751" t="str">
            <v>consulta_externa</v>
          </cell>
          <cell r="J2751" t="str">
            <v>bueno</v>
          </cell>
          <cell r="K2751" t="str">
            <v>probsi</v>
          </cell>
        </row>
        <row r="2752">
          <cell r="B2752" t="b">
            <v>1</v>
          </cell>
          <cell r="E2752" t="str">
            <v>Nuevo Porvenir</v>
          </cell>
          <cell r="H2752" t="str">
            <v>consulta_externa</v>
          </cell>
          <cell r="J2752" t="str">
            <v>bueno</v>
          </cell>
          <cell r="K2752" t="str">
            <v>probsi</v>
          </cell>
        </row>
        <row r="2753">
          <cell r="B2753" t="b">
            <v>1</v>
          </cell>
          <cell r="E2753" t="str">
            <v>Nuevo Porvenir</v>
          </cell>
          <cell r="H2753" t="str">
            <v>laboratorio</v>
          </cell>
          <cell r="J2753" t="str">
            <v>bueno</v>
          </cell>
          <cell r="K2753" t="str">
            <v>probsi</v>
          </cell>
        </row>
        <row r="2754">
          <cell r="B2754" t="b">
            <v>1</v>
          </cell>
          <cell r="E2754" t="str">
            <v>Nuevo Porvenir</v>
          </cell>
          <cell r="H2754" t="str">
            <v>laboratorio</v>
          </cell>
          <cell r="J2754" t="str">
            <v>bueno</v>
          </cell>
          <cell r="K2754" t="str">
            <v>probsi</v>
          </cell>
        </row>
        <row r="2755">
          <cell r="B2755" t="b">
            <v>1</v>
          </cell>
          <cell r="E2755" t="str">
            <v>Nuevo Porvenir</v>
          </cell>
          <cell r="H2755" t="str">
            <v>laboratorio</v>
          </cell>
          <cell r="J2755" t="str">
            <v>bueno</v>
          </cell>
          <cell r="K2755" t="str">
            <v>probsi</v>
          </cell>
        </row>
        <row r="2756">
          <cell r="B2756" t="b">
            <v>1</v>
          </cell>
          <cell r="E2756" t="str">
            <v>Nuevo Porvenir</v>
          </cell>
          <cell r="H2756" t="str">
            <v>salud_oral</v>
          </cell>
          <cell r="J2756" t="str">
            <v>bueno</v>
          </cell>
          <cell r="K2756" t="str">
            <v>probsi</v>
          </cell>
        </row>
        <row r="2757">
          <cell r="B2757" t="b">
            <v>1</v>
          </cell>
          <cell r="E2757" t="str">
            <v>Nuevo Porvenir</v>
          </cell>
          <cell r="H2757" t="str">
            <v>salud_oral</v>
          </cell>
          <cell r="J2757" t="str">
            <v>bueno</v>
          </cell>
          <cell r="K2757" t="str">
            <v>probsi</v>
          </cell>
        </row>
        <row r="2758">
          <cell r="B2758" t="b">
            <v>1</v>
          </cell>
          <cell r="E2758" t="str">
            <v>Nuevo Porvenir</v>
          </cell>
          <cell r="H2758" t="str">
            <v>salud_oral</v>
          </cell>
          <cell r="J2758" t="str">
            <v>bueno</v>
          </cell>
          <cell r="K2758" t="str">
            <v>probsi</v>
          </cell>
        </row>
        <row r="2759">
          <cell r="B2759" t="b">
            <v>1</v>
          </cell>
          <cell r="E2759" t="str">
            <v>Nuevo Porvenir</v>
          </cell>
          <cell r="H2759" t="str">
            <v>consulta_externa</v>
          </cell>
          <cell r="J2759" t="str">
            <v>bueno</v>
          </cell>
          <cell r="K2759" t="str">
            <v>probsi</v>
          </cell>
        </row>
        <row r="2760">
          <cell r="B2760" t="b">
            <v>1</v>
          </cell>
          <cell r="E2760" t="str">
            <v>Nuevo Porvenir</v>
          </cell>
          <cell r="H2760" t="str">
            <v>consulta_externa</v>
          </cell>
          <cell r="J2760" t="str">
            <v>bueno</v>
          </cell>
          <cell r="K2760" t="str">
            <v>probsi</v>
          </cell>
        </row>
        <row r="2761">
          <cell r="B2761" t="b">
            <v>1</v>
          </cell>
          <cell r="E2761" t="str">
            <v>Nuevo Porvenir</v>
          </cell>
          <cell r="H2761" t="str">
            <v>salud_oral</v>
          </cell>
          <cell r="J2761" t="str">
            <v>bueno</v>
          </cell>
          <cell r="K2761" t="str">
            <v>probsi</v>
          </cell>
        </row>
        <row r="2762">
          <cell r="B2762" t="b">
            <v>1</v>
          </cell>
          <cell r="E2762" t="str">
            <v>Nuevo Porvenir</v>
          </cell>
          <cell r="H2762" t="str">
            <v>salud_oral</v>
          </cell>
          <cell r="J2762" t="str">
            <v>bueno</v>
          </cell>
          <cell r="K2762" t="str">
            <v>probsi</v>
          </cell>
        </row>
        <row r="2763">
          <cell r="B2763" t="b">
            <v>1</v>
          </cell>
          <cell r="E2763" t="str">
            <v>Nuevo Porvenir</v>
          </cell>
          <cell r="H2763" t="str">
            <v>laboratorio</v>
          </cell>
          <cell r="J2763" t="str">
            <v>bueno</v>
          </cell>
          <cell r="K2763" t="str">
            <v>probsi</v>
          </cell>
        </row>
        <row r="2764">
          <cell r="B2764" t="b">
            <v>1</v>
          </cell>
          <cell r="E2764" t="str">
            <v>Nuevo Porvenir</v>
          </cell>
          <cell r="H2764" t="str">
            <v>laboratorio</v>
          </cell>
          <cell r="J2764" t="str">
            <v>bueno</v>
          </cell>
          <cell r="K2764" t="str">
            <v>probsi</v>
          </cell>
        </row>
        <row r="2765">
          <cell r="B2765" t="b">
            <v>1</v>
          </cell>
          <cell r="E2765" t="str">
            <v>Foco Rojo</v>
          </cell>
          <cell r="H2765" t="str">
            <v>consulta_externa</v>
          </cell>
          <cell r="J2765" t="str">
            <v>bueno</v>
          </cell>
          <cell r="K2765" t="str">
            <v>defsi</v>
          </cell>
        </row>
        <row r="2766">
          <cell r="B2766" t="b">
            <v>0</v>
          </cell>
          <cell r="E2766" t="str">
            <v>Candelaria</v>
          </cell>
          <cell r="H2766" t="str">
            <v>urgencia</v>
          </cell>
          <cell r="J2766" t="str">
            <v>regular</v>
          </cell>
          <cell r="K2766" t="str">
            <v>probsi</v>
          </cell>
        </row>
        <row r="2767">
          <cell r="B2767" t="b">
            <v>1</v>
          </cell>
          <cell r="E2767" t="str">
            <v>Candelaria</v>
          </cell>
          <cell r="H2767" t="str">
            <v>consulta_externa</v>
          </cell>
          <cell r="J2767" t="str">
            <v>bueno</v>
          </cell>
          <cell r="K2767" t="str">
            <v>defsi</v>
          </cell>
        </row>
        <row r="2768">
          <cell r="B2768" t="b">
            <v>1</v>
          </cell>
          <cell r="E2768" t="str">
            <v>Candelaria</v>
          </cell>
          <cell r="H2768" t="str">
            <v>consulta_externa</v>
          </cell>
          <cell r="J2768" t="str">
            <v>bueno</v>
          </cell>
          <cell r="K2768" t="str">
            <v>defsi</v>
          </cell>
        </row>
        <row r="2769">
          <cell r="B2769" t="b">
            <v>1</v>
          </cell>
          <cell r="E2769" t="str">
            <v>Candelaria</v>
          </cell>
          <cell r="H2769" t="str">
            <v>consulta_externa</v>
          </cell>
          <cell r="J2769" t="str">
            <v>bueno</v>
          </cell>
          <cell r="K2769" t="str">
            <v>defsi</v>
          </cell>
        </row>
        <row r="2770">
          <cell r="B2770" t="b">
            <v>1</v>
          </cell>
          <cell r="E2770" t="str">
            <v>Candelaria</v>
          </cell>
          <cell r="H2770" t="str">
            <v>laboratorio</v>
          </cell>
          <cell r="J2770" t="str">
            <v>bueno</v>
          </cell>
          <cell r="K2770" t="str">
            <v>defsi</v>
          </cell>
        </row>
        <row r="2771">
          <cell r="B2771" t="b">
            <v>1</v>
          </cell>
          <cell r="E2771" t="str">
            <v>Candelaria</v>
          </cell>
          <cell r="H2771" t="str">
            <v>consulta_externa</v>
          </cell>
          <cell r="J2771" t="str">
            <v>bueno</v>
          </cell>
          <cell r="K2771" t="str">
            <v>defsi</v>
          </cell>
        </row>
        <row r="2772">
          <cell r="B2772" t="b">
            <v>1</v>
          </cell>
          <cell r="E2772" t="str">
            <v>Candelaria</v>
          </cell>
          <cell r="H2772" t="str">
            <v>consulta_externa</v>
          </cell>
          <cell r="J2772" t="str">
            <v>bueno</v>
          </cell>
          <cell r="K2772" t="str">
            <v>defsi</v>
          </cell>
        </row>
        <row r="2773">
          <cell r="B2773" t="b">
            <v>1</v>
          </cell>
          <cell r="E2773" t="str">
            <v>Candelaria</v>
          </cell>
          <cell r="H2773" t="str">
            <v>laboratorio</v>
          </cell>
          <cell r="J2773" t="str">
            <v>bueno</v>
          </cell>
          <cell r="K2773" t="str">
            <v>defsi</v>
          </cell>
        </row>
        <row r="2774">
          <cell r="B2774" t="b">
            <v>1</v>
          </cell>
          <cell r="E2774" t="str">
            <v>Candelaria</v>
          </cell>
          <cell r="H2774" t="str">
            <v>consulta_externa</v>
          </cell>
          <cell r="J2774" t="str">
            <v>bueno</v>
          </cell>
          <cell r="K2774" t="str">
            <v>defsi</v>
          </cell>
        </row>
        <row r="2775">
          <cell r="B2775" t="b">
            <v>1</v>
          </cell>
          <cell r="E2775" t="str">
            <v>Candelaria</v>
          </cell>
          <cell r="H2775" t="str">
            <v>consulta_externa</v>
          </cell>
          <cell r="J2775" t="str">
            <v>bueno</v>
          </cell>
          <cell r="K2775" t="str">
            <v>defsi</v>
          </cell>
        </row>
        <row r="2776">
          <cell r="B2776" t="b">
            <v>1</v>
          </cell>
          <cell r="E2776" t="str">
            <v>Candelaria</v>
          </cell>
          <cell r="H2776" t="str">
            <v>laboratorio</v>
          </cell>
          <cell r="J2776" t="str">
            <v>bueno</v>
          </cell>
          <cell r="K2776" t="str">
            <v>defsi</v>
          </cell>
        </row>
        <row r="2777">
          <cell r="B2777" t="b">
            <v>1</v>
          </cell>
          <cell r="E2777" t="str">
            <v>Candelaria</v>
          </cell>
          <cell r="H2777" t="str">
            <v>laboratorio</v>
          </cell>
          <cell r="J2777" t="str">
            <v>bueno</v>
          </cell>
          <cell r="K2777" t="str">
            <v>defsi</v>
          </cell>
        </row>
        <row r="2778">
          <cell r="B2778" t="b">
            <v>1</v>
          </cell>
          <cell r="E2778" t="str">
            <v>Candelaria</v>
          </cell>
          <cell r="H2778" t="str">
            <v>laboratorio</v>
          </cell>
          <cell r="J2778" t="str">
            <v>bueno</v>
          </cell>
          <cell r="K2778" t="str">
            <v>defsi</v>
          </cell>
        </row>
        <row r="2779">
          <cell r="B2779" t="b">
            <v>1</v>
          </cell>
          <cell r="E2779" t="str">
            <v>Candelaria</v>
          </cell>
          <cell r="H2779" t="str">
            <v>consulta_externa</v>
          </cell>
          <cell r="J2779" t="str">
            <v>muybueno</v>
          </cell>
          <cell r="K2779" t="str">
            <v>defsi</v>
          </cell>
        </row>
        <row r="2780">
          <cell r="B2780" t="b">
            <v>1</v>
          </cell>
          <cell r="E2780" t="str">
            <v>Candelaria</v>
          </cell>
          <cell r="H2780" t="str">
            <v>laboratorio</v>
          </cell>
          <cell r="J2780" t="str">
            <v>muybueno</v>
          </cell>
          <cell r="K2780" t="str">
            <v>defsi</v>
          </cell>
        </row>
        <row r="2781">
          <cell r="B2781" t="b">
            <v>1</v>
          </cell>
          <cell r="E2781" t="str">
            <v>Candelaria</v>
          </cell>
          <cell r="H2781" t="str">
            <v>salud_oral</v>
          </cell>
          <cell r="J2781" t="str">
            <v>bueno</v>
          </cell>
          <cell r="K2781" t="str">
            <v>defsi</v>
          </cell>
        </row>
        <row r="2782">
          <cell r="B2782" t="b">
            <v>1</v>
          </cell>
          <cell r="E2782" t="str">
            <v>Candelaria</v>
          </cell>
          <cell r="H2782" t="str">
            <v>salud_oral</v>
          </cell>
          <cell r="J2782" t="str">
            <v>bueno</v>
          </cell>
          <cell r="K2782" t="str">
            <v>defsi</v>
          </cell>
        </row>
        <row r="2783">
          <cell r="B2783" t="b">
            <v>1</v>
          </cell>
          <cell r="E2783" t="str">
            <v>Candelaria</v>
          </cell>
          <cell r="H2783" t="str">
            <v>consulta_externa</v>
          </cell>
          <cell r="J2783" t="str">
            <v>bueno</v>
          </cell>
          <cell r="K2783" t="str">
            <v>defsi</v>
          </cell>
        </row>
        <row r="2784">
          <cell r="B2784" t="b">
            <v>1</v>
          </cell>
          <cell r="E2784" t="str">
            <v>Candelaria</v>
          </cell>
          <cell r="H2784" t="str">
            <v>salud_oral</v>
          </cell>
          <cell r="J2784" t="str">
            <v>bueno</v>
          </cell>
          <cell r="K2784" t="str">
            <v>defsi</v>
          </cell>
        </row>
        <row r="2785">
          <cell r="B2785" t="b">
            <v>1</v>
          </cell>
          <cell r="E2785" t="str">
            <v>Candelaria</v>
          </cell>
          <cell r="H2785" t="str">
            <v>salud_oral</v>
          </cell>
          <cell r="J2785" t="str">
            <v>bueno</v>
          </cell>
          <cell r="K2785" t="str">
            <v>defsi</v>
          </cell>
        </row>
        <row r="2786">
          <cell r="B2786" t="b">
            <v>1</v>
          </cell>
          <cell r="E2786" t="str">
            <v>Candelaria</v>
          </cell>
          <cell r="H2786" t="str">
            <v>consulta_externa</v>
          </cell>
          <cell r="J2786" t="str">
            <v>bueno</v>
          </cell>
          <cell r="K2786" t="str">
            <v>defsi</v>
          </cell>
        </row>
        <row r="2787">
          <cell r="B2787" t="b">
            <v>1</v>
          </cell>
          <cell r="E2787" t="str">
            <v>Candelaria</v>
          </cell>
          <cell r="H2787" t="str">
            <v>laboratorio</v>
          </cell>
          <cell r="J2787" t="str">
            <v>bueno</v>
          </cell>
          <cell r="K2787" t="str">
            <v>defsi</v>
          </cell>
        </row>
        <row r="2788">
          <cell r="B2788" t="b">
            <v>1</v>
          </cell>
          <cell r="E2788" t="str">
            <v>Candelaria</v>
          </cell>
          <cell r="H2788" t="str">
            <v>medicina_interna</v>
          </cell>
          <cell r="J2788" t="str">
            <v>bueno</v>
          </cell>
          <cell r="K2788" t="str">
            <v>defsi</v>
          </cell>
        </row>
        <row r="2789">
          <cell r="B2789" t="b">
            <v>0</v>
          </cell>
          <cell r="E2789" t="str">
            <v>Candelaria</v>
          </cell>
          <cell r="H2789" t="str">
            <v>medicina_interna</v>
          </cell>
          <cell r="J2789" t="str">
            <v>regular</v>
          </cell>
          <cell r="K2789" t="str">
            <v>defsi</v>
          </cell>
        </row>
        <row r="2790">
          <cell r="B2790" t="b">
            <v>0</v>
          </cell>
          <cell r="E2790" t="str">
            <v>Candelaria</v>
          </cell>
          <cell r="H2790" t="str">
            <v>medicina_interna</v>
          </cell>
          <cell r="J2790" t="str">
            <v>regular</v>
          </cell>
          <cell r="K2790" t="str">
            <v>defsi</v>
          </cell>
        </row>
        <row r="2791">
          <cell r="B2791" t="b">
            <v>1</v>
          </cell>
          <cell r="E2791" t="str">
            <v>Candelaria</v>
          </cell>
          <cell r="H2791" t="str">
            <v>pediatria</v>
          </cell>
          <cell r="J2791" t="str">
            <v>bueno</v>
          </cell>
          <cell r="K2791" t="str">
            <v>defsi</v>
          </cell>
        </row>
        <row r="2792">
          <cell r="B2792" t="b">
            <v>1</v>
          </cell>
          <cell r="E2792" t="str">
            <v>Candelaria</v>
          </cell>
          <cell r="H2792" t="str">
            <v>pediatria</v>
          </cell>
          <cell r="J2792" t="str">
            <v>bueno</v>
          </cell>
          <cell r="K2792" t="str">
            <v>defsi</v>
          </cell>
        </row>
        <row r="2793">
          <cell r="B2793" t="b">
            <v>1</v>
          </cell>
          <cell r="E2793" t="str">
            <v>Candelaria</v>
          </cell>
          <cell r="H2793" t="str">
            <v>salud_oral</v>
          </cell>
          <cell r="J2793" t="str">
            <v>bueno</v>
          </cell>
          <cell r="K2793" t="str">
            <v>defsi</v>
          </cell>
        </row>
        <row r="2794">
          <cell r="B2794" t="b">
            <v>1</v>
          </cell>
          <cell r="E2794" t="str">
            <v>Candelaria</v>
          </cell>
          <cell r="H2794" t="str">
            <v>salud_oral</v>
          </cell>
          <cell r="J2794" t="str">
            <v>bueno</v>
          </cell>
          <cell r="K2794" t="str">
            <v>defsi</v>
          </cell>
        </row>
        <row r="2795">
          <cell r="B2795" t="b">
            <v>1</v>
          </cell>
          <cell r="E2795" t="str">
            <v>Candelaria</v>
          </cell>
          <cell r="H2795" t="str">
            <v>salud_oral</v>
          </cell>
          <cell r="J2795" t="str">
            <v>bueno</v>
          </cell>
          <cell r="K2795" t="str">
            <v>defsi</v>
          </cell>
        </row>
        <row r="2796">
          <cell r="B2796" t="b">
            <v>1</v>
          </cell>
          <cell r="E2796" t="str">
            <v>Candelaria</v>
          </cell>
          <cell r="H2796" t="str">
            <v>pediatria</v>
          </cell>
          <cell r="J2796" t="str">
            <v>bueno</v>
          </cell>
          <cell r="K2796" t="str">
            <v>defsi</v>
          </cell>
        </row>
        <row r="2797">
          <cell r="B2797" t="b">
            <v>1</v>
          </cell>
          <cell r="E2797" t="str">
            <v>Candelaria</v>
          </cell>
          <cell r="H2797" t="str">
            <v>pediatria</v>
          </cell>
          <cell r="J2797" t="str">
            <v>bueno</v>
          </cell>
          <cell r="K2797" t="str">
            <v>defsi</v>
          </cell>
        </row>
        <row r="2798">
          <cell r="B2798" t="b">
            <v>1</v>
          </cell>
          <cell r="E2798" t="str">
            <v>Candelaria</v>
          </cell>
          <cell r="H2798" t="str">
            <v>salud_oral</v>
          </cell>
          <cell r="J2798" t="str">
            <v>bueno</v>
          </cell>
          <cell r="K2798" t="str">
            <v>defsi</v>
          </cell>
        </row>
        <row r="2799">
          <cell r="B2799" t="b">
            <v>1</v>
          </cell>
          <cell r="E2799" t="str">
            <v>San Pedro y Libertad</v>
          </cell>
          <cell r="H2799" t="str">
            <v>consulta_externa</v>
          </cell>
          <cell r="J2799" t="str">
            <v>bueno</v>
          </cell>
          <cell r="K2799" t="str">
            <v>defsi</v>
          </cell>
        </row>
        <row r="2800">
          <cell r="B2800" t="b">
            <v>1</v>
          </cell>
          <cell r="E2800" t="str">
            <v>San Pedro y Libertad</v>
          </cell>
          <cell r="H2800" t="str">
            <v>salud_oral</v>
          </cell>
          <cell r="J2800" t="str">
            <v>bueno</v>
          </cell>
          <cell r="K2800" t="str">
            <v>defsi</v>
          </cell>
        </row>
        <row r="2801">
          <cell r="B2801" t="b">
            <v>1</v>
          </cell>
          <cell r="E2801" t="str">
            <v>Candelaria</v>
          </cell>
          <cell r="H2801" t="str">
            <v>urgencia</v>
          </cell>
          <cell r="J2801" t="str">
            <v>bueno</v>
          </cell>
          <cell r="K2801" t="str">
            <v>probsi</v>
          </cell>
        </row>
        <row r="2802">
          <cell r="B2802" t="b">
            <v>1</v>
          </cell>
          <cell r="E2802" t="str">
            <v>San Pedro y Libertad</v>
          </cell>
          <cell r="H2802" t="str">
            <v>laboratorio</v>
          </cell>
          <cell r="J2802" t="str">
            <v>bueno</v>
          </cell>
          <cell r="K2802" t="str">
            <v>defsi</v>
          </cell>
        </row>
        <row r="2803">
          <cell r="B2803" t="b">
            <v>1</v>
          </cell>
          <cell r="E2803" t="str">
            <v>Candelaria</v>
          </cell>
          <cell r="H2803" t="str">
            <v>electros</v>
          </cell>
          <cell r="J2803" t="str">
            <v>bueno</v>
          </cell>
          <cell r="K2803" t="str">
            <v>defsi</v>
          </cell>
        </row>
        <row r="2804">
          <cell r="B2804" t="b">
            <v>1</v>
          </cell>
          <cell r="E2804" t="str">
            <v>Candelaria</v>
          </cell>
          <cell r="H2804" t="str">
            <v>electros</v>
          </cell>
          <cell r="J2804" t="str">
            <v>bueno</v>
          </cell>
          <cell r="K2804" t="str">
            <v>defsi</v>
          </cell>
        </row>
        <row r="2805">
          <cell r="B2805" t="b">
            <v>1</v>
          </cell>
          <cell r="E2805" t="str">
            <v>San Pedro y Libertad</v>
          </cell>
          <cell r="H2805" t="str">
            <v>consulta_externa</v>
          </cell>
          <cell r="J2805" t="str">
            <v>bueno</v>
          </cell>
          <cell r="K2805" t="str">
            <v>defsi</v>
          </cell>
        </row>
        <row r="2806">
          <cell r="B2806" t="b">
            <v>1</v>
          </cell>
          <cell r="E2806" t="str">
            <v>San Pedro y Libertad</v>
          </cell>
          <cell r="H2806" t="str">
            <v>salud_oral</v>
          </cell>
          <cell r="J2806" t="str">
            <v>bueno</v>
          </cell>
          <cell r="K2806" t="str">
            <v>defsi</v>
          </cell>
        </row>
        <row r="2807">
          <cell r="B2807" t="b">
            <v>1</v>
          </cell>
          <cell r="E2807" t="str">
            <v>San Pedro y Libertad</v>
          </cell>
          <cell r="H2807" t="str">
            <v>laboratorio</v>
          </cell>
          <cell r="J2807" t="str">
            <v>bueno</v>
          </cell>
          <cell r="K2807" t="str">
            <v>defsi</v>
          </cell>
        </row>
        <row r="2808">
          <cell r="B2808" t="b">
            <v>1</v>
          </cell>
          <cell r="E2808" t="str">
            <v>San Pedro y Libertad</v>
          </cell>
          <cell r="H2808" t="str">
            <v>consulta_externa</v>
          </cell>
          <cell r="J2808" t="str">
            <v>bueno</v>
          </cell>
          <cell r="K2808" t="str">
            <v>defsi</v>
          </cell>
        </row>
        <row r="2809">
          <cell r="B2809" t="b">
            <v>1</v>
          </cell>
          <cell r="E2809" t="str">
            <v>San Pedro y Libertad</v>
          </cell>
          <cell r="H2809" t="str">
            <v>salud_oral</v>
          </cell>
          <cell r="J2809" t="str">
            <v>bueno</v>
          </cell>
          <cell r="K2809" t="str">
            <v>defsi</v>
          </cell>
        </row>
        <row r="2810">
          <cell r="B2810" t="b">
            <v>1</v>
          </cell>
          <cell r="E2810" t="str">
            <v>Santa Ana</v>
          </cell>
          <cell r="H2810" t="str">
            <v>consulta_externa</v>
          </cell>
          <cell r="J2810" t="str">
            <v>bueno</v>
          </cell>
          <cell r="K2810" t="str">
            <v>probsi</v>
          </cell>
        </row>
        <row r="2811">
          <cell r="B2811" t="b">
            <v>1</v>
          </cell>
          <cell r="E2811" t="str">
            <v>Santa Ana</v>
          </cell>
          <cell r="H2811" t="str">
            <v>consulta_externa</v>
          </cell>
          <cell r="J2811" t="str">
            <v>bueno</v>
          </cell>
          <cell r="K2811" t="str">
            <v>probsi</v>
          </cell>
        </row>
        <row r="2812">
          <cell r="B2812" t="b">
            <v>1</v>
          </cell>
          <cell r="E2812" t="str">
            <v>Santa Ana</v>
          </cell>
          <cell r="H2812" t="str">
            <v>consulta_externa</v>
          </cell>
          <cell r="J2812" t="str">
            <v>bueno</v>
          </cell>
          <cell r="K2812" t="str">
            <v>probsi</v>
          </cell>
        </row>
        <row r="2813">
          <cell r="B2813" t="b">
            <v>1</v>
          </cell>
          <cell r="E2813" t="str">
            <v>Santa Ana</v>
          </cell>
          <cell r="H2813" t="str">
            <v>consulta_externa</v>
          </cell>
          <cell r="J2813" t="str">
            <v>bueno</v>
          </cell>
          <cell r="K2813" t="str">
            <v>probsi</v>
          </cell>
        </row>
        <row r="2814">
          <cell r="B2814" t="b">
            <v>1</v>
          </cell>
          <cell r="E2814" t="str">
            <v>Santa Ana</v>
          </cell>
          <cell r="H2814" t="str">
            <v>consulta_externa</v>
          </cell>
          <cell r="J2814" t="str">
            <v>bueno</v>
          </cell>
          <cell r="K2814" t="str">
            <v>probsi</v>
          </cell>
        </row>
        <row r="2815">
          <cell r="B2815" t="b">
            <v>1</v>
          </cell>
          <cell r="E2815" t="str">
            <v>Santa Ana</v>
          </cell>
          <cell r="H2815" t="str">
            <v>consulta_externa</v>
          </cell>
          <cell r="J2815" t="str">
            <v>bueno</v>
          </cell>
          <cell r="K2815" t="str">
            <v>probsi</v>
          </cell>
        </row>
        <row r="2816">
          <cell r="B2816" t="b">
            <v>1</v>
          </cell>
          <cell r="E2816" t="str">
            <v>Santa Ana</v>
          </cell>
          <cell r="H2816" t="str">
            <v>consulta_externa</v>
          </cell>
          <cell r="J2816" t="str">
            <v>bueno</v>
          </cell>
          <cell r="K2816" t="str">
            <v>probsi</v>
          </cell>
        </row>
        <row r="2817">
          <cell r="B2817" t="b">
            <v>1</v>
          </cell>
          <cell r="E2817" t="str">
            <v>Santa Ana</v>
          </cell>
          <cell r="H2817" t="str">
            <v>laboratorio</v>
          </cell>
          <cell r="J2817" t="str">
            <v>bueno</v>
          </cell>
          <cell r="K2817" t="str">
            <v>probsi</v>
          </cell>
        </row>
        <row r="2818">
          <cell r="B2818" t="b">
            <v>1</v>
          </cell>
          <cell r="E2818" t="str">
            <v>Santa Ana</v>
          </cell>
          <cell r="H2818" t="str">
            <v>laboratorio</v>
          </cell>
          <cell r="J2818" t="str">
            <v>bueno</v>
          </cell>
          <cell r="K2818" t="str">
            <v>probsi</v>
          </cell>
        </row>
        <row r="2819">
          <cell r="B2819" t="b">
            <v>1</v>
          </cell>
          <cell r="E2819" t="str">
            <v>Santa Ana</v>
          </cell>
          <cell r="H2819" t="str">
            <v>salud_oral</v>
          </cell>
          <cell r="J2819" t="str">
            <v>bueno</v>
          </cell>
          <cell r="K2819" t="str">
            <v>probsi</v>
          </cell>
        </row>
        <row r="2820">
          <cell r="B2820" t="b">
            <v>1</v>
          </cell>
          <cell r="E2820" t="str">
            <v>Santa Ana</v>
          </cell>
          <cell r="H2820" t="str">
            <v>salud_oral</v>
          </cell>
          <cell r="J2820" t="str">
            <v>bueno</v>
          </cell>
          <cell r="K2820" t="str">
            <v>probsi</v>
          </cell>
        </row>
        <row r="2821">
          <cell r="B2821" t="b">
            <v>1</v>
          </cell>
          <cell r="E2821" t="str">
            <v>Santa Ana</v>
          </cell>
          <cell r="H2821" t="str">
            <v>salud_oral</v>
          </cell>
          <cell r="J2821" t="str">
            <v>bueno</v>
          </cell>
          <cell r="K2821" t="str">
            <v>probsi</v>
          </cell>
        </row>
        <row r="2822">
          <cell r="B2822" t="b">
            <v>1</v>
          </cell>
          <cell r="E2822" t="str">
            <v>Santa Ana</v>
          </cell>
          <cell r="H2822" t="str">
            <v>salud_oral</v>
          </cell>
          <cell r="J2822" t="str">
            <v>bueno</v>
          </cell>
          <cell r="K2822" t="str">
            <v>probsi</v>
          </cell>
        </row>
        <row r="2823">
          <cell r="B2823" t="b">
            <v>1</v>
          </cell>
          <cell r="E2823" t="str">
            <v>Santa Ana</v>
          </cell>
          <cell r="H2823" t="str">
            <v>salud_oral</v>
          </cell>
          <cell r="J2823" t="str">
            <v>bueno</v>
          </cell>
          <cell r="K2823" t="str">
            <v>probsi</v>
          </cell>
        </row>
        <row r="2824">
          <cell r="B2824" t="b">
            <v>1</v>
          </cell>
          <cell r="E2824" t="str">
            <v>Daniel Lemaitre</v>
          </cell>
          <cell r="H2824" t="str">
            <v>consulta_externa</v>
          </cell>
          <cell r="J2824" t="str">
            <v>bueno</v>
          </cell>
          <cell r="K2824" t="str">
            <v>defsi</v>
          </cell>
        </row>
        <row r="2825">
          <cell r="B2825" t="b">
            <v>1</v>
          </cell>
          <cell r="E2825" t="str">
            <v>Santa Ana</v>
          </cell>
          <cell r="H2825" t="str">
            <v>salud_oral</v>
          </cell>
          <cell r="J2825" t="str">
            <v>bueno</v>
          </cell>
          <cell r="K2825" t="str">
            <v>probsi</v>
          </cell>
        </row>
        <row r="2826">
          <cell r="B2826" t="b">
            <v>1</v>
          </cell>
          <cell r="E2826" t="str">
            <v>Santa Ana</v>
          </cell>
          <cell r="H2826" t="str">
            <v>salud_oral</v>
          </cell>
          <cell r="J2826" t="str">
            <v>bueno</v>
          </cell>
          <cell r="K2826" t="str">
            <v>probsi</v>
          </cell>
        </row>
        <row r="2827">
          <cell r="B2827" t="b">
            <v>1</v>
          </cell>
          <cell r="E2827" t="str">
            <v>Santa Ana</v>
          </cell>
          <cell r="H2827" t="str">
            <v>consulta_externa</v>
          </cell>
          <cell r="J2827" t="str">
            <v>bueno</v>
          </cell>
          <cell r="K2827" t="str">
            <v>probsi</v>
          </cell>
        </row>
        <row r="2828">
          <cell r="B2828" t="b">
            <v>1</v>
          </cell>
          <cell r="E2828" t="str">
            <v>Santa Ana</v>
          </cell>
          <cell r="H2828" t="str">
            <v>consulta_externa</v>
          </cell>
          <cell r="J2828" t="str">
            <v>bueno</v>
          </cell>
          <cell r="K2828" t="str">
            <v>probsi</v>
          </cell>
        </row>
        <row r="2829">
          <cell r="B2829" t="b">
            <v>1</v>
          </cell>
          <cell r="E2829" t="str">
            <v>Daniel Lemaitre</v>
          </cell>
          <cell r="H2829" t="str">
            <v>consulta_externa</v>
          </cell>
          <cell r="J2829" t="str">
            <v>bueno</v>
          </cell>
          <cell r="K2829" t="str">
            <v>defsi</v>
          </cell>
        </row>
        <row r="2830">
          <cell r="B2830" t="b">
            <v>1</v>
          </cell>
          <cell r="E2830" t="str">
            <v>Santa Ana</v>
          </cell>
          <cell r="H2830" t="str">
            <v>consulta_externa</v>
          </cell>
          <cell r="J2830" t="str">
            <v>bueno</v>
          </cell>
          <cell r="K2830" t="str">
            <v>probsi</v>
          </cell>
        </row>
        <row r="2831">
          <cell r="B2831" t="b">
            <v>1</v>
          </cell>
          <cell r="E2831" t="str">
            <v>Santa Ana</v>
          </cell>
          <cell r="H2831" t="str">
            <v>consulta_externa</v>
          </cell>
          <cell r="J2831" t="str">
            <v>bueno</v>
          </cell>
          <cell r="K2831" t="str">
            <v>probsi</v>
          </cell>
        </row>
        <row r="2832">
          <cell r="B2832" t="b">
            <v>1</v>
          </cell>
          <cell r="E2832" t="str">
            <v>Santa Ana</v>
          </cell>
          <cell r="H2832" t="str">
            <v>consulta_externa</v>
          </cell>
          <cell r="J2832" t="str">
            <v>bueno</v>
          </cell>
          <cell r="K2832" t="str">
            <v>probsi</v>
          </cell>
        </row>
        <row r="2833">
          <cell r="B2833" t="b">
            <v>1</v>
          </cell>
          <cell r="E2833" t="str">
            <v>Santa Ana</v>
          </cell>
          <cell r="H2833" t="str">
            <v>laboratorio</v>
          </cell>
          <cell r="J2833" t="str">
            <v>bueno</v>
          </cell>
          <cell r="K2833" t="str">
            <v>probsi</v>
          </cell>
        </row>
        <row r="2834">
          <cell r="B2834" t="b">
            <v>1</v>
          </cell>
          <cell r="E2834" t="str">
            <v>Santa Ana</v>
          </cell>
          <cell r="H2834" t="str">
            <v>laboratorio</v>
          </cell>
          <cell r="J2834" t="str">
            <v>bueno</v>
          </cell>
          <cell r="K2834" t="str">
            <v>probsi</v>
          </cell>
        </row>
        <row r="2835">
          <cell r="B2835" t="b">
            <v>1</v>
          </cell>
          <cell r="E2835" t="str">
            <v>Santa Ana</v>
          </cell>
          <cell r="H2835" t="str">
            <v>laboratorio</v>
          </cell>
          <cell r="J2835" t="str">
            <v>bueno</v>
          </cell>
          <cell r="K2835" t="str">
            <v>probsi</v>
          </cell>
        </row>
        <row r="2836">
          <cell r="B2836" t="b">
            <v>1</v>
          </cell>
          <cell r="E2836" t="str">
            <v>Daniel Lemaitre</v>
          </cell>
          <cell r="H2836" t="str">
            <v>salud_oral</v>
          </cell>
          <cell r="J2836" t="str">
            <v>bueno</v>
          </cell>
          <cell r="K2836" t="str">
            <v>defsi</v>
          </cell>
        </row>
        <row r="2837">
          <cell r="B2837" t="b">
            <v>1</v>
          </cell>
          <cell r="E2837" t="str">
            <v>Tierra Bomba</v>
          </cell>
          <cell r="H2837" t="str">
            <v>laboratorio</v>
          </cell>
          <cell r="J2837" t="str">
            <v>bueno</v>
          </cell>
          <cell r="K2837" t="str">
            <v>probsi</v>
          </cell>
        </row>
        <row r="2838">
          <cell r="B2838" t="b">
            <v>1</v>
          </cell>
          <cell r="E2838" t="str">
            <v>Tierra Bomba</v>
          </cell>
          <cell r="H2838" t="str">
            <v>laboratorio</v>
          </cell>
          <cell r="J2838" t="str">
            <v>bueno</v>
          </cell>
          <cell r="K2838" t="str">
            <v>probsi</v>
          </cell>
        </row>
        <row r="2839">
          <cell r="B2839" t="b">
            <v>1</v>
          </cell>
          <cell r="E2839" t="str">
            <v>Tierra Bomba</v>
          </cell>
          <cell r="H2839" t="str">
            <v>salud_oral</v>
          </cell>
          <cell r="J2839" t="str">
            <v>bueno</v>
          </cell>
          <cell r="K2839" t="str">
            <v>probsi</v>
          </cell>
        </row>
        <row r="2840">
          <cell r="B2840" t="b">
            <v>1</v>
          </cell>
          <cell r="E2840" t="str">
            <v>Tierra Bomba</v>
          </cell>
          <cell r="H2840" t="str">
            <v>salud_oral</v>
          </cell>
          <cell r="J2840" t="str">
            <v>bueno</v>
          </cell>
          <cell r="K2840" t="str">
            <v>probsi</v>
          </cell>
        </row>
        <row r="2841">
          <cell r="B2841" t="b">
            <v>1</v>
          </cell>
          <cell r="E2841" t="str">
            <v>Tierra Bomba</v>
          </cell>
          <cell r="H2841" t="str">
            <v>laboratorio</v>
          </cell>
          <cell r="J2841" t="str">
            <v>bueno</v>
          </cell>
          <cell r="K2841" t="str">
            <v>probsi</v>
          </cell>
        </row>
        <row r="2842">
          <cell r="B2842" t="b">
            <v>1</v>
          </cell>
          <cell r="E2842" t="str">
            <v>Tierra Bomba</v>
          </cell>
          <cell r="H2842" t="str">
            <v>laboratorio</v>
          </cell>
          <cell r="J2842" t="str">
            <v>bueno</v>
          </cell>
          <cell r="K2842" t="str">
            <v>probsi</v>
          </cell>
        </row>
        <row r="2843">
          <cell r="B2843" t="b">
            <v>1</v>
          </cell>
          <cell r="E2843" t="str">
            <v>Daniel Lemaitre</v>
          </cell>
          <cell r="H2843" t="str">
            <v>laboratorio</v>
          </cell>
          <cell r="J2843" t="str">
            <v>bueno</v>
          </cell>
          <cell r="K2843" t="str">
            <v>defsi</v>
          </cell>
        </row>
        <row r="2844">
          <cell r="B2844" t="b">
            <v>1</v>
          </cell>
          <cell r="E2844" t="str">
            <v>Daniel Lemaitre</v>
          </cell>
          <cell r="H2844" t="str">
            <v>consulta_externa</v>
          </cell>
          <cell r="J2844" t="str">
            <v>bueno</v>
          </cell>
          <cell r="K2844" t="str">
            <v>defsi</v>
          </cell>
        </row>
        <row r="2845">
          <cell r="B2845" t="b">
            <v>1</v>
          </cell>
          <cell r="E2845" t="str">
            <v>Daniel Lemaitre</v>
          </cell>
          <cell r="H2845" t="str">
            <v>salud_oral</v>
          </cell>
          <cell r="J2845" t="str">
            <v>bueno</v>
          </cell>
          <cell r="K2845" t="str">
            <v>defsi</v>
          </cell>
        </row>
        <row r="2846">
          <cell r="B2846" t="b">
            <v>1</v>
          </cell>
          <cell r="E2846" t="str">
            <v>Daniel Lemaitre</v>
          </cell>
          <cell r="H2846" t="str">
            <v>laboratorio</v>
          </cell>
          <cell r="J2846" t="str">
            <v>bueno</v>
          </cell>
          <cell r="K2846" t="str">
            <v>defsi</v>
          </cell>
        </row>
        <row r="2847">
          <cell r="B2847" t="b">
            <v>1</v>
          </cell>
          <cell r="E2847" t="str">
            <v>Daniel Lemaitre</v>
          </cell>
          <cell r="H2847" t="str">
            <v>consulta_externa</v>
          </cell>
          <cell r="J2847" t="str">
            <v>bueno</v>
          </cell>
          <cell r="K2847" t="str">
            <v>defsi</v>
          </cell>
        </row>
        <row r="2848">
          <cell r="B2848" t="b">
            <v>1</v>
          </cell>
          <cell r="E2848" t="str">
            <v>Daniel Lemaitre</v>
          </cell>
          <cell r="H2848" t="str">
            <v>salud_oral</v>
          </cell>
          <cell r="J2848" t="str">
            <v>bueno</v>
          </cell>
          <cell r="K2848" t="str">
            <v>defsi</v>
          </cell>
        </row>
        <row r="2849">
          <cell r="B2849" t="b">
            <v>1</v>
          </cell>
          <cell r="E2849" t="str">
            <v>Daniel Lemaitre</v>
          </cell>
          <cell r="H2849" t="str">
            <v>laboratorio</v>
          </cell>
          <cell r="J2849" t="str">
            <v>bueno</v>
          </cell>
          <cell r="K2849" t="str">
            <v>defsi</v>
          </cell>
        </row>
        <row r="2850">
          <cell r="B2850" t="b">
            <v>1</v>
          </cell>
          <cell r="E2850" t="str">
            <v>Daniel Lemaitre</v>
          </cell>
          <cell r="H2850" t="str">
            <v>consulta_externa</v>
          </cell>
          <cell r="J2850" t="str">
            <v>bueno</v>
          </cell>
          <cell r="K2850" t="str">
            <v>defsi</v>
          </cell>
        </row>
        <row r="2851">
          <cell r="B2851" t="b">
            <v>1</v>
          </cell>
          <cell r="E2851" t="str">
            <v>Daniel Lemaitre</v>
          </cell>
          <cell r="H2851" t="str">
            <v>salud_oral</v>
          </cell>
          <cell r="J2851" t="str">
            <v>bueno</v>
          </cell>
          <cell r="K2851" t="str">
            <v>defsi</v>
          </cell>
        </row>
        <row r="2852">
          <cell r="B2852" t="b">
            <v>1</v>
          </cell>
          <cell r="E2852" t="str">
            <v>Daniel Lemaitre</v>
          </cell>
          <cell r="H2852" t="str">
            <v>salud_oral</v>
          </cell>
          <cell r="J2852" t="str">
            <v>bueno</v>
          </cell>
          <cell r="K2852" t="str">
            <v>defsi</v>
          </cell>
        </row>
        <row r="2853">
          <cell r="B2853" t="b">
            <v>1</v>
          </cell>
          <cell r="E2853" t="str">
            <v>Daniel Lemaitre</v>
          </cell>
          <cell r="H2853" t="str">
            <v>consulta_externa</v>
          </cell>
          <cell r="J2853" t="str">
            <v>bueno</v>
          </cell>
          <cell r="K2853" t="str">
            <v>defsi</v>
          </cell>
        </row>
        <row r="2854">
          <cell r="B2854" t="b">
            <v>1</v>
          </cell>
          <cell r="E2854" t="str">
            <v>Daniel Lemaitre</v>
          </cell>
          <cell r="H2854" t="str">
            <v>salud_oral</v>
          </cell>
          <cell r="J2854" t="str">
            <v>bueno</v>
          </cell>
          <cell r="K2854" t="str">
            <v>defsi</v>
          </cell>
        </row>
        <row r="2855">
          <cell r="B2855" t="b">
            <v>1</v>
          </cell>
          <cell r="E2855" t="str">
            <v>Daniel Lemaitre</v>
          </cell>
          <cell r="H2855" t="str">
            <v>laboratorio</v>
          </cell>
          <cell r="J2855" t="str">
            <v>bueno</v>
          </cell>
          <cell r="K2855" t="str">
            <v>defsi</v>
          </cell>
        </row>
        <row r="2856">
          <cell r="B2856" t="b">
            <v>1</v>
          </cell>
          <cell r="E2856" t="str">
            <v>Daniel Lemaitre</v>
          </cell>
          <cell r="H2856" t="str">
            <v>consulta_externa</v>
          </cell>
          <cell r="J2856" t="str">
            <v>bueno</v>
          </cell>
          <cell r="K2856" t="str">
            <v>defsi</v>
          </cell>
        </row>
        <row r="2857">
          <cell r="B2857" t="b">
            <v>1</v>
          </cell>
          <cell r="E2857" t="str">
            <v>Daniel Lemaitre</v>
          </cell>
          <cell r="H2857" t="str">
            <v>salud_oral</v>
          </cell>
          <cell r="J2857" t="str">
            <v>bueno</v>
          </cell>
          <cell r="K2857" t="str">
            <v>defsi</v>
          </cell>
        </row>
        <row r="2858">
          <cell r="B2858" t="b">
            <v>1</v>
          </cell>
          <cell r="E2858" t="str">
            <v>Daniel Lemaitre</v>
          </cell>
          <cell r="H2858" t="str">
            <v>laboratorio</v>
          </cell>
          <cell r="J2858" t="str">
            <v>bueno</v>
          </cell>
          <cell r="K2858" t="str">
            <v>defsi</v>
          </cell>
        </row>
        <row r="2859">
          <cell r="B2859" t="b">
            <v>1</v>
          </cell>
          <cell r="E2859" t="str">
            <v>Fredonia</v>
          </cell>
          <cell r="H2859" t="str">
            <v>salud_oral</v>
          </cell>
          <cell r="J2859" t="str">
            <v>bueno</v>
          </cell>
          <cell r="K2859" t="str">
            <v>probsi</v>
          </cell>
        </row>
        <row r="2860">
          <cell r="B2860" t="b">
            <v>1</v>
          </cell>
          <cell r="E2860" t="str">
            <v>Fredonia</v>
          </cell>
          <cell r="H2860" t="str">
            <v>salud_oral</v>
          </cell>
          <cell r="J2860" t="str">
            <v>bueno</v>
          </cell>
          <cell r="K2860" t="str">
            <v>probsi</v>
          </cell>
        </row>
        <row r="2861">
          <cell r="B2861" t="b">
            <v>1</v>
          </cell>
          <cell r="E2861" t="str">
            <v>Fredonia</v>
          </cell>
          <cell r="H2861" t="str">
            <v>salud_oral</v>
          </cell>
          <cell r="J2861" t="str">
            <v>bueno</v>
          </cell>
          <cell r="K2861" t="str">
            <v>probsi</v>
          </cell>
        </row>
        <row r="2862">
          <cell r="B2862" t="b">
            <v>1</v>
          </cell>
          <cell r="E2862" t="str">
            <v>Fredonia</v>
          </cell>
          <cell r="H2862" t="str">
            <v>salud_oral</v>
          </cell>
          <cell r="J2862" t="str">
            <v>bueno</v>
          </cell>
          <cell r="K2862" t="str">
            <v>probsi</v>
          </cell>
        </row>
        <row r="2863">
          <cell r="B2863" t="b">
            <v>1</v>
          </cell>
          <cell r="E2863" t="str">
            <v>Fredonia</v>
          </cell>
          <cell r="H2863" t="str">
            <v>salud_oral</v>
          </cell>
          <cell r="J2863" t="str">
            <v>bueno</v>
          </cell>
          <cell r="K2863" t="str">
            <v>probsi</v>
          </cell>
        </row>
        <row r="2864">
          <cell r="B2864" t="b">
            <v>1</v>
          </cell>
          <cell r="E2864" t="str">
            <v>Daniel Lemaitre</v>
          </cell>
          <cell r="H2864" t="str">
            <v>consulta_externa</v>
          </cell>
          <cell r="J2864" t="str">
            <v>bueno</v>
          </cell>
          <cell r="K2864" t="str">
            <v>defsi</v>
          </cell>
        </row>
        <row r="2865">
          <cell r="B2865" t="b">
            <v>1</v>
          </cell>
          <cell r="E2865" t="str">
            <v>Daniel Lemaitre</v>
          </cell>
          <cell r="H2865" t="str">
            <v>salud_oral</v>
          </cell>
          <cell r="J2865" t="str">
            <v>bueno</v>
          </cell>
          <cell r="K2865" t="str">
            <v>defsi</v>
          </cell>
        </row>
        <row r="2866">
          <cell r="B2866" t="b">
            <v>1</v>
          </cell>
          <cell r="E2866" t="str">
            <v>Daniel Lemaitre</v>
          </cell>
          <cell r="H2866" t="str">
            <v>laboratorio</v>
          </cell>
          <cell r="J2866" t="str">
            <v>bueno</v>
          </cell>
          <cell r="K2866" t="str">
            <v>defsi</v>
          </cell>
        </row>
        <row r="2867">
          <cell r="B2867" t="b">
            <v>1</v>
          </cell>
          <cell r="E2867" t="str">
            <v>Daniel Lemaitre</v>
          </cell>
          <cell r="H2867" t="str">
            <v>consulta_externa</v>
          </cell>
          <cell r="J2867" t="str">
            <v>bueno</v>
          </cell>
          <cell r="K2867" t="str">
            <v>defsi</v>
          </cell>
        </row>
        <row r="2868">
          <cell r="B2868" t="b">
            <v>1</v>
          </cell>
          <cell r="E2868" t="str">
            <v>Daniel Lemaitre</v>
          </cell>
          <cell r="H2868" t="str">
            <v>salud_oral</v>
          </cell>
          <cell r="J2868" t="str">
            <v>bueno</v>
          </cell>
          <cell r="K2868" t="str">
            <v>defsi</v>
          </cell>
        </row>
        <row r="2869">
          <cell r="B2869" t="b">
            <v>1</v>
          </cell>
          <cell r="E2869" t="str">
            <v>Daniel Lemaitre</v>
          </cell>
          <cell r="H2869" t="str">
            <v>laboratorio</v>
          </cell>
          <cell r="J2869" t="str">
            <v>bueno</v>
          </cell>
          <cell r="K2869" t="str">
            <v>defsi</v>
          </cell>
        </row>
        <row r="2870">
          <cell r="B2870" t="b">
            <v>1</v>
          </cell>
          <cell r="E2870" t="str">
            <v>Daniel Lemaitre</v>
          </cell>
          <cell r="H2870" t="str">
            <v>consulta_externa</v>
          </cell>
          <cell r="J2870" t="str">
            <v>bueno</v>
          </cell>
          <cell r="K2870" t="str">
            <v>defsi</v>
          </cell>
        </row>
        <row r="2871">
          <cell r="B2871" t="b">
            <v>1</v>
          </cell>
          <cell r="E2871" t="str">
            <v>Daniel Lemaitre</v>
          </cell>
          <cell r="H2871" t="str">
            <v>salud_oral</v>
          </cell>
          <cell r="J2871" t="str">
            <v>bueno</v>
          </cell>
          <cell r="K2871" t="str">
            <v>defsi</v>
          </cell>
        </row>
        <row r="2872">
          <cell r="B2872" t="b">
            <v>1</v>
          </cell>
          <cell r="E2872" t="str">
            <v>Daniel Lemaitre</v>
          </cell>
          <cell r="H2872" t="str">
            <v>laboratorio</v>
          </cell>
          <cell r="J2872" t="str">
            <v>bueno</v>
          </cell>
          <cell r="K2872" t="str">
            <v>defsi</v>
          </cell>
        </row>
        <row r="2873">
          <cell r="B2873" t="b">
            <v>1</v>
          </cell>
          <cell r="E2873" t="str">
            <v>Daniel Lemaitre</v>
          </cell>
          <cell r="H2873" t="str">
            <v>consulta_externa</v>
          </cell>
          <cell r="J2873" t="str">
            <v>bueno</v>
          </cell>
          <cell r="K2873" t="str">
            <v>defsi</v>
          </cell>
        </row>
        <row r="2874">
          <cell r="B2874" t="b">
            <v>1</v>
          </cell>
          <cell r="E2874" t="str">
            <v>Daniel Lemaitre</v>
          </cell>
          <cell r="H2874" t="str">
            <v>salud_oral</v>
          </cell>
          <cell r="J2874" t="str">
            <v>bueno</v>
          </cell>
          <cell r="K2874" t="str">
            <v>defsi</v>
          </cell>
        </row>
        <row r="2875">
          <cell r="B2875" t="b">
            <v>1</v>
          </cell>
          <cell r="E2875" t="str">
            <v>Daniel Lemaitre</v>
          </cell>
          <cell r="H2875" t="str">
            <v>laboratorio</v>
          </cell>
          <cell r="J2875" t="str">
            <v>bueno</v>
          </cell>
          <cell r="K2875" t="str">
            <v>defsi</v>
          </cell>
        </row>
        <row r="2876">
          <cell r="B2876" t="b">
            <v>1</v>
          </cell>
          <cell r="E2876" t="str">
            <v>Daniel Lemaitre</v>
          </cell>
          <cell r="H2876" t="str">
            <v>consulta_externa</v>
          </cell>
          <cell r="J2876" t="str">
            <v>bueno</v>
          </cell>
          <cell r="K2876" t="str">
            <v>defsi</v>
          </cell>
        </row>
        <row r="2877">
          <cell r="B2877" t="b">
            <v>1</v>
          </cell>
          <cell r="E2877" t="str">
            <v>Daniel Lemaitre</v>
          </cell>
          <cell r="H2877" t="str">
            <v>salud_oral</v>
          </cell>
          <cell r="J2877" t="str">
            <v>bueno</v>
          </cell>
          <cell r="K2877" t="str">
            <v>defsi</v>
          </cell>
        </row>
        <row r="2878">
          <cell r="B2878" t="b">
            <v>1</v>
          </cell>
          <cell r="E2878" t="str">
            <v>Daniel Lemaitre</v>
          </cell>
          <cell r="H2878" t="str">
            <v>laboratorio</v>
          </cell>
          <cell r="J2878" t="str">
            <v>bueno</v>
          </cell>
          <cell r="K2878" t="str">
            <v>defsi</v>
          </cell>
        </row>
        <row r="2879">
          <cell r="B2879" t="b">
            <v>1</v>
          </cell>
          <cell r="E2879" t="str">
            <v>Daniel Lemaitre</v>
          </cell>
          <cell r="H2879" t="str">
            <v>laboratorio</v>
          </cell>
          <cell r="J2879" t="str">
            <v>bueno</v>
          </cell>
          <cell r="K2879" t="str">
            <v>defsi</v>
          </cell>
        </row>
        <row r="2880">
          <cell r="B2880" t="b">
            <v>1</v>
          </cell>
          <cell r="E2880" t="str">
            <v>Daniel Lemaitre</v>
          </cell>
          <cell r="H2880" t="str">
            <v>laboratorio</v>
          </cell>
          <cell r="J2880" t="str">
            <v>bueno</v>
          </cell>
          <cell r="K2880" t="str">
            <v>defsi</v>
          </cell>
        </row>
        <row r="2881">
          <cell r="B2881" t="b">
            <v>1</v>
          </cell>
          <cell r="E2881" t="str">
            <v>Daniel Lemaitre</v>
          </cell>
          <cell r="H2881" t="str">
            <v>laboratorio</v>
          </cell>
          <cell r="J2881" t="str">
            <v>bueno</v>
          </cell>
          <cell r="K2881" t="str">
            <v>defsi</v>
          </cell>
        </row>
        <row r="2882">
          <cell r="B2882" t="b">
            <v>1</v>
          </cell>
          <cell r="E2882" t="str">
            <v>Daniel Lemaitre</v>
          </cell>
          <cell r="H2882" t="str">
            <v>laboratorio</v>
          </cell>
          <cell r="J2882" t="str">
            <v>bueno</v>
          </cell>
          <cell r="K2882" t="str">
            <v>defsi</v>
          </cell>
        </row>
        <row r="2883">
          <cell r="B2883" t="b">
            <v>1</v>
          </cell>
          <cell r="E2883" t="str">
            <v>Libano</v>
          </cell>
          <cell r="H2883" t="str">
            <v>consulta_externa</v>
          </cell>
          <cell r="J2883" t="str">
            <v>bueno</v>
          </cell>
          <cell r="K2883" t="str">
            <v>probsi</v>
          </cell>
        </row>
        <row r="2884">
          <cell r="B2884" t="b">
            <v>1</v>
          </cell>
          <cell r="E2884" t="str">
            <v>Boston</v>
          </cell>
          <cell r="H2884" t="str">
            <v>consulta_externa</v>
          </cell>
          <cell r="J2884" t="str">
            <v>bueno</v>
          </cell>
          <cell r="K2884" t="str">
            <v>probsi</v>
          </cell>
        </row>
        <row r="2885">
          <cell r="B2885" t="b">
            <v>1</v>
          </cell>
          <cell r="E2885" t="str">
            <v>Los Cerros</v>
          </cell>
          <cell r="H2885" t="str">
            <v>salud_oral</v>
          </cell>
          <cell r="J2885" t="str">
            <v>bueno</v>
          </cell>
          <cell r="K2885" t="str">
            <v>probsi</v>
          </cell>
        </row>
        <row r="2886">
          <cell r="B2886" t="b">
            <v>1</v>
          </cell>
          <cell r="E2886" t="str">
            <v>Los Cerros</v>
          </cell>
          <cell r="H2886" t="str">
            <v>laboratorio</v>
          </cell>
          <cell r="J2886" t="str">
            <v>bueno</v>
          </cell>
          <cell r="K2886" t="str">
            <v>probsi</v>
          </cell>
        </row>
        <row r="2887">
          <cell r="B2887" t="b">
            <v>1</v>
          </cell>
          <cell r="E2887" t="str">
            <v>Los Cerros</v>
          </cell>
          <cell r="H2887" t="str">
            <v>laboratorio</v>
          </cell>
          <cell r="J2887" t="str">
            <v>bueno</v>
          </cell>
          <cell r="K2887" t="str">
            <v>probsi</v>
          </cell>
        </row>
        <row r="2888">
          <cell r="B2888" t="b">
            <v>1</v>
          </cell>
          <cell r="E2888" t="str">
            <v>Los Cerros</v>
          </cell>
          <cell r="H2888" t="str">
            <v>laboratorio</v>
          </cell>
          <cell r="J2888" t="str">
            <v>bueno</v>
          </cell>
          <cell r="K2888" t="str">
            <v>probsi</v>
          </cell>
        </row>
        <row r="2889">
          <cell r="B2889" t="b">
            <v>1</v>
          </cell>
          <cell r="E2889" t="str">
            <v>Los Cerros</v>
          </cell>
          <cell r="H2889" t="str">
            <v>laboratorio</v>
          </cell>
          <cell r="J2889" t="str">
            <v>bueno</v>
          </cell>
          <cell r="K2889" t="str">
            <v>probsi</v>
          </cell>
        </row>
        <row r="2890">
          <cell r="B2890" t="b">
            <v>1</v>
          </cell>
          <cell r="E2890" t="str">
            <v>Los Cerros</v>
          </cell>
          <cell r="H2890" t="str">
            <v>laboratorio</v>
          </cell>
          <cell r="J2890" t="str">
            <v>bueno</v>
          </cell>
          <cell r="K2890" t="str">
            <v>probsi</v>
          </cell>
        </row>
        <row r="2891">
          <cell r="B2891" t="b">
            <v>1</v>
          </cell>
          <cell r="E2891" t="str">
            <v>Los Cerros</v>
          </cell>
          <cell r="H2891" t="str">
            <v>consulta_externa</v>
          </cell>
          <cell r="J2891" t="str">
            <v>bueno</v>
          </cell>
          <cell r="K2891" t="str">
            <v>probsi</v>
          </cell>
        </row>
        <row r="2892">
          <cell r="B2892" t="b">
            <v>1</v>
          </cell>
          <cell r="E2892" t="str">
            <v>Los Cerros</v>
          </cell>
          <cell r="H2892" t="str">
            <v>consulta_externa</v>
          </cell>
          <cell r="J2892" t="str">
            <v>bueno</v>
          </cell>
          <cell r="K2892" t="str">
            <v>probsi</v>
          </cell>
        </row>
        <row r="2893">
          <cell r="B2893" t="b">
            <v>1</v>
          </cell>
          <cell r="E2893" t="str">
            <v>Los Cerros</v>
          </cell>
          <cell r="H2893" t="str">
            <v>consulta_externa</v>
          </cell>
          <cell r="J2893" t="str">
            <v>bueno</v>
          </cell>
          <cell r="K2893" t="str">
            <v>probsi</v>
          </cell>
        </row>
        <row r="2894">
          <cell r="B2894" t="b">
            <v>1</v>
          </cell>
          <cell r="E2894" t="str">
            <v>Los Cerros</v>
          </cell>
          <cell r="H2894" t="str">
            <v>consulta_externa</v>
          </cell>
          <cell r="J2894" t="str">
            <v>bueno</v>
          </cell>
          <cell r="K2894" t="str">
            <v>probsi</v>
          </cell>
        </row>
        <row r="2895">
          <cell r="B2895" t="b">
            <v>1</v>
          </cell>
          <cell r="E2895" t="str">
            <v>Los Cerros</v>
          </cell>
          <cell r="H2895" t="str">
            <v>laboratorio</v>
          </cell>
          <cell r="J2895" t="str">
            <v>bueno</v>
          </cell>
          <cell r="K2895" t="str">
            <v>probsi</v>
          </cell>
        </row>
        <row r="2896">
          <cell r="B2896" t="b">
            <v>1</v>
          </cell>
          <cell r="E2896" t="str">
            <v>Los Cerros</v>
          </cell>
          <cell r="H2896" t="str">
            <v>laboratorio</v>
          </cell>
          <cell r="J2896" t="str">
            <v>bueno</v>
          </cell>
          <cell r="K2896" t="str">
            <v>probsi</v>
          </cell>
        </row>
        <row r="2897">
          <cell r="B2897" t="b">
            <v>1</v>
          </cell>
          <cell r="E2897" t="str">
            <v>Los Cerros</v>
          </cell>
          <cell r="H2897" t="str">
            <v>laboratorio</v>
          </cell>
          <cell r="J2897" t="str">
            <v>bueno</v>
          </cell>
          <cell r="K2897" t="str">
            <v>probsi</v>
          </cell>
        </row>
        <row r="2898">
          <cell r="B2898" t="b">
            <v>1</v>
          </cell>
          <cell r="E2898" t="str">
            <v>Los Cerros</v>
          </cell>
          <cell r="H2898" t="str">
            <v>laboratorio</v>
          </cell>
          <cell r="J2898" t="str">
            <v>bueno</v>
          </cell>
          <cell r="K2898" t="str">
            <v>probsi</v>
          </cell>
        </row>
        <row r="2899">
          <cell r="B2899" t="b">
            <v>1</v>
          </cell>
          <cell r="E2899" t="str">
            <v>Los Cerros</v>
          </cell>
          <cell r="H2899" t="str">
            <v>laboratorio</v>
          </cell>
          <cell r="J2899" t="str">
            <v>bueno</v>
          </cell>
          <cell r="K2899" t="str">
            <v>probsi</v>
          </cell>
        </row>
        <row r="2900">
          <cell r="B2900" t="b">
            <v>1</v>
          </cell>
          <cell r="E2900" t="str">
            <v>Los Cerros</v>
          </cell>
          <cell r="H2900" t="str">
            <v>laboratorio</v>
          </cell>
          <cell r="J2900" t="str">
            <v>bueno</v>
          </cell>
          <cell r="K2900" t="str">
            <v>probsi</v>
          </cell>
        </row>
        <row r="2901">
          <cell r="B2901" t="b">
            <v>1</v>
          </cell>
          <cell r="E2901" t="str">
            <v>Los Cerros</v>
          </cell>
          <cell r="H2901" t="str">
            <v>consulta_externa</v>
          </cell>
          <cell r="J2901" t="str">
            <v>bueno</v>
          </cell>
          <cell r="K2901" t="str">
            <v>probsi</v>
          </cell>
        </row>
        <row r="2902">
          <cell r="B2902" t="b">
            <v>1</v>
          </cell>
          <cell r="E2902" t="str">
            <v>Los Cerros</v>
          </cell>
          <cell r="H2902" t="str">
            <v>salud_oral</v>
          </cell>
          <cell r="J2902" t="str">
            <v>bueno</v>
          </cell>
          <cell r="K2902" t="str">
            <v>probsi</v>
          </cell>
        </row>
        <row r="2903">
          <cell r="B2903" t="b">
            <v>1</v>
          </cell>
          <cell r="E2903" t="str">
            <v>Los Cerros</v>
          </cell>
          <cell r="H2903" t="str">
            <v>salud_oral</v>
          </cell>
          <cell r="J2903" t="str">
            <v>bueno</v>
          </cell>
          <cell r="K2903" t="str">
            <v>probsi</v>
          </cell>
        </row>
        <row r="2904">
          <cell r="B2904" t="b">
            <v>1</v>
          </cell>
          <cell r="E2904" t="str">
            <v>Los Cerros</v>
          </cell>
          <cell r="H2904" t="str">
            <v>salud_oral</v>
          </cell>
          <cell r="J2904" t="str">
            <v>bueno</v>
          </cell>
          <cell r="K2904" t="str">
            <v>probsi</v>
          </cell>
        </row>
        <row r="2905">
          <cell r="B2905" t="b">
            <v>1</v>
          </cell>
          <cell r="E2905" t="str">
            <v>Libano</v>
          </cell>
          <cell r="H2905" t="str">
            <v>consulta_externa</v>
          </cell>
          <cell r="J2905" t="str">
            <v>bueno</v>
          </cell>
          <cell r="K2905" t="str">
            <v>probsi</v>
          </cell>
        </row>
        <row r="2906">
          <cell r="B2906" t="b">
            <v>1</v>
          </cell>
          <cell r="E2906" t="str">
            <v>Libano</v>
          </cell>
          <cell r="H2906" t="str">
            <v>laboratorio</v>
          </cell>
          <cell r="J2906" t="str">
            <v>bueno</v>
          </cell>
          <cell r="K2906" t="str">
            <v>probsi</v>
          </cell>
        </row>
        <row r="2907">
          <cell r="B2907" t="b">
            <v>1</v>
          </cell>
          <cell r="E2907" t="str">
            <v>Libano</v>
          </cell>
          <cell r="H2907" t="str">
            <v>pediatria</v>
          </cell>
          <cell r="J2907" t="str">
            <v>bueno</v>
          </cell>
          <cell r="K2907" t="str">
            <v>probsi</v>
          </cell>
        </row>
        <row r="2908">
          <cell r="B2908" t="b">
            <v>1</v>
          </cell>
          <cell r="E2908" t="str">
            <v>Libano</v>
          </cell>
          <cell r="H2908" t="str">
            <v>pediatria</v>
          </cell>
          <cell r="J2908" t="str">
            <v>bueno</v>
          </cell>
          <cell r="K2908" t="str">
            <v>probsi</v>
          </cell>
        </row>
        <row r="2909">
          <cell r="B2909" t="b">
            <v>1</v>
          </cell>
          <cell r="E2909" t="str">
            <v>Boston</v>
          </cell>
          <cell r="H2909" t="str">
            <v>consulta_externa</v>
          </cell>
          <cell r="J2909" t="str">
            <v>muybueno</v>
          </cell>
          <cell r="K2909" t="str">
            <v>probsi</v>
          </cell>
        </row>
        <row r="2910">
          <cell r="B2910" t="b">
            <v>1</v>
          </cell>
          <cell r="E2910" t="str">
            <v>Boston</v>
          </cell>
          <cell r="H2910" t="str">
            <v>consulta_externa</v>
          </cell>
          <cell r="J2910" t="str">
            <v>muybueno</v>
          </cell>
          <cell r="K2910" t="str">
            <v>probsi</v>
          </cell>
        </row>
        <row r="2911">
          <cell r="B2911" t="b">
            <v>1</v>
          </cell>
          <cell r="E2911" t="str">
            <v>Libano</v>
          </cell>
          <cell r="H2911" t="str">
            <v>consulta_externa</v>
          </cell>
          <cell r="J2911" t="str">
            <v>bueno</v>
          </cell>
          <cell r="K2911" t="str">
            <v>probsi</v>
          </cell>
        </row>
        <row r="2912">
          <cell r="B2912" t="b">
            <v>1</v>
          </cell>
          <cell r="E2912" t="str">
            <v>Libano</v>
          </cell>
          <cell r="H2912" t="str">
            <v>consulta_externa</v>
          </cell>
          <cell r="J2912" t="str">
            <v>bueno</v>
          </cell>
          <cell r="K2912" t="str">
            <v>probsi</v>
          </cell>
        </row>
        <row r="2913">
          <cell r="B2913" t="b">
            <v>1</v>
          </cell>
          <cell r="E2913" t="str">
            <v>Libano</v>
          </cell>
          <cell r="H2913" t="str">
            <v>salud_oral</v>
          </cell>
          <cell r="J2913" t="str">
            <v>bueno</v>
          </cell>
          <cell r="K2913" t="str">
            <v>probsi</v>
          </cell>
        </row>
        <row r="2914">
          <cell r="B2914" t="b">
            <v>1</v>
          </cell>
          <cell r="E2914" t="str">
            <v>Libano</v>
          </cell>
          <cell r="H2914" t="str">
            <v>salud_oral</v>
          </cell>
          <cell r="J2914" t="str">
            <v>bueno</v>
          </cell>
          <cell r="K2914" t="str">
            <v>probsi</v>
          </cell>
        </row>
        <row r="2915">
          <cell r="B2915" t="b">
            <v>1</v>
          </cell>
          <cell r="E2915" t="str">
            <v>Libano</v>
          </cell>
          <cell r="H2915" t="str">
            <v>salud_oral</v>
          </cell>
          <cell r="J2915" t="str">
            <v>bueno</v>
          </cell>
          <cell r="K2915" t="str">
            <v>probsi</v>
          </cell>
        </row>
        <row r="2916">
          <cell r="B2916" t="b">
            <v>1</v>
          </cell>
          <cell r="E2916" t="str">
            <v>Libano</v>
          </cell>
          <cell r="H2916" t="str">
            <v>pediatria</v>
          </cell>
          <cell r="J2916" t="str">
            <v>bueno</v>
          </cell>
          <cell r="K2916" t="str">
            <v>probsi</v>
          </cell>
        </row>
        <row r="2917">
          <cell r="B2917" t="b">
            <v>1</v>
          </cell>
          <cell r="E2917" t="str">
            <v>Libano</v>
          </cell>
          <cell r="H2917" t="str">
            <v>pediatria</v>
          </cell>
          <cell r="J2917" t="str">
            <v>bueno</v>
          </cell>
          <cell r="K2917" t="str">
            <v>probsi</v>
          </cell>
        </row>
        <row r="2918">
          <cell r="B2918" t="b">
            <v>1</v>
          </cell>
          <cell r="E2918" t="str">
            <v>Libano</v>
          </cell>
          <cell r="H2918" t="str">
            <v>pediatria</v>
          </cell>
          <cell r="J2918" t="str">
            <v>bueno</v>
          </cell>
          <cell r="K2918" t="str">
            <v>probsi</v>
          </cell>
        </row>
        <row r="2919">
          <cell r="B2919" t="b">
            <v>1</v>
          </cell>
          <cell r="E2919" t="str">
            <v>Libano</v>
          </cell>
          <cell r="H2919" t="str">
            <v>consulta_externa</v>
          </cell>
          <cell r="J2919" t="str">
            <v>bueno</v>
          </cell>
          <cell r="K2919" t="str">
            <v>probsi</v>
          </cell>
        </row>
        <row r="2920">
          <cell r="B2920" t="b">
            <v>1</v>
          </cell>
          <cell r="E2920" t="str">
            <v>Libano</v>
          </cell>
          <cell r="H2920" t="str">
            <v>consulta_externa</v>
          </cell>
          <cell r="J2920" t="str">
            <v>bueno</v>
          </cell>
          <cell r="K2920" t="str">
            <v>probsi</v>
          </cell>
        </row>
        <row r="2921">
          <cell r="B2921" t="b">
            <v>1</v>
          </cell>
          <cell r="E2921" t="str">
            <v>Libano</v>
          </cell>
          <cell r="H2921" t="str">
            <v>laboratorio</v>
          </cell>
          <cell r="J2921" t="str">
            <v>bueno</v>
          </cell>
          <cell r="K2921" t="str">
            <v>probsi</v>
          </cell>
        </row>
        <row r="2922">
          <cell r="B2922" t="b">
            <v>1</v>
          </cell>
          <cell r="E2922" t="str">
            <v>Libano</v>
          </cell>
          <cell r="H2922" t="str">
            <v>laboratorio</v>
          </cell>
          <cell r="J2922" t="str">
            <v>bueno</v>
          </cell>
          <cell r="K2922" t="str">
            <v>probsi</v>
          </cell>
        </row>
        <row r="2923">
          <cell r="B2923" t="b">
            <v>1</v>
          </cell>
          <cell r="E2923" t="str">
            <v>Libano</v>
          </cell>
          <cell r="H2923" t="str">
            <v>salud_oral</v>
          </cell>
          <cell r="J2923" t="str">
            <v>bueno</v>
          </cell>
          <cell r="K2923" t="str">
            <v>probsi</v>
          </cell>
        </row>
        <row r="2924">
          <cell r="B2924" t="b">
            <v>1</v>
          </cell>
          <cell r="E2924" t="str">
            <v>Libano</v>
          </cell>
          <cell r="H2924" t="str">
            <v>salud_oral</v>
          </cell>
          <cell r="J2924" t="str">
            <v>bueno</v>
          </cell>
          <cell r="K2924" t="str">
            <v>probsi</v>
          </cell>
        </row>
        <row r="2925">
          <cell r="B2925" t="b">
            <v>1</v>
          </cell>
          <cell r="E2925" t="str">
            <v>Libano</v>
          </cell>
          <cell r="H2925" t="str">
            <v>salud_oral</v>
          </cell>
          <cell r="J2925" t="str">
            <v>bueno</v>
          </cell>
          <cell r="K2925" t="str">
            <v>probsi</v>
          </cell>
        </row>
        <row r="2926">
          <cell r="B2926" t="b">
            <v>1</v>
          </cell>
          <cell r="E2926" t="str">
            <v>Boston</v>
          </cell>
          <cell r="H2926" t="str">
            <v>consulta_externa</v>
          </cell>
          <cell r="J2926" t="str">
            <v>bueno</v>
          </cell>
          <cell r="K2926" t="str">
            <v>probsi</v>
          </cell>
        </row>
        <row r="2927">
          <cell r="B2927" t="b">
            <v>1</v>
          </cell>
          <cell r="E2927" t="str">
            <v>Libano</v>
          </cell>
          <cell r="H2927" t="str">
            <v>salud_oral</v>
          </cell>
          <cell r="J2927" t="str">
            <v>bueno</v>
          </cell>
          <cell r="K2927" t="str">
            <v>probsi</v>
          </cell>
        </row>
        <row r="2928">
          <cell r="B2928" t="b">
            <v>1</v>
          </cell>
          <cell r="E2928" t="str">
            <v>Libano</v>
          </cell>
          <cell r="H2928" t="str">
            <v>salud_oral</v>
          </cell>
          <cell r="J2928" t="str">
            <v>bueno</v>
          </cell>
          <cell r="K2928" t="str">
            <v>probsi</v>
          </cell>
        </row>
        <row r="2929">
          <cell r="B2929" t="b">
            <v>1</v>
          </cell>
          <cell r="E2929" t="str">
            <v>Libano</v>
          </cell>
          <cell r="H2929" t="str">
            <v>consulta_externa</v>
          </cell>
          <cell r="J2929" t="str">
            <v>bueno</v>
          </cell>
          <cell r="K2929" t="str">
            <v>probsi</v>
          </cell>
        </row>
        <row r="2930">
          <cell r="B2930" t="b">
            <v>1</v>
          </cell>
          <cell r="E2930" t="str">
            <v>Libano</v>
          </cell>
          <cell r="H2930" t="str">
            <v>consulta_externa</v>
          </cell>
          <cell r="J2930" t="str">
            <v>bueno</v>
          </cell>
          <cell r="K2930" t="str">
            <v>probsi</v>
          </cell>
        </row>
        <row r="2931">
          <cell r="B2931" t="b">
            <v>1</v>
          </cell>
          <cell r="E2931" t="str">
            <v>Libano</v>
          </cell>
          <cell r="H2931" t="str">
            <v>consulta_externa</v>
          </cell>
          <cell r="J2931" t="str">
            <v>bueno</v>
          </cell>
          <cell r="K2931" t="str">
            <v>probsi</v>
          </cell>
        </row>
        <row r="2932">
          <cell r="B2932" t="b">
            <v>1</v>
          </cell>
          <cell r="E2932" t="str">
            <v>Libano</v>
          </cell>
          <cell r="H2932" t="str">
            <v>laboratorio</v>
          </cell>
          <cell r="J2932" t="str">
            <v>bueno</v>
          </cell>
          <cell r="K2932" t="str">
            <v>probsi</v>
          </cell>
        </row>
        <row r="2933">
          <cell r="B2933" t="b">
            <v>1</v>
          </cell>
          <cell r="E2933" t="str">
            <v>Libano</v>
          </cell>
          <cell r="H2933" t="str">
            <v>laboratorio</v>
          </cell>
          <cell r="J2933" t="str">
            <v>bueno</v>
          </cell>
          <cell r="K2933" t="str">
            <v>probsi</v>
          </cell>
        </row>
        <row r="2934">
          <cell r="B2934" t="b">
            <v>1</v>
          </cell>
          <cell r="E2934" t="str">
            <v>Libano</v>
          </cell>
          <cell r="H2934" t="str">
            <v>laboratorio</v>
          </cell>
          <cell r="J2934" t="str">
            <v>bueno</v>
          </cell>
          <cell r="K2934" t="str">
            <v>probsi</v>
          </cell>
        </row>
        <row r="2935">
          <cell r="B2935" t="b">
            <v>1</v>
          </cell>
          <cell r="E2935" t="str">
            <v>Boston</v>
          </cell>
          <cell r="H2935" t="str">
            <v>consulta_externa</v>
          </cell>
          <cell r="J2935" t="str">
            <v>bueno</v>
          </cell>
          <cell r="K2935" t="str">
            <v>probsi</v>
          </cell>
        </row>
        <row r="2936">
          <cell r="B2936" t="b">
            <v>1</v>
          </cell>
          <cell r="E2936" t="str">
            <v>Esperanza</v>
          </cell>
          <cell r="H2936" t="str">
            <v>consulta_externa</v>
          </cell>
          <cell r="J2936" t="str">
            <v>bueno</v>
          </cell>
          <cell r="K2936" t="str">
            <v>defsi</v>
          </cell>
        </row>
        <row r="2937">
          <cell r="B2937" t="b">
            <v>1</v>
          </cell>
          <cell r="E2937" t="str">
            <v>Boston</v>
          </cell>
          <cell r="H2937" t="str">
            <v>consulta_externa</v>
          </cell>
          <cell r="J2937" t="str">
            <v>bueno</v>
          </cell>
          <cell r="K2937" t="str">
            <v>probsi</v>
          </cell>
        </row>
        <row r="2938">
          <cell r="B2938" t="b">
            <v>1</v>
          </cell>
          <cell r="E2938" t="str">
            <v>Esperanza</v>
          </cell>
          <cell r="H2938" t="str">
            <v>salud_oral</v>
          </cell>
          <cell r="J2938" t="str">
            <v>bueno</v>
          </cell>
          <cell r="K2938" t="str">
            <v>defsi</v>
          </cell>
        </row>
        <row r="2939">
          <cell r="B2939" t="b">
            <v>1</v>
          </cell>
          <cell r="E2939" t="str">
            <v>Esperanza</v>
          </cell>
          <cell r="H2939" t="str">
            <v>laboratorio</v>
          </cell>
          <cell r="J2939" t="str">
            <v>bueno</v>
          </cell>
          <cell r="K2939" t="str">
            <v>defsi</v>
          </cell>
        </row>
        <row r="2940">
          <cell r="B2940" t="b">
            <v>1</v>
          </cell>
          <cell r="E2940" t="str">
            <v>Boston</v>
          </cell>
          <cell r="H2940" t="str">
            <v>consulta_externa</v>
          </cell>
          <cell r="J2940" t="str">
            <v>bueno</v>
          </cell>
          <cell r="K2940" t="str">
            <v>probsi</v>
          </cell>
        </row>
        <row r="2941">
          <cell r="B2941" t="b">
            <v>1</v>
          </cell>
          <cell r="E2941" t="str">
            <v>Esperanza</v>
          </cell>
          <cell r="H2941" t="str">
            <v>urgencia</v>
          </cell>
          <cell r="J2941" t="str">
            <v>bueno</v>
          </cell>
          <cell r="K2941" t="str">
            <v>defsi</v>
          </cell>
        </row>
        <row r="2942">
          <cell r="B2942" t="b">
            <v>1</v>
          </cell>
          <cell r="E2942" t="str">
            <v>Esperanza</v>
          </cell>
          <cell r="H2942" t="str">
            <v>consulta_externa</v>
          </cell>
          <cell r="J2942" t="str">
            <v>bueno</v>
          </cell>
          <cell r="K2942" t="str">
            <v>defsi</v>
          </cell>
        </row>
        <row r="2943">
          <cell r="B2943" t="b">
            <v>1</v>
          </cell>
          <cell r="E2943" t="str">
            <v>Esperanza</v>
          </cell>
          <cell r="H2943" t="str">
            <v>electros</v>
          </cell>
          <cell r="J2943" t="str">
            <v>bueno</v>
          </cell>
          <cell r="K2943" t="str">
            <v>defsi</v>
          </cell>
        </row>
        <row r="2944">
          <cell r="B2944" t="b">
            <v>1</v>
          </cell>
          <cell r="E2944" t="str">
            <v>Esperanza</v>
          </cell>
          <cell r="H2944" t="str">
            <v>salud_oral</v>
          </cell>
          <cell r="J2944" t="str">
            <v>bueno</v>
          </cell>
          <cell r="K2944" t="str">
            <v>defsi</v>
          </cell>
        </row>
        <row r="2945">
          <cell r="B2945" t="b">
            <v>1</v>
          </cell>
          <cell r="E2945" t="str">
            <v>Esperanza</v>
          </cell>
          <cell r="H2945" t="str">
            <v>laboratorio</v>
          </cell>
          <cell r="J2945" t="str">
            <v>bueno</v>
          </cell>
          <cell r="K2945" t="str">
            <v>defsi</v>
          </cell>
        </row>
        <row r="2946">
          <cell r="B2946" t="b">
            <v>1</v>
          </cell>
          <cell r="E2946" t="str">
            <v>Esperanza</v>
          </cell>
          <cell r="H2946" t="str">
            <v>urgencia</v>
          </cell>
          <cell r="J2946" t="str">
            <v>bueno</v>
          </cell>
          <cell r="K2946" t="str">
            <v>defsi</v>
          </cell>
        </row>
        <row r="2947">
          <cell r="B2947" t="b">
            <v>1</v>
          </cell>
          <cell r="E2947" t="str">
            <v>Esperanza</v>
          </cell>
          <cell r="H2947" t="str">
            <v>electros</v>
          </cell>
          <cell r="J2947" t="str">
            <v>bueno</v>
          </cell>
          <cell r="K2947" t="str">
            <v>defsi</v>
          </cell>
        </row>
        <row r="2948">
          <cell r="B2948" t="b">
            <v>1</v>
          </cell>
          <cell r="E2948" t="str">
            <v>Esperanza</v>
          </cell>
          <cell r="H2948" t="str">
            <v>consulta_externa</v>
          </cell>
          <cell r="J2948" t="str">
            <v>bueno</v>
          </cell>
          <cell r="K2948" t="str">
            <v>defsi</v>
          </cell>
        </row>
        <row r="2949">
          <cell r="B2949" t="b">
            <v>1</v>
          </cell>
          <cell r="E2949" t="str">
            <v>Esperanza</v>
          </cell>
          <cell r="H2949" t="str">
            <v>salud_oral</v>
          </cell>
          <cell r="J2949" t="str">
            <v>bueno</v>
          </cell>
          <cell r="K2949" t="str">
            <v>defsi</v>
          </cell>
        </row>
        <row r="2950">
          <cell r="B2950" t="b">
            <v>1</v>
          </cell>
          <cell r="E2950" t="str">
            <v>Esperanza</v>
          </cell>
          <cell r="H2950" t="str">
            <v>laboratorio</v>
          </cell>
          <cell r="J2950" t="str">
            <v>bueno</v>
          </cell>
          <cell r="K2950" t="str">
            <v>defsi</v>
          </cell>
        </row>
        <row r="2951">
          <cell r="B2951" t="b">
            <v>1</v>
          </cell>
          <cell r="E2951" t="str">
            <v>Esperanza</v>
          </cell>
          <cell r="H2951" t="str">
            <v>urgencia</v>
          </cell>
          <cell r="J2951" t="str">
            <v>bueno</v>
          </cell>
          <cell r="K2951" t="str">
            <v>defsi</v>
          </cell>
        </row>
        <row r="2952">
          <cell r="B2952" t="b">
            <v>1</v>
          </cell>
          <cell r="E2952" t="str">
            <v>Arroz Barato</v>
          </cell>
          <cell r="H2952" t="str">
            <v>consulta_externa</v>
          </cell>
          <cell r="J2952" t="str">
            <v>bueno</v>
          </cell>
          <cell r="K2952" t="str">
            <v>defsi</v>
          </cell>
        </row>
        <row r="2953">
          <cell r="B2953" t="b">
            <v>1</v>
          </cell>
          <cell r="E2953" t="str">
            <v>Esperanza</v>
          </cell>
          <cell r="H2953" t="str">
            <v>electros</v>
          </cell>
          <cell r="J2953" t="str">
            <v>bueno</v>
          </cell>
          <cell r="K2953" t="str">
            <v>defsi</v>
          </cell>
        </row>
        <row r="2954">
          <cell r="B2954" t="b">
            <v>1</v>
          </cell>
          <cell r="E2954" t="str">
            <v>Esperanza</v>
          </cell>
          <cell r="H2954" t="str">
            <v>consulta_externa</v>
          </cell>
          <cell r="J2954" t="str">
            <v>bueno</v>
          </cell>
          <cell r="K2954" t="str">
            <v>defsi</v>
          </cell>
        </row>
        <row r="2955">
          <cell r="B2955" t="b">
            <v>1</v>
          </cell>
          <cell r="E2955" t="str">
            <v>San Vicente de Paul</v>
          </cell>
          <cell r="H2955" t="str">
            <v>consulta_externa</v>
          </cell>
          <cell r="J2955" t="str">
            <v>bueno</v>
          </cell>
          <cell r="K2955" t="str">
            <v>probsi</v>
          </cell>
        </row>
        <row r="2956">
          <cell r="B2956" t="b">
            <v>1</v>
          </cell>
          <cell r="E2956" t="str">
            <v>San Vicente de Paul</v>
          </cell>
          <cell r="H2956" t="str">
            <v>consulta_externa</v>
          </cell>
          <cell r="J2956" t="str">
            <v>bueno</v>
          </cell>
          <cell r="K2956" t="str">
            <v>probsi</v>
          </cell>
        </row>
        <row r="2957">
          <cell r="B2957" t="b">
            <v>1</v>
          </cell>
          <cell r="E2957" t="str">
            <v>San Vicente de Paul</v>
          </cell>
          <cell r="H2957" t="str">
            <v>laboratorio</v>
          </cell>
          <cell r="J2957" t="str">
            <v>bueno</v>
          </cell>
          <cell r="K2957" t="str">
            <v>probsi</v>
          </cell>
        </row>
        <row r="2958">
          <cell r="B2958" t="b">
            <v>1</v>
          </cell>
          <cell r="E2958" t="str">
            <v>San Vicente de Paul</v>
          </cell>
          <cell r="H2958" t="str">
            <v>laboratorio</v>
          </cell>
          <cell r="J2958" t="str">
            <v>bueno</v>
          </cell>
          <cell r="K2958" t="str">
            <v>probsi</v>
          </cell>
        </row>
        <row r="2959">
          <cell r="B2959" t="b">
            <v>1</v>
          </cell>
          <cell r="E2959" t="str">
            <v>Boston</v>
          </cell>
          <cell r="H2959" t="str">
            <v>consulta_externa</v>
          </cell>
          <cell r="J2959" t="str">
            <v>bueno</v>
          </cell>
          <cell r="K2959" t="str">
            <v>probsi</v>
          </cell>
        </row>
        <row r="2960">
          <cell r="B2960" t="b">
            <v>1</v>
          </cell>
          <cell r="E2960" t="str">
            <v>San Vicente de Paul</v>
          </cell>
          <cell r="H2960" t="str">
            <v>laboratorio</v>
          </cell>
          <cell r="J2960" t="str">
            <v>bueno</v>
          </cell>
          <cell r="K2960" t="str">
            <v>probsi</v>
          </cell>
        </row>
        <row r="2961">
          <cell r="B2961" t="b">
            <v>1</v>
          </cell>
          <cell r="E2961" t="str">
            <v>San Vicente de Paul</v>
          </cell>
          <cell r="H2961" t="str">
            <v>consulta_externa</v>
          </cell>
          <cell r="J2961" t="str">
            <v>bueno</v>
          </cell>
          <cell r="K2961" t="str">
            <v>probsi</v>
          </cell>
        </row>
        <row r="2962">
          <cell r="B2962" t="b">
            <v>1</v>
          </cell>
          <cell r="E2962" t="str">
            <v>San Vicente de Paul</v>
          </cell>
          <cell r="H2962" t="str">
            <v>consulta_externa</v>
          </cell>
          <cell r="J2962" t="str">
            <v>bueno</v>
          </cell>
          <cell r="K2962" t="str">
            <v>probsi</v>
          </cell>
        </row>
        <row r="2963">
          <cell r="B2963" t="b">
            <v>1</v>
          </cell>
          <cell r="E2963" t="str">
            <v>San Vicente de Paul</v>
          </cell>
          <cell r="H2963" t="str">
            <v>consulta_externa</v>
          </cell>
          <cell r="J2963" t="str">
            <v>bueno</v>
          </cell>
          <cell r="K2963" t="str">
            <v>probsi</v>
          </cell>
        </row>
        <row r="2964">
          <cell r="B2964" t="b">
            <v>1</v>
          </cell>
          <cell r="E2964" t="str">
            <v>San Vicente de Paul</v>
          </cell>
          <cell r="H2964" t="str">
            <v>consulta_externa</v>
          </cell>
          <cell r="J2964" t="str">
            <v>bueno</v>
          </cell>
          <cell r="K2964" t="str">
            <v>probsi</v>
          </cell>
        </row>
        <row r="2965">
          <cell r="B2965" t="b">
            <v>1</v>
          </cell>
          <cell r="E2965" t="str">
            <v>San Vicente de Paul</v>
          </cell>
          <cell r="H2965" t="str">
            <v>consulta_externa</v>
          </cell>
          <cell r="J2965" t="str">
            <v>bueno</v>
          </cell>
          <cell r="K2965" t="str">
            <v>probsi</v>
          </cell>
        </row>
        <row r="2966">
          <cell r="B2966" t="b">
            <v>1</v>
          </cell>
          <cell r="E2966" t="str">
            <v>San Vicente de Paul</v>
          </cell>
          <cell r="H2966" t="str">
            <v>laboratorio</v>
          </cell>
          <cell r="J2966" t="str">
            <v>bueno</v>
          </cell>
          <cell r="K2966" t="str">
            <v>probsi</v>
          </cell>
        </row>
        <row r="2967">
          <cell r="B2967" t="b">
            <v>1</v>
          </cell>
          <cell r="E2967" t="str">
            <v>San Vicente de Paul</v>
          </cell>
          <cell r="H2967" t="str">
            <v>laboratorio</v>
          </cell>
          <cell r="J2967" t="str">
            <v>bueno</v>
          </cell>
          <cell r="K2967" t="str">
            <v>probsi</v>
          </cell>
        </row>
        <row r="2968">
          <cell r="B2968" t="b">
            <v>1</v>
          </cell>
          <cell r="E2968" t="str">
            <v>San Vicente de Paul</v>
          </cell>
          <cell r="H2968" t="str">
            <v>laboratorio</v>
          </cell>
          <cell r="J2968" t="str">
            <v>bueno</v>
          </cell>
          <cell r="K2968" t="str">
            <v>probsi</v>
          </cell>
        </row>
        <row r="2969">
          <cell r="B2969" t="b">
            <v>1</v>
          </cell>
          <cell r="E2969" t="str">
            <v>San Vicente de Paul</v>
          </cell>
          <cell r="H2969" t="str">
            <v>laboratorio</v>
          </cell>
          <cell r="J2969" t="str">
            <v>bueno</v>
          </cell>
          <cell r="K2969" t="str">
            <v>probsi</v>
          </cell>
        </row>
        <row r="2970">
          <cell r="B2970" t="b">
            <v>1</v>
          </cell>
          <cell r="E2970" t="str">
            <v>Esperanza</v>
          </cell>
          <cell r="H2970" t="str">
            <v>salud_oral</v>
          </cell>
          <cell r="J2970" t="str">
            <v>bueno</v>
          </cell>
          <cell r="K2970" t="str">
            <v>defsi</v>
          </cell>
        </row>
        <row r="2971">
          <cell r="B2971" t="b">
            <v>1</v>
          </cell>
          <cell r="E2971" t="str">
            <v>San Vicente de Paul</v>
          </cell>
          <cell r="H2971" t="str">
            <v>consulta_externa</v>
          </cell>
          <cell r="J2971" t="str">
            <v>bueno</v>
          </cell>
          <cell r="K2971" t="str">
            <v>probsi</v>
          </cell>
        </row>
        <row r="2972">
          <cell r="B2972" t="b">
            <v>1</v>
          </cell>
          <cell r="E2972" t="str">
            <v>San Vicente de Paul</v>
          </cell>
          <cell r="H2972" t="str">
            <v>consulta_externa</v>
          </cell>
          <cell r="J2972" t="str">
            <v>bueno</v>
          </cell>
          <cell r="K2972" t="str">
            <v>probsi</v>
          </cell>
        </row>
        <row r="2973">
          <cell r="B2973" t="b">
            <v>1</v>
          </cell>
          <cell r="E2973" t="str">
            <v>San Vicente de Paul</v>
          </cell>
          <cell r="H2973" t="str">
            <v>consulta_externa</v>
          </cell>
          <cell r="J2973" t="str">
            <v>bueno</v>
          </cell>
          <cell r="K2973" t="str">
            <v>probsi</v>
          </cell>
        </row>
        <row r="2974">
          <cell r="B2974" t="b">
            <v>1</v>
          </cell>
          <cell r="E2974" t="str">
            <v>Esperanza</v>
          </cell>
          <cell r="H2974" t="str">
            <v>laboratorio</v>
          </cell>
          <cell r="J2974" t="str">
            <v>bueno</v>
          </cell>
          <cell r="K2974" t="str">
            <v>defsi</v>
          </cell>
        </row>
        <row r="2975">
          <cell r="B2975" t="b">
            <v>1</v>
          </cell>
          <cell r="E2975" t="str">
            <v>Esperanza</v>
          </cell>
          <cell r="H2975" t="str">
            <v>urgencia</v>
          </cell>
          <cell r="J2975" t="str">
            <v>bueno</v>
          </cell>
          <cell r="K2975" t="str">
            <v>defsi</v>
          </cell>
        </row>
        <row r="2976">
          <cell r="B2976" t="b">
            <v>1</v>
          </cell>
          <cell r="E2976" t="str">
            <v>Esperanza</v>
          </cell>
          <cell r="H2976" t="str">
            <v>electros</v>
          </cell>
          <cell r="J2976" t="str">
            <v>bueno</v>
          </cell>
          <cell r="K2976" t="str">
            <v>defsi</v>
          </cell>
        </row>
        <row r="2977">
          <cell r="B2977" t="b">
            <v>1</v>
          </cell>
          <cell r="E2977" t="str">
            <v>San Vicente de Paul</v>
          </cell>
          <cell r="H2977" t="str">
            <v>consulta_externa</v>
          </cell>
          <cell r="J2977" t="str">
            <v>bueno</v>
          </cell>
          <cell r="K2977" t="str">
            <v>probsi</v>
          </cell>
        </row>
        <row r="2978">
          <cell r="B2978" t="b">
            <v>1</v>
          </cell>
          <cell r="E2978" t="str">
            <v>San Vicente de Paul</v>
          </cell>
          <cell r="H2978" t="str">
            <v>consulta_externa</v>
          </cell>
          <cell r="J2978" t="str">
            <v>bueno</v>
          </cell>
          <cell r="K2978" t="str">
            <v>probsi</v>
          </cell>
        </row>
        <row r="2979">
          <cell r="B2979" t="b">
            <v>1</v>
          </cell>
          <cell r="E2979" t="str">
            <v>San Vicente de Paul</v>
          </cell>
          <cell r="H2979" t="str">
            <v>laboratorio</v>
          </cell>
          <cell r="J2979" t="str">
            <v>bueno</v>
          </cell>
          <cell r="K2979" t="str">
            <v>probsi</v>
          </cell>
        </row>
        <row r="2980">
          <cell r="B2980" t="b">
            <v>1</v>
          </cell>
          <cell r="E2980" t="str">
            <v>San Vicente de Paul</v>
          </cell>
          <cell r="H2980" t="str">
            <v>laboratorio</v>
          </cell>
          <cell r="J2980" t="str">
            <v>bueno</v>
          </cell>
          <cell r="K2980" t="str">
            <v>probsi</v>
          </cell>
        </row>
        <row r="2981">
          <cell r="B2981" t="b">
            <v>1</v>
          </cell>
          <cell r="E2981" t="str">
            <v>San Vicente de Paul</v>
          </cell>
          <cell r="H2981" t="str">
            <v>laboratorio</v>
          </cell>
          <cell r="J2981" t="str">
            <v>bueno</v>
          </cell>
          <cell r="K2981" t="str">
            <v>probsi</v>
          </cell>
        </row>
        <row r="2982">
          <cell r="B2982" t="b">
            <v>1</v>
          </cell>
          <cell r="E2982" t="str">
            <v>San Vicente de Paul</v>
          </cell>
          <cell r="H2982" t="str">
            <v>laboratorio</v>
          </cell>
          <cell r="J2982" t="str">
            <v>bueno</v>
          </cell>
          <cell r="K2982" t="str">
            <v>probsi</v>
          </cell>
        </row>
        <row r="2983">
          <cell r="B2983" t="b">
            <v>1</v>
          </cell>
          <cell r="E2983" t="str">
            <v>San Vicente de Paul</v>
          </cell>
          <cell r="H2983" t="str">
            <v>consulta_externa</v>
          </cell>
          <cell r="J2983" t="str">
            <v>bueno</v>
          </cell>
          <cell r="K2983" t="str">
            <v>probsi</v>
          </cell>
        </row>
        <row r="2984">
          <cell r="B2984" t="b">
            <v>1</v>
          </cell>
          <cell r="E2984" t="str">
            <v>San Vicente de Paul</v>
          </cell>
          <cell r="H2984" t="str">
            <v>consulta_externa</v>
          </cell>
          <cell r="J2984" t="str">
            <v>bueno</v>
          </cell>
          <cell r="K2984" t="str">
            <v>probsi</v>
          </cell>
        </row>
        <row r="2985">
          <cell r="B2985" t="b">
            <v>1</v>
          </cell>
          <cell r="E2985" t="str">
            <v>San Vicente de Paul</v>
          </cell>
          <cell r="H2985" t="str">
            <v>consulta_externa</v>
          </cell>
          <cell r="J2985" t="str">
            <v>bueno</v>
          </cell>
          <cell r="K2985" t="str">
            <v>probsi</v>
          </cell>
        </row>
        <row r="2986">
          <cell r="B2986" t="b">
            <v>1</v>
          </cell>
          <cell r="E2986" t="str">
            <v>San Vicente de Paul</v>
          </cell>
          <cell r="H2986" t="str">
            <v>consulta_externa</v>
          </cell>
          <cell r="J2986" t="str">
            <v>bueno</v>
          </cell>
          <cell r="K2986" t="str">
            <v>probsi</v>
          </cell>
        </row>
        <row r="2987">
          <cell r="B2987" t="b">
            <v>1</v>
          </cell>
          <cell r="E2987" t="str">
            <v>Arroz Barato</v>
          </cell>
          <cell r="H2987" t="str">
            <v>laboratorio</v>
          </cell>
          <cell r="J2987" t="str">
            <v>bueno</v>
          </cell>
          <cell r="K2987" t="str">
            <v>defsi</v>
          </cell>
        </row>
        <row r="2988">
          <cell r="B2988" t="b">
            <v>1</v>
          </cell>
          <cell r="E2988" t="str">
            <v>Arroz Barato</v>
          </cell>
          <cell r="H2988" t="str">
            <v>laboratorio</v>
          </cell>
          <cell r="J2988" t="str">
            <v>bueno</v>
          </cell>
          <cell r="K2988" t="str">
            <v>defsi</v>
          </cell>
        </row>
        <row r="2989">
          <cell r="B2989" t="b">
            <v>1</v>
          </cell>
          <cell r="E2989" t="str">
            <v>Arroz Barato</v>
          </cell>
          <cell r="H2989" t="str">
            <v>consulta_externa</v>
          </cell>
          <cell r="J2989" t="str">
            <v>bueno</v>
          </cell>
          <cell r="K2989" t="str">
            <v>defsi</v>
          </cell>
        </row>
        <row r="2990">
          <cell r="B2990" t="b">
            <v>0</v>
          </cell>
          <cell r="E2990" t="str">
            <v>Arroz Barato</v>
          </cell>
          <cell r="H2990" t="str">
            <v>consulta_externa</v>
          </cell>
          <cell r="J2990" t="str">
            <v>regular</v>
          </cell>
          <cell r="K2990" t="str">
            <v>probsi</v>
          </cell>
        </row>
        <row r="2991">
          <cell r="B2991" t="b">
            <v>1</v>
          </cell>
          <cell r="E2991" t="str">
            <v>San Vicente de Paul</v>
          </cell>
          <cell r="H2991" t="str">
            <v>consulta_externa</v>
          </cell>
          <cell r="J2991" t="str">
            <v>bueno</v>
          </cell>
          <cell r="K2991" t="str">
            <v>probsi</v>
          </cell>
        </row>
        <row r="2992">
          <cell r="B2992" t="b">
            <v>1</v>
          </cell>
          <cell r="E2992" t="str">
            <v>Arroz Barato</v>
          </cell>
          <cell r="H2992" t="str">
            <v>laboratorio</v>
          </cell>
          <cell r="J2992" t="str">
            <v>bueno</v>
          </cell>
          <cell r="K2992" t="str">
            <v>defsi</v>
          </cell>
        </row>
        <row r="2993">
          <cell r="B2993" t="b">
            <v>1</v>
          </cell>
          <cell r="E2993" t="str">
            <v>San Vicente de Paul</v>
          </cell>
          <cell r="H2993" t="str">
            <v>consulta_externa</v>
          </cell>
          <cell r="J2993" t="str">
            <v>bueno</v>
          </cell>
          <cell r="K2993" t="str">
            <v>probsi</v>
          </cell>
        </row>
        <row r="2994">
          <cell r="B2994" t="b">
            <v>1</v>
          </cell>
          <cell r="E2994" t="str">
            <v>San Vicente de Paul</v>
          </cell>
          <cell r="H2994" t="str">
            <v>laboratorio</v>
          </cell>
          <cell r="J2994" t="str">
            <v>bueno</v>
          </cell>
          <cell r="K2994" t="str">
            <v>probsi</v>
          </cell>
        </row>
        <row r="2995">
          <cell r="B2995" t="b">
            <v>1</v>
          </cell>
          <cell r="E2995" t="str">
            <v>San Vicente de Paul</v>
          </cell>
          <cell r="H2995" t="str">
            <v>laboratorio</v>
          </cell>
          <cell r="J2995" t="str">
            <v>bueno</v>
          </cell>
          <cell r="K2995" t="str">
            <v>probsi</v>
          </cell>
        </row>
        <row r="2996">
          <cell r="B2996" t="b">
            <v>1</v>
          </cell>
          <cell r="E2996" t="str">
            <v>Arroz Barato</v>
          </cell>
          <cell r="H2996" t="str">
            <v>laboratorio</v>
          </cell>
          <cell r="J2996" t="str">
            <v>bueno</v>
          </cell>
          <cell r="K2996" t="str">
            <v>defsi</v>
          </cell>
        </row>
        <row r="2997">
          <cell r="B2997" t="b">
            <v>1</v>
          </cell>
          <cell r="E2997" t="str">
            <v>San Vicente de Paul</v>
          </cell>
          <cell r="H2997" t="str">
            <v>consulta_externa</v>
          </cell>
          <cell r="J2997" t="str">
            <v>bueno</v>
          </cell>
          <cell r="K2997" t="str">
            <v>probsi</v>
          </cell>
        </row>
        <row r="2998">
          <cell r="B2998" t="b">
            <v>1</v>
          </cell>
          <cell r="E2998" t="str">
            <v>San Vicente de Paul</v>
          </cell>
          <cell r="H2998" t="str">
            <v>consulta_externa</v>
          </cell>
          <cell r="J2998" t="str">
            <v>bueno</v>
          </cell>
          <cell r="K2998" t="str">
            <v>probsi</v>
          </cell>
        </row>
        <row r="2999">
          <cell r="B2999" t="b">
            <v>1</v>
          </cell>
          <cell r="E2999" t="str">
            <v>Arroz Barato</v>
          </cell>
          <cell r="H2999" t="str">
            <v>consulta_externa</v>
          </cell>
          <cell r="J2999" t="str">
            <v>bueno</v>
          </cell>
          <cell r="K2999" t="str">
            <v>defsi</v>
          </cell>
        </row>
        <row r="3000">
          <cell r="B3000" t="b">
            <v>1</v>
          </cell>
          <cell r="E3000" t="str">
            <v>San Vicente de Paul</v>
          </cell>
          <cell r="H3000" t="str">
            <v>consulta_externa</v>
          </cell>
          <cell r="J3000" t="str">
            <v>bueno</v>
          </cell>
          <cell r="K3000" t="str">
            <v>probsi</v>
          </cell>
        </row>
        <row r="3001">
          <cell r="B3001" t="b">
            <v>1</v>
          </cell>
          <cell r="E3001" t="str">
            <v>San Vicente de Paul</v>
          </cell>
          <cell r="H3001" t="str">
            <v>consulta_externa</v>
          </cell>
          <cell r="J3001" t="str">
            <v>bueno</v>
          </cell>
          <cell r="K3001" t="str">
            <v>probsi</v>
          </cell>
        </row>
        <row r="3002">
          <cell r="B3002" t="b">
            <v>1</v>
          </cell>
          <cell r="E3002" t="str">
            <v>San Vicente de Paul</v>
          </cell>
          <cell r="H3002" t="str">
            <v>consulta_externa</v>
          </cell>
          <cell r="J3002" t="str">
            <v>bueno</v>
          </cell>
          <cell r="K3002" t="str">
            <v>probsi</v>
          </cell>
        </row>
        <row r="3003">
          <cell r="B3003" t="b">
            <v>1</v>
          </cell>
          <cell r="E3003" t="str">
            <v>San Vicente de Paul</v>
          </cell>
          <cell r="H3003" t="str">
            <v>consulta_externa</v>
          </cell>
          <cell r="J3003" t="str">
            <v>bueno</v>
          </cell>
          <cell r="K3003" t="str">
            <v>probsi</v>
          </cell>
        </row>
        <row r="3004">
          <cell r="B3004" t="b">
            <v>1</v>
          </cell>
          <cell r="E3004" t="str">
            <v>San Vicente de Paul</v>
          </cell>
          <cell r="H3004" t="str">
            <v>consulta_externa</v>
          </cell>
          <cell r="J3004" t="str">
            <v>bueno</v>
          </cell>
          <cell r="K3004" t="str">
            <v>probsi</v>
          </cell>
        </row>
        <row r="3005">
          <cell r="B3005" t="b">
            <v>1</v>
          </cell>
          <cell r="E3005" t="str">
            <v>Esperanza</v>
          </cell>
          <cell r="H3005" t="str">
            <v>consulta_externa</v>
          </cell>
          <cell r="J3005" t="str">
            <v>bueno</v>
          </cell>
          <cell r="K3005" t="str">
            <v>defsi</v>
          </cell>
        </row>
        <row r="3006">
          <cell r="B3006" t="b">
            <v>1</v>
          </cell>
          <cell r="E3006" t="str">
            <v>Esperanza</v>
          </cell>
          <cell r="H3006" t="str">
            <v>salud_oral</v>
          </cell>
          <cell r="J3006" t="str">
            <v>bueno</v>
          </cell>
          <cell r="K3006" t="str">
            <v>defsi</v>
          </cell>
        </row>
        <row r="3007">
          <cell r="B3007" t="b">
            <v>1</v>
          </cell>
          <cell r="E3007" t="str">
            <v>San Vicente de Paul</v>
          </cell>
          <cell r="H3007" t="str">
            <v>consulta_externa</v>
          </cell>
          <cell r="J3007" t="str">
            <v>bueno</v>
          </cell>
          <cell r="K3007" t="str">
            <v>probsi</v>
          </cell>
        </row>
        <row r="3008">
          <cell r="B3008" t="b">
            <v>1</v>
          </cell>
          <cell r="E3008" t="str">
            <v>Esperanza</v>
          </cell>
          <cell r="H3008" t="str">
            <v>laboratorio</v>
          </cell>
          <cell r="J3008" t="str">
            <v>bueno</v>
          </cell>
          <cell r="K3008" t="str">
            <v>defsi</v>
          </cell>
        </row>
        <row r="3009">
          <cell r="B3009" t="b">
            <v>1</v>
          </cell>
          <cell r="E3009" t="str">
            <v>San Vicente de Paul</v>
          </cell>
          <cell r="H3009" t="str">
            <v>consulta_externa</v>
          </cell>
          <cell r="J3009" t="str">
            <v>bueno</v>
          </cell>
          <cell r="K3009" t="str">
            <v>probsi</v>
          </cell>
        </row>
        <row r="3010">
          <cell r="B3010" t="b">
            <v>1</v>
          </cell>
          <cell r="E3010" t="str">
            <v>San Vicente de Paul</v>
          </cell>
          <cell r="H3010" t="str">
            <v>consulta_externa</v>
          </cell>
          <cell r="J3010" t="str">
            <v>bueno</v>
          </cell>
          <cell r="K3010" t="str">
            <v>probsi</v>
          </cell>
        </row>
        <row r="3011">
          <cell r="B3011" t="b">
            <v>1</v>
          </cell>
          <cell r="E3011" t="str">
            <v>San Vicente de Paul</v>
          </cell>
          <cell r="H3011" t="str">
            <v>consulta_externa</v>
          </cell>
          <cell r="J3011" t="str">
            <v>bueno</v>
          </cell>
          <cell r="K3011" t="str">
            <v>probsi</v>
          </cell>
        </row>
        <row r="3012">
          <cell r="B3012" t="b">
            <v>1</v>
          </cell>
          <cell r="E3012" t="str">
            <v>Esperanza</v>
          </cell>
          <cell r="H3012" t="str">
            <v>urgencia</v>
          </cell>
          <cell r="J3012" t="str">
            <v>bueno</v>
          </cell>
          <cell r="K3012" t="str">
            <v>defsi</v>
          </cell>
        </row>
        <row r="3013">
          <cell r="B3013" t="b">
            <v>1</v>
          </cell>
          <cell r="E3013" t="str">
            <v>San Vicente de Paul</v>
          </cell>
          <cell r="H3013" t="str">
            <v>consulta_externa</v>
          </cell>
          <cell r="J3013" t="str">
            <v>bueno</v>
          </cell>
          <cell r="K3013" t="str">
            <v>probsi</v>
          </cell>
        </row>
        <row r="3014">
          <cell r="B3014" t="b">
            <v>1</v>
          </cell>
          <cell r="E3014" t="str">
            <v>San Vicente de Paul</v>
          </cell>
          <cell r="H3014" t="str">
            <v>consulta_externa</v>
          </cell>
          <cell r="J3014" t="str">
            <v>bueno</v>
          </cell>
          <cell r="K3014" t="str">
            <v>probsi</v>
          </cell>
        </row>
        <row r="3015">
          <cell r="B3015" t="b">
            <v>1</v>
          </cell>
          <cell r="E3015" t="str">
            <v>San Vicente de Paul</v>
          </cell>
          <cell r="H3015" t="str">
            <v>laboratorio</v>
          </cell>
          <cell r="J3015" t="str">
            <v>bueno</v>
          </cell>
          <cell r="K3015" t="str">
            <v>probsi</v>
          </cell>
        </row>
        <row r="3016">
          <cell r="B3016" t="b">
            <v>1</v>
          </cell>
          <cell r="E3016" t="str">
            <v>San Vicente de Paul</v>
          </cell>
          <cell r="H3016" t="str">
            <v>laboratorio</v>
          </cell>
          <cell r="J3016" t="str">
            <v>bueno</v>
          </cell>
          <cell r="K3016" t="str">
            <v>probsi</v>
          </cell>
        </row>
        <row r="3017">
          <cell r="B3017" t="b">
            <v>1</v>
          </cell>
          <cell r="E3017" t="str">
            <v>San Vicente de Paul</v>
          </cell>
          <cell r="H3017" t="str">
            <v>laboratorio</v>
          </cell>
          <cell r="J3017" t="str">
            <v>bueno</v>
          </cell>
          <cell r="K3017" t="str">
            <v>probsi</v>
          </cell>
        </row>
        <row r="3018">
          <cell r="B3018" t="b">
            <v>1</v>
          </cell>
          <cell r="E3018" t="str">
            <v>Esperanza</v>
          </cell>
          <cell r="H3018" t="str">
            <v>electros</v>
          </cell>
          <cell r="J3018" t="str">
            <v>bueno</v>
          </cell>
          <cell r="K3018" t="str">
            <v>defsi</v>
          </cell>
        </row>
        <row r="3019">
          <cell r="B3019" t="b">
            <v>0</v>
          </cell>
          <cell r="E3019" t="str">
            <v>Arroz Barato</v>
          </cell>
          <cell r="H3019" t="str">
            <v>consulta_externa</v>
          </cell>
          <cell r="J3019" t="str">
            <v>regular</v>
          </cell>
          <cell r="K3019" t="str">
            <v>probsi</v>
          </cell>
        </row>
        <row r="3020">
          <cell r="B3020" t="b">
            <v>1</v>
          </cell>
          <cell r="E3020" t="str">
            <v>Arroz Barato</v>
          </cell>
          <cell r="H3020" t="str">
            <v>consulta_externa</v>
          </cell>
          <cell r="J3020" t="str">
            <v>bueno</v>
          </cell>
          <cell r="K3020" t="str">
            <v>defsi</v>
          </cell>
        </row>
        <row r="3021">
          <cell r="B3021" t="b">
            <v>1</v>
          </cell>
          <cell r="E3021" t="str">
            <v>Esperanza</v>
          </cell>
          <cell r="H3021" t="str">
            <v>consulta_externa</v>
          </cell>
          <cell r="J3021" t="str">
            <v>bueno</v>
          </cell>
          <cell r="K3021" t="str">
            <v>defsi</v>
          </cell>
        </row>
        <row r="3022">
          <cell r="B3022" t="b">
            <v>1</v>
          </cell>
          <cell r="E3022" t="str">
            <v>Arroz Barato</v>
          </cell>
          <cell r="H3022" t="str">
            <v>salud_oral</v>
          </cell>
          <cell r="J3022" t="str">
            <v>bueno</v>
          </cell>
          <cell r="K3022" t="str">
            <v>defsi</v>
          </cell>
        </row>
        <row r="3023">
          <cell r="B3023" t="b">
            <v>1</v>
          </cell>
          <cell r="E3023" t="str">
            <v>Arroz Barato</v>
          </cell>
          <cell r="H3023" t="str">
            <v>salud_oral</v>
          </cell>
          <cell r="J3023" t="str">
            <v>bueno</v>
          </cell>
          <cell r="K3023" t="str">
            <v>defsi</v>
          </cell>
        </row>
        <row r="3024">
          <cell r="B3024" t="b">
            <v>1</v>
          </cell>
          <cell r="E3024" t="str">
            <v>Arroz Barato</v>
          </cell>
          <cell r="H3024" t="str">
            <v>rx</v>
          </cell>
          <cell r="J3024" t="str">
            <v>bueno</v>
          </cell>
          <cell r="K3024" t="str">
            <v>defsi</v>
          </cell>
        </row>
        <row r="3025">
          <cell r="B3025" t="b">
            <v>1</v>
          </cell>
          <cell r="E3025" t="str">
            <v>Arroz Barato</v>
          </cell>
          <cell r="H3025" t="str">
            <v>rx</v>
          </cell>
          <cell r="J3025" t="str">
            <v>bueno</v>
          </cell>
          <cell r="K3025" t="str">
            <v>defsi</v>
          </cell>
        </row>
        <row r="3026">
          <cell r="B3026" t="b">
            <v>1</v>
          </cell>
          <cell r="E3026" t="str">
            <v>Arroz Barato</v>
          </cell>
          <cell r="H3026" t="str">
            <v>rx</v>
          </cell>
          <cell r="J3026" t="str">
            <v>bueno</v>
          </cell>
          <cell r="K3026" t="str">
            <v>defsi</v>
          </cell>
        </row>
        <row r="3027">
          <cell r="B3027" t="b">
            <v>1</v>
          </cell>
          <cell r="E3027" t="str">
            <v>Arroz Barato</v>
          </cell>
          <cell r="H3027" t="str">
            <v>rx</v>
          </cell>
          <cell r="J3027" t="str">
            <v>bueno</v>
          </cell>
          <cell r="K3027" t="str">
            <v>defsi</v>
          </cell>
        </row>
        <row r="3028">
          <cell r="B3028" t="b">
            <v>1</v>
          </cell>
          <cell r="E3028" t="str">
            <v>Arroz Barato</v>
          </cell>
          <cell r="H3028" t="str">
            <v>consulta_externa</v>
          </cell>
          <cell r="J3028" t="str">
            <v>bueno</v>
          </cell>
          <cell r="K3028" t="str">
            <v>defsi</v>
          </cell>
        </row>
        <row r="3029">
          <cell r="B3029" t="b">
            <v>1</v>
          </cell>
          <cell r="E3029" t="str">
            <v>Gaviotas</v>
          </cell>
          <cell r="H3029" t="str">
            <v>consulta_externa</v>
          </cell>
          <cell r="J3029" t="str">
            <v>bueno</v>
          </cell>
          <cell r="K3029" t="str">
            <v>probsi</v>
          </cell>
        </row>
        <row r="3030">
          <cell r="B3030" t="b">
            <v>1</v>
          </cell>
          <cell r="E3030" t="str">
            <v>Gaviotas</v>
          </cell>
          <cell r="H3030" t="str">
            <v>consulta_externa</v>
          </cell>
          <cell r="J3030" t="str">
            <v>bueno</v>
          </cell>
          <cell r="K3030" t="str">
            <v>probsi</v>
          </cell>
        </row>
        <row r="3031">
          <cell r="B3031" t="b">
            <v>1</v>
          </cell>
          <cell r="E3031" t="str">
            <v>Gaviotas</v>
          </cell>
          <cell r="H3031" t="str">
            <v>consulta_externa</v>
          </cell>
          <cell r="J3031" t="str">
            <v>bueno</v>
          </cell>
          <cell r="K3031" t="str">
            <v>probsi</v>
          </cell>
        </row>
        <row r="3032">
          <cell r="B3032" t="b">
            <v>1</v>
          </cell>
          <cell r="E3032" t="str">
            <v>Gaviotas</v>
          </cell>
          <cell r="H3032" t="str">
            <v>consulta_externa</v>
          </cell>
          <cell r="J3032" t="str">
            <v>bueno</v>
          </cell>
          <cell r="K3032" t="str">
            <v>probsi</v>
          </cell>
        </row>
        <row r="3033">
          <cell r="B3033" t="b">
            <v>1</v>
          </cell>
          <cell r="E3033" t="str">
            <v>Gaviotas</v>
          </cell>
          <cell r="H3033" t="str">
            <v>consulta_externa</v>
          </cell>
          <cell r="J3033" t="str">
            <v>muybueno</v>
          </cell>
          <cell r="K3033" t="str">
            <v>probsi</v>
          </cell>
        </row>
        <row r="3034">
          <cell r="B3034" t="b">
            <v>1</v>
          </cell>
          <cell r="E3034" t="str">
            <v>Gaviotas</v>
          </cell>
          <cell r="H3034" t="str">
            <v>laboratorio</v>
          </cell>
          <cell r="J3034" t="str">
            <v>bueno</v>
          </cell>
          <cell r="K3034" t="str">
            <v>probsi</v>
          </cell>
        </row>
        <row r="3035">
          <cell r="B3035" t="b">
            <v>1</v>
          </cell>
          <cell r="E3035" t="str">
            <v>Gaviotas</v>
          </cell>
          <cell r="H3035" t="str">
            <v>laboratorio</v>
          </cell>
          <cell r="J3035" t="str">
            <v>bueno</v>
          </cell>
          <cell r="K3035" t="str">
            <v>probsi</v>
          </cell>
        </row>
        <row r="3036">
          <cell r="B3036" t="b">
            <v>1</v>
          </cell>
          <cell r="E3036" t="str">
            <v>Arroz Barato</v>
          </cell>
          <cell r="H3036" t="str">
            <v>urgencia</v>
          </cell>
          <cell r="J3036" t="str">
            <v>bueno</v>
          </cell>
          <cell r="K3036" t="str">
            <v>defsi</v>
          </cell>
        </row>
        <row r="3037">
          <cell r="B3037" t="b">
            <v>1</v>
          </cell>
          <cell r="E3037" t="str">
            <v>Gaviotas</v>
          </cell>
          <cell r="H3037" t="str">
            <v>laboratorio</v>
          </cell>
          <cell r="J3037" t="str">
            <v>bueno</v>
          </cell>
          <cell r="K3037" t="str">
            <v>probsi</v>
          </cell>
        </row>
        <row r="3038">
          <cell r="B3038" t="b">
            <v>1</v>
          </cell>
          <cell r="E3038" t="str">
            <v>Arroz Barato</v>
          </cell>
          <cell r="H3038" t="str">
            <v>laboratorio</v>
          </cell>
          <cell r="J3038" t="str">
            <v>bueno</v>
          </cell>
          <cell r="K3038" t="str">
            <v>defsi</v>
          </cell>
        </row>
        <row r="3039">
          <cell r="B3039" t="b">
            <v>1</v>
          </cell>
          <cell r="E3039" t="str">
            <v>Boston</v>
          </cell>
          <cell r="H3039" t="str">
            <v>consulta_externa</v>
          </cell>
          <cell r="J3039" t="str">
            <v>bueno</v>
          </cell>
          <cell r="K3039" t="str">
            <v>probsi</v>
          </cell>
        </row>
        <row r="3040">
          <cell r="B3040" t="b">
            <v>1</v>
          </cell>
          <cell r="E3040" t="str">
            <v>Arroz Barato</v>
          </cell>
          <cell r="H3040" t="str">
            <v>urgencia</v>
          </cell>
          <cell r="J3040" t="str">
            <v>bueno</v>
          </cell>
          <cell r="K3040" t="str">
            <v>defsi</v>
          </cell>
        </row>
        <row r="3041">
          <cell r="B3041" t="b">
            <v>1</v>
          </cell>
          <cell r="E3041" t="str">
            <v>Boston</v>
          </cell>
          <cell r="H3041" t="str">
            <v>consulta_externa</v>
          </cell>
          <cell r="J3041" t="str">
            <v>bueno</v>
          </cell>
          <cell r="K3041" t="str">
            <v>probsi</v>
          </cell>
        </row>
        <row r="3042">
          <cell r="B3042" t="b">
            <v>1</v>
          </cell>
          <cell r="E3042" t="str">
            <v>Boston</v>
          </cell>
          <cell r="H3042" t="str">
            <v>consulta_externa</v>
          </cell>
          <cell r="J3042" t="str">
            <v>bueno</v>
          </cell>
          <cell r="K3042" t="str">
            <v>probsi</v>
          </cell>
        </row>
        <row r="3043">
          <cell r="B3043" t="b">
            <v>1</v>
          </cell>
          <cell r="E3043" t="str">
            <v>Boston</v>
          </cell>
          <cell r="H3043" t="str">
            <v>consulta_externa</v>
          </cell>
          <cell r="J3043" t="str">
            <v>bueno</v>
          </cell>
          <cell r="K3043" t="str">
            <v>probsi</v>
          </cell>
        </row>
        <row r="3044">
          <cell r="B3044" t="b">
            <v>1</v>
          </cell>
          <cell r="E3044" t="str">
            <v>Gaviotas</v>
          </cell>
          <cell r="H3044" t="str">
            <v>consulta_externa</v>
          </cell>
          <cell r="J3044" t="str">
            <v>bueno</v>
          </cell>
          <cell r="K3044" t="str">
            <v>probsi</v>
          </cell>
        </row>
        <row r="3045">
          <cell r="B3045" t="b">
            <v>1</v>
          </cell>
          <cell r="E3045" t="str">
            <v>Gaviotas</v>
          </cell>
          <cell r="H3045" t="str">
            <v>consulta_externa</v>
          </cell>
          <cell r="J3045" t="str">
            <v>bueno</v>
          </cell>
          <cell r="K3045" t="str">
            <v>probsi</v>
          </cell>
        </row>
        <row r="3046">
          <cell r="B3046" t="b">
            <v>1</v>
          </cell>
          <cell r="E3046" t="str">
            <v>Gaviotas</v>
          </cell>
          <cell r="H3046" t="str">
            <v>salud_oral</v>
          </cell>
          <cell r="J3046" t="str">
            <v>bueno</v>
          </cell>
          <cell r="K3046" t="str">
            <v>probsi</v>
          </cell>
        </row>
        <row r="3047">
          <cell r="B3047" t="b">
            <v>1</v>
          </cell>
          <cell r="E3047" t="str">
            <v>Gaviotas</v>
          </cell>
          <cell r="H3047" t="str">
            <v>laboratorio</v>
          </cell>
          <cell r="J3047" t="str">
            <v>bueno</v>
          </cell>
          <cell r="K3047" t="str">
            <v>probsi</v>
          </cell>
        </row>
        <row r="3048">
          <cell r="B3048" t="b">
            <v>1</v>
          </cell>
          <cell r="E3048" t="str">
            <v>Esperanza</v>
          </cell>
          <cell r="H3048" t="str">
            <v>salud_oral</v>
          </cell>
          <cell r="J3048" t="str">
            <v>bueno</v>
          </cell>
          <cell r="K3048" t="str">
            <v>defsi</v>
          </cell>
        </row>
        <row r="3049">
          <cell r="B3049" t="b">
            <v>1</v>
          </cell>
          <cell r="E3049" t="str">
            <v>Esperanza</v>
          </cell>
          <cell r="H3049" t="str">
            <v>laboratorio</v>
          </cell>
          <cell r="J3049" t="str">
            <v>bueno</v>
          </cell>
          <cell r="K3049" t="str">
            <v>defsi</v>
          </cell>
        </row>
        <row r="3050">
          <cell r="B3050" t="b">
            <v>1</v>
          </cell>
          <cell r="E3050" t="str">
            <v>Esperanza</v>
          </cell>
          <cell r="H3050" t="str">
            <v>urgencia</v>
          </cell>
          <cell r="J3050" t="str">
            <v>bueno</v>
          </cell>
          <cell r="K3050" t="str">
            <v>defsi</v>
          </cell>
        </row>
        <row r="3051">
          <cell r="B3051" t="b">
            <v>1</v>
          </cell>
          <cell r="E3051" t="str">
            <v>Esperanza</v>
          </cell>
          <cell r="H3051" t="str">
            <v>electros</v>
          </cell>
          <cell r="J3051" t="str">
            <v>bueno</v>
          </cell>
          <cell r="K3051" t="str">
            <v>defsi</v>
          </cell>
        </row>
        <row r="3052">
          <cell r="B3052" t="b">
            <v>1</v>
          </cell>
          <cell r="E3052" t="str">
            <v>Gaviotas</v>
          </cell>
          <cell r="H3052" t="str">
            <v>consulta_externa</v>
          </cell>
          <cell r="J3052" t="str">
            <v>bueno</v>
          </cell>
          <cell r="K3052" t="str">
            <v>probsi</v>
          </cell>
        </row>
        <row r="3053">
          <cell r="B3053" t="b">
            <v>1</v>
          </cell>
          <cell r="E3053" t="str">
            <v>Gaviotas</v>
          </cell>
          <cell r="H3053" t="str">
            <v>laboratorio</v>
          </cell>
          <cell r="J3053" t="str">
            <v>bueno</v>
          </cell>
          <cell r="K3053" t="str">
            <v>probsi</v>
          </cell>
        </row>
        <row r="3054">
          <cell r="B3054" t="b">
            <v>1</v>
          </cell>
          <cell r="E3054" t="str">
            <v>Gaviotas</v>
          </cell>
          <cell r="H3054" t="str">
            <v>consulta_externa</v>
          </cell>
          <cell r="J3054" t="str">
            <v>bueno</v>
          </cell>
          <cell r="K3054" t="str">
            <v>probsi</v>
          </cell>
        </row>
        <row r="3055">
          <cell r="B3055" t="b">
            <v>1</v>
          </cell>
          <cell r="E3055" t="str">
            <v>Gaviotas</v>
          </cell>
          <cell r="H3055" t="str">
            <v>laboratorio</v>
          </cell>
          <cell r="J3055" t="str">
            <v>bueno</v>
          </cell>
          <cell r="K3055" t="str">
            <v>probsi</v>
          </cell>
        </row>
        <row r="3056">
          <cell r="B3056" t="b">
            <v>1</v>
          </cell>
          <cell r="E3056" t="str">
            <v>Gaviotas</v>
          </cell>
          <cell r="H3056" t="str">
            <v>laboratorio</v>
          </cell>
          <cell r="J3056" t="str">
            <v>bueno</v>
          </cell>
          <cell r="K3056" t="str">
            <v>probsi</v>
          </cell>
        </row>
        <row r="3057">
          <cell r="B3057" t="b">
            <v>1</v>
          </cell>
          <cell r="E3057" t="str">
            <v>Gaviotas</v>
          </cell>
          <cell r="H3057" t="str">
            <v>consulta_externa</v>
          </cell>
          <cell r="J3057" t="str">
            <v>bueno</v>
          </cell>
          <cell r="K3057" t="str">
            <v>probsi</v>
          </cell>
        </row>
        <row r="3058">
          <cell r="B3058" t="b">
            <v>1</v>
          </cell>
          <cell r="E3058" t="str">
            <v>Gaviotas</v>
          </cell>
          <cell r="H3058" t="str">
            <v>laboratorio</v>
          </cell>
          <cell r="J3058" t="str">
            <v>bueno</v>
          </cell>
          <cell r="K3058" t="str">
            <v>probsi</v>
          </cell>
        </row>
        <row r="3059">
          <cell r="B3059" t="b">
            <v>1</v>
          </cell>
          <cell r="E3059" t="str">
            <v>Arroz Barato</v>
          </cell>
          <cell r="H3059" t="str">
            <v>urgencia</v>
          </cell>
          <cell r="J3059" t="str">
            <v>muybueno</v>
          </cell>
          <cell r="K3059" t="str">
            <v>defsi</v>
          </cell>
        </row>
        <row r="3060">
          <cell r="B3060" t="b">
            <v>1</v>
          </cell>
          <cell r="E3060" t="str">
            <v>Gaviotas</v>
          </cell>
          <cell r="H3060" t="str">
            <v>consulta_externa</v>
          </cell>
          <cell r="J3060" t="str">
            <v>muybueno</v>
          </cell>
          <cell r="K3060" t="str">
            <v>probsi</v>
          </cell>
        </row>
        <row r="3061">
          <cell r="B3061" t="b">
            <v>1</v>
          </cell>
          <cell r="E3061" t="str">
            <v>Gaviotas</v>
          </cell>
          <cell r="H3061" t="str">
            <v>salud_oral</v>
          </cell>
          <cell r="J3061" t="str">
            <v>bueno</v>
          </cell>
          <cell r="K3061" t="str">
            <v>probsi</v>
          </cell>
        </row>
        <row r="3062">
          <cell r="B3062" t="b">
            <v>1</v>
          </cell>
          <cell r="E3062" t="str">
            <v>Gaviotas</v>
          </cell>
          <cell r="H3062" t="str">
            <v>laboratorio</v>
          </cell>
          <cell r="J3062" t="str">
            <v>bueno</v>
          </cell>
          <cell r="K3062" t="str">
            <v>probsi</v>
          </cell>
        </row>
        <row r="3063">
          <cell r="B3063" t="b">
            <v>1</v>
          </cell>
          <cell r="E3063" t="str">
            <v>Gaviotas</v>
          </cell>
          <cell r="H3063" t="str">
            <v>consulta_externa</v>
          </cell>
          <cell r="J3063" t="str">
            <v>bueno</v>
          </cell>
          <cell r="K3063" t="str">
            <v>probsi</v>
          </cell>
        </row>
        <row r="3064">
          <cell r="B3064" t="b">
            <v>1</v>
          </cell>
          <cell r="E3064" t="str">
            <v>Gaviotas</v>
          </cell>
          <cell r="H3064" t="str">
            <v>laboratorio</v>
          </cell>
          <cell r="J3064" t="str">
            <v>bueno</v>
          </cell>
          <cell r="K3064" t="str">
            <v>probsi</v>
          </cell>
        </row>
        <row r="3065">
          <cell r="B3065" t="b">
            <v>1</v>
          </cell>
          <cell r="E3065" t="str">
            <v>Gaviotas</v>
          </cell>
          <cell r="H3065" t="str">
            <v>salud_oral</v>
          </cell>
          <cell r="J3065" t="str">
            <v>bueno</v>
          </cell>
          <cell r="K3065" t="str">
            <v>probsi</v>
          </cell>
        </row>
        <row r="3066">
          <cell r="B3066" t="b">
            <v>1</v>
          </cell>
          <cell r="E3066" t="str">
            <v>Gaviotas</v>
          </cell>
          <cell r="H3066" t="str">
            <v>salud_oral</v>
          </cell>
          <cell r="J3066" t="str">
            <v>bueno</v>
          </cell>
          <cell r="K3066" t="str">
            <v>probsi</v>
          </cell>
        </row>
        <row r="3067">
          <cell r="B3067" t="b">
            <v>1</v>
          </cell>
          <cell r="E3067" t="str">
            <v>Gaviotas</v>
          </cell>
          <cell r="H3067" t="str">
            <v>salud_oral</v>
          </cell>
          <cell r="J3067" t="str">
            <v>muybueno</v>
          </cell>
          <cell r="K3067" t="str">
            <v>probsi</v>
          </cell>
        </row>
        <row r="3068">
          <cell r="B3068" t="b">
            <v>1</v>
          </cell>
          <cell r="E3068" t="str">
            <v>Gaviotas</v>
          </cell>
          <cell r="H3068" t="str">
            <v>salud_oral</v>
          </cell>
          <cell r="J3068" t="str">
            <v>muybueno</v>
          </cell>
          <cell r="K3068" t="str">
            <v>probsi</v>
          </cell>
        </row>
        <row r="3069">
          <cell r="B3069" t="b">
            <v>1</v>
          </cell>
          <cell r="E3069" t="str">
            <v>Gaviotas</v>
          </cell>
          <cell r="H3069" t="str">
            <v>laboratorio</v>
          </cell>
          <cell r="J3069" t="str">
            <v>bueno</v>
          </cell>
          <cell r="K3069" t="str">
            <v>probsi</v>
          </cell>
        </row>
        <row r="3070">
          <cell r="B3070" t="b">
            <v>1</v>
          </cell>
          <cell r="E3070" t="str">
            <v>Gaviotas</v>
          </cell>
          <cell r="H3070" t="str">
            <v>salud_oral</v>
          </cell>
          <cell r="J3070" t="str">
            <v>bueno</v>
          </cell>
          <cell r="K3070" t="str">
            <v>probsi</v>
          </cell>
        </row>
        <row r="3071">
          <cell r="B3071" t="b">
            <v>1</v>
          </cell>
          <cell r="E3071" t="str">
            <v>Gaviotas</v>
          </cell>
          <cell r="H3071" t="str">
            <v>salud_oral</v>
          </cell>
          <cell r="J3071" t="str">
            <v>muybueno</v>
          </cell>
          <cell r="K3071" t="str">
            <v>probsi</v>
          </cell>
        </row>
        <row r="3072">
          <cell r="B3072" t="b">
            <v>1</v>
          </cell>
          <cell r="E3072" t="str">
            <v>Gaviotas</v>
          </cell>
          <cell r="H3072" t="str">
            <v>salud_oral</v>
          </cell>
          <cell r="J3072" t="str">
            <v>bueno</v>
          </cell>
          <cell r="K3072" t="str">
            <v>probsi</v>
          </cell>
        </row>
        <row r="3073">
          <cell r="B3073" t="b">
            <v>1</v>
          </cell>
          <cell r="E3073" t="str">
            <v>Esperanza</v>
          </cell>
          <cell r="H3073" t="str">
            <v>consulta_externa</v>
          </cell>
          <cell r="J3073" t="str">
            <v>bueno</v>
          </cell>
          <cell r="K3073" t="str">
            <v>defsi</v>
          </cell>
        </row>
        <row r="3074">
          <cell r="B3074" t="b">
            <v>1</v>
          </cell>
          <cell r="E3074" t="str">
            <v>Esperanza</v>
          </cell>
          <cell r="H3074" t="str">
            <v>salud_oral</v>
          </cell>
          <cell r="J3074" t="str">
            <v>bueno</v>
          </cell>
          <cell r="K3074" t="str">
            <v>defsi</v>
          </cell>
        </row>
        <row r="3075">
          <cell r="B3075" t="b">
            <v>1</v>
          </cell>
          <cell r="E3075" t="str">
            <v>Arroz Barato</v>
          </cell>
          <cell r="H3075" t="str">
            <v>consulta_externa</v>
          </cell>
          <cell r="J3075" t="str">
            <v>bueno</v>
          </cell>
          <cell r="K3075" t="str">
            <v>defsi</v>
          </cell>
        </row>
        <row r="3076">
          <cell r="B3076" t="b">
            <v>1</v>
          </cell>
          <cell r="E3076" t="str">
            <v>Arroz Barato</v>
          </cell>
          <cell r="H3076" t="str">
            <v>salud_oral</v>
          </cell>
          <cell r="J3076" t="str">
            <v>bueno</v>
          </cell>
          <cell r="K3076" t="str">
            <v>defsi</v>
          </cell>
        </row>
        <row r="3077">
          <cell r="B3077" t="b">
            <v>1</v>
          </cell>
          <cell r="E3077" t="str">
            <v>Arroz Barato</v>
          </cell>
          <cell r="H3077" t="str">
            <v>salud_oral</v>
          </cell>
          <cell r="J3077" t="str">
            <v>bueno</v>
          </cell>
          <cell r="K3077" t="str">
            <v>probsi</v>
          </cell>
        </row>
        <row r="3078">
          <cell r="B3078" t="b">
            <v>1</v>
          </cell>
          <cell r="E3078" t="str">
            <v>Arroz Barato</v>
          </cell>
          <cell r="H3078" t="str">
            <v>salud_oral</v>
          </cell>
          <cell r="J3078" t="str">
            <v>muybueno</v>
          </cell>
          <cell r="K3078" t="str">
            <v>defsi</v>
          </cell>
        </row>
        <row r="3079">
          <cell r="B3079" t="b">
            <v>1</v>
          </cell>
          <cell r="E3079" t="str">
            <v>Arroz Barato</v>
          </cell>
          <cell r="H3079" t="str">
            <v>consulta_externa</v>
          </cell>
          <cell r="J3079" t="str">
            <v>muybueno</v>
          </cell>
          <cell r="K3079" t="str">
            <v>defsi</v>
          </cell>
        </row>
        <row r="3080">
          <cell r="B3080" t="b">
            <v>1</v>
          </cell>
          <cell r="E3080" t="str">
            <v>Arroz Barato</v>
          </cell>
          <cell r="H3080" t="str">
            <v>consulta_externa</v>
          </cell>
          <cell r="J3080" t="str">
            <v>bueno</v>
          </cell>
          <cell r="K3080" t="str">
            <v>defsi</v>
          </cell>
        </row>
        <row r="3081">
          <cell r="B3081" t="b">
            <v>1</v>
          </cell>
          <cell r="E3081" t="str">
            <v>Arroz Barato</v>
          </cell>
          <cell r="H3081" t="str">
            <v>laboratorio</v>
          </cell>
          <cell r="J3081" t="str">
            <v>bueno</v>
          </cell>
          <cell r="K3081" t="str">
            <v>probno</v>
          </cell>
        </row>
        <row r="3082">
          <cell r="B3082" t="b">
            <v>1</v>
          </cell>
          <cell r="E3082" t="str">
            <v>Esperanza</v>
          </cell>
          <cell r="H3082" t="str">
            <v>laboratorio</v>
          </cell>
          <cell r="J3082" t="str">
            <v>bueno</v>
          </cell>
          <cell r="K3082" t="str">
            <v>defsi</v>
          </cell>
        </row>
        <row r="3083">
          <cell r="B3083" t="b">
            <v>1</v>
          </cell>
          <cell r="E3083" t="str">
            <v>Arroz Barato</v>
          </cell>
          <cell r="H3083" t="str">
            <v>salud_oral</v>
          </cell>
          <cell r="J3083" t="str">
            <v>bueno</v>
          </cell>
          <cell r="K3083" t="str">
            <v>defsi</v>
          </cell>
        </row>
        <row r="3084">
          <cell r="B3084" t="b">
            <v>1</v>
          </cell>
          <cell r="E3084" t="str">
            <v>Esperanza</v>
          </cell>
          <cell r="H3084" t="str">
            <v>urgencia</v>
          </cell>
          <cell r="J3084" t="str">
            <v>bueno</v>
          </cell>
          <cell r="K3084" t="str">
            <v>defsi</v>
          </cell>
        </row>
        <row r="3085">
          <cell r="B3085" t="b">
            <v>1</v>
          </cell>
          <cell r="E3085" t="str">
            <v>Arroz Barato</v>
          </cell>
          <cell r="H3085" t="str">
            <v>salud_oral</v>
          </cell>
          <cell r="J3085" t="str">
            <v>bueno</v>
          </cell>
          <cell r="K3085" t="str">
            <v>defsi</v>
          </cell>
        </row>
        <row r="3086">
          <cell r="B3086" t="b">
            <v>1</v>
          </cell>
          <cell r="E3086" t="str">
            <v>Esperanza</v>
          </cell>
          <cell r="H3086" t="str">
            <v>electros</v>
          </cell>
          <cell r="J3086" t="str">
            <v>bueno</v>
          </cell>
          <cell r="K3086" t="str">
            <v>defsi</v>
          </cell>
        </row>
        <row r="3087">
          <cell r="B3087" t="b">
            <v>1</v>
          </cell>
          <cell r="E3087" t="str">
            <v>Esperanza</v>
          </cell>
          <cell r="H3087" t="str">
            <v>consulta_externa</v>
          </cell>
          <cell r="J3087" t="str">
            <v>bueno</v>
          </cell>
          <cell r="K3087" t="str">
            <v>defsi</v>
          </cell>
        </row>
        <row r="3088">
          <cell r="B3088" t="b">
            <v>1</v>
          </cell>
          <cell r="E3088" t="str">
            <v>Esperanza</v>
          </cell>
          <cell r="H3088" t="str">
            <v>salud_oral</v>
          </cell>
          <cell r="J3088" t="str">
            <v>bueno</v>
          </cell>
          <cell r="K3088" t="str">
            <v>defsi</v>
          </cell>
        </row>
        <row r="3089">
          <cell r="B3089" t="b">
            <v>1</v>
          </cell>
          <cell r="E3089" t="str">
            <v>Esperanza</v>
          </cell>
          <cell r="H3089" t="str">
            <v>laboratorio</v>
          </cell>
          <cell r="J3089" t="str">
            <v>bueno</v>
          </cell>
          <cell r="K3089" t="str">
            <v>defsi</v>
          </cell>
        </row>
        <row r="3090">
          <cell r="B3090" t="b">
            <v>1</v>
          </cell>
          <cell r="E3090" t="str">
            <v>Esperanza</v>
          </cell>
          <cell r="H3090" t="str">
            <v>urgencia</v>
          </cell>
          <cell r="J3090" t="str">
            <v>bueno</v>
          </cell>
          <cell r="K3090" t="str">
            <v>defsi</v>
          </cell>
        </row>
        <row r="3091">
          <cell r="B3091" t="b">
            <v>1</v>
          </cell>
          <cell r="E3091" t="str">
            <v>Esperanza</v>
          </cell>
          <cell r="H3091" t="str">
            <v>electros</v>
          </cell>
          <cell r="J3091" t="str">
            <v>bueno</v>
          </cell>
          <cell r="K3091" t="str">
            <v>defsi</v>
          </cell>
        </row>
        <row r="3092">
          <cell r="B3092" t="b">
            <v>1</v>
          </cell>
          <cell r="E3092" t="str">
            <v>Esperanza</v>
          </cell>
          <cell r="H3092" t="str">
            <v>consulta_externa</v>
          </cell>
          <cell r="J3092" t="str">
            <v>bueno</v>
          </cell>
          <cell r="K3092" t="str">
            <v>defsi</v>
          </cell>
        </row>
        <row r="3093">
          <cell r="B3093" t="b">
            <v>1</v>
          </cell>
          <cell r="E3093" t="str">
            <v>Esperanza</v>
          </cell>
          <cell r="H3093" t="str">
            <v>salud_oral</v>
          </cell>
          <cell r="J3093" t="str">
            <v>bueno</v>
          </cell>
          <cell r="K3093" t="str">
            <v>defsi</v>
          </cell>
        </row>
        <row r="3094">
          <cell r="B3094" t="b">
            <v>1</v>
          </cell>
          <cell r="E3094" t="str">
            <v>Esperanza</v>
          </cell>
          <cell r="H3094" t="str">
            <v>laboratorio</v>
          </cell>
          <cell r="J3094" t="str">
            <v>bueno</v>
          </cell>
          <cell r="K3094" t="str">
            <v>defsi</v>
          </cell>
        </row>
        <row r="3095">
          <cell r="B3095" t="b">
            <v>1</v>
          </cell>
          <cell r="E3095" t="str">
            <v>Esperanza</v>
          </cell>
          <cell r="H3095" t="str">
            <v>urgencia</v>
          </cell>
          <cell r="J3095" t="str">
            <v>bueno</v>
          </cell>
          <cell r="K3095" t="str">
            <v>defsi</v>
          </cell>
        </row>
        <row r="3096">
          <cell r="B3096" t="b">
            <v>1</v>
          </cell>
          <cell r="E3096" t="str">
            <v>Esperanza</v>
          </cell>
          <cell r="H3096" t="str">
            <v>electros</v>
          </cell>
          <cell r="J3096" t="str">
            <v>bueno</v>
          </cell>
          <cell r="K3096" t="str">
            <v>defsi</v>
          </cell>
        </row>
        <row r="3097">
          <cell r="B3097" t="b">
            <v>1</v>
          </cell>
          <cell r="E3097" t="str">
            <v>Gaviotas</v>
          </cell>
          <cell r="H3097" t="str">
            <v>salud_oral</v>
          </cell>
          <cell r="J3097" t="str">
            <v>bueno</v>
          </cell>
          <cell r="K3097" t="str">
            <v>probsi</v>
          </cell>
        </row>
        <row r="3098">
          <cell r="B3098" t="b">
            <v>1</v>
          </cell>
          <cell r="E3098" t="str">
            <v>Gaviotas</v>
          </cell>
          <cell r="H3098" t="str">
            <v>laboratorio</v>
          </cell>
          <cell r="J3098" t="str">
            <v>bueno</v>
          </cell>
          <cell r="K3098" t="str">
            <v>probsi</v>
          </cell>
        </row>
        <row r="3099">
          <cell r="B3099" t="b">
            <v>1</v>
          </cell>
          <cell r="E3099" t="str">
            <v>Gaviotas</v>
          </cell>
          <cell r="H3099" t="str">
            <v>pediatria</v>
          </cell>
          <cell r="J3099" t="str">
            <v>bueno</v>
          </cell>
          <cell r="K3099" t="str">
            <v>probsi</v>
          </cell>
        </row>
        <row r="3100">
          <cell r="B3100" t="b">
            <v>1</v>
          </cell>
          <cell r="E3100" t="str">
            <v>Gaviotas</v>
          </cell>
          <cell r="H3100" t="str">
            <v>pediatria</v>
          </cell>
          <cell r="J3100" t="str">
            <v>bueno</v>
          </cell>
          <cell r="K3100" t="str">
            <v>probsi</v>
          </cell>
        </row>
        <row r="3101">
          <cell r="B3101" t="b">
            <v>1</v>
          </cell>
          <cell r="E3101" t="str">
            <v>Gaviotas</v>
          </cell>
          <cell r="H3101" t="str">
            <v>pediatria</v>
          </cell>
          <cell r="J3101" t="str">
            <v>bueno</v>
          </cell>
          <cell r="K3101" t="str">
            <v>probsi</v>
          </cell>
        </row>
        <row r="3102">
          <cell r="B3102" t="b">
            <v>1</v>
          </cell>
          <cell r="E3102" t="str">
            <v>Gaviotas</v>
          </cell>
          <cell r="H3102" t="str">
            <v>pediatria</v>
          </cell>
          <cell r="J3102" t="str">
            <v>bueno</v>
          </cell>
          <cell r="K3102" t="str">
            <v>probsi</v>
          </cell>
        </row>
        <row r="3103">
          <cell r="B3103" t="b">
            <v>1</v>
          </cell>
          <cell r="E3103" t="str">
            <v>Esperanza</v>
          </cell>
          <cell r="H3103" t="str">
            <v>consulta_externa</v>
          </cell>
          <cell r="J3103" t="str">
            <v>bueno</v>
          </cell>
          <cell r="K3103" t="str">
            <v>defsi</v>
          </cell>
        </row>
        <row r="3104">
          <cell r="B3104" t="b">
            <v>1</v>
          </cell>
          <cell r="E3104" t="str">
            <v>Esperanza</v>
          </cell>
          <cell r="H3104" t="str">
            <v>salud_oral</v>
          </cell>
          <cell r="J3104" t="str">
            <v>bueno</v>
          </cell>
          <cell r="K3104" t="str">
            <v>defsi</v>
          </cell>
        </row>
        <row r="3105">
          <cell r="B3105" t="b">
            <v>1</v>
          </cell>
          <cell r="E3105" t="str">
            <v>Esperanza</v>
          </cell>
          <cell r="H3105" t="str">
            <v>laboratorio</v>
          </cell>
          <cell r="J3105" t="str">
            <v>bueno</v>
          </cell>
          <cell r="K3105" t="str">
            <v>defsi</v>
          </cell>
        </row>
        <row r="3106">
          <cell r="B3106" t="b">
            <v>1</v>
          </cell>
          <cell r="E3106" t="str">
            <v>Esperanza</v>
          </cell>
          <cell r="H3106" t="str">
            <v>urgencia</v>
          </cell>
          <cell r="J3106" t="str">
            <v>bueno</v>
          </cell>
          <cell r="K3106" t="str">
            <v>defsi</v>
          </cell>
        </row>
        <row r="3107">
          <cell r="B3107" t="b">
            <v>1</v>
          </cell>
          <cell r="E3107" t="str">
            <v>Esperanza</v>
          </cell>
          <cell r="H3107" t="str">
            <v>electros</v>
          </cell>
          <cell r="J3107" t="str">
            <v>bueno</v>
          </cell>
          <cell r="K3107" t="str">
            <v>defsi</v>
          </cell>
        </row>
        <row r="3108">
          <cell r="B3108" t="b">
            <v>1</v>
          </cell>
          <cell r="E3108" t="str">
            <v>Esperanza</v>
          </cell>
          <cell r="H3108" t="str">
            <v>consulta_externa</v>
          </cell>
          <cell r="J3108" t="str">
            <v>bueno</v>
          </cell>
          <cell r="K3108" t="str">
            <v>defsi</v>
          </cell>
        </row>
        <row r="3109">
          <cell r="B3109" t="b">
            <v>1</v>
          </cell>
          <cell r="E3109" t="str">
            <v>Esperanza</v>
          </cell>
          <cell r="H3109" t="str">
            <v>salud_oral</v>
          </cell>
          <cell r="J3109" t="str">
            <v>bueno</v>
          </cell>
          <cell r="K3109" t="str">
            <v>defsi</v>
          </cell>
        </row>
        <row r="3110">
          <cell r="B3110" t="b">
            <v>1</v>
          </cell>
          <cell r="E3110" t="str">
            <v>Esperanza</v>
          </cell>
          <cell r="H3110" t="str">
            <v>laboratorio</v>
          </cell>
          <cell r="J3110" t="str">
            <v>bueno</v>
          </cell>
          <cell r="K3110" t="str">
            <v>defsi</v>
          </cell>
        </row>
        <row r="3111">
          <cell r="B3111" t="b">
            <v>1</v>
          </cell>
          <cell r="E3111" t="str">
            <v>Esperanza</v>
          </cell>
          <cell r="H3111" t="str">
            <v>urgencia</v>
          </cell>
          <cell r="J3111" t="str">
            <v>bueno</v>
          </cell>
          <cell r="K3111" t="str">
            <v>defsi</v>
          </cell>
        </row>
        <row r="3112">
          <cell r="B3112" t="b">
            <v>1</v>
          </cell>
          <cell r="E3112" t="str">
            <v>Esperanza</v>
          </cell>
          <cell r="H3112" t="str">
            <v>electros</v>
          </cell>
          <cell r="J3112" t="str">
            <v>bueno</v>
          </cell>
          <cell r="K3112" t="str">
            <v>defsi</v>
          </cell>
        </row>
        <row r="3113">
          <cell r="B3113" t="b">
            <v>1</v>
          </cell>
          <cell r="E3113" t="str">
            <v>Esperanza</v>
          </cell>
          <cell r="H3113" t="str">
            <v>consulta_externa</v>
          </cell>
          <cell r="J3113" t="str">
            <v>bueno</v>
          </cell>
          <cell r="K3113" t="str">
            <v>defsi</v>
          </cell>
        </row>
        <row r="3114">
          <cell r="B3114" t="b">
            <v>1</v>
          </cell>
          <cell r="E3114" t="str">
            <v>Esperanza</v>
          </cell>
          <cell r="H3114" t="str">
            <v>salud_oral</v>
          </cell>
          <cell r="J3114" t="str">
            <v>bueno</v>
          </cell>
          <cell r="K3114" t="str">
            <v>defsi</v>
          </cell>
        </row>
        <row r="3115">
          <cell r="B3115" t="b">
            <v>1</v>
          </cell>
          <cell r="E3115" t="str">
            <v>Esperanza</v>
          </cell>
          <cell r="H3115" t="str">
            <v>laboratorio</v>
          </cell>
          <cell r="J3115" t="str">
            <v>bueno</v>
          </cell>
          <cell r="K3115" t="str">
            <v>defsi</v>
          </cell>
        </row>
        <row r="3116">
          <cell r="B3116" t="b">
            <v>1</v>
          </cell>
          <cell r="E3116" t="str">
            <v>Esperanza</v>
          </cell>
          <cell r="H3116" t="str">
            <v>urgencia</v>
          </cell>
          <cell r="J3116" t="str">
            <v>bueno</v>
          </cell>
          <cell r="K3116" t="str">
            <v>defsi</v>
          </cell>
        </row>
        <row r="3117">
          <cell r="B3117" t="b">
            <v>1</v>
          </cell>
          <cell r="E3117" t="str">
            <v>Esperanza</v>
          </cell>
          <cell r="H3117" t="str">
            <v>consulta_externa</v>
          </cell>
          <cell r="J3117" t="str">
            <v>bueno</v>
          </cell>
          <cell r="K3117" t="str">
            <v>defsi</v>
          </cell>
        </row>
        <row r="3118">
          <cell r="B3118" t="b">
            <v>1</v>
          </cell>
          <cell r="E3118" t="str">
            <v>Esperanza</v>
          </cell>
          <cell r="H3118" t="str">
            <v>salud_oral</v>
          </cell>
          <cell r="J3118" t="str">
            <v>bueno</v>
          </cell>
          <cell r="K3118" t="str">
            <v>defsi</v>
          </cell>
        </row>
        <row r="3119">
          <cell r="B3119" t="b">
            <v>1</v>
          </cell>
          <cell r="E3119" t="str">
            <v>Esperanza</v>
          </cell>
          <cell r="H3119" t="str">
            <v>laboratorio</v>
          </cell>
          <cell r="J3119" t="str">
            <v>bueno</v>
          </cell>
          <cell r="K3119" t="str">
            <v>defsi</v>
          </cell>
        </row>
        <row r="3120">
          <cell r="B3120" t="b">
            <v>1</v>
          </cell>
          <cell r="E3120" t="str">
            <v>Esperanza</v>
          </cell>
          <cell r="H3120" t="str">
            <v>urgencia</v>
          </cell>
          <cell r="J3120" t="str">
            <v>bueno</v>
          </cell>
          <cell r="K3120" t="str">
            <v>defsi</v>
          </cell>
        </row>
        <row r="3121">
          <cell r="B3121" t="b">
            <v>1</v>
          </cell>
          <cell r="E3121" t="str">
            <v>Esperanza</v>
          </cell>
          <cell r="H3121" t="str">
            <v>electros</v>
          </cell>
          <cell r="J3121" t="str">
            <v>bueno</v>
          </cell>
          <cell r="K3121" t="str">
            <v>defsi</v>
          </cell>
        </row>
        <row r="3122">
          <cell r="B3122" t="b">
            <v>1</v>
          </cell>
          <cell r="E3122" t="str">
            <v>Esperanza</v>
          </cell>
          <cell r="H3122" t="str">
            <v>consulta_externa</v>
          </cell>
          <cell r="J3122" t="str">
            <v>bueno</v>
          </cell>
          <cell r="K3122" t="str">
            <v>defsi</v>
          </cell>
        </row>
        <row r="3123">
          <cell r="B3123" t="b">
            <v>1</v>
          </cell>
          <cell r="E3123" t="str">
            <v>Esperanza</v>
          </cell>
          <cell r="H3123" t="str">
            <v>salud_oral</v>
          </cell>
          <cell r="J3123" t="str">
            <v>bueno</v>
          </cell>
          <cell r="K3123" t="str">
            <v>defsi</v>
          </cell>
        </row>
        <row r="3124">
          <cell r="B3124" t="b">
            <v>1</v>
          </cell>
          <cell r="E3124" t="str">
            <v>Esperanza</v>
          </cell>
          <cell r="H3124" t="str">
            <v>laboratorio</v>
          </cell>
          <cell r="J3124" t="str">
            <v>bueno</v>
          </cell>
          <cell r="K3124" t="str">
            <v>defsi</v>
          </cell>
        </row>
        <row r="3125">
          <cell r="B3125" t="b">
            <v>1</v>
          </cell>
          <cell r="E3125" t="str">
            <v>Esperanza</v>
          </cell>
          <cell r="H3125" t="str">
            <v>laboratorio</v>
          </cell>
          <cell r="J3125" t="str">
            <v>bueno</v>
          </cell>
          <cell r="K3125" t="str">
            <v>defsi</v>
          </cell>
        </row>
        <row r="3126">
          <cell r="B3126" t="b">
            <v>1</v>
          </cell>
          <cell r="E3126" t="str">
            <v>Esperanza</v>
          </cell>
          <cell r="H3126" t="str">
            <v>urgencia</v>
          </cell>
          <cell r="J3126" t="str">
            <v>bueno</v>
          </cell>
          <cell r="K3126" t="str">
            <v>defsi</v>
          </cell>
        </row>
        <row r="3127">
          <cell r="B3127" t="b">
            <v>1</v>
          </cell>
          <cell r="E3127" t="str">
            <v>Esperanza</v>
          </cell>
          <cell r="H3127" t="str">
            <v>electros</v>
          </cell>
          <cell r="J3127" t="str">
            <v>bueno</v>
          </cell>
          <cell r="K3127" t="str">
            <v>defsi</v>
          </cell>
        </row>
        <row r="3128">
          <cell r="B3128" t="b">
            <v>1</v>
          </cell>
          <cell r="E3128" t="str">
            <v>Pasacaballos</v>
          </cell>
          <cell r="H3128" t="str">
            <v>consulta_externa</v>
          </cell>
          <cell r="J3128" t="str">
            <v>bueno</v>
          </cell>
          <cell r="K3128" t="str">
            <v>defsi</v>
          </cell>
        </row>
        <row r="3129">
          <cell r="B3129" t="b">
            <v>1</v>
          </cell>
          <cell r="E3129" t="str">
            <v>Pasacaballos</v>
          </cell>
          <cell r="H3129" t="str">
            <v>consulta_externa</v>
          </cell>
          <cell r="J3129" t="str">
            <v>bueno</v>
          </cell>
          <cell r="K3129" t="str">
            <v>defsi</v>
          </cell>
        </row>
        <row r="3130">
          <cell r="B3130" t="b">
            <v>1</v>
          </cell>
          <cell r="E3130" t="str">
            <v>Pasacaballos</v>
          </cell>
          <cell r="H3130" t="str">
            <v>consulta_externa</v>
          </cell>
          <cell r="J3130" t="str">
            <v>bueno</v>
          </cell>
          <cell r="K3130" t="str">
            <v>defsi</v>
          </cell>
        </row>
        <row r="3131">
          <cell r="B3131" t="b">
            <v>1</v>
          </cell>
          <cell r="E3131" t="str">
            <v>Pasacaballos</v>
          </cell>
          <cell r="H3131" t="str">
            <v>laboratorio</v>
          </cell>
          <cell r="J3131" t="str">
            <v>bueno</v>
          </cell>
          <cell r="K3131" t="str">
            <v>defsi</v>
          </cell>
        </row>
        <row r="3132">
          <cell r="B3132" t="b">
            <v>0</v>
          </cell>
          <cell r="E3132" t="str">
            <v>Pasacaballos</v>
          </cell>
          <cell r="H3132" t="str">
            <v>consulta_externa</v>
          </cell>
          <cell r="J3132" t="str">
            <v>malo</v>
          </cell>
          <cell r="K3132" t="str">
            <v>defno</v>
          </cell>
        </row>
        <row r="3133">
          <cell r="B3133" t="b">
            <v>0</v>
          </cell>
          <cell r="E3133" t="str">
            <v>Pasacaballos</v>
          </cell>
          <cell r="H3133" t="str">
            <v>salud_oral</v>
          </cell>
          <cell r="J3133" t="str">
            <v>regular</v>
          </cell>
          <cell r="K3133" t="str">
            <v>probsi</v>
          </cell>
        </row>
        <row r="3134">
          <cell r="B3134" t="b">
            <v>0</v>
          </cell>
          <cell r="E3134" t="str">
            <v>Pasacaballos</v>
          </cell>
          <cell r="H3134" t="str">
            <v>consulta_externa</v>
          </cell>
          <cell r="J3134" t="str">
            <v>regular</v>
          </cell>
          <cell r="K3134" t="str">
            <v>probsi</v>
          </cell>
        </row>
        <row r="3135">
          <cell r="B3135" t="b">
            <v>0</v>
          </cell>
          <cell r="E3135" t="str">
            <v>Pasacaballos</v>
          </cell>
          <cell r="H3135" t="str">
            <v>laboratorio</v>
          </cell>
          <cell r="J3135" t="str">
            <v>regular</v>
          </cell>
          <cell r="K3135" t="str">
            <v>probsi</v>
          </cell>
        </row>
        <row r="3136">
          <cell r="B3136" t="b">
            <v>0</v>
          </cell>
          <cell r="E3136" t="str">
            <v>Pasacaballos</v>
          </cell>
          <cell r="H3136" t="str">
            <v>laboratorio</v>
          </cell>
          <cell r="J3136" t="str">
            <v>malo</v>
          </cell>
          <cell r="K3136" t="str">
            <v>defno</v>
          </cell>
        </row>
        <row r="3137">
          <cell r="B3137" t="b">
            <v>1</v>
          </cell>
          <cell r="E3137" t="str">
            <v>Esperanza</v>
          </cell>
          <cell r="H3137" t="str">
            <v>consulta_externa</v>
          </cell>
          <cell r="J3137" t="str">
            <v>bueno</v>
          </cell>
          <cell r="K3137" t="str">
            <v>defsi</v>
          </cell>
        </row>
        <row r="3138">
          <cell r="B3138" t="b">
            <v>1</v>
          </cell>
          <cell r="E3138" t="str">
            <v>Pasacaballos</v>
          </cell>
          <cell r="H3138" t="str">
            <v>consulta_externa</v>
          </cell>
          <cell r="J3138" t="str">
            <v>bueno</v>
          </cell>
          <cell r="K3138" t="str">
            <v>defsi</v>
          </cell>
        </row>
        <row r="3139">
          <cell r="B3139" t="b">
            <v>1</v>
          </cell>
          <cell r="E3139" t="str">
            <v>Pasacaballos</v>
          </cell>
          <cell r="H3139" t="str">
            <v>consulta_externa</v>
          </cell>
          <cell r="J3139" t="str">
            <v>bueno</v>
          </cell>
          <cell r="K3139" t="str">
            <v>defsi</v>
          </cell>
        </row>
        <row r="3140">
          <cell r="B3140" t="b">
            <v>1</v>
          </cell>
          <cell r="E3140" t="str">
            <v>Esperanza</v>
          </cell>
          <cell r="H3140" t="str">
            <v>salud_oral</v>
          </cell>
          <cell r="J3140" t="str">
            <v>bueno</v>
          </cell>
          <cell r="K3140" t="str">
            <v>defsi</v>
          </cell>
        </row>
        <row r="3141">
          <cell r="B3141" t="b">
            <v>1</v>
          </cell>
          <cell r="E3141" t="str">
            <v>Esperanza</v>
          </cell>
          <cell r="H3141" t="str">
            <v>laboratorio</v>
          </cell>
          <cell r="J3141" t="str">
            <v>bueno</v>
          </cell>
          <cell r="K3141" t="str">
            <v>defsi</v>
          </cell>
        </row>
        <row r="3142">
          <cell r="B3142" t="b">
            <v>1</v>
          </cell>
          <cell r="E3142" t="str">
            <v>Esperanza</v>
          </cell>
          <cell r="H3142" t="str">
            <v>urgencia</v>
          </cell>
          <cell r="J3142" t="str">
            <v>bueno</v>
          </cell>
          <cell r="K3142" t="str">
            <v>defsi</v>
          </cell>
        </row>
        <row r="3143">
          <cell r="B3143" t="b">
            <v>1</v>
          </cell>
          <cell r="E3143" t="str">
            <v>Esperanza</v>
          </cell>
          <cell r="H3143" t="str">
            <v>electros</v>
          </cell>
          <cell r="J3143" t="str">
            <v>bueno</v>
          </cell>
          <cell r="K3143" t="str">
            <v>defsi</v>
          </cell>
        </row>
        <row r="3144">
          <cell r="B3144" t="b">
            <v>1</v>
          </cell>
          <cell r="E3144" t="str">
            <v>Pasacaballos</v>
          </cell>
          <cell r="H3144" t="str">
            <v>salud_oral</v>
          </cell>
          <cell r="J3144" t="str">
            <v>bueno</v>
          </cell>
          <cell r="K3144" t="str">
            <v>defsi</v>
          </cell>
        </row>
        <row r="3145">
          <cell r="B3145" t="b">
            <v>1</v>
          </cell>
          <cell r="E3145" t="str">
            <v>Esperanza</v>
          </cell>
          <cell r="H3145" t="str">
            <v>consulta_externa</v>
          </cell>
          <cell r="J3145" t="str">
            <v>bueno</v>
          </cell>
          <cell r="K3145" t="str">
            <v>defsi</v>
          </cell>
        </row>
        <row r="3146">
          <cell r="B3146" t="b">
            <v>1</v>
          </cell>
          <cell r="E3146" t="str">
            <v>Esperanza</v>
          </cell>
          <cell r="H3146" t="str">
            <v>consulta_externa</v>
          </cell>
          <cell r="J3146" t="str">
            <v>bueno</v>
          </cell>
          <cell r="K3146" t="str">
            <v>defsi</v>
          </cell>
        </row>
        <row r="3147">
          <cell r="B3147" t="b">
            <v>1</v>
          </cell>
          <cell r="E3147" t="str">
            <v>Esperanza</v>
          </cell>
          <cell r="H3147" t="str">
            <v>laboratorio</v>
          </cell>
          <cell r="J3147" t="str">
            <v>bueno</v>
          </cell>
          <cell r="K3147" t="str">
            <v>defsi</v>
          </cell>
        </row>
        <row r="3148">
          <cell r="B3148" t="b">
            <v>1</v>
          </cell>
          <cell r="E3148" t="str">
            <v>Esperanza</v>
          </cell>
          <cell r="H3148" t="str">
            <v>urgencia</v>
          </cell>
          <cell r="J3148" t="str">
            <v>bueno</v>
          </cell>
          <cell r="K3148" t="str">
            <v>defsi</v>
          </cell>
        </row>
        <row r="3149">
          <cell r="B3149" t="b">
            <v>1</v>
          </cell>
          <cell r="E3149" t="str">
            <v>Esperanza</v>
          </cell>
          <cell r="H3149" t="str">
            <v>electros</v>
          </cell>
          <cell r="J3149" t="str">
            <v>bueno</v>
          </cell>
          <cell r="K3149" t="str">
            <v>defsi</v>
          </cell>
        </row>
        <row r="3150">
          <cell r="B3150" t="b">
            <v>1</v>
          </cell>
          <cell r="E3150" t="str">
            <v>Pasacaballos</v>
          </cell>
          <cell r="H3150" t="str">
            <v>salud_oral</v>
          </cell>
          <cell r="J3150" t="str">
            <v>bueno</v>
          </cell>
          <cell r="K3150" t="str">
            <v>defsi</v>
          </cell>
        </row>
        <row r="3151">
          <cell r="B3151" t="b">
            <v>1</v>
          </cell>
          <cell r="E3151" t="str">
            <v>Pasacaballos</v>
          </cell>
          <cell r="H3151" t="str">
            <v>salud_oral</v>
          </cell>
          <cell r="J3151" t="str">
            <v>bueno</v>
          </cell>
          <cell r="K3151" t="str">
            <v>defsi</v>
          </cell>
        </row>
        <row r="3152">
          <cell r="B3152" t="b">
            <v>1</v>
          </cell>
          <cell r="E3152" t="str">
            <v>Pasacaballos</v>
          </cell>
          <cell r="H3152" t="str">
            <v>salud_oral</v>
          </cell>
          <cell r="J3152" t="str">
            <v>bueno</v>
          </cell>
          <cell r="K3152" t="str">
            <v>defsi</v>
          </cell>
        </row>
        <row r="3153">
          <cell r="B3153" t="b">
            <v>1</v>
          </cell>
          <cell r="E3153" t="str">
            <v>Pasacaballos</v>
          </cell>
          <cell r="H3153" t="str">
            <v>consulta_externa</v>
          </cell>
          <cell r="J3153" t="str">
            <v>bueno</v>
          </cell>
          <cell r="K3153" t="str">
            <v>defsi</v>
          </cell>
        </row>
        <row r="3154">
          <cell r="B3154" t="b">
            <v>1</v>
          </cell>
          <cell r="E3154" t="str">
            <v>Pasacaballos</v>
          </cell>
          <cell r="H3154" t="str">
            <v>consulta_externa</v>
          </cell>
          <cell r="J3154" t="str">
            <v>bueno</v>
          </cell>
          <cell r="K3154" t="str">
            <v>defsi</v>
          </cell>
        </row>
        <row r="3155">
          <cell r="B3155" t="b">
            <v>1</v>
          </cell>
          <cell r="E3155" t="str">
            <v>Pasacaballos</v>
          </cell>
          <cell r="H3155" t="str">
            <v>consulta_externa</v>
          </cell>
          <cell r="J3155" t="str">
            <v>bueno</v>
          </cell>
          <cell r="K3155" t="str">
            <v>defsi</v>
          </cell>
        </row>
        <row r="3156">
          <cell r="B3156" t="b">
            <v>1</v>
          </cell>
          <cell r="E3156" t="str">
            <v>Pasacaballos</v>
          </cell>
          <cell r="H3156" t="str">
            <v>laboratorio</v>
          </cell>
          <cell r="J3156" t="str">
            <v>bueno</v>
          </cell>
          <cell r="K3156" t="str">
            <v>defsi</v>
          </cell>
        </row>
        <row r="3157">
          <cell r="B3157" t="b">
            <v>1</v>
          </cell>
          <cell r="E3157" t="str">
            <v>Pasacaballos</v>
          </cell>
          <cell r="H3157" t="str">
            <v>laboratorio</v>
          </cell>
          <cell r="J3157" t="str">
            <v>bueno</v>
          </cell>
          <cell r="K3157" t="str">
            <v>defsi</v>
          </cell>
        </row>
        <row r="3158">
          <cell r="B3158" t="b">
            <v>1</v>
          </cell>
          <cell r="E3158" t="str">
            <v>Pasacaballos</v>
          </cell>
          <cell r="H3158" t="str">
            <v>laboratorio</v>
          </cell>
          <cell r="J3158" t="str">
            <v>bueno</v>
          </cell>
          <cell r="K3158" t="str">
            <v>defsi</v>
          </cell>
        </row>
        <row r="3159">
          <cell r="B3159" t="b">
            <v>1</v>
          </cell>
          <cell r="E3159" t="str">
            <v>Pasacaballos</v>
          </cell>
          <cell r="H3159" t="str">
            <v>consulta_externa</v>
          </cell>
          <cell r="J3159" t="str">
            <v>bueno</v>
          </cell>
          <cell r="K3159" t="str">
            <v>defsi</v>
          </cell>
        </row>
        <row r="3160">
          <cell r="B3160" t="b">
            <v>1</v>
          </cell>
          <cell r="E3160" t="str">
            <v>Gaviotas</v>
          </cell>
          <cell r="H3160" t="str">
            <v>salud_oral</v>
          </cell>
          <cell r="J3160" t="str">
            <v>bueno</v>
          </cell>
          <cell r="K3160" t="str">
            <v>probsi</v>
          </cell>
        </row>
        <row r="3161">
          <cell r="B3161" t="b">
            <v>1</v>
          </cell>
          <cell r="E3161" t="str">
            <v>Gaviotas</v>
          </cell>
          <cell r="H3161" t="str">
            <v>salud_oral</v>
          </cell>
          <cell r="J3161" t="str">
            <v>bueno</v>
          </cell>
          <cell r="K3161" t="str">
            <v>probsi</v>
          </cell>
        </row>
        <row r="3162">
          <cell r="B3162" t="b">
            <v>1</v>
          </cell>
          <cell r="E3162" t="str">
            <v>Gaviotas</v>
          </cell>
          <cell r="H3162" t="str">
            <v>salud_oral</v>
          </cell>
          <cell r="J3162" t="str">
            <v>bueno</v>
          </cell>
          <cell r="K3162" t="str">
            <v>probsi</v>
          </cell>
        </row>
        <row r="3163">
          <cell r="B3163" t="b">
            <v>1</v>
          </cell>
          <cell r="E3163" t="str">
            <v>Gaviotas</v>
          </cell>
          <cell r="H3163" t="str">
            <v>salud_oral</v>
          </cell>
          <cell r="J3163" t="str">
            <v>bueno</v>
          </cell>
          <cell r="K3163" t="str">
            <v>probsi</v>
          </cell>
        </row>
        <row r="3164">
          <cell r="B3164" t="b">
            <v>1</v>
          </cell>
          <cell r="E3164" t="str">
            <v>Boston</v>
          </cell>
          <cell r="H3164" t="str">
            <v>consulta_externa</v>
          </cell>
          <cell r="J3164" t="str">
            <v>bueno</v>
          </cell>
          <cell r="K3164" t="str">
            <v>probsi</v>
          </cell>
        </row>
        <row r="3165">
          <cell r="B3165" t="b">
            <v>1</v>
          </cell>
          <cell r="E3165" t="str">
            <v>Boston</v>
          </cell>
          <cell r="H3165" t="str">
            <v>consulta_externa</v>
          </cell>
          <cell r="J3165" t="str">
            <v>bueno</v>
          </cell>
          <cell r="K3165" t="str">
            <v>probsi</v>
          </cell>
        </row>
        <row r="3166">
          <cell r="B3166" t="b">
            <v>1</v>
          </cell>
          <cell r="E3166" t="str">
            <v>Boston</v>
          </cell>
          <cell r="H3166" t="str">
            <v>consulta_externa</v>
          </cell>
          <cell r="J3166" t="str">
            <v>bueno</v>
          </cell>
          <cell r="K3166" t="str">
            <v>probsi</v>
          </cell>
        </row>
        <row r="3167">
          <cell r="B3167" t="b">
            <v>1</v>
          </cell>
          <cell r="E3167" t="str">
            <v>Boston</v>
          </cell>
          <cell r="H3167" t="str">
            <v>consulta_externa</v>
          </cell>
          <cell r="J3167" t="str">
            <v>bueno</v>
          </cell>
          <cell r="K3167" t="str">
            <v>probsi</v>
          </cell>
        </row>
        <row r="3168">
          <cell r="B3168" t="b">
            <v>1</v>
          </cell>
          <cell r="E3168" t="str">
            <v>Boston</v>
          </cell>
          <cell r="H3168" t="str">
            <v>consulta_externa</v>
          </cell>
          <cell r="J3168" t="str">
            <v>bueno</v>
          </cell>
          <cell r="K3168" t="str">
            <v>probsi</v>
          </cell>
        </row>
        <row r="3169">
          <cell r="B3169" t="b">
            <v>1</v>
          </cell>
          <cell r="E3169" t="str">
            <v>Boston</v>
          </cell>
          <cell r="H3169" t="str">
            <v>consulta_externa</v>
          </cell>
          <cell r="J3169" t="str">
            <v>bueno</v>
          </cell>
          <cell r="K3169" t="str">
            <v>probsi</v>
          </cell>
        </row>
        <row r="3170">
          <cell r="B3170" t="b">
            <v>1</v>
          </cell>
          <cell r="E3170" t="str">
            <v>Boston</v>
          </cell>
          <cell r="H3170" t="str">
            <v>consulta_externa</v>
          </cell>
          <cell r="J3170" t="str">
            <v>bueno</v>
          </cell>
          <cell r="K3170" t="str">
            <v>probsi</v>
          </cell>
        </row>
        <row r="3171">
          <cell r="B3171" t="b">
            <v>1</v>
          </cell>
          <cell r="E3171" t="str">
            <v>Arroyo Grande</v>
          </cell>
          <cell r="H3171" t="str">
            <v>consulta_externa</v>
          </cell>
          <cell r="J3171" t="str">
            <v>bueno</v>
          </cell>
          <cell r="K3171" t="str">
            <v>probsi</v>
          </cell>
        </row>
        <row r="3172">
          <cell r="B3172" t="b">
            <v>1</v>
          </cell>
          <cell r="E3172" t="str">
            <v>Arroyo Grande</v>
          </cell>
          <cell r="H3172" t="str">
            <v>consulta_externa</v>
          </cell>
          <cell r="J3172" t="str">
            <v>bueno</v>
          </cell>
          <cell r="K3172" t="str">
            <v>probsi</v>
          </cell>
        </row>
        <row r="3173">
          <cell r="B3173" t="b">
            <v>1</v>
          </cell>
          <cell r="E3173" t="str">
            <v>Arroyo Grande</v>
          </cell>
          <cell r="H3173" t="str">
            <v>consulta_externa</v>
          </cell>
          <cell r="J3173" t="str">
            <v>bueno</v>
          </cell>
          <cell r="K3173" t="str">
            <v>probsi</v>
          </cell>
        </row>
        <row r="3174">
          <cell r="B3174" t="b">
            <v>1</v>
          </cell>
          <cell r="E3174" t="str">
            <v>Arroyo Grande</v>
          </cell>
          <cell r="H3174" t="str">
            <v>consulta_externa</v>
          </cell>
          <cell r="J3174" t="str">
            <v>bueno</v>
          </cell>
          <cell r="K3174" t="str">
            <v>probsi</v>
          </cell>
        </row>
        <row r="3175">
          <cell r="B3175" t="b">
            <v>1</v>
          </cell>
          <cell r="E3175" t="str">
            <v>Arroyo Grande</v>
          </cell>
          <cell r="H3175" t="str">
            <v>consulta_externa</v>
          </cell>
          <cell r="J3175" t="str">
            <v>bueno</v>
          </cell>
          <cell r="K3175" t="str">
            <v>probsi</v>
          </cell>
        </row>
        <row r="3176">
          <cell r="B3176" t="b">
            <v>1</v>
          </cell>
          <cell r="E3176" t="str">
            <v>Arroyo Grande</v>
          </cell>
          <cell r="H3176" t="str">
            <v>consulta_externa</v>
          </cell>
          <cell r="J3176" t="str">
            <v>bueno</v>
          </cell>
          <cell r="K3176" t="str">
            <v>probsi</v>
          </cell>
        </row>
        <row r="3177">
          <cell r="B3177" t="b">
            <v>1</v>
          </cell>
          <cell r="E3177" t="str">
            <v>Arroyo Grande</v>
          </cell>
          <cell r="H3177" t="str">
            <v>salud_oral</v>
          </cell>
          <cell r="J3177" t="str">
            <v>bueno</v>
          </cell>
          <cell r="K3177" t="str">
            <v>probsi</v>
          </cell>
        </row>
        <row r="3178">
          <cell r="B3178" t="b">
            <v>1</v>
          </cell>
          <cell r="E3178" t="str">
            <v>Arroyo Grande</v>
          </cell>
          <cell r="H3178" t="str">
            <v>salud_oral</v>
          </cell>
          <cell r="J3178" t="str">
            <v>bueno</v>
          </cell>
          <cell r="K3178" t="str">
            <v>probsi</v>
          </cell>
        </row>
        <row r="3179">
          <cell r="B3179" t="b">
            <v>1</v>
          </cell>
          <cell r="E3179" t="str">
            <v>Arroyo Grande</v>
          </cell>
          <cell r="H3179" t="str">
            <v>salud_oral</v>
          </cell>
          <cell r="J3179" t="str">
            <v>bueno</v>
          </cell>
          <cell r="K3179" t="str">
            <v>probsi</v>
          </cell>
        </row>
        <row r="3180">
          <cell r="B3180" t="b">
            <v>1</v>
          </cell>
          <cell r="E3180" t="str">
            <v>Arroyo Grande</v>
          </cell>
          <cell r="H3180" t="str">
            <v>salud_oral</v>
          </cell>
          <cell r="J3180" t="str">
            <v>bueno</v>
          </cell>
          <cell r="K3180" t="str">
            <v>probsi</v>
          </cell>
        </row>
        <row r="3181">
          <cell r="B3181" t="b">
            <v>1</v>
          </cell>
          <cell r="E3181" t="str">
            <v>Arroyo Grande</v>
          </cell>
          <cell r="H3181" t="str">
            <v>salud_oral</v>
          </cell>
          <cell r="J3181" t="str">
            <v>bueno</v>
          </cell>
          <cell r="K3181" t="str">
            <v>probsi</v>
          </cell>
        </row>
        <row r="3182">
          <cell r="B3182" t="b">
            <v>1</v>
          </cell>
          <cell r="E3182" t="str">
            <v>Arroyo Grande</v>
          </cell>
          <cell r="H3182" t="str">
            <v>salud_oral</v>
          </cell>
          <cell r="J3182" t="str">
            <v>bueno</v>
          </cell>
          <cell r="K3182" t="str">
            <v>probsi</v>
          </cell>
        </row>
        <row r="3183">
          <cell r="B3183" t="b">
            <v>1</v>
          </cell>
          <cell r="E3183" t="str">
            <v>Arroyo Grande</v>
          </cell>
          <cell r="H3183" t="str">
            <v>laboratorio</v>
          </cell>
          <cell r="J3183" t="str">
            <v>bueno</v>
          </cell>
          <cell r="K3183" t="str">
            <v>probsi</v>
          </cell>
        </row>
        <row r="3184">
          <cell r="B3184" t="b">
            <v>1</v>
          </cell>
          <cell r="E3184" t="str">
            <v>Arroyo Grande</v>
          </cell>
          <cell r="H3184" t="str">
            <v>laboratorio</v>
          </cell>
          <cell r="J3184" t="str">
            <v>bueno</v>
          </cell>
          <cell r="K3184" t="str">
            <v>probsi</v>
          </cell>
        </row>
        <row r="3185">
          <cell r="B3185" t="b">
            <v>1</v>
          </cell>
          <cell r="E3185" t="str">
            <v>Arroyo Grande</v>
          </cell>
          <cell r="H3185" t="str">
            <v>laboratorio</v>
          </cell>
          <cell r="J3185" t="str">
            <v>bueno</v>
          </cell>
          <cell r="K3185" t="str">
            <v>probsi</v>
          </cell>
        </row>
        <row r="3186">
          <cell r="B3186" t="b">
            <v>1</v>
          </cell>
          <cell r="E3186" t="str">
            <v>Arroyo Grande</v>
          </cell>
          <cell r="H3186" t="str">
            <v>laboratorio</v>
          </cell>
          <cell r="J3186" t="str">
            <v>bueno</v>
          </cell>
          <cell r="K3186" t="str">
            <v>probsi</v>
          </cell>
        </row>
        <row r="3187">
          <cell r="B3187" t="b">
            <v>1</v>
          </cell>
          <cell r="E3187" t="str">
            <v>Arroyo Grande</v>
          </cell>
          <cell r="H3187" t="str">
            <v>laboratorio</v>
          </cell>
          <cell r="J3187" t="str">
            <v>bueno</v>
          </cell>
          <cell r="K3187" t="str">
            <v>probsi</v>
          </cell>
        </row>
        <row r="3188">
          <cell r="B3188" t="b">
            <v>1</v>
          </cell>
          <cell r="E3188" t="str">
            <v>Arroyo Grande</v>
          </cell>
          <cell r="H3188" t="str">
            <v>laboratorio</v>
          </cell>
          <cell r="J3188" t="str">
            <v>bueno</v>
          </cell>
          <cell r="K3188" t="str">
            <v>probsi</v>
          </cell>
        </row>
        <row r="3189">
          <cell r="B3189" t="b">
            <v>1</v>
          </cell>
          <cell r="E3189" t="str">
            <v>Pasacaballos</v>
          </cell>
          <cell r="H3189" t="str">
            <v>consulta_externa</v>
          </cell>
          <cell r="J3189" t="str">
            <v>bueno</v>
          </cell>
          <cell r="K3189" t="str">
            <v>defsi</v>
          </cell>
        </row>
        <row r="3190">
          <cell r="B3190" t="b">
            <v>1</v>
          </cell>
          <cell r="E3190" t="str">
            <v>Pasacaballos</v>
          </cell>
          <cell r="H3190" t="str">
            <v>salud_oral</v>
          </cell>
          <cell r="J3190" t="str">
            <v>bueno</v>
          </cell>
          <cell r="K3190" t="str">
            <v>defsi</v>
          </cell>
        </row>
        <row r="3191">
          <cell r="B3191" t="b">
            <v>1</v>
          </cell>
          <cell r="E3191" t="str">
            <v>Pasacaballos</v>
          </cell>
          <cell r="H3191" t="str">
            <v>salud_oral</v>
          </cell>
          <cell r="J3191" t="str">
            <v>bueno</v>
          </cell>
          <cell r="K3191" t="str">
            <v>defsi</v>
          </cell>
        </row>
        <row r="3192">
          <cell r="B3192" t="b">
            <v>1</v>
          </cell>
          <cell r="E3192" t="str">
            <v>Pasacaballos</v>
          </cell>
          <cell r="H3192" t="str">
            <v>salud_oral</v>
          </cell>
          <cell r="J3192" t="str">
            <v>bueno</v>
          </cell>
          <cell r="K3192" t="str">
            <v>defsi</v>
          </cell>
        </row>
        <row r="3193">
          <cell r="B3193" t="b">
            <v>1</v>
          </cell>
          <cell r="E3193" t="str">
            <v>Pasacaballos</v>
          </cell>
          <cell r="H3193" t="str">
            <v>consulta_externa</v>
          </cell>
          <cell r="J3193" t="str">
            <v>bueno</v>
          </cell>
          <cell r="K3193" t="str">
            <v>defsi</v>
          </cell>
        </row>
        <row r="3194">
          <cell r="B3194" t="b">
            <v>1</v>
          </cell>
          <cell r="E3194" t="str">
            <v>Pasacaballos</v>
          </cell>
          <cell r="H3194" t="str">
            <v>consulta_externa</v>
          </cell>
          <cell r="J3194" t="str">
            <v>bueno</v>
          </cell>
          <cell r="K3194" t="str">
            <v>defsi</v>
          </cell>
        </row>
        <row r="3195">
          <cell r="B3195" t="b">
            <v>1</v>
          </cell>
          <cell r="E3195" t="str">
            <v>San Francisco I</v>
          </cell>
          <cell r="H3195" t="str">
            <v>consulta_externa</v>
          </cell>
          <cell r="J3195" t="str">
            <v>bueno</v>
          </cell>
          <cell r="K3195" t="str">
            <v>defsi</v>
          </cell>
        </row>
        <row r="3196">
          <cell r="B3196" t="b">
            <v>1</v>
          </cell>
          <cell r="E3196" t="str">
            <v>San Francisco I</v>
          </cell>
          <cell r="H3196" t="str">
            <v>salud_oral</v>
          </cell>
          <cell r="J3196" t="str">
            <v>bueno</v>
          </cell>
          <cell r="K3196" t="str">
            <v>defsi</v>
          </cell>
        </row>
        <row r="3197">
          <cell r="B3197" t="b">
            <v>1</v>
          </cell>
          <cell r="E3197" t="str">
            <v>San Francisco I</v>
          </cell>
          <cell r="H3197" t="str">
            <v>laboratorio</v>
          </cell>
          <cell r="J3197" t="str">
            <v>bueno</v>
          </cell>
          <cell r="K3197" t="str">
            <v>defsi</v>
          </cell>
        </row>
        <row r="3198">
          <cell r="B3198" t="b">
            <v>1</v>
          </cell>
          <cell r="E3198" t="str">
            <v>San Francisco I</v>
          </cell>
          <cell r="H3198" t="str">
            <v>consulta_externa</v>
          </cell>
          <cell r="J3198" t="str">
            <v>bueno</v>
          </cell>
          <cell r="K3198" t="str">
            <v>defsi</v>
          </cell>
        </row>
        <row r="3199">
          <cell r="B3199" t="b">
            <v>1</v>
          </cell>
          <cell r="E3199" t="str">
            <v>San Francisco I</v>
          </cell>
          <cell r="H3199" t="str">
            <v>salud_oral</v>
          </cell>
          <cell r="J3199" t="str">
            <v>bueno</v>
          </cell>
          <cell r="K3199" t="str">
            <v>defsi</v>
          </cell>
        </row>
        <row r="3200">
          <cell r="B3200" t="b">
            <v>1</v>
          </cell>
          <cell r="E3200" t="str">
            <v>San Francisco I</v>
          </cell>
          <cell r="H3200" t="str">
            <v>laboratorio</v>
          </cell>
          <cell r="J3200" t="str">
            <v>bueno</v>
          </cell>
          <cell r="K3200" t="str">
            <v>defsi</v>
          </cell>
        </row>
        <row r="3201">
          <cell r="B3201" t="b">
            <v>1</v>
          </cell>
          <cell r="E3201" t="str">
            <v>San Francisco I</v>
          </cell>
          <cell r="H3201" t="str">
            <v>consulta_externa</v>
          </cell>
          <cell r="J3201" t="str">
            <v>bueno</v>
          </cell>
          <cell r="K3201" t="str">
            <v>defsi</v>
          </cell>
        </row>
        <row r="3202">
          <cell r="B3202" t="b">
            <v>1</v>
          </cell>
          <cell r="E3202" t="str">
            <v>San Francisco I</v>
          </cell>
          <cell r="H3202" t="str">
            <v>salud_oral</v>
          </cell>
          <cell r="J3202" t="str">
            <v>bueno</v>
          </cell>
          <cell r="K3202" t="str">
            <v>defsi</v>
          </cell>
        </row>
        <row r="3203">
          <cell r="B3203" t="b">
            <v>1</v>
          </cell>
          <cell r="E3203" t="str">
            <v>Pasacaballos</v>
          </cell>
          <cell r="H3203" t="str">
            <v>consulta_externa</v>
          </cell>
          <cell r="J3203" t="str">
            <v>bueno</v>
          </cell>
          <cell r="K3203" t="str">
            <v>defsi</v>
          </cell>
        </row>
        <row r="3204">
          <cell r="B3204" t="b">
            <v>1</v>
          </cell>
          <cell r="E3204" t="str">
            <v>Pasacaballos</v>
          </cell>
          <cell r="H3204" t="str">
            <v>laboratorio</v>
          </cell>
          <cell r="J3204" t="str">
            <v>bueno</v>
          </cell>
          <cell r="K3204" t="str">
            <v>defsi</v>
          </cell>
        </row>
        <row r="3205">
          <cell r="B3205" t="b">
            <v>1</v>
          </cell>
          <cell r="E3205" t="str">
            <v>San Francisco I</v>
          </cell>
          <cell r="H3205" t="str">
            <v>laboratorio</v>
          </cell>
          <cell r="J3205" t="str">
            <v>bueno</v>
          </cell>
          <cell r="K3205" t="str">
            <v>defsi</v>
          </cell>
        </row>
        <row r="3206">
          <cell r="B3206" t="b">
            <v>1</v>
          </cell>
          <cell r="E3206" t="str">
            <v>Pasacaballos</v>
          </cell>
          <cell r="H3206" t="str">
            <v>laboratorio</v>
          </cell>
          <cell r="J3206" t="str">
            <v>bueno</v>
          </cell>
          <cell r="K3206" t="str">
            <v>defsi</v>
          </cell>
        </row>
        <row r="3207">
          <cell r="B3207" t="b">
            <v>1</v>
          </cell>
          <cell r="E3207" t="str">
            <v>Pasacaballos</v>
          </cell>
          <cell r="H3207" t="str">
            <v>salud_oral</v>
          </cell>
          <cell r="J3207" t="str">
            <v>bueno</v>
          </cell>
          <cell r="K3207" t="str">
            <v>defsi</v>
          </cell>
        </row>
        <row r="3208">
          <cell r="B3208" t="b">
            <v>0</v>
          </cell>
          <cell r="E3208" t="str">
            <v>Pasacaballos</v>
          </cell>
          <cell r="H3208" t="str">
            <v>consulta_externa</v>
          </cell>
          <cell r="J3208" t="str">
            <v>regular</v>
          </cell>
          <cell r="K3208" t="str">
            <v>defsi</v>
          </cell>
        </row>
        <row r="3209">
          <cell r="B3209" t="b">
            <v>1</v>
          </cell>
          <cell r="E3209" t="str">
            <v>Pasacaballos</v>
          </cell>
          <cell r="H3209" t="str">
            <v>laboratorio</v>
          </cell>
          <cell r="J3209" t="str">
            <v>bueno</v>
          </cell>
          <cell r="K3209" t="str">
            <v>defsi</v>
          </cell>
        </row>
        <row r="3210">
          <cell r="B3210" t="b">
            <v>1</v>
          </cell>
          <cell r="E3210" t="str">
            <v>San Francisco I</v>
          </cell>
          <cell r="H3210" t="str">
            <v>consulta_externa</v>
          </cell>
          <cell r="J3210" t="str">
            <v>bueno</v>
          </cell>
          <cell r="K3210" t="str">
            <v>defsi</v>
          </cell>
        </row>
        <row r="3211">
          <cell r="B3211" t="b">
            <v>1</v>
          </cell>
          <cell r="E3211" t="str">
            <v>Pasacaballos</v>
          </cell>
          <cell r="H3211" t="str">
            <v>laboratorio</v>
          </cell>
          <cell r="J3211" t="str">
            <v>bueno</v>
          </cell>
          <cell r="K3211" t="str">
            <v>defsi</v>
          </cell>
        </row>
        <row r="3212">
          <cell r="B3212" t="b">
            <v>1</v>
          </cell>
          <cell r="E3212" t="str">
            <v>San Francisco I</v>
          </cell>
          <cell r="H3212" t="str">
            <v>salud_oral</v>
          </cell>
          <cell r="J3212" t="str">
            <v>bueno</v>
          </cell>
          <cell r="K3212" t="str">
            <v>defsi</v>
          </cell>
        </row>
        <row r="3213">
          <cell r="B3213" t="b">
            <v>1</v>
          </cell>
          <cell r="E3213" t="str">
            <v>San Francisco I</v>
          </cell>
          <cell r="H3213" t="str">
            <v>laboratorio</v>
          </cell>
          <cell r="J3213" t="str">
            <v>bueno</v>
          </cell>
          <cell r="K3213" t="str">
            <v>defsi</v>
          </cell>
        </row>
        <row r="3214">
          <cell r="B3214" t="b">
            <v>1</v>
          </cell>
          <cell r="E3214" t="str">
            <v>San Francisco I</v>
          </cell>
          <cell r="H3214" t="str">
            <v>consulta_externa</v>
          </cell>
          <cell r="J3214" t="str">
            <v>bueno</v>
          </cell>
          <cell r="K3214" t="str">
            <v>defsi</v>
          </cell>
        </row>
        <row r="3215">
          <cell r="B3215" t="b">
            <v>1</v>
          </cell>
          <cell r="E3215" t="str">
            <v>San Francisco I</v>
          </cell>
          <cell r="H3215" t="str">
            <v>salud_oral</v>
          </cell>
          <cell r="J3215" t="str">
            <v>bueno</v>
          </cell>
          <cell r="K3215" t="str">
            <v>defsi</v>
          </cell>
        </row>
        <row r="3216">
          <cell r="B3216" t="b">
            <v>1</v>
          </cell>
          <cell r="E3216" t="str">
            <v>San Francisco I</v>
          </cell>
          <cell r="H3216" t="str">
            <v>laboratorio</v>
          </cell>
          <cell r="J3216" t="str">
            <v>bueno</v>
          </cell>
          <cell r="K3216" t="str">
            <v>defsi</v>
          </cell>
        </row>
        <row r="3217">
          <cell r="B3217" t="b">
            <v>1</v>
          </cell>
          <cell r="E3217" t="str">
            <v>San Francisco I</v>
          </cell>
          <cell r="H3217" t="str">
            <v>consulta_externa</v>
          </cell>
          <cell r="J3217" t="str">
            <v>bueno</v>
          </cell>
          <cell r="K3217" t="str">
            <v>defsi</v>
          </cell>
        </row>
        <row r="3218">
          <cell r="B3218" t="b">
            <v>1</v>
          </cell>
          <cell r="E3218" t="str">
            <v>San Francisco I</v>
          </cell>
          <cell r="H3218" t="str">
            <v>salud_oral</v>
          </cell>
          <cell r="J3218" t="str">
            <v>bueno</v>
          </cell>
          <cell r="K3218" t="str">
            <v>defsi</v>
          </cell>
        </row>
        <row r="3219">
          <cell r="B3219" t="b">
            <v>1</v>
          </cell>
          <cell r="E3219" t="str">
            <v>San Francisco I</v>
          </cell>
          <cell r="H3219" t="str">
            <v>laboratorio</v>
          </cell>
          <cell r="J3219" t="str">
            <v>bueno</v>
          </cell>
          <cell r="K3219" t="str">
            <v>defsi</v>
          </cell>
        </row>
        <row r="3220">
          <cell r="B3220" t="b">
            <v>1</v>
          </cell>
          <cell r="E3220" t="str">
            <v>San Francisco I</v>
          </cell>
          <cell r="H3220" t="str">
            <v>laboratorio</v>
          </cell>
          <cell r="J3220" t="str">
            <v>bueno</v>
          </cell>
          <cell r="K3220" t="str">
            <v>defsi</v>
          </cell>
        </row>
        <row r="3221">
          <cell r="B3221" t="b">
            <v>1</v>
          </cell>
          <cell r="E3221" t="str">
            <v>San Francisco I</v>
          </cell>
          <cell r="H3221" t="str">
            <v>consulta_externa</v>
          </cell>
          <cell r="J3221" t="str">
            <v>bueno</v>
          </cell>
          <cell r="K3221" t="str">
            <v>defsi</v>
          </cell>
        </row>
        <row r="3222">
          <cell r="B3222" t="b">
            <v>1</v>
          </cell>
          <cell r="E3222" t="str">
            <v>San Francisco I</v>
          </cell>
          <cell r="H3222" t="str">
            <v>salud_oral</v>
          </cell>
          <cell r="J3222" t="str">
            <v>bueno</v>
          </cell>
          <cell r="K3222" t="str">
            <v>defsi</v>
          </cell>
        </row>
        <row r="3223">
          <cell r="B3223" t="b">
            <v>1</v>
          </cell>
          <cell r="E3223" t="str">
            <v>San Francisco I</v>
          </cell>
          <cell r="H3223" t="str">
            <v>laboratorio</v>
          </cell>
          <cell r="J3223" t="str">
            <v>bueno</v>
          </cell>
          <cell r="K3223" t="str">
            <v>defsi</v>
          </cell>
        </row>
        <row r="3224">
          <cell r="B3224" t="b">
            <v>1</v>
          </cell>
          <cell r="E3224" t="str">
            <v>San Francisco I</v>
          </cell>
          <cell r="H3224" t="str">
            <v>consulta_externa</v>
          </cell>
          <cell r="J3224" t="str">
            <v>bueno</v>
          </cell>
          <cell r="K3224" t="str">
            <v>defsi</v>
          </cell>
        </row>
        <row r="3225">
          <cell r="B3225" t="b">
            <v>1</v>
          </cell>
          <cell r="E3225" t="str">
            <v>San Francisco I</v>
          </cell>
          <cell r="H3225" t="str">
            <v>consulta_externa</v>
          </cell>
          <cell r="J3225" t="str">
            <v>bueno</v>
          </cell>
          <cell r="K3225" t="str">
            <v>defsi</v>
          </cell>
        </row>
        <row r="3226">
          <cell r="B3226" t="b">
            <v>1</v>
          </cell>
          <cell r="E3226" t="str">
            <v>San Francisco I</v>
          </cell>
          <cell r="H3226" t="str">
            <v>consulta_externa</v>
          </cell>
          <cell r="J3226" t="str">
            <v>bueno</v>
          </cell>
          <cell r="K3226" t="str">
            <v>defsi</v>
          </cell>
        </row>
        <row r="3227">
          <cell r="B3227" t="b">
            <v>1</v>
          </cell>
          <cell r="E3227" t="str">
            <v>San Francisco I</v>
          </cell>
          <cell r="H3227" t="str">
            <v>salud_oral</v>
          </cell>
          <cell r="J3227" t="str">
            <v>bueno</v>
          </cell>
          <cell r="K3227" t="str">
            <v>defsi</v>
          </cell>
        </row>
        <row r="3228">
          <cell r="B3228" t="b">
            <v>1</v>
          </cell>
          <cell r="E3228" t="str">
            <v>San Francisco I</v>
          </cell>
          <cell r="H3228" t="str">
            <v>laboratorio</v>
          </cell>
          <cell r="J3228" t="str">
            <v>bueno</v>
          </cell>
          <cell r="K3228" t="str">
            <v>defsi</v>
          </cell>
        </row>
        <row r="3229">
          <cell r="B3229" t="b">
            <v>1</v>
          </cell>
          <cell r="E3229" t="str">
            <v>San Francisco I</v>
          </cell>
          <cell r="H3229" t="str">
            <v>consulta_externa</v>
          </cell>
          <cell r="J3229" t="str">
            <v>bueno</v>
          </cell>
          <cell r="K3229" t="str">
            <v>defsi</v>
          </cell>
        </row>
        <row r="3230">
          <cell r="B3230" t="b">
            <v>1</v>
          </cell>
          <cell r="E3230" t="str">
            <v>San Francisco I</v>
          </cell>
          <cell r="H3230" t="str">
            <v>salud_oral</v>
          </cell>
          <cell r="J3230" t="str">
            <v>bueno</v>
          </cell>
          <cell r="K3230" t="str">
            <v>defsi</v>
          </cell>
        </row>
        <row r="3231">
          <cell r="B3231" t="b">
            <v>1</v>
          </cell>
          <cell r="E3231" t="str">
            <v>San Francisco I</v>
          </cell>
          <cell r="H3231" t="str">
            <v>laboratorio</v>
          </cell>
          <cell r="J3231" t="str">
            <v>bueno</v>
          </cell>
          <cell r="K3231" t="str">
            <v>defsi</v>
          </cell>
        </row>
        <row r="3232">
          <cell r="B3232" t="b">
            <v>1</v>
          </cell>
          <cell r="E3232" t="str">
            <v>San Francisco I</v>
          </cell>
          <cell r="H3232" t="str">
            <v>consulta_externa</v>
          </cell>
          <cell r="J3232" t="str">
            <v>bueno</v>
          </cell>
          <cell r="K3232" t="str">
            <v>defsi</v>
          </cell>
        </row>
        <row r="3233">
          <cell r="B3233" t="b">
            <v>1</v>
          </cell>
          <cell r="E3233" t="str">
            <v>San Francisco I</v>
          </cell>
          <cell r="H3233" t="str">
            <v>salud_oral</v>
          </cell>
          <cell r="J3233" t="str">
            <v>bueno</v>
          </cell>
          <cell r="K3233" t="str">
            <v>defsi</v>
          </cell>
        </row>
        <row r="3234">
          <cell r="B3234" t="b">
            <v>1</v>
          </cell>
          <cell r="E3234" t="str">
            <v>San Francisco I</v>
          </cell>
          <cell r="H3234" t="str">
            <v>laboratorio</v>
          </cell>
          <cell r="J3234" t="str">
            <v>bueno</v>
          </cell>
          <cell r="K3234" t="str">
            <v>defsi</v>
          </cell>
        </row>
        <row r="3235">
          <cell r="B3235" t="b">
            <v>1</v>
          </cell>
          <cell r="E3235" t="str">
            <v>San Francisco I</v>
          </cell>
          <cell r="H3235" t="str">
            <v>laboratorio</v>
          </cell>
          <cell r="J3235" t="str">
            <v>bueno</v>
          </cell>
          <cell r="K3235" t="str">
            <v>defsi</v>
          </cell>
        </row>
        <row r="3236">
          <cell r="B3236" t="b">
            <v>1</v>
          </cell>
          <cell r="E3236" t="str">
            <v>San Francisco I</v>
          </cell>
          <cell r="H3236" t="str">
            <v>salud_oral</v>
          </cell>
          <cell r="J3236" t="str">
            <v>bueno</v>
          </cell>
          <cell r="K3236" t="str">
            <v>defsi</v>
          </cell>
        </row>
        <row r="3237">
          <cell r="B3237" t="b">
            <v>1</v>
          </cell>
          <cell r="E3237" t="str">
            <v>Islote de San Bernardo</v>
          </cell>
          <cell r="H3237" t="str">
            <v>consulta_externa</v>
          </cell>
          <cell r="J3237" t="str">
            <v>bueno</v>
          </cell>
          <cell r="K3237" t="str">
            <v>defsi</v>
          </cell>
        </row>
        <row r="3238">
          <cell r="B3238" t="b">
            <v>1</v>
          </cell>
          <cell r="E3238" t="str">
            <v>Islote de San Bernardo</v>
          </cell>
          <cell r="H3238" t="str">
            <v>salud_oral</v>
          </cell>
          <cell r="J3238" t="str">
            <v>bueno</v>
          </cell>
          <cell r="K3238" t="str">
            <v>defsi</v>
          </cell>
        </row>
        <row r="3239">
          <cell r="B3239" t="b">
            <v>1</v>
          </cell>
          <cell r="E3239" t="str">
            <v>Islote de San Bernardo</v>
          </cell>
          <cell r="H3239" t="str">
            <v>laboratorio</v>
          </cell>
          <cell r="J3239" t="str">
            <v>bueno</v>
          </cell>
          <cell r="K3239" t="str">
            <v>defsi</v>
          </cell>
        </row>
        <row r="3240">
          <cell r="B3240" t="b">
            <v>1</v>
          </cell>
          <cell r="E3240" t="str">
            <v>Islote de San Bernardo</v>
          </cell>
          <cell r="H3240" t="str">
            <v>consulta_externa</v>
          </cell>
          <cell r="J3240" t="str">
            <v>bueno</v>
          </cell>
          <cell r="K3240" t="str">
            <v>defsi</v>
          </cell>
        </row>
        <row r="3241">
          <cell r="B3241" t="b">
            <v>1</v>
          </cell>
          <cell r="E3241" t="str">
            <v>Islote de San Bernardo</v>
          </cell>
          <cell r="H3241" t="str">
            <v>salud_oral</v>
          </cell>
          <cell r="J3241" t="str">
            <v>bueno</v>
          </cell>
          <cell r="K3241" t="str">
            <v>defsi</v>
          </cell>
        </row>
        <row r="3242">
          <cell r="B3242" t="b">
            <v>1</v>
          </cell>
          <cell r="E3242" t="str">
            <v>Islote de San Bernardo</v>
          </cell>
          <cell r="H3242" t="str">
            <v>laboratorio</v>
          </cell>
          <cell r="J3242" t="str">
            <v>bueno</v>
          </cell>
          <cell r="K3242" t="str">
            <v>defsi</v>
          </cell>
        </row>
        <row r="3243">
          <cell r="B3243" t="b">
            <v>1</v>
          </cell>
          <cell r="E3243" t="str">
            <v>Islote de San Bernardo</v>
          </cell>
          <cell r="H3243" t="str">
            <v>consulta_externa</v>
          </cell>
          <cell r="J3243" t="str">
            <v>bueno</v>
          </cell>
          <cell r="K3243" t="str">
            <v>defsi</v>
          </cell>
        </row>
        <row r="3244">
          <cell r="B3244" t="b">
            <v>1</v>
          </cell>
          <cell r="E3244" t="str">
            <v>Manzanillo</v>
          </cell>
          <cell r="H3244" t="str">
            <v>consulta_externa</v>
          </cell>
          <cell r="J3244" t="str">
            <v>bueno</v>
          </cell>
          <cell r="K3244" t="str">
            <v>defsi</v>
          </cell>
        </row>
        <row r="3245">
          <cell r="B3245" t="b">
            <v>1</v>
          </cell>
          <cell r="E3245" t="str">
            <v>Manzanillo</v>
          </cell>
          <cell r="H3245" t="str">
            <v>salud_oral</v>
          </cell>
          <cell r="J3245" t="str">
            <v>bueno</v>
          </cell>
          <cell r="K3245" t="str">
            <v>defsi</v>
          </cell>
        </row>
        <row r="3246">
          <cell r="B3246" t="b">
            <v>1</v>
          </cell>
          <cell r="E3246" t="str">
            <v>Manzanillo</v>
          </cell>
          <cell r="H3246" t="str">
            <v>laboratorio</v>
          </cell>
          <cell r="J3246" t="str">
            <v>bueno</v>
          </cell>
          <cell r="K3246" t="str">
            <v>defsi</v>
          </cell>
        </row>
        <row r="3247">
          <cell r="B3247" t="b">
            <v>1</v>
          </cell>
          <cell r="E3247" t="str">
            <v>Manzanillo</v>
          </cell>
          <cell r="H3247" t="str">
            <v>consulta_externa</v>
          </cell>
          <cell r="J3247" t="str">
            <v>bueno</v>
          </cell>
          <cell r="K3247" t="str">
            <v>defsi</v>
          </cell>
        </row>
        <row r="3248">
          <cell r="B3248" t="b">
            <v>1</v>
          </cell>
          <cell r="E3248" t="str">
            <v>Manzanillo</v>
          </cell>
          <cell r="H3248" t="str">
            <v>salud_oral</v>
          </cell>
          <cell r="J3248" t="str">
            <v>bueno</v>
          </cell>
          <cell r="K3248" t="str">
            <v>defsi</v>
          </cell>
        </row>
        <row r="3249">
          <cell r="B3249" t="b">
            <v>1</v>
          </cell>
          <cell r="E3249" t="str">
            <v>Manzanillo</v>
          </cell>
          <cell r="H3249" t="str">
            <v>laboratorio</v>
          </cell>
          <cell r="J3249" t="str">
            <v>bueno</v>
          </cell>
          <cell r="K3249" t="str">
            <v>defsi</v>
          </cell>
        </row>
        <row r="3250">
          <cell r="B3250" t="b">
            <v>1</v>
          </cell>
          <cell r="E3250" t="str">
            <v>Manzanillo</v>
          </cell>
          <cell r="H3250" t="str">
            <v>consulta_externa</v>
          </cell>
          <cell r="J3250" t="str">
            <v>bueno</v>
          </cell>
          <cell r="K3250" t="str">
            <v>defsi</v>
          </cell>
        </row>
        <row r="3251">
          <cell r="B3251" t="b">
            <v>1</v>
          </cell>
          <cell r="E3251" t="str">
            <v>Manzanillo</v>
          </cell>
          <cell r="H3251" t="str">
            <v>salud_oral</v>
          </cell>
          <cell r="J3251" t="str">
            <v>bueno</v>
          </cell>
          <cell r="K3251" t="str">
            <v>defsi</v>
          </cell>
        </row>
        <row r="3252">
          <cell r="B3252" t="b">
            <v>1</v>
          </cell>
          <cell r="E3252" t="str">
            <v>Manzanillo</v>
          </cell>
          <cell r="H3252" t="str">
            <v>laboratorio</v>
          </cell>
          <cell r="J3252" t="str">
            <v>bueno</v>
          </cell>
          <cell r="K3252" t="str">
            <v>defsi</v>
          </cell>
        </row>
        <row r="3253">
          <cell r="B3253" t="b">
            <v>1</v>
          </cell>
          <cell r="E3253" t="str">
            <v>Manzanillo</v>
          </cell>
          <cell r="H3253" t="str">
            <v>consulta_externa</v>
          </cell>
          <cell r="J3253" t="str">
            <v>bueno</v>
          </cell>
          <cell r="K3253" t="str">
            <v>defsi</v>
          </cell>
        </row>
        <row r="3254">
          <cell r="B3254" t="b">
            <v>1</v>
          </cell>
          <cell r="E3254" t="str">
            <v>Manzanillo</v>
          </cell>
          <cell r="H3254" t="str">
            <v>salud_oral</v>
          </cell>
          <cell r="J3254" t="str">
            <v>bueno</v>
          </cell>
          <cell r="K3254" t="str">
            <v>defsi</v>
          </cell>
        </row>
        <row r="3255">
          <cell r="B3255" t="b">
            <v>1</v>
          </cell>
          <cell r="E3255" t="str">
            <v>Manzanillo</v>
          </cell>
          <cell r="H3255" t="str">
            <v>laboratorio</v>
          </cell>
          <cell r="J3255" t="str">
            <v>bueno</v>
          </cell>
          <cell r="K3255" t="str">
            <v>defsi</v>
          </cell>
        </row>
        <row r="3256">
          <cell r="B3256" t="b">
            <v>1</v>
          </cell>
          <cell r="E3256" t="str">
            <v>Manzanillo</v>
          </cell>
          <cell r="H3256" t="str">
            <v>consulta_externa</v>
          </cell>
          <cell r="J3256" t="str">
            <v>bueno</v>
          </cell>
          <cell r="K3256" t="str">
            <v>defsi</v>
          </cell>
        </row>
        <row r="3257">
          <cell r="B3257" t="b">
            <v>1</v>
          </cell>
          <cell r="E3257" t="str">
            <v>Manzanillo</v>
          </cell>
          <cell r="H3257" t="str">
            <v>salud_oral</v>
          </cell>
          <cell r="J3257" t="str">
            <v>bueno</v>
          </cell>
          <cell r="K3257" t="str">
            <v>defsi</v>
          </cell>
        </row>
        <row r="3258">
          <cell r="B3258" t="b">
            <v>1</v>
          </cell>
          <cell r="E3258" t="str">
            <v>Manzanillo</v>
          </cell>
          <cell r="H3258" t="str">
            <v>laboratorio</v>
          </cell>
          <cell r="J3258" t="str">
            <v>bueno</v>
          </cell>
          <cell r="K3258" t="str">
            <v>defsi</v>
          </cell>
        </row>
        <row r="3259">
          <cell r="B3259" t="b">
            <v>1</v>
          </cell>
          <cell r="E3259" t="str">
            <v>Manzanillo</v>
          </cell>
          <cell r="H3259" t="str">
            <v>consulta_externa</v>
          </cell>
          <cell r="J3259" t="str">
            <v>bueno</v>
          </cell>
          <cell r="K3259" t="str">
            <v>defsi</v>
          </cell>
        </row>
        <row r="3260">
          <cell r="B3260" t="b">
            <v>1</v>
          </cell>
          <cell r="E3260" t="str">
            <v>Manzanillo</v>
          </cell>
          <cell r="H3260" t="str">
            <v>salud_oral</v>
          </cell>
          <cell r="J3260" t="str">
            <v>bueno</v>
          </cell>
          <cell r="K3260" t="str">
            <v>defsi</v>
          </cell>
        </row>
        <row r="3261">
          <cell r="B3261" t="b">
            <v>1</v>
          </cell>
          <cell r="E3261" t="str">
            <v>Manzanillo</v>
          </cell>
          <cell r="H3261" t="str">
            <v>laboratorio</v>
          </cell>
          <cell r="J3261" t="str">
            <v>bueno</v>
          </cell>
          <cell r="K3261" t="str">
            <v>defsi</v>
          </cell>
        </row>
        <row r="3262">
          <cell r="B3262" t="b">
            <v>1</v>
          </cell>
          <cell r="E3262" t="str">
            <v>Manzanillo</v>
          </cell>
          <cell r="H3262" t="str">
            <v>consulta_externa</v>
          </cell>
          <cell r="J3262" t="str">
            <v>bueno</v>
          </cell>
          <cell r="K3262" t="str">
            <v>defsi</v>
          </cell>
        </row>
        <row r="3263">
          <cell r="B3263" t="b">
            <v>1</v>
          </cell>
          <cell r="E3263" t="str">
            <v>Manzanillo</v>
          </cell>
          <cell r="H3263" t="str">
            <v>salud_oral</v>
          </cell>
          <cell r="J3263" t="str">
            <v>bueno</v>
          </cell>
          <cell r="K3263" t="str">
            <v>defsi</v>
          </cell>
        </row>
        <row r="3264">
          <cell r="B3264" t="b">
            <v>1</v>
          </cell>
          <cell r="E3264" t="str">
            <v>Manzanillo</v>
          </cell>
          <cell r="H3264" t="str">
            <v>laboratorio</v>
          </cell>
          <cell r="J3264" t="str">
            <v>bueno</v>
          </cell>
          <cell r="K3264" t="str">
            <v>defsi</v>
          </cell>
        </row>
        <row r="3265">
          <cell r="B3265" t="b">
            <v>1</v>
          </cell>
          <cell r="E3265" t="str">
            <v>Las Reinas</v>
          </cell>
          <cell r="H3265" t="str">
            <v>consulta_externa</v>
          </cell>
          <cell r="J3265" t="str">
            <v>bueno</v>
          </cell>
          <cell r="K3265" t="str">
            <v>probsi</v>
          </cell>
        </row>
        <row r="3266">
          <cell r="B3266" t="b">
            <v>1</v>
          </cell>
          <cell r="E3266" t="str">
            <v>Las Reinas</v>
          </cell>
          <cell r="H3266" t="str">
            <v>laboratorio</v>
          </cell>
          <cell r="J3266" t="str">
            <v>bueno</v>
          </cell>
          <cell r="K3266" t="str">
            <v>probsi</v>
          </cell>
        </row>
        <row r="3267">
          <cell r="B3267" t="b">
            <v>1</v>
          </cell>
          <cell r="E3267" t="str">
            <v>Las Reinas</v>
          </cell>
          <cell r="H3267" t="str">
            <v>consulta_externa</v>
          </cell>
          <cell r="J3267" t="str">
            <v>bueno</v>
          </cell>
          <cell r="K3267" t="str">
            <v>probsi</v>
          </cell>
        </row>
        <row r="3268">
          <cell r="B3268" t="b">
            <v>1</v>
          </cell>
          <cell r="E3268" t="str">
            <v>Las Reinas</v>
          </cell>
          <cell r="H3268" t="str">
            <v>consulta_externa</v>
          </cell>
          <cell r="J3268" t="str">
            <v>bueno</v>
          </cell>
          <cell r="K3268" t="str">
            <v>probsi</v>
          </cell>
        </row>
        <row r="3269">
          <cell r="B3269" t="b">
            <v>1</v>
          </cell>
          <cell r="E3269" t="str">
            <v>Las Reinas</v>
          </cell>
          <cell r="H3269" t="str">
            <v>consulta_externa</v>
          </cell>
          <cell r="J3269" t="str">
            <v>bueno</v>
          </cell>
          <cell r="K3269" t="str">
            <v>probsi</v>
          </cell>
        </row>
        <row r="3270">
          <cell r="B3270" t="b">
            <v>1</v>
          </cell>
          <cell r="E3270" t="str">
            <v>Las Reinas</v>
          </cell>
          <cell r="H3270" t="str">
            <v>consulta_externa</v>
          </cell>
          <cell r="J3270" t="str">
            <v>bueno</v>
          </cell>
          <cell r="K3270" t="str">
            <v>probsi</v>
          </cell>
        </row>
        <row r="3271">
          <cell r="B3271" t="b">
            <v>1</v>
          </cell>
          <cell r="E3271" t="str">
            <v>Las Reinas</v>
          </cell>
          <cell r="H3271" t="str">
            <v>salud_oral</v>
          </cell>
          <cell r="J3271" t="str">
            <v>bueno</v>
          </cell>
          <cell r="K3271" t="str">
            <v>probsi</v>
          </cell>
        </row>
        <row r="3272">
          <cell r="B3272" t="b">
            <v>1</v>
          </cell>
          <cell r="E3272" t="str">
            <v>Las Reinas</v>
          </cell>
          <cell r="H3272" t="str">
            <v>laboratorio</v>
          </cell>
          <cell r="J3272" t="str">
            <v>bueno</v>
          </cell>
          <cell r="K3272" t="str">
            <v>probsi</v>
          </cell>
        </row>
        <row r="3273">
          <cell r="B3273" t="b">
            <v>1</v>
          </cell>
          <cell r="E3273" t="str">
            <v>Las Reinas</v>
          </cell>
          <cell r="H3273" t="str">
            <v>consulta_externa</v>
          </cell>
          <cell r="J3273" t="str">
            <v>bueno</v>
          </cell>
          <cell r="K3273" t="str">
            <v>probsi</v>
          </cell>
        </row>
        <row r="3274">
          <cell r="B3274" t="b">
            <v>1</v>
          </cell>
          <cell r="E3274" t="str">
            <v>Las Reinas</v>
          </cell>
          <cell r="H3274" t="str">
            <v>salud_oral</v>
          </cell>
          <cell r="J3274" t="str">
            <v>bueno</v>
          </cell>
          <cell r="K3274" t="str">
            <v>probsi</v>
          </cell>
        </row>
        <row r="3275">
          <cell r="B3275" t="b">
            <v>1</v>
          </cell>
          <cell r="E3275" t="str">
            <v>Las Reinas</v>
          </cell>
          <cell r="H3275" t="str">
            <v>laboratorio</v>
          </cell>
          <cell r="J3275" t="str">
            <v>bueno</v>
          </cell>
          <cell r="K3275" t="str">
            <v>probsi</v>
          </cell>
        </row>
        <row r="3276">
          <cell r="B3276" t="b">
            <v>0</v>
          </cell>
          <cell r="E3276" t="str">
            <v>Las Reinas</v>
          </cell>
          <cell r="H3276" t="str">
            <v>consulta_externa</v>
          </cell>
          <cell r="J3276" t="str">
            <v>regular</v>
          </cell>
          <cell r="K3276" t="str">
            <v>probsi</v>
          </cell>
        </row>
        <row r="3277">
          <cell r="B3277" t="b">
            <v>1</v>
          </cell>
          <cell r="E3277" t="str">
            <v>Las Reinas</v>
          </cell>
          <cell r="H3277" t="str">
            <v>laboratorio</v>
          </cell>
          <cell r="J3277" t="str">
            <v>bueno</v>
          </cell>
          <cell r="K3277" t="str">
            <v>probsi</v>
          </cell>
        </row>
        <row r="3278">
          <cell r="B3278" t="b">
            <v>1</v>
          </cell>
          <cell r="E3278" t="str">
            <v>Las Reinas</v>
          </cell>
          <cell r="H3278" t="str">
            <v>laboratorio</v>
          </cell>
          <cell r="J3278" t="str">
            <v>bueno</v>
          </cell>
          <cell r="K3278" t="str">
            <v>probsi</v>
          </cell>
        </row>
        <row r="3279">
          <cell r="B3279" t="b">
            <v>1</v>
          </cell>
          <cell r="E3279" t="str">
            <v>Las Reinas</v>
          </cell>
          <cell r="H3279" t="str">
            <v>laboratorio</v>
          </cell>
          <cell r="J3279" t="str">
            <v>bueno</v>
          </cell>
          <cell r="K3279" t="str">
            <v>probsi</v>
          </cell>
        </row>
        <row r="3280">
          <cell r="B3280" t="b">
            <v>1</v>
          </cell>
          <cell r="E3280" t="str">
            <v>Las Reinas</v>
          </cell>
          <cell r="H3280" t="str">
            <v>laboratorio</v>
          </cell>
          <cell r="J3280" t="str">
            <v>bueno</v>
          </cell>
          <cell r="K3280" t="str">
            <v>probsi</v>
          </cell>
        </row>
        <row r="3281">
          <cell r="B3281" t="b">
            <v>1</v>
          </cell>
          <cell r="E3281" t="str">
            <v>Las Reinas</v>
          </cell>
          <cell r="H3281" t="str">
            <v>consulta_externa</v>
          </cell>
          <cell r="J3281" t="str">
            <v>bueno</v>
          </cell>
          <cell r="K3281" t="str">
            <v>probsi</v>
          </cell>
        </row>
        <row r="3282">
          <cell r="B3282" t="b">
            <v>1</v>
          </cell>
          <cell r="E3282" t="str">
            <v>Las Reinas</v>
          </cell>
          <cell r="H3282" t="str">
            <v>salud_oral</v>
          </cell>
          <cell r="J3282" t="str">
            <v>bueno</v>
          </cell>
          <cell r="K3282" t="str">
            <v>probsi</v>
          </cell>
        </row>
        <row r="3283">
          <cell r="B3283" t="b">
            <v>1</v>
          </cell>
          <cell r="E3283" t="str">
            <v>Las Reinas</v>
          </cell>
          <cell r="H3283" t="str">
            <v>laboratorio</v>
          </cell>
          <cell r="J3283" t="str">
            <v>bueno</v>
          </cell>
          <cell r="K3283" t="str">
            <v>probsi</v>
          </cell>
        </row>
        <row r="3284">
          <cell r="B3284" t="b">
            <v>1</v>
          </cell>
          <cell r="E3284" t="str">
            <v>Las Reinas</v>
          </cell>
          <cell r="H3284" t="str">
            <v>consulta_externa</v>
          </cell>
          <cell r="J3284" t="str">
            <v>bueno</v>
          </cell>
          <cell r="K3284" t="str">
            <v>probsi</v>
          </cell>
        </row>
        <row r="3285">
          <cell r="B3285" t="b">
            <v>1</v>
          </cell>
          <cell r="E3285" t="str">
            <v>Las Reinas</v>
          </cell>
          <cell r="H3285" t="str">
            <v>laboratorio</v>
          </cell>
          <cell r="J3285" t="str">
            <v>bueno</v>
          </cell>
          <cell r="K3285" t="str">
            <v>probsi</v>
          </cell>
        </row>
        <row r="3286">
          <cell r="B3286" t="b">
            <v>0</v>
          </cell>
          <cell r="E3286" t="str">
            <v>Las Reinas</v>
          </cell>
          <cell r="H3286" t="str">
            <v>consulta_externa</v>
          </cell>
          <cell r="J3286" t="str">
            <v>regular</v>
          </cell>
          <cell r="K3286" t="str">
            <v>probsi</v>
          </cell>
        </row>
        <row r="3287">
          <cell r="B3287" t="b">
            <v>1</v>
          </cell>
          <cell r="E3287" t="str">
            <v>Las Reinas</v>
          </cell>
          <cell r="H3287" t="str">
            <v>salud_oral</v>
          </cell>
          <cell r="J3287" t="str">
            <v>bueno</v>
          </cell>
          <cell r="K3287" t="str">
            <v>probsi</v>
          </cell>
        </row>
        <row r="3288">
          <cell r="B3288" t="b">
            <v>1</v>
          </cell>
          <cell r="E3288" t="str">
            <v>Las Reinas</v>
          </cell>
          <cell r="H3288" t="str">
            <v>laboratorio</v>
          </cell>
          <cell r="J3288" t="str">
            <v>bueno</v>
          </cell>
          <cell r="K3288" t="str">
            <v>probsi</v>
          </cell>
        </row>
        <row r="3289">
          <cell r="B3289" t="b">
            <v>1</v>
          </cell>
          <cell r="E3289" t="str">
            <v>Las Reinas</v>
          </cell>
          <cell r="H3289" t="str">
            <v>salud_oral</v>
          </cell>
          <cell r="J3289" t="str">
            <v>bueno</v>
          </cell>
          <cell r="K3289" t="str">
            <v>probsi</v>
          </cell>
        </row>
        <row r="3290">
          <cell r="B3290" t="b">
            <v>1</v>
          </cell>
          <cell r="E3290" t="str">
            <v>Socorro</v>
          </cell>
          <cell r="H3290" t="str">
            <v>consulta_externa</v>
          </cell>
          <cell r="J3290" t="str">
            <v>bueno</v>
          </cell>
          <cell r="K3290" t="str">
            <v>defsi</v>
          </cell>
        </row>
        <row r="3291">
          <cell r="B3291" t="b">
            <v>0</v>
          </cell>
          <cell r="E3291" t="str">
            <v>Las Reinas</v>
          </cell>
          <cell r="H3291" t="str">
            <v>salud_oral</v>
          </cell>
          <cell r="J3291" t="str">
            <v>regular</v>
          </cell>
          <cell r="K3291" t="str">
            <v>probsi</v>
          </cell>
        </row>
        <row r="3292">
          <cell r="B3292" t="b">
            <v>0</v>
          </cell>
          <cell r="E3292" t="str">
            <v>Las Reinas</v>
          </cell>
          <cell r="H3292" t="str">
            <v>laboratorio</v>
          </cell>
          <cell r="J3292" t="str">
            <v>regular</v>
          </cell>
          <cell r="K3292" t="str">
            <v>probsi</v>
          </cell>
        </row>
        <row r="3293">
          <cell r="B3293" t="b">
            <v>1</v>
          </cell>
          <cell r="E3293" t="str">
            <v>Manzanillo</v>
          </cell>
          <cell r="H3293" t="str">
            <v>consulta_externa</v>
          </cell>
          <cell r="J3293" t="str">
            <v>bueno</v>
          </cell>
          <cell r="K3293" t="str">
            <v>defsi</v>
          </cell>
        </row>
        <row r="3294">
          <cell r="B3294" t="b">
            <v>1</v>
          </cell>
          <cell r="E3294" t="str">
            <v>Manzanillo</v>
          </cell>
          <cell r="H3294" t="str">
            <v>salud_oral</v>
          </cell>
          <cell r="J3294" t="str">
            <v>bueno</v>
          </cell>
          <cell r="K3294" t="str">
            <v>defsi</v>
          </cell>
        </row>
        <row r="3295">
          <cell r="B3295" t="b">
            <v>1</v>
          </cell>
          <cell r="E3295" t="str">
            <v>Manzanillo</v>
          </cell>
          <cell r="H3295" t="str">
            <v>laboratorio</v>
          </cell>
          <cell r="J3295" t="str">
            <v>bueno</v>
          </cell>
          <cell r="K3295" t="str">
            <v>defsi</v>
          </cell>
        </row>
        <row r="3296">
          <cell r="B3296" t="b">
            <v>1</v>
          </cell>
          <cell r="E3296" t="str">
            <v>Manzanillo</v>
          </cell>
          <cell r="H3296" t="str">
            <v>consulta_externa</v>
          </cell>
          <cell r="J3296" t="str">
            <v>bueno</v>
          </cell>
          <cell r="K3296" t="str">
            <v>defsi</v>
          </cell>
        </row>
        <row r="3297">
          <cell r="B3297" t="b">
            <v>1</v>
          </cell>
          <cell r="E3297" t="str">
            <v>Manzanillo</v>
          </cell>
          <cell r="H3297" t="str">
            <v>salud_oral</v>
          </cell>
          <cell r="J3297" t="str">
            <v>bueno</v>
          </cell>
          <cell r="K3297" t="str">
            <v>defsi</v>
          </cell>
        </row>
        <row r="3298">
          <cell r="B3298" t="b">
            <v>1</v>
          </cell>
          <cell r="E3298" t="str">
            <v>Manzanillo</v>
          </cell>
          <cell r="H3298" t="str">
            <v>laboratorio</v>
          </cell>
          <cell r="J3298" t="str">
            <v>bueno</v>
          </cell>
          <cell r="K3298" t="str">
            <v>defsi</v>
          </cell>
        </row>
        <row r="3299">
          <cell r="B3299" t="b">
            <v>1</v>
          </cell>
          <cell r="E3299" t="str">
            <v>Manzanillo</v>
          </cell>
          <cell r="H3299" t="str">
            <v>consulta_externa</v>
          </cell>
          <cell r="J3299" t="str">
            <v>bueno</v>
          </cell>
          <cell r="K3299" t="str">
            <v>defsi</v>
          </cell>
        </row>
        <row r="3300">
          <cell r="B3300" t="b">
            <v>1</v>
          </cell>
          <cell r="E3300" t="str">
            <v>Manzanillo</v>
          </cell>
          <cell r="H3300" t="str">
            <v>salud_oral</v>
          </cell>
          <cell r="J3300" t="str">
            <v>bueno</v>
          </cell>
          <cell r="K3300" t="str">
            <v>defsi</v>
          </cell>
        </row>
        <row r="3301">
          <cell r="B3301" t="b">
            <v>1</v>
          </cell>
          <cell r="E3301" t="str">
            <v>Manzanillo</v>
          </cell>
          <cell r="H3301" t="str">
            <v>laboratorio</v>
          </cell>
          <cell r="J3301" t="str">
            <v>bueno</v>
          </cell>
          <cell r="K3301" t="str">
            <v>defsi</v>
          </cell>
        </row>
        <row r="3302">
          <cell r="B3302" t="b">
            <v>1</v>
          </cell>
          <cell r="E3302" t="str">
            <v>Manzanillo</v>
          </cell>
          <cell r="H3302" t="str">
            <v>consulta_externa</v>
          </cell>
          <cell r="J3302" t="str">
            <v>bueno</v>
          </cell>
          <cell r="K3302" t="str">
            <v>defsi</v>
          </cell>
        </row>
        <row r="3303">
          <cell r="B3303" t="b">
            <v>1</v>
          </cell>
          <cell r="E3303" t="str">
            <v>Manzanillo</v>
          </cell>
          <cell r="H3303" t="str">
            <v>salud_oral</v>
          </cell>
          <cell r="J3303" t="str">
            <v>bueno</v>
          </cell>
          <cell r="K3303" t="str">
            <v>defsi</v>
          </cell>
        </row>
        <row r="3304">
          <cell r="B3304" t="b">
            <v>1</v>
          </cell>
          <cell r="E3304" t="str">
            <v>Manzanillo</v>
          </cell>
          <cell r="H3304" t="str">
            <v>laboratorio</v>
          </cell>
          <cell r="J3304" t="str">
            <v>bueno</v>
          </cell>
          <cell r="K3304" t="str">
            <v>defsi</v>
          </cell>
        </row>
        <row r="3305">
          <cell r="B3305" t="b">
            <v>1</v>
          </cell>
          <cell r="E3305" t="str">
            <v>Manzanillo</v>
          </cell>
          <cell r="H3305" t="str">
            <v>consulta_externa</v>
          </cell>
          <cell r="J3305" t="str">
            <v>bueno</v>
          </cell>
          <cell r="K3305" t="str">
            <v>defsi</v>
          </cell>
        </row>
        <row r="3306">
          <cell r="B3306" t="b">
            <v>1</v>
          </cell>
          <cell r="E3306" t="str">
            <v>Manzanillo</v>
          </cell>
          <cell r="H3306" t="str">
            <v>salud_oral</v>
          </cell>
          <cell r="J3306" t="str">
            <v>bueno</v>
          </cell>
          <cell r="K3306" t="str">
            <v>defsi</v>
          </cell>
        </row>
        <row r="3307">
          <cell r="B3307" t="b">
            <v>1</v>
          </cell>
          <cell r="E3307" t="str">
            <v>Manzanillo</v>
          </cell>
          <cell r="H3307" t="str">
            <v>laboratorio</v>
          </cell>
          <cell r="J3307" t="str">
            <v>bueno</v>
          </cell>
          <cell r="K3307" t="str">
            <v>defsi</v>
          </cell>
        </row>
        <row r="3308">
          <cell r="B3308" t="b">
            <v>1</v>
          </cell>
          <cell r="E3308" t="str">
            <v>Manzanillo</v>
          </cell>
          <cell r="H3308" t="str">
            <v>consulta_externa</v>
          </cell>
          <cell r="J3308" t="str">
            <v>bueno</v>
          </cell>
          <cell r="K3308" t="str">
            <v>defsi</v>
          </cell>
        </row>
        <row r="3309">
          <cell r="B3309" t="b">
            <v>1</v>
          </cell>
          <cell r="E3309" t="str">
            <v>Manzanillo</v>
          </cell>
          <cell r="H3309" t="str">
            <v>salud_oral</v>
          </cell>
          <cell r="J3309" t="str">
            <v>bueno</v>
          </cell>
          <cell r="K3309" t="str">
            <v>defsi</v>
          </cell>
        </row>
        <row r="3310">
          <cell r="B3310" t="b">
            <v>1</v>
          </cell>
          <cell r="E3310" t="str">
            <v>Manzanillo</v>
          </cell>
          <cell r="H3310" t="str">
            <v>laboratorio</v>
          </cell>
          <cell r="J3310" t="str">
            <v>bueno</v>
          </cell>
          <cell r="K3310" t="str">
            <v>defsi</v>
          </cell>
        </row>
        <row r="3311">
          <cell r="B3311" t="b">
            <v>1</v>
          </cell>
          <cell r="E3311" t="str">
            <v>Manzanillo</v>
          </cell>
          <cell r="H3311" t="str">
            <v>consulta_externa</v>
          </cell>
          <cell r="J3311" t="str">
            <v>bueno</v>
          </cell>
          <cell r="K3311" t="str">
            <v>defsi</v>
          </cell>
        </row>
        <row r="3312">
          <cell r="B3312" t="b">
            <v>1</v>
          </cell>
          <cell r="E3312" t="str">
            <v>Manzanillo</v>
          </cell>
          <cell r="H3312" t="str">
            <v>salud_oral</v>
          </cell>
          <cell r="J3312" t="str">
            <v>bueno</v>
          </cell>
          <cell r="K3312" t="str">
            <v>defsi</v>
          </cell>
        </row>
        <row r="3313">
          <cell r="B3313" t="b">
            <v>1</v>
          </cell>
          <cell r="E3313" t="str">
            <v>Manzanillo</v>
          </cell>
          <cell r="H3313" t="str">
            <v>laboratorio</v>
          </cell>
          <cell r="J3313" t="str">
            <v>bueno</v>
          </cell>
          <cell r="K3313" t="str">
            <v>defsi</v>
          </cell>
        </row>
        <row r="3314">
          <cell r="B3314" t="b">
            <v>0</v>
          </cell>
          <cell r="E3314" t="str">
            <v>Las Reinas</v>
          </cell>
          <cell r="H3314" t="str">
            <v>salud_oral</v>
          </cell>
          <cell r="J3314" t="str">
            <v>regular</v>
          </cell>
          <cell r="K3314" t="str">
            <v>probsi</v>
          </cell>
        </row>
        <row r="3315">
          <cell r="B3315" t="b">
            <v>1</v>
          </cell>
          <cell r="E3315" t="str">
            <v>Las Reinas</v>
          </cell>
          <cell r="H3315" t="str">
            <v>salud_oral</v>
          </cell>
          <cell r="J3315" t="str">
            <v>bueno</v>
          </cell>
          <cell r="K3315" t="str">
            <v>probsi</v>
          </cell>
        </row>
        <row r="3316">
          <cell r="B3316" t="b">
            <v>1</v>
          </cell>
          <cell r="E3316" t="str">
            <v>Las Reinas</v>
          </cell>
          <cell r="H3316" t="str">
            <v>salud_oral</v>
          </cell>
          <cell r="J3316" t="str">
            <v>bueno</v>
          </cell>
          <cell r="K3316" t="str">
            <v>probsi</v>
          </cell>
        </row>
        <row r="3317">
          <cell r="B3317" t="b">
            <v>1</v>
          </cell>
          <cell r="E3317" t="str">
            <v>Manzanillo</v>
          </cell>
          <cell r="H3317" t="str">
            <v>consulta_externa</v>
          </cell>
          <cell r="J3317" t="str">
            <v>bueno</v>
          </cell>
          <cell r="K3317" t="str">
            <v>defsi</v>
          </cell>
        </row>
        <row r="3318">
          <cell r="B3318" t="b">
            <v>1</v>
          </cell>
          <cell r="E3318" t="str">
            <v>Manzanillo</v>
          </cell>
          <cell r="H3318" t="str">
            <v>salud_oral</v>
          </cell>
          <cell r="J3318" t="str">
            <v>bueno</v>
          </cell>
          <cell r="K3318" t="str">
            <v>defsi</v>
          </cell>
        </row>
        <row r="3319">
          <cell r="B3319" t="b">
            <v>1</v>
          </cell>
          <cell r="E3319" t="str">
            <v>Manzanillo</v>
          </cell>
          <cell r="H3319" t="str">
            <v>laboratorio</v>
          </cell>
          <cell r="J3319" t="str">
            <v>bueno</v>
          </cell>
          <cell r="K3319" t="str">
            <v>defsi</v>
          </cell>
        </row>
        <row r="3320">
          <cell r="B3320" t="b">
            <v>1</v>
          </cell>
          <cell r="E3320" t="str">
            <v>Manzanillo</v>
          </cell>
          <cell r="H3320" t="str">
            <v>consulta_externa</v>
          </cell>
          <cell r="J3320" t="str">
            <v>bueno</v>
          </cell>
          <cell r="K3320" t="str">
            <v>defsi</v>
          </cell>
        </row>
        <row r="3321">
          <cell r="B3321" t="b">
            <v>1</v>
          </cell>
          <cell r="E3321" t="str">
            <v>Manzanillo</v>
          </cell>
          <cell r="H3321" t="str">
            <v>salud_oral</v>
          </cell>
          <cell r="J3321" t="str">
            <v>bueno</v>
          </cell>
          <cell r="K3321" t="str">
            <v>defsi</v>
          </cell>
        </row>
        <row r="3322">
          <cell r="B3322" t="b">
            <v>1</v>
          </cell>
          <cell r="E3322" t="str">
            <v>Manzanillo</v>
          </cell>
          <cell r="H3322" t="str">
            <v>laboratorio</v>
          </cell>
          <cell r="J3322" t="str">
            <v>bueno</v>
          </cell>
          <cell r="K3322" t="str">
            <v>defsi</v>
          </cell>
        </row>
        <row r="3323">
          <cell r="B3323" t="b">
            <v>1</v>
          </cell>
          <cell r="E3323" t="str">
            <v>Manzanillo</v>
          </cell>
          <cell r="H3323" t="str">
            <v>consulta_externa</v>
          </cell>
          <cell r="J3323" t="str">
            <v>bueno</v>
          </cell>
          <cell r="K3323" t="str">
            <v>defsi</v>
          </cell>
        </row>
        <row r="3324">
          <cell r="B3324" t="b">
            <v>1</v>
          </cell>
          <cell r="E3324" t="str">
            <v>Manzanillo</v>
          </cell>
          <cell r="H3324" t="str">
            <v>salud_oral</v>
          </cell>
          <cell r="J3324" t="str">
            <v>bueno</v>
          </cell>
          <cell r="K3324" t="str">
            <v>defsi</v>
          </cell>
        </row>
        <row r="3325">
          <cell r="B3325" t="b">
            <v>1</v>
          </cell>
          <cell r="E3325" t="str">
            <v>Manzanillo</v>
          </cell>
          <cell r="H3325" t="str">
            <v>laboratorio</v>
          </cell>
          <cell r="J3325" t="str">
            <v>bueno</v>
          </cell>
          <cell r="K3325" t="str">
            <v>defsi</v>
          </cell>
        </row>
        <row r="3326">
          <cell r="B3326" t="b">
            <v>1</v>
          </cell>
          <cell r="E3326" t="str">
            <v>Manzanillo</v>
          </cell>
          <cell r="H3326" t="str">
            <v>consulta_externa</v>
          </cell>
          <cell r="J3326" t="str">
            <v>bueno</v>
          </cell>
          <cell r="K3326" t="str">
            <v>defsi</v>
          </cell>
        </row>
        <row r="3327">
          <cell r="B3327" t="b">
            <v>1</v>
          </cell>
          <cell r="E3327" t="str">
            <v>Manzanillo</v>
          </cell>
          <cell r="H3327" t="str">
            <v>salud_oral</v>
          </cell>
          <cell r="J3327" t="str">
            <v>bueno</v>
          </cell>
          <cell r="K3327" t="str">
            <v>defsi</v>
          </cell>
        </row>
        <row r="3328">
          <cell r="B3328" t="b">
            <v>1</v>
          </cell>
          <cell r="E3328" t="str">
            <v>Manzanillo</v>
          </cell>
          <cell r="H3328" t="str">
            <v>laboratorio</v>
          </cell>
          <cell r="J3328" t="str">
            <v>bueno</v>
          </cell>
          <cell r="K3328" t="str">
            <v>defsi</v>
          </cell>
        </row>
        <row r="3329">
          <cell r="B3329" t="b">
            <v>1</v>
          </cell>
          <cell r="E3329" t="str">
            <v>Manzanillo</v>
          </cell>
          <cell r="H3329" t="str">
            <v>consulta_externa</v>
          </cell>
          <cell r="J3329" t="str">
            <v>bueno</v>
          </cell>
          <cell r="K3329" t="str">
            <v>defsi</v>
          </cell>
        </row>
        <row r="3330">
          <cell r="B3330" t="b">
            <v>1</v>
          </cell>
          <cell r="E3330" t="str">
            <v>Manzanillo</v>
          </cell>
          <cell r="H3330" t="str">
            <v>salud_oral</v>
          </cell>
          <cell r="J3330" t="str">
            <v>bueno</v>
          </cell>
          <cell r="K3330" t="str">
            <v>defsi</v>
          </cell>
        </row>
        <row r="3331">
          <cell r="B3331" t="b">
            <v>1</v>
          </cell>
          <cell r="E3331" t="str">
            <v>Manzanillo</v>
          </cell>
          <cell r="H3331" t="str">
            <v>laboratorio</v>
          </cell>
          <cell r="J3331" t="str">
            <v>bueno</v>
          </cell>
          <cell r="K3331" t="str">
            <v>defsi</v>
          </cell>
        </row>
        <row r="3332">
          <cell r="B3332" t="b">
            <v>1</v>
          </cell>
          <cell r="E3332" t="str">
            <v>Socorro</v>
          </cell>
          <cell r="H3332" t="str">
            <v>laboratorio</v>
          </cell>
          <cell r="J3332" t="str">
            <v>bueno</v>
          </cell>
          <cell r="K3332" t="str">
            <v>defsi</v>
          </cell>
        </row>
        <row r="3333">
          <cell r="B3333" t="b">
            <v>1</v>
          </cell>
          <cell r="E3333" t="str">
            <v>Socorro</v>
          </cell>
          <cell r="H3333" t="str">
            <v>laboratorio</v>
          </cell>
          <cell r="J3333" t="str">
            <v>bueno</v>
          </cell>
          <cell r="K3333" t="str">
            <v>defsi</v>
          </cell>
        </row>
        <row r="3334">
          <cell r="B3334" t="b">
            <v>1</v>
          </cell>
          <cell r="E3334" t="str">
            <v>Socorro</v>
          </cell>
          <cell r="H3334" t="str">
            <v>laboratorio</v>
          </cell>
          <cell r="J3334" t="str">
            <v>bueno</v>
          </cell>
          <cell r="K3334" t="str">
            <v>defsi</v>
          </cell>
        </row>
        <row r="3335">
          <cell r="B3335" t="b">
            <v>1</v>
          </cell>
          <cell r="E3335" t="str">
            <v>Socorro</v>
          </cell>
          <cell r="H3335" t="str">
            <v>laboratorio</v>
          </cell>
          <cell r="J3335" t="str">
            <v>bueno</v>
          </cell>
          <cell r="K3335" t="str">
            <v>defsi</v>
          </cell>
        </row>
        <row r="3336">
          <cell r="B3336" t="b">
            <v>1</v>
          </cell>
          <cell r="E3336" t="str">
            <v>Socorro</v>
          </cell>
          <cell r="H3336" t="str">
            <v>laboratorio</v>
          </cell>
          <cell r="J3336" t="str">
            <v>bueno</v>
          </cell>
          <cell r="K3336" t="str">
            <v>defsi</v>
          </cell>
        </row>
        <row r="3337">
          <cell r="B3337" t="b">
            <v>0</v>
          </cell>
          <cell r="E3337" t="str">
            <v>Socorro</v>
          </cell>
          <cell r="H3337" t="str">
            <v>laboratorio</v>
          </cell>
          <cell r="J3337" t="str">
            <v>regular</v>
          </cell>
          <cell r="K3337" t="str">
            <v>probsi</v>
          </cell>
        </row>
        <row r="3338">
          <cell r="B3338" t="b">
            <v>1</v>
          </cell>
          <cell r="E3338" t="str">
            <v>Socorro</v>
          </cell>
          <cell r="H3338" t="str">
            <v>laboratorio</v>
          </cell>
          <cell r="J3338" t="str">
            <v>bueno</v>
          </cell>
          <cell r="K3338" t="str">
            <v>defsi</v>
          </cell>
        </row>
        <row r="3339">
          <cell r="B3339" t="b">
            <v>1</v>
          </cell>
          <cell r="E3339" t="str">
            <v>Socorro</v>
          </cell>
          <cell r="H3339" t="str">
            <v>laboratorio</v>
          </cell>
          <cell r="J3339" t="str">
            <v>bueno</v>
          </cell>
          <cell r="K3339" t="str">
            <v>defsi</v>
          </cell>
        </row>
        <row r="3340">
          <cell r="B3340" t="b">
            <v>1</v>
          </cell>
          <cell r="E3340" t="str">
            <v>Socorro</v>
          </cell>
          <cell r="H3340" t="str">
            <v>laboratorio</v>
          </cell>
          <cell r="J3340" t="str">
            <v>bueno</v>
          </cell>
          <cell r="K3340" t="str">
            <v>defsi</v>
          </cell>
        </row>
        <row r="3341">
          <cell r="B3341" t="b">
            <v>1</v>
          </cell>
          <cell r="E3341" t="str">
            <v>Socorro</v>
          </cell>
          <cell r="H3341" t="str">
            <v>laboratorio</v>
          </cell>
          <cell r="J3341" t="str">
            <v>bueno</v>
          </cell>
          <cell r="K3341" t="str">
            <v>defsi</v>
          </cell>
        </row>
        <row r="3342">
          <cell r="B3342" t="b">
            <v>1</v>
          </cell>
          <cell r="E3342" t="str">
            <v>Socorro</v>
          </cell>
          <cell r="H3342" t="str">
            <v>laboratorio</v>
          </cell>
          <cell r="J3342" t="str">
            <v>bueno</v>
          </cell>
          <cell r="K3342" t="str">
            <v>defsi</v>
          </cell>
        </row>
        <row r="3343">
          <cell r="B3343" t="b">
            <v>1</v>
          </cell>
          <cell r="E3343" t="str">
            <v>Socorro</v>
          </cell>
          <cell r="H3343" t="str">
            <v>salud_oral</v>
          </cell>
          <cell r="J3343" t="str">
            <v>bueno</v>
          </cell>
          <cell r="K3343" t="str">
            <v>defsi</v>
          </cell>
        </row>
        <row r="3344">
          <cell r="B3344" t="b">
            <v>1</v>
          </cell>
          <cell r="E3344" t="str">
            <v>Socorro</v>
          </cell>
          <cell r="H3344" t="str">
            <v>consulta_externa</v>
          </cell>
          <cell r="J3344" t="str">
            <v>bueno</v>
          </cell>
          <cell r="K3344" t="str">
            <v>defsi</v>
          </cell>
        </row>
        <row r="3345">
          <cell r="B3345" t="b">
            <v>1</v>
          </cell>
          <cell r="E3345" t="str">
            <v>Socorro</v>
          </cell>
          <cell r="H3345" t="str">
            <v>consulta_externa</v>
          </cell>
          <cell r="J3345" t="str">
            <v>bueno</v>
          </cell>
          <cell r="K3345" t="str">
            <v>defsi</v>
          </cell>
        </row>
        <row r="3346">
          <cell r="B3346" t="b">
            <v>1</v>
          </cell>
          <cell r="E3346" t="str">
            <v>Socorro</v>
          </cell>
          <cell r="H3346" t="str">
            <v>consulta_externa</v>
          </cell>
          <cell r="J3346" t="str">
            <v>bueno</v>
          </cell>
          <cell r="K3346" t="str">
            <v>defsi</v>
          </cell>
        </row>
        <row r="3347">
          <cell r="B3347" t="b">
            <v>1</v>
          </cell>
          <cell r="E3347" t="str">
            <v>Manzanillo</v>
          </cell>
          <cell r="H3347" t="str">
            <v>consulta_externa</v>
          </cell>
          <cell r="J3347" t="str">
            <v>bueno</v>
          </cell>
          <cell r="K3347" t="str">
            <v>defsi</v>
          </cell>
        </row>
        <row r="3348">
          <cell r="B3348" t="b">
            <v>1</v>
          </cell>
          <cell r="E3348" t="str">
            <v>Manzanillo</v>
          </cell>
          <cell r="H3348" t="str">
            <v>salud_oral</v>
          </cell>
          <cell r="J3348" t="str">
            <v>bueno</v>
          </cell>
          <cell r="K3348" t="str">
            <v>defsi</v>
          </cell>
        </row>
        <row r="3349">
          <cell r="B3349" t="b">
            <v>1</v>
          </cell>
          <cell r="E3349" t="str">
            <v>Manzanillo</v>
          </cell>
          <cell r="H3349" t="str">
            <v>laboratorio</v>
          </cell>
          <cell r="J3349" t="str">
            <v>bueno</v>
          </cell>
          <cell r="K3349" t="str">
            <v>defsi</v>
          </cell>
        </row>
        <row r="3350">
          <cell r="B3350" t="b">
            <v>1</v>
          </cell>
          <cell r="E3350" t="str">
            <v>Manzanillo</v>
          </cell>
          <cell r="H3350" t="str">
            <v>consulta_externa</v>
          </cell>
          <cell r="J3350" t="str">
            <v>bueno</v>
          </cell>
          <cell r="K3350" t="str">
            <v>defsi</v>
          </cell>
        </row>
        <row r="3351">
          <cell r="B3351" t="b">
            <v>1</v>
          </cell>
          <cell r="E3351" t="str">
            <v>Manzanillo</v>
          </cell>
          <cell r="H3351" t="str">
            <v>salud_oral</v>
          </cell>
          <cell r="J3351" t="str">
            <v>bueno</v>
          </cell>
          <cell r="K3351" t="str">
            <v>defsi</v>
          </cell>
        </row>
        <row r="3352">
          <cell r="B3352" t="b">
            <v>1</v>
          </cell>
          <cell r="E3352" t="str">
            <v>Manzanillo</v>
          </cell>
          <cell r="H3352" t="str">
            <v>laboratorio</v>
          </cell>
          <cell r="J3352" t="str">
            <v>bueno</v>
          </cell>
          <cell r="K3352" t="str">
            <v>defsi</v>
          </cell>
        </row>
        <row r="3353">
          <cell r="B3353" t="b">
            <v>1</v>
          </cell>
          <cell r="E3353" t="str">
            <v>Manzanillo</v>
          </cell>
          <cell r="H3353" t="str">
            <v>consulta_externa</v>
          </cell>
          <cell r="J3353" t="str">
            <v>bueno</v>
          </cell>
          <cell r="K3353" t="str">
            <v>defsi</v>
          </cell>
        </row>
        <row r="3354">
          <cell r="B3354" t="b">
            <v>1</v>
          </cell>
          <cell r="E3354" t="str">
            <v>Manzanillo</v>
          </cell>
          <cell r="H3354" t="str">
            <v>salud_oral</v>
          </cell>
          <cell r="J3354" t="str">
            <v>bueno</v>
          </cell>
          <cell r="K3354" t="str">
            <v>defsi</v>
          </cell>
        </row>
        <row r="3355">
          <cell r="B3355" t="b">
            <v>1</v>
          </cell>
          <cell r="E3355" t="str">
            <v>Manzanillo</v>
          </cell>
          <cell r="H3355" t="str">
            <v>laboratorio</v>
          </cell>
          <cell r="J3355" t="str">
            <v>bueno</v>
          </cell>
          <cell r="K3355" t="str">
            <v>defsi</v>
          </cell>
        </row>
        <row r="3356">
          <cell r="B3356" t="b">
            <v>1</v>
          </cell>
          <cell r="E3356" t="str">
            <v>Manzanillo</v>
          </cell>
          <cell r="H3356" t="str">
            <v>consulta_externa</v>
          </cell>
          <cell r="J3356" t="str">
            <v>bueno</v>
          </cell>
          <cell r="K3356" t="str">
            <v>defsi</v>
          </cell>
        </row>
        <row r="3357">
          <cell r="B3357" t="b">
            <v>1</v>
          </cell>
          <cell r="E3357" t="str">
            <v>Manzanillo</v>
          </cell>
          <cell r="H3357" t="str">
            <v>salud_oral</v>
          </cell>
          <cell r="J3357" t="str">
            <v>bueno</v>
          </cell>
          <cell r="K3357" t="str">
            <v>defsi</v>
          </cell>
        </row>
        <row r="3358">
          <cell r="B3358" t="b">
            <v>1</v>
          </cell>
          <cell r="E3358" t="str">
            <v>Manzanillo</v>
          </cell>
          <cell r="H3358" t="str">
            <v>laboratorio</v>
          </cell>
          <cell r="J3358" t="str">
            <v>bueno</v>
          </cell>
          <cell r="K3358" t="str">
            <v>defsi</v>
          </cell>
        </row>
        <row r="3359">
          <cell r="B3359" t="b">
            <v>1</v>
          </cell>
          <cell r="E3359" t="str">
            <v>Boquilla</v>
          </cell>
          <cell r="H3359" t="str">
            <v>consulta_externa</v>
          </cell>
          <cell r="J3359" t="str">
            <v>bueno</v>
          </cell>
          <cell r="K3359" t="str">
            <v>defsi</v>
          </cell>
        </row>
        <row r="3360">
          <cell r="B3360" t="b">
            <v>1</v>
          </cell>
          <cell r="E3360" t="str">
            <v>Bosque</v>
          </cell>
          <cell r="H3360" t="str">
            <v>consulta_externa</v>
          </cell>
          <cell r="J3360" t="str">
            <v>bueno</v>
          </cell>
          <cell r="K3360" t="str">
            <v>probsi</v>
          </cell>
        </row>
        <row r="3361">
          <cell r="B3361" t="b">
            <v>1</v>
          </cell>
          <cell r="E3361" t="str">
            <v>Bosque</v>
          </cell>
          <cell r="H3361" t="str">
            <v>consulta_externa</v>
          </cell>
          <cell r="J3361" t="str">
            <v>bueno</v>
          </cell>
          <cell r="K3361" t="str">
            <v>probsi</v>
          </cell>
        </row>
        <row r="3362">
          <cell r="B3362" t="b">
            <v>1</v>
          </cell>
          <cell r="E3362" t="str">
            <v>Bosque</v>
          </cell>
          <cell r="H3362" t="str">
            <v>consulta_externa</v>
          </cell>
          <cell r="J3362" t="str">
            <v>bueno</v>
          </cell>
          <cell r="K3362" t="str">
            <v>probsi</v>
          </cell>
        </row>
        <row r="3363">
          <cell r="B3363" t="b">
            <v>1</v>
          </cell>
          <cell r="E3363" t="str">
            <v>Bosque</v>
          </cell>
          <cell r="H3363" t="str">
            <v>consulta_externa</v>
          </cell>
          <cell r="J3363" t="str">
            <v>bueno</v>
          </cell>
          <cell r="K3363" t="str">
            <v>probsi</v>
          </cell>
        </row>
        <row r="3364">
          <cell r="B3364" t="b">
            <v>1</v>
          </cell>
          <cell r="E3364" t="str">
            <v>Bosque</v>
          </cell>
          <cell r="H3364" t="str">
            <v>consulta_externa</v>
          </cell>
          <cell r="J3364" t="str">
            <v>bueno</v>
          </cell>
          <cell r="K3364" t="str">
            <v>probsi</v>
          </cell>
        </row>
        <row r="3365">
          <cell r="B3365" t="b">
            <v>1</v>
          </cell>
          <cell r="E3365" t="str">
            <v>Bosque</v>
          </cell>
          <cell r="H3365" t="str">
            <v>laboratorio</v>
          </cell>
          <cell r="J3365" t="str">
            <v>bueno</v>
          </cell>
          <cell r="K3365" t="str">
            <v>probsi</v>
          </cell>
        </row>
        <row r="3366">
          <cell r="B3366" t="b">
            <v>1</v>
          </cell>
          <cell r="E3366" t="str">
            <v>Blasdelezo</v>
          </cell>
          <cell r="H3366" t="str">
            <v>consulta_externa</v>
          </cell>
          <cell r="J3366" t="str">
            <v>bueno</v>
          </cell>
          <cell r="K3366" t="str">
            <v>probsi</v>
          </cell>
        </row>
        <row r="3367">
          <cell r="B3367" t="b">
            <v>1</v>
          </cell>
          <cell r="E3367" t="str">
            <v>Blasdelezo</v>
          </cell>
          <cell r="H3367" t="str">
            <v>consulta_externa</v>
          </cell>
          <cell r="J3367" t="str">
            <v>bueno</v>
          </cell>
          <cell r="K3367" t="str">
            <v>probsi</v>
          </cell>
        </row>
        <row r="3368">
          <cell r="B3368" t="b">
            <v>1</v>
          </cell>
          <cell r="E3368" t="str">
            <v>Blasdelezo</v>
          </cell>
          <cell r="H3368" t="str">
            <v>laboratorio</v>
          </cell>
          <cell r="J3368" t="str">
            <v>bueno</v>
          </cell>
          <cell r="K3368" t="str">
            <v>probsi</v>
          </cell>
        </row>
        <row r="3369">
          <cell r="B3369" t="b">
            <v>1</v>
          </cell>
          <cell r="E3369" t="str">
            <v>Blasdelezo</v>
          </cell>
          <cell r="H3369" t="str">
            <v>laboratorio</v>
          </cell>
          <cell r="J3369" t="str">
            <v>bueno</v>
          </cell>
          <cell r="K3369" t="str">
            <v>probsi</v>
          </cell>
        </row>
        <row r="3370">
          <cell r="B3370" t="b">
            <v>1</v>
          </cell>
          <cell r="E3370" t="str">
            <v>Blasdelezo</v>
          </cell>
          <cell r="H3370" t="str">
            <v>laboratorio</v>
          </cell>
          <cell r="J3370" t="str">
            <v>bueno</v>
          </cell>
          <cell r="K3370" t="str">
            <v>probsi</v>
          </cell>
        </row>
        <row r="3371">
          <cell r="B3371" t="b">
            <v>1</v>
          </cell>
          <cell r="E3371" t="str">
            <v>Blasdelezo</v>
          </cell>
          <cell r="H3371" t="str">
            <v>laboratorio</v>
          </cell>
          <cell r="J3371" t="str">
            <v>bueno</v>
          </cell>
          <cell r="K3371" t="str">
            <v>probsi</v>
          </cell>
        </row>
        <row r="3372">
          <cell r="B3372" t="b">
            <v>1</v>
          </cell>
          <cell r="E3372" t="str">
            <v>Blasdelezo</v>
          </cell>
          <cell r="H3372" t="str">
            <v>laboratorio</v>
          </cell>
          <cell r="J3372" t="str">
            <v>bueno</v>
          </cell>
          <cell r="K3372" t="str">
            <v>probsi</v>
          </cell>
        </row>
        <row r="3373">
          <cell r="B3373" t="b">
            <v>1</v>
          </cell>
          <cell r="E3373" t="str">
            <v>Blasdelezo</v>
          </cell>
          <cell r="H3373" t="str">
            <v>laboratorio</v>
          </cell>
          <cell r="J3373" t="str">
            <v>bueno</v>
          </cell>
          <cell r="K3373" t="str">
            <v>probsi</v>
          </cell>
        </row>
        <row r="3374">
          <cell r="B3374" t="b">
            <v>1</v>
          </cell>
          <cell r="E3374" t="str">
            <v>Blasdelezo</v>
          </cell>
          <cell r="H3374" t="str">
            <v>salud_oral</v>
          </cell>
          <cell r="J3374" t="str">
            <v>bueno</v>
          </cell>
          <cell r="K3374" t="str">
            <v>probsi</v>
          </cell>
        </row>
        <row r="3375">
          <cell r="B3375" t="b">
            <v>1</v>
          </cell>
          <cell r="E3375" t="str">
            <v>Blasdelezo</v>
          </cell>
          <cell r="H3375" t="str">
            <v>salud_oral</v>
          </cell>
          <cell r="J3375" t="str">
            <v>bueno</v>
          </cell>
          <cell r="K3375" t="str">
            <v>probsi</v>
          </cell>
        </row>
        <row r="3376">
          <cell r="B3376" t="b">
            <v>1</v>
          </cell>
          <cell r="E3376" t="str">
            <v>Blasdelezo</v>
          </cell>
          <cell r="H3376" t="str">
            <v>salud_oral</v>
          </cell>
          <cell r="J3376" t="str">
            <v>bueno</v>
          </cell>
          <cell r="K3376" t="str">
            <v>probsi</v>
          </cell>
        </row>
        <row r="3377">
          <cell r="B3377" t="b">
            <v>1</v>
          </cell>
          <cell r="E3377" t="str">
            <v>Blasdelezo</v>
          </cell>
          <cell r="H3377" t="str">
            <v>consulta_externa</v>
          </cell>
          <cell r="J3377" t="str">
            <v>bueno</v>
          </cell>
          <cell r="K3377" t="str">
            <v>probsi</v>
          </cell>
        </row>
        <row r="3378">
          <cell r="B3378" t="b">
            <v>1</v>
          </cell>
          <cell r="E3378" t="str">
            <v>Blasdelezo</v>
          </cell>
          <cell r="H3378" t="str">
            <v>consulta_externa</v>
          </cell>
          <cell r="J3378" t="str">
            <v>bueno</v>
          </cell>
          <cell r="K3378" t="str">
            <v>probsi</v>
          </cell>
        </row>
        <row r="3379">
          <cell r="B3379" t="b">
            <v>1</v>
          </cell>
          <cell r="E3379" t="str">
            <v>Blasdelezo</v>
          </cell>
          <cell r="H3379" t="str">
            <v>consulta_externa</v>
          </cell>
          <cell r="J3379" t="str">
            <v>bueno</v>
          </cell>
          <cell r="K3379" t="str">
            <v>probsi</v>
          </cell>
        </row>
        <row r="3380">
          <cell r="B3380" t="b">
            <v>1</v>
          </cell>
          <cell r="E3380" t="str">
            <v>Blasdelezo</v>
          </cell>
          <cell r="H3380" t="str">
            <v>consulta_externa</v>
          </cell>
          <cell r="J3380" t="str">
            <v>bueno</v>
          </cell>
          <cell r="K3380" t="str">
            <v>probsi</v>
          </cell>
        </row>
        <row r="3381">
          <cell r="B3381" t="b">
            <v>1</v>
          </cell>
          <cell r="E3381" t="str">
            <v>Blasdelezo</v>
          </cell>
          <cell r="H3381" t="str">
            <v>laboratorio</v>
          </cell>
          <cell r="J3381" t="str">
            <v>bueno</v>
          </cell>
          <cell r="K3381" t="str">
            <v>probsi</v>
          </cell>
        </row>
        <row r="3382">
          <cell r="B3382" t="b">
            <v>1</v>
          </cell>
          <cell r="E3382" t="str">
            <v>Blasdelezo</v>
          </cell>
          <cell r="H3382" t="str">
            <v>laboratorio</v>
          </cell>
          <cell r="J3382" t="str">
            <v>bueno</v>
          </cell>
          <cell r="K3382" t="str">
            <v>probsi</v>
          </cell>
        </row>
        <row r="3383">
          <cell r="B3383" t="b">
            <v>1</v>
          </cell>
          <cell r="E3383" t="str">
            <v>Blasdelezo</v>
          </cell>
          <cell r="H3383" t="str">
            <v>laboratorio</v>
          </cell>
          <cell r="J3383" t="str">
            <v>bueno</v>
          </cell>
          <cell r="K3383" t="str">
            <v>probsi</v>
          </cell>
        </row>
        <row r="3384">
          <cell r="B3384" t="b">
            <v>1</v>
          </cell>
          <cell r="E3384" t="str">
            <v>Blasdelezo</v>
          </cell>
          <cell r="H3384" t="str">
            <v>laboratorio</v>
          </cell>
          <cell r="J3384" t="str">
            <v>bueno</v>
          </cell>
          <cell r="K3384" t="str">
            <v>probsi</v>
          </cell>
        </row>
        <row r="3385">
          <cell r="B3385" t="b">
            <v>1</v>
          </cell>
          <cell r="E3385" t="str">
            <v>Blasdelezo</v>
          </cell>
          <cell r="H3385" t="str">
            <v>laboratorio</v>
          </cell>
          <cell r="J3385" t="str">
            <v>bueno</v>
          </cell>
          <cell r="K3385" t="str">
            <v>probsi</v>
          </cell>
        </row>
        <row r="3386">
          <cell r="B3386" t="b">
            <v>1</v>
          </cell>
          <cell r="E3386" t="str">
            <v>Blasdelezo</v>
          </cell>
          <cell r="H3386" t="str">
            <v>laboratorio</v>
          </cell>
          <cell r="J3386" t="str">
            <v>bueno</v>
          </cell>
          <cell r="K3386" t="str">
            <v>probsi</v>
          </cell>
        </row>
        <row r="3387">
          <cell r="B3387" t="b">
            <v>1</v>
          </cell>
          <cell r="E3387" t="str">
            <v>Ternera</v>
          </cell>
          <cell r="H3387" t="str">
            <v>consulta_externa</v>
          </cell>
          <cell r="J3387" t="str">
            <v>bueno</v>
          </cell>
          <cell r="K3387" t="str">
            <v>defsi</v>
          </cell>
        </row>
        <row r="3388">
          <cell r="B3388" t="b">
            <v>1</v>
          </cell>
          <cell r="E3388" t="str">
            <v>Ternera</v>
          </cell>
          <cell r="H3388" t="str">
            <v>laboratorio</v>
          </cell>
          <cell r="J3388" t="str">
            <v>bueno</v>
          </cell>
          <cell r="K3388" t="str">
            <v>probno</v>
          </cell>
        </row>
        <row r="3389">
          <cell r="B3389" t="b">
            <v>1</v>
          </cell>
          <cell r="E3389" t="str">
            <v>Blasdelezo</v>
          </cell>
          <cell r="H3389" t="str">
            <v>consulta_externa</v>
          </cell>
          <cell r="J3389" t="str">
            <v>bueno</v>
          </cell>
          <cell r="K3389" t="str">
            <v>probsi</v>
          </cell>
        </row>
        <row r="3390">
          <cell r="B3390" t="b">
            <v>1</v>
          </cell>
          <cell r="E3390" t="str">
            <v>Blasdelezo</v>
          </cell>
          <cell r="H3390" t="str">
            <v>consulta_externa</v>
          </cell>
          <cell r="J3390" t="str">
            <v>bueno</v>
          </cell>
          <cell r="K3390" t="str">
            <v>probsi</v>
          </cell>
        </row>
        <row r="3391">
          <cell r="B3391" t="b">
            <v>1</v>
          </cell>
          <cell r="E3391" t="str">
            <v>Boquilla</v>
          </cell>
          <cell r="H3391" t="str">
            <v>salud_oral</v>
          </cell>
          <cell r="J3391" t="str">
            <v>bueno</v>
          </cell>
          <cell r="K3391" t="str">
            <v>defsi</v>
          </cell>
        </row>
        <row r="3392">
          <cell r="B3392" t="b">
            <v>1</v>
          </cell>
          <cell r="E3392" t="str">
            <v>Ternera</v>
          </cell>
          <cell r="H3392" t="str">
            <v>consulta_externa</v>
          </cell>
          <cell r="J3392" t="str">
            <v>bueno</v>
          </cell>
          <cell r="K3392" t="str">
            <v>probno</v>
          </cell>
        </row>
        <row r="3393">
          <cell r="B3393" t="b">
            <v>1</v>
          </cell>
          <cell r="E3393" t="str">
            <v>Boquilla</v>
          </cell>
          <cell r="H3393" t="str">
            <v>laboratorio</v>
          </cell>
          <cell r="J3393" t="str">
            <v>bueno</v>
          </cell>
          <cell r="K3393" t="str">
            <v>defsi</v>
          </cell>
        </row>
        <row r="3394">
          <cell r="B3394" t="b">
            <v>1</v>
          </cell>
          <cell r="E3394" t="str">
            <v>Ternera</v>
          </cell>
          <cell r="H3394" t="str">
            <v>laboratorio</v>
          </cell>
          <cell r="J3394" t="str">
            <v>bueno</v>
          </cell>
          <cell r="K3394" t="str">
            <v>probno</v>
          </cell>
        </row>
        <row r="3395">
          <cell r="B3395" t="b">
            <v>1</v>
          </cell>
          <cell r="E3395" t="str">
            <v>Boquilla</v>
          </cell>
          <cell r="H3395" t="str">
            <v>urgencia</v>
          </cell>
          <cell r="J3395" t="str">
            <v>bueno</v>
          </cell>
          <cell r="K3395" t="str">
            <v>defsi</v>
          </cell>
        </row>
        <row r="3396">
          <cell r="B3396" t="b">
            <v>1</v>
          </cell>
          <cell r="E3396" t="str">
            <v>Blasdelezo</v>
          </cell>
          <cell r="H3396" t="str">
            <v>laboratorio</v>
          </cell>
          <cell r="J3396" t="str">
            <v>bueno</v>
          </cell>
          <cell r="K3396" t="str">
            <v>probsi</v>
          </cell>
        </row>
        <row r="3397">
          <cell r="B3397" t="b">
            <v>1</v>
          </cell>
          <cell r="E3397" t="str">
            <v>Blasdelezo</v>
          </cell>
          <cell r="H3397" t="str">
            <v>laboratorio</v>
          </cell>
          <cell r="J3397" t="str">
            <v>bueno</v>
          </cell>
          <cell r="K3397" t="str">
            <v>probsi</v>
          </cell>
        </row>
        <row r="3398">
          <cell r="B3398" t="b">
            <v>1</v>
          </cell>
          <cell r="E3398" t="str">
            <v>Blasdelezo</v>
          </cell>
          <cell r="H3398" t="str">
            <v>laboratorio</v>
          </cell>
          <cell r="J3398" t="str">
            <v>bueno</v>
          </cell>
          <cell r="K3398" t="str">
            <v>probsi</v>
          </cell>
        </row>
        <row r="3399">
          <cell r="B3399" t="b">
            <v>1</v>
          </cell>
          <cell r="E3399" t="str">
            <v>Blasdelezo</v>
          </cell>
          <cell r="H3399" t="str">
            <v>consulta_externa</v>
          </cell>
          <cell r="J3399" t="str">
            <v>bueno</v>
          </cell>
          <cell r="K3399" t="str">
            <v>probsi</v>
          </cell>
        </row>
        <row r="3400">
          <cell r="B3400" t="b">
            <v>1</v>
          </cell>
          <cell r="E3400" t="str">
            <v>Blasdelezo</v>
          </cell>
          <cell r="H3400" t="str">
            <v>consulta_externa</v>
          </cell>
          <cell r="J3400" t="str">
            <v>bueno</v>
          </cell>
          <cell r="K3400" t="str">
            <v>probsi</v>
          </cell>
        </row>
        <row r="3401">
          <cell r="B3401" t="b">
            <v>1</v>
          </cell>
          <cell r="E3401" t="str">
            <v>Blasdelezo</v>
          </cell>
          <cell r="H3401" t="str">
            <v>consulta_externa</v>
          </cell>
          <cell r="J3401" t="str">
            <v>bueno</v>
          </cell>
          <cell r="K3401" t="str">
            <v>probsi</v>
          </cell>
        </row>
        <row r="3402">
          <cell r="B3402" t="b">
            <v>1</v>
          </cell>
          <cell r="E3402" t="str">
            <v>Blasdelezo</v>
          </cell>
          <cell r="H3402" t="str">
            <v>consulta_externa</v>
          </cell>
          <cell r="J3402" t="str">
            <v>bueno</v>
          </cell>
          <cell r="K3402" t="str">
            <v>probsi</v>
          </cell>
        </row>
        <row r="3403">
          <cell r="B3403" t="b">
            <v>1</v>
          </cell>
          <cell r="E3403" t="str">
            <v>Blasdelezo</v>
          </cell>
          <cell r="H3403" t="str">
            <v>consulta_externa</v>
          </cell>
          <cell r="J3403" t="str">
            <v>bueno</v>
          </cell>
          <cell r="K3403" t="str">
            <v>probsi</v>
          </cell>
        </row>
        <row r="3404">
          <cell r="B3404" t="b">
            <v>1</v>
          </cell>
          <cell r="E3404" t="str">
            <v>Blasdelezo</v>
          </cell>
          <cell r="H3404" t="str">
            <v>laboratorio</v>
          </cell>
          <cell r="J3404" t="str">
            <v>bueno</v>
          </cell>
          <cell r="K3404" t="str">
            <v>probsi</v>
          </cell>
        </row>
        <row r="3405">
          <cell r="B3405" t="b">
            <v>1</v>
          </cell>
          <cell r="E3405" t="str">
            <v>Blasdelezo</v>
          </cell>
          <cell r="H3405" t="str">
            <v>laboratorio</v>
          </cell>
          <cell r="J3405" t="str">
            <v>bueno</v>
          </cell>
          <cell r="K3405" t="str">
            <v>probsi</v>
          </cell>
        </row>
        <row r="3406">
          <cell r="B3406" t="b">
            <v>1</v>
          </cell>
          <cell r="E3406" t="str">
            <v>Ternera</v>
          </cell>
          <cell r="H3406" t="str">
            <v>laboratorio</v>
          </cell>
          <cell r="J3406" t="str">
            <v>bueno</v>
          </cell>
          <cell r="K3406" t="str">
            <v>defsi</v>
          </cell>
        </row>
        <row r="3407">
          <cell r="B3407" t="b">
            <v>1</v>
          </cell>
          <cell r="E3407" t="str">
            <v>Ternera</v>
          </cell>
          <cell r="H3407" t="str">
            <v>laboratorio</v>
          </cell>
          <cell r="J3407" t="str">
            <v>bueno</v>
          </cell>
          <cell r="K3407" t="str">
            <v>defsi</v>
          </cell>
        </row>
        <row r="3408">
          <cell r="B3408" t="b">
            <v>1</v>
          </cell>
          <cell r="E3408" t="str">
            <v>Ternera</v>
          </cell>
          <cell r="H3408" t="str">
            <v>laboratorio</v>
          </cell>
          <cell r="J3408" t="str">
            <v>bueno</v>
          </cell>
          <cell r="K3408" t="str">
            <v>defsi</v>
          </cell>
        </row>
        <row r="3409">
          <cell r="B3409" t="b">
            <v>1</v>
          </cell>
          <cell r="E3409" t="str">
            <v>Ternera</v>
          </cell>
          <cell r="H3409" t="str">
            <v>consulta_externa</v>
          </cell>
          <cell r="J3409" t="str">
            <v>bueno</v>
          </cell>
          <cell r="K3409" t="str">
            <v>defsi</v>
          </cell>
        </row>
        <row r="3410">
          <cell r="B3410" t="b">
            <v>1</v>
          </cell>
          <cell r="E3410" t="str">
            <v>Ternera</v>
          </cell>
          <cell r="H3410" t="str">
            <v>laboratorio</v>
          </cell>
          <cell r="J3410" t="str">
            <v>bueno</v>
          </cell>
          <cell r="K3410" t="str">
            <v>defsi</v>
          </cell>
        </row>
        <row r="3411">
          <cell r="B3411" t="b">
            <v>1</v>
          </cell>
          <cell r="E3411" t="str">
            <v>Ternera</v>
          </cell>
          <cell r="H3411" t="str">
            <v>consulta_externa</v>
          </cell>
          <cell r="J3411" t="str">
            <v>bueno</v>
          </cell>
          <cell r="K3411" t="str">
            <v>defsi</v>
          </cell>
        </row>
        <row r="3412">
          <cell r="B3412" t="b">
            <v>1</v>
          </cell>
          <cell r="E3412" t="str">
            <v>Ternera</v>
          </cell>
          <cell r="H3412" t="str">
            <v>laboratorio</v>
          </cell>
          <cell r="J3412" t="str">
            <v>bueno</v>
          </cell>
          <cell r="K3412" t="str">
            <v>defsi</v>
          </cell>
        </row>
        <row r="3413">
          <cell r="B3413" t="b">
            <v>1</v>
          </cell>
          <cell r="E3413" t="str">
            <v>Ternera</v>
          </cell>
          <cell r="H3413" t="str">
            <v>salud_oral</v>
          </cell>
          <cell r="J3413" t="str">
            <v>bueno</v>
          </cell>
          <cell r="K3413" t="str">
            <v>defsi</v>
          </cell>
        </row>
        <row r="3414">
          <cell r="B3414" t="b">
            <v>1</v>
          </cell>
          <cell r="E3414" t="str">
            <v>Ternera</v>
          </cell>
          <cell r="H3414" t="str">
            <v>salud_oral</v>
          </cell>
          <cell r="J3414" t="str">
            <v>bueno</v>
          </cell>
          <cell r="K3414" t="str">
            <v>defsi</v>
          </cell>
        </row>
        <row r="3415">
          <cell r="B3415" t="b">
            <v>1</v>
          </cell>
          <cell r="E3415" t="str">
            <v>Ternera</v>
          </cell>
          <cell r="H3415" t="str">
            <v>salud_oral</v>
          </cell>
          <cell r="J3415" t="str">
            <v>bueno</v>
          </cell>
          <cell r="K3415" t="str">
            <v>defsi</v>
          </cell>
        </row>
        <row r="3416">
          <cell r="B3416" t="b">
            <v>1</v>
          </cell>
          <cell r="E3416" t="str">
            <v>Ternera</v>
          </cell>
          <cell r="H3416" t="str">
            <v>salud_oral</v>
          </cell>
          <cell r="J3416" t="str">
            <v>bueno</v>
          </cell>
          <cell r="K3416" t="str">
            <v>defsi</v>
          </cell>
        </row>
        <row r="3417">
          <cell r="B3417" t="b">
            <v>1</v>
          </cell>
          <cell r="E3417" t="str">
            <v>Ternera</v>
          </cell>
          <cell r="H3417" t="str">
            <v>consulta_externa</v>
          </cell>
          <cell r="J3417" t="str">
            <v>bueno</v>
          </cell>
          <cell r="K3417" t="str">
            <v>defsi</v>
          </cell>
        </row>
        <row r="3418">
          <cell r="B3418" t="b">
            <v>1</v>
          </cell>
          <cell r="E3418" t="str">
            <v>Ternera</v>
          </cell>
          <cell r="H3418" t="str">
            <v>consulta_externa</v>
          </cell>
          <cell r="J3418" t="str">
            <v>bueno</v>
          </cell>
          <cell r="K3418" t="str">
            <v>defsi</v>
          </cell>
        </row>
        <row r="3419">
          <cell r="B3419" t="b">
            <v>1</v>
          </cell>
          <cell r="E3419" t="str">
            <v>Ternera</v>
          </cell>
          <cell r="H3419" t="str">
            <v>consulta_externa</v>
          </cell>
          <cell r="J3419" t="str">
            <v>bueno</v>
          </cell>
          <cell r="K3419" t="str">
            <v>defsi</v>
          </cell>
        </row>
        <row r="3420">
          <cell r="B3420" t="b">
            <v>0</v>
          </cell>
          <cell r="E3420" t="str">
            <v>Ternera</v>
          </cell>
          <cell r="H3420" t="str">
            <v>consulta_externa</v>
          </cell>
          <cell r="J3420" t="str">
            <v>regular</v>
          </cell>
          <cell r="K3420" t="str">
            <v>defsi</v>
          </cell>
        </row>
        <row r="3421">
          <cell r="B3421" t="b">
            <v>1</v>
          </cell>
          <cell r="E3421" t="str">
            <v>Ternera</v>
          </cell>
          <cell r="H3421" t="str">
            <v>salud_oral</v>
          </cell>
          <cell r="J3421" t="str">
            <v>bueno</v>
          </cell>
          <cell r="K3421" t="str">
            <v>defsi</v>
          </cell>
        </row>
        <row r="3422">
          <cell r="B3422" t="b">
            <v>1</v>
          </cell>
          <cell r="E3422" t="str">
            <v>Ternera</v>
          </cell>
          <cell r="H3422" t="str">
            <v>consulta_externa</v>
          </cell>
          <cell r="J3422" t="str">
            <v>bueno</v>
          </cell>
          <cell r="K3422" t="str">
            <v>defsi</v>
          </cell>
        </row>
        <row r="3423">
          <cell r="B3423" t="b">
            <v>1</v>
          </cell>
          <cell r="E3423" t="str">
            <v>Ternera</v>
          </cell>
          <cell r="H3423" t="str">
            <v>consulta_externa</v>
          </cell>
          <cell r="J3423" t="str">
            <v>muybueno</v>
          </cell>
          <cell r="K3423" t="str">
            <v>defsi</v>
          </cell>
        </row>
        <row r="3424">
          <cell r="B3424" t="b">
            <v>1</v>
          </cell>
          <cell r="E3424" t="str">
            <v>Ternera</v>
          </cell>
          <cell r="H3424" t="str">
            <v>consulta_externa</v>
          </cell>
          <cell r="J3424" t="str">
            <v>muybueno</v>
          </cell>
          <cell r="K3424" t="str">
            <v>defsi</v>
          </cell>
        </row>
        <row r="3425">
          <cell r="B3425" t="b">
            <v>1</v>
          </cell>
          <cell r="E3425" t="str">
            <v>Ternera</v>
          </cell>
          <cell r="H3425" t="str">
            <v>consulta_externa</v>
          </cell>
          <cell r="J3425" t="str">
            <v>bueno</v>
          </cell>
          <cell r="K3425" t="str">
            <v>defsi</v>
          </cell>
        </row>
        <row r="3426">
          <cell r="B3426" t="b">
            <v>1</v>
          </cell>
          <cell r="E3426" t="str">
            <v>Ternera</v>
          </cell>
          <cell r="H3426" t="str">
            <v>salud_oral</v>
          </cell>
          <cell r="J3426" t="str">
            <v>bueno</v>
          </cell>
          <cell r="K3426" t="str">
            <v>defsi</v>
          </cell>
        </row>
        <row r="3427">
          <cell r="B3427" t="b">
            <v>1</v>
          </cell>
          <cell r="E3427" t="str">
            <v>Ternera</v>
          </cell>
          <cell r="H3427" t="str">
            <v>salud_oral</v>
          </cell>
          <cell r="J3427" t="str">
            <v>bueno</v>
          </cell>
          <cell r="K3427" t="str">
            <v>defsi</v>
          </cell>
        </row>
        <row r="3428">
          <cell r="B3428" t="b">
            <v>0</v>
          </cell>
          <cell r="E3428" t="str">
            <v>Ternera</v>
          </cell>
          <cell r="H3428" t="str">
            <v>consulta_externa</v>
          </cell>
          <cell r="J3428" t="str">
            <v>regular</v>
          </cell>
          <cell r="K3428" t="str">
            <v>defsi</v>
          </cell>
        </row>
        <row r="3429">
          <cell r="B3429" t="b">
            <v>0</v>
          </cell>
          <cell r="E3429" t="str">
            <v>Ternera</v>
          </cell>
          <cell r="H3429" t="str">
            <v>laboratorio</v>
          </cell>
          <cell r="J3429" t="str">
            <v>regular</v>
          </cell>
          <cell r="K3429" t="str">
            <v>defsi</v>
          </cell>
        </row>
        <row r="3430">
          <cell r="B3430" t="b">
            <v>0</v>
          </cell>
          <cell r="E3430" t="str">
            <v>Ternera</v>
          </cell>
          <cell r="H3430" t="str">
            <v>salud_oral</v>
          </cell>
          <cell r="J3430" t="str">
            <v>regular</v>
          </cell>
          <cell r="K3430" t="str">
            <v>defsi</v>
          </cell>
        </row>
        <row r="3431">
          <cell r="B3431" t="b">
            <v>1</v>
          </cell>
          <cell r="E3431" t="str">
            <v>Ternera</v>
          </cell>
          <cell r="H3431" t="str">
            <v>salud_oral</v>
          </cell>
          <cell r="J3431" t="str">
            <v>bueno</v>
          </cell>
          <cell r="K3431" t="str">
            <v>defsi</v>
          </cell>
        </row>
        <row r="3432">
          <cell r="B3432" t="b">
            <v>1</v>
          </cell>
          <cell r="E3432" t="str">
            <v>Boquilla</v>
          </cell>
          <cell r="H3432" t="str">
            <v>consulta_externa</v>
          </cell>
          <cell r="J3432" t="str">
            <v>bueno</v>
          </cell>
          <cell r="K3432" t="str">
            <v>defsi</v>
          </cell>
        </row>
        <row r="3433">
          <cell r="B3433" t="b">
            <v>1</v>
          </cell>
          <cell r="E3433" t="str">
            <v>Ternera</v>
          </cell>
          <cell r="H3433" t="str">
            <v>consulta_externa</v>
          </cell>
          <cell r="J3433" t="str">
            <v>bueno</v>
          </cell>
          <cell r="K3433" t="str">
            <v>defsi</v>
          </cell>
        </row>
        <row r="3434">
          <cell r="B3434" t="b">
            <v>1</v>
          </cell>
          <cell r="E3434" t="str">
            <v>Boquilla</v>
          </cell>
          <cell r="H3434" t="str">
            <v>salud_oral</v>
          </cell>
          <cell r="J3434" t="str">
            <v>bueno</v>
          </cell>
          <cell r="K3434" t="str">
            <v>defsi</v>
          </cell>
        </row>
        <row r="3435">
          <cell r="B3435" t="b">
            <v>1</v>
          </cell>
          <cell r="E3435" t="str">
            <v>Ternera</v>
          </cell>
          <cell r="H3435" t="str">
            <v>salud_oral</v>
          </cell>
          <cell r="J3435" t="str">
            <v>bueno</v>
          </cell>
          <cell r="K3435" t="str">
            <v>defsi</v>
          </cell>
        </row>
        <row r="3436">
          <cell r="B3436" t="b">
            <v>1</v>
          </cell>
          <cell r="E3436" t="str">
            <v>Boquilla</v>
          </cell>
          <cell r="H3436" t="str">
            <v>laboratorio</v>
          </cell>
          <cell r="J3436" t="str">
            <v>bueno</v>
          </cell>
          <cell r="K3436" t="str">
            <v>defsi</v>
          </cell>
        </row>
        <row r="3437">
          <cell r="B3437" t="b">
            <v>1</v>
          </cell>
          <cell r="E3437" t="str">
            <v>Boquilla</v>
          </cell>
          <cell r="H3437" t="str">
            <v>urgencia</v>
          </cell>
          <cell r="J3437" t="str">
            <v>bueno</v>
          </cell>
          <cell r="K3437" t="str">
            <v>defsi</v>
          </cell>
        </row>
        <row r="3438">
          <cell r="B3438" t="b">
            <v>1</v>
          </cell>
          <cell r="E3438" t="str">
            <v>Ternera</v>
          </cell>
          <cell r="H3438" t="str">
            <v>consulta_externa</v>
          </cell>
          <cell r="J3438" t="str">
            <v>muybueno</v>
          </cell>
          <cell r="K3438" t="str">
            <v>defsi</v>
          </cell>
        </row>
        <row r="3439">
          <cell r="B3439" t="b">
            <v>1</v>
          </cell>
          <cell r="E3439" t="str">
            <v>Boquilla</v>
          </cell>
          <cell r="H3439" t="str">
            <v>consulta_externa</v>
          </cell>
          <cell r="J3439" t="str">
            <v>bueno</v>
          </cell>
          <cell r="K3439" t="str">
            <v>defsi</v>
          </cell>
        </row>
        <row r="3440">
          <cell r="B3440" t="b">
            <v>1</v>
          </cell>
          <cell r="E3440" t="str">
            <v>Ternera</v>
          </cell>
          <cell r="H3440" t="str">
            <v>laboratorio</v>
          </cell>
          <cell r="J3440" t="str">
            <v>muybueno</v>
          </cell>
          <cell r="K3440" t="str">
            <v>defsi</v>
          </cell>
        </row>
        <row r="3441">
          <cell r="B3441" t="b">
            <v>1</v>
          </cell>
          <cell r="E3441" t="str">
            <v>Ternera</v>
          </cell>
          <cell r="H3441" t="str">
            <v>laboratorio</v>
          </cell>
          <cell r="J3441" t="str">
            <v>bueno</v>
          </cell>
          <cell r="K3441" t="str">
            <v>defsi</v>
          </cell>
        </row>
        <row r="3442">
          <cell r="B3442" t="b">
            <v>1</v>
          </cell>
          <cell r="E3442" t="str">
            <v>Boquilla</v>
          </cell>
          <cell r="H3442" t="str">
            <v>salud_oral</v>
          </cell>
          <cell r="J3442" t="str">
            <v>bueno</v>
          </cell>
          <cell r="K3442" t="str">
            <v>defsi</v>
          </cell>
        </row>
        <row r="3443">
          <cell r="B3443" t="b">
            <v>1</v>
          </cell>
          <cell r="E3443" t="str">
            <v>Boquilla</v>
          </cell>
          <cell r="H3443" t="str">
            <v>laboratorio</v>
          </cell>
          <cell r="J3443" t="str">
            <v>bueno</v>
          </cell>
          <cell r="K3443" t="str">
            <v>defsi</v>
          </cell>
        </row>
        <row r="3444">
          <cell r="B3444" t="b">
            <v>1</v>
          </cell>
          <cell r="E3444" t="str">
            <v>Boquilla</v>
          </cell>
          <cell r="H3444" t="str">
            <v>urgencia</v>
          </cell>
          <cell r="J3444" t="str">
            <v>bueno</v>
          </cell>
          <cell r="K3444" t="str">
            <v>defsi</v>
          </cell>
        </row>
        <row r="3445">
          <cell r="B3445" t="b">
            <v>1</v>
          </cell>
          <cell r="E3445" t="str">
            <v>Boquilla</v>
          </cell>
          <cell r="H3445" t="str">
            <v>urgencia</v>
          </cell>
          <cell r="J3445" t="str">
            <v>bueno</v>
          </cell>
          <cell r="K3445" t="str">
            <v>defsi</v>
          </cell>
        </row>
        <row r="3446">
          <cell r="B3446" t="b">
            <v>1</v>
          </cell>
          <cell r="E3446" t="str">
            <v>Boquilla</v>
          </cell>
          <cell r="H3446" t="str">
            <v>consulta_externa</v>
          </cell>
          <cell r="J3446" t="str">
            <v>bueno</v>
          </cell>
          <cell r="K3446" t="str">
            <v>defsi</v>
          </cell>
        </row>
        <row r="3447">
          <cell r="B3447" t="b">
            <v>1</v>
          </cell>
          <cell r="E3447" t="str">
            <v>Boquilla</v>
          </cell>
          <cell r="H3447" t="str">
            <v>salud_oral</v>
          </cell>
          <cell r="J3447" t="str">
            <v>bueno</v>
          </cell>
          <cell r="K3447" t="str">
            <v>defsi</v>
          </cell>
        </row>
        <row r="3448">
          <cell r="B3448" t="b">
            <v>1</v>
          </cell>
          <cell r="E3448" t="str">
            <v>Ternera</v>
          </cell>
          <cell r="H3448" t="str">
            <v>salud_oral</v>
          </cell>
          <cell r="J3448" t="str">
            <v>bueno</v>
          </cell>
          <cell r="K3448" t="str">
            <v>defsi</v>
          </cell>
        </row>
        <row r="3449">
          <cell r="B3449" t="b">
            <v>1</v>
          </cell>
          <cell r="E3449" t="str">
            <v>Boquilla</v>
          </cell>
          <cell r="H3449" t="str">
            <v>salud_oral</v>
          </cell>
          <cell r="J3449" t="str">
            <v>bueno</v>
          </cell>
          <cell r="K3449" t="str">
            <v>defsi</v>
          </cell>
        </row>
        <row r="3450">
          <cell r="B3450" t="b">
            <v>1</v>
          </cell>
          <cell r="E3450" t="str">
            <v>Ternera</v>
          </cell>
          <cell r="H3450" t="str">
            <v>salud_oral</v>
          </cell>
          <cell r="J3450" t="str">
            <v>bueno</v>
          </cell>
          <cell r="K3450" t="str">
            <v>defsi</v>
          </cell>
        </row>
        <row r="3451">
          <cell r="B3451" t="b">
            <v>1</v>
          </cell>
          <cell r="E3451" t="str">
            <v>Ternera</v>
          </cell>
          <cell r="H3451" t="str">
            <v>consulta_externa</v>
          </cell>
          <cell r="J3451" t="str">
            <v>bueno</v>
          </cell>
          <cell r="K3451" t="str">
            <v>defsi</v>
          </cell>
        </row>
        <row r="3452">
          <cell r="B3452" t="b">
            <v>1</v>
          </cell>
          <cell r="E3452" t="str">
            <v>Ternera</v>
          </cell>
          <cell r="H3452" t="str">
            <v>laboratorio</v>
          </cell>
          <cell r="J3452" t="str">
            <v>bueno</v>
          </cell>
          <cell r="K3452" t="str">
            <v>defsi</v>
          </cell>
        </row>
        <row r="3453">
          <cell r="B3453" t="b">
            <v>1</v>
          </cell>
          <cell r="E3453" t="str">
            <v>Boquilla</v>
          </cell>
          <cell r="H3453" t="str">
            <v>laboratorio</v>
          </cell>
          <cell r="J3453" t="str">
            <v>bueno</v>
          </cell>
          <cell r="K3453" t="str">
            <v>defsi</v>
          </cell>
        </row>
        <row r="3454">
          <cell r="B3454" t="b">
            <v>1</v>
          </cell>
          <cell r="E3454" t="str">
            <v>Ternera</v>
          </cell>
          <cell r="H3454" t="str">
            <v>consulta_externa</v>
          </cell>
          <cell r="J3454" t="str">
            <v>bueno</v>
          </cell>
          <cell r="K3454" t="str">
            <v>defsi</v>
          </cell>
        </row>
        <row r="3455">
          <cell r="B3455" t="b">
            <v>1</v>
          </cell>
          <cell r="E3455" t="str">
            <v>Ternera</v>
          </cell>
          <cell r="H3455" t="str">
            <v>laboratorio</v>
          </cell>
          <cell r="J3455" t="str">
            <v>bueno</v>
          </cell>
          <cell r="K3455" t="str">
            <v>defsi</v>
          </cell>
        </row>
        <row r="3456">
          <cell r="B3456" t="b">
            <v>1</v>
          </cell>
          <cell r="E3456" t="str">
            <v>Ternera</v>
          </cell>
          <cell r="H3456" t="str">
            <v>laboratorio</v>
          </cell>
          <cell r="J3456" t="str">
            <v>bueno</v>
          </cell>
          <cell r="K3456" t="str">
            <v>defsi</v>
          </cell>
        </row>
        <row r="3457">
          <cell r="B3457" t="b">
            <v>1</v>
          </cell>
          <cell r="E3457" t="str">
            <v>Boquilla</v>
          </cell>
          <cell r="H3457" t="str">
            <v>consulta_externa</v>
          </cell>
          <cell r="J3457" t="str">
            <v>bueno</v>
          </cell>
          <cell r="K3457" t="str">
            <v>defsi</v>
          </cell>
        </row>
        <row r="3458">
          <cell r="B3458" t="b">
            <v>1</v>
          </cell>
          <cell r="E3458" t="str">
            <v>Boquilla</v>
          </cell>
          <cell r="H3458" t="str">
            <v>salud_oral</v>
          </cell>
          <cell r="J3458" t="str">
            <v>bueno</v>
          </cell>
          <cell r="K3458" t="str">
            <v>defsi</v>
          </cell>
        </row>
        <row r="3459">
          <cell r="B3459" t="b">
            <v>1</v>
          </cell>
          <cell r="E3459" t="str">
            <v>Boquilla</v>
          </cell>
          <cell r="H3459" t="str">
            <v>laboratorio</v>
          </cell>
          <cell r="J3459" t="str">
            <v>bueno</v>
          </cell>
          <cell r="K3459" t="str">
            <v>defsi</v>
          </cell>
        </row>
        <row r="3460">
          <cell r="B3460" t="b">
            <v>1</v>
          </cell>
          <cell r="E3460" t="str">
            <v>Boquilla</v>
          </cell>
          <cell r="H3460" t="str">
            <v>urgencia</v>
          </cell>
          <cell r="J3460" t="str">
            <v>bueno</v>
          </cell>
          <cell r="K3460" t="str">
            <v>defsi</v>
          </cell>
        </row>
        <row r="3461">
          <cell r="B3461" t="b">
            <v>1</v>
          </cell>
          <cell r="E3461" t="str">
            <v>Boquilla</v>
          </cell>
          <cell r="H3461" t="str">
            <v>consulta_externa</v>
          </cell>
          <cell r="J3461" t="str">
            <v>bueno</v>
          </cell>
          <cell r="K3461" t="str">
            <v>defsi</v>
          </cell>
        </row>
        <row r="3462">
          <cell r="B3462" t="b">
            <v>1</v>
          </cell>
          <cell r="E3462" t="str">
            <v>Boquilla</v>
          </cell>
          <cell r="H3462" t="str">
            <v>salud_oral</v>
          </cell>
          <cell r="J3462" t="str">
            <v>bueno</v>
          </cell>
          <cell r="K3462" t="str">
            <v>defsi</v>
          </cell>
        </row>
        <row r="3463">
          <cell r="B3463" t="b">
            <v>1</v>
          </cell>
          <cell r="E3463" t="str">
            <v>Boquilla</v>
          </cell>
          <cell r="H3463" t="str">
            <v>laboratorio</v>
          </cell>
          <cell r="J3463" t="str">
            <v>bueno</v>
          </cell>
          <cell r="K3463" t="str">
            <v>defsi</v>
          </cell>
        </row>
        <row r="3464">
          <cell r="B3464" t="b">
            <v>1</v>
          </cell>
          <cell r="E3464" t="str">
            <v>Boquilla</v>
          </cell>
          <cell r="H3464" t="str">
            <v>urgencia</v>
          </cell>
          <cell r="J3464" t="str">
            <v>bueno</v>
          </cell>
          <cell r="K3464" t="str">
            <v>defsi</v>
          </cell>
        </row>
        <row r="3465">
          <cell r="B3465" t="b">
            <v>1</v>
          </cell>
          <cell r="E3465" t="str">
            <v>Boquilla</v>
          </cell>
          <cell r="H3465" t="str">
            <v>consulta_externa</v>
          </cell>
          <cell r="J3465" t="str">
            <v>bueno</v>
          </cell>
          <cell r="K3465" t="str">
            <v>defsi</v>
          </cell>
        </row>
        <row r="3466">
          <cell r="B3466" t="b">
            <v>1</v>
          </cell>
          <cell r="E3466" t="str">
            <v>Boquilla</v>
          </cell>
          <cell r="H3466" t="str">
            <v>salud_oral</v>
          </cell>
          <cell r="J3466" t="str">
            <v>bueno</v>
          </cell>
          <cell r="K3466" t="str">
            <v>defsi</v>
          </cell>
        </row>
        <row r="3467">
          <cell r="B3467" t="b">
            <v>1</v>
          </cell>
          <cell r="E3467" t="str">
            <v>Boquilla</v>
          </cell>
          <cell r="H3467" t="str">
            <v>laboratorio</v>
          </cell>
          <cell r="J3467" t="str">
            <v>bueno</v>
          </cell>
          <cell r="K3467" t="str">
            <v>defsi</v>
          </cell>
        </row>
        <row r="3468">
          <cell r="B3468" t="b">
            <v>1</v>
          </cell>
          <cell r="E3468" t="str">
            <v>Boquilla</v>
          </cell>
          <cell r="H3468" t="str">
            <v>urgencia</v>
          </cell>
          <cell r="J3468" t="str">
            <v>bueno</v>
          </cell>
          <cell r="K3468" t="str">
            <v>defsi</v>
          </cell>
        </row>
        <row r="3469">
          <cell r="B3469" t="b">
            <v>1</v>
          </cell>
          <cell r="E3469" t="str">
            <v>Boquilla</v>
          </cell>
          <cell r="H3469" t="str">
            <v>consulta_externa</v>
          </cell>
          <cell r="J3469" t="str">
            <v>bueno</v>
          </cell>
          <cell r="K3469" t="str">
            <v>defsi</v>
          </cell>
        </row>
        <row r="3470">
          <cell r="B3470" t="b">
            <v>1</v>
          </cell>
          <cell r="E3470" t="str">
            <v>Boquilla</v>
          </cell>
          <cell r="H3470" t="str">
            <v>salud_oral</v>
          </cell>
          <cell r="J3470" t="str">
            <v>bueno</v>
          </cell>
          <cell r="K3470" t="str">
            <v>defsi</v>
          </cell>
        </row>
        <row r="3471">
          <cell r="B3471" t="b">
            <v>1</v>
          </cell>
          <cell r="E3471" t="str">
            <v>Boquilla</v>
          </cell>
          <cell r="H3471" t="str">
            <v>laboratorio</v>
          </cell>
          <cell r="J3471" t="str">
            <v>bueno</v>
          </cell>
          <cell r="K3471" t="str">
            <v>defsi</v>
          </cell>
        </row>
        <row r="3472">
          <cell r="B3472" t="b">
            <v>1</v>
          </cell>
          <cell r="E3472" t="str">
            <v>Boquilla</v>
          </cell>
          <cell r="H3472" t="str">
            <v>urgencia</v>
          </cell>
          <cell r="J3472" t="str">
            <v>bueno</v>
          </cell>
          <cell r="K3472" t="str">
            <v>defsi</v>
          </cell>
        </row>
        <row r="3473">
          <cell r="B3473" t="b">
            <v>1</v>
          </cell>
          <cell r="E3473" t="str">
            <v>Blasdelezo</v>
          </cell>
          <cell r="H3473" t="str">
            <v>consulta_externa</v>
          </cell>
          <cell r="J3473" t="str">
            <v>bueno</v>
          </cell>
          <cell r="K3473" t="str">
            <v>probsi</v>
          </cell>
        </row>
        <row r="3474">
          <cell r="B3474" t="b">
            <v>1</v>
          </cell>
          <cell r="E3474" t="str">
            <v>Blasdelezo</v>
          </cell>
          <cell r="H3474" t="str">
            <v>consulta_externa</v>
          </cell>
          <cell r="J3474" t="str">
            <v>bueno</v>
          </cell>
          <cell r="K3474" t="str">
            <v>probsi</v>
          </cell>
        </row>
        <row r="3475">
          <cell r="B3475" t="b">
            <v>1</v>
          </cell>
          <cell r="E3475" t="str">
            <v>Blasdelezo</v>
          </cell>
          <cell r="H3475" t="str">
            <v>consulta_externa</v>
          </cell>
          <cell r="J3475" t="str">
            <v>bueno</v>
          </cell>
          <cell r="K3475" t="str">
            <v>probsi</v>
          </cell>
        </row>
        <row r="3476">
          <cell r="B3476" t="b">
            <v>1</v>
          </cell>
          <cell r="E3476" t="str">
            <v>Blasdelezo</v>
          </cell>
          <cell r="H3476" t="str">
            <v>consulta_externa</v>
          </cell>
          <cell r="J3476" t="str">
            <v>bueno</v>
          </cell>
          <cell r="K3476" t="str">
            <v>probsi</v>
          </cell>
        </row>
        <row r="3477">
          <cell r="B3477" t="b">
            <v>1</v>
          </cell>
          <cell r="E3477" t="str">
            <v>Blasdelezo</v>
          </cell>
          <cell r="H3477" t="str">
            <v>consulta_externa</v>
          </cell>
          <cell r="J3477" t="str">
            <v>bueno</v>
          </cell>
          <cell r="K3477" t="str">
            <v>probsi</v>
          </cell>
        </row>
        <row r="3478">
          <cell r="B3478" t="b">
            <v>1</v>
          </cell>
          <cell r="E3478" t="str">
            <v>Boquilla</v>
          </cell>
          <cell r="H3478" t="str">
            <v>consulta_externa</v>
          </cell>
          <cell r="J3478" t="str">
            <v>bueno</v>
          </cell>
          <cell r="K3478" t="str">
            <v>defsi</v>
          </cell>
        </row>
        <row r="3479">
          <cell r="B3479" t="b">
            <v>1</v>
          </cell>
          <cell r="E3479" t="str">
            <v>Boquilla</v>
          </cell>
          <cell r="H3479" t="str">
            <v>salud_oral</v>
          </cell>
          <cell r="J3479" t="str">
            <v>bueno</v>
          </cell>
          <cell r="K3479" t="str">
            <v>defsi</v>
          </cell>
        </row>
        <row r="3480">
          <cell r="B3480" t="b">
            <v>1</v>
          </cell>
          <cell r="E3480" t="str">
            <v>Boquilla</v>
          </cell>
          <cell r="H3480" t="str">
            <v>laboratorio</v>
          </cell>
          <cell r="J3480" t="str">
            <v>bueno</v>
          </cell>
          <cell r="K3480" t="str">
            <v>defsi</v>
          </cell>
        </row>
        <row r="3481">
          <cell r="B3481" t="b">
            <v>1</v>
          </cell>
          <cell r="E3481" t="str">
            <v>Boquilla</v>
          </cell>
          <cell r="H3481" t="str">
            <v>urgencia</v>
          </cell>
          <cell r="J3481" t="str">
            <v>bueno</v>
          </cell>
          <cell r="K3481" t="str">
            <v>defsi</v>
          </cell>
        </row>
        <row r="3482">
          <cell r="B3482" t="b">
            <v>1</v>
          </cell>
          <cell r="E3482" t="str">
            <v>Ternera</v>
          </cell>
          <cell r="H3482" t="str">
            <v>salud_oral</v>
          </cell>
          <cell r="J3482" t="str">
            <v>bueno</v>
          </cell>
          <cell r="K3482" t="str">
            <v>defsi</v>
          </cell>
        </row>
        <row r="3483">
          <cell r="B3483" t="b">
            <v>1</v>
          </cell>
          <cell r="E3483" t="str">
            <v>Ternera</v>
          </cell>
          <cell r="H3483" t="str">
            <v>salud_oral</v>
          </cell>
          <cell r="J3483" t="str">
            <v>bueno</v>
          </cell>
          <cell r="K3483" t="str">
            <v>defsi</v>
          </cell>
        </row>
        <row r="3484">
          <cell r="B3484" t="b">
            <v>1</v>
          </cell>
          <cell r="E3484" t="str">
            <v>Ternera</v>
          </cell>
          <cell r="H3484" t="str">
            <v>salud_oral</v>
          </cell>
          <cell r="J3484" t="str">
            <v>bueno</v>
          </cell>
          <cell r="K3484" t="str">
            <v>defsi</v>
          </cell>
        </row>
        <row r="3485">
          <cell r="B3485" t="b">
            <v>1</v>
          </cell>
          <cell r="E3485" t="str">
            <v>Ternera</v>
          </cell>
          <cell r="H3485" t="str">
            <v>salud_oral</v>
          </cell>
          <cell r="J3485" t="str">
            <v>bueno</v>
          </cell>
          <cell r="K3485" t="str">
            <v>defsi</v>
          </cell>
        </row>
        <row r="3486">
          <cell r="B3486" t="b">
            <v>1</v>
          </cell>
          <cell r="E3486" t="str">
            <v>Ternera</v>
          </cell>
          <cell r="H3486" t="str">
            <v>salud_oral</v>
          </cell>
          <cell r="J3486" t="str">
            <v>bueno</v>
          </cell>
          <cell r="K3486" t="str">
            <v>probsi</v>
          </cell>
        </row>
        <row r="3487">
          <cell r="B3487" t="b">
            <v>1</v>
          </cell>
          <cell r="E3487" t="str">
            <v>Boquilla</v>
          </cell>
          <cell r="H3487" t="str">
            <v>consulta_externa</v>
          </cell>
          <cell r="J3487" t="str">
            <v>bueno</v>
          </cell>
          <cell r="K3487" t="str">
            <v>defsi</v>
          </cell>
        </row>
        <row r="3488">
          <cell r="B3488" t="b">
            <v>1</v>
          </cell>
          <cell r="E3488" t="str">
            <v>Boquilla</v>
          </cell>
          <cell r="H3488" t="str">
            <v>salud_oral</v>
          </cell>
          <cell r="J3488" t="str">
            <v>bueno</v>
          </cell>
          <cell r="K3488" t="str">
            <v>defsi</v>
          </cell>
        </row>
        <row r="3489">
          <cell r="B3489" t="b">
            <v>1</v>
          </cell>
          <cell r="E3489" t="str">
            <v>Boquilla</v>
          </cell>
          <cell r="H3489" t="str">
            <v>laboratorio</v>
          </cell>
          <cell r="J3489" t="str">
            <v>bueno</v>
          </cell>
          <cell r="K3489" t="str">
            <v>defsi</v>
          </cell>
        </row>
        <row r="3490">
          <cell r="B3490" t="b">
            <v>1</v>
          </cell>
          <cell r="E3490" t="str">
            <v>Boquilla</v>
          </cell>
          <cell r="H3490" t="str">
            <v>urgencia</v>
          </cell>
          <cell r="J3490" t="str">
            <v>bueno</v>
          </cell>
          <cell r="K3490" t="str">
            <v>defsi</v>
          </cell>
        </row>
        <row r="3491">
          <cell r="B3491" t="b">
            <v>1</v>
          </cell>
          <cell r="E3491" t="str">
            <v>Boquilla</v>
          </cell>
          <cell r="H3491" t="str">
            <v>consulta_externa</v>
          </cell>
          <cell r="J3491" t="str">
            <v>bueno</v>
          </cell>
          <cell r="K3491" t="str">
            <v>defsi</v>
          </cell>
        </row>
        <row r="3492">
          <cell r="B3492" t="b">
            <v>1</v>
          </cell>
          <cell r="E3492" t="str">
            <v>Boquilla</v>
          </cell>
          <cell r="H3492" t="str">
            <v>salud_oral</v>
          </cell>
          <cell r="J3492" t="str">
            <v>bueno</v>
          </cell>
          <cell r="K3492" t="str">
            <v>defsi</v>
          </cell>
        </row>
        <row r="3493">
          <cell r="B3493" t="b">
            <v>1</v>
          </cell>
          <cell r="E3493" t="str">
            <v>Boquilla</v>
          </cell>
          <cell r="H3493" t="str">
            <v>laboratorio</v>
          </cell>
          <cell r="J3493" t="str">
            <v>bueno</v>
          </cell>
          <cell r="K3493" t="str">
            <v>defsi</v>
          </cell>
        </row>
        <row r="3494">
          <cell r="B3494" t="b">
            <v>1</v>
          </cell>
          <cell r="E3494" t="str">
            <v>Boquilla</v>
          </cell>
          <cell r="H3494" t="str">
            <v>urgencia</v>
          </cell>
          <cell r="J3494" t="str">
            <v>bueno</v>
          </cell>
          <cell r="K3494" t="str">
            <v>defsi</v>
          </cell>
        </row>
        <row r="3495">
          <cell r="B3495" t="b">
            <v>1</v>
          </cell>
          <cell r="E3495" t="str">
            <v>Boquilla</v>
          </cell>
          <cell r="H3495" t="str">
            <v>consulta_externa</v>
          </cell>
          <cell r="J3495" t="str">
            <v>bueno</v>
          </cell>
          <cell r="K3495" t="str">
            <v>defsi</v>
          </cell>
        </row>
        <row r="3496">
          <cell r="B3496" t="b">
            <v>1</v>
          </cell>
          <cell r="E3496" t="str">
            <v>Boquilla</v>
          </cell>
          <cell r="H3496" t="str">
            <v>consulta_externa</v>
          </cell>
          <cell r="J3496" t="str">
            <v>bueno</v>
          </cell>
          <cell r="K3496" t="str">
            <v>defsi</v>
          </cell>
        </row>
        <row r="3497">
          <cell r="B3497" t="b">
            <v>1</v>
          </cell>
          <cell r="E3497" t="str">
            <v>Boquilla</v>
          </cell>
          <cell r="H3497" t="str">
            <v>consulta_externa</v>
          </cell>
          <cell r="J3497" t="str">
            <v>bueno</v>
          </cell>
          <cell r="K3497" t="str">
            <v>defsi</v>
          </cell>
        </row>
        <row r="3498">
          <cell r="B3498" t="b">
            <v>1</v>
          </cell>
          <cell r="E3498" t="str">
            <v>Boquilla</v>
          </cell>
          <cell r="H3498" t="str">
            <v>consulta_externa</v>
          </cell>
          <cell r="J3498" t="str">
            <v>bueno</v>
          </cell>
          <cell r="K3498" t="str">
            <v>defsi</v>
          </cell>
        </row>
        <row r="3499">
          <cell r="B3499" t="b">
            <v>1</v>
          </cell>
          <cell r="E3499" t="str">
            <v>Boquilla</v>
          </cell>
          <cell r="H3499" t="str">
            <v>salud_oral</v>
          </cell>
          <cell r="J3499" t="str">
            <v>bueno</v>
          </cell>
          <cell r="K3499" t="str">
            <v>defsi</v>
          </cell>
        </row>
        <row r="3500">
          <cell r="B3500" t="b">
            <v>1</v>
          </cell>
          <cell r="E3500" t="str">
            <v>Boquilla</v>
          </cell>
          <cell r="H3500" t="str">
            <v>laboratorio</v>
          </cell>
          <cell r="J3500" t="str">
            <v>bueno</v>
          </cell>
          <cell r="K3500" t="str">
            <v>defsi</v>
          </cell>
        </row>
        <row r="3501">
          <cell r="B3501" t="b">
            <v>1</v>
          </cell>
          <cell r="E3501" t="str">
            <v>Boquilla</v>
          </cell>
          <cell r="H3501" t="str">
            <v>urgencia</v>
          </cell>
          <cell r="J3501" t="str">
            <v>bueno</v>
          </cell>
          <cell r="K3501" t="str">
            <v>defsi</v>
          </cell>
        </row>
        <row r="3502">
          <cell r="B3502" t="b">
            <v>1</v>
          </cell>
          <cell r="E3502" t="str">
            <v>Boquilla</v>
          </cell>
          <cell r="H3502" t="str">
            <v>consulta_externa</v>
          </cell>
          <cell r="J3502" t="str">
            <v>bueno</v>
          </cell>
          <cell r="K3502" t="str">
            <v>defsi</v>
          </cell>
        </row>
        <row r="3503">
          <cell r="B3503" t="b">
            <v>1</v>
          </cell>
          <cell r="E3503" t="str">
            <v>Boquilla</v>
          </cell>
          <cell r="H3503" t="str">
            <v>laboratorio</v>
          </cell>
          <cell r="J3503" t="str">
            <v>bueno</v>
          </cell>
          <cell r="K3503" t="str">
            <v>defsi</v>
          </cell>
        </row>
        <row r="3504">
          <cell r="B3504" t="b">
            <v>1</v>
          </cell>
          <cell r="E3504" t="str">
            <v>Boquilla</v>
          </cell>
          <cell r="H3504" t="str">
            <v>urgencia</v>
          </cell>
          <cell r="J3504" t="str">
            <v>bueno</v>
          </cell>
          <cell r="K3504" t="str">
            <v>defsi</v>
          </cell>
        </row>
        <row r="3505">
          <cell r="B3505" t="b">
            <v>1</v>
          </cell>
          <cell r="E3505" t="str">
            <v>Boquilla</v>
          </cell>
          <cell r="H3505" t="str">
            <v>consulta_externa</v>
          </cell>
          <cell r="J3505" t="str">
            <v>bueno</v>
          </cell>
          <cell r="K3505" t="str">
            <v>defsi</v>
          </cell>
        </row>
        <row r="3506">
          <cell r="B3506" t="b">
            <v>1</v>
          </cell>
          <cell r="E3506" t="str">
            <v>Boquilla</v>
          </cell>
          <cell r="H3506" t="str">
            <v>salud_oral</v>
          </cell>
          <cell r="J3506" t="str">
            <v>bueno</v>
          </cell>
          <cell r="K3506" t="str">
            <v>defsi</v>
          </cell>
        </row>
        <row r="3507">
          <cell r="B3507" t="b">
            <v>1</v>
          </cell>
          <cell r="E3507" t="str">
            <v>Boquilla</v>
          </cell>
          <cell r="H3507" t="str">
            <v>laboratorio</v>
          </cell>
          <cell r="J3507" t="str">
            <v>bueno</v>
          </cell>
          <cell r="K3507" t="str">
            <v>defsi</v>
          </cell>
        </row>
        <row r="3508">
          <cell r="B3508" t="b">
            <v>1</v>
          </cell>
          <cell r="E3508" t="str">
            <v>Boquilla</v>
          </cell>
          <cell r="H3508" t="str">
            <v>urgencia</v>
          </cell>
          <cell r="J3508" t="str">
            <v>bueno</v>
          </cell>
          <cell r="K3508" t="str">
            <v>defsi</v>
          </cell>
        </row>
        <row r="3509">
          <cell r="B3509" t="b">
            <v>1</v>
          </cell>
          <cell r="E3509" t="str">
            <v>Boquilla</v>
          </cell>
          <cell r="H3509" t="str">
            <v>consulta_externa</v>
          </cell>
          <cell r="J3509" t="str">
            <v>bueno</v>
          </cell>
          <cell r="K3509" t="str">
            <v>defsi</v>
          </cell>
        </row>
        <row r="3510">
          <cell r="B3510" t="b">
            <v>1</v>
          </cell>
          <cell r="E3510" t="str">
            <v>Boquilla</v>
          </cell>
          <cell r="H3510" t="str">
            <v>salud_oral</v>
          </cell>
          <cell r="J3510" t="str">
            <v>bueno</v>
          </cell>
          <cell r="K3510" t="str">
            <v>defsi</v>
          </cell>
        </row>
        <row r="3511">
          <cell r="B3511" t="b">
            <v>1</v>
          </cell>
          <cell r="E3511" t="str">
            <v>Pozon</v>
          </cell>
          <cell r="H3511" t="str">
            <v>consulta_externa</v>
          </cell>
          <cell r="J3511" t="str">
            <v>bueno</v>
          </cell>
          <cell r="K3511" t="str">
            <v>defsi</v>
          </cell>
        </row>
        <row r="3512">
          <cell r="B3512" t="b">
            <v>1</v>
          </cell>
          <cell r="E3512" t="str">
            <v>Hospital Pozon</v>
          </cell>
          <cell r="H3512" t="str">
            <v>salud_oral</v>
          </cell>
          <cell r="J3512" t="str">
            <v>bueno</v>
          </cell>
          <cell r="K3512" t="str">
            <v>defsi</v>
          </cell>
        </row>
        <row r="3513">
          <cell r="B3513" t="b">
            <v>1</v>
          </cell>
          <cell r="E3513" t="str">
            <v>Hospital Pozon</v>
          </cell>
          <cell r="H3513" t="str">
            <v>laboratorio</v>
          </cell>
          <cell r="J3513" t="str">
            <v>bueno</v>
          </cell>
          <cell r="K3513" t="str">
            <v>defsi</v>
          </cell>
        </row>
        <row r="3514">
          <cell r="B3514" t="b">
            <v>1</v>
          </cell>
          <cell r="E3514" t="str">
            <v>Hospital Pozon</v>
          </cell>
          <cell r="H3514" t="str">
            <v>urgencia</v>
          </cell>
          <cell r="J3514" t="str">
            <v>bueno</v>
          </cell>
          <cell r="K3514" t="str">
            <v>defsi</v>
          </cell>
        </row>
        <row r="3515">
          <cell r="B3515" t="b">
            <v>1</v>
          </cell>
          <cell r="E3515" t="str">
            <v>Hospital Pozon</v>
          </cell>
          <cell r="H3515" t="str">
            <v>ecografias</v>
          </cell>
          <cell r="J3515" t="str">
            <v>bueno</v>
          </cell>
          <cell r="K3515" t="str">
            <v>defsi</v>
          </cell>
        </row>
        <row r="3516">
          <cell r="B3516" t="b">
            <v>1</v>
          </cell>
          <cell r="E3516" t="str">
            <v>Hospital Pozon</v>
          </cell>
          <cell r="H3516" t="str">
            <v>ginecologia</v>
          </cell>
          <cell r="J3516" t="str">
            <v>bueno</v>
          </cell>
          <cell r="K3516" t="str">
            <v>defsi</v>
          </cell>
        </row>
        <row r="3517">
          <cell r="B3517" t="b">
            <v>1</v>
          </cell>
          <cell r="E3517" t="str">
            <v>Hospital Pozon</v>
          </cell>
          <cell r="H3517" t="str">
            <v>pediatria</v>
          </cell>
          <cell r="J3517" t="str">
            <v>bueno</v>
          </cell>
          <cell r="K3517" t="str">
            <v>defsi</v>
          </cell>
        </row>
        <row r="3518">
          <cell r="B3518" t="b">
            <v>1</v>
          </cell>
          <cell r="E3518" t="str">
            <v>Hospital Pozon</v>
          </cell>
          <cell r="H3518" t="str">
            <v>consulta_externa</v>
          </cell>
          <cell r="J3518" t="str">
            <v>bueno</v>
          </cell>
          <cell r="K3518" t="str">
            <v>defsi</v>
          </cell>
        </row>
        <row r="3519">
          <cell r="B3519" t="b">
            <v>1</v>
          </cell>
          <cell r="E3519" t="str">
            <v>Hospital Pozon</v>
          </cell>
          <cell r="H3519" t="str">
            <v>salud_oral</v>
          </cell>
          <cell r="J3519" t="str">
            <v>bueno</v>
          </cell>
          <cell r="K3519" t="str">
            <v>defsi</v>
          </cell>
        </row>
        <row r="3520">
          <cell r="B3520" t="b">
            <v>1</v>
          </cell>
          <cell r="E3520" t="str">
            <v>Hospital Pozon</v>
          </cell>
          <cell r="H3520" t="str">
            <v>laboratorio</v>
          </cell>
          <cell r="J3520" t="str">
            <v>bueno</v>
          </cell>
          <cell r="K3520" t="str">
            <v>defsi</v>
          </cell>
        </row>
        <row r="3521">
          <cell r="B3521" t="b">
            <v>1</v>
          </cell>
          <cell r="E3521" t="str">
            <v>Hospital Pozon</v>
          </cell>
          <cell r="H3521" t="str">
            <v>urgencia</v>
          </cell>
          <cell r="J3521" t="str">
            <v>bueno</v>
          </cell>
          <cell r="K3521" t="str">
            <v>defsi</v>
          </cell>
        </row>
        <row r="3522">
          <cell r="B3522" t="b">
            <v>1</v>
          </cell>
          <cell r="E3522" t="str">
            <v>Hospital Pozon</v>
          </cell>
          <cell r="H3522" t="str">
            <v>ecografias</v>
          </cell>
          <cell r="J3522" t="str">
            <v>bueno</v>
          </cell>
          <cell r="K3522" t="str">
            <v>defsi</v>
          </cell>
        </row>
        <row r="3523">
          <cell r="B3523" t="b">
            <v>1</v>
          </cell>
          <cell r="E3523" t="str">
            <v>Hospital Pozon</v>
          </cell>
          <cell r="H3523" t="str">
            <v>ginecologia</v>
          </cell>
          <cell r="J3523" t="str">
            <v>bueno</v>
          </cell>
          <cell r="K3523" t="str">
            <v>defsi</v>
          </cell>
        </row>
        <row r="3524">
          <cell r="B3524" t="b">
            <v>1</v>
          </cell>
          <cell r="E3524" t="str">
            <v>Hospital Pozon</v>
          </cell>
          <cell r="H3524" t="str">
            <v>pediatria</v>
          </cell>
          <cell r="J3524" t="str">
            <v>bueno</v>
          </cell>
          <cell r="K3524" t="str">
            <v>defsi</v>
          </cell>
        </row>
        <row r="3525">
          <cell r="B3525" t="b">
            <v>1</v>
          </cell>
          <cell r="E3525" t="str">
            <v>Hospital Pozon</v>
          </cell>
          <cell r="H3525" t="str">
            <v>consulta_externa</v>
          </cell>
          <cell r="J3525" t="str">
            <v>bueno</v>
          </cell>
          <cell r="K3525" t="str">
            <v>defsi</v>
          </cell>
        </row>
        <row r="3526">
          <cell r="B3526" t="b">
            <v>1</v>
          </cell>
          <cell r="E3526" t="str">
            <v>Hospital Pozon</v>
          </cell>
          <cell r="H3526" t="str">
            <v>salud_oral</v>
          </cell>
          <cell r="J3526" t="str">
            <v>bueno</v>
          </cell>
          <cell r="K3526" t="str">
            <v>defsi</v>
          </cell>
        </row>
        <row r="3527">
          <cell r="B3527" t="b">
            <v>1</v>
          </cell>
          <cell r="E3527" t="str">
            <v>Hospital Pozon</v>
          </cell>
          <cell r="H3527" t="str">
            <v>laboratorio</v>
          </cell>
          <cell r="J3527" t="str">
            <v>bueno</v>
          </cell>
          <cell r="K3527" t="str">
            <v>defsi</v>
          </cell>
        </row>
        <row r="3528">
          <cell r="B3528" t="b">
            <v>1</v>
          </cell>
          <cell r="E3528" t="str">
            <v>Hospital Pozon</v>
          </cell>
          <cell r="H3528" t="str">
            <v>urgencia</v>
          </cell>
          <cell r="J3528" t="str">
            <v>bueno</v>
          </cell>
          <cell r="K3528" t="str">
            <v>defsi</v>
          </cell>
        </row>
        <row r="3529">
          <cell r="B3529" t="b">
            <v>1</v>
          </cell>
          <cell r="E3529" t="str">
            <v>Hospital Pozon</v>
          </cell>
          <cell r="H3529" t="str">
            <v>ecografias</v>
          </cell>
          <cell r="J3529" t="str">
            <v>bueno</v>
          </cell>
          <cell r="K3529" t="str">
            <v>defsi</v>
          </cell>
        </row>
        <row r="3530">
          <cell r="B3530" t="b">
            <v>1</v>
          </cell>
          <cell r="E3530" t="str">
            <v>Hospital Pozon</v>
          </cell>
          <cell r="H3530" t="str">
            <v>ginecologia</v>
          </cell>
          <cell r="J3530" t="str">
            <v>bueno</v>
          </cell>
          <cell r="K3530" t="str">
            <v>defsi</v>
          </cell>
        </row>
        <row r="3531">
          <cell r="B3531" t="b">
            <v>1</v>
          </cell>
          <cell r="E3531" t="str">
            <v>Hospital Pozon</v>
          </cell>
          <cell r="H3531" t="str">
            <v>pediatria</v>
          </cell>
          <cell r="J3531" t="str">
            <v>bueno</v>
          </cell>
          <cell r="K3531" t="str">
            <v>defsi</v>
          </cell>
        </row>
        <row r="3532">
          <cell r="B3532" t="b">
            <v>1</v>
          </cell>
          <cell r="E3532" t="str">
            <v>Cano de Oro</v>
          </cell>
          <cell r="H3532" t="str">
            <v>consulta_externa</v>
          </cell>
          <cell r="J3532" t="str">
            <v>bueno</v>
          </cell>
          <cell r="K3532" t="str">
            <v>defsi</v>
          </cell>
        </row>
        <row r="3533">
          <cell r="B3533" t="b">
            <v>1</v>
          </cell>
          <cell r="E3533" t="str">
            <v>Cano de Oro</v>
          </cell>
          <cell r="H3533" t="str">
            <v>laboratorio</v>
          </cell>
          <cell r="J3533" t="str">
            <v>bueno</v>
          </cell>
          <cell r="K3533" t="str">
            <v>defsi</v>
          </cell>
        </row>
        <row r="3534">
          <cell r="B3534" t="b">
            <v>1</v>
          </cell>
          <cell r="E3534" t="str">
            <v>Cano de Oro</v>
          </cell>
          <cell r="H3534" t="str">
            <v>laboratorio</v>
          </cell>
          <cell r="J3534" t="str">
            <v>bueno</v>
          </cell>
          <cell r="K3534" t="str">
            <v>defsi</v>
          </cell>
        </row>
        <row r="3535">
          <cell r="B3535" t="b">
            <v>1</v>
          </cell>
          <cell r="E3535" t="str">
            <v>Cano de Oro</v>
          </cell>
          <cell r="H3535" t="str">
            <v>consulta_externa</v>
          </cell>
          <cell r="J3535" t="str">
            <v>bueno</v>
          </cell>
          <cell r="K3535" t="str">
            <v>defsi</v>
          </cell>
        </row>
        <row r="3536">
          <cell r="B3536" t="b">
            <v>1</v>
          </cell>
          <cell r="E3536" t="str">
            <v>Cano de Oro</v>
          </cell>
          <cell r="H3536" t="str">
            <v>consulta_externa</v>
          </cell>
          <cell r="J3536" t="str">
            <v>bueno</v>
          </cell>
          <cell r="K3536" t="str">
            <v>defsi</v>
          </cell>
        </row>
        <row r="3537">
          <cell r="B3537" t="b">
            <v>1</v>
          </cell>
          <cell r="E3537" t="str">
            <v>Cano de Oro</v>
          </cell>
          <cell r="H3537" t="str">
            <v>laboratorio</v>
          </cell>
          <cell r="J3537" t="str">
            <v>bueno</v>
          </cell>
          <cell r="K3537" t="str">
            <v>defsi</v>
          </cell>
        </row>
        <row r="3538">
          <cell r="B3538" t="b">
            <v>1</v>
          </cell>
          <cell r="E3538" t="str">
            <v>Cano de Oro</v>
          </cell>
          <cell r="H3538" t="str">
            <v>consulta_externa</v>
          </cell>
          <cell r="J3538" t="str">
            <v>muybueno</v>
          </cell>
          <cell r="K3538" t="str">
            <v>defsi</v>
          </cell>
        </row>
        <row r="3539">
          <cell r="B3539" t="b">
            <v>1</v>
          </cell>
          <cell r="E3539" t="str">
            <v>Cano de Oro</v>
          </cell>
          <cell r="H3539" t="str">
            <v>salud_oral</v>
          </cell>
          <cell r="J3539" t="str">
            <v>bueno</v>
          </cell>
          <cell r="K3539" t="str">
            <v>defsi</v>
          </cell>
        </row>
        <row r="3540">
          <cell r="B3540" t="b">
            <v>1</v>
          </cell>
          <cell r="E3540" t="str">
            <v>Cano de Oro</v>
          </cell>
          <cell r="H3540" t="str">
            <v>salud_oral</v>
          </cell>
          <cell r="J3540" t="str">
            <v>bueno</v>
          </cell>
          <cell r="K3540" t="str">
            <v>defsi</v>
          </cell>
        </row>
        <row r="3541">
          <cell r="B3541" t="b">
            <v>1</v>
          </cell>
          <cell r="E3541" t="str">
            <v>Nelson Mandela UPA</v>
          </cell>
          <cell r="H3541" t="str">
            <v>consulta_externa</v>
          </cell>
          <cell r="J3541" t="str">
            <v>bueno</v>
          </cell>
          <cell r="K3541" t="str">
            <v>probsi</v>
          </cell>
        </row>
        <row r="3542">
          <cell r="B3542" t="b">
            <v>1</v>
          </cell>
          <cell r="E3542" t="str">
            <v>Nelson Mandela UPA</v>
          </cell>
          <cell r="H3542" t="str">
            <v>salud_oral</v>
          </cell>
          <cell r="J3542" t="str">
            <v>bueno</v>
          </cell>
          <cell r="K3542" t="str">
            <v>probsi</v>
          </cell>
        </row>
        <row r="3543">
          <cell r="B3543" t="b">
            <v>1</v>
          </cell>
          <cell r="E3543" t="str">
            <v>Nelson Mandela UPA</v>
          </cell>
          <cell r="H3543" t="str">
            <v>laboratorio</v>
          </cell>
          <cell r="J3543" t="str">
            <v>bueno</v>
          </cell>
          <cell r="K3543" t="str">
            <v>probsi</v>
          </cell>
        </row>
        <row r="3544">
          <cell r="B3544" t="b">
            <v>1</v>
          </cell>
          <cell r="E3544" t="str">
            <v>Cano de Oro</v>
          </cell>
          <cell r="H3544" t="str">
            <v>consulta_externa</v>
          </cell>
          <cell r="J3544" t="str">
            <v>bueno</v>
          </cell>
          <cell r="K3544" t="str">
            <v>defsi</v>
          </cell>
        </row>
        <row r="3545">
          <cell r="B3545" t="b">
            <v>0</v>
          </cell>
          <cell r="E3545" t="str">
            <v>Nelson Mandela UPA</v>
          </cell>
          <cell r="H3545" t="str">
            <v>consulta_externa</v>
          </cell>
          <cell r="J3545" t="str">
            <v>regular</v>
          </cell>
          <cell r="K3545" t="str">
            <v>probsi</v>
          </cell>
        </row>
        <row r="3546">
          <cell r="B3546" t="b">
            <v>0</v>
          </cell>
          <cell r="E3546" t="str">
            <v>Nelson Mandela UPA</v>
          </cell>
          <cell r="H3546" t="str">
            <v>consulta_externa</v>
          </cell>
          <cell r="J3546" t="str">
            <v>regular</v>
          </cell>
          <cell r="K3546" t="str">
            <v>probsi</v>
          </cell>
        </row>
        <row r="3547">
          <cell r="B3547" t="b">
            <v>0</v>
          </cell>
          <cell r="E3547" t="str">
            <v>Nelson Mandela UPA</v>
          </cell>
          <cell r="H3547" t="str">
            <v>consulta_externa</v>
          </cell>
          <cell r="J3547" t="str">
            <v>regular</v>
          </cell>
          <cell r="K3547" t="str">
            <v>probsi</v>
          </cell>
        </row>
        <row r="3548">
          <cell r="B3548" t="b">
            <v>1</v>
          </cell>
          <cell r="E3548" t="str">
            <v>Nelson Mandela UPA</v>
          </cell>
          <cell r="H3548" t="str">
            <v>consulta_externa</v>
          </cell>
          <cell r="J3548" t="str">
            <v>bueno</v>
          </cell>
          <cell r="K3548" t="str">
            <v>probsi</v>
          </cell>
        </row>
        <row r="3549">
          <cell r="B3549" t="b">
            <v>1</v>
          </cell>
          <cell r="E3549" t="str">
            <v>Cano de Oro</v>
          </cell>
          <cell r="H3549" t="str">
            <v>salud_oral</v>
          </cell>
          <cell r="J3549" t="str">
            <v>bueno</v>
          </cell>
          <cell r="K3549" t="str">
            <v>defsi</v>
          </cell>
        </row>
        <row r="3550">
          <cell r="B3550" t="b">
            <v>1</v>
          </cell>
          <cell r="E3550" t="str">
            <v>Nelson Mandela UPA</v>
          </cell>
          <cell r="H3550" t="str">
            <v>salud_oral</v>
          </cell>
          <cell r="J3550" t="str">
            <v>bueno</v>
          </cell>
          <cell r="K3550" t="str">
            <v>probsi</v>
          </cell>
        </row>
        <row r="3551">
          <cell r="B3551" t="b">
            <v>1</v>
          </cell>
          <cell r="E3551" t="str">
            <v>Nelson Mandela UPA</v>
          </cell>
          <cell r="H3551" t="str">
            <v>salud_oral</v>
          </cell>
          <cell r="J3551" t="str">
            <v>bueno</v>
          </cell>
          <cell r="K3551" t="str">
            <v>probsi</v>
          </cell>
        </row>
        <row r="3552">
          <cell r="B3552" t="b">
            <v>1</v>
          </cell>
          <cell r="E3552" t="str">
            <v>Cano de Oro</v>
          </cell>
          <cell r="H3552" t="str">
            <v>consulta_externa</v>
          </cell>
          <cell r="J3552" t="str">
            <v>bueno</v>
          </cell>
          <cell r="K3552" t="str">
            <v>defsi</v>
          </cell>
        </row>
        <row r="3553">
          <cell r="B3553" t="b">
            <v>0</v>
          </cell>
          <cell r="E3553" t="str">
            <v>Nelson Mandela UPA</v>
          </cell>
          <cell r="H3553" t="str">
            <v>laboratorio</v>
          </cell>
          <cell r="J3553" t="str">
            <v>regular</v>
          </cell>
          <cell r="K3553" t="str">
            <v>probsi</v>
          </cell>
        </row>
        <row r="3554">
          <cell r="B3554" t="b">
            <v>0</v>
          </cell>
          <cell r="E3554" t="str">
            <v>Nelson Mandela UPA</v>
          </cell>
          <cell r="H3554" t="str">
            <v>laboratorio</v>
          </cell>
          <cell r="J3554" t="str">
            <v>regular</v>
          </cell>
          <cell r="K3554" t="str">
            <v>probsi</v>
          </cell>
        </row>
        <row r="3555">
          <cell r="B3555" t="b">
            <v>1</v>
          </cell>
          <cell r="E3555" t="str">
            <v>Nelson Mandela UPA</v>
          </cell>
          <cell r="H3555" t="str">
            <v>salud_oral</v>
          </cell>
          <cell r="J3555" t="str">
            <v>bueno</v>
          </cell>
          <cell r="K3555" t="str">
            <v>probsi</v>
          </cell>
        </row>
        <row r="3556">
          <cell r="B3556" t="b">
            <v>1</v>
          </cell>
          <cell r="E3556" t="str">
            <v>Nelson Mandela UPA</v>
          </cell>
          <cell r="H3556" t="str">
            <v>salud_oral</v>
          </cell>
          <cell r="J3556" t="str">
            <v>bueno</v>
          </cell>
          <cell r="K3556" t="str">
            <v>probsi</v>
          </cell>
        </row>
        <row r="3557">
          <cell r="B3557" t="b">
            <v>1</v>
          </cell>
          <cell r="E3557" t="str">
            <v>Nelson Mandela UPA</v>
          </cell>
          <cell r="H3557" t="str">
            <v>salud_oral</v>
          </cell>
          <cell r="J3557" t="str">
            <v>bueno</v>
          </cell>
          <cell r="K3557" t="str">
            <v>probsi</v>
          </cell>
        </row>
        <row r="3558">
          <cell r="B3558" t="b">
            <v>1</v>
          </cell>
          <cell r="E3558" t="str">
            <v>Nelson Mandela UPA</v>
          </cell>
          <cell r="H3558" t="str">
            <v>consulta_externa</v>
          </cell>
          <cell r="J3558" t="str">
            <v>bueno</v>
          </cell>
          <cell r="K3558" t="str">
            <v>probsi</v>
          </cell>
        </row>
        <row r="3559">
          <cell r="B3559" t="b">
            <v>1</v>
          </cell>
          <cell r="E3559" t="str">
            <v>Nelson Mandela UPA</v>
          </cell>
          <cell r="H3559" t="str">
            <v>consulta_externa</v>
          </cell>
          <cell r="J3559" t="str">
            <v>bueno</v>
          </cell>
          <cell r="K3559" t="str">
            <v>probsi</v>
          </cell>
        </row>
        <row r="3560">
          <cell r="B3560" t="b">
            <v>1</v>
          </cell>
          <cell r="E3560" t="str">
            <v>Cano de Oro</v>
          </cell>
          <cell r="H3560" t="str">
            <v>consulta_externa</v>
          </cell>
          <cell r="J3560" t="str">
            <v>bueno</v>
          </cell>
          <cell r="K3560" t="str">
            <v>defsi</v>
          </cell>
        </row>
        <row r="3561">
          <cell r="B3561" t="b">
            <v>1</v>
          </cell>
          <cell r="E3561" t="str">
            <v>Cano de Oro</v>
          </cell>
          <cell r="H3561" t="str">
            <v>consulta_externa</v>
          </cell>
          <cell r="J3561" t="str">
            <v>bueno</v>
          </cell>
          <cell r="K3561" t="str">
            <v>defsi</v>
          </cell>
        </row>
        <row r="3562">
          <cell r="B3562" t="b">
            <v>1</v>
          </cell>
          <cell r="E3562" t="str">
            <v>Nelson Mandela UPA</v>
          </cell>
          <cell r="H3562" t="str">
            <v>urgencia</v>
          </cell>
          <cell r="J3562" t="str">
            <v>bueno</v>
          </cell>
          <cell r="K3562" t="str">
            <v>probsi</v>
          </cell>
        </row>
        <row r="3563">
          <cell r="B3563" t="b">
            <v>1</v>
          </cell>
          <cell r="E3563" t="str">
            <v>Cano de Oro</v>
          </cell>
          <cell r="H3563" t="str">
            <v>salud_oral</v>
          </cell>
          <cell r="J3563" t="str">
            <v>bueno</v>
          </cell>
          <cell r="K3563" t="str">
            <v>defsi</v>
          </cell>
        </row>
        <row r="3564">
          <cell r="B3564" t="b">
            <v>1</v>
          </cell>
          <cell r="E3564" t="str">
            <v>Cano de Oro</v>
          </cell>
          <cell r="H3564" t="str">
            <v>laboratorio</v>
          </cell>
          <cell r="J3564" t="str">
            <v>bueno</v>
          </cell>
          <cell r="K3564" t="str">
            <v>defsi</v>
          </cell>
        </row>
        <row r="3565">
          <cell r="B3565" t="b">
            <v>1</v>
          </cell>
          <cell r="E3565" t="str">
            <v>Nelson Mandela UPA</v>
          </cell>
          <cell r="H3565" t="str">
            <v>consulta_externa</v>
          </cell>
          <cell r="J3565" t="str">
            <v>bueno</v>
          </cell>
          <cell r="K3565" t="str">
            <v>probsi</v>
          </cell>
        </row>
        <row r="3566">
          <cell r="B3566" t="b">
            <v>1</v>
          </cell>
          <cell r="E3566" t="str">
            <v>Nelson Mandela UPA</v>
          </cell>
          <cell r="H3566" t="str">
            <v>consulta_externa</v>
          </cell>
          <cell r="J3566" t="str">
            <v>bueno</v>
          </cell>
          <cell r="K3566" t="str">
            <v>probsi</v>
          </cell>
        </row>
        <row r="3567">
          <cell r="B3567" t="b">
            <v>1</v>
          </cell>
          <cell r="E3567" t="str">
            <v>Nelson Mandela UPA</v>
          </cell>
          <cell r="H3567" t="str">
            <v>salud_oral</v>
          </cell>
          <cell r="J3567" t="str">
            <v>bueno</v>
          </cell>
          <cell r="K3567" t="str">
            <v>probsi</v>
          </cell>
        </row>
        <row r="3568">
          <cell r="B3568" t="b">
            <v>1</v>
          </cell>
          <cell r="E3568" t="str">
            <v>Nelson Mandela UPA</v>
          </cell>
          <cell r="H3568" t="str">
            <v>salud_oral</v>
          </cell>
          <cell r="J3568" t="str">
            <v>bueno</v>
          </cell>
          <cell r="K3568" t="str">
            <v>probsi</v>
          </cell>
        </row>
        <row r="3569">
          <cell r="B3569" t="b">
            <v>1</v>
          </cell>
          <cell r="E3569" t="str">
            <v>Nelson Mandela UPA</v>
          </cell>
          <cell r="H3569" t="str">
            <v>laboratorio</v>
          </cell>
          <cell r="J3569" t="str">
            <v>bueno</v>
          </cell>
          <cell r="K3569" t="str">
            <v>probsi</v>
          </cell>
        </row>
        <row r="3570">
          <cell r="B3570" t="b">
            <v>1</v>
          </cell>
          <cell r="E3570" t="str">
            <v>Nelson Mandela UPA</v>
          </cell>
          <cell r="H3570" t="str">
            <v>laboratorio</v>
          </cell>
          <cell r="J3570" t="str">
            <v>bueno</v>
          </cell>
          <cell r="K3570" t="str">
            <v>probsi</v>
          </cell>
        </row>
        <row r="3571">
          <cell r="B3571" t="b">
            <v>1</v>
          </cell>
          <cell r="E3571" t="str">
            <v>Cano de Oro</v>
          </cell>
          <cell r="H3571" t="str">
            <v>consulta_externa</v>
          </cell>
          <cell r="J3571" t="str">
            <v>bueno</v>
          </cell>
          <cell r="K3571" t="str">
            <v>defsi</v>
          </cell>
        </row>
        <row r="3572">
          <cell r="B3572" t="b">
            <v>1</v>
          </cell>
          <cell r="E3572" t="str">
            <v>Cano de Oro</v>
          </cell>
          <cell r="H3572" t="str">
            <v>consulta_externa</v>
          </cell>
          <cell r="J3572" t="str">
            <v>bueno</v>
          </cell>
          <cell r="K3572" t="str">
            <v>defsi</v>
          </cell>
        </row>
        <row r="3573">
          <cell r="B3573" t="b">
            <v>1</v>
          </cell>
          <cell r="E3573" t="str">
            <v>Nelson Mandela UPA</v>
          </cell>
          <cell r="H3573" t="str">
            <v>consulta_externa</v>
          </cell>
          <cell r="J3573" t="str">
            <v>bueno</v>
          </cell>
          <cell r="K3573" t="str">
            <v>probsi</v>
          </cell>
        </row>
        <row r="3574">
          <cell r="B3574" t="b">
            <v>1</v>
          </cell>
          <cell r="E3574" t="str">
            <v>Cano de Oro</v>
          </cell>
          <cell r="H3574" t="str">
            <v>consulta_externa</v>
          </cell>
          <cell r="J3574" t="str">
            <v>bueno</v>
          </cell>
          <cell r="K3574" t="str">
            <v>defsi</v>
          </cell>
        </row>
        <row r="3575">
          <cell r="B3575" t="b">
            <v>1</v>
          </cell>
          <cell r="E3575" t="str">
            <v>Cano de Oro</v>
          </cell>
          <cell r="H3575" t="str">
            <v>consulta_externa</v>
          </cell>
          <cell r="J3575" t="str">
            <v>bueno</v>
          </cell>
          <cell r="K3575" t="str">
            <v>defsi</v>
          </cell>
        </row>
        <row r="3576">
          <cell r="B3576" t="b">
            <v>1</v>
          </cell>
          <cell r="E3576" t="str">
            <v>Cano de Oro</v>
          </cell>
          <cell r="H3576" t="str">
            <v>salud_oral</v>
          </cell>
          <cell r="J3576" t="str">
            <v>bueno</v>
          </cell>
          <cell r="K3576" t="str">
            <v>defsi</v>
          </cell>
        </row>
        <row r="3577">
          <cell r="B3577" t="b">
            <v>1</v>
          </cell>
          <cell r="E3577" t="str">
            <v>Nelson Mandela UPA</v>
          </cell>
          <cell r="H3577" t="str">
            <v>consulta_externa</v>
          </cell>
          <cell r="J3577" t="str">
            <v>bueno</v>
          </cell>
          <cell r="K3577" t="str">
            <v>probsi</v>
          </cell>
        </row>
        <row r="3578">
          <cell r="B3578" t="b">
            <v>1</v>
          </cell>
          <cell r="E3578" t="str">
            <v>Nelson Mandela UPA</v>
          </cell>
          <cell r="H3578" t="str">
            <v>urgencia</v>
          </cell>
          <cell r="J3578" t="str">
            <v>bueno</v>
          </cell>
          <cell r="K3578" t="str">
            <v>probsi</v>
          </cell>
        </row>
        <row r="3579">
          <cell r="B3579" t="b">
            <v>1</v>
          </cell>
          <cell r="E3579" t="str">
            <v>Hospital Pozon</v>
          </cell>
          <cell r="H3579" t="str">
            <v>consulta_externa</v>
          </cell>
          <cell r="J3579" t="str">
            <v>bueno</v>
          </cell>
          <cell r="K3579" t="str">
            <v>defsi</v>
          </cell>
        </row>
        <row r="3580">
          <cell r="B3580" t="b">
            <v>1</v>
          </cell>
          <cell r="E3580" t="str">
            <v>Hospital Pozon</v>
          </cell>
          <cell r="H3580" t="str">
            <v>salud_oral</v>
          </cell>
          <cell r="J3580" t="str">
            <v>bueno</v>
          </cell>
          <cell r="K3580" t="str">
            <v>defsi</v>
          </cell>
        </row>
        <row r="3581">
          <cell r="B3581" t="b">
            <v>1</v>
          </cell>
          <cell r="E3581" t="str">
            <v>Hospital Pozon</v>
          </cell>
          <cell r="H3581" t="str">
            <v>laboratorio</v>
          </cell>
          <cell r="J3581" t="str">
            <v>bueno</v>
          </cell>
          <cell r="K3581" t="str">
            <v>defsi</v>
          </cell>
        </row>
        <row r="3582">
          <cell r="B3582" t="b">
            <v>1</v>
          </cell>
          <cell r="E3582" t="str">
            <v>Hospital Pozon</v>
          </cell>
          <cell r="H3582" t="str">
            <v>urgencia</v>
          </cell>
          <cell r="J3582" t="str">
            <v>bueno</v>
          </cell>
          <cell r="K3582" t="str">
            <v>defsi</v>
          </cell>
        </row>
        <row r="3583">
          <cell r="B3583" t="b">
            <v>1</v>
          </cell>
          <cell r="E3583" t="str">
            <v>Hospital Pozon</v>
          </cell>
          <cell r="H3583" t="str">
            <v>ecografias</v>
          </cell>
          <cell r="J3583" t="str">
            <v>bueno</v>
          </cell>
          <cell r="K3583" t="str">
            <v>defsi</v>
          </cell>
        </row>
        <row r="3584">
          <cell r="B3584" t="b">
            <v>1</v>
          </cell>
          <cell r="E3584" t="str">
            <v>Hospital Pozon</v>
          </cell>
          <cell r="H3584" t="str">
            <v>ginecologia</v>
          </cell>
          <cell r="J3584" t="str">
            <v>bueno</v>
          </cell>
          <cell r="K3584" t="str">
            <v>defsi</v>
          </cell>
        </row>
        <row r="3585">
          <cell r="B3585" t="b">
            <v>1</v>
          </cell>
          <cell r="E3585" t="str">
            <v>Hospital Pozon</v>
          </cell>
          <cell r="H3585" t="str">
            <v>pediatria</v>
          </cell>
          <cell r="J3585" t="str">
            <v>bueno</v>
          </cell>
          <cell r="K3585" t="str">
            <v>defsi</v>
          </cell>
        </row>
        <row r="3586">
          <cell r="B3586" t="b">
            <v>1</v>
          </cell>
          <cell r="E3586" t="str">
            <v>Hospital Pozon</v>
          </cell>
          <cell r="H3586" t="str">
            <v>consulta_externa</v>
          </cell>
          <cell r="J3586" t="str">
            <v>bueno</v>
          </cell>
          <cell r="K3586" t="str">
            <v>defsi</v>
          </cell>
        </row>
        <row r="3587">
          <cell r="B3587" t="b">
            <v>1</v>
          </cell>
          <cell r="E3587" t="str">
            <v>Hospital Pozon</v>
          </cell>
          <cell r="H3587" t="str">
            <v>salud_oral</v>
          </cell>
          <cell r="J3587" t="str">
            <v>bueno</v>
          </cell>
          <cell r="K3587" t="str">
            <v>defsi</v>
          </cell>
        </row>
        <row r="3588">
          <cell r="B3588" t="b">
            <v>1</v>
          </cell>
          <cell r="E3588" t="str">
            <v>Hospital Pozon</v>
          </cell>
          <cell r="H3588" t="str">
            <v>laboratorio</v>
          </cell>
          <cell r="J3588" t="str">
            <v>bueno</v>
          </cell>
          <cell r="K3588" t="str">
            <v>defsi</v>
          </cell>
        </row>
        <row r="3589">
          <cell r="B3589" t="b">
            <v>1</v>
          </cell>
          <cell r="E3589" t="str">
            <v>Hospital Pozon</v>
          </cell>
          <cell r="H3589" t="str">
            <v>urgencia</v>
          </cell>
          <cell r="J3589" t="str">
            <v>bueno</v>
          </cell>
          <cell r="K3589" t="str">
            <v>defsi</v>
          </cell>
        </row>
        <row r="3590">
          <cell r="B3590" t="b">
            <v>1</v>
          </cell>
          <cell r="E3590" t="str">
            <v>Hospital Pozon</v>
          </cell>
          <cell r="H3590" t="str">
            <v>ecografias</v>
          </cell>
          <cell r="J3590" t="str">
            <v>bueno</v>
          </cell>
          <cell r="K3590" t="str">
            <v>defsi</v>
          </cell>
        </row>
        <row r="3591">
          <cell r="B3591" t="b">
            <v>1</v>
          </cell>
          <cell r="E3591" t="str">
            <v>Hospital Pozon</v>
          </cell>
          <cell r="H3591" t="str">
            <v>ginecologia</v>
          </cell>
          <cell r="J3591" t="str">
            <v>bueno</v>
          </cell>
          <cell r="K3591" t="str">
            <v>defsi</v>
          </cell>
        </row>
        <row r="3592">
          <cell r="B3592" t="b">
            <v>1</v>
          </cell>
          <cell r="E3592" t="str">
            <v>Nelson Mandela UPA</v>
          </cell>
          <cell r="H3592" t="str">
            <v>consulta_externa</v>
          </cell>
          <cell r="J3592" t="str">
            <v>bueno</v>
          </cell>
          <cell r="K3592" t="str">
            <v>probsi</v>
          </cell>
        </row>
        <row r="3593">
          <cell r="B3593" t="b">
            <v>1</v>
          </cell>
          <cell r="E3593" t="str">
            <v>Nelson Mandela UPA</v>
          </cell>
          <cell r="H3593" t="str">
            <v>salud_oral</v>
          </cell>
          <cell r="J3593" t="str">
            <v>bueno</v>
          </cell>
          <cell r="K3593" t="str">
            <v>probsi</v>
          </cell>
        </row>
        <row r="3594">
          <cell r="B3594" t="b">
            <v>1</v>
          </cell>
          <cell r="E3594" t="str">
            <v>Hospital Pozon</v>
          </cell>
          <cell r="H3594" t="str">
            <v>pediatria</v>
          </cell>
          <cell r="J3594" t="str">
            <v>bueno</v>
          </cell>
          <cell r="K3594" t="str">
            <v>defsi</v>
          </cell>
        </row>
        <row r="3595">
          <cell r="B3595" t="b">
            <v>1</v>
          </cell>
          <cell r="E3595" t="str">
            <v>Cano de Oro</v>
          </cell>
          <cell r="H3595" t="str">
            <v>salud_oral</v>
          </cell>
          <cell r="J3595" t="str">
            <v>bueno</v>
          </cell>
          <cell r="K3595" t="str">
            <v>defsi</v>
          </cell>
        </row>
        <row r="3596">
          <cell r="B3596" t="b">
            <v>1</v>
          </cell>
          <cell r="E3596" t="str">
            <v>Cano de Oro</v>
          </cell>
          <cell r="H3596" t="str">
            <v>consulta_externa</v>
          </cell>
          <cell r="J3596" t="str">
            <v>bueno</v>
          </cell>
          <cell r="K3596" t="str">
            <v>defsi</v>
          </cell>
        </row>
        <row r="3597">
          <cell r="B3597" t="b">
            <v>1</v>
          </cell>
          <cell r="E3597" t="str">
            <v>Nelson Mandela UPA</v>
          </cell>
          <cell r="H3597" t="str">
            <v>consulta_externa</v>
          </cell>
          <cell r="J3597" t="str">
            <v>bueno</v>
          </cell>
          <cell r="K3597" t="str">
            <v>probsi</v>
          </cell>
        </row>
        <row r="3598">
          <cell r="B3598" t="b">
            <v>1</v>
          </cell>
          <cell r="E3598" t="str">
            <v>Cano de Oro</v>
          </cell>
          <cell r="H3598" t="str">
            <v>laboratorio</v>
          </cell>
          <cell r="J3598" t="str">
            <v>bueno</v>
          </cell>
          <cell r="K3598" t="str">
            <v>defsi</v>
          </cell>
        </row>
        <row r="3599">
          <cell r="B3599" t="b">
            <v>1</v>
          </cell>
          <cell r="E3599" t="str">
            <v>Cano de Oro</v>
          </cell>
          <cell r="H3599" t="str">
            <v>consulta_externa</v>
          </cell>
          <cell r="J3599" t="str">
            <v>bueno</v>
          </cell>
          <cell r="K3599" t="str">
            <v>defsi</v>
          </cell>
        </row>
        <row r="3600">
          <cell r="B3600" t="b">
            <v>1</v>
          </cell>
          <cell r="E3600" t="str">
            <v>Cano de Oro</v>
          </cell>
          <cell r="H3600" t="str">
            <v>salud_oral</v>
          </cell>
          <cell r="J3600" t="str">
            <v>muybueno</v>
          </cell>
          <cell r="K3600" t="str">
            <v>defsi</v>
          </cell>
        </row>
        <row r="3601">
          <cell r="B3601" t="b">
            <v>1</v>
          </cell>
          <cell r="E3601" t="str">
            <v>Cano de Oro</v>
          </cell>
          <cell r="H3601" t="str">
            <v>salud_oral</v>
          </cell>
          <cell r="J3601" t="str">
            <v>bueno</v>
          </cell>
          <cell r="K3601" t="str">
            <v>defsi</v>
          </cell>
        </row>
        <row r="3602">
          <cell r="B3602" t="b">
            <v>1</v>
          </cell>
          <cell r="E3602" t="str">
            <v>Cano de Oro</v>
          </cell>
          <cell r="H3602" t="str">
            <v>consulta_externa</v>
          </cell>
          <cell r="J3602" t="str">
            <v>bueno</v>
          </cell>
          <cell r="K3602" t="str">
            <v>defsi</v>
          </cell>
        </row>
        <row r="3603">
          <cell r="B3603" t="b">
            <v>1</v>
          </cell>
          <cell r="E3603" t="str">
            <v>Cano de Oro</v>
          </cell>
          <cell r="H3603" t="str">
            <v>consulta_externa</v>
          </cell>
          <cell r="J3603" t="str">
            <v>bueno</v>
          </cell>
          <cell r="K3603" t="str">
            <v>defsi</v>
          </cell>
        </row>
        <row r="3604">
          <cell r="B3604" t="b">
            <v>1</v>
          </cell>
          <cell r="E3604" t="str">
            <v>Cano de Oro</v>
          </cell>
          <cell r="H3604" t="str">
            <v>laboratorio</v>
          </cell>
          <cell r="J3604" t="str">
            <v>bueno</v>
          </cell>
          <cell r="K3604" t="str">
            <v>defsi</v>
          </cell>
        </row>
        <row r="3605">
          <cell r="B3605" t="b">
            <v>1</v>
          </cell>
          <cell r="E3605" t="str">
            <v>Cano de Oro</v>
          </cell>
          <cell r="H3605" t="str">
            <v>laboratorio</v>
          </cell>
          <cell r="J3605" t="str">
            <v>bueno</v>
          </cell>
          <cell r="K3605" t="str">
            <v>defsi</v>
          </cell>
        </row>
        <row r="3606">
          <cell r="B3606" t="b">
            <v>1</v>
          </cell>
          <cell r="E3606" t="str">
            <v>Cano de Oro</v>
          </cell>
          <cell r="H3606" t="str">
            <v>consulta_externa</v>
          </cell>
          <cell r="J3606" t="str">
            <v>bueno</v>
          </cell>
          <cell r="K3606" t="str">
            <v>defsi</v>
          </cell>
        </row>
        <row r="3607">
          <cell r="B3607" t="b">
            <v>1</v>
          </cell>
          <cell r="E3607" t="str">
            <v>Cano de Oro</v>
          </cell>
          <cell r="H3607" t="str">
            <v>salud_oral</v>
          </cell>
          <cell r="J3607" t="str">
            <v>bueno</v>
          </cell>
          <cell r="K3607" t="str">
            <v>defsi</v>
          </cell>
        </row>
        <row r="3608">
          <cell r="B3608" t="b">
            <v>1</v>
          </cell>
          <cell r="E3608" t="str">
            <v>Cano de Oro</v>
          </cell>
          <cell r="H3608" t="str">
            <v>salud_oral</v>
          </cell>
          <cell r="J3608" t="str">
            <v>bueno</v>
          </cell>
          <cell r="K3608" t="str">
            <v>defsi</v>
          </cell>
        </row>
        <row r="3609">
          <cell r="B3609" t="b">
            <v>1</v>
          </cell>
          <cell r="E3609" t="str">
            <v>Cano de Oro</v>
          </cell>
          <cell r="H3609" t="str">
            <v>consulta_externa</v>
          </cell>
          <cell r="J3609" t="str">
            <v>bueno</v>
          </cell>
          <cell r="K3609" t="str">
            <v>defsi</v>
          </cell>
        </row>
        <row r="3610">
          <cell r="B3610" t="b">
            <v>1</v>
          </cell>
          <cell r="E3610" t="str">
            <v>Cano de Oro</v>
          </cell>
          <cell r="H3610" t="str">
            <v>laboratorio</v>
          </cell>
          <cell r="J3610" t="str">
            <v>bueno</v>
          </cell>
          <cell r="K3610" t="str">
            <v>defsi</v>
          </cell>
        </row>
        <row r="3611">
          <cell r="B3611" t="b">
            <v>1</v>
          </cell>
          <cell r="E3611" t="str">
            <v>Nelson Mandela UPA</v>
          </cell>
          <cell r="H3611" t="str">
            <v>consulta_externa</v>
          </cell>
          <cell r="J3611" t="str">
            <v>muybueno</v>
          </cell>
          <cell r="K3611" t="str">
            <v>probsi</v>
          </cell>
        </row>
        <row r="3612">
          <cell r="B3612" t="b">
            <v>1</v>
          </cell>
          <cell r="E3612" t="str">
            <v>Cano de Oro</v>
          </cell>
          <cell r="H3612" t="str">
            <v>consulta_externa</v>
          </cell>
          <cell r="J3612" t="str">
            <v>bueno</v>
          </cell>
          <cell r="K3612" t="str">
            <v>defsi</v>
          </cell>
        </row>
        <row r="3613">
          <cell r="B3613" t="b">
            <v>1</v>
          </cell>
          <cell r="E3613" t="str">
            <v>Cano de Oro</v>
          </cell>
          <cell r="H3613" t="str">
            <v>consulta_externa</v>
          </cell>
          <cell r="J3613" t="str">
            <v>muybueno</v>
          </cell>
          <cell r="K3613" t="str">
            <v>defsi</v>
          </cell>
        </row>
        <row r="3614">
          <cell r="B3614" t="b">
            <v>1</v>
          </cell>
          <cell r="E3614" t="str">
            <v>Cano de Oro</v>
          </cell>
          <cell r="H3614" t="str">
            <v>consulta_externa</v>
          </cell>
          <cell r="J3614" t="str">
            <v>bueno</v>
          </cell>
          <cell r="K3614" t="str">
            <v>defsi</v>
          </cell>
        </row>
        <row r="3615">
          <cell r="B3615" t="b">
            <v>1</v>
          </cell>
          <cell r="E3615" t="str">
            <v>Cano de Oro</v>
          </cell>
          <cell r="H3615" t="str">
            <v>consulta_externa</v>
          </cell>
          <cell r="J3615" t="str">
            <v>bueno</v>
          </cell>
          <cell r="K3615" t="str">
            <v>defsi</v>
          </cell>
        </row>
        <row r="3616">
          <cell r="B3616" t="b">
            <v>1</v>
          </cell>
          <cell r="E3616" t="str">
            <v>Hospital Pozon</v>
          </cell>
          <cell r="H3616" t="str">
            <v>consulta_externa</v>
          </cell>
          <cell r="J3616" t="str">
            <v>bueno</v>
          </cell>
          <cell r="K3616" t="str">
            <v>defsi</v>
          </cell>
        </row>
        <row r="3617">
          <cell r="B3617" t="b">
            <v>1</v>
          </cell>
          <cell r="E3617" t="str">
            <v>Hospital Pozon</v>
          </cell>
          <cell r="H3617" t="str">
            <v>salud_oral</v>
          </cell>
          <cell r="J3617" t="str">
            <v>bueno</v>
          </cell>
          <cell r="K3617" t="str">
            <v>defsi</v>
          </cell>
        </row>
        <row r="3618">
          <cell r="B3618" t="b">
            <v>1</v>
          </cell>
          <cell r="E3618" t="str">
            <v>Cano de Oro</v>
          </cell>
          <cell r="H3618" t="str">
            <v>salud_oral</v>
          </cell>
          <cell r="J3618" t="str">
            <v>muybueno</v>
          </cell>
          <cell r="K3618" t="str">
            <v>defsi</v>
          </cell>
        </row>
        <row r="3619">
          <cell r="B3619" t="b">
            <v>1</v>
          </cell>
          <cell r="E3619" t="str">
            <v>Cano de Oro</v>
          </cell>
          <cell r="H3619" t="str">
            <v>salud_oral</v>
          </cell>
          <cell r="J3619" t="str">
            <v>bueno</v>
          </cell>
          <cell r="K3619" t="str">
            <v>defsi</v>
          </cell>
        </row>
        <row r="3620">
          <cell r="B3620" t="b">
            <v>1</v>
          </cell>
          <cell r="E3620" t="str">
            <v>Cano de Oro</v>
          </cell>
          <cell r="H3620" t="str">
            <v>consulta_externa</v>
          </cell>
          <cell r="J3620" t="str">
            <v>bueno</v>
          </cell>
          <cell r="K3620" t="str">
            <v>defsi</v>
          </cell>
        </row>
        <row r="3621">
          <cell r="B3621" t="b">
            <v>1</v>
          </cell>
          <cell r="E3621" t="str">
            <v>Cano de Oro</v>
          </cell>
          <cell r="H3621" t="str">
            <v>consulta_externa</v>
          </cell>
          <cell r="J3621" t="str">
            <v>bueno</v>
          </cell>
          <cell r="K3621" t="str">
            <v>defsi</v>
          </cell>
        </row>
        <row r="3622">
          <cell r="B3622" t="b">
            <v>1</v>
          </cell>
          <cell r="E3622" t="str">
            <v>Cano de Oro</v>
          </cell>
          <cell r="H3622" t="str">
            <v>laboratorio</v>
          </cell>
          <cell r="J3622" t="str">
            <v>bueno</v>
          </cell>
          <cell r="K3622" t="str">
            <v>defsi</v>
          </cell>
        </row>
        <row r="3623">
          <cell r="B3623" t="b">
            <v>1</v>
          </cell>
          <cell r="E3623" t="str">
            <v>Cano de Oro</v>
          </cell>
          <cell r="H3623" t="str">
            <v>consulta_externa</v>
          </cell>
          <cell r="J3623" t="str">
            <v>bueno</v>
          </cell>
          <cell r="K3623" t="str">
            <v>defsi</v>
          </cell>
        </row>
        <row r="3624">
          <cell r="B3624" t="b">
            <v>1</v>
          </cell>
          <cell r="E3624" t="str">
            <v>Cano de Oro</v>
          </cell>
          <cell r="H3624" t="str">
            <v>salud_oral</v>
          </cell>
          <cell r="J3624" t="str">
            <v>bueno</v>
          </cell>
          <cell r="K3624" t="str">
            <v>defsi</v>
          </cell>
        </row>
        <row r="3625">
          <cell r="B3625" t="b">
            <v>1</v>
          </cell>
          <cell r="E3625" t="str">
            <v>Cano de Oro</v>
          </cell>
          <cell r="H3625" t="str">
            <v>salud_oral</v>
          </cell>
          <cell r="J3625" t="str">
            <v>bueno</v>
          </cell>
          <cell r="K3625" t="str">
            <v>defsi</v>
          </cell>
        </row>
        <row r="3626">
          <cell r="B3626" t="b">
            <v>1</v>
          </cell>
          <cell r="E3626" t="str">
            <v>Cano de Oro</v>
          </cell>
          <cell r="H3626" t="str">
            <v>salud_oral</v>
          </cell>
          <cell r="J3626" t="str">
            <v>bueno</v>
          </cell>
          <cell r="K3626" t="str">
            <v>defsi</v>
          </cell>
        </row>
        <row r="3627">
          <cell r="B3627" t="b">
            <v>1</v>
          </cell>
          <cell r="E3627" t="str">
            <v>Cano de Oro</v>
          </cell>
          <cell r="H3627" t="str">
            <v>consulta_externa</v>
          </cell>
          <cell r="J3627" t="str">
            <v>bueno</v>
          </cell>
          <cell r="K3627" t="str">
            <v>defsi</v>
          </cell>
        </row>
        <row r="3628">
          <cell r="B3628" t="b">
            <v>1</v>
          </cell>
          <cell r="E3628" t="str">
            <v>Cano de Oro</v>
          </cell>
          <cell r="H3628" t="str">
            <v>laboratorio</v>
          </cell>
          <cell r="J3628" t="str">
            <v>bueno</v>
          </cell>
          <cell r="K3628" t="str">
            <v>defsi</v>
          </cell>
        </row>
        <row r="3629">
          <cell r="B3629" t="b">
            <v>1</v>
          </cell>
          <cell r="E3629" t="str">
            <v>Cano de Oro</v>
          </cell>
          <cell r="H3629" t="str">
            <v>laboratorio</v>
          </cell>
          <cell r="J3629" t="str">
            <v>bueno</v>
          </cell>
          <cell r="K3629" t="str">
            <v>defsi</v>
          </cell>
        </row>
        <row r="3630">
          <cell r="B3630" t="b">
            <v>1</v>
          </cell>
          <cell r="E3630" t="str">
            <v>Cano de Oro</v>
          </cell>
          <cell r="H3630" t="str">
            <v>salud_oral</v>
          </cell>
          <cell r="J3630" t="str">
            <v>bueno</v>
          </cell>
          <cell r="K3630" t="str">
            <v>defsi</v>
          </cell>
        </row>
        <row r="3631">
          <cell r="B3631" t="b">
            <v>1</v>
          </cell>
          <cell r="E3631" t="str">
            <v>Cano de Oro</v>
          </cell>
          <cell r="H3631" t="str">
            <v>salud_oral</v>
          </cell>
          <cell r="J3631" t="str">
            <v>muybueno</v>
          </cell>
          <cell r="K3631" t="str">
            <v>defsi</v>
          </cell>
        </row>
        <row r="3632">
          <cell r="B3632" t="b">
            <v>1</v>
          </cell>
          <cell r="E3632" t="str">
            <v>Cano de Oro</v>
          </cell>
          <cell r="H3632" t="str">
            <v>salud_oral</v>
          </cell>
          <cell r="J3632" t="str">
            <v>muybueno</v>
          </cell>
          <cell r="K3632" t="str">
            <v>defsi</v>
          </cell>
        </row>
        <row r="3633">
          <cell r="B3633" t="b">
            <v>1</v>
          </cell>
          <cell r="E3633" t="str">
            <v>Cano de Oro</v>
          </cell>
          <cell r="H3633" t="str">
            <v>consulta_externa</v>
          </cell>
          <cell r="J3633" t="str">
            <v>muybueno</v>
          </cell>
          <cell r="K3633" t="str">
            <v>defsi</v>
          </cell>
        </row>
        <row r="3634">
          <cell r="B3634" t="b">
            <v>1</v>
          </cell>
          <cell r="E3634" t="str">
            <v>Cano de Oro</v>
          </cell>
          <cell r="H3634" t="str">
            <v>laboratorio</v>
          </cell>
          <cell r="J3634" t="str">
            <v>bueno</v>
          </cell>
          <cell r="K3634" t="str">
            <v>defsi</v>
          </cell>
        </row>
        <row r="3635">
          <cell r="B3635" t="b">
            <v>1</v>
          </cell>
          <cell r="E3635" t="str">
            <v>Cano de Oro</v>
          </cell>
          <cell r="H3635" t="str">
            <v>laboratorio</v>
          </cell>
          <cell r="J3635" t="str">
            <v>bueno</v>
          </cell>
          <cell r="K3635" t="str">
            <v>defsi</v>
          </cell>
        </row>
        <row r="3636">
          <cell r="B3636" t="b">
            <v>1</v>
          </cell>
          <cell r="E3636" t="str">
            <v>Cano de Oro</v>
          </cell>
          <cell r="H3636" t="str">
            <v>laboratorio</v>
          </cell>
          <cell r="J3636" t="str">
            <v>bueno</v>
          </cell>
          <cell r="K3636" t="str">
            <v>defsi</v>
          </cell>
        </row>
        <row r="3637">
          <cell r="B3637" t="b">
            <v>1</v>
          </cell>
          <cell r="E3637" t="str">
            <v>Hospital Pozon</v>
          </cell>
          <cell r="H3637" t="str">
            <v>consulta_externa</v>
          </cell>
          <cell r="J3637" t="str">
            <v>bueno</v>
          </cell>
          <cell r="K3637" t="str">
            <v>defsi</v>
          </cell>
        </row>
        <row r="3638">
          <cell r="B3638" t="b">
            <v>1</v>
          </cell>
          <cell r="E3638" t="str">
            <v>Cano de Oro</v>
          </cell>
          <cell r="H3638" t="str">
            <v>salud_oral</v>
          </cell>
          <cell r="J3638" t="str">
            <v>bueno</v>
          </cell>
          <cell r="K3638" t="str">
            <v>defsi</v>
          </cell>
        </row>
        <row r="3639">
          <cell r="B3639" t="b">
            <v>1</v>
          </cell>
          <cell r="E3639" t="str">
            <v>Cano de Oro</v>
          </cell>
          <cell r="H3639" t="str">
            <v>laboratorio</v>
          </cell>
          <cell r="J3639" t="str">
            <v>bueno</v>
          </cell>
          <cell r="K3639" t="str">
            <v>defsi</v>
          </cell>
        </row>
        <row r="3640">
          <cell r="B3640" t="b">
            <v>1</v>
          </cell>
          <cell r="E3640" t="str">
            <v>Cano de Oro</v>
          </cell>
          <cell r="H3640" t="str">
            <v>laboratorio</v>
          </cell>
          <cell r="J3640" t="str">
            <v>bueno</v>
          </cell>
          <cell r="K3640" t="str">
            <v>defsi</v>
          </cell>
        </row>
        <row r="3641">
          <cell r="B3641" t="b">
            <v>1</v>
          </cell>
          <cell r="E3641" t="str">
            <v>Hospital Pozon</v>
          </cell>
          <cell r="H3641" t="str">
            <v>salud_oral</v>
          </cell>
          <cell r="J3641" t="str">
            <v>bueno</v>
          </cell>
          <cell r="K3641" t="str">
            <v>defsi</v>
          </cell>
        </row>
        <row r="3642">
          <cell r="B3642" t="b">
            <v>1</v>
          </cell>
          <cell r="E3642" t="str">
            <v>Hospital Pozon</v>
          </cell>
          <cell r="H3642" t="str">
            <v>salud_oral</v>
          </cell>
          <cell r="J3642" t="str">
            <v>bueno</v>
          </cell>
          <cell r="K3642" t="str">
            <v>defsi</v>
          </cell>
        </row>
        <row r="3643">
          <cell r="B3643" t="b">
            <v>1</v>
          </cell>
          <cell r="E3643" t="str">
            <v>Hospital Pozon</v>
          </cell>
          <cell r="H3643" t="str">
            <v>laboratorio</v>
          </cell>
          <cell r="J3643" t="str">
            <v>bueno</v>
          </cell>
          <cell r="K3643" t="str">
            <v>defsi</v>
          </cell>
        </row>
        <row r="3644">
          <cell r="B3644" t="b">
            <v>1</v>
          </cell>
          <cell r="E3644" t="str">
            <v>Hospital Pozon</v>
          </cell>
          <cell r="H3644" t="str">
            <v>urgencia</v>
          </cell>
          <cell r="J3644" t="str">
            <v>bueno</v>
          </cell>
          <cell r="K3644" t="str">
            <v>defsi</v>
          </cell>
        </row>
        <row r="3645">
          <cell r="B3645" t="b">
            <v>1</v>
          </cell>
          <cell r="E3645" t="str">
            <v>Hospital Pozon</v>
          </cell>
          <cell r="H3645" t="str">
            <v>ecografias</v>
          </cell>
          <cell r="J3645" t="str">
            <v>bueno</v>
          </cell>
          <cell r="K3645" t="str">
            <v>defsi</v>
          </cell>
        </row>
        <row r="3646">
          <cell r="B3646" t="b">
            <v>1</v>
          </cell>
          <cell r="E3646" t="str">
            <v>Hospital Pozon</v>
          </cell>
          <cell r="H3646" t="str">
            <v>pediatria</v>
          </cell>
          <cell r="J3646" t="str">
            <v>bueno</v>
          </cell>
          <cell r="K3646" t="str">
            <v>defsi</v>
          </cell>
        </row>
        <row r="3647">
          <cell r="B3647" t="b">
            <v>1</v>
          </cell>
          <cell r="E3647" t="str">
            <v>Hospital Pozon</v>
          </cell>
          <cell r="H3647" t="str">
            <v>consulta_externa</v>
          </cell>
          <cell r="J3647" t="str">
            <v>bueno</v>
          </cell>
          <cell r="K3647" t="str">
            <v>defsi</v>
          </cell>
        </row>
        <row r="3648">
          <cell r="B3648" t="b">
            <v>1</v>
          </cell>
          <cell r="E3648" t="str">
            <v>Hospital Pozon</v>
          </cell>
          <cell r="H3648" t="str">
            <v>salud_oral</v>
          </cell>
          <cell r="J3648" t="str">
            <v>bueno</v>
          </cell>
          <cell r="K3648" t="str">
            <v>defsi</v>
          </cell>
        </row>
        <row r="3649">
          <cell r="B3649" t="b">
            <v>1</v>
          </cell>
          <cell r="E3649" t="str">
            <v>Hospital Pozon</v>
          </cell>
          <cell r="H3649" t="str">
            <v>laboratorio</v>
          </cell>
          <cell r="J3649" t="str">
            <v>bueno</v>
          </cell>
          <cell r="K3649" t="str">
            <v>defsi</v>
          </cell>
        </row>
        <row r="3650">
          <cell r="B3650" t="b">
            <v>1</v>
          </cell>
          <cell r="E3650" t="str">
            <v>Hospital Pozon</v>
          </cell>
          <cell r="H3650" t="str">
            <v>urgencia</v>
          </cell>
          <cell r="J3650" t="str">
            <v>bueno</v>
          </cell>
          <cell r="K3650" t="str">
            <v>defsi</v>
          </cell>
        </row>
        <row r="3651">
          <cell r="B3651" t="b">
            <v>1</v>
          </cell>
          <cell r="E3651" t="str">
            <v>Hospital Pozon</v>
          </cell>
          <cell r="H3651" t="str">
            <v>ecografias</v>
          </cell>
          <cell r="J3651" t="str">
            <v>bueno</v>
          </cell>
          <cell r="K3651" t="str">
            <v>defsi</v>
          </cell>
        </row>
        <row r="3652">
          <cell r="B3652" t="b">
            <v>1</v>
          </cell>
          <cell r="E3652" t="str">
            <v>Hospital Pozon</v>
          </cell>
          <cell r="H3652" t="str">
            <v>pediatria</v>
          </cell>
          <cell r="J3652" t="str">
            <v>bueno</v>
          </cell>
          <cell r="K3652" t="str">
            <v>defsi</v>
          </cell>
        </row>
        <row r="3653">
          <cell r="B3653" t="b">
            <v>1</v>
          </cell>
          <cell r="E3653" t="str">
            <v>Hospital Pozon</v>
          </cell>
          <cell r="H3653" t="str">
            <v>consulta_externa</v>
          </cell>
          <cell r="J3653" t="str">
            <v>bueno</v>
          </cell>
          <cell r="K3653" t="str">
            <v>defsi</v>
          </cell>
        </row>
        <row r="3654">
          <cell r="B3654" t="b">
            <v>1</v>
          </cell>
          <cell r="E3654" t="str">
            <v>Hospital Pozon</v>
          </cell>
          <cell r="H3654" t="str">
            <v>salud_oral</v>
          </cell>
          <cell r="J3654" t="str">
            <v>bueno</v>
          </cell>
          <cell r="K3654" t="str">
            <v>defsi</v>
          </cell>
        </row>
        <row r="3655">
          <cell r="B3655" t="b">
            <v>1</v>
          </cell>
          <cell r="E3655" t="str">
            <v>Hospital Pozon</v>
          </cell>
          <cell r="H3655" t="str">
            <v>laboratorio</v>
          </cell>
          <cell r="J3655" t="str">
            <v>bueno</v>
          </cell>
          <cell r="K3655" t="str">
            <v>defsi</v>
          </cell>
        </row>
        <row r="3656">
          <cell r="B3656" t="b">
            <v>1</v>
          </cell>
          <cell r="E3656" t="str">
            <v>Hospital Pozon</v>
          </cell>
          <cell r="H3656" t="str">
            <v>urgencia</v>
          </cell>
          <cell r="J3656" t="str">
            <v>bueno</v>
          </cell>
          <cell r="K3656" t="str">
            <v>defsi</v>
          </cell>
        </row>
        <row r="3657">
          <cell r="B3657" t="b">
            <v>1</v>
          </cell>
          <cell r="E3657" t="str">
            <v>Hospital Pozon</v>
          </cell>
          <cell r="H3657" t="str">
            <v>ecografias</v>
          </cell>
          <cell r="J3657" t="str">
            <v>bueno</v>
          </cell>
          <cell r="K3657" t="str">
            <v>defsi</v>
          </cell>
        </row>
        <row r="3658">
          <cell r="B3658" t="b">
            <v>1</v>
          </cell>
          <cell r="E3658" t="str">
            <v>Hospital Pozon</v>
          </cell>
          <cell r="H3658" t="str">
            <v>pediatria</v>
          </cell>
          <cell r="J3658" t="str">
            <v>bueno</v>
          </cell>
          <cell r="K3658" t="str">
            <v>defsi</v>
          </cell>
        </row>
        <row r="3659">
          <cell r="B3659" t="b">
            <v>1</v>
          </cell>
          <cell r="E3659" t="str">
            <v>Nelson Mandela UPA</v>
          </cell>
          <cell r="H3659" t="str">
            <v>laboratorio</v>
          </cell>
          <cell r="J3659" t="str">
            <v>bueno</v>
          </cell>
          <cell r="K3659" t="str">
            <v>probsi</v>
          </cell>
        </row>
        <row r="3660">
          <cell r="B3660" t="b">
            <v>1</v>
          </cell>
          <cell r="E3660" t="str">
            <v>Nelson Mandela UPA</v>
          </cell>
          <cell r="H3660" t="str">
            <v>laboratorio</v>
          </cell>
          <cell r="J3660" t="str">
            <v>bueno</v>
          </cell>
          <cell r="K3660" t="str">
            <v>probsi</v>
          </cell>
        </row>
        <row r="3661">
          <cell r="B3661" t="b">
            <v>1</v>
          </cell>
          <cell r="E3661" t="str">
            <v>Nelson Mandela UPA</v>
          </cell>
          <cell r="H3661" t="str">
            <v>laboratorio</v>
          </cell>
          <cell r="J3661" t="str">
            <v>bueno</v>
          </cell>
          <cell r="K3661" t="str">
            <v>probsi</v>
          </cell>
        </row>
        <row r="3662">
          <cell r="B3662" t="b">
            <v>1</v>
          </cell>
          <cell r="E3662" t="str">
            <v>Nelson Mandela UPA</v>
          </cell>
          <cell r="H3662" t="str">
            <v>laboratorio</v>
          </cell>
          <cell r="J3662" t="str">
            <v>bueno</v>
          </cell>
          <cell r="K3662" t="str">
            <v>probsi</v>
          </cell>
        </row>
        <row r="3663">
          <cell r="B3663" t="b">
            <v>1</v>
          </cell>
          <cell r="E3663" t="str">
            <v>Nelson Mandela UPA</v>
          </cell>
          <cell r="H3663" t="str">
            <v>laboratorio</v>
          </cell>
          <cell r="J3663" t="str">
            <v>bueno</v>
          </cell>
          <cell r="K3663" t="str">
            <v>probsi</v>
          </cell>
        </row>
        <row r="3664">
          <cell r="B3664" t="b">
            <v>1</v>
          </cell>
          <cell r="E3664" t="str">
            <v>Hospital Pozon</v>
          </cell>
          <cell r="H3664" t="str">
            <v>consulta_externa</v>
          </cell>
          <cell r="J3664" t="str">
            <v>bueno</v>
          </cell>
          <cell r="K3664" t="str">
            <v>defsi</v>
          </cell>
        </row>
        <row r="3665">
          <cell r="B3665" t="b">
            <v>1</v>
          </cell>
          <cell r="E3665" t="str">
            <v>Hospital Pozon</v>
          </cell>
          <cell r="H3665" t="str">
            <v>salud_oral</v>
          </cell>
          <cell r="J3665" t="str">
            <v>bueno</v>
          </cell>
          <cell r="K3665" t="str">
            <v>defno</v>
          </cell>
        </row>
        <row r="3666">
          <cell r="B3666" t="b">
            <v>1</v>
          </cell>
          <cell r="E3666" t="str">
            <v>Hospital Pozon</v>
          </cell>
          <cell r="H3666" t="str">
            <v>laboratorio</v>
          </cell>
          <cell r="J3666" t="str">
            <v>bueno</v>
          </cell>
          <cell r="K3666" t="str">
            <v>defsi</v>
          </cell>
        </row>
        <row r="3667">
          <cell r="B3667" t="b">
            <v>1</v>
          </cell>
          <cell r="E3667" t="str">
            <v>Hospital Pozon</v>
          </cell>
          <cell r="H3667" t="str">
            <v>laboratorio</v>
          </cell>
          <cell r="J3667" t="str">
            <v>bueno</v>
          </cell>
          <cell r="K3667" t="str">
            <v>defsi</v>
          </cell>
        </row>
        <row r="3668">
          <cell r="B3668" t="b">
            <v>1</v>
          </cell>
          <cell r="E3668" t="str">
            <v>Hospital Pozon</v>
          </cell>
          <cell r="H3668" t="str">
            <v>urgencia</v>
          </cell>
          <cell r="J3668" t="str">
            <v>bueno</v>
          </cell>
          <cell r="K3668" t="str">
            <v>defsi</v>
          </cell>
        </row>
        <row r="3669">
          <cell r="B3669" t="b">
            <v>1</v>
          </cell>
          <cell r="E3669" t="str">
            <v>Nelson Mandela UPA</v>
          </cell>
          <cell r="H3669" t="str">
            <v>salud_oral</v>
          </cell>
          <cell r="J3669" t="str">
            <v>bueno</v>
          </cell>
          <cell r="K3669" t="str">
            <v>probsi</v>
          </cell>
        </row>
        <row r="3670">
          <cell r="B3670" t="b">
            <v>1</v>
          </cell>
          <cell r="E3670" t="str">
            <v>Nelson Mandela UPA</v>
          </cell>
          <cell r="H3670" t="str">
            <v>salud_oral</v>
          </cell>
          <cell r="J3670" t="str">
            <v>bueno</v>
          </cell>
          <cell r="K3670" t="str">
            <v>probsi</v>
          </cell>
        </row>
        <row r="3671">
          <cell r="B3671" t="b">
            <v>1</v>
          </cell>
          <cell r="E3671" t="str">
            <v>Nelson Mandela UPA</v>
          </cell>
          <cell r="H3671" t="str">
            <v>salud_oral</v>
          </cell>
          <cell r="J3671" t="str">
            <v>bueno</v>
          </cell>
          <cell r="K3671" t="str">
            <v>probsi</v>
          </cell>
        </row>
        <row r="3672">
          <cell r="B3672" t="b">
            <v>1</v>
          </cell>
          <cell r="E3672" t="str">
            <v>Nelson Mandela UPA</v>
          </cell>
          <cell r="H3672" t="str">
            <v>salud_oral</v>
          </cell>
          <cell r="J3672" t="str">
            <v>bueno</v>
          </cell>
          <cell r="K3672" t="str">
            <v>probsi</v>
          </cell>
        </row>
        <row r="3673">
          <cell r="B3673" t="b">
            <v>1</v>
          </cell>
          <cell r="E3673" t="str">
            <v>Nelson Mandela UPA</v>
          </cell>
          <cell r="H3673" t="str">
            <v>laboratorio</v>
          </cell>
          <cell r="J3673" t="str">
            <v>bueno</v>
          </cell>
          <cell r="K3673" t="str">
            <v>probsi</v>
          </cell>
        </row>
        <row r="3674">
          <cell r="B3674" t="b">
            <v>1</v>
          </cell>
          <cell r="E3674" t="str">
            <v>Nelson Mandela UPA</v>
          </cell>
          <cell r="H3674" t="str">
            <v>laboratorio</v>
          </cell>
          <cell r="J3674" t="str">
            <v>bueno</v>
          </cell>
          <cell r="K3674" t="str">
            <v>probsi</v>
          </cell>
        </row>
        <row r="3675">
          <cell r="B3675" t="b">
            <v>1</v>
          </cell>
          <cell r="E3675" t="str">
            <v>Nelson Mandela UPA</v>
          </cell>
          <cell r="H3675" t="str">
            <v>laboratorio</v>
          </cell>
          <cell r="J3675" t="str">
            <v>bueno</v>
          </cell>
          <cell r="K3675" t="str">
            <v>probsi</v>
          </cell>
        </row>
        <row r="3676">
          <cell r="B3676" t="b">
            <v>1</v>
          </cell>
          <cell r="E3676" t="str">
            <v>Nelson Mandela UPA</v>
          </cell>
          <cell r="H3676" t="str">
            <v>laboratorio</v>
          </cell>
          <cell r="J3676" t="str">
            <v>bueno</v>
          </cell>
          <cell r="K3676" t="str">
            <v>probsi</v>
          </cell>
        </row>
        <row r="3677">
          <cell r="B3677" t="b">
            <v>1</v>
          </cell>
          <cell r="E3677" t="str">
            <v>Nelson Mandela UPA</v>
          </cell>
          <cell r="H3677" t="str">
            <v>urgencia</v>
          </cell>
          <cell r="J3677" t="str">
            <v>bueno</v>
          </cell>
          <cell r="K3677" t="str">
            <v>probsi</v>
          </cell>
        </row>
        <row r="3678">
          <cell r="B3678" t="b">
            <v>1</v>
          </cell>
          <cell r="E3678" t="str">
            <v>Nelson Mandela UPA</v>
          </cell>
          <cell r="H3678" t="str">
            <v>urgencia</v>
          </cell>
          <cell r="J3678" t="str">
            <v>bueno</v>
          </cell>
          <cell r="K3678" t="str">
            <v>probsi</v>
          </cell>
        </row>
        <row r="3679">
          <cell r="B3679" t="b">
            <v>1</v>
          </cell>
          <cell r="E3679" t="str">
            <v>Nelson Mandela UPA</v>
          </cell>
          <cell r="H3679" t="str">
            <v>urgencia</v>
          </cell>
          <cell r="J3679" t="str">
            <v>bueno</v>
          </cell>
          <cell r="K3679" t="str">
            <v>probsi</v>
          </cell>
        </row>
        <row r="3680">
          <cell r="B3680" t="b">
            <v>1</v>
          </cell>
          <cell r="E3680" t="str">
            <v>Nelson Mandela UPA</v>
          </cell>
          <cell r="H3680" t="str">
            <v>urgencia</v>
          </cell>
          <cell r="J3680" t="str">
            <v>bueno</v>
          </cell>
          <cell r="K3680" t="str">
            <v>probsi</v>
          </cell>
        </row>
        <row r="3681">
          <cell r="B3681" t="b">
            <v>1</v>
          </cell>
          <cell r="E3681" t="str">
            <v>Hospital Pozon</v>
          </cell>
          <cell r="H3681" t="str">
            <v>ecografias</v>
          </cell>
          <cell r="J3681" t="str">
            <v>bueno</v>
          </cell>
          <cell r="K3681" t="str">
            <v>defsi</v>
          </cell>
        </row>
        <row r="3682">
          <cell r="B3682" t="b">
            <v>1</v>
          </cell>
          <cell r="E3682" t="str">
            <v>Hospital Pozon</v>
          </cell>
          <cell r="H3682" t="str">
            <v>pediatria</v>
          </cell>
          <cell r="J3682" t="str">
            <v>bueno</v>
          </cell>
          <cell r="K3682" t="str">
            <v>defsi</v>
          </cell>
        </row>
        <row r="3683">
          <cell r="B3683" t="b">
            <v>1</v>
          </cell>
          <cell r="E3683" t="str">
            <v>Hospital Pozon</v>
          </cell>
          <cell r="H3683" t="str">
            <v>consulta_externa</v>
          </cell>
          <cell r="J3683" t="str">
            <v>bueno</v>
          </cell>
          <cell r="K3683" t="str">
            <v>defsi</v>
          </cell>
        </row>
        <row r="3684">
          <cell r="B3684" t="b">
            <v>1</v>
          </cell>
          <cell r="E3684" t="str">
            <v>Hospital Pozon</v>
          </cell>
          <cell r="H3684" t="str">
            <v>salud_oral</v>
          </cell>
          <cell r="J3684" t="str">
            <v>bueno</v>
          </cell>
          <cell r="K3684" t="str">
            <v>defsi</v>
          </cell>
        </row>
        <row r="3685">
          <cell r="B3685" t="b">
            <v>1</v>
          </cell>
          <cell r="E3685" t="str">
            <v>Hospital Pozon</v>
          </cell>
          <cell r="H3685" t="str">
            <v>salud_oral</v>
          </cell>
          <cell r="J3685" t="str">
            <v>bueno</v>
          </cell>
          <cell r="K3685" t="str">
            <v>defsi</v>
          </cell>
        </row>
        <row r="3686">
          <cell r="B3686" t="b">
            <v>1</v>
          </cell>
          <cell r="E3686" t="str">
            <v>Hospital Pozon</v>
          </cell>
          <cell r="H3686" t="str">
            <v>urgencia</v>
          </cell>
          <cell r="J3686" t="str">
            <v>bueno</v>
          </cell>
          <cell r="K3686" t="str">
            <v>defsi</v>
          </cell>
        </row>
        <row r="3687">
          <cell r="B3687" t="b">
            <v>1</v>
          </cell>
          <cell r="E3687" t="str">
            <v>Hospital Pozon</v>
          </cell>
          <cell r="H3687" t="str">
            <v>ecografias</v>
          </cell>
          <cell r="J3687" t="str">
            <v>bueno</v>
          </cell>
          <cell r="K3687" t="str">
            <v>defsi</v>
          </cell>
        </row>
        <row r="3688">
          <cell r="B3688" t="b">
            <v>1</v>
          </cell>
          <cell r="E3688" t="str">
            <v>Hospital Pozon</v>
          </cell>
          <cell r="H3688" t="str">
            <v>pediatria</v>
          </cell>
          <cell r="J3688" t="str">
            <v>bueno</v>
          </cell>
          <cell r="K3688" t="str">
            <v>defsi</v>
          </cell>
        </row>
        <row r="3689">
          <cell r="B3689" t="b">
            <v>1</v>
          </cell>
          <cell r="E3689" t="str">
            <v>Cano de Oro</v>
          </cell>
          <cell r="H3689" t="str">
            <v>salud_oral</v>
          </cell>
          <cell r="J3689" t="str">
            <v>bueno</v>
          </cell>
          <cell r="K3689" t="str">
            <v>probsi</v>
          </cell>
        </row>
        <row r="3690">
          <cell r="B3690" t="b">
            <v>1</v>
          </cell>
          <cell r="E3690" t="str">
            <v>Hospital Pozon</v>
          </cell>
          <cell r="H3690" t="str">
            <v>consulta_externa</v>
          </cell>
          <cell r="J3690" t="str">
            <v>bueno</v>
          </cell>
          <cell r="K3690" t="str">
            <v>defsi</v>
          </cell>
        </row>
        <row r="3691">
          <cell r="B3691" t="b">
            <v>1</v>
          </cell>
          <cell r="E3691" t="str">
            <v>Hospital Pozon</v>
          </cell>
          <cell r="H3691" t="str">
            <v>salud_oral</v>
          </cell>
          <cell r="J3691" t="str">
            <v>bueno</v>
          </cell>
          <cell r="K3691" t="str">
            <v>defsi</v>
          </cell>
        </row>
        <row r="3692">
          <cell r="B3692" t="b">
            <v>1</v>
          </cell>
          <cell r="E3692" t="str">
            <v>Hospital Pozon</v>
          </cell>
          <cell r="H3692" t="str">
            <v>laboratorio</v>
          </cell>
          <cell r="J3692" t="str">
            <v>bueno</v>
          </cell>
          <cell r="K3692" t="str">
            <v>defsi</v>
          </cell>
        </row>
        <row r="3693">
          <cell r="B3693" t="b">
            <v>1</v>
          </cell>
          <cell r="E3693" t="str">
            <v>Hospital Pozon</v>
          </cell>
          <cell r="H3693" t="str">
            <v>ecografias</v>
          </cell>
          <cell r="J3693" t="str">
            <v>bueno</v>
          </cell>
          <cell r="K3693" t="str">
            <v>defsi</v>
          </cell>
        </row>
        <row r="3694">
          <cell r="B3694" t="b">
            <v>1</v>
          </cell>
          <cell r="E3694" t="str">
            <v>Hospital Pozon</v>
          </cell>
          <cell r="H3694" t="str">
            <v>consulta_externa</v>
          </cell>
          <cell r="J3694" t="str">
            <v>bueno</v>
          </cell>
          <cell r="K3694" t="str">
            <v>defsi</v>
          </cell>
        </row>
        <row r="3695">
          <cell r="B3695" t="b">
            <v>1</v>
          </cell>
          <cell r="E3695" t="str">
            <v>Hospital Pozon</v>
          </cell>
          <cell r="H3695" t="str">
            <v>salud_oral</v>
          </cell>
          <cell r="J3695" t="str">
            <v>bueno</v>
          </cell>
          <cell r="K3695" t="str">
            <v>defsi</v>
          </cell>
        </row>
        <row r="3696">
          <cell r="B3696" t="b">
            <v>1</v>
          </cell>
          <cell r="E3696" t="str">
            <v>Hospital Pozon</v>
          </cell>
          <cell r="H3696" t="str">
            <v>laboratorio</v>
          </cell>
          <cell r="J3696" t="str">
            <v>bueno</v>
          </cell>
          <cell r="K3696" t="str">
            <v>defsi</v>
          </cell>
        </row>
        <row r="3697">
          <cell r="B3697" t="b">
            <v>1</v>
          </cell>
          <cell r="E3697" t="str">
            <v>Hospital Pozon</v>
          </cell>
          <cell r="H3697" t="str">
            <v>urgencia</v>
          </cell>
          <cell r="J3697" t="str">
            <v>bueno</v>
          </cell>
          <cell r="K3697" t="str">
            <v>defsi</v>
          </cell>
        </row>
        <row r="3698">
          <cell r="B3698" t="b">
            <v>1</v>
          </cell>
          <cell r="E3698" t="str">
            <v>Hospital Pozon</v>
          </cell>
          <cell r="H3698" t="str">
            <v>consulta_externa</v>
          </cell>
          <cell r="J3698" t="str">
            <v>bueno</v>
          </cell>
          <cell r="K3698" t="str">
            <v>defsi</v>
          </cell>
        </row>
        <row r="3699">
          <cell r="B3699" t="b">
            <v>1</v>
          </cell>
          <cell r="E3699" t="str">
            <v>Hospital Pozon</v>
          </cell>
          <cell r="H3699" t="str">
            <v>salud_oral</v>
          </cell>
          <cell r="J3699" t="str">
            <v>bueno</v>
          </cell>
          <cell r="K3699" t="str">
            <v>defsi</v>
          </cell>
        </row>
        <row r="3700">
          <cell r="B3700" t="b">
            <v>1</v>
          </cell>
          <cell r="E3700" t="str">
            <v>Hospital Pozon</v>
          </cell>
          <cell r="H3700" t="str">
            <v>laboratorio</v>
          </cell>
          <cell r="J3700" t="str">
            <v>bueno</v>
          </cell>
          <cell r="K3700" t="str">
            <v>defsi</v>
          </cell>
        </row>
        <row r="3701">
          <cell r="B3701" t="b">
            <v>1</v>
          </cell>
          <cell r="E3701" t="str">
            <v>Hospital Pozon</v>
          </cell>
          <cell r="H3701" t="str">
            <v>urgencia</v>
          </cell>
          <cell r="J3701" t="str">
            <v>bueno</v>
          </cell>
          <cell r="K3701" t="str">
            <v>defsi</v>
          </cell>
        </row>
        <row r="3702">
          <cell r="B3702" t="b">
            <v>1</v>
          </cell>
          <cell r="E3702" t="str">
            <v>Hospital Pozon</v>
          </cell>
          <cell r="H3702" t="str">
            <v>ecografias</v>
          </cell>
          <cell r="J3702" t="str">
            <v>bueno</v>
          </cell>
          <cell r="K3702" t="str">
            <v>defsi</v>
          </cell>
        </row>
        <row r="3703">
          <cell r="B3703" t="b">
            <v>1</v>
          </cell>
          <cell r="E3703" t="str">
            <v>Hospital Pozon</v>
          </cell>
          <cell r="H3703" t="str">
            <v>ginecologia</v>
          </cell>
          <cell r="J3703" t="str">
            <v>bueno</v>
          </cell>
          <cell r="K3703" t="str">
            <v>defsi</v>
          </cell>
        </row>
        <row r="3704">
          <cell r="B3704" t="b">
            <v>1</v>
          </cell>
          <cell r="E3704" t="str">
            <v>Hospital Pozon</v>
          </cell>
          <cell r="H3704" t="str">
            <v>pediatria</v>
          </cell>
          <cell r="J3704" t="str">
            <v>bueno</v>
          </cell>
          <cell r="K3704" t="str">
            <v>defsi</v>
          </cell>
        </row>
        <row r="3705">
          <cell r="B3705" t="b">
            <v>1</v>
          </cell>
          <cell r="E3705" t="str">
            <v>Hospital Pozon</v>
          </cell>
          <cell r="H3705" t="str">
            <v>consulta_externa</v>
          </cell>
          <cell r="J3705" t="str">
            <v>bueno</v>
          </cell>
          <cell r="K3705" t="str">
            <v>defsi</v>
          </cell>
        </row>
        <row r="3706">
          <cell r="B3706" t="b">
            <v>1</v>
          </cell>
          <cell r="E3706" t="str">
            <v>Hospital Pozon</v>
          </cell>
          <cell r="H3706" t="str">
            <v>salud_oral</v>
          </cell>
          <cell r="J3706" t="str">
            <v>bueno</v>
          </cell>
          <cell r="K3706" t="str">
            <v>defsi</v>
          </cell>
        </row>
        <row r="3707">
          <cell r="B3707" t="b">
            <v>1</v>
          </cell>
          <cell r="E3707" t="str">
            <v>Hospital Pozon</v>
          </cell>
          <cell r="H3707" t="str">
            <v>laboratorio</v>
          </cell>
          <cell r="J3707" t="str">
            <v>bueno</v>
          </cell>
          <cell r="K3707" t="str">
            <v>defsi</v>
          </cell>
        </row>
        <row r="3708">
          <cell r="B3708" t="b">
            <v>1</v>
          </cell>
          <cell r="E3708" t="str">
            <v>Hospital Pozon</v>
          </cell>
          <cell r="H3708" t="str">
            <v>urgencia</v>
          </cell>
          <cell r="J3708" t="str">
            <v>bueno</v>
          </cell>
          <cell r="K3708" t="str">
            <v>defsi</v>
          </cell>
        </row>
        <row r="3709">
          <cell r="B3709" t="b">
            <v>1</v>
          </cell>
          <cell r="E3709" t="str">
            <v>Hospital Pozon</v>
          </cell>
          <cell r="H3709" t="str">
            <v>consulta_externa</v>
          </cell>
          <cell r="J3709" t="str">
            <v>bueno</v>
          </cell>
          <cell r="K3709" t="str">
            <v>defsi</v>
          </cell>
        </row>
        <row r="3710">
          <cell r="B3710" t="b">
            <v>1</v>
          </cell>
          <cell r="E3710" t="str">
            <v>Hospital Pozon</v>
          </cell>
          <cell r="H3710" t="str">
            <v>ecografias</v>
          </cell>
          <cell r="J3710" t="str">
            <v>bueno</v>
          </cell>
          <cell r="K3710" t="str">
            <v>defsi</v>
          </cell>
        </row>
        <row r="3711">
          <cell r="B3711" t="b">
            <v>1</v>
          </cell>
          <cell r="E3711" t="str">
            <v>Hospital Pozon</v>
          </cell>
          <cell r="H3711" t="str">
            <v>ginecologia</v>
          </cell>
          <cell r="J3711" t="str">
            <v>bueno</v>
          </cell>
          <cell r="K3711" t="str">
            <v>defsi</v>
          </cell>
        </row>
        <row r="3712">
          <cell r="B3712" t="b">
            <v>1</v>
          </cell>
          <cell r="E3712" t="str">
            <v>Hospital Pozon</v>
          </cell>
          <cell r="H3712" t="str">
            <v>pediatria</v>
          </cell>
          <cell r="J3712" t="str">
            <v>bueno</v>
          </cell>
          <cell r="K3712" t="str">
            <v>defsi</v>
          </cell>
        </row>
        <row r="3713">
          <cell r="B3713" t="b">
            <v>0</v>
          </cell>
          <cell r="E3713" t="str">
            <v>Nelson Mandela UPA</v>
          </cell>
          <cell r="H3713" t="str">
            <v>urgencia</v>
          </cell>
          <cell r="J3713" t="str">
            <v>regular</v>
          </cell>
          <cell r="K3713" t="str">
            <v>probsi</v>
          </cell>
        </row>
        <row r="3714">
          <cell r="B3714" t="b">
            <v>0</v>
          </cell>
          <cell r="E3714" t="str">
            <v>Nelson Mandela UPA</v>
          </cell>
          <cell r="H3714" t="str">
            <v>urgencia</v>
          </cell>
          <cell r="J3714" t="str">
            <v>regular</v>
          </cell>
          <cell r="K3714" t="str">
            <v>probsi</v>
          </cell>
        </row>
        <row r="3715">
          <cell r="B3715" t="b">
            <v>1</v>
          </cell>
          <cell r="E3715" t="str">
            <v>Nelson Mandela UPA</v>
          </cell>
          <cell r="H3715" t="str">
            <v>urgencia</v>
          </cell>
          <cell r="J3715" t="str">
            <v>bueno</v>
          </cell>
          <cell r="K3715" t="str">
            <v>probsi</v>
          </cell>
        </row>
        <row r="3716">
          <cell r="B3716" t="b">
            <v>1</v>
          </cell>
          <cell r="E3716" t="str">
            <v>Nelson Mandela UPA</v>
          </cell>
          <cell r="H3716" t="str">
            <v>urgencia</v>
          </cell>
          <cell r="J3716" t="str">
            <v>bueno</v>
          </cell>
          <cell r="K3716" t="str">
            <v>probsi</v>
          </cell>
        </row>
        <row r="3717">
          <cell r="B3717" t="b">
            <v>1</v>
          </cell>
          <cell r="E3717" t="str">
            <v>Nelson Mandela UPA</v>
          </cell>
          <cell r="H3717" t="str">
            <v>urgencia</v>
          </cell>
          <cell r="J3717" t="str">
            <v>bueno</v>
          </cell>
          <cell r="K3717" t="str">
            <v>probsi</v>
          </cell>
        </row>
        <row r="3718">
          <cell r="B3718" t="b">
            <v>1</v>
          </cell>
          <cell r="E3718" t="str">
            <v>Nelson Mandela UPA</v>
          </cell>
          <cell r="H3718" t="str">
            <v>urgencia</v>
          </cell>
          <cell r="J3718" t="str">
            <v>bueno</v>
          </cell>
          <cell r="K3718" t="str">
            <v>probsi</v>
          </cell>
        </row>
        <row r="3719">
          <cell r="B3719" t="b">
            <v>1</v>
          </cell>
          <cell r="E3719" t="str">
            <v>Nelson Mandela UPA</v>
          </cell>
          <cell r="H3719" t="str">
            <v>urgencia</v>
          </cell>
          <cell r="J3719" t="str">
            <v>bueno</v>
          </cell>
          <cell r="K3719" t="str">
            <v>probsi</v>
          </cell>
        </row>
        <row r="3720">
          <cell r="B3720" t="b">
            <v>1</v>
          </cell>
          <cell r="E3720" t="str">
            <v>Nelson Mandela UPA</v>
          </cell>
          <cell r="H3720" t="str">
            <v>urgencia</v>
          </cell>
          <cell r="J3720" t="str">
            <v>bueno</v>
          </cell>
          <cell r="K3720" t="str">
            <v>probsi</v>
          </cell>
        </row>
        <row r="3721">
          <cell r="B3721" t="b">
            <v>1</v>
          </cell>
          <cell r="E3721" t="str">
            <v>Nelson Mandela UPA</v>
          </cell>
          <cell r="H3721" t="str">
            <v>urgencia</v>
          </cell>
          <cell r="J3721" t="str">
            <v>bueno</v>
          </cell>
          <cell r="K3721" t="str">
            <v>probsi</v>
          </cell>
        </row>
        <row r="3722">
          <cell r="B3722" t="b">
            <v>1</v>
          </cell>
          <cell r="E3722" t="str">
            <v>Nelson Mandela UPA</v>
          </cell>
          <cell r="H3722" t="str">
            <v>urgencia</v>
          </cell>
          <cell r="J3722" t="str">
            <v>bueno</v>
          </cell>
          <cell r="K3722" t="str">
            <v>probsi</v>
          </cell>
        </row>
        <row r="3723">
          <cell r="B3723" t="b">
            <v>0</v>
          </cell>
          <cell r="E3723" t="str">
            <v>Nelson Mandela UPA</v>
          </cell>
          <cell r="H3723" t="str">
            <v>urgencia</v>
          </cell>
          <cell r="J3723" t="str">
            <v>regular</v>
          </cell>
          <cell r="K3723" t="str">
            <v>probsi</v>
          </cell>
        </row>
        <row r="3724">
          <cell r="B3724" t="b">
            <v>1</v>
          </cell>
          <cell r="E3724" t="str">
            <v>Nelson Mandela UPA</v>
          </cell>
          <cell r="H3724" t="str">
            <v>salud_oral</v>
          </cell>
          <cell r="J3724" t="str">
            <v>bueno</v>
          </cell>
          <cell r="K3724" t="str">
            <v>probsi</v>
          </cell>
        </row>
        <row r="3725">
          <cell r="B3725" t="b">
            <v>1</v>
          </cell>
          <cell r="E3725" t="str">
            <v>Nelson Mandela UPA</v>
          </cell>
          <cell r="H3725" t="str">
            <v>salud_oral</v>
          </cell>
          <cell r="J3725" t="str">
            <v>bueno</v>
          </cell>
          <cell r="K3725" t="str">
            <v>probsi</v>
          </cell>
        </row>
        <row r="3726">
          <cell r="B3726" t="b">
            <v>1</v>
          </cell>
          <cell r="E3726" t="str">
            <v>Nelson Mandela UPA</v>
          </cell>
          <cell r="H3726" t="str">
            <v>salud_oral</v>
          </cell>
          <cell r="J3726" t="str">
            <v>bueno</v>
          </cell>
          <cell r="K3726" t="str">
            <v>probsi</v>
          </cell>
        </row>
        <row r="3727">
          <cell r="B3727" t="b">
            <v>0</v>
          </cell>
          <cell r="E3727" t="str">
            <v>Nelson Mandela UPA</v>
          </cell>
          <cell r="H3727" t="str">
            <v>laboratorio</v>
          </cell>
          <cell r="J3727" t="str">
            <v>regular</v>
          </cell>
          <cell r="K3727" t="str">
            <v>probsi</v>
          </cell>
        </row>
        <row r="3728">
          <cell r="B3728" t="b">
            <v>1</v>
          </cell>
          <cell r="E3728" t="str">
            <v>Nelson Mandela UPA</v>
          </cell>
          <cell r="H3728" t="str">
            <v>laboratorio</v>
          </cell>
          <cell r="J3728" t="str">
            <v>bueno</v>
          </cell>
          <cell r="K3728" t="str">
            <v>probsi</v>
          </cell>
        </row>
        <row r="3729">
          <cell r="B3729" t="b">
            <v>1</v>
          </cell>
          <cell r="E3729" t="str">
            <v>Arroyo de las Canoas</v>
          </cell>
          <cell r="H3729" t="str">
            <v>consulta_externa</v>
          </cell>
          <cell r="J3729" t="str">
            <v>bueno</v>
          </cell>
          <cell r="K3729" t="str">
            <v>probsi</v>
          </cell>
        </row>
        <row r="3730">
          <cell r="B3730" t="b">
            <v>1</v>
          </cell>
          <cell r="E3730" t="str">
            <v>Arroyo de las Canoas</v>
          </cell>
          <cell r="H3730" t="str">
            <v>consulta_externa</v>
          </cell>
          <cell r="J3730" t="str">
            <v>bueno</v>
          </cell>
          <cell r="K3730" t="str">
            <v>probsi</v>
          </cell>
        </row>
        <row r="3731">
          <cell r="B3731" t="b">
            <v>1</v>
          </cell>
          <cell r="E3731" t="str">
            <v>Cano de Oro</v>
          </cell>
          <cell r="H3731" t="str">
            <v>laboratorio</v>
          </cell>
          <cell r="J3731" t="str">
            <v>bueno</v>
          </cell>
          <cell r="K3731" t="str">
            <v>defsi</v>
          </cell>
        </row>
        <row r="3732">
          <cell r="B3732" t="b">
            <v>1</v>
          </cell>
          <cell r="E3732" t="str">
            <v>Arroyo de las Canoas</v>
          </cell>
          <cell r="H3732" t="str">
            <v>consulta_externa</v>
          </cell>
          <cell r="J3732" t="str">
            <v>bueno</v>
          </cell>
          <cell r="K3732" t="str">
            <v>probsi</v>
          </cell>
        </row>
        <row r="3733">
          <cell r="B3733" t="b">
            <v>1</v>
          </cell>
          <cell r="E3733" t="str">
            <v>Arroyo de las Canoas</v>
          </cell>
          <cell r="H3733" t="str">
            <v>consulta_externa</v>
          </cell>
          <cell r="J3733" t="str">
            <v>bueno</v>
          </cell>
          <cell r="K3733" t="str">
            <v>probsi</v>
          </cell>
        </row>
        <row r="3734">
          <cell r="B3734" t="b">
            <v>1</v>
          </cell>
          <cell r="E3734" t="str">
            <v>Arroyo de las Canoas</v>
          </cell>
          <cell r="H3734" t="str">
            <v>consulta_externa</v>
          </cell>
          <cell r="J3734" t="str">
            <v>bueno</v>
          </cell>
          <cell r="K3734" t="str">
            <v>probsi</v>
          </cell>
        </row>
        <row r="3735">
          <cell r="B3735" t="b">
            <v>1</v>
          </cell>
          <cell r="E3735" t="str">
            <v>Arroyo de las Canoas</v>
          </cell>
          <cell r="H3735" t="str">
            <v>consulta_externa</v>
          </cell>
          <cell r="J3735" t="str">
            <v>bueno</v>
          </cell>
          <cell r="K3735" t="str">
            <v>probsi</v>
          </cell>
        </row>
        <row r="3736">
          <cell r="B3736" t="b">
            <v>1</v>
          </cell>
          <cell r="E3736" t="str">
            <v>Arroyo de las Canoas</v>
          </cell>
          <cell r="H3736" t="str">
            <v>consulta_externa</v>
          </cell>
          <cell r="J3736" t="str">
            <v>bueno</v>
          </cell>
          <cell r="K3736" t="str">
            <v>probsi</v>
          </cell>
        </row>
        <row r="3737">
          <cell r="B3737" t="b">
            <v>1</v>
          </cell>
          <cell r="E3737" t="str">
            <v>Cano de Oro</v>
          </cell>
          <cell r="H3737" t="str">
            <v>laboratorio</v>
          </cell>
          <cell r="J3737" t="str">
            <v>bueno</v>
          </cell>
          <cell r="K3737" t="str">
            <v>defsi</v>
          </cell>
        </row>
        <row r="3738">
          <cell r="B3738" t="b">
            <v>1</v>
          </cell>
          <cell r="E3738" t="str">
            <v>Arroyo de las Canoas</v>
          </cell>
          <cell r="H3738" t="str">
            <v>consulta_externa</v>
          </cell>
          <cell r="J3738" t="str">
            <v>bueno</v>
          </cell>
          <cell r="K3738" t="str">
            <v>probsi</v>
          </cell>
        </row>
        <row r="3739">
          <cell r="B3739" t="b">
            <v>1</v>
          </cell>
          <cell r="E3739" t="str">
            <v>Cano de Oro</v>
          </cell>
          <cell r="H3739" t="str">
            <v>laboratorio</v>
          </cell>
          <cell r="J3739" t="str">
            <v>bueno</v>
          </cell>
          <cell r="K3739" t="str">
            <v>defsi</v>
          </cell>
        </row>
        <row r="3740">
          <cell r="B3740" t="b">
            <v>1</v>
          </cell>
          <cell r="E3740" t="str">
            <v>Arroyo de las Canoas</v>
          </cell>
          <cell r="H3740" t="str">
            <v>salud_oral</v>
          </cell>
          <cell r="J3740" t="str">
            <v>bueno</v>
          </cell>
          <cell r="K3740" t="str">
            <v>probsi</v>
          </cell>
        </row>
        <row r="3741">
          <cell r="B3741" t="b">
            <v>1</v>
          </cell>
          <cell r="E3741" t="str">
            <v>Arroyo de las Canoas</v>
          </cell>
          <cell r="H3741" t="str">
            <v>salud_oral</v>
          </cell>
          <cell r="J3741" t="str">
            <v>bueno</v>
          </cell>
          <cell r="K3741" t="str">
            <v>probsi</v>
          </cell>
        </row>
        <row r="3742">
          <cell r="B3742" t="b">
            <v>1</v>
          </cell>
          <cell r="E3742" t="str">
            <v>Arroyo de las Canoas</v>
          </cell>
          <cell r="H3742" t="str">
            <v>salud_oral</v>
          </cell>
          <cell r="J3742" t="str">
            <v>bueno</v>
          </cell>
          <cell r="K3742" t="str">
            <v>probsi</v>
          </cell>
        </row>
        <row r="3743">
          <cell r="B3743" t="b">
            <v>1</v>
          </cell>
          <cell r="E3743" t="str">
            <v>Arroyo de las Canoas</v>
          </cell>
          <cell r="H3743" t="str">
            <v>salud_oral</v>
          </cell>
          <cell r="J3743" t="str">
            <v>bueno</v>
          </cell>
          <cell r="K3743" t="str">
            <v>probsi</v>
          </cell>
        </row>
        <row r="3744">
          <cell r="B3744" t="b">
            <v>1</v>
          </cell>
          <cell r="E3744" t="str">
            <v>Arroyo de las Canoas</v>
          </cell>
          <cell r="H3744" t="str">
            <v>salud_oral</v>
          </cell>
          <cell r="J3744" t="str">
            <v>bueno</v>
          </cell>
          <cell r="K3744" t="str">
            <v>probsi</v>
          </cell>
        </row>
        <row r="3745">
          <cell r="B3745" t="b">
            <v>1</v>
          </cell>
          <cell r="E3745" t="str">
            <v>Arroyo de las Canoas</v>
          </cell>
          <cell r="H3745" t="str">
            <v>salud_oral</v>
          </cell>
          <cell r="J3745" t="str">
            <v>bueno</v>
          </cell>
          <cell r="K3745" t="str">
            <v>probsi</v>
          </cell>
        </row>
        <row r="3746">
          <cell r="B3746" t="b">
            <v>1</v>
          </cell>
          <cell r="E3746" t="str">
            <v>Arroyo de las Canoas</v>
          </cell>
          <cell r="H3746" t="str">
            <v>laboratorio</v>
          </cell>
          <cell r="J3746" t="str">
            <v>bueno</v>
          </cell>
          <cell r="K3746" t="str">
            <v>probsi</v>
          </cell>
        </row>
        <row r="3747">
          <cell r="B3747" t="b">
            <v>1</v>
          </cell>
          <cell r="E3747" t="str">
            <v>Arroyo de las Canoas</v>
          </cell>
          <cell r="H3747" t="str">
            <v>laboratorio</v>
          </cell>
          <cell r="J3747" t="str">
            <v>bueno</v>
          </cell>
          <cell r="K3747" t="str">
            <v>probsi</v>
          </cell>
        </row>
        <row r="3748">
          <cell r="B3748" t="b">
            <v>1</v>
          </cell>
          <cell r="E3748" t="str">
            <v>Arroyo de las Canoas</v>
          </cell>
          <cell r="H3748" t="str">
            <v>laboratorio</v>
          </cell>
          <cell r="J3748" t="str">
            <v>bueno</v>
          </cell>
          <cell r="K3748" t="str">
            <v>probsi</v>
          </cell>
        </row>
        <row r="3749">
          <cell r="B3749" t="b">
            <v>1</v>
          </cell>
          <cell r="E3749" t="str">
            <v>Arroyo de las Canoas</v>
          </cell>
          <cell r="H3749" t="str">
            <v>laboratorio</v>
          </cell>
          <cell r="J3749" t="str">
            <v>bueno</v>
          </cell>
          <cell r="K3749" t="str">
            <v>probsi</v>
          </cell>
        </row>
        <row r="3750">
          <cell r="B3750" t="b">
            <v>1</v>
          </cell>
          <cell r="E3750" t="str">
            <v>Cano de Oro</v>
          </cell>
          <cell r="H3750" t="str">
            <v>laboratorio</v>
          </cell>
          <cell r="J3750" t="str">
            <v>bueno</v>
          </cell>
          <cell r="K3750" t="str">
            <v>defsi</v>
          </cell>
        </row>
        <row r="3751">
          <cell r="B3751" t="b">
            <v>1</v>
          </cell>
          <cell r="E3751" t="str">
            <v>Arroyo de las Canoas</v>
          </cell>
          <cell r="H3751" t="str">
            <v>laboratorio</v>
          </cell>
          <cell r="J3751" t="str">
            <v>bueno</v>
          </cell>
          <cell r="K3751" t="str">
            <v>probsi</v>
          </cell>
        </row>
        <row r="3752">
          <cell r="B3752" t="b">
            <v>1</v>
          </cell>
          <cell r="E3752" t="str">
            <v>Arroyo de las Canoas</v>
          </cell>
          <cell r="H3752" t="str">
            <v>laboratorio</v>
          </cell>
          <cell r="J3752" t="str">
            <v>bueno</v>
          </cell>
          <cell r="K3752" t="str">
            <v>probsi</v>
          </cell>
        </row>
        <row r="3753">
          <cell r="B3753" t="b">
            <v>1</v>
          </cell>
          <cell r="E3753" t="str">
            <v>Arroyo de las Canoas</v>
          </cell>
          <cell r="H3753" t="str">
            <v>laboratorio</v>
          </cell>
          <cell r="J3753" t="str">
            <v>bueno</v>
          </cell>
          <cell r="K3753" t="str">
            <v>probsi</v>
          </cell>
        </row>
        <row r="3754">
          <cell r="B3754" t="b">
            <v>1</v>
          </cell>
          <cell r="E3754" t="str">
            <v>Arroyo de las Canoas</v>
          </cell>
          <cell r="H3754" t="str">
            <v>laboratorio</v>
          </cell>
          <cell r="J3754" t="str">
            <v>bueno</v>
          </cell>
          <cell r="K3754" t="str">
            <v>probsi</v>
          </cell>
        </row>
        <row r="3755">
          <cell r="B3755" t="b">
            <v>1</v>
          </cell>
          <cell r="E3755" t="str">
            <v>Cano de Oro</v>
          </cell>
          <cell r="H3755" t="str">
            <v>consulta_externa</v>
          </cell>
          <cell r="J3755" t="str">
            <v>bueno</v>
          </cell>
          <cell r="K3755" t="str">
            <v>defsi</v>
          </cell>
        </row>
        <row r="3756">
          <cell r="B3756" t="b">
            <v>1</v>
          </cell>
          <cell r="E3756" t="str">
            <v>Cano de Oro</v>
          </cell>
          <cell r="H3756" t="str">
            <v>salud_oral</v>
          </cell>
          <cell r="J3756" t="str">
            <v>bueno</v>
          </cell>
          <cell r="K3756" t="str">
            <v>defsi</v>
          </cell>
        </row>
        <row r="3757">
          <cell r="B3757" t="b">
            <v>1</v>
          </cell>
          <cell r="E3757" t="str">
            <v>Cano de Oro</v>
          </cell>
          <cell r="H3757" t="str">
            <v>salud_oral</v>
          </cell>
          <cell r="J3757" t="str">
            <v>bueno</v>
          </cell>
          <cell r="K3757" t="str">
            <v>defsi</v>
          </cell>
        </row>
        <row r="3758">
          <cell r="B3758" t="b">
            <v>1</v>
          </cell>
          <cell r="E3758" t="str">
            <v>Cano de Oro</v>
          </cell>
          <cell r="H3758" t="str">
            <v>salud_oral</v>
          </cell>
          <cell r="J3758" t="str">
            <v>bueno</v>
          </cell>
          <cell r="K3758" t="str">
            <v>defsi</v>
          </cell>
        </row>
        <row r="3759">
          <cell r="B3759" t="b">
            <v>1</v>
          </cell>
          <cell r="E3759" t="str">
            <v>Cano de Oro</v>
          </cell>
          <cell r="H3759" t="str">
            <v>salud_oral</v>
          </cell>
          <cell r="J3759" t="str">
            <v>muybueno</v>
          </cell>
          <cell r="K3759" t="str">
            <v>defsi</v>
          </cell>
        </row>
        <row r="3760">
          <cell r="B3760" t="b">
            <v>1</v>
          </cell>
          <cell r="E3760" t="str">
            <v>Cano de Oro</v>
          </cell>
          <cell r="H3760" t="str">
            <v>laboratorio</v>
          </cell>
          <cell r="J3760" t="str">
            <v>bueno</v>
          </cell>
          <cell r="K3760" t="str">
            <v>defsi</v>
          </cell>
        </row>
        <row r="3761">
          <cell r="B3761" t="b">
            <v>1</v>
          </cell>
          <cell r="E3761" t="str">
            <v>Cano de Oro</v>
          </cell>
          <cell r="H3761" t="str">
            <v>consulta_externa</v>
          </cell>
          <cell r="J3761" t="str">
            <v>bueno</v>
          </cell>
          <cell r="K3761" t="str">
            <v>defsi</v>
          </cell>
        </row>
        <row r="3762">
          <cell r="B3762" t="b">
            <v>1</v>
          </cell>
          <cell r="E3762" t="str">
            <v>Isla Fuerte</v>
          </cell>
          <cell r="H3762" t="str">
            <v>consulta_externa</v>
          </cell>
          <cell r="J3762" t="str">
            <v>bueno</v>
          </cell>
          <cell r="K3762" t="str">
            <v>defsi</v>
          </cell>
        </row>
        <row r="3763">
          <cell r="B3763" t="b">
            <v>1</v>
          </cell>
          <cell r="E3763" t="str">
            <v>Isla Fuerte</v>
          </cell>
          <cell r="H3763" t="str">
            <v>laboratorio</v>
          </cell>
          <cell r="J3763" t="str">
            <v>bueno</v>
          </cell>
          <cell r="K3763" t="str">
            <v>defsi</v>
          </cell>
        </row>
        <row r="3764">
          <cell r="B3764" t="b">
            <v>1</v>
          </cell>
          <cell r="E3764" t="str">
            <v>Isla Fuerte</v>
          </cell>
          <cell r="H3764" t="str">
            <v>salud_oral</v>
          </cell>
          <cell r="J3764" t="str">
            <v>bueno</v>
          </cell>
          <cell r="K3764" t="str">
            <v>defsi</v>
          </cell>
        </row>
        <row r="3765">
          <cell r="B3765" t="b">
            <v>1</v>
          </cell>
          <cell r="E3765" t="str">
            <v>Isla Fuerte</v>
          </cell>
          <cell r="H3765" t="str">
            <v>salud_oral</v>
          </cell>
          <cell r="J3765" t="str">
            <v>bueno</v>
          </cell>
          <cell r="K3765" t="str">
            <v>defsi</v>
          </cell>
        </row>
        <row r="3766">
          <cell r="B3766" t="b">
            <v>1</v>
          </cell>
          <cell r="E3766" t="str">
            <v>Hospital Pozon</v>
          </cell>
          <cell r="H3766" t="str">
            <v>consulta_externa</v>
          </cell>
          <cell r="J3766" t="str">
            <v>bueno</v>
          </cell>
          <cell r="K3766" t="str">
            <v>defsi</v>
          </cell>
        </row>
        <row r="3767">
          <cell r="B3767" t="b">
            <v>1</v>
          </cell>
          <cell r="E3767" t="str">
            <v>Hospital Pozon</v>
          </cell>
          <cell r="H3767" t="str">
            <v>salud_oral</v>
          </cell>
          <cell r="J3767" t="str">
            <v>bueno</v>
          </cell>
          <cell r="K3767" t="str">
            <v>defsi</v>
          </cell>
        </row>
        <row r="3768">
          <cell r="B3768" t="b">
            <v>1</v>
          </cell>
          <cell r="E3768" t="str">
            <v>Hospital Pozon</v>
          </cell>
          <cell r="H3768" t="str">
            <v>laboratorio</v>
          </cell>
          <cell r="J3768" t="str">
            <v>bueno</v>
          </cell>
          <cell r="K3768" t="str">
            <v>defsi</v>
          </cell>
        </row>
        <row r="3769">
          <cell r="B3769" t="b">
            <v>1</v>
          </cell>
          <cell r="E3769" t="str">
            <v>Hospital Pozon</v>
          </cell>
          <cell r="H3769" t="str">
            <v>urgencia</v>
          </cell>
          <cell r="J3769" t="str">
            <v>bueno</v>
          </cell>
          <cell r="K3769" t="str">
            <v>defsi</v>
          </cell>
        </row>
        <row r="3770">
          <cell r="B3770" t="b">
            <v>1</v>
          </cell>
          <cell r="E3770" t="str">
            <v>Hospital Pozon</v>
          </cell>
          <cell r="H3770" t="str">
            <v>ecografias</v>
          </cell>
          <cell r="J3770" t="str">
            <v>bueno</v>
          </cell>
          <cell r="K3770" t="str">
            <v>defsi</v>
          </cell>
        </row>
        <row r="3771">
          <cell r="B3771" t="b">
            <v>1</v>
          </cell>
          <cell r="E3771" t="str">
            <v>Hospital Pozon</v>
          </cell>
          <cell r="H3771" t="str">
            <v>ginecologia</v>
          </cell>
          <cell r="J3771" t="str">
            <v>bueno</v>
          </cell>
          <cell r="K3771" t="str">
            <v>defsi</v>
          </cell>
        </row>
        <row r="3772">
          <cell r="B3772" t="b">
            <v>1</v>
          </cell>
          <cell r="E3772" t="str">
            <v>Hospital Pozon</v>
          </cell>
          <cell r="H3772" t="str">
            <v>pediatria</v>
          </cell>
          <cell r="J3772" t="str">
            <v>bueno</v>
          </cell>
          <cell r="K3772" t="str">
            <v>defsi</v>
          </cell>
        </row>
        <row r="3773">
          <cell r="B3773" t="b">
            <v>1</v>
          </cell>
          <cell r="E3773" t="str">
            <v>Pozon</v>
          </cell>
          <cell r="H3773" t="str">
            <v>consulta_externa</v>
          </cell>
          <cell r="J3773" t="str">
            <v>bueno</v>
          </cell>
          <cell r="K3773" t="str">
            <v>defsi</v>
          </cell>
        </row>
        <row r="3774">
          <cell r="B3774" t="b">
            <v>1</v>
          </cell>
          <cell r="E3774" t="str">
            <v>Pozon</v>
          </cell>
          <cell r="H3774" t="str">
            <v>salud_oral</v>
          </cell>
          <cell r="J3774" t="str">
            <v>bueno</v>
          </cell>
          <cell r="K3774" t="str">
            <v>defsi</v>
          </cell>
        </row>
        <row r="3775">
          <cell r="B3775" t="b">
            <v>1</v>
          </cell>
          <cell r="E3775" t="str">
            <v>Pozon</v>
          </cell>
          <cell r="H3775" t="str">
            <v>laboratorio</v>
          </cell>
          <cell r="J3775" t="str">
            <v>bueno</v>
          </cell>
          <cell r="K3775" t="str">
            <v>defsi</v>
          </cell>
        </row>
        <row r="3776">
          <cell r="B3776" t="b">
            <v>1</v>
          </cell>
          <cell r="E3776" t="str">
            <v>Pozon</v>
          </cell>
          <cell r="H3776" t="str">
            <v>consulta_externa</v>
          </cell>
          <cell r="J3776" t="str">
            <v>bueno</v>
          </cell>
          <cell r="K3776" t="str">
            <v>defsi</v>
          </cell>
        </row>
        <row r="3777">
          <cell r="B3777" t="b">
            <v>1</v>
          </cell>
          <cell r="E3777" t="str">
            <v>Pozon</v>
          </cell>
          <cell r="H3777" t="str">
            <v>salud_oral</v>
          </cell>
          <cell r="J3777" t="str">
            <v>bueno</v>
          </cell>
          <cell r="K3777" t="str">
            <v>defsi</v>
          </cell>
        </row>
        <row r="3778">
          <cell r="B3778" t="b">
            <v>1</v>
          </cell>
          <cell r="E3778" t="str">
            <v>Pozon</v>
          </cell>
          <cell r="H3778" t="str">
            <v>laboratorio</v>
          </cell>
          <cell r="J3778" t="str">
            <v>bueno</v>
          </cell>
          <cell r="K3778" t="str">
            <v>defsi</v>
          </cell>
        </row>
        <row r="3779">
          <cell r="B3779" t="b">
            <v>1</v>
          </cell>
          <cell r="E3779" t="str">
            <v>Pozon</v>
          </cell>
          <cell r="H3779" t="str">
            <v>consulta_externa</v>
          </cell>
          <cell r="J3779" t="str">
            <v>bueno</v>
          </cell>
          <cell r="K3779" t="str">
            <v>defsi</v>
          </cell>
        </row>
        <row r="3780">
          <cell r="B3780" t="b">
            <v>1</v>
          </cell>
          <cell r="E3780" t="str">
            <v>Pozon</v>
          </cell>
          <cell r="H3780" t="str">
            <v>salud_oral</v>
          </cell>
          <cell r="J3780" t="str">
            <v>bueno</v>
          </cell>
          <cell r="K3780" t="str">
            <v>defsi</v>
          </cell>
        </row>
        <row r="3781">
          <cell r="B3781" t="b">
            <v>1</v>
          </cell>
          <cell r="E3781" t="str">
            <v>Pozon</v>
          </cell>
          <cell r="H3781" t="str">
            <v>laboratorio</v>
          </cell>
          <cell r="J3781" t="str">
            <v>bueno</v>
          </cell>
          <cell r="K3781" t="str">
            <v>defsi</v>
          </cell>
        </row>
        <row r="3782">
          <cell r="B3782" t="b">
            <v>1</v>
          </cell>
          <cell r="E3782" t="str">
            <v>Isla Fuerte</v>
          </cell>
          <cell r="H3782" t="str">
            <v>salud_oral</v>
          </cell>
          <cell r="J3782" t="str">
            <v>bueno</v>
          </cell>
          <cell r="K3782" t="str">
            <v>defsi</v>
          </cell>
        </row>
        <row r="3783">
          <cell r="B3783" t="b">
            <v>1</v>
          </cell>
          <cell r="E3783" t="str">
            <v>Pozon</v>
          </cell>
          <cell r="H3783" t="str">
            <v>consulta_externa</v>
          </cell>
          <cell r="J3783" t="str">
            <v>bueno</v>
          </cell>
          <cell r="K3783" t="str">
            <v>defsi</v>
          </cell>
        </row>
        <row r="3784">
          <cell r="B3784" t="b">
            <v>1</v>
          </cell>
          <cell r="E3784" t="str">
            <v>Pozon</v>
          </cell>
          <cell r="H3784" t="str">
            <v>salud_oral</v>
          </cell>
          <cell r="J3784" t="str">
            <v>bueno</v>
          </cell>
          <cell r="K3784" t="str">
            <v>defsi</v>
          </cell>
        </row>
        <row r="3785">
          <cell r="B3785" t="b">
            <v>1</v>
          </cell>
          <cell r="E3785" t="str">
            <v>Pozon</v>
          </cell>
          <cell r="H3785" t="str">
            <v>laboratorio</v>
          </cell>
          <cell r="J3785" t="str">
            <v>bueno</v>
          </cell>
          <cell r="K3785" t="str">
            <v>defsi</v>
          </cell>
        </row>
        <row r="3786">
          <cell r="B3786" t="b">
            <v>1</v>
          </cell>
          <cell r="E3786" t="str">
            <v>Pozon</v>
          </cell>
          <cell r="H3786" t="str">
            <v>consulta_externa</v>
          </cell>
          <cell r="J3786" t="str">
            <v>bueno</v>
          </cell>
          <cell r="K3786" t="str">
            <v>defsi</v>
          </cell>
        </row>
        <row r="3787">
          <cell r="B3787" t="b">
            <v>1</v>
          </cell>
          <cell r="E3787" t="str">
            <v>Pozon</v>
          </cell>
          <cell r="H3787" t="str">
            <v>salud_oral</v>
          </cell>
          <cell r="J3787" t="str">
            <v>bueno</v>
          </cell>
          <cell r="K3787" t="str">
            <v>defsi</v>
          </cell>
        </row>
        <row r="3788">
          <cell r="B3788" t="b">
            <v>1</v>
          </cell>
          <cell r="E3788" t="str">
            <v>Pozon</v>
          </cell>
          <cell r="H3788" t="str">
            <v>laboratorio</v>
          </cell>
          <cell r="J3788" t="str">
            <v>bueno</v>
          </cell>
          <cell r="K3788" t="str">
            <v>defsi</v>
          </cell>
        </row>
        <row r="3789">
          <cell r="B3789" t="b">
            <v>1</v>
          </cell>
          <cell r="E3789" t="str">
            <v>Pozon</v>
          </cell>
          <cell r="H3789" t="str">
            <v>consulta_externa</v>
          </cell>
          <cell r="J3789" t="str">
            <v>bueno</v>
          </cell>
          <cell r="K3789" t="str">
            <v>defsi</v>
          </cell>
        </row>
        <row r="3790">
          <cell r="B3790" t="b">
            <v>1</v>
          </cell>
          <cell r="E3790" t="str">
            <v>Pozon</v>
          </cell>
          <cell r="H3790" t="str">
            <v>salud_oral</v>
          </cell>
          <cell r="J3790" t="str">
            <v>bueno</v>
          </cell>
          <cell r="K3790" t="str">
            <v>defsi</v>
          </cell>
        </row>
        <row r="3791">
          <cell r="B3791" t="b">
            <v>1</v>
          </cell>
          <cell r="E3791" t="str">
            <v>Pozon</v>
          </cell>
          <cell r="H3791" t="str">
            <v>laboratorio</v>
          </cell>
          <cell r="J3791" t="str">
            <v>bueno</v>
          </cell>
          <cell r="K3791" t="str">
            <v>defsi</v>
          </cell>
        </row>
        <row r="3792">
          <cell r="B3792" t="b">
            <v>1</v>
          </cell>
          <cell r="E3792" t="str">
            <v>Pozon</v>
          </cell>
          <cell r="H3792" t="str">
            <v>consulta_externa</v>
          </cell>
          <cell r="J3792" t="str">
            <v>bueno</v>
          </cell>
          <cell r="K3792" t="str">
            <v>defsi</v>
          </cell>
        </row>
        <row r="3793">
          <cell r="B3793" t="b">
            <v>1</v>
          </cell>
          <cell r="E3793" t="str">
            <v>Pozon</v>
          </cell>
          <cell r="H3793" t="str">
            <v>salud_oral</v>
          </cell>
          <cell r="J3793" t="str">
            <v>bueno</v>
          </cell>
          <cell r="K3793" t="str">
            <v>defsi</v>
          </cell>
        </row>
        <row r="3794">
          <cell r="B3794" t="b">
            <v>1</v>
          </cell>
          <cell r="E3794" t="str">
            <v>Pozon</v>
          </cell>
          <cell r="H3794" t="str">
            <v>laboratorio</v>
          </cell>
          <cell r="J3794" t="str">
            <v>bueno</v>
          </cell>
          <cell r="K3794" t="str">
            <v>defsi</v>
          </cell>
        </row>
        <row r="3795">
          <cell r="B3795" t="b">
            <v>1</v>
          </cell>
          <cell r="E3795" t="str">
            <v>Pozon</v>
          </cell>
          <cell r="H3795" t="str">
            <v>consulta_externa</v>
          </cell>
          <cell r="J3795" t="str">
            <v>bueno</v>
          </cell>
          <cell r="K3795" t="str">
            <v>defsi</v>
          </cell>
        </row>
        <row r="3796">
          <cell r="B3796" t="b">
            <v>1</v>
          </cell>
          <cell r="E3796" t="str">
            <v>Pozon</v>
          </cell>
          <cell r="H3796" t="str">
            <v>salud_oral</v>
          </cell>
          <cell r="J3796" t="str">
            <v>bueno</v>
          </cell>
          <cell r="K3796" t="str">
            <v>defsi</v>
          </cell>
        </row>
        <row r="3797">
          <cell r="B3797" t="b">
            <v>1</v>
          </cell>
          <cell r="E3797" t="str">
            <v>Pozon</v>
          </cell>
          <cell r="H3797" t="str">
            <v>laboratorio</v>
          </cell>
          <cell r="J3797" t="str">
            <v>bueno</v>
          </cell>
          <cell r="K3797" t="str">
            <v>defsi</v>
          </cell>
        </row>
        <row r="3798">
          <cell r="B3798" t="b">
            <v>1</v>
          </cell>
          <cell r="E3798" t="str">
            <v>Pozon</v>
          </cell>
          <cell r="H3798" t="str">
            <v>consulta_externa</v>
          </cell>
          <cell r="J3798" t="str">
            <v>bueno</v>
          </cell>
          <cell r="K3798" t="str">
            <v>defsi</v>
          </cell>
        </row>
        <row r="3799">
          <cell r="B3799" t="b">
            <v>1</v>
          </cell>
          <cell r="E3799" t="str">
            <v>Pozon</v>
          </cell>
          <cell r="H3799" t="str">
            <v>salud_oral</v>
          </cell>
          <cell r="J3799" t="str">
            <v>bueno</v>
          </cell>
          <cell r="K3799" t="str">
            <v>defsi</v>
          </cell>
        </row>
        <row r="3800">
          <cell r="B3800" t="b">
            <v>1</v>
          </cell>
          <cell r="E3800" t="str">
            <v>Pozon</v>
          </cell>
          <cell r="H3800" t="str">
            <v>laboratorio</v>
          </cell>
          <cell r="J3800" t="str">
            <v>bueno</v>
          </cell>
          <cell r="K3800" t="str">
            <v>defsi</v>
          </cell>
        </row>
        <row r="3801">
          <cell r="B3801" t="b">
            <v>1</v>
          </cell>
          <cell r="E3801" t="str">
            <v>Pozon</v>
          </cell>
          <cell r="H3801" t="str">
            <v>consulta_externa</v>
          </cell>
          <cell r="J3801" t="str">
            <v>bueno</v>
          </cell>
          <cell r="K3801" t="str">
            <v>defsi</v>
          </cell>
        </row>
        <row r="3802">
          <cell r="B3802" t="b">
            <v>1</v>
          </cell>
          <cell r="E3802" t="str">
            <v>Pozon</v>
          </cell>
          <cell r="H3802" t="str">
            <v>salud_oral</v>
          </cell>
          <cell r="J3802" t="str">
            <v>bueno</v>
          </cell>
          <cell r="K3802" t="str">
            <v>defsi</v>
          </cell>
        </row>
        <row r="3803">
          <cell r="B3803" t="b">
            <v>1</v>
          </cell>
          <cell r="E3803" t="str">
            <v>Pozon</v>
          </cell>
          <cell r="H3803" t="str">
            <v>laboratorio</v>
          </cell>
          <cell r="J3803" t="str">
            <v>bueno</v>
          </cell>
          <cell r="K3803" t="str">
            <v>defsi</v>
          </cell>
        </row>
        <row r="3804">
          <cell r="B3804" t="b">
            <v>1</v>
          </cell>
          <cell r="E3804" t="str">
            <v>Bayunca</v>
          </cell>
          <cell r="H3804" t="str">
            <v>urgencia</v>
          </cell>
          <cell r="J3804" t="str">
            <v>bueno</v>
          </cell>
          <cell r="K3804" t="str">
            <v>defsi</v>
          </cell>
        </row>
        <row r="3805">
          <cell r="B3805" t="b">
            <v>0</v>
          </cell>
          <cell r="E3805" t="str">
            <v>Bayunca</v>
          </cell>
          <cell r="H3805" t="str">
            <v>urgencia</v>
          </cell>
          <cell r="J3805" t="str">
            <v>regular</v>
          </cell>
          <cell r="K3805" t="str">
            <v>defsi</v>
          </cell>
        </row>
        <row r="3806">
          <cell r="B3806" t="b">
            <v>1</v>
          </cell>
          <cell r="E3806" t="str">
            <v>Bayunca</v>
          </cell>
          <cell r="H3806" t="str">
            <v>urgencia</v>
          </cell>
          <cell r="J3806" t="str">
            <v>bueno</v>
          </cell>
          <cell r="K3806" t="str">
            <v>defsi</v>
          </cell>
        </row>
        <row r="3807">
          <cell r="B3807" t="b">
            <v>1</v>
          </cell>
          <cell r="E3807" t="str">
            <v>Bayunca</v>
          </cell>
          <cell r="H3807" t="str">
            <v>salud_oral</v>
          </cell>
          <cell r="J3807" t="str">
            <v>bueno</v>
          </cell>
          <cell r="K3807" t="str">
            <v>defsi</v>
          </cell>
        </row>
        <row r="3808">
          <cell r="B3808" t="b">
            <v>1</v>
          </cell>
          <cell r="E3808" t="str">
            <v>Bayunca</v>
          </cell>
          <cell r="H3808" t="str">
            <v>salud_oral</v>
          </cell>
          <cell r="J3808" t="str">
            <v>bueno</v>
          </cell>
          <cell r="K3808" t="str">
            <v>defsi</v>
          </cell>
        </row>
        <row r="3809">
          <cell r="B3809" t="b">
            <v>1</v>
          </cell>
          <cell r="E3809" t="str">
            <v>Bayunca</v>
          </cell>
          <cell r="H3809" t="str">
            <v>salud_oral</v>
          </cell>
          <cell r="J3809" t="str">
            <v>bueno</v>
          </cell>
          <cell r="K3809" t="str">
            <v>defsi</v>
          </cell>
        </row>
        <row r="3810">
          <cell r="B3810" t="b">
            <v>1</v>
          </cell>
          <cell r="E3810" t="str">
            <v>Bocachica</v>
          </cell>
          <cell r="H3810" t="str">
            <v>consulta_externa</v>
          </cell>
          <cell r="J3810" t="str">
            <v>bueno</v>
          </cell>
          <cell r="K3810" t="str">
            <v>defsi</v>
          </cell>
        </row>
        <row r="3811">
          <cell r="B3811" t="b">
            <v>1</v>
          </cell>
          <cell r="E3811" t="str">
            <v>Bocachica</v>
          </cell>
          <cell r="H3811" t="str">
            <v>salud_oral</v>
          </cell>
          <cell r="J3811" t="str">
            <v>bueno</v>
          </cell>
          <cell r="K3811" t="str">
            <v>defsi</v>
          </cell>
        </row>
        <row r="3812">
          <cell r="B3812" t="b">
            <v>1</v>
          </cell>
          <cell r="E3812" t="str">
            <v>Bocachica</v>
          </cell>
          <cell r="H3812" t="str">
            <v>laboratorio</v>
          </cell>
          <cell r="J3812" t="str">
            <v>bueno</v>
          </cell>
          <cell r="K3812" t="str">
            <v>defsi</v>
          </cell>
        </row>
        <row r="3813">
          <cell r="B3813" t="b">
            <v>1</v>
          </cell>
          <cell r="E3813" t="str">
            <v>Bocachica</v>
          </cell>
          <cell r="H3813" t="str">
            <v>urgencia</v>
          </cell>
          <cell r="J3813" t="str">
            <v>bueno</v>
          </cell>
          <cell r="K3813" t="str">
            <v>defsi</v>
          </cell>
        </row>
        <row r="3814">
          <cell r="B3814" t="b">
            <v>1</v>
          </cell>
          <cell r="E3814" t="str">
            <v>Bocachica</v>
          </cell>
          <cell r="H3814" t="str">
            <v>consulta_externa</v>
          </cell>
          <cell r="J3814" t="str">
            <v>bueno</v>
          </cell>
          <cell r="K3814" t="str">
            <v>defsi</v>
          </cell>
        </row>
        <row r="3815">
          <cell r="B3815" t="b">
            <v>1</v>
          </cell>
          <cell r="E3815" t="str">
            <v>Bocachica</v>
          </cell>
          <cell r="H3815" t="str">
            <v>salud_oral</v>
          </cell>
          <cell r="J3815" t="str">
            <v>bueno</v>
          </cell>
          <cell r="K3815" t="str">
            <v>defsi</v>
          </cell>
        </row>
        <row r="3816">
          <cell r="B3816" t="b">
            <v>1</v>
          </cell>
          <cell r="E3816" t="str">
            <v>Bocachica</v>
          </cell>
          <cell r="H3816" t="str">
            <v>laboratorio</v>
          </cell>
          <cell r="J3816" t="str">
            <v>bueno</v>
          </cell>
          <cell r="K3816" t="str">
            <v>defsi</v>
          </cell>
        </row>
        <row r="3817">
          <cell r="B3817" t="b">
            <v>1</v>
          </cell>
          <cell r="E3817" t="str">
            <v>Bocachica</v>
          </cell>
          <cell r="H3817" t="str">
            <v>urgencia</v>
          </cell>
          <cell r="J3817" t="str">
            <v>bueno</v>
          </cell>
          <cell r="K3817" t="str">
            <v>defsi</v>
          </cell>
        </row>
        <row r="3818">
          <cell r="B3818" t="b">
            <v>1</v>
          </cell>
          <cell r="E3818" t="str">
            <v>Bayunca</v>
          </cell>
          <cell r="H3818" t="str">
            <v>laboratorio</v>
          </cell>
          <cell r="J3818" t="str">
            <v>muybueno</v>
          </cell>
          <cell r="K3818" t="str">
            <v>defsi</v>
          </cell>
        </row>
        <row r="3819">
          <cell r="B3819" t="b">
            <v>1</v>
          </cell>
          <cell r="E3819" t="str">
            <v>Bayunca</v>
          </cell>
          <cell r="H3819" t="str">
            <v>consulta_externa</v>
          </cell>
          <cell r="J3819" t="str">
            <v>muybueno</v>
          </cell>
          <cell r="K3819" t="str">
            <v>defsi</v>
          </cell>
        </row>
        <row r="3820">
          <cell r="B3820" t="b">
            <v>1</v>
          </cell>
          <cell r="E3820" t="str">
            <v>Bayunca</v>
          </cell>
          <cell r="H3820" t="str">
            <v>consulta_externa</v>
          </cell>
          <cell r="J3820" t="str">
            <v>bueno</v>
          </cell>
          <cell r="K3820" t="str">
            <v>defsi</v>
          </cell>
        </row>
        <row r="3821">
          <cell r="B3821" t="b">
            <v>1</v>
          </cell>
          <cell r="E3821" t="str">
            <v>Bayunca</v>
          </cell>
          <cell r="H3821" t="str">
            <v>laboratorio</v>
          </cell>
          <cell r="J3821" t="str">
            <v>bueno</v>
          </cell>
          <cell r="K3821" t="str">
            <v>defsi</v>
          </cell>
        </row>
        <row r="3822">
          <cell r="B3822" t="b">
            <v>0</v>
          </cell>
          <cell r="E3822" t="str">
            <v>Bayunca</v>
          </cell>
          <cell r="H3822" t="str">
            <v>urgencia</v>
          </cell>
          <cell r="J3822" t="str">
            <v>regular</v>
          </cell>
          <cell r="K3822" t="str">
            <v>probsi</v>
          </cell>
        </row>
        <row r="3823">
          <cell r="B3823" t="b">
            <v>0</v>
          </cell>
          <cell r="E3823" t="str">
            <v>Bayunca</v>
          </cell>
          <cell r="H3823" t="str">
            <v>laboratorio</v>
          </cell>
          <cell r="J3823" t="str">
            <v>regular</v>
          </cell>
          <cell r="K3823" t="str">
            <v>probsi</v>
          </cell>
        </row>
        <row r="3824">
          <cell r="B3824" t="b">
            <v>1</v>
          </cell>
          <cell r="E3824" t="str">
            <v>Bayunca</v>
          </cell>
          <cell r="H3824" t="str">
            <v>laboratorio</v>
          </cell>
          <cell r="J3824" t="str">
            <v>bueno</v>
          </cell>
          <cell r="K3824" t="str">
            <v>probsi</v>
          </cell>
        </row>
        <row r="3825">
          <cell r="B3825" t="b">
            <v>1</v>
          </cell>
          <cell r="E3825" t="str">
            <v>Bayunca</v>
          </cell>
          <cell r="H3825" t="str">
            <v>consulta_externa</v>
          </cell>
          <cell r="J3825" t="str">
            <v>bueno</v>
          </cell>
          <cell r="K3825" t="str">
            <v>probsi</v>
          </cell>
        </row>
        <row r="3826">
          <cell r="B3826" t="b">
            <v>1</v>
          </cell>
          <cell r="E3826" t="str">
            <v>Bayunca</v>
          </cell>
          <cell r="H3826" t="str">
            <v>laboratorio</v>
          </cell>
          <cell r="J3826" t="str">
            <v>bueno</v>
          </cell>
          <cell r="K3826" t="str">
            <v>defsi</v>
          </cell>
        </row>
        <row r="3827">
          <cell r="B3827" t="b">
            <v>1</v>
          </cell>
          <cell r="E3827" t="str">
            <v>Bayunca</v>
          </cell>
          <cell r="H3827" t="str">
            <v>consulta_externa</v>
          </cell>
          <cell r="J3827" t="str">
            <v>bueno</v>
          </cell>
          <cell r="K3827" t="str">
            <v>defsi</v>
          </cell>
        </row>
        <row r="3828">
          <cell r="B3828" t="b">
            <v>0</v>
          </cell>
          <cell r="E3828" t="str">
            <v>Bayunca</v>
          </cell>
          <cell r="H3828" t="str">
            <v>consulta_externa</v>
          </cell>
          <cell r="J3828" t="str">
            <v>regular</v>
          </cell>
          <cell r="K3828" t="str">
            <v>probsi</v>
          </cell>
        </row>
        <row r="3829">
          <cell r="B3829" t="b">
            <v>0</v>
          </cell>
          <cell r="E3829" t="str">
            <v>Bayunca</v>
          </cell>
          <cell r="H3829" t="str">
            <v>laboratorio</v>
          </cell>
          <cell r="J3829" t="str">
            <v>regular</v>
          </cell>
          <cell r="K3829" t="str">
            <v>probsi</v>
          </cell>
        </row>
        <row r="3830">
          <cell r="B3830" t="b">
            <v>1</v>
          </cell>
          <cell r="E3830" t="str">
            <v>Punta Arena</v>
          </cell>
          <cell r="H3830" t="str">
            <v>consulta_externa</v>
          </cell>
          <cell r="J3830" t="str">
            <v>bueno</v>
          </cell>
          <cell r="K3830" t="str">
            <v>probsi</v>
          </cell>
        </row>
        <row r="3831">
          <cell r="B3831" t="b">
            <v>1</v>
          </cell>
          <cell r="E3831" t="str">
            <v>Punta Arena</v>
          </cell>
          <cell r="H3831" t="str">
            <v>consulta_externa</v>
          </cell>
          <cell r="J3831" t="str">
            <v>bueno</v>
          </cell>
          <cell r="K3831" t="str">
            <v>probsi</v>
          </cell>
        </row>
        <row r="3832">
          <cell r="B3832" t="b">
            <v>1</v>
          </cell>
          <cell r="E3832" t="str">
            <v>Punta Arena</v>
          </cell>
          <cell r="H3832" t="str">
            <v>salud_oral</v>
          </cell>
          <cell r="J3832" t="str">
            <v>bueno</v>
          </cell>
          <cell r="K3832" t="str">
            <v>probsi</v>
          </cell>
        </row>
        <row r="3833">
          <cell r="B3833" t="b">
            <v>1</v>
          </cell>
          <cell r="E3833" t="str">
            <v>Punta Arena</v>
          </cell>
          <cell r="H3833" t="str">
            <v>salud_oral</v>
          </cell>
          <cell r="J3833" t="str">
            <v>bueno</v>
          </cell>
          <cell r="K3833" t="str">
            <v>probsi</v>
          </cell>
        </row>
        <row r="3834">
          <cell r="B3834" t="b">
            <v>1</v>
          </cell>
          <cell r="E3834" t="str">
            <v>Punta Arena</v>
          </cell>
          <cell r="H3834" t="str">
            <v>laboratorio</v>
          </cell>
          <cell r="J3834" t="str">
            <v>bueno</v>
          </cell>
          <cell r="K3834" t="str">
            <v>probsi</v>
          </cell>
        </row>
        <row r="3835">
          <cell r="B3835" t="b">
            <v>1</v>
          </cell>
          <cell r="E3835" t="str">
            <v>Punta Arena</v>
          </cell>
          <cell r="H3835" t="str">
            <v>laboratorio</v>
          </cell>
          <cell r="J3835" t="str">
            <v>bueno</v>
          </cell>
          <cell r="K3835" t="str">
            <v>probsi</v>
          </cell>
        </row>
        <row r="3836">
          <cell r="B3836" t="b">
            <v>1</v>
          </cell>
          <cell r="E3836" t="str">
            <v>Bayunca</v>
          </cell>
          <cell r="H3836" t="str">
            <v>laboratorio</v>
          </cell>
          <cell r="J3836" t="str">
            <v>bueno</v>
          </cell>
          <cell r="K3836" t="str">
            <v>defsi</v>
          </cell>
        </row>
        <row r="3837">
          <cell r="B3837" t="b">
            <v>1</v>
          </cell>
          <cell r="E3837" t="str">
            <v>Punta Arena</v>
          </cell>
          <cell r="H3837" t="str">
            <v>consulta_externa</v>
          </cell>
          <cell r="J3837" t="str">
            <v>bueno</v>
          </cell>
          <cell r="K3837" t="str">
            <v>probsi</v>
          </cell>
        </row>
        <row r="3838">
          <cell r="B3838" t="b">
            <v>1</v>
          </cell>
          <cell r="E3838" t="str">
            <v>Punta Arena</v>
          </cell>
          <cell r="H3838" t="str">
            <v>consulta_externa</v>
          </cell>
          <cell r="J3838" t="str">
            <v>bueno</v>
          </cell>
          <cell r="K3838" t="str">
            <v>probsi</v>
          </cell>
        </row>
        <row r="3839">
          <cell r="B3839" t="b">
            <v>1</v>
          </cell>
          <cell r="E3839" t="str">
            <v>Bayunca</v>
          </cell>
          <cell r="H3839" t="str">
            <v>consulta_externa</v>
          </cell>
          <cell r="J3839" t="str">
            <v>bueno</v>
          </cell>
          <cell r="K3839" t="str">
            <v>defsi</v>
          </cell>
        </row>
        <row r="3840">
          <cell r="B3840" t="b">
            <v>1</v>
          </cell>
          <cell r="E3840" t="str">
            <v>Punta Arena</v>
          </cell>
          <cell r="H3840" t="str">
            <v>laboratorio</v>
          </cell>
          <cell r="J3840" t="str">
            <v>bueno</v>
          </cell>
          <cell r="K3840" t="str">
            <v>probsi</v>
          </cell>
        </row>
        <row r="3841">
          <cell r="B3841" t="b">
            <v>1</v>
          </cell>
          <cell r="E3841" t="str">
            <v>Punta Arena</v>
          </cell>
          <cell r="H3841" t="str">
            <v>salud_oral</v>
          </cell>
          <cell r="J3841" t="str">
            <v>bueno</v>
          </cell>
          <cell r="K3841" t="str">
            <v>probsi</v>
          </cell>
        </row>
        <row r="3842">
          <cell r="B3842" t="b">
            <v>1</v>
          </cell>
          <cell r="E3842" t="str">
            <v>Punta Arena</v>
          </cell>
          <cell r="H3842" t="str">
            <v>salud_oral</v>
          </cell>
          <cell r="J3842" t="str">
            <v>bueno</v>
          </cell>
          <cell r="K3842" t="str">
            <v>probsi</v>
          </cell>
        </row>
        <row r="3843">
          <cell r="B3843" t="b">
            <v>1</v>
          </cell>
          <cell r="E3843" t="str">
            <v>Bayunca</v>
          </cell>
          <cell r="H3843" t="str">
            <v>consulta_externa</v>
          </cell>
          <cell r="J3843" t="str">
            <v>bueno</v>
          </cell>
          <cell r="K3843" t="str">
            <v>defsi</v>
          </cell>
        </row>
        <row r="3844">
          <cell r="B3844" t="b">
            <v>1</v>
          </cell>
          <cell r="E3844" t="str">
            <v>Bayunca</v>
          </cell>
          <cell r="H3844" t="str">
            <v>salud_oral</v>
          </cell>
          <cell r="J3844" t="str">
            <v>bueno</v>
          </cell>
          <cell r="K3844" t="str">
            <v>defsi</v>
          </cell>
        </row>
        <row r="3845">
          <cell r="B3845" t="b">
            <v>1</v>
          </cell>
          <cell r="E3845" t="str">
            <v>Bayunca</v>
          </cell>
          <cell r="H3845" t="str">
            <v>consulta_externa</v>
          </cell>
          <cell r="J3845" t="str">
            <v>bueno</v>
          </cell>
          <cell r="K3845" t="str">
            <v>defsi</v>
          </cell>
        </row>
        <row r="3846">
          <cell r="B3846" t="b">
            <v>1</v>
          </cell>
          <cell r="E3846" t="str">
            <v>Bayunca</v>
          </cell>
          <cell r="H3846" t="str">
            <v>salud_oral</v>
          </cell>
          <cell r="J3846" t="str">
            <v>bueno</v>
          </cell>
          <cell r="K3846" t="str">
            <v>defsi</v>
          </cell>
        </row>
        <row r="3847">
          <cell r="B3847" t="b">
            <v>1</v>
          </cell>
          <cell r="E3847" t="str">
            <v>Bayunca</v>
          </cell>
          <cell r="H3847" t="str">
            <v>laboratorio</v>
          </cell>
          <cell r="J3847" t="str">
            <v>bueno</v>
          </cell>
          <cell r="K3847" t="str">
            <v>probsi</v>
          </cell>
        </row>
        <row r="3848">
          <cell r="B3848" t="b">
            <v>1</v>
          </cell>
          <cell r="E3848" t="str">
            <v>Bayunca</v>
          </cell>
          <cell r="H3848" t="str">
            <v>consulta_externa</v>
          </cell>
          <cell r="J3848" t="str">
            <v>bueno</v>
          </cell>
          <cell r="K3848" t="str">
            <v>probsi</v>
          </cell>
        </row>
        <row r="3849">
          <cell r="B3849" t="b">
            <v>1</v>
          </cell>
          <cell r="E3849" t="str">
            <v>Punta Arena</v>
          </cell>
          <cell r="H3849" t="str">
            <v>laboratorio</v>
          </cell>
          <cell r="J3849" t="str">
            <v>bueno</v>
          </cell>
          <cell r="K3849" t="str">
            <v>probsi</v>
          </cell>
        </row>
        <row r="3850">
          <cell r="B3850" t="b">
            <v>1</v>
          </cell>
          <cell r="E3850" t="str">
            <v>Punta Arena</v>
          </cell>
          <cell r="H3850" t="str">
            <v>laboratorio</v>
          </cell>
          <cell r="J3850" t="str">
            <v>bueno</v>
          </cell>
          <cell r="K3850" t="str">
            <v>probsi</v>
          </cell>
        </row>
        <row r="3851">
          <cell r="B3851" t="b">
            <v>1</v>
          </cell>
          <cell r="E3851" t="str">
            <v>Punta Arena</v>
          </cell>
          <cell r="H3851" t="str">
            <v>salud_oral</v>
          </cell>
          <cell r="J3851" t="str">
            <v>bueno</v>
          </cell>
          <cell r="K3851" t="str">
            <v>probsi</v>
          </cell>
        </row>
        <row r="3852">
          <cell r="B3852" t="b">
            <v>1</v>
          </cell>
          <cell r="E3852" t="str">
            <v>Punta Arena</v>
          </cell>
          <cell r="H3852" t="str">
            <v>salud_oral</v>
          </cell>
          <cell r="J3852" t="str">
            <v>bueno</v>
          </cell>
          <cell r="K3852" t="str">
            <v>probsi</v>
          </cell>
        </row>
        <row r="3853">
          <cell r="B3853" t="b">
            <v>1</v>
          </cell>
          <cell r="E3853" t="str">
            <v>Punta Arena</v>
          </cell>
          <cell r="H3853" t="str">
            <v>consulta_externa</v>
          </cell>
          <cell r="J3853" t="str">
            <v>bueno</v>
          </cell>
          <cell r="K3853" t="str">
            <v>probsi</v>
          </cell>
        </row>
        <row r="3854">
          <cell r="B3854" t="b">
            <v>1</v>
          </cell>
          <cell r="E3854" t="str">
            <v>Punta Arena</v>
          </cell>
          <cell r="H3854" t="str">
            <v>consulta_externa</v>
          </cell>
          <cell r="J3854" t="str">
            <v>bueno</v>
          </cell>
          <cell r="K3854" t="str">
            <v>probsi</v>
          </cell>
        </row>
        <row r="3855">
          <cell r="B3855" t="b">
            <v>1</v>
          </cell>
          <cell r="E3855" t="str">
            <v>Bayunca</v>
          </cell>
          <cell r="H3855" t="str">
            <v>salud_oral</v>
          </cell>
          <cell r="J3855" t="str">
            <v>bueno</v>
          </cell>
          <cell r="K3855" t="str">
            <v>defsi</v>
          </cell>
        </row>
        <row r="3856">
          <cell r="B3856" t="b">
            <v>1</v>
          </cell>
          <cell r="E3856" t="str">
            <v>Bocachica</v>
          </cell>
          <cell r="H3856" t="str">
            <v>consulta_externa</v>
          </cell>
          <cell r="J3856" t="str">
            <v>bueno</v>
          </cell>
          <cell r="K3856" t="str">
            <v>defsi</v>
          </cell>
        </row>
        <row r="3857">
          <cell r="B3857" t="b">
            <v>1</v>
          </cell>
          <cell r="E3857" t="str">
            <v>Bocachica</v>
          </cell>
          <cell r="H3857" t="str">
            <v>salud_oral</v>
          </cell>
          <cell r="J3857" t="str">
            <v>bueno</v>
          </cell>
          <cell r="K3857" t="str">
            <v>defsi</v>
          </cell>
        </row>
        <row r="3858">
          <cell r="B3858" t="b">
            <v>1</v>
          </cell>
          <cell r="E3858" t="str">
            <v>Bocachica</v>
          </cell>
          <cell r="H3858" t="str">
            <v>laboratorio</v>
          </cell>
          <cell r="J3858" t="str">
            <v>bueno</v>
          </cell>
          <cell r="K3858" t="str">
            <v>defsi</v>
          </cell>
        </row>
        <row r="3859">
          <cell r="B3859" t="b">
            <v>0</v>
          </cell>
          <cell r="E3859" t="str">
            <v>Bayunca</v>
          </cell>
          <cell r="H3859" t="str">
            <v>laboratorio</v>
          </cell>
          <cell r="J3859" t="str">
            <v>malo</v>
          </cell>
          <cell r="K3859" t="str">
            <v>probno</v>
          </cell>
        </row>
        <row r="3860">
          <cell r="B3860" t="b">
            <v>1</v>
          </cell>
          <cell r="E3860" t="str">
            <v>Bocachica</v>
          </cell>
          <cell r="H3860" t="str">
            <v>urgencia</v>
          </cell>
          <cell r="J3860" t="str">
            <v>bueno</v>
          </cell>
          <cell r="K3860" t="str">
            <v>defsi</v>
          </cell>
        </row>
        <row r="3861">
          <cell r="B3861" t="b">
            <v>1</v>
          </cell>
          <cell r="E3861" t="str">
            <v>Bocachica</v>
          </cell>
          <cell r="H3861" t="str">
            <v>consulta_externa</v>
          </cell>
          <cell r="J3861" t="str">
            <v>bueno</v>
          </cell>
          <cell r="K3861" t="str">
            <v>defsi</v>
          </cell>
        </row>
        <row r="3862">
          <cell r="B3862" t="b">
            <v>1</v>
          </cell>
          <cell r="E3862" t="str">
            <v>Bocachica</v>
          </cell>
          <cell r="H3862" t="str">
            <v>salud_oral</v>
          </cell>
          <cell r="J3862" t="str">
            <v>bueno</v>
          </cell>
          <cell r="K3862" t="str">
            <v>defsi</v>
          </cell>
        </row>
        <row r="3863">
          <cell r="B3863" t="b">
            <v>0</v>
          </cell>
          <cell r="E3863" t="str">
            <v>Bayunca</v>
          </cell>
          <cell r="H3863" t="str">
            <v>laboratorio</v>
          </cell>
          <cell r="J3863" t="str">
            <v>malo</v>
          </cell>
          <cell r="K3863" t="str">
            <v>defno</v>
          </cell>
        </row>
        <row r="3864">
          <cell r="B3864" t="b">
            <v>1</v>
          </cell>
          <cell r="E3864" t="str">
            <v>Bocachica</v>
          </cell>
          <cell r="H3864" t="str">
            <v>laboratorio</v>
          </cell>
          <cell r="J3864" t="str">
            <v>bueno</v>
          </cell>
          <cell r="K3864" t="str">
            <v>defsi</v>
          </cell>
        </row>
        <row r="3865">
          <cell r="B3865" t="b">
            <v>1</v>
          </cell>
          <cell r="E3865" t="str">
            <v>Bocachica</v>
          </cell>
          <cell r="H3865" t="str">
            <v>urgencia</v>
          </cell>
          <cell r="J3865" t="str">
            <v>bueno</v>
          </cell>
          <cell r="K3865" t="str">
            <v>defsi</v>
          </cell>
        </row>
        <row r="3866">
          <cell r="B3866" t="b">
            <v>0</v>
          </cell>
          <cell r="E3866" t="str">
            <v>Bayunca</v>
          </cell>
          <cell r="H3866" t="str">
            <v>laboratorio</v>
          </cell>
          <cell r="J3866" t="str">
            <v>regular</v>
          </cell>
          <cell r="K3866" t="str">
            <v>defsi</v>
          </cell>
        </row>
        <row r="3867">
          <cell r="B3867" t="b">
            <v>0</v>
          </cell>
          <cell r="E3867" t="str">
            <v>Bayunca</v>
          </cell>
          <cell r="H3867" t="str">
            <v>consulta_externa</v>
          </cell>
          <cell r="J3867" t="str">
            <v>regular</v>
          </cell>
          <cell r="K3867" t="str">
            <v>defsi</v>
          </cell>
        </row>
        <row r="3868">
          <cell r="B3868" t="b">
            <v>1</v>
          </cell>
          <cell r="E3868" t="str">
            <v>Bayunca</v>
          </cell>
          <cell r="H3868" t="str">
            <v>salud_oral</v>
          </cell>
          <cell r="J3868" t="str">
            <v>bueno</v>
          </cell>
          <cell r="K3868" t="str">
            <v>defsi</v>
          </cell>
        </row>
        <row r="3869">
          <cell r="B3869" t="b">
            <v>1</v>
          </cell>
          <cell r="E3869" t="str">
            <v>Bayunca</v>
          </cell>
          <cell r="H3869" t="str">
            <v>salud_oral</v>
          </cell>
          <cell r="J3869" t="str">
            <v>bueno</v>
          </cell>
          <cell r="K3869" t="str">
            <v>defsi</v>
          </cell>
        </row>
        <row r="3870">
          <cell r="B3870" t="b">
            <v>1</v>
          </cell>
          <cell r="E3870" t="str">
            <v>Bayunca</v>
          </cell>
          <cell r="H3870" t="str">
            <v>laboratorio</v>
          </cell>
          <cell r="J3870" t="str">
            <v>bueno</v>
          </cell>
          <cell r="K3870" t="str">
            <v>defsi</v>
          </cell>
        </row>
        <row r="3871">
          <cell r="B3871" t="b">
            <v>1</v>
          </cell>
          <cell r="E3871" t="str">
            <v>Bayunca</v>
          </cell>
          <cell r="H3871" t="str">
            <v>consulta_externa</v>
          </cell>
          <cell r="J3871" t="str">
            <v>bueno</v>
          </cell>
          <cell r="K3871" t="str">
            <v>defsi</v>
          </cell>
        </row>
        <row r="3872">
          <cell r="B3872" t="b">
            <v>1</v>
          </cell>
          <cell r="E3872" t="str">
            <v>Bayunca</v>
          </cell>
          <cell r="H3872" t="str">
            <v>consulta_externa</v>
          </cell>
          <cell r="J3872" t="str">
            <v>bueno</v>
          </cell>
          <cell r="K3872" t="str">
            <v>defsi</v>
          </cell>
        </row>
        <row r="3873">
          <cell r="B3873" t="b">
            <v>1</v>
          </cell>
          <cell r="E3873" t="str">
            <v>Bayunca</v>
          </cell>
          <cell r="H3873" t="str">
            <v>consulta_externa</v>
          </cell>
          <cell r="J3873" t="str">
            <v>bueno</v>
          </cell>
          <cell r="K3873" t="str">
            <v>defsi</v>
          </cell>
        </row>
        <row r="3874">
          <cell r="B3874" t="b">
            <v>1</v>
          </cell>
          <cell r="E3874" t="str">
            <v>Bayunca</v>
          </cell>
          <cell r="H3874" t="str">
            <v>consulta_externa</v>
          </cell>
          <cell r="J3874" t="str">
            <v>bueno</v>
          </cell>
          <cell r="K3874" t="str">
            <v>defsi</v>
          </cell>
        </row>
        <row r="3875">
          <cell r="B3875" t="b">
            <v>1</v>
          </cell>
          <cell r="E3875" t="str">
            <v>Bayunca</v>
          </cell>
          <cell r="H3875" t="str">
            <v>salud_oral</v>
          </cell>
          <cell r="J3875" t="str">
            <v>bueno</v>
          </cell>
          <cell r="K3875" t="str">
            <v>defsi</v>
          </cell>
        </row>
        <row r="3876">
          <cell r="B3876" t="b">
            <v>1</v>
          </cell>
          <cell r="E3876" t="str">
            <v>Bayunca</v>
          </cell>
          <cell r="H3876" t="str">
            <v>laboratorio</v>
          </cell>
          <cell r="J3876" t="str">
            <v>bueno</v>
          </cell>
          <cell r="K3876" t="str">
            <v>defsi</v>
          </cell>
        </row>
        <row r="3877">
          <cell r="B3877" t="b">
            <v>1</v>
          </cell>
          <cell r="E3877" t="str">
            <v>Bayunca</v>
          </cell>
          <cell r="H3877" t="str">
            <v>salud_oral</v>
          </cell>
          <cell r="J3877" t="str">
            <v>bueno</v>
          </cell>
          <cell r="K3877" t="str">
            <v>defsi</v>
          </cell>
        </row>
        <row r="3878">
          <cell r="B3878" t="b">
            <v>1</v>
          </cell>
          <cell r="E3878" t="str">
            <v>Bayunca</v>
          </cell>
          <cell r="H3878" t="str">
            <v>consulta_externa</v>
          </cell>
          <cell r="J3878" t="str">
            <v>bueno</v>
          </cell>
          <cell r="K3878" t="str">
            <v>defsi</v>
          </cell>
        </row>
        <row r="3879">
          <cell r="B3879" t="b">
            <v>1</v>
          </cell>
          <cell r="E3879" t="str">
            <v>Bayunca</v>
          </cell>
          <cell r="H3879" t="str">
            <v>salud_oral</v>
          </cell>
          <cell r="J3879" t="str">
            <v>bueno</v>
          </cell>
          <cell r="K3879" t="str">
            <v>defsi</v>
          </cell>
        </row>
        <row r="3880">
          <cell r="B3880" t="b">
            <v>1</v>
          </cell>
          <cell r="E3880" t="str">
            <v>Bayunca</v>
          </cell>
          <cell r="H3880" t="str">
            <v>salud_oral</v>
          </cell>
          <cell r="J3880" t="str">
            <v>bueno</v>
          </cell>
          <cell r="K3880" t="str">
            <v>defsi</v>
          </cell>
        </row>
        <row r="3881">
          <cell r="B3881" t="b">
            <v>1</v>
          </cell>
          <cell r="E3881" t="str">
            <v>Bayunca</v>
          </cell>
          <cell r="H3881" t="str">
            <v>salud_oral</v>
          </cell>
          <cell r="J3881" t="str">
            <v>bueno</v>
          </cell>
          <cell r="K3881" t="str">
            <v>defsi</v>
          </cell>
        </row>
        <row r="3882">
          <cell r="B3882" t="b">
            <v>1</v>
          </cell>
          <cell r="E3882" t="str">
            <v>Bayunca</v>
          </cell>
          <cell r="H3882" t="str">
            <v>consulta_externa</v>
          </cell>
          <cell r="J3882" t="str">
            <v>bueno</v>
          </cell>
          <cell r="K3882" t="str">
            <v>defsi</v>
          </cell>
        </row>
        <row r="3883">
          <cell r="B3883" t="b">
            <v>1</v>
          </cell>
          <cell r="E3883" t="str">
            <v>Bayunca</v>
          </cell>
          <cell r="H3883" t="str">
            <v>salud_oral</v>
          </cell>
          <cell r="J3883" t="str">
            <v>bueno</v>
          </cell>
          <cell r="K3883" t="str">
            <v>defsi</v>
          </cell>
        </row>
        <row r="3884">
          <cell r="B3884" t="b">
            <v>1</v>
          </cell>
          <cell r="E3884" t="str">
            <v>Bayunca</v>
          </cell>
          <cell r="H3884" t="str">
            <v>pediatria</v>
          </cell>
          <cell r="J3884" t="str">
            <v>bueno</v>
          </cell>
          <cell r="K3884" t="str">
            <v>defsi</v>
          </cell>
        </row>
        <row r="3885">
          <cell r="B3885" t="b">
            <v>1</v>
          </cell>
          <cell r="E3885" t="str">
            <v>Bayunca</v>
          </cell>
          <cell r="H3885" t="str">
            <v>pediatria</v>
          </cell>
          <cell r="J3885" t="str">
            <v>bueno</v>
          </cell>
          <cell r="K3885" t="str">
            <v>defsi</v>
          </cell>
        </row>
        <row r="3886">
          <cell r="B3886" t="b">
            <v>1</v>
          </cell>
          <cell r="E3886" t="str">
            <v>Bayunca</v>
          </cell>
          <cell r="H3886" t="str">
            <v>consulta_externa</v>
          </cell>
          <cell r="J3886" t="str">
            <v>muybueno</v>
          </cell>
          <cell r="K3886" t="str">
            <v>defsi</v>
          </cell>
        </row>
        <row r="3887">
          <cell r="B3887" t="b">
            <v>1</v>
          </cell>
          <cell r="E3887" t="str">
            <v>Bayunca</v>
          </cell>
          <cell r="H3887" t="str">
            <v>laboratorio</v>
          </cell>
          <cell r="J3887" t="str">
            <v>muybueno</v>
          </cell>
          <cell r="K3887" t="str">
            <v>defsi</v>
          </cell>
        </row>
        <row r="3888">
          <cell r="B3888" t="b">
            <v>1</v>
          </cell>
          <cell r="E3888" t="str">
            <v>Bayunca</v>
          </cell>
          <cell r="H3888" t="str">
            <v>salud_oral</v>
          </cell>
          <cell r="J3888" t="str">
            <v>bueno</v>
          </cell>
          <cell r="K3888" t="str">
            <v>defsi</v>
          </cell>
        </row>
        <row r="3889">
          <cell r="B3889" t="b">
            <v>1</v>
          </cell>
          <cell r="E3889" t="str">
            <v>Bayunca</v>
          </cell>
          <cell r="H3889" t="str">
            <v>consulta_externa</v>
          </cell>
          <cell r="J3889" t="str">
            <v>bueno</v>
          </cell>
          <cell r="K3889" t="str">
            <v>defsi</v>
          </cell>
        </row>
        <row r="3890">
          <cell r="B3890" t="b">
            <v>1</v>
          </cell>
          <cell r="E3890" t="str">
            <v>Bayunca</v>
          </cell>
          <cell r="H3890" t="str">
            <v>consulta_externa</v>
          </cell>
          <cell r="J3890" t="str">
            <v>bueno</v>
          </cell>
          <cell r="K3890" t="str">
            <v>defsi</v>
          </cell>
        </row>
        <row r="3891">
          <cell r="B3891" t="b">
            <v>1</v>
          </cell>
          <cell r="E3891" t="str">
            <v>Bayunca</v>
          </cell>
          <cell r="H3891" t="str">
            <v>salud_oral</v>
          </cell>
          <cell r="J3891" t="str">
            <v>bueno</v>
          </cell>
          <cell r="K3891" t="str">
            <v>defsi</v>
          </cell>
        </row>
        <row r="3892">
          <cell r="B3892" t="b">
            <v>1</v>
          </cell>
          <cell r="E3892" t="str">
            <v>Tierra Bomba</v>
          </cell>
          <cell r="H3892" t="str">
            <v>consulta_externa</v>
          </cell>
          <cell r="J3892" t="str">
            <v>bueno</v>
          </cell>
          <cell r="K3892" t="str">
            <v>probsi</v>
          </cell>
        </row>
        <row r="3893">
          <cell r="B3893" t="b">
            <v>1</v>
          </cell>
          <cell r="E3893" t="str">
            <v>Tierra Bomba</v>
          </cell>
          <cell r="H3893" t="str">
            <v>consulta_externa</v>
          </cell>
          <cell r="J3893" t="str">
            <v>bueno</v>
          </cell>
          <cell r="K3893" t="str">
            <v>probsi</v>
          </cell>
        </row>
        <row r="3894">
          <cell r="B3894" t="b">
            <v>1</v>
          </cell>
          <cell r="E3894" t="str">
            <v>Tierra Bomba</v>
          </cell>
          <cell r="H3894" t="str">
            <v>consulta_externa</v>
          </cell>
          <cell r="J3894" t="str">
            <v>bueno</v>
          </cell>
          <cell r="K3894" t="str">
            <v>probsi</v>
          </cell>
        </row>
        <row r="3895">
          <cell r="B3895" t="b">
            <v>1</v>
          </cell>
          <cell r="E3895" t="str">
            <v>Tierra Bomba</v>
          </cell>
          <cell r="H3895" t="str">
            <v>laboratorio</v>
          </cell>
          <cell r="J3895" t="str">
            <v>bueno</v>
          </cell>
          <cell r="K3895" t="str">
            <v>probsi</v>
          </cell>
        </row>
        <row r="3896">
          <cell r="B3896" t="b">
            <v>0</v>
          </cell>
          <cell r="E3896" t="str">
            <v>Baru</v>
          </cell>
          <cell r="H3896" t="str">
            <v>consulta_externa</v>
          </cell>
          <cell r="J3896" t="str">
            <v>regular</v>
          </cell>
          <cell r="K3896" t="str">
            <v>probsi</v>
          </cell>
        </row>
        <row r="3897">
          <cell r="B3897" t="b">
            <v>0</v>
          </cell>
          <cell r="E3897" t="str">
            <v>Baru</v>
          </cell>
          <cell r="H3897" t="str">
            <v>consulta_externa</v>
          </cell>
          <cell r="J3897" t="str">
            <v>regular</v>
          </cell>
          <cell r="K3897" t="str">
            <v>probsi</v>
          </cell>
        </row>
        <row r="3898">
          <cell r="B3898" t="b">
            <v>1</v>
          </cell>
          <cell r="E3898" t="str">
            <v>Tierra Bomba</v>
          </cell>
          <cell r="H3898" t="str">
            <v>salud_oral</v>
          </cell>
          <cell r="J3898" t="str">
            <v>bueno</v>
          </cell>
          <cell r="K3898" t="str">
            <v>probsi</v>
          </cell>
        </row>
        <row r="3899">
          <cell r="B3899" t="b">
            <v>0</v>
          </cell>
          <cell r="E3899" t="str">
            <v>Baru</v>
          </cell>
          <cell r="H3899" t="str">
            <v>consulta_externa</v>
          </cell>
          <cell r="J3899" t="str">
            <v>regular</v>
          </cell>
          <cell r="K3899" t="str">
            <v>probsi</v>
          </cell>
        </row>
        <row r="3900">
          <cell r="B3900" t="b">
            <v>0</v>
          </cell>
          <cell r="E3900" t="str">
            <v>Baru</v>
          </cell>
          <cell r="H3900" t="str">
            <v>consulta_externa</v>
          </cell>
          <cell r="J3900" t="str">
            <v>regular</v>
          </cell>
          <cell r="K3900" t="str">
            <v>probsi</v>
          </cell>
        </row>
        <row r="3901">
          <cell r="B3901" t="b">
            <v>0</v>
          </cell>
          <cell r="E3901" t="str">
            <v>Baru</v>
          </cell>
          <cell r="H3901" t="str">
            <v>consulta_externa</v>
          </cell>
          <cell r="J3901" t="str">
            <v>regular</v>
          </cell>
          <cell r="K3901" t="str">
            <v>probsi</v>
          </cell>
        </row>
        <row r="3902">
          <cell r="B3902" t="b">
            <v>1</v>
          </cell>
          <cell r="E3902" t="str">
            <v>Baru</v>
          </cell>
          <cell r="H3902" t="str">
            <v>salud_oral</v>
          </cell>
          <cell r="J3902" t="str">
            <v>bueno</v>
          </cell>
          <cell r="K3902" t="str">
            <v>probsi</v>
          </cell>
        </row>
        <row r="3903">
          <cell r="B3903" t="b">
            <v>1</v>
          </cell>
          <cell r="E3903" t="str">
            <v>Baru</v>
          </cell>
          <cell r="H3903" t="str">
            <v>salud_oral</v>
          </cell>
          <cell r="J3903" t="str">
            <v>bueno</v>
          </cell>
          <cell r="K3903" t="str">
            <v>probsi</v>
          </cell>
        </row>
        <row r="3904">
          <cell r="B3904" t="b">
            <v>1</v>
          </cell>
          <cell r="E3904" t="str">
            <v>Baru</v>
          </cell>
          <cell r="H3904" t="str">
            <v>salud_oral</v>
          </cell>
          <cell r="J3904" t="str">
            <v>bueno</v>
          </cell>
          <cell r="K3904" t="str">
            <v>probsi</v>
          </cell>
        </row>
        <row r="3905">
          <cell r="B3905" t="b">
            <v>1</v>
          </cell>
          <cell r="E3905" t="str">
            <v>Bayunca</v>
          </cell>
          <cell r="H3905" t="str">
            <v>salud_oral</v>
          </cell>
          <cell r="J3905" t="str">
            <v>bueno</v>
          </cell>
          <cell r="K3905" t="str">
            <v>defsi</v>
          </cell>
        </row>
        <row r="3906">
          <cell r="B3906" t="b">
            <v>1</v>
          </cell>
          <cell r="E3906" t="str">
            <v>Baru</v>
          </cell>
          <cell r="H3906" t="str">
            <v>salud_oral</v>
          </cell>
          <cell r="J3906" t="str">
            <v>bueno</v>
          </cell>
          <cell r="K3906" t="str">
            <v>probsi</v>
          </cell>
        </row>
        <row r="3907">
          <cell r="B3907" t="b">
            <v>1</v>
          </cell>
          <cell r="E3907" t="str">
            <v>Baru</v>
          </cell>
          <cell r="H3907" t="str">
            <v>salud_oral</v>
          </cell>
          <cell r="J3907" t="str">
            <v>bueno</v>
          </cell>
          <cell r="K3907" t="str">
            <v>probsi</v>
          </cell>
        </row>
        <row r="3908">
          <cell r="B3908" t="b">
            <v>1</v>
          </cell>
          <cell r="E3908" t="str">
            <v>Baru</v>
          </cell>
          <cell r="H3908" t="str">
            <v>laboratorio</v>
          </cell>
          <cell r="J3908" t="str">
            <v>bueno</v>
          </cell>
          <cell r="K3908" t="str">
            <v>probsi</v>
          </cell>
        </row>
        <row r="3909">
          <cell r="B3909" t="b">
            <v>1</v>
          </cell>
          <cell r="E3909" t="str">
            <v>Baru</v>
          </cell>
          <cell r="H3909" t="str">
            <v>laboratorio</v>
          </cell>
          <cell r="J3909" t="str">
            <v>bueno</v>
          </cell>
          <cell r="K3909" t="str">
            <v>probsi</v>
          </cell>
        </row>
        <row r="3910">
          <cell r="B3910" t="b">
            <v>0</v>
          </cell>
          <cell r="E3910" t="str">
            <v>Baru</v>
          </cell>
          <cell r="H3910" t="str">
            <v>laboratorio</v>
          </cell>
          <cell r="J3910" t="str">
            <v>regular</v>
          </cell>
          <cell r="K3910" t="str">
            <v>probsi</v>
          </cell>
        </row>
        <row r="3911">
          <cell r="B3911" t="b">
            <v>0</v>
          </cell>
          <cell r="E3911" t="str">
            <v>Baru</v>
          </cell>
          <cell r="H3911" t="str">
            <v>laboratorio</v>
          </cell>
          <cell r="J3911" t="str">
            <v>regular</v>
          </cell>
          <cell r="K3911" t="str">
            <v>probsi</v>
          </cell>
        </row>
        <row r="3912">
          <cell r="B3912" t="b">
            <v>1</v>
          </cell>
          <cell r="E3912" t="str">
            <v>Baru</v>
          </cell>
          <cell r="H3912" t="str">
            <v>laboratorio</v>
          </cell>
          <cell r="J3912" t="str">
            <v>bueno</v>
          </cell>
          <cell r="K3912" t="str">
            <v>probsi</v>
          </cell>
        </row>
        <row r="3913">
          <cell r="B3913" t="b">
            <v>1</v>
          </cell>
          <cell r="E3913" t="str">
            <v>Tierra Bomba</v>
          </cell>
          <cell r="H3913" t="str">
            <v>consulta_externa</v>
          </cell>
          <cell r="J3913" t="str">
            <v>bueno</v>
          </cell>
          <cell r="K3913" t="str">
            <v>probsi</v>
          </cell>
        </row>
        <row r="3914">
          <cell r="B3914" t="b">
            <v>1</v>
          </cell>
          <cell r="E3914" t="str">
            <v>Tierra Bomba</v>
          </cell>
          <cell r="H3914" t="str">
            <v>consulta_externa</v>
          </cell>
          <cell r="J3914" t="str">
            <v>bueno</v>
          </cell>
          <cell r="K3914" t="str">
            <v>probsi</v>
          </cell>
        </row>
        <row r="3915">
          <cell r="B3915" t="b">
            <v>1</v>
          </cell>
          <cell r="E3915" t="str">
            <v>Tierra Bomba</v>
          </cell>
          <cell r="H3915" t="str">
            <v>laboratorio</v>
          </cell>
          <cell r="J3915" t="str">
            <v>bueno</v>
          </cell>
          <cell r="K3915" t="str">
            <v>probsi</v>
          </cell>
        </row>
        <row r="3916">
          <cell r="B3916" t="b">
            <v>1</v>
          </cell>
          <cell r="E3916" t="str">
            <v>Tierra Bomba</v>
          </cell>
          <cell r="H3916" t="str">
            <v>laboratorio</v>
          </cell>
          <cell r="J3916" t="str">
            <v>bueno</v>
          </cell>
          <cell r="K3916" t="str">
            <v>probsi</v>
          </cell>
        </row>
        <row r="3917">
          <cell r="B3917" t="b">
            <v>1</v>
          </cell>
          <cell r="E3917" t="str">
            <v>Tierra Bomba</v>
          </cell>
          <cell r="H3917" t="str">
            <v>salud_oral</v>
          </cell>
          <cell r="J3917" t="str">
            <v>bueno</v>
          </cell>
          <cell r="K3917" t="str">
            <v>probsi</v>
          </cell>
        </row>
        <row r="3918">
          <cell r="B3918" t="b">
            <v>1</v>
          </cell>
          <cell r="E3918" t="str">
            <v>Tierra Bomba</v>
          </cell>
          <cell r="H3918" t="str">
            <v>salud_oral</v>
          </cell>
          <cell r="J3918" t="str">
            <v>bueno</v>
          </cell>
          <cell r="K3918" t="str">
            <v>probsi</v>
          </cell>
        </row>
        <row r="3919">
          <cell r="B3919" t="b">
            <v>1</v>
          </cell>
          <cell r="E3919" t="str">
            <v>Tierra Bomba</v>
          </cell>
          <cell r="H3919" t="str">
            <v>salud_oral</v>
          </cell>
          <cell r="J3919" t="str">
            <v>bueno</v>
          </cell>
          <cell r="K3919" t="str">
            <v>probsi</v>
          </cell>
        </row>
        <row r="3920">
          <cell r="B3920" t="b">
            <v>1</v>
          </cell>
          <cell r="E3920" t="str">
            <v>Tierra Bomba</v>
          </cell>
          <cell r="H3920" t="str">
            <v>salud_oral</v>
          </cell>
          <cell r="J3920" t="str">
            <v>bueno</v>
          </cell>
          <cell r="K3920" t="str">
            <v>probsi</v>
          </cell>
        </row>
        <row r="3921">
          <cell r="B3921" t="b">
            <v>0</v>
          </cell>
          <cell r="E3921" t="str">
            <v>Bayunca</v>
          </cell>
          <cell r="H3921" t="str">
            <v>consulta_externa</v>
          </cell>
          <cell r="J3921" t="str">
            <v>regular</v>
          </cell>
          <cell r="K3921" t="str">
            <v>defsi</v>
          </cell>
        </row>
        <row r="3922">
          <cell r="B3922" t="b">
            <v>1</v>
          </cell>
          <cell r="E3922" t="str">
            <v>Tierra Bomba</v>
          </cell>
          <cell r="H3922" t="str">
            <v>consulta_externa</v>
          </cell>
          <cell r="J3922" t="str">
            <v>bueno</v>
          </cell>
          <cell r="K3922" t="str">
            <v>probsi</v>
          </cell>
        </row>
        <row r="3923">
          <cell r="B3923" t="b">
            <v>1</v>
          </cell>
          <cell r="E3923" t="str">
            <v>Tierra Bomba</v>
          </cell>
          <cell r="H3923" t="str">
            <v>laboratorio</v>
          </cell>
          <cell r="J3923" t="str">
            <v>bueno</v>
          </cell>
          <cell r="K3923" t="str">
            <v>probsi</v>
          </cell>
        </row>
        <row r="3924">
          <cell r="B3924" t="b">
            <v>1</v>
          </cell>
          <cell r="E3924" t="str">
            <v>Tierra Bomba</v>
          </cell>
          <cell r="H3924" t="str">
            <v>laboratorio</v>
          </cell>
          <cell r="J3924" t="str">
            <v>bueno</v>
          </cell>
          <cell r="K3924" t="str">
            <v>probsi</v>
          </cell>
        </row>
        <row r="3925">
          <cell r="B3925" t="b">
            <v>1</v>
          </cell>
          <cell r="E3925" t="str">
            <v>Bayunca</v>
          </cell>
          <cell r="H3925" t="str">
            <v>pediatria</v>
          </cell>
          <cell r="J3925" t="str">
            <v>bueno</v>
          </cell>
          <cell r="K3925" t="str">
            <v>defsi</v>
          </cell>
        </row>
        <row r="3926">
          <cell r="B3926" t="b">
            <v>1</v>
          </cell>
          <cell r="E3926" t="str">
            <v>Tierra Bomba</v>
          </cell>
          <cell r="H3926" t="str">
            <v>laboratorio</v>
          </cell>
          <cell r="J3926" t="str">
            <v>bueno</v>
          </cell>
          <cell r="K3926" t="str">
            <v>probsi</v>
          </cell>
        </row>
        <row r="3927">
          <cell r="B3927" t="b">
            <v>1</v>
          </cell>
          <cell r="E3927" t="str">
            <v>Tierra Bomba</v>
          </cell>
          <cell r="H3927" t="str">
            <v>laboratorio</v>
          </cell>
          <cell r="J3927" t="str">
            <v>bueno</v>
          </cell>
          <cell r="K3927" t="str">
            <v>probsi</v>
          </cell>
        </row>
        <row r="3928">
          <cell r="B3928" t="b">
            <v>1</v>
          </cell>
          <cell r="E3928" t="str">
            <v>Tierra Bomba</v>
          </cell>
          <cell r="H3928" t="str">
            <v>salud_oral</v>
          </cell>
          <cell r="J3928" t="str">
            <v>bueno</v>
          </cell>
          <cell r="K3928" t="str">
            <v>probsi</v>
          </cell>
        </row>
        <row r="3929">
          <cell r="B3929" t="b">
            <v>1</v>
          </cell>
          <cell r="E3929" t="str">
            <v>Bayunca</v>
          </cell>
          <cell r="H3929" t="str">
            <v>salud_oral</v>
          </cell>
          <cell r="J3929" t="str">
            <v>bueno</v>
          </cell>
          <cell r="K3929" t="str">
            <v>defsi</v>
          </cell>
        </row>
        <row r="3930">
          <cell r="B3930" t="b">
            <v>1</v>
          </cell>
          <cell r="E3930" t="str">
            <v>Tierra Bomba</v>
          </cell>
          <cell r="H3930" t="str">
            <v>salud_oral</v>
          </cell>
          <cell r="J3930" t="str">
            <v>bueno</v>
          </cell>
          <cell r="K3930" t="str">
            <v>probsi</v>
          </cell>
        </row>
        <row r="3931">
          <cell r="B3931" t="b">
            <v>1</v>
          </cell>
          <cell r="E3931" t="str">
            <v>Tierra Bomba</v>
          </cell>
          <cell r="H3931" t="str">
            <v>salud_oral</v>
          </cell>
          <cell r="J3931" t="str">
            <v>bueno</v>
          </cell>
          <cell r="K3931" t="str">
            <v>probsi</v>
          </cell>
        </row>
        <row r="3932">
          <cell r="B3932" t="b">
            <v>1</v>
          </cell>
          <cell r="E3932" t="str">
            <v>Tierra Bomba</v>
          </cell>
          <cell r="H3932" t="str">
            <v>laboratorio</v>
          </cell>
          <cell r="J3932" t="str">
            <v>bueno</v>
          </cell>
          <cell r="K3932" t="str">
            <v>probsi</v>
          </cell>
        </row>
        <row r="3933">
          <cell r="B3933" t="b">
            <v>1</v>
          </cell>
          <cell r="E3933" t="str">
            <v>Tierra Bomba</v>
          </cell>
          <cell r="H3933" t="str">
            <v>consulta_externa</v>
          </cell>
          <cell r="J3933" t="str">
            <v>bueno</v>
          </cell>
          <cell r="K3933" t="str">
            <v>probsi</v>
          </cell>
        </row>
        <row r="3934">
          <cell r="B3934" t="b">
            <v>1</v>
          </cell>
          <cell r="E3934" t="str">
            <v>Tierra Bomba</v>
          </cell>
          <cell r="H3934" t="str">
            <v>consulta_externa</v>
          </cell>
          <cell r="J3934" t="str">
            <v>bueno</v>
          </cell>
          <cell r="K3934" t="str">
            <v>probsi</v>
          </cell>
        </row>
        <row r="3935">
          <cell r="B3935" t="b">
            <v>1</v>
          </cell>
          <cell r="E3935" t="str">
            <v>Tierra Bomba</v>
          </cell>
          <cell r="H3935" t="str">
            <v>consulta_externa</v>
          </cell>
          <cell r="J3935" t="str">
            <v>bueno</v>
          </cell>
          <cell r="K3935" t="str">
            <v>probsi</v>
          </cell>
        </row>
        <row r="3936">
          <cell r="B3936" t="b">
            <v>1</v>
          </cell>
          <cell r="E3936" t="str">
            <v>Tierra Bomba</v>
          </cell>
          <cell r="H3936" t="str">
            <v>consulta_externa</v>
          </cell>
          <cell r="J3936" t="str">
            <v>bueno</v>
          </cell>
          <cell r="K3936" t="str">
            <v>probsi</v>
          </cell>
        </row>
        <row r="3937">
          <cell r="B3937" t="b">
            <v>1</v>
          </cell>
          <cell r="E3937" t="str">
            <v>Tierra Bomba</v>
          </cell>
          <cell r="H3937" t="str">
            <v>consulta_externa</v>
          </cell>
          <cell r="J3937" t="str">
            <v>bueno</v>
          </cell>
          <cell r="K3937" t="str">
            <v>probsi</v>
          </cell>
        </row>
        <row r="3938">
          <cell r="B3938" t="b">
            <v>1</v>
          </cell>
          <cell r="E3938" t="str">
            <v>Tierra Bomba</v>
          </cell>
          <cell r="H3938" t="str">
            <v>consulta_externa</v>
          </cell>
          <cell r="J3938" t="str">
            <v>bueno</v>
          </cell>
          <cell r="K3938" t="str">
            <v>probsi</v>
          </cell>
        </row>
        <row r="3939">
          <cell r="B3939" t="b">
            <v>1</v>
          </cell>
          <cell r="E3939" t="str">
            <v>Tierra Bomba</v>
          </cell>
          <cell r="H3939" t="str">
            <v>laboratorio</v>
          </cell>
          <cell r="J3939" t="str">
            <v>bueno</v>
          </cell>
          <cell r="K3939" t="str">
            <v>probsi</v>
          </cell>
        </row>
        <row r="3940">
          <cell r="B3940" t="b">
            <v>1</v>
          </cell>
          <cell r="E3940" t="str">
            <v>Tierra Bomba</v>
          </cell>
          <cell r="H3940" t="str">
            <v>laboratorio</v>
          </cell>
          <cell r="J3940" t="str">
            <v>bueno</v>
          </cell>
          <cell r="K3940" t="str">
            <v>probsi</v>
          </cell>
        </row>
        <row r="3941">
          <cell r="B3941" t="b">
            <v>1</v>
          </cell>
          <cell r="E3941" t="str">
            <v>Tierra Bomba</v>
          </cell>
          <cell r="H3941" t="str">
            <v>laboratorio</v>
          </cell>
          <cell r="J3941" t="str">
            <v>bueno</v>
          </cell>
          <cell r="K3941" t="str">
            <v>probsi</v>
          </cell>
        </row>
        <row r="3942">
          <cell r="B3942" t="b">
            <v>1</v>
          </cell>
          <cell r="E3942" t="str">
            <v>Tierra Bomba</v>
          </cell>
          <cell r="H3942" t="str">
            <v>laboratorio</v>
          </cell>
          <cell r="J3942" t="str">
            <v>bueno</v>
          </cell>
          <cell r="K3942" t="str">
            <v>probsi</v>
          </cell>
        </row>
        <row r="3943">
          <cell r="B3943" t="b">
            <v>1</v>
          </cell>
          <cell r="E3943" t="str">
            <v>Tierra Bomba</v>
          </cell>
          <cell r="H3943" t="str">
            <v>laboratorio</v>
          </cell>
          <cell r="J3943" t="str">
            <v>bueno</v>
          </cell>
          <cell r="K3943" t="str">
            <v>probsi</v>
          </cell>
        </row>
        <row r="3944">
          <cell r="B3944" t="b">
            <v>1</v>
          </cell>
          <cell r="E3944" t="str">
            <v>Tierra Bomba</v>
          </cell>
          <cell r="H3944" t="str">
            <v>laboratorio</v>
          </cell>
          <cell r="J3944" t="str">
            <v>bueno</v>
          </cell>
          <cell r="K3944" t="str">
            <v>probsi</v>
          </cell>
        </row>
        <row r="3945">
          <cell r="B3945" t="b">
            <v>1</v>
          </cell>
          <cell r="E3945" t="str">
            <v>Tierra Bomba</v>
          </cell>
          <cell r="H3945" t="str">
            <v>laboratorio</v>
          </cell>
          <cell r="J3945" t="str">
            <v>bueno</v>
          </cell>
          <cell r="K3945" t="str">
            <v>probsi</v>
          </cell>
        </row>
        <row r="3946">
          <cell r="B3946" t="b">
            <v>1</v>
          </cell>
          <cell r="E3946" t="str">
            <v>Tierra Bomba</v>
          </cell>
          <cell r="H3946" t="str">
            <v>laboratorio</v>
          </cell>
          <cell r="J3946" t="str">
            <v>bueno</v>
          </cell>
          <cell r="K3946" t="str">
            <v>probsi</v>
          </cell>
        </row>
        <row r="3947">
          <cell r="B3947" t="b">
            <v>1</v>
          </cell>
          <cell r="E3947" t="str">
            <v>Tierra Bomba</v>
          </cell>
          <cell r="H3947" t="str">
            <v>laboratorio</v>
          </cell>
          <cell r="J3947" t="str">
            <v>bueno</v>
          </cell>
          <cell r="K3947" t="str">
            <v>probsi</v>
          </cell>
        </row>
        <row r="3948">
          <cell r="B3948" t="b">
            <v>1</v>
          </cell>
          <cell r="E3948" t="str">
            <v>Tierra Bomba</v>
          </cell>
          <cell r="H3948" t="str">
            <v>laboratorio</v>
          </cell>
          <cell r="J3948" t="str">
            <v>bueno</v>
          </cell>
          <cell r="K3948" t="str">
            <v>probsi</v>
          </cell>
        </row>
        <row r="3949">
          <cell r="B3949" t="b">
            <v>1</v>
          </cell>
          <cell r="E3949" t="str">
            <v>Tierra Bomba</v>
          </cell>
          <cell r="H3949" t="str">
            <v>laboratorio</v>
          </cell>
          <cell r="J3949" t="str">
            <v>bueno</v>
          </cell>
          <cell r="K3949" t="str">
            <v>probsi</v>
          </cell>
        </row>
        <row r="3950">
          <cell r="B3950" t="b">
            <v>1</v>
          </cell>
          <cell r="E3950" t="str">
            <v>Tierra Bomba</v>
          </cell>
          <cell r="H3950" t="str">
            <v>laboratorio</v>
          </cell>
          <cell r="J3950" t="str">
            <v>bueno</v>
          </cell>
          <cell r="K3950" t="str">
            <v>probsi</v>
          </cell>
        </row>
        <row r="3951">
          <cell r="B3951" t="b">
            <v>1</v>
          </cell>
          <cell r="E3951" t="str">
            <v>Tierra Bomba</v>
          </cell>
          <cell r="H3951" t="str">
            <v>consulta_externa</v>
          </cell>
          <cell r="J3951" t="str">
            <v>bueno</v>
          </cell>
          <cell r="K3951" t="str">
            <v>probsi</v>
          </cell>
        </row>
        <row r="3952">
          <cell r="B3952" t="b">
            <v>1</v>
          </cell>
          <cell r="E3952" t="str">
            <v>Tierra Bomba</v>
          </cell>
          <cell r="H3952" t="str">
            <v>consulta_externa</v>
          </cell>
          <cell r="J3952" t="str">
            <v>bueno</v>
          </cell>
          <cell r="K3952" t="str">
            <v>probsi</v>
          </cell>
        </row>
        <row r="3953">
          <cell r="B3953" t="b">
            <v>1</v>
          </cell>
          <cell r="E3953" t="str">
            <v>Tierra Bomba</v>
          </cell>
          <cell r="H3953" t="str">
            <v>consulta_externa</v>
          </cell>
          <cell r="J3953" t="str">
            <v>bueno</v>
          </cell>
          <cell r="K3953" t="str">
            <v>probsi</v>
          </cell>
        </row>
        <row r="3954">
          <cell r="B3954" t="b">
            <v>1</v>
          </cell>
          <cell r="E3954" t="str">
            <v>Bayunca</v>
          </cell>
          <cell r="H3954" t="str">
            <v>urgencia</v>
          </cell>
          <cell r="J3954" t="str">
            <v>bueno</v>
          </cell>
          <cell r="K3954" t="str">
            <v>defsi</v>
          </cell>
        </row>
        <row r="3955">
          <cell r="B3955" t="b">
            <v>1</v>
          </cell>
          <cell r="E3955" t="str">
            <v>Punta Arena</v>
          </cell>
          <cell r="H3955" t="str">
            <v>consulta_externa</v>
          </cell>
          <cell r="J3955" t="str">
            <v>bueno</v>
          </cell>
          <cell r="K3955" t="str">
            <v>probsi</v>
          </cell>
        </row>
        <row r="3956">
          <cell r="B3956" t="b">
            <v>1</v>
          </cell>
          <cell r="E3956" t="str">
            <v>Punta Arena</v>
          </cell>
          <cell r="H3956" t="str">
            <v>consulta_externa</v>
          </cell>
          <cell r="J3956" t="str">
            <v>bueno</v>
          </cell>
          <cell r="K3956" t="str">
            <v>probsi</v>
          </cell>
        </row>
        <row r="3957">
          <cell r="B3957" t="b">
            <v>1</v>
          </cell>
          <cell r="E3957" t="str">
            <v>Punta Arena</v>
          </cell>
          <cell r="H3957" t="str">
            <v>consulta_externa</v>
          </cell>
          <cell r="J3957" t="str">
            <v>bueno</v>
          </cell>
          <cell r="K3957" t="str">
            <v>probsi</v>
          </cell>
        </row>
        <row r="3958">
          <cell r="B3958" t="b">
            <v>1</v>
          </cell>
          <cell r="E3958" t="str">
            <v>Punta Arena</v>
          </cell>
          <cell r="H3958" t="str">
            <v>consulta_externa</v>
          </cell>
          <cell r="J3958" t="str">
            <v>bueno</v>
          </cell>
          <cell r="K3958" t="str">
            <v>probsi</v>
          </cell>
        </row>
        <row r="3959">
          <cell r="B3959" t="b">
            <v>1</v>
          </cell>
          <cell r="E3959" t="str">
            <v>Punta Arena</v>
          </cell>
          <cell r="H3959" t="str">
            <v>laboratorio</v>
          </cell>
          <cell r="J3959" t="str">
            <v>bueno</v>
          </cell>
          <cell r="K3959" t="str">
            <v>probsi</v>
          </cell>
        </row>
        <row r="3960">
          <cell r="B3960" t="b">
            <v>1</v>
          </cell>
          <cell r="E3960" t="str">
            <v>Punta Arena</v>
          </cell>
          <cell r="H3960" t="str">
            <v>laboratorio</v>
          </cell>
          <cell r="J3960" t="str">
            <v>bueno</v>
          </cell>
          <cell r="K3960" t="str">
            <v>probsi</v>
          </cell>
        </row>
        <row r="3961">
          <cell r="B3961" t="b">
            <v>1</v>
          </cell>
          <cell r="E3961" t="str">
            <v>Punta Arena</v>
          </cell>
          <cell r="H3961" t="str">
            <v>laboratorio</v>
          </cell>
          <cell r="J3961" t="str">
            <v>bueno</v>
          </cell>
          <cell r="K3961" t="str">
            <v>probsi</v>
          </cell>
        </row>
        <row r="3962">
          <cell r="B3962" t="b">
            <v>1</v>
          </cell>
          <cell r="E3962" t="str">
            <v>Santa Ana</v>
          </cell>
          <cell r="H3962" t="str">
            <v>consulta_externa</v>
          </cell>
          <cell r="J3962" t="str">
            <v>bueno</v>
          </cell>
          <cell r="K3962" t="str">
            <v>probsi</v>
          </cell>
        </row>
        <row r="3963">
          <cell r="B3963" t="b">
            <v>1</v>
          </cell>
          <cell r="E3963" t="str">
            <v>Santa Ana</v>
          </cell>
          <cell r="H3963" t="str">
            <v>consulta_externa</v>
          </cell>
          <cell r="J3963" t="str">
            <v>bueno</v>
          </cell>
          <cell r="K3963" t="str">
            <v>probsi</v>
          </cell>
        </row>
        <row r="3964">
          <cell r="B3964" t="b">
            <v>1</v>
          </cell>
          <cell r="E3964" t="str">
            <v>Santa Ana</v>
          </cell>
          <cell r="H3964" t="str">
            <v>consulta_externa</v>
          </cell>
          <cell r="J3964" t="str">
            <v>bueno</v>
          </cell>
          <cell r="K3964" t="str">
            <v>probsi</v>
          </cell>
        </row>
        <row r="3965">
          <cell r="B3965" t="b">
            <v>1</v>
          </cell>
          <cell r="E3965" t="str">
            <v>Santa Ana</v>
          </cell>
          <cell r="H3965" t="str">
            <v>consulta_externa</v>
          </cell>
          <cell r="J3965" t="str">
            <v>bueno</v>
          </cell>
          <cell r="K3965" t="str">
            <v>probsi</v>
          </cell>
        </row>
        <row r="3966">
          <cell r="B3966" t="b">
            <v>1</v>
          </cell>
          <cell r="E3966" t="str">
            <v>Santa Ana</v>
          </cell>
          <cell r="H3966" t="str">
            <v>laboratorio</v>
          </cell>
          <cell r="J3966" t="str">
            <v>bueno</v>
          </cell>
          <cell r="K3966" t="str">
            <v>probsi</v>
          </cell>
        </row>
        <row r="3967">
          <cell r="B3967" t="b">
            <v>1</v>
          </cell>
          <cell r="E3967" t="str">
            <v>Santa Ana</v>
          </cell>
          <cell r="H3967" t="str">
            <v>laboratorio</v>
          </cell>
          <cell r="J3967" t="str">
            <v>bueno</v>
          </cell>
          <cell r="K3967" t="str">
            <v>probsi</v>
          </cell>
        </row>
        <row r="3968">
          <cell r="B3968" t="b">
            <v>1</v>
          </cell>
          <cell r="E3968" t="str">
            <v>Santa Ana</v>
          </cell>
          <cell r="H3968" t="str">
            <v>laboratorio</v>
          </cell>
          <cell r="J3968" t="str">
            <v>bueno</v>
          </cell>
          <cell r="K3968" t="str">
            <v>probsi</v>
          </cell>
        </row>
        <row r="3969">
          <cell r="B3969" t="b">
            <v>1</v>
          </cell>
          <cell r="E3969" t="str">
            <v>Santa Ana</v>
          </cell>
          <cell r="H3969" t="str">
            <v>laboratorio</v>
          </cell>
          <cell r="J3969" t="str">
            <v>bueno</v>
          </cell>
          <cell r="K3969" t="str">
            <v>probsi</v>
          </cell>
        </row>
        <row r="3970">
          <cell r="B3970" t="b">
            <v>1</v>
          </cell>
          <cell r="E3970" t="str">
            <v>Santa Ana</v>
          </cell>
          <cell r="H3970" t="str">
            <v>laboratorio</v>
          </cell>
          <cell r="J3970" t="str">
            <v>bueno</v>
          </cell>
          <cell r="K3970" t="str">
            <v>probsi</v>
          </cell>
        </row>
        <row r="3971">
          <cell r="B3971" t="b">
            <v>1</v>
          </cell>
          <cell r="E3971" t="str">
            <v>Santa Ana</v>
          </cell>
          <cell r="H3971" t="str">
            <v>laboratorio</v>
          </cell>
          <cell r="J3971" t="str">
            <v>bueno</v>
          </cell>
          <cell r="K3971" t="str">
            <v>probsi</v>
          </cell>
        </row>
        <row r="3972">
          <cell r="B3972" t="b">
            <v>1</v>
          </cell>
          <cell r="E3972" t="str">
            <v>Santa Ana</v>
          </cell>
          <cell r="H3972" t="str">
            <v>laboratorio</v>
          </cell>
          <cell r="J3972" t="str">
            <v>bueno</v>
          </cell>
          <cell r="K3972" t="str">
            <v>probsi</v>
          </cell>
        </row>
        <row r="3973">
          <cell r="B3973" t="b">
            <v>1</v>
          </cell>
          <cell r="E3973" t="str">
            <v>Santa Ana</v>
          </cell>
          <cell r="H3973" t="str">
            <v>laboratorio</v>
          </cell>
          <cell r="J3973" t="str">
            <v>bueno</v>
          </cell>
          <cell r="K3973" t="str">
            <v>probsi</v>
          </cell>
        </row>
        <row r="3974">
          <cell r="B3974" t="b">
            <v>1</v>
          </cell>
          <cell r="E3974" t="str">
            <v>Santa Ana</v>
          </cell>
          <cell r="H3974" t="str">
            <v>laboratorio</v>
          </cell>
          <cell r="J3974" t="str">
            <v>bueno</v>
          </cell>
          <cell r="K3974" t="str">
            <v>probsi</v>
          </cell>
        </row>
        <row r="3975">
          <cell r="B3975" t="b">
            <v>1</v>
          </cell>
          <cell r="E3975" t="str">
            <v>Santa Ana</v>
          </cell>
          <cell r="H3975" t="str">
            <v>laboratorio</v>
          </cell>
          <cell r="J3975" t="str">
            <v>bueno</v>
          </cell>
          <cell r="K3975" t="str">
            <v>probsi</v>
          </cell>
        </row>
        <row r="3976">
          <cell r="B3976" t="b">
            <v>1</v>
          </cell>
          <cell r="E3976" t="str">
            <v>Santa Ana</v>
          </cell>
          <cell r="H3976" t="str">
            <v>laboratorio</v>
          </cell>
          <cell r="J3976" t="str">
            <v>bueno</v>
          </cell>
          <cell r="K3976" t="str">
            <v>probsi</v>
          </cell>
        </row>
        <row r="3977">
          <cell r="B3977" t="b">
            <v>1</v>
          </cell>
          <cell r="E3977" t="str">
            <v>Santa Ana</v>
          </cell>
          <cell r="H3977" t="str">
            <v>laboratorio</v>
          </cell>
          <cell r="J3977" t="str">
            <v>bueno</v>
          </cell>
          <cell r="K3977" t="str">
            <v>probsi</v>
          </cell>
        </row>
        <row r="3978">
          <cell r="B3978" t="b">
            <v>1</v>
          </cell>
          <cell r="E3978" t="str">
            <v>Santa Ana</v>
          </cell>
          <cell r="H3978" t="str">
            <v>laboratorio</v>
          </cell>
          <cell r="J3978" t="str">
            <v>bueno</v>
          </cell>
          <cell r="K3978" t="str">
            <v>probsi</v>
          </cell>
        </row>
        <row r="3979">
          <cell r="B3979" t="b">
            <v>1</v>
          </cell>
          <cell r="E3979" t="str">
            <v>Santa Ana</v>
          </cell>
          <cell r="H3979" t="str">
            <v>laboratorio</v>
          </cell>
          <cell r="J3979" t="str">
            <v>bueno</v>
          </cell>
          <cell r="K3979" t="str">
            <v>probsi</v>
          </cell>
        </row>
        <row r="3980">
          <cell r="B3980" t="b">
            <v>1</v>
          </cell>
          <cell r="E3980" t="str">
            <v>Santa Ana</v>
          </cell>
          <cell r="H3980" t="str">
            <v>laboratorio</v>
          </cell>
          <cell r="J3980" t="str">
            <v>bueno</v>
          </cell>
          <cell r="K3980" t="str">
            <v>probsi</v>
          </cell>
        </row>
        <row r="3981">
          <cell r="B3981" t="b">
            <v>1</v>
          </cell>
          <cell r="E3981" t="str">
            <v>Santa Ana</v>
          </cell>
          <cell r="H3981" t="str">
            <v>laboratorio</v>
          </cell>
          <cell r="J3981" t="str">
            <v>bueno</v>
          </cell>
          <cell r="K3981" t="str">
            <v>probsi</v>
          </cell>
        </row>
        <row r="3982">
          <cell r="B3982" t="b">
            <v>1</v>
          </cell>
          <cell r="E3982" t="str">
            <v>Santa Ana</v>
          </cell>
          <cell r="H3982" t="str">
            <v>laboratorio</v>
          </cell>
          <cell r="J3982" t="str">
            <v>bueno</v>
          </cell>
          <cell r="K3982" t="str">
            <v>probsi</v>
          </cell>
        </row>
        <row r="3983">
          <cell r="B3983" t="b">
            <v>1</v>
          </cell>
          <cell r="E3983" t="str">
            <v>Bocachica</v>
          </cell>
          <cell r="H3983" t="str">
            <v>consulta_externa</v>
          </cell>
          <cell r="J3983" t="str">
            <v>bueno</v>
          </cell>
          <cell r="K3983" t="str">
            <v>defsi</v>
          </cell>
        </row>
        <row r="3984">
          <cell r="B3984" t="b">
            <v>1</v>
          </cell>
          <cell r="E3984" t="str">
            <v>Bocachica</v>
          </cell>
          <cell r="H3984" t="str">
            <v>salud_oral</v>
          </cell>
          <cell r="J3984" t="str">
            <v>bueno</v>
          </cell>
          <cell r="K3984" t="str">
            <v>defsi</v>
          </cell>
        </row>
        <row r="3985">
          <cell r="B3985" t="b">
            <v>1</v>
          </cell>
          <cell r="E3985" t="str">
            <v>Bocachica</v>
          </cell>
          <cell r="H3985" t="str">
            <v>laboratorio</v>
          </cell>
          <cell r="J3985" t="str">
            <v>bueno</v>
          </cell>
          <cell r="K3985" t="str">
            <v>defsi</v>
          </cell>
        </row>
        <row r="3986">
          <cell r="B3986" t="b">
            <v>1</v>
          </cell>
          <cell r="E3986" t="str">
            <v>Bocachica</v>
          </cell>
          <cell r="H3986" t="str">
            <v>urgencia</v>
          </cell>
          <cell r="J3986" t="str">
            <v>bueno</v>
          </cell>
          <cell r="K3986" t="str">
            <v>defsi</v>
          </cell>
        </row>
        <row r="3987">
          <cell r="B3987" t="b">
            <v>1</v>
          </cell>
          <cell r="E3987" t="str">
            <v>Tierra Bomba</v>
          </cell>
          <cell r="H3987" t="str">
            <v>laboratorio</v>
          </cell>
          <cell r="J3987" t="str">
            <v>bueno</v>
          </cell>
          <cell r="K3987" t="str">
            <v>probsi</v>
          </cell>
        </row>
        <row r="3988">
          <cell r="B3988" t="b">
            <v>1</v>
          </cell>
          <cell r="E3988" t="str">
            <v>Tierra Bomba</v>
          </cell>
          <cell r="H3988" t="str">
            <v>consulta_externa</v>
          </cell>
          <cell r="J3988" t="str">
            <v>bueno</v>
          </cell>
          <cell r="K3988" t="str">
            <v>probsi</v>
          </cell>
        </row>
        <row r="3989">
          <cell r="B3989" t="b">
            <v>1</v>
          </cell>
          <cell r="E3989" t="str">
            <v>Tierra Bomba</v>
          </cell>
          <cell r="H3989" t="str">
            <v>consulta_externa</v>
          </cell>
          <cell r="J3989" t="str">
            <v>bueno</v>
          </cell>
          <cell r="K3989" t="str">
            <v>probsi</v>
          </cell>
        </row>
        <row r="3990">
          <cell r="B3990" t="b">
            <v>1</v>
          </cell>
          <cell r="E3990" t="str">
            <v>Tierra Bomba</v>
          </cell>
          <cell r="H3990" t="str">
            <v>consulta_externa</v>
          </cell>
          <cell r="J3990" t="str">
            <v>bueno</v>
          </cell>
          <cell r="K3990" t="str">
            <v>probsi</v>
          </cell>
        </row>
        <row r="3991">
          <cell r="B3991" t="b">
            <v>1</v>
          </cell>
          <cell r="E3991" t="str">
            <v>Tierra Bomba</v>
          </cell>
          <cell r="H3991" t="str">
            <v>consulta_externa</v>
          </cell>
          <cell r="J3991" t="str">
            <v>bueno</v>
          </cell>
          <cell r="K3991" t="str">
            <v>probsi</v>
          </cell>
        </row>
        <row r="3992">
          <cell r="B3992" t="b">
            <v>1</v>
          </cell>
          <cell r="E3992" t="str">
            <v>Tierra Bomba</v>
          </cell>
          <cell r="H3992" t="str">
            <v>consulta_externa</v>
          </cell>
          <cell r="J3992" t="str">
            <v>bueno</v>
          </cell>
          <cell r="K3992" t="str">
            <v>probsi</v>
          </cell>
        </row>
        <row r="3993">
          <cell r="B3993" t="b">
            <v>1</v>
          </cell>
          <cell r="E3993" t="str">
            <v>Tierra Bomba</v>
          </cell>
          <cell r="H3993" t="str">
            <v>salud_oral</v>
          </cell>
          <cell r="J3993" t="str">
            <v>bueno</v>
          </cell>
          <cell r="K3993" t="str">
            <v>probsi</v>
          </cell>
        </row>
        <row r="3994">
          <cell r="B3994" t="b">
            <v>1</v>
          </cell>
          <cell r="E3994" t="str">
            <v>Tierra Bomba</v>
          </cell>
          <cell r="H3994" t="str">
            <v>laboratorio</v>
          </cell>
          <cell r="J3994" t="str">
            <v>bueno</v>
          </cell>
          <cell r="K3994" t="str">
            <v>probsi</v>
          </cell>
        </row>
        <row r="3995">
          <cell r="B3995" t="b">
            <v>1</v>
          </cell>
          <cell r="E3995" t="str">
            <v>Tierra Bomba</v>
          </cell>
          <cell r="H3995" t="str">
            <v>consulta_externa</v>
          </cell>
          <cell r="J3995" t="str">
            <v>bueno</v>
          </cell>
          <cell r="K3995" t="str">
            <v>probsi</v>
          </cell>
        </row>
        <row r="3996">
          <cell r="B3996" t="b">
            <v>1</v>
          </cell>
          <cell r="E3996" t="str">
            <v>Tierra Bomba</v>
          </cell>
          <cell r="H3996" t="str">
            <v>consulta_externa</v>
          </cell>
          <cell r="J3996" t="str">
            <v>bueno</v>
          </cell>
          <cell r="K3996" t="str">
            <v>probsi</v>
          </cell>
        </row>
        <row r="3997">
          <cell r="B3997" t="b">
            <v>1</v>
          </cell>
          <cell r="E3997" t="str">
            <v>Tierra Bomba</v>
          </cell>
          <cell r="H3997" t="str">
            <v>laboratorio</v>
          </cell>
          <cell r="J3997" t="str">
            <v>bueno</v>
          </cell>
          <cell r="K3997" t="str">
            <v>probsi</v>
          </cell>
        </row>
        <row r="3998">
          <cell r="B3998" t="b">
            <v>1</v>
          </cell>
          <cell r="E3998" t="str">
            <v>Bayunca</v>
          </cell>
          <cell r="H3998" t="str">
            <v>salud_oral</v>
          </cell>
          <cell r="J3998" t="str">
            <v>bueno</v>
          </cell>
          <cell r="K3998" t="str">
            <v>defsi</v>
          </cell>
        </row>
        <row r="3999">
          <cell r="B3999" t="b">
            <v>1</v>
          </cell>
          <cell r="E3999" t="str">
            <v>Bayunca</v>
          </cell>
          <cell r="H3999" t="str">
            <v>urgencia</v>
          </cell>
          <cell r="J3999" t="str">
            <v>bueno</v>
          </cell>
          <cell r="K3999" t="str">
            <v>defsi</v>
          </cell>
        </row>
        <row r="4000">
          <cell r="B4000" t="b">
            <v>0</v>
          </cell>
          <cell r="E4000" t="str">
            <v>Bayunca</v>
          </cell>
          <cell r="H4000" t="str">
            <v>urgencia</v>
          </cell>
          <cell r="J4000" t="str">
            <v>regular</v>
          </cell>
          <cell r="K4000" t="str">
            <v>defsi</v>
          </cell>
        </row>
        <row r="4001">
          <cell r="B4001" t="b">
            <v>1</v>
          </cell>
          <cell r="E4001" t="str">
            <v>Bayunca</v>
          </cell>
          <cell r="H4001" t="str">
            <v>urgencia</v>
          </cell>
          <cell r="J4001" t="str">
            <v>bueno</v>
          </cell>
          <cell r="K4001" t="str">
            <v>defsi</v>
          </cell>
        </row>
        <row r="4002">
          <cell r="B4002" t="b">
            <v>0</v>
          </cell>
          <cell r="E4002" t="str">
            <v>Bayunca</v>
          </cell>
          <cell r="H4002" t="str">
            <v>urgencia</v>
          </cell>
          <cell r="J4002" t="str">
            <v>regular</v>
          </cell>
          <cell r="K4002" t="str">
            <v>defsi</v>
          </cell>
        </row>
        <row r="4003">
          <cell r="B4003" t="b">
            <v>1</v>
          </cell>
          <cell r="E4003" t="str">
            <v>Bayunca</v>
          </cell>
          <cell r="H4003" t="str">
            <v>urgencia</v>
          </cell>
          <cell r="J4003" t="str">
            <v>bueno</v>
          </cell>
          <cell r="K4003" t="str">
            <v>defsi</v>
          </cell>
        </row>
        <row r="4004">
          <cell r="B4004" t="b">
            <v>0</v>
          </cell>
          <cell r="E4004" t="str">
            <v>Bayunca</v>
          </cell>
          <cell r="H4004" t="str">
            <v>urgencia</v>
          </cell>
          <cell r="J4004" t="str">
            <v>regular</v>
          </cell>
          <cell r="K4004" t="str">
            <v>probsi</v>
          </cell>
        </row>
        <row r="4005">
          <cell r="B4005" t="b">
            <v>0</v>
          </cell>
          <cell r="E4005" t="str">
            <v>Bayunca</v>
          </cell>
          <cell r="H4005" t="str">
            <v>urgencia</v>
          </cell>
          <cell r="J4005" t="str">
            <v>regular</v>
          </cell>
          <cell r="K4005" t="str">
            <v>probsi</v>
          </cell>
        </row>
        <row r="4006">
          <cell r="B4006" t="b">
            <v>1</v>
          </cell>
          <cell r="E4006" t="str">
            <v>Bocachica</v>
          </cell>
          <cell r="H4006" t="str">
            <v>consulta_externa</v>
          </cell>
          <cell r="J4006" t="str">
            <v>bueno</v>
          </cell>
          <cell r="K4006" t="str">
            <v>defsi</v>
          </cell>
        </row>
        <row r="4007">
          <cell r="B4007" t="b">
            <v>1</v>
          </cell>
          <cell r="E4007" t="str">
            <v>Bocachica</v>
          </cell>
          <cell r="H4007" t="str">
            <v>salud_oral</v>
          </cell>
          <cell r="J4007" t="str">
            <v>bueno</v>
          </cell>
          <cell r="K4007" t="str">
            <v>defsi</v>
          </cell>
        </row>
        <row r="4008">
          <cell r="B4008" t="b">
            <v>1</v>
          </cell>
          <cell r="E4008" t="str">
            <v>Bocachica</v>
          </cell>
          <cell r="H4008" t="str">
            <v>laboratorio</v>
          </cell>
          <cell r="J4008" t="str">
            <v>bueno</v>
          </cell>
          <cell r="K4008" t="str">
            <v>defsi</v>
          </cell>
        </row>
        <row r="4009">
          <cell r="B4009" t="b">
            <v>1</v>
          </cell>
          <cell r="E4009" t="str">
            <v>Bocachica</v>
          </cell>
          <cell r="H4009" t="str">
            <v>urgencia</v>
          </cell>
          <cell r="J4009" t="str">
            <v>bueno</v>
          </cell>
          <cell r="K4009" t="str">
            <v>defsi</v>
          </cell>
        </row>
        <row r="4010">
          <cell r="B4010" t="b">
            <v>1</v>
          </cell>
          <cell r="E4010" t="str">
            <v>Bayunca</v>
          </cell>
          <cell r="H4010" t="str">
            <v>salud_oral</v>
          </cell>
          <cell r="J4010" t="str">
            <v>bueno</v>
          </cell>
          <cell r="K4010" t="str">
            <v>defsi</v>
          </cell>
        </row>
        <row r="4011">
          <cell r="B4011" t="b">
            <v>1</v>
          </cell>
          <cell r="E4011" t="str">
            <v>Pontezuela</v>
          </cell>
          <cell r="H4011" t="str">
            <v>consulta_externa</v>
          </cell>
          <cell r="J4011" t="str">
            <v>bueno</v>
          </cell>
          <cell r="K4011" t="str">
            <v>defsi</v>
          </cell>
        </row>
        <row r="4012">
          <cell r="B4012" t="b">
            <v>1</v>
          </cell>
          <cell r="E4012" t="str">
            <v>Pontezuela</v>
          </cell>
          <cell r="H4012" t="str">
            <v>salud_oral</v>
          </cell>
          <cell r="J4012" t="str">
            <v>bueno</v>
          </cell>
          <cell r="K4012" t="str">
            <v>defsi</v>
          </cell>
        </row>
        <row r="4013">
          <cell r="B4013" t="b">
            <v>1</v>
          </cell>
          <cell r="E4013" t="str">
            <v>Pontezuela</v>
          </cell>
          <cell r="H4013" t="str">
            <v>consulta_externa</v>
          </cell>
          <cell r="J4013" t="str">
            <v>bueno</v>
          </cell>
          <cell r="K4013" t="str">
            <v>defsi</v>
          </cell>
        </row>
        <row r="4014">
          <cell r="B4014" t="b">
            <v>1</v>
          </cell>
          <cell r="E4014" t="str">
            <v>Pontezuela</v>
          </cell>
          <cell r="H4014" t="str">
            <v>salud_oral</v>
          </cell>
          <cell r="J4014" t="str">
            <v>bueno</v>
          </cell>
          <cell r="K4014" t="str">
            <v>defsi</v>
          </cell>
        </row>
        <row r="4015">
          <cell r="B4015" t="b">
            <v>1</v>
          </cell>
          <cell r="E4015" t="str">
            <v>Pontezuela</v>
          </cell>
          <cell r="H4015" t="str">
            <v>salud_oral</v>
          </cell>
          <cell r="J4015" t="str">
            <v>bueno</v>
          </cell>
          <cell r="K4015" t="str">
            <v>defsi</v>
          </cell>
        </row>
        <row r="4016">
          <cell r="B4016" t="b">
            <v>1</v>
          </cell>
          <cell r="E4016" t="str">
            <v>Pontezuela</v>
          </cell>
          <cell r="H4016" t="str">
            <v>consulta_externa</v>
          </cell>
          <cell r="J4016" t="str">
            <v>bueno</v>
          </cell>
          <cell r="K4016" t="str">
            <v>defsi</v>
          </cell>
        </row>
        <row r="4017">
          <cell r="B4017" t="b">
            <v>1</v>
          </cell>
          <cell r="E4017" t="str">
            <v>Pontezuela</v>
          </cell>
          <cell r="H4017" t="str">
            <v>consulta_externa</v>
          </cell>
          <cell r="J4017" t="str">
            <v>bueno</v>
          </cell>
          <cell r="K4017" t="str">
            <v>defsi</v>
          </cell>
        </row>
        <row r="4018">
          <cell r="B4018" t="b">
            <v>1</v>
          </cell>
          <cell r="E4018" t="str">
            <v>Pontezuela</v>
          </cell>
          <cell r="H4018" t="str">
            <v>consulta_externa</v>
          </cell>
          <cell r="J4018" t="str">
            <v>muybueno</v>
          </cell>
          <cell r="K4018" t="str">
            <v>defsi</v>
          </cell>
        </row>
        <row r="4019">
          <cell r="B4019" t="b">
            <v>1</v>
          </cell>
          <cell r="E4019" t="str">
            <v>Pontezuela</v>
          </cell>
          <cell r="H4019" t="str">
            <v>salud_oral</v>
          </cell>
          <cell r="J4019" t="str">
            <v>bueno</v>
          </cell>
          <cell r="K4019" t="str">
            <v>defsi</v>
          </cell>
        </row>
        <row r="4020">
          <cell r="B4020" t="b">
            <v>1</v>
          </cell>
          <cell r="E4020" t="str">
            <v>Bocachica</v>
          </cell>
          <cell r="H4020" t="str">
            <v>consulta_externa</v>
          </cell>
          <cell r="J4020" t="str">
            <v>bueno</v>
          </cell>
          <cell r="K4020" t="str">
            <v>defsi</v>
          </cell>
        </row>
        <row r="4021">
          <cell r="B4021" t="b">
            <v>1</v>
          </cell>
          <cell r="E4021" t="str">
            <v>Bocachica</v>
          </cell>
          <cell r="H4021" t="str">
            <v>salud_oral</v>
          </cell>
          <cell r="J4021" t="str">
            <v>bueno</v>
          </cell>
          <cell r="K4021" t="str">
            <v>defsi</v>
          </cell>
        </row>
        <row r="4022">
          <cell r="B4022" t="b">
            <v>1</v>
          </cell>
          <cell r="E4022" t="str">
            <v>Pontezuela</v>
          </cell>
          <cell r="H4022" t="str">
            <v>salud_oral</v>
          </cell>
          <cell r="J4022" t="str">
            <v>bueno</v>
          </cell>
          <cell r="K4022" t="str">
            <v>defsi</v>
          </cell>
        </row>
        <row r="4023">
          <cell r="B4023" t="b">
            <v>1</v>
          </cell>
          <cell r="E4023" t="str">
            <v>Pontezuela</v>
          </cell>
          <cell r="H4023" t="str">
            <v>salud_oral</v>
          </cell>
          <cell r="J4023" t="str">
            <v>bueno</v>
          </cell>
          <cell r="K4023" t="str">
            <v>defsi</v>
          </cell>
        </row>
        <row r="4024">
          <cell r="B4024" t="b">
            <v>1</v>
          </cell>
          <cell r="E4024" t="str">
            <v>Pontezuela</v>
          </cell>
          <cell r="H4024" t="str">
            <v>consulta_externa</v>
          </cell>
          <cell r="J4024" t="str">
            <v>bueno</v>
          </cell>
          <cell r="K4024" t="str">
            <v>defsi</v>
          </cell>
        </row>
        <row r="4025">
          <cell r="B4025" t="b">
            <v>1</v>
          </cell>
          <cell r="E4025" t="str">
            <v>Bocachica</v>
          </cell>
          <cell r="H4025" t="str">
            <v>laboratorio</v>
          </cell>
          <cell r="J4025" t="str">
            <v>bueno</v>
          </cell>
          <cell r="K4025" t="str">
            <v>defsi</v>
          </cell>
        </row>
        <row r="4026">
          <cell r="B4026" t="b">
            <v>1</v>
          </cell>
          <cell r="E4026" t="str">
            <v>Pontezuela</v>
          </cell>
          <cell r="H4026" t="str">
            <v>consulta_externa</v>
          </cell>
          <cell r="J4026" t="str">
            <v>muybueno</v>
          </cell>
          <cell r="K4026" t="str">
            <v>defsi</v>
          </cell>
        </row>
        <row r="4027">
          <cell r="B4027" t="b">
            <v>1</v>
          </cell>
          <cell r="E4027" t="str">
            <v>Pontezuela</v>
          </cell>
          <cell r="H4027" t="str">
            <v>salud_oral</v>
          </cell>
          <cell r="J4027" t="str">
            <v>bueno</v>
          </cell>
          <cell r="K4027" t="str">
            <v>defsi</v>
          </cell>
        </row>
        <row r="4028">
          <cell r="B4028" t="b">
            <v>1</v>
          </cell>
          <cell r="E4028" t="str">
            <v>Pontezuela</v>
          </cell>
          <cell r="H4028" t="str">
            <v>consulta_externa</v>
          </cell>
          <cell r="J4028" t="str">
            <v>bueno</v>
          </cell>
          <cell r="K4028" t="str">
            <v>defsi</v>
          </cell>
        </row>
        <row r="4029">
          <cell r="B4029" t="b">
            <v>1</v>
          </cell>
          <cell r="E4029" t="str">
            <v>Pontezuela</v>
          </cell>
          <cell r="H4029" t="str">
            <v>salud_oral</v>
          </cell>
          <cell r="J4029" t="str">
            <v>bueno</v>
          </cell>
          <cell r="K4029" t="str">
            <v>defsi</v>
          </cell>
        </row>
        <row r="4030">
          <cell r="B4030" t="b">
            <v>1</v>
          </cell>
          <cell r="E4030" t="str">
            <v>Pontezuela</v>
          </cell>
          <cell r="H4030" t="str">
            <v>consulta_externa</v>
          </cell>
          <cell r="J4030" t="str">
            <v>bueno</v>
          </cell>
          <cell r="K4030" t="str">
            <v>defsi</v>
          </cell>
        </row>
        <row r="4031">
          <cell r="B4031" t="b">
            <v>1</v>
          </cell>
          <cell r="E4031" t="str">
            <v>Pontezuela</v>
          </cell>
          <cell r="H4031" t="str">
            <v>salud_oral</v>
          </cell>
          <cell r="J4031" t="str">
            <v>bueno</v>
          </cell>
          <cell r="K4031" t="str">
            <v>defsi</v>
          </cell>
        </row>
        <row r="4032">
          <cell r="B4032" t="b">
            <v>1</v>
          </cell>
          <cell r="E4032" t="str">
            <v>Pontezuela</v>
          </cell>
          <cell r="H4032" t="str">
            <v>salud_oral</v>
          </cell>
          <cell r="J4032" t="str">
            <v>bueno</v>
          </cell>
          <cell r="K4032" t="str">
            <v>defsi</v>
          </cell>
        </row>
        <row r="4033">
          <cell r="B4033" t="b">
            <v>1</v>
          </cell>
          <cell r="E4033" t="str">
            <v>Pontezuela</v>
          </cell>
          <cell r="H4033" t="str">
            <v>consulta_externa</v>
          </cell>
          <cell r="J4033" t="str">
            <v>bueno</v>
          </cell>
          <cell r="K4033" t="str">
            <v>defsi</v>
          </cell>
        </row>
        <row r="4034">
          <cell r="B4034" t="b">
            <v>1</v>
          </cell>
          <cell r="E4034" t="str">
            <v>Pontezuela</v>
          </cell>
          <cell r="H4034" t="str">
            <v>consulta_externa</v>
          </cell>
          <cell r="J4034" t="str">
            <v>bueno</v>
          </cell>
          <cell r="K4034" t="str">
            <v>defsi</v>
          </cell>
        </row>
        <row r="4035">
          <cell r="B4035" t="b">
            <v>1</v>
          </cell>
          <cell r="E4035" t="str">
            <v>Pontezuela</v>
          </cell>
          <cell r="H4035" t="str">
            <v>salud_oral</v>
          </cell>
          <cell r="J4035" t="str">
            <v>muybueno</v>
          </cell>
          <cell r="K4035" t="str">
            <v>defsi</v>
          </cell>
        </row>
        <row r="4036">
          <cell r="B4036" t="b">
            <v>1</v>
          </cell>
          <cell r="E4036" t="str">
            <v>Pontezuela</v>
          </cell>
          <cell r="H4036" t="str">
            <v>salud_oral</v>
          </cell>
          <cell r="J4036" t="str">
            <v>bueno</v>
          </cell>
          <cell r="K4036" t="str">
            <v>defsi</v>
          </cell>
        </row>
        <row r="4037">
          <cell r="B4037" t="b">
            <v>1</v>
          </cell>
          <cell r="E4037" t="str">
            <v>Pontezuela</v>
          </cell>
          <cell r="H4037" t="str">
            <v>consulta_externa</v>
          </cell>
          <cell r="J4037" t="str">
            <v>muybueno</v>
          </cell>
          <cell r="K4037" t="str">
            <v>defsi</v>
          </cell>
        </row>
        <row r="4038">
          <cell r="B4038" t="b">
            <v>1</v>
          </cell>
          <cell r="E4038" t="str">
            <v>Bocachica</v>
          </cell>
          <cell r="H4038" t="str">
            <v>consulta_externa</v>
          </cell>
          <cell r="J4038" t="str">
            <v>bueno</v>
          </cell>
          <cell r="K4038" t="str">
            <v>defsi</v>
          </cell>
        </row>
        <row r="4039">
          <cell r="B4039" t="b">
            <v>1</v>
          </cell>
          <cell r="E4039" t="str">
            <v>Bocachica</v>
          </cell>
          <cell r="H4039" t="str">
            <v>salud_oral</v>
          </cell>
          <cell r="J4039" t="str">
            <v>bueno</v>
          </cell>
          <cell r="K4039" t="str">
            <v>defsi</v>
          </cell>
        </row>
        <row r="4040">
          <cell r="B4040" t="b">
            <v>1</v>
          </cell>
          <cell r="E4040" t="str">
            <v>Bocachica</v>
          </cell>
          <cell r="H4040" t="str">
            <v>laboratorio</v>
          </cell>
          <cell r="J4040" t="str">
            <v>bueno</v>
          </cell>
          <cell r="K4040" t="str">
            <v>defsi</v>
          </cell>
        </row>
        <row r="4041">
          <cell r="B4041" t="b">
            <v>1</v>
          </cell>
          <cell r="E4041" t="str">
            <v>Bocachica</v>
          </cell>
          <cell r="H4041" t="str">
            <v>urgencia</v>
          </cell>
          <cell r="J4041" t="str">
            <v>bueno</v>
          </cell>
          <cell r="K4041" t="str">
            <v>defsi</v>
          </cell>
        </row>
        <row r="4042">
          <cell r="B4042" t="b">
            <v>1</v>
          </cell>
          <cell r="E4042" t="str">
            <v>Pontezuela</v>
          </cell>
          <cell r="H4042" t="str">
            <v>consulta_externa</v>
          </cell>
          <cell r="J4042" t="str">
            <v>bueno</v>
          </cell>
          <cell r="K4042" t="str">
            <v>defsi</v>
          </cell>
        </row>
        <row r="4043">
          <cell r="B4043" t="b">
            <v>1</v>
          </cell>
          <cell r="E4043" t="str">
            <v>Pontezuela</v>
          </cell>
          <cell r="H4043" t="str">
            <v>salud_oral</v>
          </cell>
          <cell r="J4043" t="str">
            <v>bueno</v>
          </cell>
          <cell r="K4043" t="str">
            <v>defsi</v>
          </cell>
        </row>
        <row r="4044">
          <cell r="B4044" t="b">
            <v>1</v>
          </cell>
          <cell r="E4044" t="str">
            <v>Pontezuela</v>
          </cell>
          <cell r="H4044" t="str">
            <v>salud_oral</v>
          </cell>
          <cell r="J4044" t="str">
            <v>bueno</v>
          </cell>
          <cell r="K4044" t="str">
            <v>defsi</v>
          </cell>
        </row>
        <row r="4045">
          <cell r="B4045" t="b">
            <v>1</v>
          </cell>
          <cell r="E4045" t="str">
            <v>Pontezuela</v>
          </cell>
          <cell r="H4045" t="str">
            <v>consulta_externa</v>
          </cell>
          <cell r="J4045" t="str">
            <v>bueno</v>
          </cell>
          <cell r="K4045" t="str">
            <v>defsi</v>
          </cell>
        </row>
        <row r="4046">
          <cell r="B4046" t="b">
            <v>1</v>
          </cell>
          <cell r="E4046" t="str">
            <v>Pontezuela</v>
          </cell>
          <cell r="H4046" t="str">
            <v>salud_oral</v>
          </cell>
          <cell r="J4046" t="str">
            <v>bueno</v>
          </cell>
          <cell r="K4046" t="str">
            <v>defsi</v>
          </cell>
        </row>
        <row r="4047">
          <cell r="B4047" t="b">
            <v>1</v>
          </cell>
          <cell r="E4047" t="str">
            <v>Pontezuela</v>
          </cell>
          <cell r="H4047" t="str">
            <v>consulta_externa</v>
          </cell>
          <cell r="J4047" t="str">
            <v>bueno</v>
          </cell>
          <cell r="K4047" t="str">
            <v>defsi</v>
          </cell>
        </row>
        <row r="4048">
          <cell r="B4048" t="b">
            <v>1</v>
          </cell>
          <cell r="E4048" t="str">
            <v>Pontezuela</v>
          </cell>
          <cell r="H4048" t="str">
            <v>consulta_externa</v>
          </cell>
          <cell r="J4048" t="str">
            <v>bueno</v>
          </cell>
          <cell r="K4048" t="str">
            <v>defsi</v>
          </cell>
        </row>
        <row r="4049">
          <cell r="B4049" t="b">
            <v>1</v>
          </cell>
          <cell r="E4049" t="str">
            <v>Pontezuela</v>
          </cell>
          <cell r="H4049" t="str">
            <v>consulta_externa</v>
          </cell>
          <cell r="J4049" t="str">
            <v>bueno</v>
          </cell>
          <cell r="K4049" t="str">
            <v>defsi</v>
          </cell>
        </row>
        <row r="4050">
          <cell r="B4050" t="b">
            <v>1</v>
          </cell>
          <cell r="E4050" t="str">
            <v>Pontezuela</v>
          </cell>
          <cell r="H4050" t="str">
            <v>salud_oral</v>
          </cell>
          <cell r="J4050" t="str">
            <v>muybueno</v>
          </cell>
          <cell r="K4050" t="str">
            <v>defsi</v>
          </cell>
        </row>
        <row r="4051">
          <cell r="B4051" t="b">
            <v>1</v>
          </cell>
          <cell r="E4051" t="str">
            <v>Pontezuela</v>
          </cell>
          <cell r="H4051" t="str">
            <v>salud_oral</v>
          </cell>
          <cell r="J4051" t="str">
            <v>bueno</v>
          </cell>
          <cell r="K4051" t="str">
            <v>defsi</v>
          </cell>
        </row>
        <row r="4052">
          <cell r="B4052" t="b">
            <v>1</v>
          </cell>
          <cell r="E4052" t="str">
            <v>Pontezuela</v>
          </cell>
          <cell r="H4052" t="str">
            <v>salud_oral</v>
          </cell>
          <cell r="J4052" t="str">
            <v>bueno</v>
          </cell>
          <cell r="K4052" t="str">
            <v>defsi</v>
          </cell>
        </row>
        <row r="4053">
          <cell r="B4053" t="b">
            <v>1</v>
          </cell>
          <cell r="E4053" t="str">
            <v>Pontezuela</v>
          </cell>
          <cell r="H4053" t="str">
            <v>consulta_externa</v>
          </cell>
          <cell r="J4053" t="str">
            <v>muybueno</v>
          </cell>
          <cell r="K4053" t="str">
            <v>defsi</v>
          </cell>
        </row>
        <row r="4054">
          <cell r="B4054" t="b">
            <v>1</v>
          </cell>
          <cell r="E4054" t="str">
            <v>Pontezuela</v>
          </cell>
          <cell r="H4054" t="str">
            <v>consulta_externa</v>
          </cell>
          <cell r="J4054" t="str">
            <v>bueno</v>
          </cell>
          <cell r="K4054" t="str">
            <v>defsi</v>
          </cell>
        </row>
        <row r="4055">
          <cell r="B4055" t="b">
            <v>1</v>
          </cell>
          <cell r="E4055" t="str">
            <v>Pontezuela</v>
          </cell>
          <cell r="H4055" t="str">
            <v>salud_oral</v>
          </cell>
          <cell r="J4055" t="str">
            <v>bueno</v>
          </cell>
          <cell r="K4055" t="str">
            <v>defsi</v>
          </cell>
        </row>
        <row r="4056">
          <cell r="B4056" t="b">
            <v>1</v>
          </cell>
          <cell r="E4056" t="str">
            <v>Bocachica</v>
          </cell>
          <cell r="H4056" t="str">
            <v>consulta_externa</v>
          </cell>
          <cell r="J4056" t="str">
            <v>bueno</v>
          </cell>
          <cell r="K4056" t="str">
            <v>defsi</v>
          </cell>
        </row>
        <row r="4057">
          <cell r="B4057" t="b">
            <v>1</v>
          </cell>
          <cell r="E4057" t="str">
            <v>Bocachica</v>
          </cell>
          <cell r="H4057" t="str">
            <v>salud_oral</v>
          </cell>
          <cell r="J4057" t="str">
            <v>bueno</v>
          </cell>
          <cell r="K4057" t="str">
            <v>defsi</v>
          </cell>
        </row>
        <row r="4058">
          <cell r="B4058" t="b">
            <v>1</v>
          </cell>
          <cell r="E4058" t="str">
            <v>Bocachica</v>
          </cell>
          <cell r="H4058" t="str">
            <v>laboratorio</v>
          </cell>
          <cell r="J4058" t="str">
            <v>bueno</v>
          </cell>
          <cell r="K4058" t="str">
            <v>defsi</v>
          </cell>
        </row>
        <row r="4059">
          <cell r="B4059" t="b">
            <v>1</v>
          </cell>
          <cell r="E4059" t="str">
            <v>Bocachica</v>
          </cell>
          <cell r="H4059" t="str">
            <v>urgencia</v>
          </cell>
          <cell r="J4059" t="str">
            <v>bueno</v>
          </cell>
          <cell r="K4059" t="str">
            <v>defsi</v>
          </cell>
        </row>
        <row r="4060">
          <cell r="B4060" t="b">
            <v>1</v>
          </cell>
          <cell r="E4060" t="str">
            <v>Bocachica</v>
          </cell>
          <cell r="H4060" t="str">
            <v>consulta_externa</v>
          </cell>
          <cell r="J4060" t="str">
            <v>bueno</v>
          </cell>
          <cell r="K4060" t="str">
            <v>defsi</v>
          </cell>
        </row>
        <row r="4061">
          <cell r="B4061" t="b">
            <v>1</v>
          </cell>
          <cell r="E4061" t="str">
            <v>Bocachica</v>
          </cell>
          <cell r="H4061" t="str">
            <v>salud_oral</v>
          </cell>
          <cell r="J4061" t="str">
            <v>bueno</v>
          </cell>
          <cell r="K4061" t="str">
            <v>defsi</v>
          </cell>
        </row>
        <row r="4062">
          <cell r="B4062" t="b">
            <v>1</v>
          </cell>
          <cell r="E4062" t="str">
            <v>Bocachica</v>
          </cell>
          <cell r="H4062" t="str">
            <v>laboratorio</v>
          </cell>
          <cell r="J4062" t="str">
            <v>bueno</v>
          </cell>
          <cell r="K4062" t="str">
            <v>defsi</v>
          </cell>
        </row>
        <row r="4063">
          <cell r="B4063" t="b">
            <v>1</v>
          </cell>
          <cell r="E4063" t="str">
            <v>Bocachica</v>
          </cell>
          <cell r="H4063" t="str">
            <v>urgencia</v>
          </cell>
          <cell r="J4063" t="str">
            <v>bueno</v>
          </cell>
          <cell r="K4063" t="str">
            <v>defsi</v>
          </cell>
        </row>
        <row r="4064">
          <cell r="B4064" t="b">
            <v>1</v>
          </cell>
          <cell r="E4064" t="str">
            <v>Punta Arena</v>
          </cell>
          <cell r="H4064" t="str">
            <v>consulta_externa</v>
          </cell>
          <cell r="J4064" t="str">
            <v>bueno</v>
          </cell>
          <cell r="K4064" t="str">
            <v>probsi</v>
          </cell>
        </row>
        <row r="4065">
          <cell r="B4065" t="b">
            <v>1</v>
          </cell>
          <cell r="E4065" t="str">
            <v>Punta Arena</v>
          </cell>
          <cell r="H4065" t="str">
            <v>consulta_externa</v>
          </cell>
          <cell r="J4065" t="str">
            <v>bueno</v>
          </cell>
          <cell r="K4065" t="str">
            <v>probsi</v>
          </cell>
        </row>
        <row r="4066">
          <cell r="B4066" t="b">
            <v>1</v>
          </cell>
          <cell r="E4066" t="str">
            <v>Punta Arena</v>
          </cell>
          <cell r="H4066" t="str">
            <v>consulta_externa</v>
          </cell>
          <cell r="J4066" t="str">
            <v>bueno</v>
          </cell>
          <cell r="K4066" t="str">
            <v>probsi</v>
          </cell>
        </row>
        <row r="4067">
          <cell r="B4067" t="b">
            <v>1</v>
          </cell>
          <cell r="E4067" t="str">
            <v>Punta Arena</v>
          </cell>
          <cell r="H4067" t="str">
            <v>consulta_externa</v>
          </cell>
          <cell r="J4067" t="str">
            <v>bueno</v>
          </cell>
          <cell r="K4067" t="str">
            <v>probsi</v>
          </cell>
        </row>
        <row r="4068">
          <cell r="B4068" t="b">
            <v>1</v>
          </cell>
          <cell r="E4068" t="str">
            <v>Punta Arena</v>
          </cell>
          <cell r="H4068" t="str">
            <v>consulta_externa</v>
          </cell>
          <cell r="J4068" t="str">
            <v>bueno</v>
          </cell>
          <cell r="K4068" t="str">
            <v>probsi</v>
          </cell>
        </row>
        <row r="4069">
          <cell r="B4069" t="b">
            <v>1</v>
          </cell>
          <cell r="E4069" t="str">
            <v>Punta Arena</v>
          </cell>
          <cell r="H4069" t="str">
            <v>consulta_externa</v>
          </cell>
          <cell r="J4069" t="str">
            <v>bueno</v>
          </cell>
          <cell r="K4069" t="str">
            <v>probsi</v>
          </cell>
        </row>
        <row r="4070">
          <cell r="B4070" t="b">
            <v>1</v>
          </cell>
          <cell r="E4070" t="str">
            <v>Punta Arena</v>
          </cell>
          <cell r="H4070" t="str">
            <v>salud_oral</v>
          </cell>
          <cell r="J4070" t="str">
            <v>bueno</v>
          </cell>
          <cell r="K4070" t="str">
            <v>probsi</v>
          </cell>
        </row>
        <row r="4071">
          <cell r="B4071" t="b">
            <v>1</v>
          </cell>
          <cell r="E4071" t="str">
            <v>Punta Arena</v>
          </cell>
          <cell r="H4071" t="str">
            <v>salud_oral</v>
          </cell>
          <cell r="J4071" t="str">
            <v>bueno</v>
          </cell>
          <cell r="K4071" t="str">
            <v>probsi</v>
          </cell>
        </row>
        <row r="4072">
          <cell r="B4072" t="b">
            <v>1</v>
          </cell>
          <cell r="E4072" t="str">
            <v>Punta Arena</v>
          </cell>
          <cell r="H4072" t="str">
            <v>salud_oral</v>
          </cell>
          <cell r="J4072" t="str">
            <v>muybueno</v>
          </cell>
          <cell r="K4072" t="str">
            <v>probsi</v>
          </cell>
        </row>
        <row r="4073">
          <cell r="B4073" t="b">
            <v>1</v>
          </cell>
          <cell r="E4073" t="str">
            <v>Punta Arena</v>
          </cell>
          <cell r="H4073" t="str">
            <v>salud_oral</v>
          </cell>
          <cell r="J4073" t="str">
            <v>bueno</v>
          </cell>
          <cell r="K4073" t="str">
            <v>probsi</v>
          </cell>
        </row>
        <row r="4074">
          <cell r="B4074" t="b">
            <v>1</v>
          </cell>
          <cell r="E4074" t="str">
            <v>Punta Arena</v>
          </cell>
          <cell r="H4074" t="str">
            <v>salud_oral</v>
          </cell>
          <cell r="J4074" t="str">
            <v>bueno</v>
          </cell>
          <cell r="K4074" t="str">
            <v>probsi</v>
          </cell>
        </row>
        <row r="4075">
          <cell r="B4075" t="b">
            <v>1</v>
          </cell>
          <cell r="E4075" t="str">
            <v>Punta Arena</v>
          </cell>
          <cell r="H4075" t="str">
            <v>salud_oral</v>
          </cell>
          <cell r="J4075" t="str">
            <v>bueno</v>
          </cell>
          <cell r="K4075" t="str">
            <v>probsi</v>
          </cell>
        </row>
        <row r="4076">
          <cell r="B4076" t="b">
            <v>1</v>
          </cell>
          <cell r="E4076" t="str">
            <v>Punta Arena</v>
          </cell>
          <cell r="H4076" t="str">
            <v>laboratorio</v>
          </cell>
          <cell r="J4076" t="str">
            <v>bueno</v>
          </cell>
          <cell r="K4076" t="str">
            <v>probsi</v>
          </cell>
        </row>
        <row r="4077">
          <cell r="B4077" t="b">
            <v>1</v>
          </cell>
          <cell r="E4077" t="str">
            <v>Punta Arena</v>
          </cell>
          <cell r="H4077" t="str">
            <v>laboratorio</v>
          </cell>
          <cell r="J4077" t="str">
            <v>bueno</v>
          </cell>
          <cell r="K4077" t="str">
            <v>probsi</v>
          </cell>
        </row>
        <row r="4078">
          <cell r="B4078" t="b">
            <v>1</v>
          </cell>
          <cell r="E4078" t="str">
            <v>Punta Arena</v>
          </cell>
          <cell r="H4078" t="str">
            <v>laboratorio</v>
          </cell>
          <cell r="J4078" t="str">
            <v>bueno</v>
          </cell>
          <cell r="K4078" t="str">
            <v>probsi</v>
          </cell>
        </row>
        <row r="4079">
          <cell r="B4079" t="b">
            <v>1</v>
          </cell>
          <cell r="E4079" t="str">
            <v>Punta Arena</v>
          </cell>
          <cell r="H4079" t="str">
            <v>laboratorio</v>
          </cell>
          <cell r="J4079" t="str">
            <v>bueno</v>
          </cell>
          <cell r="K4079" t="str">
            <v>probsi</v>
          </cell>
        </row>
        <row r="4080">
          <cell r="B4080" t="b">
            <v>1</v>
          </cell>
          <cell r="E4080" t="str">
            <v>Punta Arena</v>
          </cell>
          <cell r="H4080" t="str">
            <v>laboratorio</v>
          </cell>
          <cell r="J4080" t="str">
            <v>bueno</v>
          </cell>
          <cell r="K4080" t="str">
            <v>probsi</v>
          </cell>
        </row>
        <row r="4081">
          <cell r="B4081" t="b">
            <v>1</v>
          </cell>
          <cell r="E4081" t="str">
            <v>Punta Arena</v>
          </cell>
          <cell r="H4081" t="str">
            <v>laboratorio</v>
          </cell>
          <cell r="J4081" t="str">
            <v>bueno</v>
          </cell>
          <cell r="K4081" t="str">
            <v>probsi</v>
          </cell>
        </row>
        <row r="4082">
          <cell r="B4082" t="b">
            <v>1</v>
          </cell>
          <cell r="E4082" t="str">
            <v>Punta Arena</v>
          </cell>
          <cell r="H4082" t="str">
            <v>laboratorio</v>
          </cell>
          <cell r="J4082" t="str">
            <v>bueno</v>
          </cell>
          <cell r="K4082" t="str">
            <v>probsi</v>
          </cell>
        </row>
        <row r="4083">
          <cell r="B4083" t="b">
            <v>1</v>
          </cell>
          <cell r="E4083" t="str">
            <v>Punta Arena</v>
          </cell>
          <cell r="H4083" t="str">
            <v>laboratorio</v>
          </cell>
          <cell r="J4083" t="str">
            <v>bueno</v>
          </cell>
          <cell r="K4083" t="str">
            <v>probsi</v>
          </cell>
        </row>
        <row r="4084">
          <cell r="B4084" t="b">
            <v>1</v>
          </cell>
          <cell r="E4084" t="str">
            <v>Punta Arena</v>
          </cell>
          <cell r="H4084" t="str">
            <v>laboratorio</v>
          </cell>
          <cell r="J4084" t="str">
            <v>bueno</v>
          </cell>
          <cell r="K4084" t="str">
            <v>probsi</v>
          </cell>
        </row>
        <row r="4085">
          <cell r="B4085" t="b">
            <v>1</v>
          </cell>
          <cell r="E4085" t="str">
            <v>Punta Arena</v>
          </cell>
          <cell r="H4085" t="str">
            <v>laboratorio</v>
          </cell>
          <cell r="J4085" t="str">
            <v>bueno</v>
          </cell>
          <cell r="K4085" t="str">
            <v>probsi</v>
          </cell>
        </row>
        <row r="4086">
          <cell r="B4086" t="b">
            <v>1</v>
          </cell>
          <cell r="E4086" t="str">
            <v>Punta Arena</v>
          </cell>
          <cell r="H4086" t="str">
            <v>consulta_externa</v>
          </cell>
          <cell r="J4086" t="str">
            <v>bueno</v>
          </cell>
          <cell r="K4086" t="str">
            <v>probsi</v>
          </cell>
        </row>
        <row r="4087">
          <cell r="B4087" t="b">
            <v>1</v>
          </cell>
          <cell r="E4087" t="str">
            <v>Punta Arena</v>
          </cell>
          <cell r="H4087" t="str">
            <v>consulta_externa</v>
          </cell>
          <cell r="J4087" t="str">
            <v>bueno</v>
          </cell>
          <cell r="K4087" t="str">
            <v>probsi</v>
          </cell>
        </row>
        <row r="4088">
          <cell r="B4088" t="b">
            <v>1</v>
          </cell>
          <cell r="E4088" t="str">
            <v>Punta Arena</v>
          </cell>
          <cell r="H4088" t="str">
            <v>consulta_externa</v>
          </cell>
          <cell r="J4088" t="str">
            <v>bueno</v>
          </cell>
          <cell r="K4088" t="str">
            <v>probsi</v>
          </cell>
        </row>
        <row r="4089">
          <cell r="B4089" t="b">
            <v>1</v>
          </cell>
          <cell r="E4089" t="str">
            <v>Punta Arena</v>
          </cell>
          <cell r="H4089" t="str">
            <v>consulta_externa</v>
          </cell>
          <cell r="J4089" t="str">
            <v>bueno</v>
          </cell>
          <cell r="K4089" t="str">
            <v>probsi</v>
          </cell>
        </row>
        <row r="4090">
          <cell r="B4090" t="b">
            <v>1</v>
          </cell>
          <cell r="E4090" t="str">
            <v>Punta Arena</v>
          </cell>
          <cell r="H4090" t="str">
            <v>salud_oral</v>
          </cell>
          <cell r="J4090" t="str">
            <v>bueno</v>
          </cell>
          <cell r="K4090" t="str">
            <v>probsi</v>
          </cell>
        </row>
        <row r="4091">
          <cell r="B4091" t="b">
            <v>1</v>
          </cell>
          <cell r="E4091" t="str">
            <v>Punta Arena</v>
          </cell>
          <cell r="H4091" t="str">
            <v>salud_oral</v>
          </cell>
          <cell r="J4091" t="str">
            <v>bueno</v>
          </cell>
          <cell r="K4091" t="str">
            <v>probsi</v>
          </cell>
        </row>
        <row r="4092">
          <cell r="B4092" t="b">
            <v>1</v>
          </cell>
          <cell r="E4092" t="str">
            <v>Punta Arena</v>
          </cell>
          <cell r="H4092" t="str">
            <v>salud_oral</v>
          </cell>
          <cell r="J4092" t="str">
            <v>bueno</v>
          </cell>
          <cell r="K4092" t="str">
            <v>probsi</v>
          </cell>
        </row>
        <row r="4093">
          <cell r="B4093" t="b">
            <v>1</v>
          </cell>
          <cell r="E4093" t="str">
            <v>Punta Arena</v>
          </cell>
          <cell r="H4093" t="str">
            <v>salud_oral</v>
          </cell>
          <cell r="J4093" t="str">
            <v>bueno</v>
          </cell>
          <cell r="K4093" t="str">
            <v>probsi</v>
          </cell>
        </row>
        <row r="4094">
          <cell r="B4094" t="b">
            <v>1</v>
          </cell>
          <cell r="E4094" t="str">
            <v>Bocachica</v>
          </cell>
          <cell r="H4094" t="str">
            <v>consulta_externa</v>
          </cell>
          <cell r="J4094" t="str">
            <v>bueno</v>
          </cell>
          <cell r="K4094" t="str">
            <v>defsi</v>
          </cell>
        </row>
        <row r="4095">
          <cell r="B4095" t="b">
            <v>1</v>
          </cell>
          <cell r="E4095" t="str">
            <v>Bocachica</v>
          </cell>
          <cell r="H4095" t="str">
            <v>salud_oral</v>
          </cell>
          <cell r="J4095" t="str">
            <v>bueno</v>
          </cell>
          <cell r="K4095" t="str">
            <v>defsi</v>
          </cell>
        </row>
        <row r="4096">
          <cell r="B4096" t="b">
            <v>1</v>
          </cell>
          <cell r="E4096" t="str">
            <v>Bocachica</v>
          </cell>
          <cell r="H4096" t="str">
            <v>laboratorio</v>
          </cell>
          <cell r="J4096" t="str">
            <v>bueno</v>
          </cell>
          <cell r="K4096" t="str">
            <v>defsi</v>
          </cell>
        </row>
        <row r="4097">
          <cell r="B4097" t="b">
            <v>1</v>
          </cell>
          <cell r="E4097" t="str">
            <v>Bocachica</v>
          </cell>
          <cell r="H4097" t="str">
            <v>laboratorio</v>
          </cell>
          <cell r="J4097" t="str">
            <v>bueno</v>
          </cell>
          <cell r="K4097" t="str">
            <v>defsi</v>
          </cell>
        </row>
        <row r="4098">
          <cell r="B4098" t="b">
            <v>1</v>
          </cell>
          <cell r="E4098" t="str">
            <v>Bocachica</v>
          </cell>
          <cell r="H4098" t="str">
            <v>urgencia</v>
          </cell>
          <cell r="J4098" t="str">
            <v>bueno</v>
          </cell>
          <cell r="K4098" t="str">
            <v>defsi</v>
          </cell>
        </row>
        <row r="4099">
          <cell r="B4099" t="b">
            <v>1</v>
          </cell>
          <cell r="E4099" t="str">
            <v>Bocachica</v>
          </cell>
          <cell r="H4099" t="str">
            <v>consulta_externa</v>
          </cell>
          <cell r="J4099" t="str">
            <v>bueno</v>
          </cell>
          <cell r="K4099" t="str">
            <v>defsi</v>
          </cell>
        </row>
        <row r="4100">
          <cell r="B4100" t="b">
            <v>1</v>
          </cell>
          <cell r="E4100" t="str">
            <v>Bocachica</v>
          </cell>
          <cell r="H4100" t="str">
            <v>salud_oral</v>
          </cell>
          <cell r="J4100" t="str">
            <v>bueno</v>
          </cell>
          <cell r="K4100" t="str">
            <v>defsi</v>
          </cell>
        </row>
        <row r="4101">
          <cell r="B4101" t="b">
            <v>1</v>
          </cell>
          <cell r="E4101" t="str">
            <v>Bocachica</v>
          </cell>
          <cell r="H4101" t="str">
            <v>laboratorio</v>
          </cell>
          <cell r="J4101" t="str">
            <v>bueno</v>
          </cell>
          <cell r="K4101" t="str">
            <v>defsi</v>
          </cell>
        </row>
        <row r="4102">
          <cell r="B4102" t="b">
            <v>1</v>
          </cell>
          <cell r="E4102" t="str">
            <v>Bocachica</v>
          </cell>
          <cell r="H4102" t="str">
            <v>urgencia</v>
          </cell>
          <cell r="J4102" t="str">
            <v>bueno</v>
          </cell>
          <cell r="K4102" t="str">
            <v>defsi</v>
          </cell>
        </row>
        <row r="4103">
          <cell r="B4103" t="b">
            <v>1</v>
          </cell>
          <cell r="E4103" t="str">
            <v>Bocachica</v>
          </cell>
          <cell r="H4103" t="str">
            <v>consulta_externa</v>
          </cell>
          <cell r="J4103" t="str">
            <v>bueno</v>
          </cell>
          <cell r="K4103" t="str">
            <v>defsi</v>
          </cell>
        </row>
        <row r="4104">
          <cell r="B4104" t="b">
            <v>1</v>
          </cell>
          <cell r="E4104" t="str">
            <v>Bocachica</v>
          </cell>
          <cell r="H4104" t="str">
            <v>salud_oral</v>
          </cell>
          <cell r="J4104" t="str">
            <v>bueno</v>
          </cell>
          <cell r="K4104" t="str">
            <v>defsi</v>
          </cell>
        </row>
        <row r="4105">
          <cell r="B4105" t="b">
            <v>1</v>
          </cell>
          <cell r="E4105" t="str">
            <v>Bocachica</v>
          </cell>
          <cell r="H4105" t="str">
            <v>laboratorio</v>
          </cell>
          <cell r="J4105" t="str">
            <v>bueno</v>
          </cell>
          <cell r="K4105" t="str">
            <v>defsi</v>
          </cell>
        </row>
        <row r="4106">
          <cell r="B4106" t="b">
            <v>1</v>
          </cell>
          <cell r="E4106" t="str">
            <v>Bocachica</v>
          </cell>
          <cell r="H4106" t="str">
            <v>urgencia</v>
          </cell>
          <cell r="J4106" t="str">
            <v>bueno</v>
          </cell>
          <cell r="K4106" t="str">
            <v>defsi</v>
          </cell>
        </row>
        <row r="4107">
          <cell r="B4107" t="b">
            <v>1</v>
          </cell>
          <cell r="E4107" t="str">
            <v>Bocachica</v>
          </cell>
          <cell r="H4107" t="str">
            <v>consulta_externa</v>
          </cell>
          <cell r="J4107" t="str">
            <v>bueno</v>
          </cell>
          <cell r="K4107" t="str">
            <v>defsi</v>
          </cell>
        </row>
        <row r="4108">
          <cell r="B4108" t="b">
            <v>1</v>
          </cell>
          <cell r="E4108" t="str">
            <v>Bocachica</v>
          </cell>
          <cell r="H4108" t="str">
            <v>salud_oral</v>
          </cell>
          <cell r="J4108" t="str">
            <v>bueno</v>
          </cell>
          <cell r="K4108" t="str">
            <v>defsi</v>
          </cell>
        </row>
        <row r="4109">
          <cell r="B4109" t="b">
            <v>1</v>
          </cell>
          <cell r="E4109" t="str">
            <v>Bocachica</v>
          </cell>
          <cell r="H4109" t="str">
            <v>laboratorio</v>
          </cell>
          <cell r="J4109" t="str">
            <v>bueno</v>
          </cell>
          <cell r="K4109" t="str">
            <v>defsi</v>
          </cell>
        </row>
        <row r="4110">
          <cell r="B4110" t="b">
            <v>1</v>
          </cell>
          <cell r="E4110" t="str">
            <v>Bocachica</v>
          </cell>
          <cell r="H4110" t="str">
            <v>urgencia</v>
          </cell>
          <cell r="J4110" t="str">
            <v>bueno</v>
          </cell>
          <cell r="K4110" t="str">
            <v>defsi</v>
          </cell>
        </row>
        <row r="4111">
          <cell r="B4111" t="b">
            <v>1</v>
          </cell>
          <cell r="E4111" t="str">
            <v>Bocachica</v>
          </cell>
          <cell r="H4111" t="str">
            <v>consulta_externa</v>
          </cell>
          <cell r="J4111" t="str">
            <v>bueno</v>
          </cell>
          <cell r="K4111" t="str">
            <v>defsi</v>
          </cell>
        </row>
        <row r="4112">
          <cell r="B4112" t="b">
            <v>1</v>
          </cell>
          <cell r="E4112" t="str">
            <v>Bocachica</v>
          </cell>
          <cell r="H4112" t="str">
            <v>salud_oral</v>
          </cell>
          <cell r="J4112" t="str">
            <v>bueno</v>
          </cell>
          <cell r="K4112" t="str">
            <v>defsi</v>
          </cell>
        </row>
        <row r="4113">
          <cell r="B4113" t="b">
            <v>1</v>
          </cell>
          <cell r="E4113" t="str">
            <v>Bocachica</v>
          </cell>
          <cell r="H4113" t="str">
            <v>laboratorio</v>
          </cell>
          <cell r="J4113" t="str">
            <v>bueno</v>
          </cell>
          <cell r="K4113" t="str">
            <v>defsi</v>
          </cell>
        </row>
        <row r="4114">
          <cell r="B4114" t="b">
            <v>1</v>
          </cell>
          <cell r="E4114" t="str">
            <v>Bocachica</v>
          </cell>
          <cell r="H4114" t="str">
            <v>urgencia</v>
          </cell>
          <cell r="J4114" t="str">
            <v>bueno</v>
          </cell>
          <cell r="K4114" t="str">
            <v>defsi</v>
          </cell>
        </row>
        <row r="4115">
          <cell r="B4115" t="b">
            <v>1</v>
          </cell>
          <cell r="E4115" t="str">
            <v>Bocachica</v>
          </cell>
          <cell r="H4115" t="str">
            <v>consulta_externa</v>
          </cell>
          <cell r="J4115" t="str">
            <v>bueno</v>
          </cell>
          <cell r="K4115" t="str">
            <v>defsi</v>
          </cell>
        </row>
        <row r="4116">
          <cell r="B4116" t="b">
            <v>1</v>
          </cell>
          <cell r="E4116" t="str">
            <v>Bocachica</v>
          </cell>
          <cell r="H4116" t="str">
            <v>salud_oral</v>
          </cell>
          <cell r="J4116" t="str">
            <v>bueno</v>
          </cell>
          <cell r="K4116" t="str">
            <v>defsi</v>
          </cell>
        </row>
        <row r="4117">
          <cell r="B4117" t="b">
            <v>1</v>
          </cell>
          <cell r="E4117" t="str">
            <v>Bocachica</v>
          </cell>
          <cell r="H4117" t="str">
            <v>laboratorio</v>
          </cell>
          <cell r="J4117" t="str">
            <v>bueno</v>
          </cell>
          <cell r="K4117" t="str">
            <v>defsi</v>
          </cell>
        </row>
        <row r="4118">
          <cell r="B4118" t="b">
            <v>1</v>
          </cell>
          <cell r="E4118" t="str">
            <v>Bocachica</v>
          </cell>
          <cell r="H4118" t="str">
            <v>urgencia</v>
          </cell>
          <cell r="J4118" t="str">
            <v>bueno</v>
          </cell>
          <cell r="K4118" t="str">
            <v>defsi</v>
          </cell>
        </row>
        <row r="4119">
          <cell r="B4119" t="b">
            <v>1</v>
          </cell>
          <cell r="E4119" t="str">
            <v>Bocachica</v>
          </cell>
          <cell r="H4119" t="str">
            <v>consulta_externa</v>
          </cell>
          <cell r="J4119" t="str">
            <v>bueno</v>
          </cell>
          <cell r="K4119" t="str">
            <v>defsi</v>
          </cell>
        </row>
        <row r="4120">
          <cell r="B4120" t="b">
            <v>1</v>
          </cell>
          <cell r="E4120" t="str">
            <v>Bocachica</v>
          </cell>
          <cell r="H4120" t="str">
            <v>salud_oral</v>
          </cell>
          <cell r="J4120" t="str">
            <v>bueno</v>
          </cell>
          <cell r="K4120" t="str">
            <v>defsi</v>
          </cell>
        </row>
        <row r="4121">
          <cell r="B4121" t="b">
            <v>1</v>
          </cell>
          <cell r="E4121" t="str">
            <v>Bocachica</v>
          </cell>
          <cell r="H4121" t="str">
            <v>laboratorio</v>
          </cell>
          <cell r="J4121" t="str">
            <v>bueno</v>
          </cell>
          <cell r="K4121" t="str">
            <v>defsi</v>
          </cell>
        </row>
        <row r="4122">
          <cell r="B4122" t="b">
            <v>1</v>
          </cell>
          <cell r="E4122" t="str">
            <v>Bocachica</v>
          </cell>
          <cell r="H4122" t="str">
            <v>urgencia</v>
          </cell>
          <cell r="J4122" t="str">
            <v>bueno</v>
          </cell>
          <cell r="K4122" t="str">
            <v>defsi</v>
          </cell>
        </row>
        <row r="4123">
          <cell r="B4123" t="b">
            <v>1</v>
          </cell>
          <cell r="E4123" t="str">
            <v>Bocachica</v>
          </cell>
          <cell r="H4123" t="str">
            <v>consulta_externa</v>
          </cell>
          <cell r="J4123" t="str">
            <v>bueno</v>
          </cell>
          <cell r="K4123" t="str">
            <v>defsi</v>
          </cell>
        </row>
        <row r="4124">
          <cell r="B4124" t="b">
            <v>1</v>
          </cell>
          <cell r="E4124" t="str">
            <v>Bocachica</v>
          </cell>
          <cell r="H4124" t="str">
            <v>salud_oral</v>
          </cell>
          <cell r="J4124" t="str">
            <v>bueno</v>
          </cell>
          <cell r="K4124" t="str">
            <v>defsi</v>
          </cell>
        </row>
        <row r="4125">
          <cell r="B4125" t="b">
            <v>1</v>
          </cell>
          <cell r="E4125" t="str">
            <v>Bocachica</v>
          </cell>
          <cell r="H4125" t="str">
            <v>laboratorio</v>
          </cell>
          <cell r="J4125" t="str">
            <v>bueno</v>
          </cell>
          <cell r="K4125" t="str">
            <v>defsi</v>
          </cell>
        </row>
        <row r="4126">
          <cell r="B4126" t="b">
            <v>1</v>
          </cell>
          <cell r="E4126" t="str">
            <v>Bocachica</v>
          </cell>
          <cell r="H4126" t="str">
            <v>urgencia</v>
          </cell>
          <cell r="J4126" t="str">
            <v>bueno</v>
          </cell>
          <cell r="K4126" t="str">
            <v>defsi</v>
          </cell>
        </row>
        <row r="4127">
          <cell r="B4127" t="b">
            <v>1</v>
          </cell>
          <cell r="E4127" t="str">
            <v>Bocachica</v>
          </cell>
          <cell r="H4127" t="str">
            <v>consulta_externa</v>
          </cell>
          <cell r="J4127" t="str">
            <v>bueno</v>
          </cell>
          <cell r="K4127" t="str">
            <v>defsi</v>
          </cell>
        </row>
        <row r="4128">
          <cell r="B4128" t="b">
            <v>1</v>
          </cell>
          <cell r="E4128" t="str">
            <v>Bocachica</v>
          </cell>
          <cell r="H4128" t="str">
            <v>salud_oral</v>
          </cell>
          <cell r="J4128" t="str">
            <v>bueno</v>
          </cell>
          <cell r="K4128" t="str">
            <v>defsi</v>
          </cell>
        </row>
        <row r="4129">
          <cell r="B4129" t="b">
            <v>1</v>
          </cell>
          <cell r="E4129" t="str">
            <v>Bocachica</v>
          </cell>
          <cell r="H4129" t="str">
            <v>laboratorio</v>
          </cell>
          <cell r="J4129" t="str">
            <v>bueno</v>
          </cell>
          <cell r="K4129" t="str">
            <v>defsi</v>
          </cell>
        </row>
        <row r="4130">
          <cell r="B4130" t="b">
            <v>1</v>
          </cell>
          <cell r="E4130" t="str">
            <v>Bocachica</v>
          </cell>
          <cell r="H4130" t="str">
            <v>laboratorio</v>
          </cell>
          <cell r="J4130" t="str">
            <v>bueno</v>
          </cell>
          <cell r="K4130" t="str">
            <v>defsi</v>
          </cell>
        </row>
        <row r="4131">
          <cell r="B4131" t="b">
            <v>1</v>
          </cell>
          <cell r="E4131" t="str">
            <v>Bocachica</v>
          </cell>
          <cell r="H4131" t="str">
            <v>urgencia</v>
          </cell>
          <cell r="J4131" t="str">
            <v>bueno</v>
          </cell>
          <cell r="K4131" t="str">
            <v>defsi</v>
          </cell>
        </row>
        <row r="4132">
          <cell r="B4132" t="b">
            <v>1</v>
          </cell>
          <cell r="E4132" t="str">
            <v>Bocachica</v>
          </cell>
          <cell r="H4132" t="str">
            <v>consulta_externa</v>
          </cell>
          <cell r="J4132" t="str">
            <v>bueno</v>
          </cell>
          <cell r="K4132" t="str">
            <v>defsi</v>
          </cell>
        </row>
        <row r="4133">
          <cell r="B4133" t="b">
            <v>1</v>
          </cell>
          <cell r="E4133" t="str">
            <v>Bocachica</v>
          </cell>
          <cell r="H4133" t="str">
            <v>salud_oral</v>
          </cell>
          <cell r="J4133" t="str">
            <v>bueno</v>
          </cell>
          <cell r="K4133" t="str">
            <v>defsi</v>
          </cell>
        </row>
        <row r="4134">
          <cell r="B4134" t="b">
            <v>1</v>
          </cell>
          <cell r="E4134" t="str">
            <v>Bocachica</v>
          </cell>
          <cell r="H4134" t="str">
            <v>laboratorio</v>
          </cell>
          <cell r="J4134" t="str">
            <v>bueno</v>
          </cell>
          <cell r="K4134" t="str">
            <v>defsi</v>
          </cell>
        </row>
        <row r="4135">
          <cell r="B4135" t="b">
            <v>1</v>
          </cell>
          <cell r="E4135" t="str">
            <v>Tierra Baja</v>
          </cell>
          <cell r="H4135" t="str">
            <v>consulta_externa</v>
          </cell>
          <cell r="J4135" t="str">
            <v>bueno</v>
          </cell>
          <cell r="K4135" t="str">
            <v>probsi</v>
          </cell>
        </row>
        <row r="4136">
          <cell r="B4136" t="b">
            <v>1</v>
          </cell>
          <cell r="E4136" t="str">
            <v>Tierra Baja</v>
          </cell>
          <cell r="H4136" t="str">
            <v>consulta_externa</v>
          </cell>
          <cell r="J4136" t="str">
            <v>bueno</v>
          </cell>
          <cell r="K4136" t="str">
            <v>probsi</v>
          </cell>
        </row>
        <row r="4137">
          <cell r="B4137" t="b">
            <v>1</v>
          </cell>
          <cell r="E4137" t="str">
            <v>Tierra Baja</v>
          </cell>
          <cell r="H4137" t="str">
            <v>consulta_externa</v>
          </cell>
          <cell r="J4137" t="str">
            <v>bueno</v>
          </cell>
          <cell r="K4137" t="str">
            <v>probsi</v>
          </cell>
        </row>
        <row r="4138">
          <cell r="B4138" t="b">
            <v>1</v>
          </cell>
          <cell r="E4138" t="str">
            <v>Tierra Baja</v>
          </cell>
          <cell r="H4138" t="str">
            <v>consulta_externa</v>
          </cell>
          <cell r="J4138" t="str">
            <v>bueno</v>
          </cell>
          <cell r="K4138" t="str">
            <v>probsi</v>
          </cell>
        </row>
        <row r="4139">
          <cell r="B4139" t="b">
            <v>1</v>
          </cell>
          <cell r="E4139" t="str">
            <v>Tierra Baja</v>
          </cell>
          <cell r="H4139" t="str">
            <v>consulta_externa</v>
          </cell>
          <cell r="J4139" t="str">
            <v>bueno</v>
          </cell>
          <cell r="K4139" t="str">
            <v>probsi</v>
          </cell>
        </row>
        <row r="4140">
          <cell r="B4140" t="b">
            <v>1</v>
          </cell>
          <cell r="E4140" t="str">
            <v>Tierra Baja</v>
          </cell>
          <cell r="H4140" t="str">
            <v>consulta_externa</v>
          </cell>
          <cell r="J4140" t="str">
            <v>bueno</v>
          </cell>
          <cell r="K4140" t="str">
            <v>probsi</v>
          </cell>
        </row>
        <row r="4141">
          <cell r="B4141" t="b">
            <v>1</v>
          </cell>
          <cell r="E4141" t="str">
            <v>Tierra Baja</v>
          </cell>
          <cell r="H4141" t="str">
            <v>laboratorio</v>
          </cell>
          <cell r="J4141" t="str">
            <v>bueno</v>
          </cell>
          <cell r="K4141" t="str">
            <v>probsi</v>
          </cell>
        </row>
        <row r="4142">
          <cell r="B4142" t="b">
            <v>1</v>
          </cell>
          <cell r="E4142" t="str">
            <v>Tierra Baja</v>
          </cell>
          <cell r="H4142" t="str">
            <v>laboratorio</v>
          </cell>
          <cell r="J4142" t="str">
            <v>bueno</v>
          </cell>
          <cell r="K4142" t="str">
            <v>probsi</v>
          </cell>
        </row>
        <row r="4143">
          <cell r="B4143" t="b">
            <v>1</v>
          </cell>
          <cell r="E4143" t="str">
            <v>Tierra Baja</v>
          </cell>
          <cell r="H4143" t="str">
            <v>laboratorio</v>
          </cell>
          <cell r="J4143" t="str">
            <v>bueno</v>
          </cell>
          <cell r="K4143" t="str">
            <v>probsi</v>
          </cell>
        </row>
        <row r="4144">
          <cell r="B4144" t="b">
            <v>1</v>
          </cell>
          <cell r="E4144" t="str">
            <v>Tierra Baja</v>
          </cell>
          <cell r="H4144" t="str">
            <v>laboratorio</v>
          </cell>
          <cell r="J4144" t="str">
            <v>bueno</v>
          </cell>
          <cell r="K4144" t="str">
            <v>probsi</v>
          </cell>
        </row>
        <row r="4145">
          <cell r="B4145" t="b">
            <v>1</v>
          </cell>
          <cell r="E4145" t="str">
            <v>Tierra Baja</v>
          </cell>
          <cell r="H4145" t="str">
            <v>laboratorio</v>
          </cell>
          <cell r="J4145" t="str">
            <v>bueno</v>
          </cell>
          <cell r="K4145" t="str">
            <v>probsi</v>
          </cell>
        </row>
        <row r="4146">
          <cell r="B4146" t="b">
            <v>1</v>
          </cell>
          <cell r="E4146" t="str">
            <v>Tierra Baja</v>
          </cell>
          <cell r="H4146" t="str">
            <v>laboratorio</v>
          </cell>
          <cell r="J4146" t="str">
            <v>bueno</v>
          </cell>
          <cell r="K4146" t="str">
            <v>probsi</v>
          </cell>
        </row>
        <row r="4147">
          <cell r="B4147" t="b">
            <v>1</v>
          </cell>
          <cell r="E4147" t="str">
            <v>Tierra Baja</v>
          </cell>
          <cell r="H4147" t="str">
            <v>laboratorio</v>
          </cell>
          <cell r="J4147" t="str">
            <v>bueno</v>
          </cell>
          <cell r="K4147" t="str">
            <v>probsi</v>
          </cell>
        </row>
        <row r="4148">
          <cell r="B4148" t="b">
            <v>1</v>
          </cell>
          <cell r="E4148" t="str">
            <v>Tierra Baja</v>
          </cell>
          <cell r="H4148" t="str">
            <v>laboratorio</v>
          </cell>
          <cell r="J4148" t="str">
            <v>bueno</v>
          </cell>
          <cell r="K4148" t="str">
            <v>probsi</v>
          </cell>
        </row>
        <row r="4149">
          <cell r="B4149" t="b">
            <v>1</v>
          </cell>
          <cell r="E4149" t="str">
            <v>Tierra Baja</v>
          </cell>
          <cell r="H4149" t="str">
            <v>salud_oral</v>
          </cell>
          <cell r="J4149" t="str">
            <v>bueno</v>
          </cell>
          <cell r="K4149" t="str">
            <v>probsi</v>
          </cell>
        </row>
        <row r="4150">
          <cell r="B4150" t="b">
            <v>1</v>
          </cell>
          <cell r="E4150" t="str">
            <v>Tierra Baja</v>
          </cell>
          <cell r="H4150" t="str">
            <v>salud_oral</v>
          </cell>
          <cell r="J4150" t="str">
            <v>bueno</v>
          </cell>
          <cell r="K4150" t="str">
            <v>probsi</v>
          </cell>
        </row>
        <row r="4151">
          <cell r="B4151" t="b">
            <v>1</v>
          </cell>
          <cell r="E4151" t="str">
            <v>Tierra Baja</v>
          </cell>
          <cell r="H4151" t="str">
            <v>salud_oral</v>
          </cell>
          <cell r="J4151" t="str">
            <v>bueno</v>
          </cell>
          <cell r="K4151" t="str">
            <v>probsi</v>
          </cell>
        </row>
        <row r="4152">
          <cell r="B4152" t="b">
            <v>1</v>
          </cell>
          <cell r="E4152" t="str">
            <v>Tierra Baja</v>
          </cell>
          <cell r="H4152" t="str">
            <v>salud_oral</v>
          </cell>
          <cell r="J4152" t="str">
            <v>bueno</v>
          </cell>
          <cell r="K4152" t="str">
            <v>probsi</v>
          </cell>
        </row>
        <row r="4153">
          <cell r="B4153" t="b">
            <v>1</v>
          </cell>
          <cell r="E4153" t="str">
            <v>Tierra Baja</v>
          </cell>
          <cell r="H4153" t="str">
            <v>salud_oral</v>
          </cell>
          <cell r="J4153" t="str">
            <v>bueno</v>
          </cell>
          <cell r="K4153" t="str">
            <v>probsi</v>
          </cell>
        </row>
        <row r="4154">
          <cell r="B4154" t="b">
            <v>1</v>
          </cell>
          <cell r="E4154" t="str">
            <v>Tierra Baja</v>
          </cell>
          <cell r="H4154" t="str">
            <v>salud_oral</v>
          </cell>
          <cell r="J4154" t="str">
            <v>bueno</v>
          </cell>
          <cell r="K4154" t="str">
            <v>probsi</v>
          </cell>
        </row>
        <row r="4155">
          <cell r="B4155" t="b">
            <v>1</v>
          </cell>
          <cell r="E4155" t="str">
            <v>Tierra Baja</v>
          </cell>
          <cell r="H4155" t="str">
            <v>salud_oral</v>
          </cell>
          <cell r="J4155" t="str">
            <v>bueno</v>
          </cell>
          <cell r="K4155" t="str">
            <v>probsi</v>
          </cell>
        </row>
        <row r="4156">
          <cell r="B4156" t="b">
            <v>1</v>
          </cell>
          <cell r="E4156" t="str">
            <v>Puerto Rey</v>
          </cell>
          <cell r="H4156" t="str">
            <v>salud_oral</v>
          </cell>
          <cell r="J4156" t="str">
            <v>bueno</v>
          </cell>
          <cell r="K4156" t="str">
            <v>probsi</v>
          </cell>
        </row>
        <row r="4157">
          <cell r="B4157" t="b">
            <v>1</v>
          </cell>
          <cell r="E4157" t="str">
            <v>Puerto Rey</v>
          </cell>
          <cell r="H4157" t="str">
            <v>salud_oral</v>
          </cell>
          <cell r="J4157" t="str">
            <v>bueno</v>
          </cell>
          <cell r="K4157" t="str">
            <v>probsi</v>
          </cell>
        </row>
        <row r="4158">
          <cell r="B4158" t="b">
            <v>1</v>
          </cell>
          <cell r="E4158" t="str">
            <v>Puerto Rey</v>
          </cell>
          <cell r="H4158" t="str">
            <v>salud_oral</v>
          </cell>
          <cell r="J4158" t="str">
            <v>bueno</v>
          </cell>
          <cell r="K4158" t="str">
            <v>probsi</v>
          </cell>
        </row>
        <row r="4159">
          <cell r="B4159" t="b">
            <v>1</v>
          </cell>
          <cell r="E4159" t="str">
            <v>Puerto Rey</v>
          </cell>
          <cell r="H4159" t="str">
            <v>salud_oral</v>
          </cell>
          <cell r="J4159" t="str">
            <v>bueno</v>
          </cell>
          <cell r="K4159" t="str">
            <v>probsi</v>
          </cell>
        </row>
        <row r="4160">
          <cell r="B4160" t="b">
            <v>1</v>
          </cell>
          <cell r="E4160" t="str">
            <v>Puerto Rey</v>
          </cell>
          <cell r="H4160" t="str">
            <v>salud_oral</v>
          </cell>
          <cell r="J4160" t="str">
            <v>bueno</v>
          </cell>
          <cell r="K4160" t="str">
            <v>probsi</v>
          </cell>
        </row>
        <row r="4161">
          <cell r="B4161" t="b">
            <v>1</v>
          </cell>
          <cell r="E4161" t="str">
            <v>Puerto Rey</v>
          </cell>
          <cell r="H4161" t="str">
            <v>laboratorio</v>
          </cell>
          <cell r="J4161" t="str">
            <v>bueno</v>
          </cell>
          <cell r="K4161" t="str">
            <v>probsi</v>
          </cell>
        </row>
        <row r="4162">
          <cell r="B4162" t="b">
            <v>1</v>
          </cell>
          <cell r="E4162" t="str">
            <v>Puerto Rey</v>
          </cell>
          <cell r="H4162" t="str">
            <v>laboratorio</v>
          </cell>
          <cell r="J4162" t="str">
            <v>bueno</v>
          </cell>
          <cell r="K4162" t="str">
            <v>probsi</v>
          </cell>
        </row>
        <row r="4163">
          <cell r="B4163" t="b">
            <v>1</v>
          </cell>
          <cell r="E4163" t="str">
            <v>Puerto Rey</v>
          </cell>
          <cell r="H4163" t="str">
            <v>laboratorio</v>
          </cell>
          <cell r="J4163" t="str">
            <v>bueno</v>
          </cell>
          <cell r="K4163" t="str">
            <v>probsi</v>
          </cell>
        </row>
        <row r="4164">
          <cell r="B4164" t="b">
            <v>1</v>
          </cell>
          <cell r="E4164" t="str">
            <v>Puerto Rey</v>
          </cell>
          <cell r="H4164" t="str">
            <v>laboratorio</v>
          </cell>
          <cell r="J4164" t="str">
            <v>bueno</v>
          </cell>
          <cell r="K4164" t="str">
            <v>probsi</v>
          </cell>
        </row>
        <row r="4165">
          <cell r="B4165" t="b">
            <v>1</v>
          </cell>
          <cell r="E4165" t="str">
            <v>Puerto Rey</v>
          </cell>
          <cell r="H4165" t="str">
            <v>consulta_externa</v>
          </cell>
          <cell r="J4165" t="str">
            <v>bueno</v>
          </cell>
          <cell r="K4165" t="str">
            <v>probsi</v>
          </cell>
        </row>
        <row r="4166">
          <cell r="B4166" t="b">
            <v>1</v>
          </cell>
          <cell r="E4166" t="str">
            <v>Puerto Rey</v>
          </cell>
          <cell r="H4166" t="str">
            <v>consulta_externa</v>
          </cell>
          <cell r="J4166" t="str">
            <v>bueno</v>
          </cell>
          <cell r="K4166" t="str">
            <v>probsi</v>
          </cell>
        </row>
        <row r="4167">
          <cell r="B4167" t="b">
            <v>1</v>
          </cell>
          <cell r="E4167" t="str">
            <v>Puerto Rey</v>
          </cell>
          <cell r="H4167" t="str">
            <v>consulta_externa</v>
          </cell>
          <cell r="J4167" t="str">
            <v>bueno</v>
          </cell>
          <cell r="K4167" t="str">
            <v>probsi</v>
          </cell>
        </row>
        <row r="4168">
          <cell r="B4168" t="b">
            <v>1</v>
          </cell>
          <cell r="E4168" t="str">
            <v>Puerto Rey</v>
          </cell>
          <cell r="H4168" t="str">
            <v>consulta_externa</v>
          </cell>
          <cell r="J4168" t="str">
            <v>bueno</v>
          </cell>
          <cell r="K4168" t="str">
            <v>probsi</v>
          </cell>
        </row>
        <row r="4169">
          <cell r="B4169" t="b">
            <v>1</v>
          </cell>
          <cell r="E4169" t="str">
            <v>Puerto Rey</v>
          </cell>
          <cell r="H4169" t="str">
            <v>consulta_externa</v>
          </cell>
          <cell r="J4169" t="str">
            <v>bueno</v>
          </cell>
          <cell r="K4169" t="str">
            <v>probsi</v>
          </cell>
        </row>
        <row r="4170">
          <cell r="B4170" t="b">
            <v>1</v>
          </cell>
          <cell r="E4170" t="str">
            <v>Puerto Rey</v>
          </cell>
          <cell r="H4170" t="str">
            <v>consulta_externa</v>
          </cell>
          <cell r="J4170" t="str">
            <v>bueno</v>
          </cell>
          <cell r="K4170" t="str">
            <v>probsi</v>
          </cell>
        </row>
        <row r="4171">
          <cell r="B4171" t="b">
            <v>1</v>
          </cell>
          <cell r="E4171" t="str">
            <v>Puerto Rey</v>
          </cell>
          <cell r="H4171" t="str">
            <v>consulta_externa</v>
          </cell>
          <cell r="J4171" t="str">
            <v>bueno</v>
          </cell>
          <cell r="K4171" t="str">
            <v>probsi</v>
          </cell>
        </row>
        <row r="4172">
          <cell r="B4172" t="b">
            <v>1</v>
          </cell>
          <cell r="E4172" t="str">
            <v>Puerto Rey</v>
          </cell>
          <cell r="H4172" t="str">
            <v>consulta_externa</v>
          </cell>
          <cell r="J4172" t="str">
            <v>bueno</v>
          </cell>
          <cell r="K4172" t="str">
            <v>probsi</v>
          </cell>
        </row>
        <row r="4173">
          <cell r="B4173" t="b">
            <v>1</v>
          </cell>
          <cell r="E4173" t="str">
            <v>Puerto Rey</v>
          </cell>
          <cell r="H4173" t="str">
            <v>consulta_externa</v>
          </cell>
          <cell r="J4173" t="str">
            <v>bueno</v>
          </cell>
          <cell r="K4173" t="str">
            <v>probsi</v>
          </cell>
        </row>
        <row r="4174">
          <cell r="B4174" t="b">
            <v>1</v>
          </cell>
          <cell r="E4174" t="str">
            <v>Puerto Rey</v>
          </cell>
          <cell r="H4174" t="str">
            <v>consulta_externa</v>
          </cell>
          <cell r="J4174" t="str">
            <v>bueno</v>
          </cell>
          <cell r="K4174" t="str">
            <v>probsi</v>
          </cell>
        </row>
        <row r="4175">
          <cell r="B4175" t="b">
            <v>1</v>
          </cell>
          <cell r="E4175" t="str">
            <v>Puerto Rey</v>
          </cell>
          <cell r="H4175" t="str">
            <v>consulta_externa</v>
          </cell>
          <cell r="J4175" t="str">
            <v>bueno</v>
          </cell>
          <cell r="K4175" t="str">
            <v>probsi</v>
          </cell>
        </row>
        <row r="4176">
          <cell r="B4176" t="b">
            <v>1</v>
          </cell>
          <cell r="E4176" t="str">
            <v>Puerto Rey</v>
          </cell>
          <cell r="H4176" t="str">
            <v>consulta_externa</v>
          </cell>
          <cell r="J4176" t="str">
            <v>bueno</v>
          </cell>
          <cell r="K4176" t="str">
            <v>probsi</v>
          </cell>
        </row>
        <row r="4177">
          <cell r="B4177" t="b">
            <v>1</v>
          </cell>
          <cell r="E4177" t="str">
            <v>Puerto Rey</v>
          </cell>
          <cell r="H4177" t="str">
            <v>consulta_externa</v>
          </cell>
          <cell r="J4177" t="str">
            <v>bueno</v>
          </cell>
          <cell r="K4177" t="str">
            <v>probsi</v>
          </cell>
        </row>
        <row r="4178">
          <cell r="B4178" t="b">
            <v>1</v>
          </cell>
          <cell r="E4178" t="str">
            <v>Puerto Rey</v>
          </cell>
          <cell r="H4178" t="str">
            <v>consulta_externa</v>
          </cell>
          <cell r="J4178" t="str">
            <v>bueno</v>
          </cell>
          <cell r="K4178" t="str">
            <v>probsi</v>
          </cell>
        </row>
        <row r="4179">
          <cell r="B4179" t="b">
            <v>1</v>
          </cell>
          <cell r="E4179" t="str">
            <v>Puerto Rey</v>
          </cell>
          <cell r="H4179" t="str">
            <v>consulta_externa</v>
          </cell>
          <cell r="J4179" t="str">
            <v>bueno</v>
          </cell>
          <cell r="K4179" t="str">
            <v>probsi</v>
          </cell>
        </row>
        <row r="4180">
          <cell r="B4180" t="b">
            <v>1</v>
          </cell>
          <cell r="E4180" t="str">
            <v>Isla Fuerte</v>
          </cell>
          <cell r="H4180" t="str">
            <v>consulta_externa</v>
          </cell>
          <cell r="J4180" t="str">
            <v>bueno</v>
          </cell>
          <cell r="K4180" t="str">
            <v>defsi</v>
          </cell>
        </row>
        <row r="4181">
          <cell r="B4181" t="b">
            <v>1</v>
          </cell>
          <cell r="E4181" t="str">
            <v>Isla Fuerte</v>
          </cell>
          <cell r="H4181" t="str">
            <v>consulta_externa</v>
          </cell>
          <cell r="J4181" t="str">
            <v>bueno</v>
          </cell>
          <cell r="K4181" t="str">
            <v>defsi</v>
          </cell>
        </row>
        <row r="4182">
          <cell r="B4182" t="b">
            <v>1</v>
          </cell>
          <cell r="E4182" t="str">
            <v>Isla Fuerte</v>
          </cell>
          <cell r="H4182" t="str">
            <v>salud_oral</v>
          </cell>
          <cell r="J4182" t="str">
            <v>bueno</v>
          </cell>
          <cell r="K4182" t="str">
            <v>defsi</v>
          </cell>
        </row>
        <row r="4183">
          <cell r="B4183" t="b">
            <v>1</v>
          </cell>
          <cell r="E4183" t="str">
            <v>Isla Fuerte</v>
          </cell>
          <cell r="H4183" t="str">
            <v>laboratorio</v>
          </cell>
          <cell r="J4183" t="str">
            <v>bueno</v>
          </cell>
          <cell r="K4183" t="str">
            <v>defsi</v>
          </cell>
        </row>
        <row r="4184">
          <cell r="B4184" t="b">
            <v>1</v>
          </cell>
          <cell r="E4184" t="str">
            <v>Isla Fuerte</v>
          </cell>
          <cell r="H4184" t="str">
            <v>laboratorio</v>
          </cell>
          <cell r="J4184" t="str">
            <v>bueno</v>
          </cell>
          <cell r="K4184" t="str">
            <v>defsi</v>
          </cell>
        </row>
        <row r="4185">
          <cell r="B4185" t="b">
            <v>1</v>
          </cell>
          <cell r="E4185" t="str">
            <v>Nuevo Porvenir</v>
          </cell>
          <cell r="H4185" t="str">
            <v>consulta_externa</v>
          </cell>
          <cell r="J4185" t="str">
            <v>bueno</v>
          </cell>
          <cell r="K4185" t="str">
            <v>probsi</v>
          </cell>
        </row>
        <row r="4186">
          <cell r="B4186" t="b">
            <v>1</v>
          </cell>
          <cell r="E4186" t="str">
            <v>Nuevo Porvenir</v>
          </cell>
          <cell r="H4186" t="str">
            <v>laboratorio</v>
          </cell>
          <cell r="J4186" t="str">
            <v>bueno</v>
          </cell>
          <cell r="K4186" t="str">
            <v>probsi</v>
          </cell>
        </row>
        <row r="4187">
          <cell r="B4187" t="b">
            <v>1</v>
          </cell>
          <cell r="E4187" t="str">
            <v>Nuevo Porvenir</v>
          </cell>
          <cell r="H4187" t="str">
            <v>consulta_externa</v>
          </cell>
          <cell r="J4187" t="str">
            <v>bueno</v>
          </cell>
          <cell r="K4187" t="str">
            <v>probsi</v>
          </cell>
        </row>
        <row r="4188">
          <cell r="B4188" t="b">
            <v>1</v>
          </cell>
          <cell r="E4188" t="str">
            <v>Nuevo Porvenir</v>
          </cell>
          <cell r="H4188" t="str">
            <v>salud_oral</v>
          </cell>
          <cell r="J4188" t="str">
            <v>bueno</v>
          </cell>
          <cell r="K4188" t="str">
            <v>probsi</v>
          </cell>
        </row>
        <row r="4189">
          <cell r="B4189" t="b">
            <v>1</v>
          </cell>
          <cell r="E4189" t="str">
            <v>Nuevo Porvenir</v>
          </cell>
          <cell r="H4189" t="str">
            <v>laboratorio</v>
          </cell>
          <cell r="J4189" t="str">
            <v>bueno</v>
          </cell>
          <cell r="K4189" t="str">
            <v>probsi</v>
          </cell>
        </row>
        <row r="4190">
          <cell r="B4190" t="b">
            <v>1</v>
          </cell>
          <cell r="E4190" t="str">
            <v>Nuevo Porvenir</v>
          </cell>
          <cell r="H4190" t="str">
            <v>consulta_externa</v>
          </cell>
          <cell r="J4190" t="str">
            <v>bueno</v>
          </cell>
          <cell r="K4190" t="str">
            <v>probsi</v>
          </cell>
        </row>
        <row r="4191">
          <cell r="B4191" t="b">
            <v>1</v>
          </cell>
          <cell r="E4191" t="str">
            <v>Nuevo Porvenir</v>
          </cell>
          <cell r="H4191" t="str">
            <v>salud_oral</v>
          </cell>
          <cell r="J4191" t="str">
            <v>bueno</v>
          </cell>
          <cell r="K4191" t="str">
            <v>probsi</v>
          </cell>
        </row>
        <row r="4192">
          <cell r="B4192" t="b">
            <v>1</v>
          </cell>
          <cell r="E4192" t="str">
            <v>Nuevo Porvenir</v>
          </cell>
          <cell r="H4192" t="str">
            <v>salud_oral</v>
          </cell>
          <cell r="J4192" t="str">
            <v>bueno</v>
          </cell>
          <cell r="K4192" t="str">
            <v>probsi</v>
          </cell>
        </row>
        <row r="4193">
          <cell r="B4193" t="b">
            <v>1</v>
          </cell>
          <cell r="E4193" t="str">
            <v>Nuevo Porvenir</v>
          </cell>
          <cell r="H4193" t="str">
            <v>consulta_externa</v>
          </cell>
          <cell r="J4193" t="str">
            <v>bueno</v>
          </cell>
          <cell r="K4193" t="str">
            <v>probsi</v>
          </cell>
        </row>
        <row r="4194">
          <cell r="B4194" t="b">
            <v>1</v>
          </cell>
          <cell r="E4194" t="str">
            <v>Nuevo Porvenir</v>
          </cell>
          <cell r="H4194" t="str">
            <v>consulta_externa</v>
          </cell>
          <cell r="J4194" t="str">
            <v>bueno</v>
          </cell>
          <cell r="K4194" t="str">
            <v>probsi</v>
          </cell>
        </row>
        <row r="4195">
          <cell r="B4195" t="b">
            <v>1</v>
          </cell>
          <cell r="E4195" t="str">
            <v>Nuevo Porvenir</v>
          </cell>
          <cell r="H4195" t="str">
            <v>laboratorio</v>
          </cell>
          <cell r="J4195" t="str">
            <v>bueno</v>
          </cell>
          <cell r="K4195" t="str">
            <v>probsi</v>
          </cell>
        </row>
        <row r="4196">
          <cell r="B4196" t="b">
            <v>1</v>
          </cell>
          <cell r="E4196" t="str">
            <v>Nuevo Porvenir</v>
          </cell>
          <cell r="H4196" t="str">
            <v>consulta_externa</v>
          </cell>
          <cell r="J4196" t="str">
            <v>muybueno</v>
          </cell>
          <cell r="K4196" t="str">
            <v>probsi</v>
          </cell>
        </row>
        <row r="4197">
          <cell r="B4197" t="b">
            <v>1</v>
          </cell>
          <cell r="E4197" t="str">
            <v>Nuevo Porvenir</v>
          </cell>
          <cell r="H4197" t="str">
            <v>salud_oral</v>
          </cell>
          <cell r="J4197" t="str">
            <v>muybueno</v>
          </cell>
          <cell r="K4197" t="str">
            <v>probsi</v>
          </cell>
        </row>
        <row r="4198">
          <cell r="B4198" t="b">
            <v>1</v>
          </cell>
          <cell r="E4198" t="str">
            <v>Nuevo Porvenir</v>
          </cell>
          <cell r="H4198" t="str">
            <v>salud_oral</v>
          </cell>
          <cell r="J4198" t="str">
            <v>muybueno</v>
          </cell>
          <cell r="K4198" t="str">
            <v>probsi</v>
          </cell>
        </row>
        <row r="4199">
          <cell r="B4199" t="b">
            <v>1</v>
          </cell>
          <cell r="E4199" t="str">
            <v>Nuevo Porvenir</v>
          </cell>
          <cell r="H4199" t="str">
            <v>laboratorio</v>
          </cell>
          <cell r="J4199" t="str">
            <v>bueno</v>
          </cell>
          <cell r="K4199" t="str">
            <v>probsi</v>
          </cell>
        </row>
        <row r="4200">
          <cell r="B4200" t="b">
            <v>1</v>
          </cell>
          <cell r="E4200" t="str">
            <v>Nuevo Porvenir</v>
          </cell>
          <cell r="H4200" t="str">
            <v>consulta_externa</v>
          </cell>
          <cell r="J4200" t="str">
            <v>bueno</v>
          </cell>
          <cell r="K4200" t="str">
            <v>probsi</v>
          </cell>
        </row>
        <row r="4201">
          <cell r="B4201" t="b">
            <v>1</v>
          </cell>
          <cell r="E4201" t="str">
            <v>Nuevo Porvenir</v>
          </cell>
          <cell r="H4201" t="str">
            <v>laboratorio</v>
          </cell>
          <cell r="J4201" t="str">
            <v>bueno</v>
          </cell>
          <cell r="K4201" t="str">
            <v>probsi</v>
          </cell>
        </row>
        <row r="4202">
          <cell r="B4202" t="b">
            <v>1</v>
          </cell>
          <cell r="E4202" t="str">
            <v>San Pedro y Libertad</v>
          </cell>
          <cell r="H4202" t="str">
            <v>consulta_externa</v>
          </cell>
          <cell r="J4202" t="str">
            <v>bueno</v>
          </cell>
          <cell r="K4202" t="str">
            <v>defsi</v>
          </cell>
        </row>
        <row r="4203">
          <cell r="B4203" t="b">
            <v>1</v>
          </cell>
          <cell r="E4203" t="str">
            <v>San Pedro y Libertad</v>
          </cell>
          <cell r="H4203" t="str">
            <v>salud_oral</v>
          </cell>
          <cell r="J4203" t="str">
            <v>bueno</v>
          </cell>
          <cell r="K4203" t="str">
            <v>defsi</v>
          </cell>
        </row>
        <row r="4204">
          <cell r="B4204" t="b">
            <v>1</v>
          </cell>
          <cell r="E4204" t="str">
            <v>San Pedro y Libertad</v>
          </cell>
          <cell r="H4204" t="str">
            <v>laboratorio</v>
          </cell>
          <cell r="J4204" t="str">
            <v>bueno</v>
          </cell>
          <cell r="K4204" t="str">
            <v>defsi</v>
          </cell>
        </row>
        <row r="4205">
          <cell r="B4205" t="b">
            <v>1</v>
          </cell>
          <cell r="E4205" t="str">
            <v>San Pedro y Libertad</v>
          </cell>
          <cell r="H4205" t="str">
            <v>consulta_externa</v>
          </cell>
          <cell r="J4205" t="str">
            <v>bueno</v>
          </cell>
          <cell r="K4205" t="str">
            <v>defsi</v>
          </cell>
        </row>
        <row r="4206">
          <cell r="B4206" t="b">
            <v>1</v>
          </cell>
          <cell r="E4206" t="str">
            <v>San Pedro y Libertad</v>
          </cell>
          <cell r="H4206" t="str">
            <v>salud_oral</v>
          </cell>
          <cell r="J4206" t="str">
            <v>bueno</v>
          </cell>
          <cell r="K4206" t="str">
            <v>defsi</v>
          </cell>
        </row>
        <row r="4207">
          <cell r="B4207" t="b">
            <v>1</v>
          </cell>
          <cell r="E4207" t="str">
            <v>San Pedro y Libertad</v>
          </cell>
          <cell r="H4207" t="str">
            <v>laboratorio</v>
          </cell>
          <cell r="J4207" t="str">
            <v>bueno</v>
          </cell>
          <cell r="K4207" t="str">
            <v>defsi</v>
          </cell>
        </row>
        <row r="4208">
          <cell r="B4208" t="b">
            <v>1</v>
          </cell>
          <cell r="E4208" t="str">
            <v>San Pedro y Libertad</v>
          </cell>
          <cell r="H4208" t="str">
            <v>consulta_externa</v>
          </cell>
          <cell r="J4208" t="str">
            <v>bueno</v>
          </cell>
          <cell r="K4208" t="str">
            <v>defsi</v>
          </cell>
        </row>
        <row r="4209">
          <cell r="B4209" t="b">
            <v>1</v>
          </cell>
          <cell r="E4209" t="str">
            <v>San Pedro y Libertad</v>
          </cell>
          <cell r="H4209" t="str">
            <v>salud_oral</v>
          </cell>
          <cell r="J4209" t="str">
            <v>bueno</v>
          </cell>
          <cell r="K4209" t="str">
            <v>defsi</v>
          </cell>
        </row>
        <row r="4210">
          <cell r="B4210" t="b">
            <v>1</v>
          </cell>
          <cell r="E4210" t="str">
            <v>San Pedro y Libertad</v>
          </cell>
          <cell r="H4210" t="str">
            <v>laboratorio</v>
          </cell>
          <cell r="J4210" t="str">
            <v>bueno</v>
          </cell>
          <cell r="K4210" t="str">
            <v>defsi</v>
          </cell>
        </row>
        <row r="4211">
          <cell r="B4211" t="b">
            <v>1</v>
          </cell>
          <cell r="E4211" t="str">
            <v>San Pedro y Libertad</v>
          </cell>
          <cell r="H4211" t="str">
            <v>consulta_externa</v>
          </cell>
          <cell r="J4211" t="str">
            <v>bueno</v>
          </cell>
          <cell r="K4211" t="str">
            <v>defsi</v>
          </cell>
        </row>
        <row r="4212">
          <cell r="B4212" t="b">
            <v>1</v>
          </cell>
          <cell r="E4212" t="str">
            <v>San Pedro y Libertad</v>
          </cell>
          <cell r="H4212" t="str">
            <v>salud_oral</v>
          </cell>
          <cell r="J4212" t="str">
            <v>bueno</v>
          </cell>
          <cell r="K4212" t="str">
            <v>defsi</v>
          </cell>
        </row>
        <row r="4213">
          <cell r="B4213" t="b">
            <v>1</v>
          </cell>
          <cell r="E4213" t="str">
            <v>Nuevo Porvenir</v>
          </cell>
          <cell r="H4213" t="str">
            <v>consulta_externa</v>
          </cell>
          <cell r="J4213" t="str">
            <v>bueno</v>
          </cell>
          <cell r="K4213" t="str">
            <v>probsi</v>
          </cell>
        </row>
        <row r="4214">
          <cell r="B4214" t="b">
            <v>1</v>
          </cell>
          <cell r="E4214" t="str">
            <v>San Pedro y Libertad</v>
          </cell>
          <cell r="H4214" t="str">
            <v>laboratorio</v>
          </cell>
          <cell r="J4214" t="str">
            <v>bueno</v>
          </cell>
          <cell r="K4214" t="str">
            <v>defsi</v>
          </cell>
        </row>
        <row r="4215">
          <cell r="B4215" t="b">
            <v>1</v>
          </cell>
          <cell r="E4215" t="str">
            <v>Nuevo Porvenir</v>
          </cell>
          <cell r="H4215" t="str">
            <v>consulta_externa</v>
          </cell>
          <cell r="J4215" t="str">
            <v>bueno</v>
          </cell>
          <cell r="K4215" t="str">
            <v>probsi</v>
          </cell>
        </row>
        <row r="4216">
          <cell r="B4216" t="b">
            <v>1</v>
          </cell>
          <cell r="E4216" t="str">
            <v>Nuevo Porvenir</v>
          </cell>
          <cell r="H4216" t="str">
            <v>consulta_externa</v>
          </cell>
          <cell r="J4216" t="str">
            <v>muybueno</v>
          </cell>
          <cell r="K4216" t="str">
            <v>probsi</v>
          </cell>
        </row>
        <row r="4217">
          <cell r="B4217" t="b">
            <v>1</v>
          </cell>
          <cell r="E4217" t="str">
            <v>Nuevo Porvenir</v>
          </cell>
          <cell r="H4217" t="str">
            <v>laboratorio</v>
          </cell>
          <cell r="J4217" t="str">
            <v>bueno</v>
          </cell>
          <cell r="K4217" t="str">
            <v>probsi</v>
          </cell>
        </row>
        <row r="4218">
          <cell r="B4218" t="b">
            <v>1</v>
          </cell>
          <cell r="E4218" t="str">
            <v>Nuevo Porvenir</v>
          </cell>
          <cell r="H4218" t="str">
            <v>salud_oral</v>
          </cell>
          <cell r="J4218" t="str">
            <v>bueno</v>
          </cell>
          <cell r="K4218" t="str">
            <v>probsi</v>
          </cell>
        </row>
        <row r="4219">
          <cell r="B4219" t="b">
            <v>1</v>
          </cell>
          <cell r="E4219" t="str">
            <v>Nuevo Porvenir</v>
          </cell>
          <cell r="H4219" t="str">
            <v>consulta_externa</v>
          </cell>
          <cell r="J4219" t="str">
            <v>muybueno</v>
          </cell>
          <cell r="K4219" t="str">
            <v>probsi</v>
          </cell>
        </row>
        <row r="4220">
          <cell r="B4220" t="b">
            <v>1</v>
          </cell>
          <cell r="E4220" t="str">
            <v>Nuevo Porvenir</v>
          </cell>
          <cell r="H4220" t="str">
            <v>laboratorio</v>
          </cell>
          <cell r="J4220" t="str">
            <v>bueno</v>
          </cell>
          <cell r="K4220" t="str">
            <v>probsi</v>
          </cell>
        </row>
        <row r="4221">
          <cell r="B4221" t="b">
            <v>1</v>
          </cell>
          <cell r="E4221" t="str">
            <v>Nuevo Porvenir</v>
          </cell>
          <cell r="H4221" t="str">
            <v>consulta_externa</v>
          </cell>
          <cell r="J4221" t="str">
            <v>bueno</v>
          </cell>
          <cell r="K4221" t="str">
            <v>probsi</v>
          </cell>
        </row>
        <row r="4222">
          <cell r="B4222" t="b">
            <v>1</v>
          </cell>
          <cell r="E4222" t="str">
            <v>San Pedro y Libertad</v>
          </cell>
          <cell r="H4222" t="str">
            <v>consulta_externa</v>
          </cell>
          <cell r="J4222" t="str">
            <v>bueno</v>
          </cell>
          <cell r="K4222" t="str">
            <v>defsi</v>
          </cell>
        </row>
        <row r="4223">
          <cell r="B4223" t="b">
            <v>1</v>
          </cell>
          <cell r="E4223" t="str">
            <v>San Pedro y Libertad</v>
          </cell>
          <cell r="H4223" t="str">
            <v>salud_oral</v>
          </cell>
          <cell r="J4223" t="str">
            <v>bueno</v>
          </cell>
          <cell r="K4223" t="str">
            <v>defsi</v>
          </cell>
        </row>
        <row r="4224">
          <cell r="B4224" t="b">
            <v>1</v>
          </cell>
          <cell r="E4224" t="str">
            <v>San Pedro y Libertad</v>
          </cell>
          <cell r="H4224" t="str">
            <v>laboratorio</v>
          </cell>
          <cell r="J4224" t="str">
            <v>bueno</v>
          </cell>
          <cell r="K4224" t="str">
            <v>defsi</v>
          </cell>
        </row>
        <row r="4225">
          <cell r="B4225" t="b">
            <v>1</v>
          </cell>
          <cell r="E4225" t="str">
            <v>San Pedro y Libertad</v>
          </cell>
          <cell r="H4225" t="str">
            <v>consulta_externa</v>
          </cell>
          <cell r="J4225" t="str">
            <v>bueno</v>
          </cell>
          <cell r="K4225" t="str">
            <v>defsi</v>
          </cell>
        </row>
        <row r="4226">
          <cell r="B4226" t="b">
            <v>1</v>
          </cell>
          <cell r="E4226" t="str">
            <v>San Pedro y Libertad</v>
          </cell>
          <cell r="H4226" t="str">
            <v>salud_oral</v>
          </cell>
          <cell r="J4226" t="str">
            <v>bueno</v>
          </cell>
          <cell r="K4226" t="str">
            <v>defsi</v>
          </cell>
        </row>
        <row r="4227">
          <cell r="B4227" t="b">
            <v>1</v>
          </cell>
          <cell r="E4227" t="str">
            <v>San Pedro y Libertad</v>
          </cell>
          <cell r="H4227" t="str">
            <v>laboratorio</v>
          </cell>
          <cell r="J4227" t="str">
            <v>bueno</v>
          </cell>
          <cell r="K4227" t="str">
            <v>defsi</v>
          </cell>
        </row>
        <row r="4228">
          <cell r="B4228" t="b">
            <v>1</v>
          </cell>
          <cell r="E4228" t="str">
            <v>Nuevo Porvenir</v>
          </cell>
          <cell r="H4228" t="str">
            <v>salud_oral</v>
          </cell>
          <cell r="J4228" t="str">
            <v>bueno</v>
          </cell>
          <cell r="K4228" t="str">
            <v>probsi</v>
          </cell>
        </row>
        <row r="4229">
          <cell r="B4229" t="b">
            <v>1</v>
          </cell>
          <cell r="E4229" t="str">
            <v>Nuevo Porvenir</v>
          </cell>
          <cell r="H4229" t="str">
            <v>laboratorio</v>
          </cell>
          <cell r="J4229" t="str">
            <v>bueno</v>
          </cell>
          <cell r="K4229" t="str">
            <v>probsi</v>
          </cell>
        </row>
        <row r="4230">
          <cell r="B4230" t="b">
            <v>1</v>
          </cell>
          <cell r="E4230" t="str">
            <v>San Pedro y Libertad</v>
          </cell>
          <cell r="H4230" t="str">
            <v>consulta_externa</v>
          </cell>
          <cell r="J4230" t="str">
            <v>bueno</v>
          </cell>
          <cell r="K4230" t="str">
            <v>defsi</v>
          </cell>
        </row>
        <row r="4231">
          <cell r="B4231" t="b">
            <v>1</v>
          </cell>
          <cell r="E4231" t="str">
            <v>San Pedro y Libertad</v>
          </cell>
          <cell r="H4231" t="str">
            <v>salud_oral</v>
          </cell>
          <cell r="J4231" t="str">
            <v>bueno</v>
          </cell>
          <cell r="K4231" t="str">
            <v>defsi</v>
          </cell>
        </row>
        <row r="4232">
          <cell r="B4232" t="b">
            <v>1</v>
          </cell>
          <cell r="E4232" t="str">
            <v>San Pedro y Libertad</v>
          </cell>
          <cell r="H4232" t="str">
            <v>laboratorio</v>
          </cell>
          <cell r="J4232" t="str">
            <v>bueno</v>
          </cell>
          <cell r="K4232" t="str">
            <v>defsi</v>
          </cell>
        </row>
        <row r="4233">
          <cell r="B4233" t="b">
            <v>1</v>
          </cell>
          <cell r="E4233" t="str">
            <v>San Pedro y Libertad</v>
          </cell>
          <cell r="H4233" t="str">
            <v>consulta_externa</v>
          </cell>
          <cell r="J4233" t="str">
            <v>bueno</v>
          </cell>
          <cell r="K4233" t="str">
            <v>defsi</v>
          </cell>
        </row>
        <row r="4234">
          <cell r="B4234" t="b">
            <v>1</v>
          </cell>
          <cell r="E4234" t="str">
            <v>San Pedro y Libertad</v>
          </cell>
          <cell r="H4234" t="str">
            <v>salud_oral</v>
          </cell>
          <cell r="J4234" t="str">
            <v>bueno</v>
          </cell>
          <cell r="K4234" t="str">
            <v>defsi</v>
          </cell>
        </row>
        <row r="4235">
          <cell r="B4235" t="b">
            <v>1</v>
          </cell>
          <cell r="E4235" t="str">
            <v>San Pedro y Libertad</v>
          </cell>
          <cell r="H4235" t="str">
            <v>laboratorio</v>
          </cell>
          <cell r="J4235" t="str">
            <v>bueno</v>
          </cell>
          <cell r="K4235" t="str">
            <v>defsi</v>
          </cell>
        </row>
        <row r="4236">
          <cell r="B4236" t="b">
            <v>0</v>
          </cell>
          <cell r="E4236" t="str">
            <v>Socorro</v>
          </cell>
          <cell r="H4236" t="str">
            <v>consulta_externa</v>
          </cell>
          <cell r="J4236" t="str">
            <v>regular</v>
          </cell>
          <cell r="K4236" t="str">
            <v>defsi</v>
          </cell>
        </row>
        <row r="4237">
          <cell r="B4237" t="b">
            <v>0</v>
          </cell>
          <cell r="E4237" t="str">
            <v>Socorro</v>
          </cell>
          <cell r="H4237" t="str">
            <v>laboratorio</v>
          </cell>
          <cell r="J4237" t="str">
            <v>regular</v>
          </cell>
          <cell r="K4237" t="str">
            <v>defsi</v>
          </cell>
        </row>
        <row r="4238">
          <cell r="B4238" t="b">
            <v>1</v>
          </cell>
          <cell r="E4238" t="str">
            <v>San Pedro y Libertad</v>
          </cell>
          <cell r="H4238" t="str">
            <v>consulta_externa</v>
          </cell>
          <cell r="J4238" t="str">
            <v>bueno</v>
          </cell>
          <cell r="K4238" t="str">
            <v>defsi</v>
          </cell>
        </row>
        <row r="4239">
          <cell r="B4239" t="b">
            <v>1</v>
          </cell>
          <cell r="E4239" t="str">
            <v>Socorro</v>
          </cell>
          <cell r="H4239" t="str">
            <v>laboratorio</v>
          </cell>
          <cell r="J4239" t="str">
            <v>bueno</v>
          </cell>
          <cell r="K4239" t="str">
            <v>defsi</v>
          </cell>
        </row>
        <row r="4240">
          <cell r="B4240" t="b">
            <v>0</v>
          </cell>
          <cell r="E4240" t="str">
            <v>Socorro</v>
          </cell>
          <cell r="H4240" t="str">
            <v>laboratorio</v>
          </cell>
          <cell r="J4240" t="str">
            <v>regular</v>
          </cell>
          <cell r="K4240" t="str">
            <v>probsi</v>
          </cell>
        </row>
        <row r="4241">
          <cell r="B4241" t="b">
            <v>1</v>
          </cell>
          <cell r="E4241" t="str">
            <v>Socorro</v>
          </cell>
          <cell r="H4241" t="str">
            <v>laboratorio</v>
          </cell>
          <cell r="J4241" t="str">
            <v>bueno</v>
          </cell>
          <cell r="K4241" t="str">
            <v>defsi</v>
          </cell>
        </row>
        <row r="4242">
          <cell r="B4242" t="b">
            <v>1</v>
          </cell>
          <cell r="E4242" t="str">
            <v>San Pedro y Libertad</v>
          </cell>
          <cell r="H4242" t="str">
            <v>salud_oral</v>
          </cell>
          <cell r="J4242" t="str">
            <v>bueno</v>
          </cell>
          <cell r="K4242" t="str">
            <v>defsi</v>
          </cell>
        </row>
        <row r="4243">
          <cell r="B4243" t="b">
            <v>1</v>
          </cell>
          <cell r="E4243" t="str">
            <v>Socorro</v>
          </cell>
          <cell r="H4243" t="str">
            <v>consulta_externa</v>
          </cell>
          <cell r="J4243" t="str">
            <v>bueno</v>
          </cell>
          <cell r="K4243" t="str">
            <v>defsi</v>
          </cell>
        </row>
        <row r="4244">
          <cell r="B4244" t="b">
            <v>1</v>
          </cell>
          <cell r="E4244" t="str">
            <v>San Pedro y Libertad</v>
          </cell>
          <cell r="H4244" t="str">
            <v>laboratorio</v>
          </cell>
          <cell r="J4244" t="str">
            <v>bueno</v>
          </cell>
          <cell r="K4244" t="str">
            <v>defsi</v>
          </cell>
        </row>
        <row r="4245">
          <cell r="B4245" t="b">
            <v>0</v>
          </cell>
          <cell r="E4245" t="str">
            <v>Nuevo Porvenir</v>
          </cell>
          <cell r="H4245" t="str">
            <v>laboratorio</v>
          </cell>
          <cell r="J4245" t="str">
            <v>regular</v>
          </cell>
          <cell r="K4245" t="str">
            <v>probsi</v>
          </cell>
        </row>
        <row r="4246">
          <cell r="B4246" t="b">
            <v>1</v>
          </cell>
          <cell r="E4246" t="str">
            <v>Nuevo Porvenir</v>
          </cell>
          <cell r="H4246" t="str">
            <v>salud_oral</v>
          </cell>
          <cell r="J4246" t="str">
            <v>bueno</v>
          </cell>
          <cell r="K4246" t="str">
            <v>probsi</v>
          </cell>
        </row>
        <row r="4247">
          <cell r="B4247" t="b">
            <v>1</v>
          </cell>
          <cell r="E4247" t="str">
            <v>San Pedro y Libertad</v>
          </cell>
          <cell r="H4247" t="str">
            <v>consulta_externa</v>
          </cell>
          <cell r="J4247" t="str">
            <v>bueno</v>
          </cell>
          <cell r="K4247" t="str">
            <v>defsi</v>
          </cell>
        </row>
        <row r="4248">
          <cell r="B4248" t="b">
            <v>1</v>
          </cell>
          <cell r="E4248" t="str">
            <v>San Pedro y Libertad</v>
          </cell>
          <cell r="H4248" t="str">
            <v>salud_oral</v>
          </cell>
          <cell r="J4248" t="str">
            <v>bueno</v>
          </cell>
          <cell r="K4248" t="str">
            <v>defsi</v>
          </cell>
        </row>
        <row r="4249">
          <cell r="B4249" t="b">
            <v>1</v>
          </cell>
          <cell r="E4249" t="str">
            <v>San Pedro y Libertad</v>
          </cell>
          <cell r="H4249" t="str">
            <v>laboratorio</v>
          </cell>
          <cell r="J4249" t="str">
            <v>bueno</v>
          </cell>
          <cell r="K4249" t="str">
            <v>defsi</v>
          </cell>
        </row>
        <row r="4250">
          <cell r="B4250" t="b">
            <v>1</v>
          </cell>
          <cell r="E4250" t="str">
            <v>San Pedro y Libertad</v>
          </cell>
          <cell r="H4250" t="str">
            <v>consulta_externa</v>
          </cell>
          <cell r="J4250" t="str">
            <v>bueno</v>
          </cell>
          <cell r="K4250" t="str">
            <v>defsi</v>
          </cell>
        </row>
        <row r="4251">
          <cell r="B4251" t="b">
            <v>1</v>
          </cell>
          <cell r="E4251" t="str">
            <v>San Pedro y Libertad</v>
          </cell>
          <cell r="H4251" t="str">
            <v>salud_oral</v>
          </cell>
          <cell r="J4251" t="str">
            <v>bueno</v>
          </cell>
          <cell r="K4251" t="str">
            <v>defsi</v>
          </cell>
        </row>
        <row r="4252">
          <cell r="B4252" t="b">
            <v>1</v>
          </cell>
          <cell r="E4252" t="str">
            <v>San Pedro y Libertad</v>
          </cell>
          <cell r="H4252" t="str">
            <v>laboratorio</v>
          </cell>
          <cell r="J4252" t="str">
            <v>bueno</v>
          </cell>
          <cell r="K4252" t="str">
            <v>defsi</v>
          </cell>
        </row>
        <row r="4253">
          <cell r="B4253" t="b">
            <v>1</v>
          </cell>
          <cell r="E4253" t="str">
            <v>San Pedro y Libertad</v>
          </cell>
          <cell r="H4253" t="str">
            <v>consulta_externa</v>
          </cell>
          <cell r="J4253" t="str">
            <v>bueno</v>
          </cell>
          <cell r="K4253" t="str">
            <v>defsi</v>
          </cell>
        </row>
        <row r="4254">
          <cell r="B4254" t="b">
            <v>1</v>
          </cell>
          <cell r="E4254" t="str">
            <v>San Pedro y Libertad</v>
          </cell>
          <cell r="H4254" t="str">
            <v>salud_oral</v>
          </cell>
          <cell r="J4254" t="str">
            <v>bueno</v>
          </cell>
          <cell r="K4254" t="str">
            <v>defsi</v>
          </cell>
        </row>
        <row r="4255">
          <cell r="B4255" t="b">
            <v>1</v>
          </cell>
          <cell r="E4255" t="str">
            <v>San Pedro y Libertad</v>
          </cell>
          <cell r="H4255" t="str">
            <v>consulta_externa</v>
          </cell>
          <cell r="J4255" t="str">
            <v>bueno</v>
          </cell>
          <cell r="K4255" t="str">
            <v>defsi</v>
          </cell>
        </row>
        <row r="4256">
          <cell r="B4256" t="b">
            <v>1</v>
          </cell>
          <cell r="E4256" t="str">
            <v>San Pedro y Libertad</v>
          </cell>
          <cell r="H4256" t="str">
            <v>salud_oral</v>
          </cell>
          <cell r="J4256" t="str">
            <v>bueno</v>
          </cell>
          <cell r="K4256" t="str">
            <v>defsi</v>
          </cell>
        </row>
        <row r="4257">
          <cell r="B4257" t="b">
            <v>1</v>
          </cell>
          <cell r="E4257" t="str">
            <v>San Pedro y Libertad</v>
          </cell>
          <cell r="H4257" t="str">
            <v>laboratorio</v>
          </cell>
          <cell r="J4257" t="str">
            <v>bueno</v>
          </cell>
          <cell r="K4257" t="str">
            <v>defsi</v>
          </cell>
        </row>
        <row r="4258">
          <cell r="B4258" t="b">
            <v>1</v>
          </cell>
          <cell r="E4258" t="str">
            <v>San Pedro y Libertad</v>
          </cell>
          <cell r="H4258" t="str">
            <v>consulta_externa</v>
          </cell>
          <cell r="J4258" t="str">
            <v>bueno</v>
          </cell>
          <cell r="K4258" t="str">
            <v>defsi</v>
          </cell>
        </row>
        <row r="4259">
          <cell r="B4259" t="b">
            <v>1</v>
          </cell>
          <cell r="E4259" t="str">
            <v>San Pedro y Libertad</v>
          </cell>
          <cell r="H4259" t="str">
            <v>salud_oral</v>
          </cell>
          <cell r="J4259" t="str">
            <v>bueno</v>
          </cell>
          <cell r="K4259" t="str">
            <v>defsi</v>
          </cell>
        </row>
        <row r="4260">
          <cell r="B4260" t="b">
            <v>1</v>
          </cell>
          <cell r="E4260" t="str">
            <v>San Pedro y Libertad</v>
          </cell>
          <cell r="H4260" t="str">
            <v>laboratorio</v>
          </cell>
          <cell r="J4260" t="str">
            <v>bueno</v>
          </cell>
          <cell r="K4260" t="str">
            <v>defsi</v>
          </cell>
        </row>
        <row r="4261">
          <cell r="B4261" t="b">
            <v>1</v>
          </cell>
          <cell r="E4261" t="str">
            <v>Nuevo Porvenir</v>
          </cell>
          <cell r="H4261" t="str">
            <v>salud_oral</v>
          </cell>
          <cell r="J4261" t="str">
            <v>bueno</v>
          </cell>
          <cell r="K4261" t="str">
            <v>probsi</v>
          </cell>
        </row>
        <row r="4262">
          <cell r="B4262" t="b">
            <v>1</v>
          </cell>
          <cell r="E4262" t="str">
            <v>Nuevo Porvenir</v>
          </cell>
          <cell r="H4262" t="str">
            <v>salud_oral</v>
          </cell>
          <cell r="J4262" t="str">
            <v>muybueno</v>
          </cell>
          <cell r="K4262" t="str">
            <v>probsi</v>
          </cell>
        </row>
        <row r="4263">
          <cell r="B4263" t="b">
            <v>1</v>
          </cell>
          <cell r="E4263" t="str">
            <v>San Pedro y Libertad</v>
          </cell>
          <cell r="H4263" t="str">
            <v>consulta_externa</v>
          </cell>
          <cell r="J4263" t="str">
            <v>bueno</v>
          </cell>
          <cell r="K4263" t="str">
            <v>defsi</v>
          </cell>
        </row>
        <row r="4264">
          <cell r="B4264" t="b">
            <v>1</v>
          </cell>
          <cell r="E4264" t="str">
            <v>San Pedro y Libertad</v>
          </cell>
          <cell r="H4264" t="str">
            <v>salud_oral</v>
          </cell>
          <cell r="J4264" t="str">
            <v>bueno</v>
          </cell>
          <cell r="K4264" t="str">
            <v>defsi</v>
          </cell>
        </row>
        <row r="4265">
          <cell r="B4265" t="b">
            <v>1</v>
          </cell>
          <cell r="E4265" t="str">
            <v>Nuevo Porvenir</v>
          </cell>
          <cell r="H4265" t="str">
            <v>salud_oral</v>
          </cell>
          <cell r="J4265" t="str">
            <v>bueno</v>
          </cell>
          <cell r="K4265" t="str">
            <v>probsi</v>
          </cell>
        </row>
        <row r="4266">
          <cell r="B4266" t="b">
            <v>1</v>
          </cell>
          <cell r="E4266" t="str">
            <v>Los Cerros</v>
          </cell>
          <cell r="H4266" t="str">
            <v>consulta_externa</v>
          </cell>
          <cell r="J4266" t="str">
            <v>bueno</v>
          </cell>
          <cell r="K4266" t="str">
            <v>probsi</v>
          </cell>
        </row>
        <row r="4267">
          <cell r="B4267" t="b">
            <v>1</v>
          </cell>
          <cell r="E4267" t="str">
            <v>Los Cerros</v>
          </cell>
          <cell r="H4267" t="str">
            <v>consulta_externa</v>
          </cell>
          <cell r="J4267" t="str">
            <v>bueno</v>
          </cell>
          <cell r="K4267" t="str">
            <v>probsi</v>
          </cell>
        </row>
        <row r="4268">
          <cell r="B4268" t="b">
            <v>1</v>
          </cell>
          <cell r="E4268" t="str">
            <v>Los Cerros</v>
          </cell>
          <cell r="H4268" t="str">
            <v>consulta_externa</v>
          </cell>
          <cell r="J4268" t="str">
            <v>bueno</v>
          </cell>
          <cell r="K4268" t="str">
            <v>probsi</v>
          </cell>
        </row>
        <row r="4269">
          <cell r="B4269" t="b">
            <v>1</v>
          </cell>
          <cell r="E4269" t="str">
            <v>Los Cerros</v>
          </cell>
          <cell r="H4269" t="str">
            <v>consulta_externa</v>
          </cell>
          <cell r="J4269" t="str">
            <v>bueno</v>
          </cell>
          <cell r="K4269" t="str">
            <v>probsi</v>
          </cell>
        </row>
        <row r="4270">
          <cell r="B4270" t="b">
            <v>1</v>
          </cell>
          <cell r="E4270" t="str">
            <v>Los Cerros</v>
          </cell>
          <cell r="H4270" t="str">
            <v>consulta_externa</v>
          </cell>
          <cell r="J4270" t="str">
            <v>bueno</v>
          </cell>
          <cell r="K4270" t="str">
            <v>probsi</v>
          </cell>
        </row>
        <row r="4271">
          <cell r="B4271" t="b">
            <v>1</v>
          </cell>
          <cell r="E4271" t="str">
            <v>Los Cerros</v>
          </cell>
          <cell r="H4271" t="str">
            <v>consulta_externa</v>
          </cell>
          <cell r="J4271" t="str">
            <v>bueno</v>
          </cell>
          <cell r="K4271" t="str">
            <v>probsi</v>
          </cell>
        </row>
        <row r="4272">
          <cell r="B4272" t="b">
            <v>1</v>
          </cell>
          <cell r="E4272" t="str">
            <v>Los Cerros</v>
          </cell>
          <cell r="H4272" t="str">
            <v>consulta_externa</v>
          </cell>
          <cell r="J4272" t="str">
            <v>bueno</v>
          </cell>
          <cell r="K4272" t="str">
            <v>probsi</v>
          </cell>
        </row>
        <row r="4273">
          <cell r="B4273" t="b">
            <v>1</v>
          </cell>
          <cell r="E4273" t="str">
            <v>Los Cerros</v>
          </cell>
          <cell r="H4273" t="str">
            <v>consulta_externa</v>
          </cell>
          <cell r="J4273" t="str">
            <v>bueno</v>
          </cell>
          <cell r="K4273" t="str">
            <v>probsi</v>
          </cell>
        </row>
        <row r="4274">
          <cell r="B4274" t="b">
            <v>1</v>
          </cell>
          <cell r="E4274" t="str">
            <v>Los Cerros</v>
          </cell>
          <cell r="H4274" t="str">
            <v>laboratorio</v>
          </cell>
          <cell r="J4274" t="str">
            <v>bueno</v>
          </cell>
          <cell r="K4274" t="str">
            <v>probsi</v>
          </cell>
        </row>
        <row r="4275">
          <cell r="B4275" t="b">
            <v>1</v>
          </cell>
          <cell r="E4275" t="str">
            <v>Los Cerros</v>
          </cell>
          <cell r="H4275" t="str">
            <v>laboratorio</v>
          </cell>
          <cell r="J4275" t="str">
            <v>bueno</v>
          </cell>
          <cell r="K4275" t="str">
            <v>probsi</v>
          </cell>
        </row>
        <row r="4276">
          <cell r="B4276" t="b">
            <v>1</v>
          </cell>
          <cell r="E4276" t="str">
            <v>Los Cerros</v>
          </cell>
          <cell r="H4276" t="str">
            <v>laboratorio</v>
          </cell>
          <cell r="J4276" t="str">
            <v>bueno</v>
          </cell>
          <cell r="K4276" t="str">
            <v>probsi</v>
          </cell>
        </row>
        <row r="4277">
          <cell r="B4277" t="b">
            <v>1</v>
          </cell>
          <cell r="E4277" t="str">
            <v>Los Cerros</v>
          </cell>
          <cell r="H4277" t="str">
            <v>laboratorio</v>
          </cell>
          <cell r="J4277" t="str">
            <v>bueno</v>
          </cell>
          <cell r="K4277" t="str">
            <v>probsi</v>
          </cell>
        </row>
        <row r="4278">
          <cell r="B4278" t="b">
            <v>1</v>
          </cell>
          <cell r="E4278" t="str">
            <v>Socorro</v>
          </cell>
          <cell r="H4278" t="str">
            <v>consulta_externa</v>
          </cell>
          <cell r="J4278" t="str">
            <v>bueno</v>
          </cell>
          <cell r="K4278" t="str">
            <v>defsi</v>
          </cell>
        </row>
        <row r="4279">
          <cell r="B4279" t="b">
            <v>1</v>
          </cell>
          <cell r="E4279" t="str">
            <v>Los Cerros</v>
          </cell>
          <cell r="H4279" t="str">
            <v>salud_oral</v>
          </cell>
          <cell r="J4279" t="str">
            <v>bueno</v>
          </cell>
          <cell r="K4279" t="str">
            <v>probsi</v>
          </cell>
        </row>
        <row r="4280">
          <cell r="B4280" t="b">
            <v>1</v>
          </cell>
          <cell r="E4280" t="str">
            <v>Los Cerros</v>
          </cell>
          <cell r="H4280" t="str">
            <v>salud_oral</v>
          </cell>
          <cell r="J4280" t="str">
            <v>bueno</v>
          </cell>
          <cell r="K4280" t="str">
            <v>probsi</v>
          </cell>
        </row>
        <row r="4281">
          <cell r="B4281" t="b">
            <v>1</v>
          </cell>
          <cell r="E4281" t="str">
            <v>Los Cerros</v>
          </cell>
          <cell r="H4281" t="str">
            <v>salud_oral</v>
          </cell>
          <cell r="J4281" t="str">
            <v>bueno</v>
          </cell>
          <cell r="K4281" t="str">
            <v>probsi</v>
          </cell>
        </row>
        <row r="4282">
          <cell r="B4282" t="b">
            <v>1</v>
          </cell>
          <cell r="E4282" t="str">
            <v>Los Cerros</v>
          </cell>
          <cell r="H4282" t="str">
            <v>salud_oral</v>
          </cell>
          <cell r="J4282" t="str">
            <v>bueno</v>
          </cell>
          <cell r="K4282" t="str">
            <v>probsi</v>
          </cell>
        </row>
        <row r="4283">
          <cell r="B4283" t="b">
            <v>1</v>
          </cell>
          <cell r="E4283" t="str">
            <v>Los Cerros</v>
          </cell>
          <cell r="H4283" t="str">
            <v>salud_oral</v>
          </cell>
          <cell r="J4283" t="str">
            <v>bueno</v>
          </cell>
          <cell r="K4283" t="str">
            <v>probsi</v>
          </cell>
        </row>
        <row r="4284">
          <cell r="B4284" t="b">
            <v>1</v>
          </cell>
          <cell r="E4284" t="str">
            <v>Los Cerros</v>
          </cell>
          <cell r="H4284" t="str">
            <v>ginecologia</v>
          </cell>
          <cell r="J4284" t="str">
            <v>bueno</v>
          </cell>
          <cell r="K4284" t="str">
            <v>probsi</v>
          </cell>
        </row>
        <row r="4285">
          <cell r="B4285" t="b">
            <v>1</v>
          </cell>
          <cell r="E4285" t="str">
            <v>Los Cerros</v>
          </cell>
          <cell r="H4285" t="str">
            <v>ginecologia</v>
          </cell>
          <cell r="J4285" t="str">
            <v>bueno</v>
          </cell>
          <cell r="K4285" t="str">
            <v>probsi</v>
          </cell>
        </row>
        <row r="4286">
          <cell r="B4286" t="b">
            <v>1</v>
          </cell>
          <cell r="E4286" t="str">
            <v>Los Cerros</v>
          </cell>
          <cell r="H4286" t="str">
            <v>ecografias</v>
          </cell>
          <cell r="J4286" t="str">
            <v>bueno</v>
          </cell>
          <cell r="K4286" t="str">
            <v>probsi</v>
          </cell>
        </row>
        <row r="4287">
          <cell r="B4287" t="b">
            <v>1</v>
          </cell>
          <cell r="E4287" t="str">
            <v>Socorro</v>
          </cell>
          <cell r="H4287" t="str">
            <v>salud_oral</v>
          </cell>
          <cell r="J4287" t="str">
            <v>bueno</v>
          </cell>
          <cell r="K4287" t="str">
            <v>defsi</v>
          </cell>
        </row>
        <row r="4288">
          <cell r="B4288" t="b">
            <v>1</v>
          </cell>
          <cell r="E4288" t="str">
            <v>San Pedro y Libertad</v>
          </cell>
          <cell r="H4288" t="str">
            <v>laboratorio</v>
          </cell>
          <cell r="J4288" t="str">
            <v>bueno</v>
          </cell>
          <cell r="K4288" t="str">
            <v>defsi</v>
          </cell>
        </row>
        <row r="4289">
          <cell r="B4289" t="b">
            <v>1</v>
          </cell>
          <cell r="E4289" t="str">
            <v>Socorro</v>
          </cell>
          <cell r="H4289" t="str">
            <v>laboratorio</v>
          </cell>
          <cell r="J4289" t="str">
            <v>bueno</v>
          </cell>
          <cell r="K4289" t="str">
            <v>defsi</v>
          </cell>
        </row>
        <row r="4290">
          <cell r="B4290" t="b">
            <v>1</v>
          </cell>
          <cell r="E4290" t="str">
            <v>Los Cerros</v>
          </cell>
          <cell r="H4290" t="str">
            <v>ecografias</v>
          </cell>
          <cell r="J4290" t="str">
            <v>bueno</v>
          </cell>
          <cell r="K4290" t="str">
            <v>probsi</v>
          </cell>
        </row>
        <row r="4291">
          <cell r="B4291" t="b">
            <v>1</v>
          </cell>
          <cell r="E4291" t="str">
            <v>Los Cerros</v>
          </cell>
          <cell r="H4291" t="str">
            <v>ecografias</v>
          </cell>
          <cell r="J4291" t="str">
            <v>bueno</v>
          </cell>
          <cell r="K4291" t="str">
            <v>probsi</v>
          </cell>
        </row>
        <row r="4292">
          <cell r="B4292" t="b">
            <v>1</v>
          </cell>
          <cell r="E4292" t="str">
            <v>Los Cerros</v>
          </cell>
          <cell r="H4292" t="str">
            <v>ecografias</v>
          </cell>
          <cell r="J4292" t="str">
            <v>bueno</v>
          </cell>
          <cell r="K4292" t="str">
            <v>probsi</v>
          </cell>
        </row>
        <row r="4293">
          <cell r="B4293" t="b">
            <v>1</v>
          </cell>
          <cell r="E4293" t="str">
            <v>San Pedro y Libertad</v>
          </cell>
          <cell r="H4293" t="str">
            <v>consulta_externa</v>
          </cell>
          <cell r="J4293" t="str">
            <v>bueno</v>
          </cell>
          <cell r="K4293" t="str">
            <v>defsi</v>
          </cell>
        </row>
        <row r="4294">
          <cell r="B4294" t="b">
            <v>1</v>
          </cell>
          <cell r="E4294" t="str">
            <v>Los Cerros</v>
          </cell>
          <cell r="H4294" t="str">
            <v>pediatria</v>
          </cell>
          <cell r="J4294" t="str">
            <v>bueno</v>
          </cell>
          <cell r="K4294" t="str">
            <v>probsi</v>
          </cell>
        </row>
        <row r="4295">
          <cell r="B4295" t="b">
            <v>1</v>
          </cell>
          <cell r="E4295" t="str">
            <v>Los Cerros</v>
          </cell>
          <cell r="H4295" t="str">
            <v>pediatria</v>
          </cell>
          <cell r="J4295" t="str">
            <v>bueno</v>
          </cell>
          <cell r="K4295" t="str">
            <v>probsi</v>
          </cell>
        </row>
        <row r="4296">
          <cell r="B4296" t="b">
            <v>1</v>
          </cell>
          <cell r="E4296" t="str">
            <v>Los Cerros</v>
          </cell>
          <cell r="H4296" t="str">
            <v>pediatria</v>
          </cell>
          <cell r="J4296" t="str">
            <v>bueno</v>
          </cell>
          <cell r="K4296" t="str">
            <v>probsi</v>
          </cell>
        </row>
        <row r="4297">
          <cell r="B4297" t="b">
            <v>1</v>
          </cell>
          <cell r="E4297" t="str">
            <v>San Pedro y Libertad</v>
          </cell>
          <cell r="H4297" t="str">
            <v>salud_oral</v>
          </cell>
          <cell r="J4297" t="str">
            <v>bueno</v>
          </cell>
          <cell r="K4297" t="str">
            <v>defsi</v>
          </cell>
        </row>
        <row r="4298">
          <cell r="B4298" t="b">
            <v>1</v>
          </cell>
          <cell r="E4298" t="str">
            <v>Los Cerros</v>
          </cell>
          <cell r="H4298" t="str">
            <v>ginecologia</v>
          </cell>
          <cell r="J4298" t="str">
            <v>bueno</v>
          </cell>
          <cell r="K4298" t="str">
            <v>probsi</v>
          </cell>
        </row>
        <row r="4299">
          <cell r="B4299" t="b">
            <v>0</v>
          </cell>
          <cell r="E4299" t="str">
            <v>Socorro</v>
          </cell>
          <cell r="H4299" t="str">
            <v>consulta_externa</v>
          </cell>
          <cell r="J4299" t="str">
            <v>regular</v>
          </cell>
          <cell r="K4299" t="str">
            <v>defsi</v>
          </cell>
        </row>
        <row r="4300">
          <cell r="B4300" t="b">
            <v>1</v>
          </cell>
          <cell r="E4300" t="str">
            <v>Los Cerros</v>
          </cell>
          <cell r="H4300" t="str">
            <v>ginecologia</v>
          </cell>
          <cell r="J4300" t="str">
            <v>bueno</v>
          </cell>
          <cell r="K4300" t="str">
            <v>probsi</v>
          </cell>
        </row>
        <row r="4301">
          <cell r="B4301" t="b">
            <v>1</v>
          </cell>
          <cell r="E4301" t="str">
            <v>Los Cerros</v>
          </cell>
          <cell r="H4301" t="str">
            <v>ginecologia</v>
          </cell>
          <cell r="J4301" t="str">
            <v>bueno</v>
          </cell>
          <cell r="K4301" t="str">
            <v>probsi</v>
          </cell>
        </row>
        <row r="4302">
          <cell r="B4302" t="b">
            <v>1</v>
          </cell>
          <cell r="E4302" t="str">
            <v>Los Cerros</v>
          </cell>
          <cell r="H4302" t="str">
            <v>laboratorio</v>
          </cell>
          <cell r="J4302" t="str">
            <v>bueno</v>
          </cell>
          <cell r="K4302" t="str">
            <v>probsi</v>
          </cell>
        </row>
        <row r="4303">
          <cell r="B4303" t="b">
            <v>1</v>
          </cell>
          <cell r="E4303" t="str">
            <v>Los Cerros</v>
          </cell>
          <cell r="H4303" t="str">
            <v>laboratorio</v>
          </cell>
          <cell r="J4303" t="str">
            <v>bueno</v>
          </cell>
          <cell r="K4303" t="str">
            <v>probsi</v>
          </cell>
        </row>
        <row r="4304">
          <cell r="B4304" t="b">
            <v>1</v>
          </cell>
          <cell r="E4304" t="str">
            <v>Socorro</v>
          </cell>
          <cell r="H4304" t="str">
            <v>salud_oral</v>
          </cell>
          <cell r="J4304" t="str">
            <v>bueno</v>
          </cell>
          <cell r="K4304" t="str">
            <v>defsi</v>
          </cell>
        </row>
        <row r="4305">
          <cell r="B4305" t="b">
            <v>1</v>
          </cell>
          <cell r="E4305" t="str">
            <v>San Pedro y Libertad</v>
          </cell>
          <cell r="H4305" t="str">
            <v>laboratorio</v>
          </cell>
          <cell r="J4305" t="str">
            <v>bueno</v>
          </cell>
          <cell r="K4305" t="str">
            <v>defsi</v>
          </cell>
        </row>
        <row r="4306">
          <cell r="B4306" t="b">
            <v>1</v>
          </cell>
          <cell r="E4306" t="str">
            <v>Los Cerros</v>
          </cell>
          <cell r="H4306" t="str">
            <v>consulta_externa</v>
          </cell>
          <cell r="J4306" t="str">
            <v>bueno</v>
          </cell>
          <cell r="K4306" t="str">
            <v>probsi</v>
          </cell>
        </row>
        <row r="4307">
          <cell r="B4307" t="b">
            <v>1</v>
          </cell>
          <cell r="E4307" t="str">
            <v>Los Cerros</v>
          </cell>
          <cell r="H4307" t="str">
            <v>consulta_externa</v>
          </cell>
          <cell r="J4307" t="str">
            <v>bueno</v>
          </cell>
          <cell r="K4307" t="str">
            <v>probsi</v>
          </cell>
        </row>
        <row r="4308">
          <cell r="B4308" t="b">
            <v>1</v>
          </cell>
          <cell r="E4308" t="str">
            <v>San Pedro y Libertad</v>
          </cell>
          <cell r="H4308" t="str">
            <v>consulta_externa</v>
          </cell>
          <cell r="J4308" t="str">
            <v>bueno</v>
          </cell>
          <cell r="K4308" t="str">
            <v>defsi</v>
          </cell>
        </row>
        <row r="4309">
          <cell r="B4309" t="b">
            <v>1</v>
          </cell>
          <cell r="E4309" t="str">
            <v>Socorro</v>
          </cell>
          <cell r="H4309" t="str">
            <v>consulta_externa</v>
          </cell>
          <cell r="J4309" t="str">
            <v>bueno</v>
          </cell>
          <cell r="K4309" t="str">
            <v>defsi</v>
          </cell>
        </row>
        <row r="4310">
          <cell r="B4310" t="b">
            <v>1</v>
          </cell>
          <cell r="E4310" t="str">
            <v>San Pedro y Libertad</v>
          </cell>
          <cell r="H4310" t="str">
            <v>salud_oral</v>
          </cell>
          <cell r="J4310" t="str">
            <v>bueno</v>
          </cell>
          <cell r="K4310" t="str">
            <v>defsi</v>
          </cell>
        </row>
        <row r="4311">
          <cell r="B4311" t="b">
            <v>1</v>
          </cell>
          <cell r="E4311" t="str">
            <v>San Pedro y Libertad</v>
          </cell>
          <cell r="H4311" t="str">
            <v>laboratorio</v>
          </cell>
          <cell r="J4311" t="str">
            <v>bueno</v>
          </cell>
          <cell r="K4311" t="str">
            <v>defsi</v>
          </cell>
        </row>
        <row r="4312">
          <cell r="B4312" t="b">
            <v>1</v>
          </cell>
          <cell r="E4312" t="str">
            <v>San Pedro y Libertad</v>
          </cell>
          <cell r="H4312" t="str">
            <v>consulta_externa</v>
          </cell>
          <cell r="J4312" t="str">
            <v>bueno</v>
          </cell>
          <cell r="K4312" t="str">
            <v>defsi</v>
          </cell>
        </row>
        <row r="4313">
          <cell r="B4313" t="b">
            <v>1</v>
          </cell>
          <cell r="E4313" t="str">
            <v>Socorro</v>
          </cell>
          <cell r="H4313" t="str">
            <v>consulta_externa</v>
          </cell>
          <cell r="J4313" t="str">
            <v>bueno</v>
          </cell>
          <cell r="K4313" t="str">
            <v>defsi</v>
          </cell>
        </row>
        <row r="4314">
          <cell r="B4314" t="b">
            <v>0</v>
          </cell>
          <cell r="E4314" t="str">
            <v>Socorro</v>
          </cell>
          <cell r="H4314" t="str">
            <v>salud_oral</v>
          </cell>
          <cell r="J4314" t="str">
            <v>regular</v>
          </cell>
          <cell r="K4314" t="str">
            <v>probsi</v>
          </cell>
        </row>
        <row r="4315">
          <cell r="B4315" t="b">
            <v>1</v>
          </cell>
          <cell r="E4315" t="str">
            <v>Socorro</v>
          </cell>
          <cell r="H4315" t="str">
            <v>salud_oral</v>
          </cell>
          <cell r="J4315" t="str">
            <v>bueno</v>
          </cell>
          <cell r="K4315" t="str">
            <v>defsi</v>
          </cell>
        </row>
        <row r="4316">
          <cell r="B4316" t="b">
            <v>1</v>
          </cell>
          <cell r="E4316" t="str">
            <v>Socorro</v>
          </cell>
          <cell r="H4316" t="str">
            <v>salud_oral</v>
          </cell>
          <cell r="J4316" t="str">
            <v>bueno</v>
          </cell>
          <cell r="K4316" t="str">
            <v>defsi</v>
          </cell>
        </row>
        <row r="4317">
          <cell r="B4317" t="b">
            <v>1</v>
          </cell>
          <cell r="E4317" t="str">
            <v>Los Cerros</v>
          </cell>
          <cell r="H4317" t="str">
            <v>consulta_externa</v>
          </cell>
          <cell r="J4317" t="str">
            <v>bueno</v>
          </cell>
          <cell r="K4317" t="str">
            <v>probsi</v>
          </cell>
        </row>
        <row r="4318">
          <cell r="B4318" t="b">
            <v>1</v>
          </cell>
          <cell r="E4318" t="str">
            <v>Socorro</v>
          </cell>
          <cell r="H4318" t="str">
            <v>consulta_externa</v>
          </cell>
          <cell r="J4318" t="str">
            <v>bueno</v>
          </cell>
          <cell r="K4318" t="str">
            <v>defsi</v>
          </cell>
        </row>
        <row r="4319">
          <cell r="B4319" t="b">
            <v>1</v>
          </cell>
          <cell r="E4319" t="str">
            <v>Socorro</v>
          </cell>
          <cell r="H4319" t="str">
            <v>salud_oral</v>
          </cell>
          <cell r="J4319" t="str">
            <v>bueno</v>
          </cell>
          <cell r="K4319" t="str">
            <v>defsi</v>
          </cell>
        </row>
        <row r="4320">
          <cell r="B4320" t="b">
            <v>1</v>
          </cell>
          <cell r="E4320" t="str">
            <v>Socorro</v>
          </cell>
          <cell r="H4320" t="str">
            <v>salud_oral</v>
          </cell>
          <cell r="J4320" t="str">
            <v>muybueno</v>
          </cell>
          <cell r="K4320" t="str">
            <v>defsi</v>
          </cell>
        </row>
        <row r="4321">
          <cell r="B4321" t="b">
            <v>1</v>
          </cell>
          <cell r="E4321" t="str">
            <v>Socorro</v>
          </cell>
          <cell r="H4321" t="str">
            <v>salud_oral</v>
          </cell>
          <cell r="J4321" t="str">
            <v>bueno</v>
          </cell>
          <cell r="K4321" t="str">
            <v>defsi</v>
          </cell>
        </row>
        <row r="4322">
          <cell r="B4322" t="b">
            <v>1</v>
          </cell>
          <cell r="E4322" t="str">
            <v>Socorro</v>
          </cell>
          <cell r="H4322" t="str">
            <v>laboratorio</v>
          </cell>
          <cell r="J4322" t="str">
            <v>bueno</v>
          </cell>
          <cell r="K4322" t="str">
            <v>defsi</v>
          </cell>
        </row>
        <row r="4323">
          <cell r="B4323" t="b">
            <v>1</v>
          </cell>
          <cell r="E4323" t="str">
            <v>Socorro</v>
          </cell>
          <cell r="H4323" t="str">
            <v>consulta_externa</v>
          </cell>
          <cell r="J4323" t="str">
            <v>bueno</v>
          </cell>
          <cell r="K4323" t="str">
            <v>defsi</v>
          </cell>
        </row>
        <row r="4324">
          <cell r="B4324" t="b">
            <v>1</v>
          </cell>
          <cell r="E4324" t="str">
            <v>Socorro</v>
          </cell>
          <cell r="H4324" t="str">
            <v>salud_oral</v>
          </cell>
          <cell r="J4324" t="str">
            <v>bueno</v>
          </cell>
          <cell r="K4324" t="str">
            <v>defsi</v>
          </cell>
        </row>
        <row r="4325">
          <cell r="B4325" t="b">
            <v>1</v>
          </cell>
          <cell r="E4325" t="str">
            <v>Socorro</v>
          </cell>
          <cell r="H4325" t="str">
            <v>salud_oral</v>
          </cell>
          <cell r="J4325" t="str">
            <v>bueno</v>
          </cell>
          <cell r="K4325" t="str">
            <v>defsi</v>
          </cell>
        </row>
        <row r="4326">
          <cell r="B4326" t="b">
            <v>1</v>
          </cell>
          <cell r="E4326" t="str">
            <v>Socorro</v>
          </cell>
          <cell r="H4326" t="str">
            <v>salud_oral</v>
          </cell>
          <cell r="J4326" t="str">
            <v>bueno</v>
          </cell>
          <cell r="K4326" t="str">
            <v>defsi</v>
          </cell>
        </row>
        <row r="4327">
          <cell r="B4327" t="b">
            <v>1</v>
          </cell>
          <cell r="E4327" t="str">
            <v>Canapote</v>
          </cell>
          <cell r="H4327" t="str">
            <v>consulta_externa</v>
          </cell>
          <cell r="J4327" t="str">
            <v>bueno</v>
          </cell>
          <cell r="K4327" t="str">
            <v>defsi</v>
          </cell>
        </row>
        <row r="4328">
          <cell r="B4328" t="b">
            <v>1</v>
          </cell>
          <cell r="E4328" t="str">
            <v>Canapote</v>
          </cell>
          <cell r="H4328" t="str">
            <v>salud_oral</v>
          </cell>
          <cell r="J4328" t="str">
            <v>bueno</v>
          </cell>
          <cell r="K4328" t="str">
            <v>defsi</v>
          </cell>
        </row>
        <row r="4329">
          <cell r="B4329" t="b">
            <v>1</v>
          </cell>
          <cell r="E4329" t="str">
            <v>Canapote</v>
          </cell>
          <cell r="H4329" t="str">
            <v>consulta_externa</v>
          </cell>
          <cell r="J4329" t="str">
            <v>bueno</v>
          </cell>
          <cell r="K4329" t="str">
            <v>defsi</v>
          </cell>
        </row>
        <row r="4330">
          <cell r="B4330" t="b">
            <v>1</v>
          </cell>
          <cell r="E4330" t="str">
            <v>Canapote</v>
          </cell>
          <cell r="H4330" t="str">
            <v>salud_oral</v>
          </cell>
          <cell r="J4330" t="str">
            <v>bueno</v>
          </cell>
          <cell r="K4330" t="str">
            <v>defsi</v>
          </cell>
        </row>
        <row r="4331">
          <cell r="B4331" t="b">
            <v>0</v>
          </cell>
          <cell r="E4331" t="str">
            <v>Los Cerros</v>
          </cell>
          <cell r="H4331" t="str">
            <v>consulta_externa</v>
          </cell>
          <cell r="J4331" t="str">
            <v>muymalo</v>
          </cell>
          <cell r="K4331" t="str">
            <v>probsi</v>
          </cell>
        </row>
        <row r="4332">
          <cell r="B4332" t="b">
            <v>0</v>
          </cell>
          <cell r="E4332" t="str">
            <v>Los Cerros</v>
          </cell>
          <cell r="H4332" t="str">
            <v>ecografias</v>
          </cell>
          <cell r="J4332" t="str">
            <v>muymalo</v>
          </cell>
          <cell r="K4332" t="str">
            <v>probsi</v>
          </cell>
        </row>
        <row r="4333">
          <cell r="B4333" t="b">
            <v>0</v>
          </cell>
          <cell r="E4333" t="str">
            <v>Los Cerros</v>
          </cell>
          <cell r="H4333" t="str">
            <v>ecografias</v>
          </cell>
          <cell r="J4333" t="str">
            <v>muymalo</v>
          </cell>
          <cell r="K4333" t="str">
            <v>probsi</v>
          </cell>
        </row>
        <row r="4334">
          <cell r="B4334" t="b">
            <v>0</v>
          </cell>
          <cell r="E4334" t="str">
            <v>Los Cerros</v>
          </cell>
          <cell r="H4334" t="str">
            <v>ecografias</v>
          </cell>
          <cell r="J4334" t="str">
            <v>muymalo</v>
          </cell>
          <cell r="K4334" t="str">
            <v>probsi</v>
          </cell>
        </row>
        <row r="4335">
          <cell r="B4335" t="b">
            <v>1</v>
          </cell>
          <cell r="E4335" t="str">
            <v>Canapote</v>
          </cell>
          <cell r="H4335" t="str">
            <v>laboratorio</v>
          </cell>
          <cell r="J4335" t="str">
            <v>bueno</v>
          </cell>
          <cell r="K4335" t="str">
            <v>defsi</v>
          </cell>
        </row>
        <row r="4336">
          <cell r="B4336" t="b">
            <v>1</v>
          </cell>
          <cell r="E4336" t="str">
            <v>Canapote</v>
          </cell>
          <cell r="H4336" t="str">
            <v>consulta_externa</v>
          </cell>
          <cell r="J4336" t="str">
            <v>bueno</v>
          </cell>
          <cell r="K4336" t="str">
            <v>defsi</v>
          </cell>
        </row>
        <row r="4337">
          <cell r="B4337" t="b">
            <v>0</v>
          </cell>
          <cell r="E4337" t="str">
            <v>Los Cerros</v>
          </cell>
          <cell r="H4337" t="str">
            <v>pediatria</v>
          </cell>
          <cell r="J4337" t="str">
            <v>muymalo</v>
          </cell>
          <cell r="K4337" t="str">
            <v>probsi</v>
          </cell>
        </row>
        <row r="4338">
          <cell r="B4338" t="b">
            <v>1</v>
          </cell>
          <cell r="E4338" t="str">
            <v>Canapote</v>
          </cell>
          <cell r="H4338" t="str">
            <v>salud_oral</v>
          </cell>
          <cell r="J4338" t="str">
            <v>bueno</v>
          </cell>
          <cell r="K4338" t="str">
            <v>defsi</v>
          </cell>
        </row>
        <row r="4339">
          <cell r="B4339" t="b">
            <v>0</v>
          </cell>
          <cell r="E4339" t="str">
            <v>Los Cerros</v>
          </cell>
          <cell r="H4339" t="str">
            <v>pediatria</v>
          </cell>
          <cell r="J4339" t="str">
            <v>muymalo</v>
          </cell>
          <cell r="K4339" t="str">
            <v>probsi</v>
          </cell>
        </row>
        <row r="4340">
          <cell r="B4340" t="b">
            <v>0</v>
          </cell>
          <cell r="E4340" t="str">
            <v>Los Cerros</v>
          </cell>
          <cell r="H4340" t="str">
            <v>pediatria</v>
          </cell>
          <cell r="J4340" t="str">
            <v>muymalo</v>
          </cell>
          <cell r="K4340" t="str">
            <v>probsi</v>
          </cell>
        </row>
        <row r="4341">
          <cell r="B4341" t="b">
            <v>1</v>
          </cell>
          <cell r="E4341" t="str">
            <v>Fredonia</v>
          </cell>
          <cell r="H4341" t="str">
            <v>consulta_externa</v>
          </cell>
          <cell r="J4341" t="str">
            <v>bueno</v>
          </cell>
          <cell r="K4341" t="str">
            <v>probsi</v>
          </cell>
        </row>
        <row r="4342">
          <cell r="B4342" t="b">
            <v>0</v>
          </cell>
          <cell r="E4342" t="str">
            <v>Los Cerros</v>
          </cell>
          <cell r="H4342" t="str">
            <v>salud_oral</v>
          </cell>
          <cell r="J4342" t="str">
            <v>muymalo</v>
          </cell>
          <cell r="K4342" t="str">
            <v>probsi</v>
          </cell>
        </row>
        <row r="4343">
          <cell r="B4343" t="b">
            <v>0</v>
          </cell>
          <cell r="E4343" t="str">
            <v>Los Cerros</v>
          </cell>
          <cell r="H4343" t="str">
            <v>salud_oral</v>
          </cell>
          <cell r="J4343" t="str">
            <v>muymalo</v>
          </cell>
          <cell r="K4343" t="str">
            <v>probsi</v>
          </cell>
        </row>
        <row r="4344">
          <cell r="B4344" t="b">
            <v>1</v>
          </cell>
          <cell r="E4344" t="str">
            <v>Canapote</v>
          </cell>
          <cell r="H4344" t="str">
            <v>laboratorio</v>
          </cell>
          <cell r="J4344" t="str">
            <v>bueno</v>
          </cell>
          <cell r="K4344" t="str">
            <v>defsi</v>
          </cell>
        </row>
        <row r="4345">
          <cell r="B4345" t="b">
            <v>1</v>
          </cell>
          <cell r="E4345" t="str">
            <v>Fredonia</v>
          </cell>
          <cell r="H4345" t="str">
            <v>salud_oral</v>
          </cell>
          <cell r="J4345" t="str">
            <v>bueno</v>
          </cell>
          <cell r="K4345" t="str">
            <v>probsi</v>
          </cell>
        </row>
        <row r="4346">
          <cell r="B4346" t="b">
            <v>0</v>
          </cell>
          <cell r="E4346" t="str">
            <v>Los Cerros</v>
          </cell>
          <cell r="H4346" t="str">
            <v>salud_oral</v>
          </cell>
          <cell r="J4346" t="str">
            <v>muymalo</v>
          </cell>
          <cell r="K4346" t="str">
            <v>probsi</v>
          </cell>
        </row>
        <row r="4347">
          <cell r="B4347" t="b">
            <v>0</v>
          </cell>
          <cell r="E4347" t="str">
            <v>Los Cerros</v>
          </cell>
          <cell r="H4347" t="str">
            <v>salud_oral</v>
          </cell>
          <cell r="J4347" t="str">
            <v>muymalo</v>
          </cell>
          <cell r="K4347" t="str">
            <v>probsi</v>
          </cell>
        </row>
        <row r="4348">
          <cell r="B4348" t="b">
            <v>0</v>
          </cell>
          <cell r="E4348" t="str">
            <v>Los Cerros</v>
          </cell>
          <cell r="H4348" t="str">
            <v>salud_oral</v>
          </cell>
          <cell r="J4348" t="str">
            <v>muymalo</v>
          </cell>
          <cell r="K4348" t="str">
            <v>probsi</v>
          </cell>
        </row>
        <row r="4349">
          <cell r="B4349" t="b">
            <v>1</v>
          </cell>
          <cell r="E4349" t="str">
            <v>Fredonia</v>
          </cell>
          <cell r="H4349" t="str">
            <v>salud_oral</v>
          </cell>
          <cell r="J4349" t="str">
            <v>bueno</v>
          </cell>
          <cell r="K4349" t="str">
            <v>probsi</v>
          </cell>
        </row>
        <row r="4350">
          <cell r="B4350" t="b">
            <v>0</v>
          </cell>
          <cell r="E4350" t="str">
            <v>Los Cerros</v>
          </cell>
          <cell r="H4350" t="str">
            <v>salud_oral</v>
          </cell>
          <cell r="J4350" t="str">
            <v>muymalo</v>
          </cell>
          <cell r="K4350" t="str">
            <v>probsi</v>
          </cell>
        </row>
        <row r="4351">
          <cell r="B4351" t="b">
            <v>0</v>
          </cell>
          <cell r="E4351" t="str">
            <v>Los Cerros</v>
          </cell>
          <cell r="H4351" t="str">
            <v>salud_oral</v>
          </cell>
          <cell r="J4351" t="str">
            <v>muymalo</v>
          </cell>
          <cell r="K4351" t="str">
            <v>probsi</v>
          </cell>
        </row>
        <row r="4352">
          <cell r="B4352" t="b">
            <v>1</v>
          </cell>
          <cell r="E4352" t="str">
            <v>Fredonia</v>
          </cell>
          <cell r="H4352" t="str">
            <v>salud_oral</v>
          </cell>
          <cell r="J4352" t="str">
            <v>bueno</v>
          </cell>
          <cell r="K4352" t="str">
            <v>probsi</v>
          </cell>
        </row>
        <row r="4353">
          <cell r="B4353" t="b">
            <v>1</v>
          </cell>
          <cell r="E4353" t="str">
            <v>Fredonia</v>
          </cell>
          <cell r="H4353" t="str">
            <v>laboratorio</v>
          </cell>
          <cell r="J4353" t="str">
            <v>bueno</v>
          </cell>
          <cell r="K4353" t="str">
            <v>probsi</v>
          </cell>
        </row>
        <row r="4354">
          <cell r="B4354" t="b">
            <v>1</v>
          </cell>
          <cell r="E4354" t="str">
            <v>Socorro</v>
          </cell>
          <cell r="H4354" t="str">
            <v>salud_oral</v>
          </cell>
          <cell r="J4354" t="str">
            <v>bueno</v>
          </cell>
          <cell r="K4354" t="str">
            <v>defsi</v>
          </cell>
        </row>
        <row r="4355">
          <cell r="B4355" t="b">
            <v>1</v>
          </cell>
          <cell r="E4355" t="str">
            <v>Fredonia</v>
          </cell>
          <cell r="H4355" t="str">
            <v>consulta_externa</v>
          </cell>
          <cell r="J4355" t="str">
            <v>bueno</v>
          </cell>
          <cell r="K4355" t="str">
            <v>probsi</v>
          </cell>
        </row>
        <row r="4356">
          <cell r="B4356" t="b">
            <v>1</v>
          </cell>
          <cell r="E4356" t="str">
            <v>Fredonia</v>
          </cell>
          <cell r="H4356" t="str">
            <v>laboratorio</v>
          </cell>
          <cell r="J4356" t="str">
            <v>bueno</v>
          </cell>
          <cell r="K4356" t="str">
            <v>probsi</v>
          </cell>
        </row>
        <row r="4357">
          <cell r="B4357" t="b">
            <v>1</v>
          </cell>
          <cell r="E4357" t="str">
            <v>Socorro</v>
          </cell>
          <cell r="H4357" t="str">
            <v>salud_oral</v>
          </cell>
          <cell r="J4357" t="str">
            <v>bueno</v>
          </cell>
          <cell r="K4357" t="str">
            <v>defsi</v>
          </cell>
        </row>
        <row r="4358">
          <cell r="B4358" t="b">
            <v>1</v>
          </cell>
          <cell r="E4358" t="str">
            <v>Socorro</v>
          </cell>
          <cell r="H4358" t="str">
            <v>salud_oral</v>
          </cell>
          <cell r="J4358" t="str">
            <v>bueno</v>
          </cell>
          <cell r="K4358" t="str">
            <v>probsi</v>
          </cell>
        </row>
        <row r="4359">
          <cell r="B4359" t="b">
            <v>1</v>
          </cell>
          <cell r="E4359" t="str">
            <v>Socorro</v>
          </cell>
          <cell r="H4359" t="str">
            <v>salud_oral</v>
          </cell>
          <cell r="J4359" t="str">
            <v>bueno</v>
          </cell>
          <cell r="K4359" t="str">
            <v>probsi</v>
          </cell>
        </row>
        <row r="4360">
          <cell r="B4360" t="b">
            <v>1</v>
          </cell>
          <cell r="E4360" t="str">
            <v>Socorro</v>
          </cell>
          <cell r="H4360" t="str">
            <v>consulta_externa</v>
          </cell>
          <cell r="J4360" t="str">
            <v>bueno</v>
          </cell>
          <cell r="K4360" t="str">
            <v>probsi</v>
          </cell>
        </row>
        <row r="4361">
          <cell r="B4361" t="b">
            <v>1</v>
          </cell>
          <cell r="E4361" t="str">
            <v>Socorro</v>
          </cell>
          <cell r="H4361" t="str">
            <v>laboratorio</v>
          </cell>
          <cell r="J4361" t="str">
            <v>bueno</v>
          </cell>
          <cell r="K4361" t="str">
            <v>probsi</v>
          </cell>
        </row>
        <row r="4362">
          <cell r="B4362" t="b">
            <v>1</v>
          </cell>
          <cell r="E4362" t="str">
            <v>Socorro</v>
          </cell>
          <cell r="H4362" t="str">
            <v>laboratorio</v>
          </cell>
          <cell r="J4362" t="str">
            <v>bueno</v>
          </cell>
          <cell r="K4362" t="str">
            <v>probsi</v>
          </cell>
        </row>
        <row r="4363">
          <cell r="B4363" t="b">
            <v>1</v>
          </cell>
          <cell r="E4363" t="str">
            <v>Socorro</v>
          </cell>
          <cell r="H4363" t="str">
            <v>salud_oral</v>
          </cell>
          <cell r="J4363" t="str">
            <v>bueno</v>
          </cell>
          <cell r="K4363" t="str">
            <v>probsi</v>
          </cell>
        </row>
        <row r="4364">
          <cell r="B4364" t="b">
            <v>0</v>
          </cell>
          <cell r="E4364" t="str">
            <v>Los Cerros</v>
          </cell>
          <cell r="H4364" t="str">
            <v>salud_oral</v>
          </cell>
          <cell r="J4364" t="str">
            <v>muymalo</v>
          </cell>
          <cell r="K4364" t="str">
            <v>probsi</v>
          </cell>
        </row>
        <row r="4365">
          <cell r="B4365" t="b">
            <v>0</v>
          </cell>
          <cell r="E4365" t="str">
            <v>Los Cerros</v>
          </cell>
          <cell r="H4365" t="str">
            <v>salud_oral</v>
          </cell>
          <cell r="J4365" t="str">
            <v>muymalo</v>
          </cell>
          <cell r="K4365" t="str">
            <v>probsi</v>
          </cell>
        </row>
        <row r="4366">
          <cell r="B4366" t="b">
            <v>1</v>
          </cell>
          <cell r="E4366" t="str">
            <v>Socorro</v>
          </cell>
          <cell r="H4366" t="str">
            <v>salud_oral</v>
          </cell>
          <cell r="J4366" t="str">
            <v>bueno</v>
          </cell>
          <cell r="K4366" t="str">
            <v>defsi</v>
          </cell>
        </row>
        <row r="4367">
          <cell r="B4367" t="b">
            <v>0</v>
          </cell>
          <cell r="E4367" t="str">
            <v>Los Cerros</v>
          </cell>
          <cell r="H4367" t="str">
            <v>pediatria</v>
          </cell>
          <cell r="J4367" t="str">
            <v>muymalo</v>
          </cell>
          <cell r="K4367" t="str">
            <v>probsi</v>
          </cell>
        </row>
        <row r="4368">
          <cell r="B4368" t="b">
            <v>0</v>
          </cell>
          <cell r="E4368" t="str">
            <v>Los Cerros</v>
          </cell>
          <cell r="H4368" t="str">
            <v>pediatria</v>
          </cell>
          <cell r="J4368" t="str">
            <v>muymalo</v>
          </cell>
          <cell r="K4368" t="str">
            <v>probsi</v>
          </cell>
        </row>
        <row r="4369">
          <cell r="B4369" t="b">
            <v>1</v>
          </cell>
          <cell r="E4369" t="str">
            <v>Socorro</v>
          </cell>
          <cell r="H4369" t="str">
            <v>salud_oral</v>
          </cell>
          <cell r="J4369" t="str">
            <v>bueno</v>
          </cell>
          <cell r="K4369" t="str">
            <v>defsi</v>
          </cell>
        </row>
        <row r="4370">
          <cell r="B4370" t="b">
            <v>0</v>
          </cell>
          <cell r="E4370" t="str">
            <v>Los Cerros</v>
          </cell>
          <cell r="H4370" t="str">
            <v>pediatria</v>
          </cell>
          <cell r="J4370" t="str">
            <v>muymalo</v>
          </cell>
          <cell r="K4370" t="str">
            <v>probsi</v>
          </cell>
        </row>
        <row r="4371">
          <cell r="B4371" t="b">
            <v>1</v>
          </cell>
          <cell r="E4371" t="str">
            <v>Socorro</v>
          </cell>
          <cell r="H4371" t="str">
            <v>salud_oral</v>
          </cell>
          <cell r="J4371" t="str">
            <v>bueno</v>
          </cell>
          <cell r="K4371" t="str">
            <v>defsi</v>
          </cell>
        </row>
        <row r="4372">
          <cell r="B4372" t="b">
            <v>0</v>
          </cell>
          <cell r="E4372" t="str">
            <v>Los Cerros</v>
          </cell>
          <cell r="H4372" t="str">
            <v>pediatria</v>
          </cell>
          <cell r="J4372" t="str">
            <v>muymalo</v>
          </cell>
          <cell r="K4372" t="str">
            <v>probsi</v>
          </cell>
        </row>
        <row r="4373">
          <cell r="B4373" t="b">
            <v>0</v>
          </cell>
          <cell r="E4373" t="str">
            <v>Los Cerros</v>
          </cell>
          <cell r="H4373" t="str">
            <v>pediatria</v>
          </cell>
          <cell r="J4373" t="str">
            <v>muymalo</v>
          </cell>
          <cell r="K4373" t="str">
            <v>probsi</v>
          </cell>
        </row>
        <row r="4374">
          <cell r="B4374" t="b">
            <v>0</v>
          </cell>
          <cell r="E4374" t="str">
            <v>Socorro</v>
          </cell>
          <cell r="H4374" t="str">
            <v>consulta_externa</v>
          </cell>
          <cell r="J4374" t="str">
            <v>regular</v>
          </cell>
          <cell r="K4374" t="str">
            <v>defsi</v>
          </cell>
        </row>
        <row r="4375">
          <cell r="B4375" t="b">
            <v>1</v>
          </cell>
          <cell r="E4375" t="str">
            <v>Socorro</v>
          </cell>
          <cell r="H4375" t="str">
            <v>laboratorio</v>
          </cell>
          <cell r="J4375" t="str">
            <v>bueno</v>
          </cell>
          <cell r="K4375" t="str">
            <v>defsi</v>
          </cell>
        </row>
        <row r="4376">
          <cell r="B4376" t="b">
            <v>1</v>
          </cell>
          <cell r="E4376" t="str">
            <v>Socorro</v>
          </cell>
          <cell r="H4376" t="str">
            <v>laboratorio</v>
          </cell>
          <cell r="J4376" t="str">
            <v>bueno</v>
          </cell>
          <cell r="K4376" t="str">
            <v>defsi</v>
          </cell>
        </row>
        <row r="4377">
          <cell r="B4377" t="b">
            <v>1</v>
          </cell>
          <cell r="E4377" t="str">
            <v>Socorro</v>
          </cell>
          <cell r="H4377" t="str">
            <v>salud_oral</v>
          </cell>
          <cell r="J4377" t="str">
            <v>bueno</v>
          </cell>
          <cell r="K4377" t="str">
            <v>defsi</v>
          </cell>
        </row>
        <row r="4378">
          <cell r="B4378" t="b">
            <v>1</v>
          </cell>
          <cell r="E4378" t="str">
            <v>Socorro</v>
          </cell>
          <cell r="H4378" t="str">
            <v>salud_oral</v>
          </cell>
          <cell r="J4378" t="str">
            <v>bueno</v>
          </cell>
          <cell r="K4378" t="str">
            <v>defsi</v>
          </cell>
        </row>
        <row r="4379">
          <cell r="B4379" t="b">
            <v>1</v>
          </cell>
          <cell r="E4379" t="str">
            <v>Socorro</v>
          </cell>
          <cell r="H4379" t="str">
            <v>salud_oral</v>
          </cell>
          <cell r="J4379" t="str">
            <v>bueno</v>
          </cell>
          <cell r="K4379" t="str">
            <v>defsi</v>
          </cell>
        </row>
        <row r="4380">
          <cell r="B4380" t="b">
            <v>1</v>
          </cell>
          <cell r="E4380" t="str">
            <v>Socorro</v>
          </cell>
          <cell r="H4380" t="str">
            <v>ecografias</v>
          </cell>
          <cell r="J4380" t="str">
            <v>bueno</v>
          </cell>
          <cell r="K4380" t="str">
            <v>defsi</v>
          </cell>
        </row>
        <row r="4381">
          <cell r="B4381" t="b">
            <v>1</v>
          </cell>
          <cell r="E4381" t="str">
            <v>Socorro</v>
          </cell>
          <cell r="H4381" t="str">
            <v>ecografias</v>
          </cell>
          <cell r="J4381" t="str">
            <v>bueno</v>
          </cell>
          <cell r="K4381" t="str">
            <v>defsi</v>
          </cell>
        </row>
        <row r="4382">
          <cell r="B4382" t="b">
            <v>1</v>
          </cell>
          <cell r="E4382" t="str">
            <v>Socorro</v>
          </cell>
          <cell r="H4382" t="str">
            <v>ecografias</v>
          </cell>
          <cell r="J4382" t="str">
            <v>muybueno</v>
          </cell>
          <cell r="K4382" t="str">
            <v>defsi</v>
          </cell>
        </row>
        <row r="4383">
          <cell r="B4383" t="b">
            <v>1</v>
          </cell>
          <cell r="E4383" t="str">
            <v>Socorro</v>
          </cell>
          <cell r="H4383" t="str">
            <v>ecografias</v>
          </cell>
          <cell r="J4383" t="str">
            <v>muybueno</v>
          </cell>
          <cell r="K4383" t="str">
            <v>defsi</v>
          </cell>
        </row>
        <row r="4384">
          <cell r="B4384" t="b">
            <v>1</v>
          </cell>
          <cell r="E4384" t="str">
            <v>Fredonia</v>
          </cell>
          <cell r="H4384" t="str">
            <v>consulta_externa</v>
          </cell>
          <cell r="J4384" t="str">
            <v>bueno</v>
          </cell>
          <cell r="K4384" t="str">
            <v>probsi</v>
          </cell>
        </row>
        <row r="4385">
          <cell r="B4385" t="b">
            <v>1</v>
          </cell>
          <cell r="E4385" t="str">
            <v>Fredonia</v>
          </cell>
          <cell r="H4385" t="str">
            <v>salud_oral</v>
          </cell>
          <cell r="J4385" t="str">
            <v>bueno</v>
          </cell>
          <cell r="K4385" t="str">
            <v>probsi</v>
          </cell>
        </row>
        <row r="4386">
          <cell r="B4386" t="b">
            <v>1</v>
          </cell>
          <cell r="E4386" t="str">
            <v>Fredonia</v>
          </cell>
          <cell r="H4386" t="str">
            <v>laboratorio</v>
          </cell>
          <cell r="J4386" t="str">
            <v>bueno</v>
          </cell>
          <cell r="K4386" t="str">
            <v>probsi</v>
          </cell>
        </row>
        <row r="4387">
          <cell r="B4387" t="b">
            <v>1</v>
          </cell>
          <cell r="E4387" t="str">
            <v>Los Cerros</v>
          </cell>
          <cell r="H4387" t="str">
            <v>consulta_externa</v>
          </cell>
          <cell r="J4387" t="str">
            <v>bueno</v>
          </cell>
          <cell r="K4387" t="str">
            <v>probsi</v>
          </cell>
        </row>
        <row r="4388">
          <cell r="B4388" t="b">
            <v>1</v>
          </cell>
          <cell r="E4388" t="str">
            <v>Los Cerros</v>
          </cell>
          <cell r="H4388" t="str">
            <v>consulta_externa</v>
          </cell>
          <cell r="J4388" t="str">
            <v>bueno</v>
          </cell>
          <cell r="K4388" t="str">
            <v>probsi</v>
          </cell>
        </row>
        <row r="4389">
          <cell r="B4389" t="b">
            <v>1</v>
          </cell>
          <cell r="E4389" t="str">
            <v>Los Cerros</v>
          </cell>
          <cell r="H4389" t="str">
            <v>consulta_externa</v>
          </cell>
          <cell r="J4389" t="str">
            <v>bueno</v>
          </cell>
          <cell r="K4389" t="str">
            <v>probsi</v>
          </cell>
        </row>
        <row r="4390">
          <cell r="B4390" t="b">
            <v>1</v>
          </cell>
          <cell r="E4390" t="str">
            <v>Fredonia</v>
          </cell>
          <cell r="H4390" t="str">
            <v>consulta_externa</v>
          </cell>
          <cell r="J4390" t="str">
            <v>bueno</v>
          </cell>
          <cell r="K4390" t="str">
            <v>probsi</v>
          </cell>
        </row>
        <row r="4391">
          <cell r="B4391" t="b">
            <v>1</v>
          </cell>
          <cell r="E4391" t="str">
            <v>Fredonia</v>
          </cell>
          <cell r="H4391" t="str">
            <v>consulta_externa</v>
          </cell>
          <cell r="J4391" t="str">
            <v>bueno</v>
          </cell>
          <cell r="K4391" t="str">
            <v>probsi</v>
          </cell>
        </row>
        <row r="4392">
          <cell r="B4392" t="b">
            <v>1</v>
          </cell>
          <cell r="E4392" t="str">
            <v>Fredonia</v>
          </cell>
          <cell r="H4392" t="str">
            <v>consulta_externa</v>
          </cell>
          <cell r="J4392" t="str">
            <v>bueno</v>
          </cell>
          <cell r="K4392" t="str">
            <v>probsi</v>
          </cell>
        </row>
        <row r="4393">
          <cell r="B4393" t="b">
            <v>1</v>
          </cell>
          <cell r="E4393" t="str">
            <v>Fredonia</v>
          </cell>
          <cell r="H4393" t="str">
            <v>consulta_externa</v>
          </cell>
          <cell r="J4393" t="str">
            <v>bueno</v>
          </cell>
          <cell r="K4393" t="str">
            <v>probsi</v>
          </cell>
        </row>
        <row r="4394">
          <cell r="B4394" t="b">
            <v>1</v>
          </cell>
          <cell r="E4394" t="str">
            <v>Fredonia</v>
          </cell>
          <cell r="H4394" t="str">
            <v>consulta_externa</v>
          </cell>
          <cell r="J4394" t="str">
            <v>bueno</v>
          </cell>
          <cell r="K4394" t="str">
            <v>probsi</v>
          </cell>
        </row>
        <row r="4395">
          <cell r="B4395" t="b">
            <v>1</v>
          </cell>
          <cell r="E4395" t="str">
            <v>Fredonia</v>
          </cell>
          <cell r="H4395" t="str">
            <v>laboratorio</v>
          </cell>
          <cell r="J4395" t="str">
            <v>bueno</v>
          </cell>
          <cell r="K4395" t="str">
            <v>probsi</v>
          </cell>
        </row>
        <row r="4396">
          <cell r="B4396" t="b">
            <v>1</v>
          </cell>
          <cell r="E4396" t="str">
            <v>Fredonia</v>
          </cell>
          <cell r="H4396" t="str">
            <v>laboratorio</v>
          </cell>
          <cell r="J4396" t="str">
            <v>bueno</v>
          </cell>
          <cell r="K4396" t="str">
            <v>probsi</v>
          </cell>
        </row>
        <row r="4397">
          <cell r="B4397" t="b">
            <v>1</v>
          </cell>
          <cell r="E4397" t="str">
            <v>Fredonia</v>
          </cell>
          <cell r="H4397" t="str">
            <v>laboratorio</v>
          </cell>
          <cell r="J4397" t="str">
            <v>bueno</v>
          </cell>
          <cell r="K4397" t="str">
            <v>probsi</v>
          </cell>
        </row>
        <row r="4398">
          <cell r="B4398" t="b">
            <v>1</v>
          </cell>
          <cell r="E4398" t="str">
            <v>Ternera</v>
          </cell>
          <cell r="H4398" t="str">
            <v>consulta_externa</v>
          </cell>
          <cell r="J4398" t="str">
            <v>bueno</v>
          </cell>
          <cell r="K4398" t="str">
            <v>defsi</v>
          </cell>
        </row>
        <row r="4399">
          <cell r="B4399" t="b">
            <v>1</v>
          </cell>
          <cell r="E4399" t="str">
            <v>Ternera</v>
          </cell>
          <cell r="H4399" t="str">
            <v>consulta_externa</v>
          </cell>
          <cell r="J4399" t="str">
            <v>muybueno</v>
          </cell>
          <cell r="K4399" t="str">
            <v>defsi</v>
          </cell>
        </row>
        <row r="4400">
          <cell r="B4400" t="b">
            <v>1</v>
          </cell>
          <cell r="E4400" t="str">
            <v>Ternera</v>
          </cell>
          <cell r="H4400" t="str">
            <v>laboratorio</v>
          </cell>
          <cell r="J4400" t="str">
            <v>muybueno</v>
          </cell>
          <cell r="K4400" t="str">
            <v>defsi</v>
          </cell>
        </row>
        <row r="4401">
          <cell r="B4401" t="b">
            <v>1</v>
          </cell>
          <cell r="E4401" t="str">
            <v>Ternera</v>
          </cell>
          <cell r="H4401" t="str">
            <v>laboratorio</v>
          </cell>
          <cell r="J4401" t="str">
            <v>muybueno</v>
          </cell>
          <cell r="K4401" t="str">
            <v>defsi</v>
          </cell>
        </row>
        <row r="4402">
          <cell r="B4402" t="b">
            <v>1</v>
          </cell>
          <cell r="E4402" t="str">
            <v>Ternera</v>
          </cell>
          <cell r="H4402" t="str">
            <v>laboratorio</v>
          </cell>
          <cell r="J4402" t="str">
            <v>bueno</v>
          </cell>
          <cell r="K4402" t="str">
            <v>defsi</v>
          </cell>
        </row>
        <row r="4403">
          <cell r="B4403" t="b">
            <v>1</v>
          </cell>
          <cell r="E4403" t="str">
            <v>Ternera</v>
          </cell>
          <cell r="H4403" t="str">
            <v>consulta_externa</v>
          </cell>
          <cell r="J4403" t="str">
            <v>bueno</v>
          </cell>
          <cell r="K4403" t="str">
            <v>defsi</v>
          </cell>
        </row>
        <row r="4404">
          <cell r="B4404" t="b">
            <v>1</v>
          </cell>
          <cell r="E4404" t="str">
            <v>Ternera</v>
          </cell>
          <cell r="H4404" t="str">
            <v>consulta_externa</v>
          </cell>
          <cell r="J4404" t="str">
            <v>bueno</v>
          </cell>
          <cell r="K4404" t="str">
            <v>defsi</v>
          </cell>
        </row>
        <row r="4405">
          <cell r="B4405" t="b">
            <v>0</v>
          </cell>
          <cell r="E4405" t="str">
            <v>Ternera</v>
          </cell>
          <cell r="H4405" t="str">
            <v>laboratorio</v>
          </cell>
          <cell r="J4405" t="str">
            <v>regular</v>
          </cell>
          <cell r="K4405" t="str">
            <v>probsi</v>
          </cell>
        </row>
        <row r="4406">
          <cell r="B4406" t="b">
            <v>1</v>
          </cell>
          <cell r="E4406" t="str">
            <v>Ternera</v>
          </cell>
          <cell r="H4406" t="str">
            <v>consulta_externa</v>
          </cell>
          <cell r="J4406" t="str">
            <v>bueno</v>
          </cell>
          <cell r="K4406" t="str">
            <v>defsi</v>
          </cell>
        </row>
        <row r="4407">
          <cell r="B4407" t="b">
            <v>1</v>
          </cell>
          <cell r="E4407" t="str">
            <v>Ternera</v>
          </cell>
          <cell r="H4407" t="str">
            <v>consulta_externa</v>
          </cell>
          <cell r="J4407" t="str">
            <v>bueno</v>
          </cell>
          <cell r="K4407" t="str">
            <v>defsi</v>
          </cell>
        </row>
        <row r="4408">
          <cell r="B4408" t="b">
            <v>1</v>
          </cell>
          <cell r="E4408" t="str">
            <v>Fredonia</v>
          </cell>
          <cell r="H4408" t="str">
            <v>consulta_externa</v>
          </cell>
          <cell r="J4408" t="str">
            <v>muybueno</v>
          </cell>
          <cell r="K4408" t="str">
            <v>probsi</v>
          </cell>
        </row>
        <row r="4409">
          <cell r="B4409" t="b">
            <v>1</v>
          </cell>
          <cell r="E4409" t="str">
            <v>Fredonia</v>
          </cell>
          <cell r="H4409" t="str">
            <v>laboratorio</v>
          </cell>
          <cell r="J4409" t="str">
            <v>bueno</v>
          </cell>
          <cell r="K4409" t="str">
            <v>probsi</v>
          </cell>
        </row>
        <row r="4410">
          <cell r="B4410" t="b">
            <v>1</v>
          </cell>
          <cell r="E4410" t="str">
            <v>Fredonia</v>
          </cell>
          <cell r="H4410" t="str">
            <v>salud_oral</v>
          </cell>
          <cell r="J4410" t="str">
            <v>bueno</v>
          </cell>
          <cell r="K4410" t="str">
            <v>probsi</v>
          </cell>
        </row>
        <row r="4411">
          <cell r="B4411" t="b">
            <v>1</v>
          </cell>
          <cell r="E4411" t="str">
            <v>Fredonia</v>
          </cell>
          <cell r="H4411" t="str">
            <v>salud_oral</v>
          </cell>
          <cell r="J4411" t="str">
            <v>bueno</v>
          </cell>
          <cell r="K4411" t="str">
            <v>probsi</v>
          </cell>
        </row>
        <row r="4412">
          <cell r="B4412" t="b">
            <v>1</v>
          </cell>
          <cell r="E4412" t="str">
            <v>Fredonia</v>
          </cell>
          <cell r="H4412" t="str">
            <v>salud_oral</v>
          </cell>
          <cell r="J4412" t="str">
            <v>bueno</v>
          </cell>
          <cell r="K4412" t="str">
            <v>probsi</v>
          </cell>
        </row>
        <row r="4413">
          <cell r="B4413" t="b">
            <v>1</v>
          </cell>
          <cell r="E4413" t="str">
            <v>Fredonia</v>
          </cell>
          <cell r="H4413" t="str">
            <v>salud_oral</v>
          </cell>
          <cell r="J4413" t="str">
            <v>bueno</v>
          </cell>
          <cell r="K4413" t="str">
            <v>probsi</v>
          </cell>
        </row>
        <row r="4414">
          <cell r="B4414" t="b">
            <v>1</v>
          </cell>
          <cell r="E4414" t="str">
            <v>Fredonia</v>
          </cell>
          <cell r="H4414" t="str">
            <v>laboratorio</v>
          </cell>
          <cell r="J4414" t="str">
            <v>bueno</v>
          </cell>
          <cell r="K4414" t="str">
            <v>probsi</v>
          </cell>
        </row>
        <row r="4415">
          <cell r="B4415" t="b">
            <v>1</v>
          </cell>
          <cell r="E4415" t="str">
            <v>Ternera</v>
          </cell>
          <cell r="H4415" t="str">
            <v>salud_oral</v>
          </cell>
          <cell r="J4415" t="str">
            <v>bueno</v>
          </cell>
          <cell r="K4415" t="str">
            <v>defsi</v>
          </cell>
        </row>
        <row r="4416">
          <cell r="B4416" t="b">
            <v>1</v>
          </cell>
          <cell r="E4416" t="str">
            <v>Fredonia</v>
          </cell>
          <cell r="H4416" t="str">
            <v>laboratorio</v>
          </cell>
          <cell r="J4416" t="str">
            <v>bueno</v>
          </cell>
          <cell r="K4416" t="str">
            <v>probsi</v>
          </cell>
        </row>
        <row r="4417">
          <cell r="B4417" t="b">
            <v>1</v>
          </cell>
          <cell r="E4417" t="str">
            <v>Ternera</v>
          </cell>
          <cell r="H4417" t="str">
            <v>consulta_externa</v>
          </cell>
          <cell r="J4417" t="str">
            <v>bueno</v>
          </cell>
          <cell r="K4417" t="str">
            <v>defsi</v>
          </cell>
        </row>
        <row r="4418">
          <cell r="B4418" t="b">
            <v>1</v>
          </cell>
          <cell r="E4418" t="str">
            <v>Ternera</v>
          </cell>
          <cell r="H4418" t="str">
            <v>salud_oral</v>
          </cell>
          <cell r="J4418" t="str">
            <v>bueno</v>
          </cell>
          <cell r="K4418" t="str">
            <v>defsi</v>
          </cell>
        </row>
        <row r="4419">
          <cell r="B4419" t="b">
            <v>1</v>
          </cell>
          <cell r="E4419" t="str">
            <v>Ternera</v>
          </cell>
          <cell r="H4419" t="str">
            <v>consulta_externa</v>
          </cell>
          <cell r="J4419" t="str">
            <v>muybueno</v>
          </cell>
          <cell r="K4419" t="str">
            <v>defsi</v>
          </cell>
        </row>
        <row r="4420">
          <cell r="B4420" t="b">
            <v>1</v>
          </cell>
          <cell r="E4420" t="str">
            <v>Ternera</v>
          </cell>
          <cell r="H4420" t="str">
            <v>consulta_externa</v>
          </cell>
          <cell r="J4420" t="str">
            <v>muybueno</v>
          </cell>
          <cell r="K4420" t="str">
            <v>defsi</v>
          </cell>
        </row>
        <row r="4421">
          <cell r="B4421" t="b">
            <v>1</v>
          </cell>
          <cell r="E4421" t="str">
            <v>Ternera</v>
          </cell>
          <cell r="H4421" t="str">
            <v>salud_oral</v>
          </cell>
          <cell r="J4421" t="str">
            <v>muybueno</v>
          </cell>
          <cell r="K4421" t="str">
            <v>defsi</v>
          </cell>
        </row>
        <row r="4422">
          <cell r="B4422" t="b">
            <v>1</v>
          </cell>
          <cell r="E4422" t="str">
            <v>Canapote</v>
          </cell>
          <cell r="H4422" t="str">
            <v>consulta_externa</v>
          </cell>
          <cell r="J4422" t="str">
            <v>bueno</v>
          </cell>
          <cell r="K4422" t="str">
            <v>defsi</v>
          </cell>
        </row>
        <row r="4423">
          <cell r="B4423" t="b">
            <v>1</v>
          </cell>
          <cell r="E4423" t="str">
            <v>Canapote</v>
          </cell>
          <cell r="H4423" t="str">
            <v>salud_oral</v>
          </cell>
          <cell r="J4423" t="str">
            <v>bueno</v>
          </cell>
          <cell r="K4423" t="str">
            <v>defsi</v>
          </cell>
        </row>
        <row r="4424">
          <cell r="B4424" t="b">
            <v>1</v>
          </cell>
          <cell r="E4424" t="str">
            <v>Canapote</v>
          </cell>
          <cell r="H4424" t="str">
            <v>laboratorio</v>
          </cell>
          <cell r="J4424" t="str">
            <v>bueno</v>
          </cell>
          <cell r="K4424" t="str">
            <v>defsi</v>
          </cell>
        </row>
        <row r="4425">
          <cell r="B4425" t="b">
            <v>1</v>
          </cell>
          <cell r="E4425" t="str">
            <v>Canapote</v>
          </cell>
          <cell r="H4425" t="str">
            <v>consulta_externa</v>
          </cell>
          <cell r="J4425" t="str">
            <v>bueno</v>
          </cell>
          <cell r="K4425" t="str">
            <v>defsi</v>
          </cell>
        </row>
        <row r="4426">
          <cell r="B4426" t="b">
            <v>1</v>
          </cell>
          <cell r="E4426" t="str">
            <v>Canapote</v>
          </cell>
          <cell r="H4426" t="str">
            <v>salud_oral</v>
          </cell>
          <cell r="J4426" t="str">
            <v>bueno</v>
          </cell>
          <cell r="K4426" t="str">
            <v>defsi</v>
          </cell>
        </row>
        <row r="4427">
          <cell r="B4427" t="b">
            <v>1</v>
          </cell>
          <cell r="E4427" t="str">
            <v>Canapote</v>
          </cell>
          <cell r="H4427" t="str">
            <v>laboratorio</v>
          </cell>
          <cell r="J4427" t="str">
            <v>bueno</v>
          </cell>
          <cell r="K4427" t="str">
            <v>defsi</v>
          </cell>
        </row>
        <row r="4428">
          <cell r="B4428" t="b">
            <v>1</v>
          </cell>
          <cell r="E4428" t="str">
            <v>Canapote</v>
          </cell>
          <cell r="H4428" t="str">
            <v>consulta_externa</v>
          </cell>
          <cell r="J4428" t="str">
            <v>bueno</v>
          </cell>
          <cell r="K4428" t="str">
            <v>defsi</v>
          </cell>
        </row>
        <row r="4429">
          <cell r="B4429" t="b">
            <v>1</v>
          </cell>
          <cell r="E4429" t="str">
            <v>Canapote</v>
          </cell>
          <cell r="H4429" t="str">
            <v>salud_oral</v>
          </cell>
          <cell r="J4429" t="str">
            <v>bueno</v>
          </cell>
          <cell r="K4429" t="str">
            <v>defsi</v>
          </cell>
        </row>
        <row r="4430">
          <cell r="B4430" t="b">
            <v>1</v>
          </cell>
          <cell r="E4430" t="str">
            <v>Canapote</v>
          </cell>
          <cell r="H4430" t="str">
            <v>laboratorio</v>
          </cell>
          <cell r="J4430" t="str">
            <v>bueno</v>
          </cell>
          <cell r="K4430" t="str">
            <v>defsi</v>
          </cell>
        </row>
        <row r="4431">
          <cell r="B4431" t="b">
            <v>1</v>
          </cell>
          <cell r="E4431" t="str">
            <v>Canapote</v>
          </cell>
          <cell r="H4431" t="str">
            <v>consulta_externa</v>
          </cell>
          <cell r="J4431" t="str">
            <v>bueno</v>
          </cell>
          <cell r="K4431" t="str">
            <v>defsi</v>
          </cell>
        </row>
        <row r="4432">
          <cell r="B4432" t="b">
            <v>1</v>
          </cell>
          <cell r="E4432" t="str">
            <v>Canapote</v>
          </cell>
          <cell r="H4432" t="str">
            <v>laboratorio</v>
          </cell>
          <cell r="J4432" t="str">
            <v>bueno</v>
          </cell>
          <cell r="K4432" t="str">
            <v>defsi</v>
          </cell>
        </row>
        <row r="4433">
          <cell r="B4433" t="b">
            <v>1</v>
          </cell>
          <cell r="E4433" t="str">
            <v>Canapote</v>
          </cell>
          <cell r="H4433" t="str">
            <v>consulta_externa</v>
          </cell>
          <cell r="J4433" t="str">
            <v>bueno</v>
          </cell>
          <cell r="K4433" t="str">
            <v>defsi</v>
          </cell>
        </row>
        <row r="4434">
          <cell r="B4434" t="b">
            <v>1</v>
          </cell>
          <cell r="E4434" t="str">
            <v>Canapote</v>
          </cell>
          <cell r="H4434" t="str">
            <v>salud_oral</v>
          </cell>
          <cell r="J4434" t="str">
            <v>bueno</v>
          </cell>
          <cell r="K4434" t="str">
            <v>defsi</v>
          </cell>
        </row>
        <row r="4435">
          <cell r="B4435" t="b">
            <v>1</v>
          </cell>
          <cell r="E4435" t="str">
            <v>Canapote</v>
          </cell>
          <cell r="H4435" t="str">
            <v>laboratorio</v>
          </cell>
          <cell r="J4435" t="str">
            <v>bueno</v>
          </cell>
          <cell r="K4435" t="str">
            <v>defsi</v>
          </cell>
        </row>
        <row r="4436">
          <cell r="B4436" t="b">
            <v>1</v>
          </cell>
          <cell r="E4436" t="str">
            <v>Fredonia</v>
          </cell>
          <cell r="H4436" t="str">
            <v>salud_oral</v>
          </cell>
          <cell r="J4436" t="str">
            <v>bueno</v>
          </cell>
          <cell r="K4436" t="str">
            <v>probsi</v>
          </cell>
        </row>
        <row r="4437">
          <cell r="B4437" t="b">
            <v>1</v>
          </cell>
          <cell r="E4437" t="str">
            <v>Fredonia</v>
          </cell>
          <cell r="H4437" t="str">
            <v>laboratorio</v>
          </cell>
          <cell r="J4437" t="str">
            <v>bueno</v>
          </cell>
          <cell r="K4437" t="str">
            <v>probsi</v>
          </cell>
        </row>
        <row r="4438">
          <cell r="B4438" t="b">
            <v>1</v>
          </cell>
          <cell r="E4438" t="str">
            <v>Canapote</v>
          </cell>
          <cell r="H4438" t="str">
            <v>consulta_externa</v>
          </cell>
          <cell r="J4438" t="str">
            <v>bueno</v>
          </cell>
          <cell r="K4438" t="str">
            <v>defsi</v>
          </cell>
        </row>
        <row r="4439">
          <cell r="B4439" t="b">
            <v>1</v>
          </cell>
          <cell r="E4439" t="str">
            <v>Fredonia</v>
          </cell>
          <cell r="H4439" t="str">
            <v>laboratorio</v>
          </cell>
          <cell r="J4439" t="str">
            <v>bueno</v>
          </cell>
          <cell r="K4439" t="str">
            <v>probsi</v>
          </cell>
        </row>
        <row r="4440">
          <cell r="B4440" t="b">
            <v>1</v>
          </cell>
          <cell r="E4440" t="str">
            <v>Canapote</v>
          </cell>
          <cell r="H4440" t="str">
            <v>salud_oral</v>
          </cell>
          <cell r="J4440" t="str">
            <v>bueno</v>
          </cell>
          <cell r="K4440" t="str">
            <v>defsi</v>
          </cell>
        </row>
        <row r="4441">
          <cell r="B4441" t="b">
            <v>1</v>
          </cell>
          <cell r="E4441" t="str">
            <v>Fredonia</v>
          </cell>
          <cell r="H4441" t="str">
            <v>laboratorio</v>
          </cell>
          <cell r="J4441" t="str">
            <v>bueno</v>
          </cell>
          <cell r="K4441" t="str">
            <v>probsi</v>
          </cell>
        </row>
        <row r="4442">
          <cell r="B4442" t="b">
            <v>1</v>
          </cell>
          <cell r="E4442" t="str">
            <v>Fredonia</v>
          </cell>
          <cell r="H4442" t="str">
            <v>laboratorio</v>
          </cell>
          <cell r="J4442" t="str">
            <v>bueno</v>
          </cell>
          <cell r="K4442" t="str">
            <v>probsi</v>
          </cell>
        </row>
        <row r="4443">
          <cell r="B4443" t="b">
            <v>1</v>
          </cell>
          <cell r="E4443" t="str">
            <v>Canapote</v>
          </cell>
          <cell r="H4443" t="str">
            <v>laboratorio</v>
          </cell>
          <cell r="J4443" t="str">
            <v>bueno</v>
          </cell>
          <cell r="K4443" t="str">
            <v>defsi</v>
          </cell>
        </row>
        <row r="4444">
          <cell r="B4444" t="b">
            <v>1</v>
          </cell>
          <cell r="E4444" t="str">
            <v>Canapote</v>
          </cell>
          <cell r="H4444" t="str">
            <v>consulta_externa</v>
          </cell>
          <cell r="J4444" t="str">
            <v>bueno</v>
          </cell>
          <cell r="K4444" t="str">
            <v>defsi</v>
          </cell>
        </row>
        <row r="4445">
          <cell r="B4445" t="b">
            <v>1</v>
          </cell>
          <cell r="E4445" t="str">
            <v>Canapote</v>
          </cell>
          <cell r="H4445" t="str">
            <v>salud_oral</v>
          </cell>
          <cell r="J4445" t="str">
            <v>bueno</v>
          </cell>
          <cell r="K4445" t="str">
            <v>defsi</v>
          </cell>
        </row>
        <row r="4446">
          <cell r="B4446" t="b">
            <v>1</v>
          </cell>
          <cell r="E4446" t="str">
            <v>Canapote</v>
          </cell>
          <cell r="H4446" t="str">
            <v>laboratorio</v>
          </cell>
          <cell r="J4446" t="str">
            <v>bueno</v>
          </cell>
          <cell r="K4446" t="str">
            <v>defsi</v>
          </cell>
        </row>
        <row r="4447">
          <cell r="B4447" t="b">
            <v>1</v>
          </cell>
          <cell r="E4447" t="str">
            <v>Canapote</v>
          </cell>
          <cell r="H4447" t="str">
            <v>consulta_externa</v>
          </cell>
          <cell r="J4447" t="str">
            <v>bueno</v>
          </cell>
          <cell r="K4447" t="str">
            <v>defsi</v>
          </cell>
        </row>
        <row r="4448">
          <cell r="B4448" t="b">
            <v>1</v>
          </cell>
          <cell r="E4448" t="str">
            <v>Canapote</v>
          </cell>
          <cell r="H4448" t="str">
            <v>salud_oral</v>
          </cell>
          <cell r="J4448" t="str">
            <v>bueno</v>
          </cell>
          <cell r="K4448" t="str">
            <v>defsi</v>
          </cell>
        </row>
        <row r="4449">
          <cell r="B4449" t="b">
            <v>1</v>
          </cell>
          <cell r="E4449" t="str">
            <v>Ternera</v>
          </cell>
          <cell r="H4449" t="str">
            <v>consulta_externa</v>
          </cell>
          <cell r="J4449" t="str">
            <v>bueno</v>
          </cell>
          <cell r="K4449" t="str">
            <v>defsi</v>
          </cell>
        </row>
        <row r="4450">
          <cell r="B4450" t="b">
            <v>1</v>
          </cell>
          <cell r="E4450" t="str">
            <v>Ternera</v>
          </cell>
          <cell r="H4450" t="str">
            <v>salud_oral</v>
          </cell>
          <cell r="J4450" t="str">
            <v>bueno</v>
          </cell>
          <cell r="K4450" t="str">
            <v>defsi</v>
          </cell>
        </row>
        <row r="4451">
          <cell r="B4451" t="b">
            <v>1</v>
          </cell>
          <cell r="E4451" t="str">
            <v>Canapote</v>
          </cell>
          <cell r="H4451" t="str">
            <v>laboratorio</v>
          </cell>
          <cell r="J4451" t="str">
            <v>bueno</v>
          </cell>
          <cell r="K4451" t="str">
            <v>defsi</v>
          </cell>
        </row>
        <row r="4452">
          <cell r="B4452" t="b">
            <v>1</v>
          </cell>
          <cell r="E4452" t="str">
            <v>Ternera</v>
          </cell>
          <cell r="H4452" t="str">
            <v>salud_oral</v>
          </cell>
          <cell r="J4452" t="str">
            <v>bueno</v>
          </cell>
          <cell r="K4452" t="str">
            <v>defsi</v>
          </cell>
        </row>
        <row r="4453">
          <cell r="B4453" t="b">
            <v>1</v>
          </cell>
          <cell r="E4453" t="str">
            <v>Ternera</v>
          </cell>
          <cell r="H4453" t="str">
            <v>salud_oral</v>
          </cell>
          <cell r="J4453" t="str">
            <v>bueno</v>
          </cell>
          <cell r="K4453" t="str">
            <v>defsi</v>
          </cell>
        </row>
        <row r="4454">
          <cell r="B4454" t="b">
            <v>1</v>
          </cell>
          <cell r="E4454" t="str">
            <v>Ternera</v>
          </cell>
          <cell r="H4454" t="str">
            <v>salud_oral</v>
          </cell>
          <cell r="J4454" t="str">
            <v>bueno</v>
          </cell>
          <cell r="K4454" t="str">
            <v>defsi</v>
          </cell>
        </row>
        <row r="4455">
          <cell r="B4455" t="b">
            <v>1</v>
          </cell>
          <cell r="E4455" t="str">
            <v>Ternera</v>
          </cell>
          <cell r="H4455" t="str">
            <v>salud_oral</v>
          </cell>
          <cell r="J4455" t="str">
            <v>bueno</v>
          </cell>
          <cell r="K4455" t="str">
            <v>defsi</v>
          </cell>
        </row>
        <row r="4456">
          <cell r="B4456" t="b">
            <v>1</v>
          </cell>
          <cell r="E4456" t="str">
            <v>Canapote</v>
          </cell>
          <cell r="H4456" t="str">
            <v>consulta_externa</v>
          </cell>
          <cell r="J4456" t="str">
            <v>bueno</v>
          </cell>
          <cell r="K4456" t="str">
            <v>defsi</v>
          </cell>
        </row>
        <row r="4457">
          <cell r="B4457" t="b">
            <v>1</v>
          </cell>
          <cell r="E4457" t="str">
            <v>Ternera</v>
          </cell>
          <cell r="H4457" t="str">
            <v>laboratorio</v>
          </cell>
          <cell r="J4457" t="str">
            <v>bueno</v>
          </cell>
          <cell r="K4457" t="str">
            <v>defsi</v>
          </cell>
        </row>
        <row r="4458">
          <cell r="B4458" t="b">
            <v>1</v>
          </cell>
          <cell r="E4458" t="str">
            <v>Ternera</v>
          </cell>
          <cell r="H4458" t="str">
            <v>laboratorio</v>
          </cell>
          <cell r="J4458" t="str">
            <v>bueno</v>
          </cell>
          <cell r="K4458" t="str">
            <v>defsi</v>
          </cell>
        </row>
        <row r="4459">
          <cell r="B4459" t="b">
            <v>1</v>
          </cell>
          <cell r="E4459" t="str">
            <v>Ternera</v>
          </cell>
          <cell r="H4459" t="str">
            <v>laboratorio</v>
          </cell>
          <cell r="J4459" t="str">
            <v>bueno</v>
          </cell>
          <cell r="K4459" t="str">
            <v>defsi</v>
          </cell>
        </row>
        <row r="4460">
          <cell r="B4460" t="b">
            <v>1</v>
          </cell>
          <cell r="E4460" t="str">
            <v>Ternera</v>
          </cell>
          <cell r="H4460" t="str">
            <v>laboratorio</v>
          </cell>
          <cell r="J4460" t="str">
            <v>bueno</v>
          </cell>
          <cell r="K4460" t="str">
            <v>defsi</v>
          </cell>
        </row>
        <row r="4461">
          <cell r="B4461" t="b">
            <v>1</v>
          </cell>
          <cell r="E4461" t="str">
            <v>Ternera</v>
          </cell>
          <cell r="H4461" t="str">
            <v>laboratorio</v>
          </cell>
          <cell r="J4461" t="str">
            <v>bueno</v>
          </cell>
          <cell r="K4461" t="str">
            <v>defsi</v>
          </cell>
        </row>
        <row r="4462">
          <cell r="B4462" t="b">
            <v>0</v>
          </cell>
          <cell r="E4462" t="str">
            <v>Ternera</v>
          </cell>
          <cell r="H4462" t="str">
            <v>laboratorio</v>
          </cell>
          <cell r="J4462" t="str">
            <v>regular</v>
          </cell>
          <cell r="K4462" t="str">
            <v>defsi</v>
          </cell>
        </row>
        <row r="4463">
          <cell r="B4463" t="b">
            <v>1</v>
          </cell>
          <cell r="E4463" t="str">
            <v>Canapote</v>
          </cell>
          <cell r="H4463" t="str">
            <v>salud_oral</v>
          </cell>
          <cell r="J4463" t="str">
            <v>bueno</v>
          </cell>
          <cell r="K4463" t="str">
            <v>defsi</v>
          </cell>
        </row>
        <row r="4464">
          <cell r="B4464" t="b">
            <v>1</v>
          </cell>
          <cell r="E4464" t="str">
            <v>Canapote</v>
          </cell>
          <cell r="H4464" t="str">
            <v>laboratorio</v>
          </cell>
          <cell r="J4464" t="str">
            <v>bueno</v>
          </cell>
          <cell r="K4464" t="str">
            <v>defsi</v>
          </cell>
        </row>
        <row r="4465">
          <cell r="B4465" t="b">
            <v>1</v>
          </cell>
          <cell r="E4465" t="str">
            <v>Ternera</v>
          </cell>
          <cell r="H4465" t="str">
            <v>consulta_externa</v>
          </cell>
          <cell r="J4465" t="str">
            <v>bueno</v>
          </cell>
          <cell r="K4465" t="str">
            <v>defsi</v>
          </cell>
        </row>
        <row r="4466">
          <cell r="B4466" t="b">
            <v>1</v>
          </cell>
          <cell r="E4466" t="str">
            <v>Canapote</v>
          </cell>
          <cell r="H4466" t="str">
            <v>consulta_externa</v>
          </cell>
          <cell r="J4466" t="str">
            <v>bueno</v>
          </cell>
          <cell r="K4466" t="str">
            <v>defsi</v>
          </cell>
        </row>
        <row r="4467">
          <cell r="B4467" t="b">
            <v>1</v>
          </cell>
          <cell r="E4467" t="str">
            <v>Canapote</v>
          </cell>
          <cell r="H4467" t="str">
            <v>salud_oral</v>
          </cell>
          <cell r="J4467" t="str">
            <v>bueno</v>
          </cell>
          <cell r="K4467" t="str">
            <v>defsi</v>
          </cell>
        </row>
        <row r="4468">
          <cell r="B4468" t="b">
            <v>1</v>
          </cell>
          <cell r="E4468" t="str">
            <v>Canapote</v>
          </cell>
          <cell r="H4468" t="str">
            <v>laboratorio</v>
          </cell>
          <cell r="J4468" t="str">
            <v>bueno</v>
          </cell>
          <cell r="K4468" t="str">
            <v>defsi</v>
          </cell>
        </row>
        <row r="4469">
          <cell r="B4469" t="b">
            <v>1</v>
          </cell>
          <cell r="E4469" t="str">
            <v>Canapote</v>
          </cell>
          <cell r="H4469" t="str">
            <v>consulta_externa</v>
          </cell>
          <cell r="J4469" t="str">
            <v>bueno</v>
          </cell>
          <cell r="K4469" t="str">
            <v>defsi</v>
          </cell>
        </row>
        <row r="4470">
          <cell r="B4470" t="b">
            <v>1</v>
          </cell>
          <cell r="E4470" t="str">
            <v>Canapote</v>
          </cell>
          <cell r="H4470" t="str">
            <v>salud_oral</v>
          </cell>
          <cell r="J4470" t="str">
            <v>bueno</v>
          </cell>
          <cell r="K4470" t="str">
            <v>defsi</v>
          </cell>
        </row>
        <row r="4471">
          <cell r="B4471" t="b">
            <v>1</v>
          </cell>
          <cell r="E4471" t="str">
            <v>Canapote</v>
          </cell>
          <cell r="H4471" t="str">
            <v>laboratorio</v>
          </cell>
          <cell r="J4471" t="str">
            <v>bueno</v>
          </cell>
          <cell r="K4471" t="str">
            <v>defsi</v>
          </cell>
        </row>
        <row r="4472">
          <cell r="B4472" t="b">
            <v>1</v>
          </cell>
          <cell r="E4472" t="str">
            <v>Canapote</v>
          </cell>
          <cell r="H4472" t="str">
            <v>consulta_externa</v>
          </cell>
          <cell r="J4472" t="str">
            <v>bueno</v>
          </cell>
          <cell r="K4472" t="str">
            <v>defsi</v>
          </cell>
        </row>
        <row r="4473">
          <cell r="B4473" t="b">
            <v>1</v>
          </cell>
          <cell r="E4473" t="str">
            <v>Canapote</v>
          </cell>
          <cell r="H4473" t="str">
            <v>salud_oral</v>
          </cell>
          <cell r="J4473" t="str">
            <v>bueno</v>
          </cell>
          <cell r="K4473" t="str">
            <v>defsi</v>
          </cell>
        </row>
        <row r="4474">
          <cell r="B4474" t="b">
            <v>1</v>
          </cell>
          <cell r="E4474" t="str">
            <v>Canapote</v>
          </cell>
          <cell r="H4474" t="str">
            <v>laboratorio</v>
          </cell>
          <cell r="J4474" t="str">
            <v>bueno</v>
          </cell>
          <cell r="K4474" t="str">
            <v>defsi</v>
          </cell>
        </row>
        <row r="4475">
          <cell r="B4475" t="b">
            <v>1</v>
          </cell>
          <cell r="E4475" t="str">
            <v>Canapote</v>
          </cell>
          <cell r="H4475" t="str">
            <v>consulta_externa</v>
          </cell>
          <cell r="J4475" t="str">
            <v>bueno</v>
          </cell>
          <cell r="K4475" t="str">
            <v>defsi</v>
          </cell>
        </row>
        <row r="4476">
          <cell r="B4476" t="b">
            <v>1</v>
          </cell>
          <cell r="E4476" t="str">
            <v>Ternera</v>
          </cell>
          <cell r="H4476" t="str">
            <v>laboratorio</v>
          </cell>
          <cell r="J4476" t="str">
            <v>bueno</v>
          </cell>
          <cell r="K4476" t="str">
            <v>defsi</v>
          </cell>
        </row>
        <row r="4477">
          <cell r="B4477" t="b">
            <v>1</v>
          </cell>
          <cell r="E4477" t="str">
            <v>Canapote</v>
          </cell>
          <cell r="H4477" t="str">
            <v>salud_oral</v>
          </cell>
          <cell r="J4477" t="str">
            <v>bueno</v>
          </cell>
          <cell r="K4477" t="str">
            <v>defsi</v>
          </cell>
        </row>
        <row r="4478">
          <cell r="B4478" t="b">
            <v>1</v>
          </cell>
          <cell r="E4478" t="str">
            <v>Canapote</v>
          </cell>
          <cell r="H4478" t="str">
            <v>laboratorio</v>
          </cell>
          <cell r="J4478" t="str">
            <v>bueno</v>
          </cell>
          <cell r="K4478" t="str">
            <v>defsi</v>
          </cell>
        </row>
        <row r="4479">
          <cell r="B4479" t="b">
            <v>1</v>
          </cell>
          <cell r="E4479" t="str">
            <v>Canapote</v>
          </cell>
          <cell r="H4479" t="str">
            <v>salud_oral</v>
          </cell>
          <cell r="J4479" t="str">
            <v>bueno</v>
          </cell>
          <cell r="K4479" t="str">
            <v>defsi</v>
          </cell>
        </row>
        <row r="4480">
          <cell r="B4480" t="b">
            <v>1</v>
          </cell>
          <cell r="E4480" t="str">
            <v>Ternera</v>
          </cell>
          <cell r="H4480" t="str">
            <v>salud_oral</v>
          </cell>
          <cell r="J4480" t="str">
            <v>bueno</v>
          </cell>
          <cell r="K4480" t="str">
            <v>defsi</v>
          </cell>
        </row>
        <row r="4481">
          <cell r="B4481" t="b">
            <v>1</v>
          </cell>
          <cell r="E4481" t="str">
            <v>Canapote</v>
          </cell>
          <cell r="H4481" t="str">
            <v>consulta_externa</v>
          </cell>
          <cell r="J4481" t="str">
            <v>bueno</v>
          </cell>
          <cell r="K4481" t="str">
            <v>defsi</v>
          </cell>
        </row>
        <row r="4482">
          <cell r="B4482" t="b">
            <v>1</v>
          </cell>
          <cell r="E4482" t="str">
            <v>Bayunca</v>
          </cell>
          <cell r="H4482" t="str">
            <v>laboratorio</v>
          </cell>
          <cell r="J4482" t="str">
            <v>bueno</v>
          </cell>
          <cell r="K4482" t="str">
            <v>defsi</v>
          </cell>
        </row>
        <row r="4483">
          <cell r="B4483" t="b">
            <v>1</v>
          </cell>
          <cell r="E4483" t="str">
            <v>Ternera</v>
          </cell>
          <cell r="H4483" t="str">
            <v>laboratorio</v>
          </cell>
          <cell r="J4483" t="str">
            <v>bueno</v>
          </cell>
          <cell r="K4483" t="str">
            <v>defsi</v>
          </cell>
        </row>
        <row r="4484">
          <cell r="B4484" t="b">
            <v>1</v>
          </cell>
          <cell r="E4484" t="str">
            <v>Ternera</v>
          </cell>
          <cell r="H4484" t="str">
            <v>laboratorio</v>
          </cell>
          <cell r="J4484" t="str">
            <v>bueno</v>
          </cell>
          <cell r="K4484" t="str">
            <v>defsi</v>
          </cell>
        </row>
        <row r="4485">
          <cell r="B4485" t="b">
            <v>1</v>
          </cell>
          <cell r="E4485" t="str">
            <v>Ternera</v>
          </cell>
          <cell r="H4485" t="str">
            <v>laboratorio</v>
          </cell>
          <cell r="J4485" t="str">
            <v>bueno</v>
          </cell>
          <cell r="K4485" t="str">
            <v>defsi</v>
          </cell>
        </row>
        <row r="4486">
          <cell r="B4486" t="b">
            <v>1</v>
          </cell>
          <cell r="E4486" t="str">
            <v>Ternera</v>
          </cell>
          <cell r="H4486" t="str">
            <v>laboratorio</v>
          </cell>
          <cell r="J4486" t="str">
            <v>bueno</v>
          </cell>
          <cell r="K4486" t="str">
            <v>defsi</v>
          </cell>
        </row>
        <row r="4487">
          <cell r="B4487" t="b">
            <v>1</v>
          </cell>
          <cell r="E4487" t="str">
            <v>Ternera</v>
          </cell>
          <cell r="H4487" t="str">
            <v>salud_oral</v>
          </cell>
          <cell r="J4487" t="str">
            <v>bueno</v>
          </cell>
          <cell r="K4487" t="str">
            <v>defsi</v>
          </cell>
        </row>
        <row r="4488">
          <cell r="B4488" t="b">
            <v>1</v>
          </cell>
          <cell r="E4488" t="str">
            <v>Ternera</v>
          </cell>
          <cell r="H4488" t="str">
            <v>salud_oral</v>
          </cell>
          <cell r="J4488" t="str">
            <v>bueno</v>
          </cell>
          <cell r="K4488" t="str">
            <v>defsi</v>
          </cell>
        </row>
        <row r="4489">
          <cell r="B4489" t="b">
            <v>1</v>
          </cell>
          <cell r="E4489" t="str">
            <v>Socorro</v>
          </cell>
          <cell r="H4489" t="str">
            <v>salud_oral</v>
          </cell>
          <cell r="J4489" t="str">
            <v>bueno</v>
          </cell>
          <cell r="K4489" t="str">
            <v>defsi</v>
          </cell>
        </row>
        <row r="4490">
          <cell r="B4490" t="b">
            <v>1</v>
          </cell>
          <cell r="E4490" t="str">
            <v>Ternera</v>
          </cell>
          <cell r="H4490" t="str">
            <v>consulta_externa</v>
          </cell>
          <cell r="J4490" t="str">
            <v>bueno</v>
          </cell>
          <cell r="K4490" t="str">
            <v>defsi</v>
          </cell>
        </row>
        <row r="4491">
          <cell r="B4491" t="b">
            <v>1</v>
          </cell>
          <cell r="E4491" t="str">
            <v>Fredonia</v>
          </cell>
          <cell r="H4491" t="str">
            <v>salud_oral</v>
          </cell>
          <cell r="J4491" t="str">
            <v>bueno</v>
          </cell>
          <cell r="K4491" t="str">
            <v>probsi</v>
          </cell>
        </row>
        <row r="4492">
          <cell r="B4492" t="b">
            <v>1</v>
          </cell>
          <cell r="E4492" t="str">
            <v>Fredonia</v>
          </cell>
          <cell r="H4492" t="str">
            <v>salud_oral</v>
          </cell>
          <cell r="J4492" t="str">
            <v>bueno</v>
          </cell>
          <cell r="K4492" t="str">
            <v>probsi</v>
          </cell>
        </row>
        <row r="4493">
          <cell r="B4493" t="b">
            <v>0</v>
          </cell>
          <cell r="E4493" t="str">
            <v>Nuevo Porvenir</v>
          </cell>
          <cell r="H4493" t="str">
            <v>laboratorio</v>
          </cell>
          <cell r="J4493" t="str">
            <v>regular</v>
          </cell>
          <cell r="K4493" t="str">
            <v>probsi</v>
          </cell>
        </row>
        <row r="4494">
          <cell r="B4494" t="b">
            <v>1</v>
          </cell>
          <cell r="E4494" t="str">
            <v>Nuevo Porvenir</v>
          </cell>
          <cell r="H4494" t="str">
            <v>laboratorio</v>
          </cell>
          <cell r="J4494" t="str">
            <v>bueno</v>
          </cell>
          <cell r="K4494" t="str">
            <v>probsi</v>
          </cell>
        </row>
        <row r="4495">
          <cell r="B4495" t="b">
            <v>1</v>
          </cell>
          <cell r="E4495" t="str">
            <v>Nuevo Porvenir</v>
          </cell>
          <cell r="H4495" t="str">
            <v>laboratorio</v>
          </cell>
          <cell r="J4495" t="str">
            <v>bueno</v>
          </cell>
          <cell r="K4495" t="str">
            <v>probsi</v>
          </cell>
        </row>
        <row r="4496">
          <cell r="B4496" t="b">
            <v>1</v>
          </cell>
          <cell r="E4496" t="str">
            <v>Nuevo Porvenir</v>
          </cell>
          <cell r="H4496" t="str">
            <v>laboratorio</v>
          </cell>
          <cell r="J4496" t="str">
            <v>bueno</v>
          </cell>
          <cell r="K4496" t="str">
            <v>probsi</v>
          </cell>
        </row>
        <row r="4497">
          <cell r="B4497" t="b">
            <v>0</v>
          </cell>
          <cell r="E4497" t="str">
            <v>Los Cerros</v>
          </cell>
          <cell r="H4497" t="str">
            <v>pediatria</v>
          </cell>
          <cell r="J4497" t="str">
            <v>muymalo</v>
          </cell>
          <cell r="K4497" t="str">
            <v>probsi</v>
          </cell>
        </row>
        <row r="4498">
          <cell r="B4498" t="b">
            <v>0</v>
          </cell>
          <cell r="E4498" t="str">
            <v>Los Cerros</v>
          </cell>
          <cell r="H4498" t="str">
            <v>pediatria</v>
          </cell>
          <cell r="J4498" t="str">
            <v>muymalo</v>
          </cell>
          <cell r="K4498" t="str">
            <v>probsi</v>
          </cell>
        </row>
        <row r="4499">
          <cell r="B4499" t="b">
            <v>0</v>
          </cell>
          <cell r="E4499" t="str">
            <v>Los Cerros</v>
          </cell>
          <cell r="H4499" t="str">
            <v>medicina_interna</v>
          </cell>
          <cell r="J4499" t="str">
            <v>muymalo</v>
          </cell>
          <cell r="K4499" t="str">
            <v>probsi</v>
          </cell>
        </row>
        <row r="4500">
          <cell r="B4500" t="b">
            <v>0</v>
          </cell>
          <cell r="E4500" t="str">
            <v>Los Cerros</v>
          </cell>
          <cell r="H4500" t="str">
            <v>medicina_interna</v>
          </cell>
          <cell r="J4500" t="str">
            <v>muymalo</v>
          </cell>
          <cell r="K4500" t="str">
            <v>probsi</v>
          </cell>
        </row>
        <row r="4501">
          <cell r="B4501" t="b">
            <v>0</v>
          </cell>
          <cell r="E4501" t="str">
            <v>Los Cerros</v>
          </cell>
          <cell r="H4501" t="str">
            <v>ecografias</v>
          </cell>
          <cell r="J4501" t="str">
            <v>muymalo</v>
          </cell>
          <cell r="K4501" t="str">
            <v>probsi</v>
          </cell>
        </row>
        <row r="4502">
          <cell r="B4502" t="b">
            <v>0</v>
          </cell>
          <cell r="E4502" t="str">
            <v>Los Cerros</v>
          </cell>
          <cell r="H4502" t="str">
            <v>ecografias</v>
          </cell>
          <cell r="J4502" t="str">
            <v>muymalo</v>
          </cell>
          <cell r="K4502" t="str">
            <v>probsi</v>
          </cell>
        </row>
        <row r="4503">
          <cell r="B4503" t="b">
            <v>0</v>
          </cell>
          <cell r="E4503" t="str">
            <v>Los Cerros</v>
          </cell>
          <cell r="H4503" t="str">
            <v>laboratorio</v>
          </cell>
          <cell r="J4503" t="str">
            <v>muymalo</v>
          </cell>
          <cell r="K4503" t="str">
            <v>probsi</v>
          </cell>
        </row>
        <row r="4504">
          <cell r="B4504" t="b">
            <v>0</v>
          </cell>
          <cell r="E4504" t="str">
            <v>Los Cerros</v>
          </cell>
          <cell r="H4504" t="str">
            <v>laboratorio</v>
          </cell>
          <cell r="J4504" t="str">
            <v>muymalo</v>
          </cell>
          <cell r="K4504" t="str">
            <v>probsi</v>
          </cell>
        </row>
        <row r="4505">
          <cell r="B4505" t="b">
            <v>0</v>
          </cell>
          <cell r="E4505" t="str">
            <v>Los Cerros</v>
          </cell>
          <cell r="H4505" t="str">
            <v>laboratorio</v>
          </cell>
          <cell r="J4505" t="str">
            <v>muymalo</v>
          </cell>
          <cell r="K4505" t="str">
            <v>probsi</v>
          </cell>
        </row>
        <row r="4506">
          <cell r="B4506" t="b">
            <v>1</v>
          </cell>
          <cell r="E4506" t="str">
            <v>Santa Ana</v>
          </cell>
          <cell r="H4506" t="str">
            <v>consulta_externa</v>
          </cell>
          <cell r="J4506" t="str">
            <v>bueno</v>
          </cell>
          <cell r="K4506" t="str">
            <v>probsi</v>
          </cell>
        </row>
        <row r="4507">
          <cell r="B4507" t="b">
            <v>1</v>
          </cell>
          <cell r="E4507" t="str">
            <v>Santa Ana</v>
          </cell>
          <cell r="H4507" t="str">
            <v>consulta_externa</v>
          </cell>
          <cell r="J4507" t="str">
            <v>bueno</v>
          </cell>
          <cell r="K4507" t="str">
            <v>probsi</v>
          </cell>
        </row>
        <row r="4508">
          <cell r="B4508" t="b">
            <v>1</v>
          </cell>
          <cell r="E4508" t="str">
            <v>Santa Ana</v>
          </cell>
          <cell r="H4508" t="str">
            <v>consulta_externa</v>
          </cell>
          <cell r="J4508" t="str">
            <v>bueno</v>
          </cell>
          <cell r="K4508" t="str">
            <v>probsi</v>
          </cell>
        </row>
        <row r="4509">
          <cell r="B4509" t="b">
            <v>1</v>
          </cell>
          <cell r="E4509" t="str">
            <v>Santa Ana</v>
          </cell>
          <cell r="H4509" t="str">
            <v>consulta_externa</v>
          </cell>
          <cell r="J4509" t="str">
            <v>bueno</v>
          </cell>
          <cell r="K4509" t="str">
            <v>probsi</v>
          </cell>
        </row>
        <row r="4510">
          <cell r="B4510" t="b">
            <v>1</v>
          </cell>
          <cell r="E4510" t="str">
            <v>Santa Ana</v>
          </cell>
          <cell r="H4510" t="str">
            <v>consulta_externa</v>
          </cell>
          <cell r="J4510" t="str">
            <v>bueno</v>
          </cell>
          <cell r="K4510" t="str">
            <v>probsi</v>
          </cell>
        </row>
        <row r="4511">
          <cell r="B4511" t="b">
            <v>1</v>
          </cell>
          <cell r="E4511" t="str">
            <v>Santa Ana</v>
          </cell>
          <cell r="H4511" t="str">
            <v>consulta_externa</v>
          </cell>
          <cell r="J4511" t="str">
            <v>bueno</v>
          </cell>
          <cell r="K4511" t="str">
            <v>probsi</v>
          </cell>
        </row>
        <row r="4512">
          <cell r="B4512" t="b">
            <v>1</v>
          </cell>
          <cell r="E4512" t="str">
            <v>Arroyo Grande</v>
          </cell>
          <cell r="H4512" t="str">
            <v>consulta_externa</v>
          </cell>
          <cell r="J4512" t="str">
            <v>bueno</v>
          </cell>
          <cell r="K4512" t="str">
            <v>probsi</v>
          </cell>
        </row>
        <row r="4513">
          <cell r="B4513" t="b">
            <v>1</v>
          </cell>
          <cell r="E4513" t="str">
            <v>Arroyo Grande</v>
          </cell>
          <cell r="H4513" t="str">
            <v>consulta_externa</v>
          </cell>
          <cell r="J4513" t="str">
            <v>bueno</v>
          </cell>
          <cell r="K4513" t="str">
            <v>probsi</v>
          </cell>
        </row>
        <row r="4514">
          <cell r="B4514" t="b">
            <v>1</v>
          </cell>
          <cell r="E4514" t="str">
            <v>Arroyo Grande</v>
          </cell>
          <cell r="H4514" t="str">
            <v>consulta_externa</v>
          </cell>
          <cell r="J4514" t="str">
            <v>bueno</v>
          </cell>
          <cell r="K4514" t="str">
            <v>probsi</v>
          </cell>
        </row>
        <row r="4515">
          <cell r="B4515" t="b">
            <v>1</v>
          </cell>
          <cell r="E4515" t="str">
            <v>Arroyo Grande</v>
          </cell>
          <cell r="H4515" t="str">
            <v>consulta_externa</v>
          </cell>
          <cell r="J4515" t="str">
            <v>bueno</v>
          </cell>
          <cell r="K4515" t="str">
            <v>probsi</v>
          </cell>
        </row>
        <row r="4516">
          <cell r="B4516" t="b">
            <v>1</v>
          </cell>
          <cell r="E4516" t="str">
            <v>Arroyo Grande</v>
          </cell>
          <cell r="H4516" t="str">
            <v>consulta_externa</v>
          </cell>
          <cell r="J4516" t="str">
            <v>bueno</v>
          </cell>
          <cell r="K4516" t="str">
            <v>probsi</v>
          </cell>
        </row>
        <row r="4517">
          <cell r="B4517" t="b">
            <v>1</v>
          </cell>
          <cell r="E4517" t="str">
            <v>Arroyo Grande</v>
          </cell>
          <cell r="H4517" t="str">
            <v>consulta_externa</v>
          </cell>
          <cell r="J4517" t="str">
            <v>bueno</v>
          </cell>
          <cell r="K4517" t="str">
            <v>probsi</v>
          </cell>
        </row>
        <row r="4518">
          <cell r="B4518" t="b">
            <v>1</v>
          </cell>
          <cell r="E4518" t="str">
            <v>Arroyo Grande</v>
          </cell>
          <cell r="H4518" t="str">
            <v>consulta_externa</v>
          </cell>
          <cell r="J4518" t="str">
            <v>bueno</v>
          </cell>
          <cell r="K4518" t="str">
            <v>probsi</v>
          </cell>
        </row>
        <row r="4519">
          <cell r="B4519" t="b">
            <v>1</v>
          </cell>
          <cell r="E4519" t="str">
            <v>Arroyo Grande</v>
          </cell>
          <cell r="H4519" t="str">
            <v>consulta_externa</v>
          </cell>
          <cell r="J4519" t="str">
            <v>bueno</v>
          </cell>
          <cell r="K4519" t="str">
            <v>probsi</v>
          </cell>
        </row>
        <row r="4520">
          <cell r="B4520" t="b">
            <v>1</v>
          </cell>
          <cell r="E4520" t="str">
            <v>Arroyo Grande</v>
          </cell>
          <cell r="H4520" t="str">
            <v>consulta_externa</v>
          </cell>
          <cell r="J4520" t="str">
            <v>bueno</v>
          </cell>
          <cell r="K4520" t="str">
            <v>probsi</v>
          </cell>
        </row>
        <row r="4521">
          <cell r="B4521" t="b">
            <v>1</v>
          </cell>
          <cell r="E4521" t="str">
            <v>Arroyo Grande</v>
          </cell>
          <cell r="H4521" t="str">
            <v>consulta_externa</v>
          </cell>
          <cell r="J4521" t="str">
            <v>bueno</v>
          </cell>
          <cell r="K4521" t="str">
            <v>probsi</v>
          </cell>
        </row>
        <row r="4522">
          <cell r="B4522" t="b">
            <v>1</v>
          </cell>
          <cell r="E4522" t="str">
            <v>Arroyo Grande</v>
          </cell>
          <cell r="H4522" t="str">
            <v>consulta_externa</v>
          </cell>
          <cell r="J4522" t="str">
            <v>bueno</v>
          </cell>
          <cell r="K4522" t="str">
            <v>probsi</v>
          </cell>
        </row>
        <row r="4523">
          <cell r="B4523" t="b">
            <v>1</v>
          </cell>
          <cell r="E4523" t="str">
            <v>Santa Ana</v>
          </cell>
          <cell r="H4523" t="str">
            <v>urgencia</v>
          </cell>
          <cell r="J4523" t="str">
            <v>bueno</v>
          </cell>
          <cell r="K4523" t="str">
            <v>probsi</v>
          </cell>
        </row>
        <row r="4524">
          <cell r="B4524" t="b">
            <v>1</v>
          </cell>
          <cell r="E4524" t="str">
            <v>Arroyo Grande</v>
          </cell>
          <cell r="H4524" t="str">
            <v>salud_oral</v>
          </cell>
          <cell r="J4524" t="str">
            <v>bueno</v>
          </cell>
          <cell r="K4524" t="str">
            <v>probsi</v>
          </cell>
        </row>
        <row r="4525">
          <cell r="B4525" t="b">
            <v>1</v>
          </cell>
          <cell r="E4525" t="str">
            <v>Santa Ana</v>
          </cell>
          <cell r="H4525" t="str">
            <v>urgencia</v>
          </cell>
          <cell r="J4525" t="str">
            <v>bueno</v>
          </cell>
          <cell r="K4525" t="str">
            <v>probsi</v>
          </cell>
        </row>
        <row r="4526">
          <cell r="B4526" t="b">
            <v>1</v>
          </cell>
          <cell r="E4526" t="str">
            <v>Santa Ana</v>
          </cell>
          <cell r="H4526" t="str">
            <v>urgencia</v>
          </cell>
          <cell r="J4526" t="str">
            <v>bueno</v>
          </cell>
          <cell r="K4526" t="str">
            <v>probsi</v>
          </cell>
        </row>
        <row r="4527">
          <cell r="B4527" t="b">
            <v>1</v>
          </cell>
          <cell r="E4527" t="str">
            <v>Arroyo Grande</v>
          </cell>
          <cell r="H4527" t="str">
            <v>salud_oral</v>
          </cell>
          <cell r="J4527" t="str">
            <v>bueno</v>
          </cell>
          <cell r="K4527" t="str">
            <v>probsi</v>
          </cell>
        </row>
        <row r="4528">
          <cell r="B4528" t="b">
            <v>1</v>
          </cell>
          <cell r="E4528" t="str">
            <v>Arroyo Grande</v>
          </cell>
          <cell r="H4528" t="str">
            <v>salud_oral</v>
          </cell>
          <cell r="J4528" t="str">
            <v>bueno</v>
          </cell>
          <cell r="K4528" t="str">
            <v>probsi</v>
          </cell>
        </row>
        <row r="4529">
          <cell r="B4529" t="b">
            <v>1</v>
          </cell>
          <cell r="E4529" t="str">
            <v>Santa Ana</v>
          </cell>
          <cell r="H4529" t="str">
            <v>urgencia</v>
          </cell>
          <cell r="J4529" t="str">
            <v>bueno</v>
          </cell>
          <cell r="K4529" t="str">
            <v>probsi</v>
          </cell>
        </row>
        <row r="4530">
          <cell r="B4530" t="b">
            <v>1</v>
          </cell>
          <cell r="E4530" t="str">
            <v>Arroyo Grande</v>
          </cell>
          <cell r="H4530" t="str">
            <v>salud_oral</v>
          </cell>
          <cell r="J4530" t="str">
            <v>bueno</v>
          </cell>
          <cell r="K4530" t="str">
            <v>probsi</v>
          </cell>
        </row>
        <row r="4531">
          <cell r="B4531" t="b">
            <v>1</v>
          </cell>
          <cell r="E4531" t="str">
            <v>Santa Ana</v>
          </cell>
          <cell r="H4531" t="str">
            <v>urgencia</v>
          </cell>
          <cell r="J4531" t="str">
            <v>bueno</v>
          </cell>
          <cell r="K4531" t="str">
            <v>probsi</v>
          </cell>
        </row>
        <row r="4532">
          <cell r="B4532" t="b">
            <v>1</v>
          </cell>
          <cell r="E4532" t="str">
            <v>Santa Ana</v>
          </cell>
          <cell r="H4532" t="str">
            <v>urgencia</v>
          </cell>
          <cell r="J4532" t="str">
            <v>bueno</v>
          </cell>
          <cell r="K4532" t="str">
            <v>probsi</v>
          </cell>
        </row>
        <row r="4533">
          <cell r="B4533" t="b">
            <v>1</v>
          </cell>
          <cell r="E4533" t="str">
            <v>Santa Ana</v>
          </cell>
          <cell r="H4533" t="str">
            <v>urgencia</v>
          </cell>
          <cell r="J4533" t="str">
            <v>bueno</v>
          </cell>
          <cell r="K4533" t="str">
            <v>probsi</v>
          </cell>
        </row>
        <row r="4534">
          <cell r="B4534" t="b">
            <v>1</v>
          </cell>
          <cell r="E4534" t="str">
            <v>Arroyo Grande</v>
          </cell>
          <cell r="H4534" t="str">
            <v>salud_oral</v>
          </cell>
          <cell r="J4534" t="str">
            <v>bueno</v>
          </cell>
          <cell r="K4534" t="str">
            <v>probsi</v>
          </cell>
        </row>
        <row r="4535">
          <cell r="B4535" t="b">
            <v>1</v>
          </cell>
          <cell r="E4535" t="str">
            <v>Arroyo Grande</v>
          </cell>
          <cell r="H4535" t="str">
            <v>salud_oral</v>
          </cell>
          <cell r="J4535" t="str">
            <v>bueno</v>
          </cell>
          <cell r="K4535" t="str">
            <v>probsi</v>
          </cell>
        </row>
        <row r="4536">
          <cell r="B4536" t="b">
            <v>1</v>
          </cell>
          <cell r="E4536" t="str">
            <v>Santa Ana</v>
          </cell>
          <cell r="H4536" t="str">
            <v>urgencia</v>
          </cell>
          <cell r="J4536" t="str">
            <v>bueno</v>
          </cell>
          <cell r="K4536" t="str">
            <v>probsi</v>
          </cell>
        </row>
        <row r="4537">
          <cell r="B4537" t="b">
            <v>1</v>
          </cell>
          <cell r="E4537" t="str">
            <v>Santa Ana</v>
          </cell>
          <cell r="H4537" t="str">
            <v>urgencia</v>
          </cell>
          <cell r="J4537" t="str">
            <v>bueno</v>
          </cell>
          <cell r="K4537" t="str">
            <v>probsi</v>
          </cell>
        </row>
        <row r="4538">
          <cell r="B4538" t="b">
            <v>1</v>
          </cell>
          <cell r="E4538" t="str">
            <v>Arroyo Grande</v>
          </cell>
          <cell r="H4538" t="str">
            <v>salud_oral</v>
          </cell>
          <cell r="J4538" t="str">
            <v>bueno</v>
          </cell>
          <cell r="K4538" t="str">
            <v>probsi</v>
          </cell>
        </row>
        <row r="4539">
          <cell r="B4539" t="b">
            <v>1</v>
          </cell>
          <cell r="E4539" t="str">
            <v>Arroyo Grande</v>
          </cell>
          <cell r="H4539" t="str">
            <v>salud_oral</v>
          </cell>
          <cell r="J4539" t="str">
            <v>bueno</v>
          </cell>
          <cell r="K4539" t="str">
            <v>probsi</v>
          </cell>
        </row>
        <row r="4540">
          <cell r="B4540" t="b">
            <v>1</v>
          </cell>
          <cell r="E4540" t="str">
            <v>Santa Ana</v>
          </cell>
          <cell r="H4540" t="str">
            <v>urgencia</v>
          </cell>
          <cell r="J4540" t="str">
            <v>bueno</v>
          </cell>
          <cell r="K4540" t="str">
            <v>probsi</v>
          </cell>
        </row>
        <row r="4541">
          <cell r="B4541" t="b">
            <v>1</v>
          </cell>
          <cell r="E4541" t="str">
            <v>Arroyo Grande</v>
          </cell>
          <cell r="H4541" t="str">
            <v>salud_oral</v>
          </cell>
          <cell r="J4541" t="str">
            <v>bueno</v>
          </cell>
          <cell r="K4541" t="str">
            <v>probsi</v>
          </cell>
        </row>
        <row r="4542">
          <cell r="B4542" t="b">
            <v>1</v>
          </cell>
          <cell r="E4542" t="str">
            <v>Santa Ana</v>
          </cell>
          <cell r="H4542" t="str">
            <v>urgencia</v>
          </cell>
          <cell r="J4542" t="str">
            <v>bueno</v>
          </cell>
          <cell r="K4542" t="str">
            <v>probsi</v>
          </cell>
        </row>
        <row r="4543">
          <cell r="B4543" t="b">
            <v>1</v>
          </cell>
          <cell r="E4543" t="str">
            <v>Arroyo Grande</v>
          </cell>
          <cell r="H4543" t="str">
            <v>salud_oral</v>
          </cell>
          <cell r="J4543" t="str">
            <v>bueno</v>
          </cell>
          <cell r="K4543" t="str">
            <v>probsi</v>
          </cell>
        </row>
        <row r="4544">
          <cell r="B4544" t="b">
            <v>1</v>
          </cell>
          <cell r="E4544" t="str">
            <v>Santa Ana</v>
          </cell>
          <cell r="H4544" t="str">
            <v>urgencia</v>
          </cell>
          <cell r="J4544" t="str">
            <v>bueno</v>
          </cell>
          <cell r="K4544" t="str">
            <v>probsi</v>
          </cell>
        </row>
        <row r="4545">
          <cell r="B4545" t="b">
            <v>1</v>
          </cell>
          <cell r="E4545" t="str">
            <v>Santa Ana</v>
          </cell>
          <cell r="H4545" t="str">
            <v>urgencia</v>
          </cell>
          <cell r="J4545" t="str">
            <v>bueno</v>
          </cell>
          <cell r="K4545" t="str">
            <v>probsi</v>
          </cell>
        </row>
        <row r="4546">
          <cell r="B4546" t="b">
            <v>1</v>
          </cell>
          <cell r="E4546" t="str">
            <v>Arroyo Grande</v>
          </cell>
          <cell r="H4546" t="str">
            <v>salud_oral</v>
          </cell>
          <cell r="J4546" t="str">
            <v>bueno</v>
          </cell>
          <cell r="K4546" t="str">
            <v>probsi</v>
          </cell>
        </row>
        <row r="4547">
          <cell r="B4547" t="b">
            <v>1</v>
          </cell>
          <cell r="E4547" t="str">
            <v>Santa Ana</v>
          </cell>
          <cell r="H4547" t="str">
            <v>urgencia</v>
          </cell>
          <cell r="J4547" t="str">
            <v>bueno</v>
          </cell>
          <cell r="K4547" t="str">
            <v>probsi</v>
          </cell>
        </row>
        <row r="4548">
          <cell r="B4548" t="b">
            <v>1</v>
          </cell>
          <cell r="E4548" t="str">
            <v>Santa Ana</v>
          </cell>
          <cell r="H4548" t="str">
            <v>urgencia</v>
          </cell>
          <cell r="J4548" t="str">
            <v>bueno</v>
          </cell>
          <cell r="K4548" t="str">
            <v>probsi</v>
          </cell>
        </row>
        <row r="4549">
          <cell r="B4549" t="b">
            <v>1</v>
          </cell>
          <cell r="E4549" t="str">
            <v>Arroyo Grande</v>
          </cell>
          <cell r="H4549" t="str">
            <v>laboratorio</v>
          </cell>
          <cell r="J4549" t="str">
            <v>bueno</v>
          </cell>
          <cell r="K4549" t="str">
            <v>probsi</v>
          </cell>
        </row>
        <row r="4550">
          <cell r="B4550" t="b">
            <v>1</v>
          </cell>
          <cell r="E4550" t="str">
            <v>Santa Ana</v>
          </cell>
          <cell r="H4550" t="str">
            <v>urgencia</v>
          </cell>
          <cell r="J4550" t="str">
            <v>bueno</v>
          </cell>
          <cell r="K4550" t="str">
            <v>probsi</v>
          </cell>
        </row>
        <row r="4551">
          <cell r="B4551" t="b">
            <v>1</v>
          </cell>
          <cell r="E4551" t="str">
            <v>Arroyo Grande</v>
          </cell>
          <cell r="H4551" t="str">
            <v>laboratorio</v>
          </cell>
          <cell r="J4551" t="str">
            <v>bueno</v>
          </cell>
          <cell r="K4551" t="str">
            <v>probsi</v>
          </cell>
        </row>
        <row r="4552">
          <cell r="B4552" t="b">
            <v>1</v>
          </cell>
          <cell r="E4552" t="str">
            <v>Santa Ana</v>
          </cell>
          <cell r="H4552" t="str">
            <v>urgencia</v>
          </cell>
          <cell r="J4552" t="str">
            <v>bueno</v>
          </cell>
          <cell r="K4552" t="str">
            <v>probsi</v>
          </cell>
        </row>
        <row r="4553">
          <cell r="B4553" t="b">
            <v>1</v>
          </cell>
          <cell r="E4553" t="str">
            <v>Arroyo Grande</v>
          </cell>
          <cell r="H4553" t="str">
            <v>laboratorio</v>
          </cell>
          <cell r="J4553" t="str">
            <v>bueno</v>
          </cell>
          <cell r="K4553" t="str">
            <v>probsi</v>
          </cell>
        </row>
        <row r="4554">
          <cell r="B4554" t="b">
            <v>1</v>
          </cell>
          <cell r="E4554" t="str">
            <v>Santa Ana</v>
          </cell>
          <cell r="H4554" t="str">
            <v>urgencia</v>
          </cell>
          <cell r="J4554" t="str">
            <v>bueno</v>
          </cell>
          <cell r="K4554" t="str">
            <v>probsi</v>
          </cell>
        </row>
        <row r="4555">
          <cell r="B4555" t="b">
            <v>1</v>
          </cell>
          <cell r="E4555" t="str">
            <v>Arroyo Grande</v>
          </cell>
          <cell r="H4555" t="str">
            <v>laboratorio</v>
          </cell>
          <cell r="J4555" t="str">
            <v>bueno</v>
          </cell>
          <cell r="K4555" t="str">
            <v>probsi</v>
          </cell>
        </row>
        <row r="4556">
          <cell r="B4556" t="b">
            <v>1</v>
          </cell>
          <cell r="E4556" t="str">
            <v>Arroyo Grande</v>
          </cell>
          <cell r="H4556" t="str">
            <v>laboratorio</v>
          </cell>
          <cell r="J4556" t="str">
            <v>bueno</v>
          </cell>
          <cell r="K4556" t="str">
            <v>probsi</v>
          </cell>
        </row>
        <row r="4557">
          <cell r="B4557" t="b">
            <v>1</v>
          </cell>
          <cell r="E4557" t="str">
            <v>Santa Ana</v>
          </cell>
          <cell r="H4557" t="str">
            <v>urgencia</v>
          </cell>
          <cell r="J4557" t="str">
            <v>bueno</v>
          </cell>
          <cell r="K4557" t="str">
            <v>probsi</v>
          </cell>
        </row>
        <row r="4558">
          <cell r="B4558" t="b">
            <v>1</v>
          </cell>
          <cell r="E4558" t="str">
            <v>Santa Ana</v>
          </cell>
          <cell r="H4558" t="str">
            <v>urgencia</v>
          </cell>
          <cell r="J4558" t="str">
            <v>bueno</v>
          </cell>
          <cell r="K4558" t="str">
            <v>probsi</v>
          </cell>
        </row>
        <row r="4559">
          <cell r="B4559" t="b">
            <v>1</v>
          </cell>
          <cell r="E4559" t="str">
            <v>Santa Ana</v>
          </cell>
          <cell r="H4559" t="str">
            <v>urgencia</v>
          </cell>
          <cell r="J4559" t="str">
            <v>bueno</v>
          </cell>
          <cell r="K4559" t="str">
            <v>probsi</v>
          </cell>
        </row>
        <row r="4560">
          <cell r="B4560" t="b">
            <v>1</v>
          </cell>
          <cell r="E4560" t="str">
            <v>Arroyo Grande</v>
          </cell>
          <cell r="H4560" t="str">
            <v>laboratorio</v>
          </cell>
          <cell r="J4560" t="str">
            <v>bueno</v>
          </cell>
          <cell r="K4560" t="str">
            <v>probsi</v>
          </cell>
        </row>
        <row r="4561">
          <cell r="B4561" t="b">
            <v>1</v>
          </cell>
          <cell r="E4561" t="str">
            <v>Santa Ana</v>
          </cell>
          <cell r="H4561" t="str">
            <v>urgencia</v>
          </cell>
          <cell r="J4561" t="str">
            <v>bueno</v>
          </cell>
          <cell r="K4561" t="str">
            <v>probsi</v>
          </cell>
        </row>
        <row r="4562">
          <cell r="B4562" t="b">
            <v>1</v>
          </cell>
          <cell r="E4562" t="str">
            <v>Arroyo Grande</v>
          </cell>
          <cell r="H4562" t="str">
            <v>laboratorio</v>
          </cell>
          <cell r="J4562" t="str">
            <v>bueno</v>
          </cell>
          <cell r="K4562" t="str">
            <v>probsi</v>
          </cell>
        </row>
        <row r="4563">
          <cell r="B4563" t="b">
            <v>1</v>
          </cell>
          <cell r="E4563" t="str">
            <v>Arroyo Grande</v>
          </cell>
          <cell r="H4563" t="str">
            <v>laboratorio</v>
          </cell>
          <cell r="J4563" t="str">
            <v>bueno</v>
          </cell>
          <cell r="K4563" t="str">
            <v>probsi</v>
          </cell>
        </row>
        <row r="4564">
          <cell r="B4564" t="b">
            <v>1</v>
          </cell>
          <cell r="E4564" t="str">
            <v>Santa Ana</v>
          </cell>
          <cell r="H4564" t="str">
            <v>urgencia</v>
          </cell>
          <cell r="J4564" t="str">
            <v>bueno</v>
          </cell>
          <cell r="K4564" t="str">
            <v>probsi</v>
          </cell>
        </row>
        <row r="4565">
          <cell r="B4565" t="b">
            <v>1</v>
          </cell>
          <cell r="E4565" t="str">
            <v>Arroyo Grande</v>
          </cell>
          <cell r="H4565" t="str">
            <v>laboratorio</v>
          </cell>
          <cell r="J4565" t="str">
            <v>bueno</v>
          </cell>
          <cell r="K4565" t="str">
            <v>probsi</v>
          </cell>
        </row>
        <row r="4566">
          <cell r="B4566" t="b">
            <v>1</v>
          </cell>
          <cell r="E4566" t="str">
            <v>Santa Ana</v>
          </cell>
          <cell r="H4566" t="str">
            <v>urgencia</v>
          </cell>
          <cell r="J4566" t="str">
            <v>bueno</v>
          </cell>
          <cell r="K4566" t="str">
            <v>probsi</v>
          </cell>
        </row>
        <row r="4567">
          <cell r="B4567" t="b">
            <v>1</v>
          </cell>
          <cell r="E4567" t="str">
            <v>Arroyo Grande</v>
          </cell>
          <cell r="H4567" t="str">
            <v>laboratorio</v>
          </cell>
          <cell r="J4567" t="str">
            <v>bueno</v>
          </cell>
          <cell r="K4567" t="str">
            <v>probsi</v>
          </cell>
        </row>
        <row r="4568">
          <cell r="B4568" t="b">
            <v>1</v>
          </cell>
          <cell r="E4568" t="str">
            <v>Santa Ana</v>
          </cell>
          <cell r="H4568" t="str">
            <v>urgencia</v>
          </cell>
          <cell r="J4568" t="str">
            <v>bueno</v>
          </cell>
          <cell r="K4568" t="str">
            <v>probsi</v>
          </cell>
        </row>
        <row r="4569">
          <cell r="B4569" t="b">
            <v>1</v>
          </cell>
          <cell r="E4569" t="str">
            <v>Santa Ana</v>
          </cell>
          <cell r="H4569" t="str">
            <v>consulta_externa</v>
          </cell>
          <cell r="J4569" t="str">
            <v>bueno</v>
          </cell>
          <cell r="K4569" t="str">
            <v>probsi</v>
          </cell>
        </row>
        <row r="4570">
          <cell r="B4570" t="b">
            <v>1</v>
          </cell>
          <cell r="E4570" t="str">
            <v>Santa Ana</v>
          </cell>
          <cell r="H4570" t="str">
            <v>consulta_externa</v>
          </cell>
          <cell r="J4570" t="str">
            <v>bueno</v>
          </cell>
          <cell r="K4570" t="str">
            <v>probsi</v>
          </cell>
        </row>
        <row r="4571">
          <cell r="B4571" t="b">
            <v>1</v>
          </cell>
          <cell r="E4571" t="str">
            <v>Santa Ana</v>
          </cell>
          <cell r="H4571" t="str">
            <v>consulta_externa</v>
          </cell>
          <cell r="J4571" t="str">
            <v>bueno</v>
          </cell>
          <cell r="K4571" t="str">
            <v>probsi</v>
          </cell>
        </row>
        <row r="4572">
          <cell r="B4572" t="b">
            <v>1</v>
          </cell>
          <cell r="E4572" t="str">
            <v>Santa Ana</v>
          </cell>
          <cell r="H4572" t="str">
            <v>consulta_externa</v>
          </cell>
          <cell r="J4572" t="str">
            <v>bueno</v>
          </cell>
          <cell r="K4572" t="str">
            <v>probsi</v>
          </cell>
        </row>
        <row r="4573">
          <cell r="B4573" t="b">
            <v>1</v>
          </cell>
          <cell r="E4573" t="str">
            <v>Santa Ana</v>
          </cell>
          <cell r="H4573" t="str">
            <v>consulta_externa</v>
          </cell>
          <cell r="J4573" t="str">
            <v>bueno</v>
          </cell>
          <cell r="K4573" t="str">
            <v>probsi</v>
          </cell>
        </row>
        <row r="4574">
          <cell r="B4574" t="b">
            <v>1</v>
          </cell>
          <cell r="E4574" t="str">
            <v>Santa Ana</v>
          </cell>
          <cell r="H4574" t="str">
            <v>consulta_externa</v>
          </cell>
          <cell r="J4574" t="str">
            <v>bueno</v>
          </cell>
          <cell r="K4574" t="str">
            <v>probsi</v>
          </cell>
        </row>
        <row r="4575">
          <cell r="B4575" t="b">
            <v>1</v>
          </cell>
          <cell r="E4575" t="str">
            <v>Santa Ana</v>
          </cell>
          <cell r="H4575" t="str">
            <v>consulta_externa</v>
          </cell>
          <cell r="J4575" t="str">
            <v>bueno</v>
          </cell>
          <cell r="K4575" t="str">
            <v>probsi</v>
          </cell>
        </row>
        <row r="4576">
          <cell r="B4576" t="b">
            <v>1</v>
          </cell>
          <cell r="E4576" t="str">
            <v>Canapote</v>
          </cell>
          <cell r="H4576" t="str">
            <v>consulta_externa</v>
          </cell>
          <cell r="J4576" t="str">
            <v>bueno</v>
          </cell>
          <cell r="K4576" t="str">
            <v>defsi</v>
          </cell>
        </row>
        <row r="4577">
          <cell r="B4577" t="b">
            <v>1</v>
          </cell>
          <cell r="E4577" t="str">
            <v>Canapote</v>
          </cell>
          <cell r="H4577" t="str">
            <v>salud_oral</v>
          </cell>
          <cell r="J4577" t="str">
            <v>bueno</v>
          </cell>
          <cell r="K4577" t="str">
            <v>defsi</v>
          </cell>
        </row>
        <row r="4578">
          <cell r="B4578" t="b">
            <v>1</v>
          </cell>
          <cell r="E4578" t="str">
            <v>Canapote</v>
          </cell>
          <cell r="H4578" t="str">
            <v>laboratorio</v>
          </cell>
          <cell r="J4578" t="str">
            <v>bueno</v>
          </cell>
          <cell r="K4578" t="str">
            <v>defsi</v>
          </cell>
        </row>
        <row r="4579">
          <cell r="B4579" t="b">
            <v>1</v>
          </cell>
          <cell r="E4579" t="str">
            <v>Canapote</v>
          </cell>
          <cell r="H4579" t="str">
            <v>consulta_externa</v>
          </cell>
          <cell r="J4579" t="str">
            <v>bueno</v>
          </cell>
          <cell r="K4579" t="str">
            <v>defsi</v>
          </cell>
        </row>
        <row r="4580">
          <cell r="B4580" t="b">
            <v>1</v>
          </cell>
          <cell r="E4580" t="str">
            <v>Canapote</v>
          </cell>
          <cell r="H4580" t="str">
            <v>salud_oral</v>
          </cell>
          <cell r="J4580" t="str">
            <v>bueno</v>
          </cell>
          <cell r="K4580" t="str">
            <v>defsi</v>
          </cell>
        </row>
        <row r="4581">
          <cell r="B4581" t="b">
            <v>1</v>
          </cell>
          <cell r="E4581" t="str">
            <v>Canapote</v>
          </cell>
          <cell r="H4581" t="str">
            <v>laboratorio</v>
          </cell>
          <cell r="J4581" t="str">
            <v>bueno</v>
          </cell>
          <cell r="K4581" t="str">
            <v>defsi</v>
          </cell>
        </row>
        <row r="4582">
          <cell r="B4582" t="b">
            <v>1</v>
          </cell>
          <cell r="E4582" t="str">
            <v>Canapote</v>
          </cell>
          <cell r="H4582" t="str">
            <v>consulta_externa</v>
          </cell>
          <cell r="J4582" t="str">
            <v>bueno</v>
          </cell>
          <cell r="K4582" t="str">
            <v>defsi</v>
          </cell>
        </row>
        <row r="4583">
          <cell r="B4583" t="b">
            <v>1</v>
          </cell>
          <cell r="E4583" t="str">
            <v>Canapote</v>
          </cell>
          <cell r="H4583" t="str">
            <v>salud_oral</v>
          </cell>
          <cell r="J4583" t="str">
            <v>bueno</v>
          </cell>
          <cell r="K4583" t="str">
            <v>defsi</v>
          </cell>
        </row>
        <row r="4584">
          <cell r="B4584" t="b">
            <v>1</v>
          </cell>
          <cell r="E4584" t="str">
            <v>Canapote</v>
          </cell>
          <cell r="H4584" t="str">
            <v>laboratorio</v>
          </cell>
          <cell r="J4584" t="str">
            <v>bueno</v>
          </cell>
          <cell r="K4584" t="str">
            <v>defsi</v>
          </cell>
        </row>
        <row r="4585">
          <cell r="B4585" t="b">
            <v>1</v>
          </cell>
          <cell r="E4585" t="str">
            <v>Canapote</v>
          </cell>
          <cell r="H4585" t="str">
            <v>consulta_externa</v>
          </cell>
          <cell r="J4585" t="str">
            <v>bueno</v>
          </cell>
          <cell r="K4585" t="str">
            <v>defsi</v>
          </cell>
        </row>
        <row r="4586">
          <cell r="B4586" t="b">
            <v>1</v>
          </cell>
          <cell r="E4586" t="str">
            <v>Canapote</v>
          </cell>
          <cell r="H4586" t="str">
            <v>salud_oral</v>
          </cell>
          <cell r="J4586" t="str">
            <v>bueno</v>
          </cell>
          <cell r="K4586" t="str">
            <v>defsi</v>
          </cell>
        </row>
        <row r="4587">
          <cell r="B4587" t="b">
            <v>1</v>
          </cell>
          <cell r="E4587" t="str">
            <v>Canapote</v>
          </cell>
          <cell r="H4587" t="str">
            <v>laboratorio</v>
          </cell>
          <cell r="J4587" t="str">
            <v>bueno</v>
          </cell>
          <cell r="K4587" t="str">
            <v>defsi</v>
          </cell>
        </row>
        <row r="4588">
          <cell r="B4588" t="b">
            <v>1</v>
          </cell>
          <cell r="E4588" t="str">
            <v>Canapote</v>
          </cell>
          <cell r="H4588" t="str">
            <v>consulta_externa</v>
          </cell>
          <cell r="J4588" t="str">
            <v>bueno</v>
          </cell>
          <cell r="K4588" t="str">
            <v>defsi</v>
          </cell>
        </row>
        <row r="4589">
          <cell r="B4589" t="b">
            <v>1</v>
          </cell>
          <cell r="E4589" t="str">
            <v>Canapote</v>
          </cell>
          <cell r="H4589" t="str">
            <v>salud_oral</v>
          </cell>
          <cell r="J4589" t="str">
            <v>bueno</v>
          </cell>
          <cell r="K4589" t="str">
            <v>defsi</v>
          </cell>
        </row>
        <row r="4590">
          <cell r="B4590" t="b">
            <v>1</v>
          </cell>
          <cell r="E4590" t="str">
            <v>Canapote</v>
          </cell>
          <cell r="H4590" t="str">
            <v>laboratorio</v>
          </cell>
          <cell r="J4590" t="str">
            <v>bueno</v>
          </cell>
          <cell r="K4590" t="str">
            <v>defsi</v>
          </cell>
        </row>
        <row r="4591">
          <cell r="B4591" t="b">
            <v>0</v>
          </cell>
          <cell r="E4591" t="str">
            <v>Ternera</v>
          </cell>
          <cell r="H4591" t="str">
            <v>salud_oral</v>
          </cell>
          <cell r="J4591" t="str">
            <v>regular</v>
          </cell>
          <cell r="K4591" t="str">
            <v>defsi</v>
          </cell>
        </row>
        <row r="4592">
          <cell r="B4592" t="b">
            <v>1</v>
          </cell>
          <cell r="E4592" t="str">
            <v>Ternera</v>
          </cell>
          <cell r="H4592" t="str">
            <v>salud_oral</v>
          </cell>
          <cell r="J4592" t="str">
            <v>bueno</v>
          </cell>
          <cell r="K4592" t="str">
            <v>defsi</v>
          </cell>
        </row>
        <row r="4593">
          <cell r="B4593" t="b">
            <v>1</v>
          </cell>
          <cell r="E4593" t="str">
            <v>Ternera</v>
          </cell>
          <cell r="H4593" t="str">
            <v>salud_oral</v>
          </cell>
          <cell r="J4593" t="str">
            <v>bueno</v>
          </cell>
          <cell r="K4593" t="str">
            <v>defsi</v>
          </cell>
        </row>
        <row r="4594">
          <cell r="B4594" t="b">
            <v>1</v>
          </cell>
          <cell r="E4594" t="str">
            <v>Ternera</v>
          </cell>
          <cell r="H4594" t="str">
            <v>salud_oral</v>
          </cell>
          <cell r="J4594" t="str">
            <v>bueno</v>
          </cell>
          <cell r="K4594" t="str">
            <v>defsi</v>
          </cell>
        </row>
        <row r="4595">
          <cell r="B4595" t="b">
            <v>1</v>
          </cell>
          <cell r="E4595" t="str">
            <v>Ternera</v>
          </cell>
          <cell r="H4595" t="str">
            <v>salud_oral</v>
          </cell>
          <cell r="J4595" t="str">
            <v>bueno</v>
          </cell>
          <cell r="K4595" t="str">
            <v>defsi</v>
          </cell>
        </row>
        <row r="4596">
          <cell r="B4596" t="b">
            <v>1</v>
          </cell>
          <cell r="E4596" t="str">
            <v>Ternera</v>
          </cell>
          <cell r="H4596" t="str">
            <v>consulta_externa</v>
          </cell>
          <cell r="J4596" t="str">
            <v>bueno</v>
          </cell>
          <cell r="K4596" t="str">
            <v>defsi</v>
          </cell>
        </row>
        <row r="4597">
          <cell r="B4597" t="b">
            <v>1</v>
          </cell>
          <cell r="E4597" t="str">
            <v>Ternera</v>
          </cell>
          <cell r="H4597" t="str">
            <v>laboratorio</v>
          </cell>
          <cell r="J4597" t="str">
            <v>bueno</v>
          </cell>
          <cell r="K4597" t="str">
            <v>defsi</v>
          </cell>
        </row>
        <row r="4598">
          <cell r="B4598" t="b">
            <v>0</v>
          </cell>
          <cell r="E4598" t="str">
            <v>Ternera</v>
          </cell>
          <cell r="H4598" t="str">
            <v>laboratorio</v>
          </cell>
          <cell r="J4598" t="str">
            <v>regular</v>
          </cell>
          <cell r="K4598" t="str">
            <v>defsi</v>
          </cell>
        </row>
        <row r="4599">
          <cell r="B4599" t="b">
            <v>1</v>
          </cell>
          <cell r="E4599" t="str">
            <v>Ternera</v>
          </cell>
          <cell r="H4599" t="str">
            <v>laboratorio</v>
          </cell>
          <cell r="J4599" t="str">
            <v>bueno</v>
          </cell>
          <cell r="K4599" t="str">
            <v>defsi</v>
          </cell>
        </row>
        <row r="4600">
          <cell r="B4600" t="b">
            <v>1</v>
          </cell>
          <cell r="E4600" t="str">
            <v>Ternera</v>
          </cell>
          <cell r="H4600" t="str">
            <v>consulta_externa</v>
          </cell>
          <cell r="J4600" t="str">
            <v>bueno</v>
          </cell>
          <cell r="K4600" t="str">
            <v>defsi</v>
          </cell>
        </row>
        <row r="4601">
          <cell r="B4601" t="b">
            <v>1</v>
          </cell>
          <cell r="E4601" t="str">
            <v>Ternera</v>
          </cell>
          <cell r="H4601" t="str">
            <v>laboratorio</v>
          </cell>
          <cell r="J4601" t="str">
            <v>bueno</v>
          </cell>
          <cell r="K4601" t="str">
            <v>defsi</v>
          </cell>
        </row>
        <row r="4602">
          <cell r="B4602" t="b">
            <v>1</v>
          </cell>
          <cell r="E4602" t="str">
            <v>Ternera</v>
          </cell>
          <cell r="H4602" t="str">
            <v>consulta_externa</v>
          </cell>
          <cell r="J4602" t="str">
            <v>bueno</v>
          </cell>
          <cell r="K4602" t="str">
            <v>defsi</v>
          </cell>
        </row>
        <row r="4603">
          <cell r="B4603" t="b">
            <v>0</v>
          </cell>
          <cell r="E4603" t="str">
            <v>Ternera</v>
          </cell>
          <cell r="H4603" t="str">
            <v>laboratorio</v>
          </cell>
          <cell r="J4603" t="str">
            <v>regular</v>
          </cell>
          <cell r="K4603" t="str">
            <v>defsi</v>
          </cell>
        </row>
        <row r="4604">
          <cell r="B4604" t="b">
            <v>1</v>
          </cell>
          <cell r="E4604" t="str">
            <v>Ternera</v>
          </cell>
          <cell r="H4604" t="str">
            <v>laboratorio</v>
          </cell>
          <cell r="J4604" t="str">
            <v>bueno</v>
          </cell>
          <cell r="K4604" t="str">
            <v>defsi</v>
          </cell>
        </row>
        <row r="4605">
          <cell r="B4605" t="b">
            <v>1</v>
          </cell>
          <cell r="E4605" t="str">
            <v>Arroyo Grande</v>
          </cell>
          <cell r="H4605" t="str">
            <v>laboratorio</v>
          </cell>
          <cell r="J4605" t="str">
            <v>bueno</v>
          </cell>
          <cell r="K4605" t="str">
            <v>probsi</v>
          </cell>
        </row>
        <row r="4606">
          <cell r="B4606" t="b">
            <v>1</v>
          </cell>
          <cell r="E4606" t="str">
            <v>Arroyo Grande</v>
          </cell>
          <cell r="H4606" t="str">
            <v>laboratorio</v>
          </cell>
          <cell r="J4606" t="str">
            <v>bueno</v>
          </cell>
          <cell r="K4606" t="str">
            <v>probsi</v>
          </cell>
        </row>
        <row r="4607">
          <cell r="B4607" t="b">
            <v>1</v>
          </cell>
          <cell r="E4607" t="str">
            <v>Arroyo Grande</v>
          </cell>
          <cell r="H4607" t="str">
            <v>laboratorio</v>
          </cell>
          <cell r="J4607" t="str">
            <v>bueno</v>
          </cell>
          <cell r="K4607" t="str">
            <v>probsi</v>
          </cell>
        </row>
        <row r="4608">
          <cell r="B4608" t="b">
            <v>1</v>
          </cell>
          <cell r="E4608" t="str">
            <v>Canapote</v>
          </cell>
          <cell r="H4608" t="str">
            <v>consulta_externa</v>
          </cell>
          <cell r="J4608" t="str">
            <v>bueno</v>
          </cell>
          <cell r="K4608" t="str">
            <v>defsi</v>
          </cell>
        </row>
        <row r="4609">
          <cell r="B4609" t="b">
            <v>1</v>
          </cell>
          <cell r="E4609" t="str">
            <v>Canapote</v>
          </cell>
          <cell r="H4609" t="str">
            <v>salud_oral</v>
          </cell>
          <cell r="J4609" t="str">
            <v>bueno</v>
          </cell>
          <cell r="K4609" t="str">
            <v>defsi</v>
          </cell>
        </row>
        <row r="4610">
          <cell r="B4610" t="b">
            <v>1</v>
          </cell>
          <cell r="E4610" t="str">
            <v>Canapote</v>
          </cell>
          <cell r="H4610" t="str">
            <v>laboratorio</v>
          </cell>
          <cell r="J4610" t="str">
            <v>bueno</v>
          </cell>
          <cell r="K4610" t="str">
            <v>defsi</v>
          </cell>
        </row>
        <row r="4611">
          <cell r="B4611" t="b">
            <v>1</v>
          </cell>
          <cell r="E4611" t="str">
            <v>Canapote</v>
          </cell>
          <cell r="H4611" t="str">
            <v>laboratorio</v>
          </cell>
          <cell r="J4611" t="str">
            <v>bueno</v>
          </cell>
          <cell r="K4611" t="str">
            <v>defsi</v>
          </cell>
        </row>
        <row r="4612">
          <cell r="B4612" t="b">
            <v>1</v>
          </cell>
          <cell r="E4612" t="str">
            <v>Canapote</v>
          </cell>
          <cell r="H4612" t="str">
            <v>consulta_externa</v>
          </cell>
          <cell r="J4612" t="str">
            <v>bueno</v>
          </cell>
          <cell r="K4612" t="str">
            <v>defsi</v>
          </cell>
        </row>
        <row r="4613">
          <cell r="B4613" t="b">
            <v>1</v>
          </cell>
          <cell r="E4613" t="str">
            <v>Daniel Lemaitre</v>
          </cell>
          <cell r="H4613" t="str">
            <v>consulta_externa</v>
          </cell>
          <cell r="J4613" t="str">
            <v>bueno</v>
          </cell>
          <cell r="K4613" t="str">
            <v>defsi</v>
          </cell>
        </row>
        <row r="4614">
          <cell r="B4614" t="b">
            <v>1</v>
          </cell>
          <cell r="E4614" t="str">
            <v>Daniel Lemaitre</v>
          </cell>
          <cell r="H4614" t="str">
            <v>salud_oral</v>
          </cell>
          <cell r="J4614" t="str">
            <v>bueno</v>
          </cell>
          <cell r="K4614" t="str">
            <v>defsi</v>
          </cell>
        </row>
        <row r="4615">
          <cell r="B4615" t="b">
            <v>1</v>
          </cell>
          <cell r="E4615" t="str">
            <v>Socorro</v>
          </cell>
          <cell r="H4615" t="str">
            <v>ecografias</v>
          </cell>
          <cell r="J4615" t="str">
            <v>bueno</v>
          </cell>
          <cell r="K4615" t="str">
            <v>defsi</v>
          </cell>
        </row>
        <row r="4616">
          <cell r="B4616" t="b">
            <v>1</v>
          </cell>
          <cell r="E4616" t="str">
            <v>Socorro</v>
          </cell>
          <cell r="H4616" t="str">
            <v>ecografias</v>
          </cell>
          <cell r="J4616" t="str">
            <v>bueno</v>
          </cell>
          <cell r="K4616" t="str">
            <v>defsi</v>
          </cell>
        </row>
        <row r="4617">
          <cell r="B4617" t="b">
            <v>1</v>
          </cell>
          <cell r="E4617" t="str">
            <v>Socorro</v>
          </cell>
          <cell r="H4617" t="str">
            <v>ecografias</v>
          </cell>
          <cell r="J4617" t="str">
            <v>bueno</v>
          </cell>
          <cell r="K4617" t="str">
            <v>defsi</v>
          </cell>
        </row>
        <row r="4618">
          <cell r="B4618" t="b">
            <v>1</v>
          </cell>
          <cell r="E4618" t="str">
            <v>Socorro</v>
          </cell>
          <cell r="H4618" t="str">
            <v>ecografias</v>
          </cell>
          <cell r="J4618" t="str">
            <v>bueno</v>
          </cell>
          <cell r="K4618" t="str">
            <v>defsi</v>
          </cell>
        </row>
        <row r="4619">
          <cell r="B4619" t="b">
            <v>1</v>
          </cell>
          <cell r="E4619" t="str">
            <v>Daniel Lemaitre</v>
          </cell>
          <cell r="H4619" t="str">
            <v>laboratorio</v>
          </cell>
          <cell r="J4619" t="str">
            <v>bueno</v>
          </cell>
          <cell r="K4619" t="str">
            <v>defsi</v>
          </cell>
        </row>
        <row r="4620">
          <cell r="B4620" t="b">
            <v>1</v>
          </cell>
          <cell r="E4620" t="str">
            <v>Socorro</v>
          </cell>
          <cell r="H4620" t="str">
            <v>ecografias</v>
          </cell>
          <cell r="J4620" t="str">
            <v>muybueno</v>
          </cell>
          <cell r="K4620" t="str">
            <v>defsi</v>
          </cell>
        </row>
        <row r="4621">
          <cell r="B4621" t="b">
            <v>1</v>
          </cell>
          <cell r="E4621" t="str">
            <v>Socorro</v>
          </cell>
          <cell r="H4621" t="str">
            <v>ecografias</v>
          </cell>
          <cell r="J4621" t="str">
            <v>bueno</v>
          </cell>
          <cell r="K4621" t="str">
            <v>defsi</v>
          </cell>
        </row>
        <row r="4622">
          <cell r="B4622" t="b">
            <v>1</v>
          </cell>
          <cell r="E4622" t="str">
            <v>Daniel Lemaitre</v>
          </cell>
          <cell r="H4622" t="str">
            <v>consulta_externa</v>
          </cell>
          <cell r="J4622" t="str">
            <v>bueno</v>
          </cell>
          <cell r="K4622" t="str">
            <v>defsi</v>
          </cell>
        </row>
        <row r="4623">
          <cell r="B4623" t="b">
            <v>1</v>
          </cell>
          <cell r="E4623" t="str">
            <v>Daniel Lemaitre</v>
          </cell>
          <cell r="H4623" t="str">
            <v>salud_oral</v>
          </cell>
          <cell r="J4623" t="str">
            <v>bueno</v>
          </cell>
          <cell r="K4623" t="str">
            <v>defsi</v>
          </cell>
        </row>
        <row r="4624">
          <cell r="B4624" t="b">
            <v>1</v>
          </cell>
          <cell r="E4624" t="str">
            <v>Socorro</v>
          </cell>
          <cell r="H4624" t="str">
            <v>salud_oral</v>
          </cell>
          <cell r="J4624" t="str">
            <v>bueno</v>
          </cell>
          <cell r="K4624" t="str">
            <v>defsi</v>
          </cell>
        </row>
        <row r="4625">
          <cell r="B4625" t="b">
            <v>1</v>
          </cell>
          <cell r="E4625" t="str">
            <v>Socorro</v>
          </cell>
          <cell r="H4625" t="str">
            <v>consulta_externa</v>
          </cell>
          <cell r="J4625" t="str">
            <v>bueno</v>
          </cell>
          <cell r="K4625" t="str">
            <v>defsi</v>
          </cell>
        </row>
        <row r="4626">
          <cell r="B4626" t="b">
            <v>1</v>
          </cell>
          <cell r="E4626" t="str">
            <v>Socorro</v>
          </cell>
          <cell r="H4626" t="str">
            <v>ecografias</v>
          </cell>
          <cell r="J4626" t="str">
            <v>bueno</v>
          </cell>
          <cell r="K4626" t="str">
            <v>defsi</v>
          </cell>
        </row>
        <row r="4627">
          <cell r="B4627" t="b">
            <v>1</v>
          </cell>
          <cell r="E4627" t="str">
            <v>Socorro</v>
          </cell>
          <cell r="H4627" t="str">
            <v>ecografias</v>
          </cell>
          <cell r="J4627" t="str">
            <v>bueno</v>
          </cell>
          <cell r="K4627" t="str">
            <v>defsi</v>
          </cell>
        </row>
        <row r="4628">
          <cell r="B4628" t="b">
            <v>1</v>
          </cell>
          <cell r="E4628" t="str">
            <v>Socorro</v>
          </cell>
          <cell r="H4628" t="str">
            <v>ecografias</v>
          </cell>
          <cell r="J4628" t="str">
            <v>bueno</v>
          </cell>
          <cell r="K4628" t="str">
            <v>defsi</v>
          </cell>
        </row>
        <row r="4629">
          <cell r="B4629" t="b">
            <v>1</v>
          </cell>
          <cell r="E4629" t="str">
            <v>Daniel Lemaitre</v>
          </cell>
          <cell r="H4629" t="str">
            <v>laboratorio</v>
          </cell>
          <cell r="J4629" t="str">
            <v>bueno</v>
          </cell>
          <cell r="K4629" t="str">
            <v>defsi</v>
          </cell>
        </row>
        <row r="4630">
          <cell r="B4630" t="b">
            <v>1</v>
          </cell>
          <cell r="E4630" t="str">
            <v>Socorro</v>
          </cell>
          <cell r="H4630" t="str">
            <v>ecografias</v>
          </cell>
          <cell r="J4630" t="str">
            <v>bueno</v>
          </cell>
          <cell r="K4630" t="str">
            <v>defsi</v>
          </cell>
        </row>
        <row r="4631">
          <cell r="B4631" t="b">
            <v>1</v>
          </cell>
          <cell r="E4631" t="str">
            <v>Socorro</v>
          </cell>
          <cell r="H4631" t="str">
            <v>laboratorio</v>
          </cell>
          <cell r="J4631" t="str">
            <v>bueno</v>
          </cell>
          <cell r="K4631" t="str">
            <v>defsi</v>
          </cell>
        </row>
        <row r="4632">
          <cell r="B4632" t="b">
            <v>0</v>
          </cell>
          <cell r="E4632" t="str">
            <v>Socorro</v>
          </cell>
          <cell r="H4632" t="str">
            <v>ecografias</v>
          </cell>
          <cell r="J4632" t="str">
            <v>regular</v>
          </cell>
          <cell r="K4632" t="str">
            <v>defsi</v>
          </cell>
        </row>
        <row r="4633">
          <cell r="B4633" t="b">
            <v>1</v>
          </cell>
          <cell r="E4633" t="str">
            <v>Daniel Lemaitre</v>
          </cell>
          <cell r="H4633" t="str">
            <v>consulta_externa</v>
          </cell>
          <cell r="J4633" t="str">
            <v>bueno</v>
          </cell>
          <cell r="K4633" t="str">
            <v>defsi</v>
          </cell>
        </row>
        <row r="4634">
          <cell r="B4634" t="b">
            <v>1</v>
          </cell>
          <cell r="E4634" t="str">
            <v>Socorro</v>
          </cell>
          <cell r="H4634" t="str">
            <v>ecografias</v>
          </cell>
          <cell r="J4634" t="str">
            <v>bueno</v>
          </cell>
          <cell r="K4634" t="str">
            <v>defsi</v>
          </cell>
        </row>
        <row r="4635">
          <cell r="B4635" t="b">
            <v>1</v>
          </cell>
          <cell r="E4635" t="str">
            <v>Daniel Lemaitre</v>
          </cell>
          <cell r="H4635" t="str">
            <v>salud_oral</v>
          </cell>
          <cell r="J4635" t="str">
            <v>bueno</v>
          </cell>
          <cell r="K4635" t="str">
            <v>defsi</v>
          </cell>
        </row>
        <row r="4636">
          <cell r="B4636" t="b">
            <v>1</v>
          </cell>
          <cell r="E4636" t="str">
            <v>Socorro</v>
          </cell>
          <cell r="H4636" t="str">
            <v>ecografias</v>
          </cell>
          <cell r="J4636" t="str">
            <v>bueno</v>
          </cell>
          <cell r="K4636" t="str">
            <v>defsi</v>
          </cell>
        </row>
        <row r="4637">
          <cell r="B4637" t="b">
            <v>1</v>
          </cell>
          <cell r="E4637" t="str">
            <v>Socorro</v>
          </cell>
          <cell r="H4637" t="str">
            <v>ecografias</v>
          </cell>
          <cell r="J4637" t="str">
            <v>bueno</v>
          </cell>
          <cell r="K4637" t="str">
            <v>defsi</v>
          </cell>
        </row>
        <row r="4638">
          <cell r="B4638" t="b">
            <v>1</v>
          </cell>
          <cell r="E4638" t="str">
            <v>Daniel Lemaitre</v>
          </cell>
          <cell r="H4638" t="str">
            <v>laboratorio</v>
          </cell>
          <cell r="J4638" t="str">
            <v>bueno</v>
          </cell>
          <cell r="K4638" t="str">
            <v>defsi</v>
          </cell>
        </row>
        <row r="4639">
          <cell r="B4639" t="b">
            <v>1</v>
          </cell>
          <cell r="E4639" t="str">
            <v>Daniel Lemaitre</v>
          </cell>
          <cell r="H4639" t="str">
            <v>consulta_externa</v>
          </cell>
          <cell r="J4639" t="str">
            <v>bueno</v>
          </cell>
          <cell r="K4639" t="str">
            <v>defsi</v>
          </cell>
        </row>
        <row r="4640">
          <cell r="B4640" t="b">
            <v>1</v>
          </cell>
          <cell r="E4640" t="str">
            <v>Socorro</v>
          </cell>
          <cell r="H4640" t="str">
            <v>ecografias</v>
          </cell>
          <cell r="J4640" t="str">
            <v>bueno</v>
          </cell>
          <cell r="K4640" t="str">
            <v>defsi</v>
          </cell>
        </row>
        <row r="4641">
          <cell r="B4641" t="b">
            <v>1</v>
          </cell>
          <cell r="E4641" t="str">
            <v>Socorro</v>
          </cell>
          <cell r="H4641" t="str">
            <v>ecografias</v>
          </cell>
          <cell r="J4641" t="str">
            <v>muybueno</v>
          </cell>
          <cell r="K4641" t="str">
            <v>defsi</v>
          </cell>
        </row>
        <row r="4642">
          <cell r="B4642" t="b">
            <v>1</v>
          </cell>
          <cell r="E4642" t="str">
            <v>Daniel Lemaitre</v>
          </cell>
          <cell r="H4642" t="str">
            <v>salud_oral</v>
          </cell>
          <cell r="J4642" t="str">
            <v>bueno</v>
          </cell>
          <cell r="K4642" t="str">
            <v>defsi</v>
          </cell>
        </row>
        <row r="4643">
          <cell r="B4643" t="b">
            <v>1</v>
          </cell>
          <cell r="E4643" t="str">
            <v>Socorro</v>
          </cell>
          <cell r="H4643" t="str">
            <v>ecografias</v>
          </cell>
          <cell r="J4643" t="str">
            <v>bueno</v>
          </cell>
          <cell r="K4643" t="str">
            <v>defsi</v>
          </cell>
        </row>
        <row r="4644">
          <cell r="B4644" t="b">
            <v>1</v>
          </cell>
          <cell r="E4644" t="str">
            <v>Daniel Lemaitre</v>
          </cell>
          <cell r="H4644" t="str">
            <v>laboratorio</v>
          </cell>
          <cell r="J4644" t="str">
            <v>bueno</v>
          </cell>
          <cell r="K4644" t="str">
            <v>defsi</v>
          </cell>
        </row>
        <row r="4645">
          <cell r="B4645" t="b">
            <v>1</v>
          </cell>
          <cell r="E4645" t="str">
            <v>Socorro</v>
          </cell>
          <cell r="H4645" t="str">
            <v>laboratorio</v>
          </cell>
          <cell r="J4645" t="str">
            <v>bueno</v>
          </cell>
          <cell r="K4645" t="str">
            <v>defsi</v>
          </cell>
        </row>
        <row r="4646">
          <cell r="B4646" t="b">
            <v>1</v>
          </cell>
          <cell r="E4646" t="str">
            <v>Socorro</v>
          </cell>
          <cell r="H4646" t="str">
            <v>laboratorio</v>
          </cell>
          <cell r="J4646" t="str">
            <v>bueno</v>
          </cell>
          <cell r="K4646" t="str">
            <v>defsi</v>
          </cell>
        </row>
        <row r="4647">
          <cell r="B4647" t="b">
            <v>1</v>
          </cell>
          <cell r="E4647" t="str">
            <v>Socorro</v>
          </cell>
          <cell r="H4647" t="str">
            <v>ecografias</v>
          </cell>
          <cell r="J4647" t="str">
            <v>muybueno</v>
          </cell>
          <cell r="K4647" t="str">
            <v>defsi</v>
          </cell>
        </row>
        <row r="4648">
          <cell r="B4648" t="b">
            <v>1</v>
          </cell>
          <cell r="E4648" t="str">
            <v>Socorro</v>
          </cell>
          <cell r="H4648" t="str">
            <v>salud_oral</v>
          </cell>
          <cell r="J4648" t="str">
            <v>bueno</v>
          </cell>
          <cell r="K4648" t="str">
            <v>defsi</v>
          </cell>
        </row>
        <row r="4649">
          <cell r="B4649" t="b">
            <v>1</v>
          </cell>
          <cell r="E4649" t="str">
            <v>Daniel Lemaitre</v>
          </cell>
          <cell r="H4649" t="str">
            <v>consulta_externa</v>
          </cell>
          <cell r="J4649" t="str">
            <v>bueno</v>
          </cell>
          <cell r="K4649" t="str">
            <v>defsi</v>
          </cell>
        </row>
        <row r="4650">
          <cell r="B4650" t="b">
            <v>1</v>
          </cell>
          <cell r="E4650" t="str">
            <v>Socorro</v>
          </cell>
          <cell r="H4650" t="str">
            <v>ecografias</v>
          </cell>
          <cell r="J4650" t="str">
            <v>bueno</v>
          </cell>
          <cell r="K4650" t="str">
            <v>defsi</v>
          </cell>
        </row>
        <row r="4651">
          <cell r="B4651" t="b">
            <v>1</v>
          </cell>
          <cell r="E4651" t="str">
            <v>Daniel Lemaitre</v>
          </cell>
          <cell r="H4651" t="str">
            <v>salud_oral</v>
          </cell>
          <cell r="J4651" t="str">
            <v>bueno</v>
          </cell>
          <cell r="K4651" t="str">
            <v>defsi</v>
          </cell>
        </row>
        <row r="4652">
          <cell r="B4652" t="b">
            <v>1</v>
          </cell>
          <cell r="E4652" t="str">
            <v>Daniel Lemaitre</v>
          </cell>
          <cell r="H4652" t="str">
            <v>laboratorio</v>
          </cell>
          <cell r="J4652" t="str">
            <v>bueno</v>
          </cell>
          <cell r="K4652" t="str">
            <v>defsi</v>
          </cell>
        </row>
        <row r="4653">
          <cell r="B4653" t="b">
            <v>1</v>
          </cell>
          <cell r="E4653" t="str">
            <v>Daniel Lemaitre</v>
          </cell>
          <cell r="H4653" t="str">
            <v>consulta_externa</v>
          </cell>
          <cell r="J4653" t="str">
            <v>bueno</v>
          </cell>
          <cell r="K4653" t="str">
            <v>defsi</v>
          </cell>
        </row>
        <row r="4654">
          <cell r="B4654" t="b">
            <v>1</v>
          </cell>
          <cell r="E4654" t="str">
            <v>Daniel Lemaitre</v>
          </cell>
          <cell r="H4654" t="str">
            <v>salud_oral</v>
          </cell>
          <cell r="J4654" t="str">
            <v>bueno</v>
          </cell>
          <cell r="K4654" t="str">
            <v>defsi</v>
          </cell>
        </row>
        <row r="4655">
          <cell r="B4655" t="b">
            <v>1</v>
          </cell>
          <cell r="E4655" t="str">
            <v>Daniel Lemaitre</v>
          </cell>
          <cell r="H4655" t="str">
            <v>laboratorio</v>
          </cell>
          <cell r="J4655" t="str">
            <v>bueno</v>
          </cell>
          <cell r="K4655" t="str">
            <v>defsi</v>
          </cell>
        </row>
        <row r="4656">
          <cell r="B4656" t="b">
            <v>1</v>
          </cell>
          <cell r="E4656" t="str">
            <v>Daniel Lemaitre</v>
          </cell>
          <cell r="H4656" t="str">
            <v>consulta_externa</v>
          </cell>
          <cell r="J4656" t="str">
            <v>bueno</v>
          </cell>
          <cell r="K4656" t="str">
            <v>defsi</v>
          </cell>
        </row>
        <row r="4657">
          <cell r="B4657" t="b">
            <v>1</v>
          </cell>
          <cell r="E4657" t="str">
            <v>Daniel Lemaitre</v>
          </cell>
          <cell r="H4657" t="str">
            <v>salud_oral</v>
          </cell>
          <cell r="J4657" t="str">
            <v>bueno</v>
          </cell>
          <cell r="K4657" t="str">
            <v>defsi</v>
          </cell>
        </row>
        <row r="4658">
          <cell r="B4658" t="b">
            <v>1</v>
          </cell>
          <cell r="E4658" t="str">
            <v>Daniel Lemaitre</v>
          </cell>
          <cell r="H4658" t="str">
            <v>laboratorio</v>
          </cell>
          <cell r="J4658" t="str">
            <v>bueno</v>
          </cell>
          <cell r="K4658" t="str">
            <v>defsi</v>
          </cell>
        </row>
        <row r="4659">
          <cell r="B4659" t="b">
            <v>1</v>
          </cell>
          <cell r="E4659" t="str">
            <v>Daniel Lemaitre</v>
          </cell>
          <cell r="H4659" t="str">
            <v>consulta_externa</v>
          </cell>
          <cell r="J4659" t="str">
            <v>bueno</v>
          </cell>
          <cell r="K4659" t="str">
            <v>defsi</v>
          </cell>
        </row>
        <row r="4660">
          <cell r="B4660" t="b">
            <v>1</v>
          </cell>
          <cell r="E4660" t="str">
            <v>Daniel Lemaitre</v>
          </cell>
          <cell r="H4660" t="str">
            <v>salud_oral</v>
          </cell>
          <cell r="J4660" t="str">
            <v>bueno</v>
          </cell>
          <cell r="K4660" t="str">
            <v>defsi</v>
          </cell>
        </row>
        <row r="4661">
          <cell r="B4661" t="b">
            <v>1</v>
          </cell>
          <cell r="E4661" t="str">
            <v>Daniel Lemaitre</v>
          </cell>
          <cell r="H4661" t="str">
            <v>laboratorio</v>
          </cell>
          <cell r="J4661" t="str">
            <v>bueno</v>
          </cell>
          <cell r="K4661" t="str">
            <v>defsi</v>
          </cell>
        </row>
        <row r="4662">
          <cell r="B4662" t="b">
            <v>1</v>
          </cell>
          <cell r="E4662" t="str">
            <v>Daniel Lemaitre</v>
          </cell>
          <cell r="H4662" t="str">
            <v>consulta_externa</v>
          </cell>
          <cell r="J4662" t="str">
            <v>bueno</v>
          </cell>
          <cell r="K4662" t="str">
            <v>defsi</v>
          </cell>
        </row>
        <row r="4663">
          <cell r="B4663" t="b">
            <v>1</v>
          </cell>
          <cell r="E4663" t="str">
            <v>Daniel Lemaitre</v>
          </cell>
          <cell r="H4663" t="str">
            <v>salud_oral</v>
          </cell>
          <cell r="J4663" t="str">
            <v>bueno</v>
          </cell>
          <cell r="K4663" t="str">
            <v>defsi</v>
          </cell>
        </row>
        <row r="4664">
          <cell r="B4664" t="b">
            <v>1</v>
          </cell>
          <cell r="E4664" t="str">
            <v>Daniel Lemaitre</v>
          </cell>
          <cell r="H4664" t="str">
            <v>laboratorio</v>
          </cell>
          <cell r="J4664" t="str">
            <v>bueno</v>
          </cell>
          <cell r="K4664" t="str">
            <v>defsi</v>
          </cell>
        </row>
        <row r="4665">
          <cell r="B4665" t="b">
            <v>1</v>
          </cell>
          <cell r="E4665" t="str">
            <v>Daniel Lemaitre</v>
          </cell>
          <cell r="H4665" t="str">
            <v>consulta_externa</v>
          </cell>
          <cell r="J4665" t="str">
            <v>bueno</v>
          </cell>
          <cell r="K4665" t="str">
            <v>defsi</v>
          </cell>
        </row>
        <row r="4666">
          <cell r="B4666" t="b">
            <v>1</v>
          </cell>
          <cell r="E4666" t="str">
            <v>Daniel Lemaitre</v>
          </cell>
          <cell r="H4666" t="str">
            <v>salud_oral</v>
          </cell>
          <cell r="J4666" t="str">
            <v>bueno</v>
          </cell>
          <cell r="K4666" t="str">
            <v>defsi</v>
          </cell>
        </row>
        <row r="4667">
          <cell r="B4667" t="b">
            <v>1</v>
          </cell>
          <cell r="E4667" t="str">
            <v>Daniel Lemaitre</v>
          </cell>
          <cell r="H4667" t="str">
            <v>laboratorio</v>
          </cell>
          <cell r="J4667" t="str">
            <v>bueno</v>
          </cell>
          <cell r="K4667" t="str">
            <v>defsi</v>
          </cell>
        </row>
        <row r="4668">
          <cell r="B4668" t="b">
            <v>1</v>
          </cell>
          <cell r="E4668" t="str">
            <v>Daniel Lemaitre</v>
          </cell>
          <cell r="H4668" t="str">
            <v>consulta_externa</v>
          </cell>
          <cell r="J4668" t="str">
            <v>bueno</v>
          </cell>
          <cell r="K4668" t="str">
            <v>defsi</v>
          </cell>
        </row>
        <row r="4669">
          <cell r="B4669" t="b">
            <v>1</v>
          </cell>
          <cell r="E4669" t="str">
            <v>Daniel Lemaitre</v>
          </cell>
          <cell r="H4669" t="str">
            <v>salud_oral</v>
          </cell>
          <cell r="J4669" t="str">
            <v>bueno</v>
          </cell>
          <cell r="K4669" t="str">
            <v>defsi</v>
          </cell>
        </row>
        <row r="4670">
          <cell r="B4670" t="b">
            <v>1</v>
          </cell>
          <cell r="E4670" t="str">
            <v>Daniel Lemaitre</v>
          </cell>
          <cell r="H4670" t="str">
            <v>salud_oral</v>
          </cell>
          <cell r="J4670" t="str">
            <v>bueno</v>
          </cell>
          <cell r="K4670" t="str">
            <v>defsi</v>
          </cell>
        </row>
        <row r="4671">
          <cell r="B4671" t="b">
            <v>1</v>
          </cell>
          <cell r="E4671" t="str">
            <v>Isla Fuerte</v>
          </cell>
          <cell r="H4671" t="str">
            <v>consulta_externa</v>
          </cell>
          <cell r="J4671" t="str">
            <v>bueno</v>
          </cell>
          <cell r="K4671" t="str">
            <v>defsi</v>
          </cell>
        </row>
        <row r="4672">
          <cell r="B4672" t="b">
            <v>1</v>
          </cell>
          <cell r="E4672" t="str">
            <v>Isla Fuerte</v>
          </cell>
          <cell r="H4672" t="str">
            <v>laboratorio</v>
          </cell>
          <cell r="J4672" t="str">
            <v>bueno</v>
          </cell>
          <cell r="K4672" t="str">
            <v>defsi</v>
          </cell>
        </row>
        <row r="4673">
          <cell r="B4673" t="b">
            <v>1</v>
          </cell>
          <cell r="E4673" t="str">
            <v>Isla Fuerte</v>
          </cell>
          <cell r="H4673" t="str">
            <v>laboratorio</v>
          </cell>
          <cell r="J4673" t="str">
            <v>bueno</v>
          </cell>
          <cell r="K4673" t="str">
            <v>defsi</v>
          </cell>
        </row>
        <row r="4674">
          <cell r="B4674" t="b">
            <v>1</v>
          </cell>
          <cell r="E4674" t="str">
            <v>Isla Fuerte</v>
          </cell>
          <cell r="H4674" t="str">
            <v>consulta_externa</v>
          </cell>
          <cell r="J4674" t="str">
            <v>bueno</v>
          </cell>
          <cell r="K4674" t="str">
            <v>defsi</v>
          </cell>
        </row>
        <row r="4675">
          <cell r="B4675" t="b">
            <v>0</v>
          </cell>
          <cell r="E4675" t="str">
            <v>Isla Fuerte</v>
          </cell>
          <cell r="H4675" t="str">
            <v>consulta_externa</v>
          </cell>
          <cell r="J4675" t="str">
            <v>regular</v>
          </cell>
          <cell r="K4675" t="str">
            <v>defsi</v>
          </cell>
        </row>
        <row r="4676">
          <cell r="B4676" t="b">
            <v>1</v>
          </cell>
          <cell r="E4676" t="str">
            <v>Isla Fuerte</v>
          </cell>
          <cell r="H4676" t="str">
            <v>salud_oral</v>
          </cell>
          <cell r="J4676" t="str">
            <v>bueno</v>
          </cell>
          <cell r="K4676" t="str">
            <v>defsi</v>
          </cell>
        </row>
        <row r="4677">
          <cell r="B4677" t="b">
            <v>1</v>
          </cell>
          <cell r="E4677" t="str">
            <v>Isla Fuerte</v>
          </cell>
          <cell r="H4677" t="str">
            <v>salud_oral</v>
          </cell>
          <cell r="J4677" t="str">
            <v>bueno</v>
          </cell>
          <cell r="K4677" t="str">
            <v>defsi</v>
          </cell>
        </row>
        <row r="4678">
          <cell r="B4678" t="b">
            <v>1</v>
          </cell>
          <cell r="E4678" t="str">
            <v>Isla Fuerte</v>
          </cell>
          <cell r="H4678" t="str">
            <v>salud_oral</v>
          </cell>
          <cell r="J4678" t="str">
            <v>bueno</v>
          </cell>
          <cell r="K4678" t="str">
            <v>defsi</v>
          </cell>
        </row>
        <row r="4679">
          <cell r="B4679" t="b">
            <v>1</v>
          </cell>
          <cell r="E4679" t="str">
            <v>Isla Fuerte</v>
          </cell>
          <cell r="H4679" t="str">
            <v>consulta_externa</v>
          </cell>
          <cell r="J4679" t="str">
            <v>bueno</v>
          </cell>
          <cell r="K4679" t="str">
            <v>defsi</v>
          </cell>
        </row>
        <row r="4680">
          <cell r="B4680" t="b">
            <v>1</v>
          </cell>
          <cell r="E4680" t="str">
            <v>Isla Fuerte</v>
          </cell>
          <cell r="H4680" t="str">
            <v>consulta_externa</v>
          </cell>
          <cell r="J4680" t="str">
            <v>bueno</v>
          </cell>
          <cell r="K4680" t="str">
            <v>defsi</v>
          </cell>
        </row>
        <row r="4681">
          <cell r="B4681" t="b">
            <v>1</v>
          </cell>
          <cell r="E4681" t="str">
            <v>Isla Fuerte</v>
          </cell>
          <cell r="H4681" t="str">
            <v>laboratorio</v>
          </cell>
          <cell r="J4681" t="str">
            <v>bueno</v>
          </cell>
          <cell r="K4681" t="str">
            <v>defsi</v>
          </cell>
        </row>
        <row r="4682">
          <cell r="B4682" t="b">
            <v>1</v>
          </cell>
          <cell r="E4682" t="str">
            <v>Isla Fuerte</v>
          </cell>
          <cell r="H4682" t="str">
            <v>consulta_externa</v>
          </cell>
          <cell r="J4682" t="str">
            <v>bueno</v>
          </cell>
          <cell r="K4682" t="str">
            <v>defsi</v>
          </cell>
        </row>
        <row r="4683">
          <cell r="B4683" t="b">
            <v>1</v>
          </cell>
          <cell r="E4683" t="str">
            <v>Isla Fuerte</v>
          </cell>
          <cell r="H4683" t="str">
            <v>consulta_externa</v>
          </cell>
          <cell r="J4683" t="str">
            <v>bueno</v>
          </cell>
          <cell r="K4683" t="str">
            <v>defsi</v>
          </cell>
        </row>
        <row r="4684">
          <cell r="B4684" t="b">
            <v>0</v>
          </cell>
          <cell r="E4684" t="str">
            <v>Isla Fuerte</v>
          </cell>
          <cell r="H4684" t="str">
            <v>consulta_externa</v>
          </cell>
          <cell r="J4684" t="str">
            <v>regular</v>
          </cell>
          <cell r="K4684" t="str">
            <v>defsi</v>
          </cell>
        </row>
        <row r="4685">
          <cell r="B4685" t="b">
            <v>1</v>
          </cell>
          <cell r="E4685" t="str">
            <v>Isla Fuerte</v>
          </cell>
          <cell r="H4685" t="str">
            <v>consulta_externa</v>
          </cell>
          <cell r="J4685" t="str">
            <v>bueno</v>
          </cell>
          <cell r="K4685" t="str">
            <v>defsi</v>
          </cell>
        </row>
        <row r="4686">
          <cell r="B4686" t="b">
            <v>0</v>
          </cell>
          <cell r="E4686" t="str">
            <v>Isla Fuerte</v>
          </cell>
          <cell r="H4686" t="str">
            <v>consulta_externa</v>
          </cell>
          <cell r="J4686" t="str">
            <v>regular</v>
          </cell>
          <cell r="K4686" t="str">
            <v>defsi</v>
          </cell>
        </row>
        <row r="4687">
          <cell r="B4687" t="b">
            <v>1</v>
          </cell>
          <cell r="E4687" t="str">
            <v>Isla Fuerte</v>
          </cell>
          <cell r="H4687" t="str">
            <v>laboratorio</v>
          </cell>
          <cell r="J4687" t="str">
            <v>bueno</v>
          </cell>
          <cell r="K4687" t="str">
            <v>defsi</v>
          </cell>
        </row>
        <row r="4688">
          <cell r="B4688" t="b">
            <v>1</v>
          </cell>
          <cell r="E4688" t="str">
            <v>Isla Fuerte</v>
          </cell>
          <cell r="H4688" t="str">
            <v>salud_oral</v>
          </cell>
          <cell r="J4688" t="str">
            <v>bueno</v>
          </cell>
          <cell r="K4688" t="str">
            <v>defsi</v>
          </cell>
        </row>
        <row r="4689">
          <cell r="B4689" t="b">
            <v>1</v>
          </cell>
          <cell r="E4689" t="str">
            <v>Foco Rojo</v>
          </cell>
          <cell r="H4689" t="str">
            <v>consulta_externa</v>
          </cell>
          <cell r="J4689" t="str">
            <v>bueno</v>
          </cell>
          <cell r="K4689" t="str">
            <v>defsi</v>
          </cell>
        </row>
        <row r="4690">
          <cell r="B4690" t="b">
            <v>1</v>
          </cell>
          <cell r="E4690" t="str">
            <v>Foco Rojo</v>
          </cell>
          <cell r="H4690" t="str">
            <v>laboratorio</v>
          </cell>
          <cell r="J4690" t="str">
            <v>bueno</v>
          </cell>
          <cell r="K4690" t="str">
            <v>defsi</v>
          </cell>
        </row>
        <row r="4691">
          <cell r="B4691" t="b">
            <v>1</v>
          </cell>
          <cell r="E4691" t="str">
            <v>Foco Rojo</v>
          </cell>
          <cell r="H4691" t="str">
            <v>consulta_externa</v>
          </cell>
          <cell r="J4691" t="str">
            <v>bueno</v>
          </cell>
          <cell r="K4691" t="str">
            <v>defsi</v>
          </cell>
        </row>
        <row r="4692">
          <cell r="B4692" t="b">
            <v>1</v>
          </cell>
          <cell r="E4692" t="str">
            <v>Foco Rojo</v>
          </cell>
          <cell r="H4692" t="str">
            <v>consulta_externa</v>
          </cell>
          <cell r="J4692" t="str">
            <v>bueno</v>
          </cell>
          <cell r="K4692" t="str">
            <v>defsi</v>
          </cell>
        </row>
        <row r="4693">
          <cell r="B4693" t="b">
            <v>1</v>
          </cell>
          <cell r="E4693" t="str">
            <v>Foco Rojo</v>
          </cell>
          <cell r="H4693" t="str">
            <v>laboratorio</v>
          </cell>
          <cell r="J4693" t="str">
            <v>bueno</v>
          </cell>
          <cell r="K4693" t="str">
            <v>defsi</v>
          </cell>
        </row>
        <row r="4694">
          <cell r="B4694" t="b">
            <v>1</v>
          </cell>
          <cell r="E4694" t="str">
            <v>Foco Rojo</v>
          </cell>
          <cell r="H4694" t="str">
            <v>salud_oral</v>
          </cell>
          <cell r="J4694" t="str">
            <v>bueno</v>
          </cell>
          <cell r="K4694" t="str">
            <v>defsi</v>
          </cell>
        </row>
        <row r="4695">
          <cell r="B4695" t="b">
            <v>1</v>
          </cell>
          <cell r="E4695" t="str">
            <v>Foco Rojo</v>
          </cell>
          <cell r="H4695" t="str">
            <v>consulta_externa</v>
          </cell>
          <cell r="J4695" t="str">
            <v>bueno</v>
          </cell>
          <cell r="K4695" t="str">
            <v>defsi</v>
          </cell>
        </row>
        <row r="4696">
          <cell r="B4696" t="b">
            <v>1</v>
          </cell>
          <cell r="E4696" t="str">
            <v>Foco Rojo</v>
          </cell>
          <cell r="H4696" t="str">
            <v>consulta_externa</v>
          </cell>
          <cell r="J4696" t="str">
            <v>bueno</v>
          </cell>
          <cell r="K4696" t="str">
            <v>defsi</v>
          </cell>
        </row>
        <row r="4697">
          <cell r="B4697" t="b">
            <v>1</v>
          </cell>
          <cell r="E4697" t="str">
            <v>Foco Rojo</v>
          </cell>
          <cell r="H4697" t="str">
            <v>salud_oral</v>
          </cell>
          <cell r="J4697" t="str">
            <v>bueno</v>
          </cell>
          <cell r="K4697" t="str">
            <v>defsi</v>
          </cell>
        </row>
        <row r="4698">
          <cell r="B4698" t="b">
            <v>1</v>
          </cell>
          <cell r="E4698" t="str">
            <v>Foco Rojo</v>
          </cell>
          <cell r="H4698" t="str">
            <v>consulta_externa</v>
          </cell>
          <cell r="J4698" t="str">
            <v>bueno</v>
          </cell>
          <cell r="K4698" t="str">
            <v>defsi</v>
          </cell>
        </row>
        <row r="4699">
          <cell r="B4699" t="b">
            <v>1</v>
          </cell>
          <cell r="E4699" t="str">
            <v>Foco Rojo</v>
          </cell>
          <cell r="H4699" t="str">
            <v>consulta_externa</v>
          </cell>
          <cell r="J4699" t="str">
            <v>bueno</v>
          </cell>
          <cell r="K4699" t="str">
            <v>defsi</v>
          </cell>
        </row>
        <row r="4700">
          <cell r="B4700" t="b">
            <v>1</v>
          </cell>
          <cell r="E4700" t="str">
            <v>Foco Rojo</v>
          </cell>
          <cell r="H4700" t="str">
            <v>consulta_externa</v>
          </cell>
          <cell r="J4700" t="str">
            <v>bueno</v>
          </cell>
          <cell r="K4700" t="str">
            <v>defsi</v>
          </cell>
        </row>
        <row r="4701">
          <cell r="B4701" t="b">
            <v>1</v>
          </cell>
          <cell r="E4701" t="str">
            <v>Esperanza</v>
          </cell>
          <cell r="H4701" t="str">
            <v>consulta_externa</v>
          </cell>
          <cell r="J4701" t="str">
            <v>bueno</v>
          </cell>
          <cell r="K4701" t="str">
            <v>defsi</v>
          </cell>
        </row>
        <row r="4702">
          <cell r="B4702" t="b">
            <v>1</v>
          </cell>
          <cell r="E4702" t="str">
            <v>Esperanza</v>
          </cell>
          <cell r="H4702" t="str">
            <v>salud_oral</v>
          </cell>
          <cell r="J4702" t="str">
            <v>bueno</v>
          </cell>
          <cell r="K4702" t="str">
            <v>defsi</v>
          </cell>
        </row>
        <row r="4703">
          <cell r="B4703" t="b">
            <v>1</v>
          </cell>
          <cell r="E4703" t="str">
            <v>Esperanza</v>
          </cell>
          <cell r="H4703" t="str">
            <v>laboratorio</v>
          </cell>
          <cell r="J4703" t="str">
            <v>bueno</v>
          </cell>
          <cell r="K4703" t="str">
            <v>defsi</v>
          </cell>
        </row>
        <row r="4704">
          <cell r="B4704" t="b">
            <v>1</v>
          </cell>
          <cell r="E4704" t="str">
            <v>Esperanza</v>
          </cell>
          <cell r="H4704" t="str">
            <v>urgencia</v>
          </cell>
          <cell r="J4704" t="str">
            <v>bueno</v>
          </cell>
          <cell r="K4704" t="str">
            <v>defsi</v>
          </cell>
        </row>
        <row r="4705">
          <cell r="B4705" t="b">
            <v>1</v>
          </cell>
          <cell r="E4705" t="str">
            <v>Esperanza</v>
          </cell>
          <cell r="H4705" t="str">
            <v>electros</v>
          </cell>
          <cell r="J4705" t="str">
            <v>bueno</v>
          </cell>
          <cell r="K4705" t="str">
            <v>defsi</v>
          </cell>
        </row>
        <row r="4706">
          <cell r="B4706" t="b">
            <v>1</v>
          </cell>
          <cell r="E4706" t="str">
            <v>Esperanza</v>
          </cell>
          <cell r="H4706" t="str">
            <v>consulta_externa</v>
          </cell>
          <cell r="J4706" t="str">
            <v>bueno</v>
          </cell>
          <cell r="K4706" t="str">
            <v>defsi</v>
          </cell>
        </row>
        <row r="4707">
          <cell r="B4707" t="b">
            <v>1</v>
          </cell>
          <cell r="E4707" t="str">
            <v>Esperanza</v>
          </cell>
          <cell r="H4707" t="str">
            <v>salud_oral</v>
          </cell>
          <cell r="J4707" t="str">
            <v>bueno</v>
          </cell>
          <cell r="K4707" t="str">
            <v>defsi</v>
          </cell>
        </row>
        <row r="4708">
          <cell r="B4708" t="b">
            <v>1</v>
          </cell>
          <cell r="E4708" t="str">
            <v>Esperanza</v>
          </cell>
          <cell r="H4708" t="str">
            <v>laboratorio</v>
          </cell>
          <cell r="J4708" t="str">
            <v>bueno</v>
          </cell>
          <cell r="K4708" t="str">
            <v>defsi</v>
          </cell>
        </row>
        <row r="4709">
          <cell r="B4709" t="b">
            <v>1</v>
          </cell>
          <cell r="E4709" t="str">
            <v>Esperanza</v>
          </cell>
          <cell r="H4709" t="str">
            <v>urgencia</v>
          </cell>
          <cell r="J4709" t="str">
            <v>bueno</v>
          </cell>
          <cell r="K4709" t="str">
            <v>defsi</v>
          </cell>
        </row>
        <row r="4710">
          <cell r="B4710" t="b">
            <v>1</v>
          </cell>
          <cell r="E4710" t="str">
            <v>Esperanza</v>
          </cell>
          <cell r="H4710" t="str">
            <v>electros</v>
          </cell>
          <cell r="J4710" t="str">
            <v>bueno</v>
          </cell>
          <cell r="K4710" t="str">
            <v>defsi</v>
          </cell>
        </row>
        <row r="4711">
          <cell r="B4711" t="b">
            <v>1</v>
          </cell>
          <cell r="E4711" t="str">
            <v>Esperanza</v>
          </cell>
          <cell r="H4711" t="str">
            <v>consulta_externa</v>
          </cell>
          <cell r="J4711" t="str">
            <v>bueno</v>
          </cell>
          <cell r="K4711" t="str">
            <v>defsi</v>
          </cell>
        </row>
        <row r="4712">
          <cell r="B4712" t="b">
            <v>1</v>
          </cell>
          <cell r="E4712" t="str">
            <v>Esperanza</v>
          </cell>
          <cell r="H4712" t="str">
            <v>salud_oral</v>
          </cell>
          <cell r="J4712" t="str">
            <v>bueno</v>
          </cell>
          <cell r="K4712" t="str">
            <v>defsi</v>
          </cell>
        </row>
        <row r="4713">
          <cell r="B4713" t="b">
            <v>1</v>
          </cell>
          <cell r="E4713" t="str">
            <v>Esperanza</v>
          </cell>
          <cell r="H4713" t="str">
            <v>consulta_externa</v>
          </cell>
          <cell r="J4713" t="str">
            <v>bueno</v>
          </cell>
          <cell r="K4713" t="str">
            <v>defsi</v>
          </cell>
        </row>
        <row r="4714">
          <cell r="B4714" t="b">
            <v>1</v>
          </cell>
          <cell r="E4714" t="str">
            <v>Esperanza</v>
          </cell>
          <cell r="H4714" t="str">
            <v>urgencia</v>
          </cell>
          <cell r="J4714" t="str">
            <v>bueno</v>
          </cell>
          <cell r="K4714" t="str">
            <v>defsi</v>
          </cell>
        </row>
        <row r="4715">
          <cell r="B4715" t="b">
            <v>1</v>
          </cell>
          <cell r="E4715" t="str">
            <v>Esperanza</v>
          </cell>
          <cell r="H4715" t="str">
            <v>electros</v>
          </cell>
          <cell r="J4715" t="str">
            <v>bueno</v>
          </cell>
          <cell r="K4715" t="str">
            <v>defsi</v>
          </cell>
        </row>
        <row r="4716">
          <cell r="B4716" t="b">
            <v>1</v>
          </cell>
          <cell r="E4716" t="str">
            <v>Foco Rojo</v>
          </cell>
          <cell r="H4716" t="str">
            <v>salud_oral</v>
          </cell>
          <cell r="J4716" t="str">
            <v>bueno</v>
          </cell>
          <cell r="K4716" t="str">
            <v>defsi</v>
          </cell>
        </row>
        <row r="4717">
          <cell r="B4717" t="b">
            <v>1</v>
          </cell>
          <cell r="E4717" t="str">
            <v>Esperanza</v>
          </cell>
          <cell r="H4717" t="str">
            <v>consulta_externa</v>
          </cell>
          <cell r="J4717" t="str">
            <v>bueno</v>
          </cell>
          <cell r="K4717" t="str">
            <v>defsi</v>
          </cell>
        </row>
        <row r="4718">
          <cell r="B4718" t="b">
            <v>1</v>
          </cell>
          <cell r="E4718" t="str">
            <v>Esperanza</v>
          </cell>
          <cell r="H4718" t="str">
            <v>salud_oral</v>
          </cell>
          <cell r="J4718" t="str">
            <v>bueno</v>
          </cell>
          <cell r="K4718" t="str">
            <v>defsi</v>
          </cell>
        </row>
        <row r="4719">
          <cell r="B4719" t="b">
            <v>1</v>
          </cell>
          <cell r="E4719" t="str">
            <v>Esperanza</v>
          </cell>
          <cell r="H4719" t="str">
            <v>laboratorio</v>
          </cell>
          <cell r="J4719" t="str">
            <v>bueno</v>
          </cell>
          <cell r="K4719" t="str">
            <v>defsi</v>
          </cell>
        </row>
        <row r="4720">
          <cell r="B4720" t="b">
            <v>1</v>
          </cell>
          <cell r="E4720" t="str">
            <v>Esperanza</v>
          </cell>
          <cell r="H4720" t="str">
            <v>urgencia</v>
          </cell>
          <cell r="J4720" t="str">
            <v>bueno</v>
          </cell>
          <cell r="K4720" t="str">
            <v>defsi</v>
          </cell>
        </row>
        <row r="4721">
          <cell r="B4721" t="b">
            <v>1</v>
          </cell>
          <cell r="E4721" t="str">
            <v>Esperanza</v>
          </cell>
          <cell r="H4721" t="str">
            <v>electros</v>
          </cell>
          <cell r="J4721" t="str">
            <v>bueno</v>
          </cell>
          <cell r="K4721" t="str">
            <v>defsi</v>
          </cell>
        </row>
        <row r="4722">
          <cell r="B4722" t="b">
            <v>1</v>
          </cell>
          <cell r="E4722" t="str">
            <v>Foco Rojo</v>
          </cell>
          <cell r="H4722" t="str">
            <v>consulta_externa</v>
          </cell>
          <cell r="J4722" t="str">
            <v>bueno</v>
          </cell>
          <cell r="K4722" t="str">
            <v>defsi</v>
          </cell>
        </row>
        <row r="4723">
          <cell r="B4723" t="b">
            <v>1</v>
          </cell>
          <cell r="E4723" t="str">
            <v>Foco Rojo</v>
          </cell>
          <cell r="H4723" t="str">
            <v>consulta_externa</v>
          </cell>
          <cell r="J4723" t="str">
            <v>bueno</v>
          </cell>
          <cell r="K4723" t="str">
            <v>defsi</v>
          </cell>
        </row>
        <row r="4724">
          <cell r="B4724" t="b">
            <v>1</v>
          </cell>
          <cell r="E4724" t="str">
            <v>Foco Rojo</v>
          </cell>
          <cell r="H4724" t="str">
            <v>salud_oral</v>
          </cell>
          <cell r="J4724" t="str">
            <v>bueno</v>
          </cell>
          <cell r="K4724" t="str">
            <v>defsi</v>
          </cell>
        </row>
        <row r="4725">
          <cell r="B4725" t="b">
            <v>1</v>
          </cell>
          <cell r="E4725" t="str">
            <v>Gaviotas</v>
          </cell>
          <cell r="H4725" t="str">
            <v>laboratorio</v>
          </cell>
          <cell r="J4725" t="str">
            <v>bueno</v>
          </cell>
          <cell r="K4725" t="str">
            <v>probsi</v>
          </cell>
        </row>
        <row r="4726">
          <cell r="B4726" t="b">
            <v>1</v>
          </cell>
          <cell r="E4726" t="str">
            <v>Gaviotas</v>
          </cell>
          <cell r="H4726" t="str">
            <v>laboratorio</v>
          </cell>
          <cell r="J4726" t="str">
            <v>bueno</v>
          </cell>
          <cell r="K4726" t="str">
            <v>probsi</v>
          </cell>
        </row>
        <row r="4727">
          <cell r="B4727" t="b">
            <v>1</v>
          </cell>
          <cell r="E4727" t="str">
            <v>Gaviotas</v>
          </cell>
          <cell r="H4727" t="str">
            <v>laboratorio</v>
          </cell>
          <cell r="J4727" t="str">
            <v>bueno</v>
          </cell>
          <cell r="K4727" t="str">
            <v>probsi</v>
          </cell>
        </row>
        <row r="4728">
          <cell r="B4728" t="b">
            <v>1</v>
          </cell>
          <cell r="E4728" t="str">
            <v>Gaviotas</v>
          </cell>
          <cell r="H4728" t="str">
            <v>laboratorio</v>
          </cell>
          <cell r="J4728" t="str">
            <v>bueno</v>
          </cell>
          <cell r="K4728" t="str">
            <v>probsi</v>
          </cell>
        </row>
        <row r="4729">
          <cell r="B4729" t="b">
            <v>1</v>
          </cell>
          <cell r="E4729" t="str">
            <v>Gaviotas</v>
          </cell>
          <cell r="H4729" t="str">
            <v>laboratorio</v>
          </cell>
          <cell r="J4729" t="str">
            <v>bueno</v>
          </cell>
          <cell r="K4729" t="str">
            <v>probsi</v>
          </cell>
        </row>
        <row r="4730">
          <cell r="B4730" t="b">
            <v>1</v>
          </cell>
          <cell r="E4730" t="str">
            <v>Gaviotas</v>
          </cell>
          <cell r="H4730" t="str">
            <v>laboratorio</v>
          </cell>
          <cell r="J4730" t="str">
            <v>bueno</v>
          </cell>
          <cell r="K4730" t="str">
            <v>probsi</v>
          </cell>
        </row>
        <row r="4731">
          <cell r="B4731" t="b">
            <v>1</v>
          </cell>
          <cell r="E4731" t="str">
            <v>Gaviotas</v>
          </cell>
          <cell r="H4731" t="str">
            <v>laboratorio</v>
          </cell>
          <cell r="J4731" t="str">
            <v>bueno</v>
          </cell>
          <cell r="K4731" t="str">
            <v>probsi</v>
          </cell>
        </row>
        <row r="4732">
          <cell r="B4732" t="b">
            <v>1</v>
          </cell>
          <cell r="E4732" t="str">
            <v>Gaviotas</v>
          </cell>
          <cell r="H4732" t="str">
            <v>consulta_externa</v>
          </cell>
          <cell r="J4732" t="str">
            <v>bueno</v>
          </cell>
          <cell r="K4732" t="str">
            <v>probsi</v>
          </cell>
        </row>
        <row r="4733">
          <cell r="B4733" t="b">
            <v>1</v>
          </cell>
          <cell r="E4733" t="str">
            <v>Gaviotas</v>
          </cell>
          <cell r="H4733" t="str">
            <v>consulta_externa</v>
          </cell>
          <cell r="J4733" t="str">
            <v>bueno</v>
          </cell>
          <cell r="K4733" t="str">
            <v>probsi</v>
          </cell>
        </row>
        <row r="4734">
          <cell r="B4734" t="b">
            <v>1</v>
          </cell>
          <cell r="E4734" t="str">
            <v>Gaviotas</v>
          </cell>
          <cell r="H4734" t="str">
            <v>laboratorio</v>
          </cell>
          <cell r="J4734" t="str">
            <v>bueno</v>
          </cell>
          <cell r="K4734" t="str">
            <v>probsi</v>
          </cell>
        </row>
        <row r="4735">
          <cell r="B4735" t="b">
            <v>1</v>
          </cell>
          <cell r="E4735" t="str">
            <v>Gaviotas</v>
          </cell>
          <cell r="H4735" t="str">
            <v>consulta_externa</v>
          </cell>
          <cell r="J4735" t="str">
            <v>bueno</v>
          </cell>
          <cell r="K4735" t="str">
            <v>probsi</v>
          </cell>
        </row>
        <row r="4736">
          <cell r="B4736" t="b">
            <v>1</v>
          </cell>
          <cell r="E4736" t="str">
            <v>Gaviotas</v>
          </cell>
          <cell r="H4736" t="str">
            <v>salud_oral</v>
          </cell>
          <cell r="J4736" t="str">
            <v>bueno</v>
          </cell>
          <cell r="K4736" t="str">
            <v>probsi</v>
          </cell>
        </row>
        <row r="4737">
          <cell r="B4737" t="b">
            <v>1</v>
          </cell>
          <cell r="E4737" t="str">
            <v>Gaviotas</v>
          </cell>
          <cell r="H4737" t="str">
            <v>laboratorio</v>
          </cell>
          <cell r="J4737" t="str">
            <v>bueno</v>
          </cell>
          <cell r="K4737" t="str">
            <v>probsi</v>
          </cell>
        </row>
        <row r="4738">
          <cell r="B4738" t="b">
            <v>1</v>
          </cell>
          <cell r="E4738" t="str">
            <v>Gaviotas</v>
          </cell>
          <cell r="H4738" t="str">
            <v>consulta_externa</v>
          </cell>
          <cell r="J4738" t="str">
            <v>bueno</v>
          </cell>
          <cell r="K4738" t="str">
            <v>probsi</v>
          </cell>
        </row>
        <row r="4739">
          <cell r="B4739" t="b">
            <v>1</v>
          </cell>
          <cell r="E4739" t="str">
            <v>Gaviotas</v>
          </cell>
          <cell r="H4739" t="str">
            <v>laboratorio</v>
          </cell>
          <cell r="J4739" t="str">
            <v>bueno</v>
          </cell>
          <cell r="K4739" t="str">
            <v>probsi</v>
          </cell>
        </row>
        <row r="4740">
          <cell r="B4740" t="b">
            <v>1</v>
          </cell>
          <cell r="E4740" t="str">
            <v>Gaviotas</v>
          </cell>
          <cell r="H4740" t="str">
            <v>consulta_externa</v>
          </cell>
          <cell r="J4740" t="str">
            <v>bueno</v>
          </cell>
          <cell r="K4740" t="str">
            <v>probsi</v>
          </cell>
        </row>
        <row r="4741">
          <cell r="B4741" t="b">
            <v>1</v>
          </cell>
          <cell r="E4741" t="str">
            <v>Gaviotas</v>
          </cell>
          <cell r="H4741" t="str">
            <v>salud_oral</v>
          </cell>
          <cell r="J4741" t="str">
            <v>bueno</v>
          </cell>
          <cell r="K4741" t="str">
            <v>probsi</v>
          </cell>
        </row>
        <row r="4742">
          <cell r="B4742" t="b">
            <v>1</v>
          </cell>
          <cell r="E4742" t="str">
            <v>Gaviotas</v>
          </cell>
          <cell r="H4742" t="str">
            <v>consulta_externa</v>
          </cell>
          <cell r="J4742" t="str">
            <v>bueno</v>
          </cell>
          <cell r="K4742" t="str">
            <v>probsi</v>
          </cell>
        </row>
        <row r="4743">
          <cell r="B4743" t="b">
            <v>1</v>
          </cell>
          <cell r="E4743" t="str">
            <v>Gaviotas</v>
          </cell>
          <cell r="H4743" t="str">
            <v>consulta_externa</v>
          </cell>
          <cell r="J4743" t="str">
            <v>bueno</v>
          </cell>
          <cell r="K4743" t="str">
            <v>probsi</v>
          </cell>
        </row>
        <row r="4744">
          <cell r="B4744" t="b">
            <v>1</v>
          </cell>
          <cell r="E4744" t="str">
            <v>Foco Rojo</v>
          </cell>
          <cell r="H4744" t="str">
            <v>salud_oral</v>
          </cell>
          <cell r="J4744" t="str">
            <v>bueno</v>
          </cell>
          <cell r="K4744" t="str">
            <v>defsi</v>
          </cell>
        </row>
        <row r="4745">
          <cell r="B4745" t="b">
            <v>1</v>
          </cell>
          <cell r="E4745" t="str">
            <v>Gaviotas</v>
          </cell>
          <cell r="H4745" t="str">
            <v>salud_oral</v>
          </cell>
          <cell r="J4745" t="str">
            <v>bueno</v>
          </cell>
          <cell r="K4745" t="str">
            <v>probsi</v>
          </cell>
        </row>
        <row r="4746">
          <cell r="B4746" t="b">
            <v>1</v>
          </cell>
          <cell r="E4746" t="str">
            <v>Gaviotas</v>
          </cell>
          <cell r="H4746" t="str">
            <v>laboratorio</v>
          </cell>
          <cell r="J4746" t="str">
            <v>bueno</v>
          </cell>
          <cell r="K4746" t="str">
            <v>probsi</v>
          </cell>
        </row>
        <row r="4747">
          <cell r="B4747" t="b">
            <v>1</v>
          </cell>
          <cell r="E4747" t="str">
            <v>Gaviotas</v>
          </cell>
          <cell r="H4747" t="str">
            <v>laboratorio</v>
          </cell>
          <cell r="J4747" t="str">
            <v>bueno</v>
          </cell>
          <cell r="K4747" t="str">
            <v>probsi</v>
          </cell>
        </row>
        <row r="4748">
          <cell r="B4748" t="b">
            <v>1</v>
          </cell>
          <cell r="E4748" t="str">
            <v>Foco Rojo</v>
          </cell>
          <cell r="H4748" t="str">
            <v>salud_oral</v>
          </cell>
          <cell r="J4748" t="str">
            <v>bueno</v>
          </cell>
          <cell r="K4748" t="str">
            <v>defsi</v>
          </cell>
        </row>
        <row r="4749">
          <cell r="B4749" t="b">
            <v>1</v>
          </cell>
          <cell r="E4749" t="str">
            <v>Foco Rojo</v>
          </cell>
          <cell r="H4749" t="str">
            <v>salud_oral</v>
          </cell>
          <cell r="J4749" t="str">
            <v>bueno</v>
          </cell>
          <cell r="K4749" t="str">
            <v>defsi</v>
          </cell>
        </row>
        <row r="4750">
          <cell r="B4750" t="b">
            <v>1</v>
          </cell>
          <cell r="E4750" t="str">
            <v>Gaviotas</v>
          </cell>
          <cell r="H4750" t="str">
            <v>consulta_externa</v>
          </cell>
          <cell r="J4750" t="str">
            <v>bueno</v>
          </cell>
          <cell r="K4750" t="str">
            <v>probsi</v>
          </cell>
        </row>
        <row r="4751">
          <cell r="B4751" t="b">
            <v>1</v>
          </cell>
          <cell r="E4751" t="str">
            <v>Gaviotas</v>
          </cell>
          <cell r="H4751" t="str">
            <v>salud_oral</v>
          </cell>
          <cell r="J4751" t="str">
            <v>bueno</v>
          </cell>
          <cell r="K4751" t="str">
            <v>probsi</v>
          </cell>
        </row>
        <row r="4752">
          <cell r="B4752" t="b">
            <v>1</v>
          </cell>
          <cell r="E4752" t="str">
            <v>Gaviotas</v>
          </cell>
          <cell r="H4752" t="str">
            <v>salud_oral</v>
          </cell>
          <cell r="J4752" t="str">
            <v>bueno</v>
          </cell>
          <cell r="K4752" t="str">
            <v>probsi</v>
          </cell>
        </row>
        <row r="4753">
          <cell r="B4753" t="b">
            <v>1</v>
          </cell>
          <cell r="E4753" t="str">
            <v>San Vicente de Paul</v>
          </cell>
          <cell r="H4753" t="str">
            <v>consulta_externa</v>
          </cell>
          <cell r="J4753" t="str">
            <v>bueno</v>
          </cell>
          <cell r="K4753" t="str">
            <v>probsi</v>
          </cell>
        </row>
        <row r="4754">
          <cell r="B4754" t="b">
            <v>1</v>
          </cell>
          <cell r="E4754" t="str">
            <v>San Vicente de Paul</v>
          </cell>
          <cell r="H4754" t="str">
            <v>consulta_externa</v>
          </cell>
          <cell r="J4754" t="str">
            <v>bueno</v>
          </cell>
          <cell r="K4754" t="str">
            <v>probsi</v>
          </cell>
        </row>
        <row r="4755">
          <cell r="B4755" t="b">
            <v>1</v>
          </cell>
          <cell r="E4755" t="str">
            <v>San Vicente de Paul</v>
          </cell>
          <cell r="H4755" t="str">
            <v>consulta_externa</v>
          </cell>
          <cell r="J4755" t="str">
            <v>bueno</v>
          </cell>
          <cell r="K4755" t="str">
            <v>probsi</v>
          </cell>
        </row>
        <row r="4756">
          <cell r="B4756" t="b">
            <v>1</v>
          </cell>
          <cell r="E4756" t="str">
            <v>San Vicente de Paul</v>
          </cell>
          <cell r="H4756" t="str">
            <v>laboratorio</v>
          </cell>
          <cell r="J4756" t="str">
            <v>bueno</v>
          </cell>
          <cell r="K4756" t="str">
            <v>probsi</v>
          </cell>
        </row>
        <row r="4757">
          <cell r="B4757" t="b">
            <v>1</v>
          </cell>
          <cell r="E4757" t="str">
            <v>San Vicente de Paul</v>
          </cell>
          <cell r="H4757" t="str">
            <v>laboratorio</v>
          </cell>
          <cell r="J4757" t="str">
            <v>bueno</v>
          </cell>
          <cell r="K4757" t="str">
            <v>probsi</v>
          </cell>
        </row>
        <row r="4758">
          <cell r="B4758" t="b">
            <v>1</v>
          </cell>
          <cell r="E4758" t="str">
            <v>San Vicente de Paul</v>
          </cell>
          <cell r="H4758" t="str">
            <v>laboratorio</v>
          </cell>
          <cell r="J4758" t="str">
            <v>bueno</v>
          </cell>
          <cell r="K4758" t="str">
            <v>probsi</v>
          </cell>
        </row>
        <row r="4759">
          <cell r="B4759" t="b">
            <v>1</v>
          </cell>
          <cell r="E4759" t="str">
            <v>San Vicente de Paul</v>
          </cell>
          <cell r="H4759" t="str">
            <v>laboratorio</v>
          </cell>
          <cell r="J4759" t="str">
            <v>bueno</v>
          </cell>
          <cell r="K4759" t="str">
            <v>probsi</v>
          </cell>
        </row>
        <row r="4760">
          <cell r="B4760" t="b">
            <v>1</v>
          </cell>
          <cell r="E4760" t="str">
            <v>San Vicente de Paul</v>
          </cell>
          <cell r="H4760" t="str">
            <v>laboratorio</v>
          </cell>
          <cell r="J4760" t="str">
            <v>bueno</v>
          </cell>
          <cell r="K4760" t="str">
            <v>probsi</v>
          </cell>
        </row>
        <row r="4761">
          <cell r="B4761" t="b">
            <v>1</v>
          </cell>
          <cell r="E4761" t="str">
            <v>San Vicente de Paul</v>
          </cell>
          <cell r="H4761" t="str">
            <v>laboratorio</v>
          </cell>
          <cell r="J4761" t="str">
            <v>bueno</v>
          </cell>
          <cell r="K4761" t="str">
            <v>probsi</v>
          </cell>
        </row>
        <row r="4762">
          <cell r="B4762" t="b">
            <v>1</v>
          </cell>
          <cell r="E4762" t="str">
            <v>San Vicente de Paul</v>
          </cell>
          <cell r="H4762" t="str">
            <v>laboratorio</v>
          </cell>
          <cell r="J4762" t="str">
            <v>bueno</v>
          </cell>
          <cell r="K4762" t="str">
            <v>probsi</v>
          </cell>
        </row>
        <row r="4763">
          <cell r="B4763" t="b">
            <v>1</v>
          </cell>
          <cell r="E4763" t="str">
            <v>San Vicente de Paul</v>
          </cell>
          <cell r="H4763" t="str">
            <v>laboratorio</v>
          </cell>
          <cell r="J4763" t="str">
            <v>bueno</v>
          </cell>
          <cell r="K4763" t="str">
            <v>probsi</v>
          </cell>
        </row>
        <row r="4764">
          <cell r="B4764" t="b">
            <v>1</v>
          </cell>
          <cell r="E4764" t="str">
            <v>San Vicente de Paul</v>
          </cell>
          <cell r="H4764" t="str">
            <v>laboratorio</v>
          </cell>
          <cell r="J4764" t="str">
            <v>bueno</v>
          </cell>
          <cell r="K4764" t="str">
            <v>probsi</v>
          </cell>
        </row>
        <row r="4765">
          <cell r="B4765" t="b">
            <v>1</v>
          </cell>
          <cell r="E4765" t="str">
            <v>Gaviotas</v>
          </cell>
          <cell r="H4765" t="str">
            <v>salud_oral</v>
          </cell>
          <cell r="J4765" t="str">
            <v>bueno</v>
          </cell>
          <cell r="K4765" t="str">
            <v>probsi</v>
          </cell>
        </row>
        <row r="4766">
          <cell r="B4766" t="b">
            <v>1</v>
          </cell>
          <cell r="E4766" t="str">
            <v>Gaviotas</v>
          </cell>
          <cell r="H4766" t="str">
            <v>salud_oral</v>
          </cell>
          <cell r="J4766" t="str">
            <v>bueno</v>
          </cell>
          <cell r="K4766" t="str">
            <v>probsi</v>
          </cell>
        </row>
        <row r="4767">
          <cell r="B4767" t="b">
            <v>1</v>
          </cell>
          <cell r="E4767" t="str">
            <v>Nuevo Porvenir</v>
          </cell>
          <cell r="H4767" t="str">
            <v>salud_oral</v>
          </cell>
          <cell r="J4767" t="str">
            <v>bueno</v>
          </cell>
          <cell r="K4767" t="str">
            <v>probsi</v>
          </cell>
        </row>
        <row r="4768">
          <cell r="B4768" t="b">
            <v>1</v>
          </cell>
          <cell r="E4768" t="str">
            <v>Foco Rojo</v>
          </cell>
          <cell r="H4768" t="str">
            <v>laboratorio</v>
          </cell>
          <cell r="J4768" t="str">
            <v>bueno</v>
          </cell>
          <cell r="K4768" t="str">
            <v>defsi</v>
          </cell>
        </row>
        <row r="4769">
          <cell r="B4769" t="b">
            <v>1</v>
          </cell>
          <cell r="E4769" t="str">
            <v>Foco Rojo</v>
          </cell>
          <cell r="H4769" t="str">
            <v>laboratorio</v>
          </cell>
          <cell r="J4769" t="str">
            <v>bueno</v>
          </cell>
          <cell r="K4769" t="str">
            <v>defsi</v>
          </cell>
        </row>
        <row r="4770">
          <cell r="B4770" t="b">
            <v>1</v>
          </cell>
          <cell r="E4770" t="str">
            <v>Foco Rojo</v>
          </cell>
          <cell r="H4770" t="str">
            <v>laboratorio</v>
          </cell>
          <cell r="J4770" t="str">
            <v>bueno</v>
          </cell>
          <cell r="K4770" t="str">
            <v>probsi</v>
          </cell>
        </row>
        <row r="4771">
          <cell r="B4771" t="b">
            <v>1</v>
          </cell>
          <cell r="E4771" t="str">
            <v>Baru</v>
          </cell>
          <cell r="H4771" t="str">
            <v>salud_oral</v>
          </cell>
          <cell r="J4771" t="str">
            <v>bueno</v>
          </cell>
          <cell r="K4771" t="str">
            <v>probsi</v>
          </cell>
        </row>
        <row r="4772">
          <cell r="B4772" t="b">
            <v>1</v>
          </cell>
          <cell r="E4772" t="str">
            <v>Gaviotas</v>
          </cell>
          <cell r="H4772" t="str">
            <v>salud_oral</v>
          </cell>
          <cell r="J4772" t="str">
            <v>bueno</v>
          </cell>
          <cell r="K4772" t="str">
            <v>probsi</v>
          </cell>
        </row>
        <row r="4773">
          <cell r="B4773" t="b">
            <v>1</v>
          </cell>
          <cell r="E4773" t="str">
            <v>Foco Rojo</v>
          </cell>
          <cell r="H4773" t="str">
            <v>laboratorio</v>
          </cell>
          <cell r="J4773" t="str">
            <v>bueno</v>
          </cell>
          <cell r="K4773" t="str">
            <v>defsi</v>
          </cell>
        </row>
        <row r="4774">
          <cell r="B4774" t="b">
            <v>1</v>
          </cell>
          <cell r="E4774" t="str">
            <v>Foco Rojo</v>
          </cell>
          <cell r="H4774" t="str">
            <v>consulta_externa</v>
          </cell>
          <cell r="J4774" t="str">
            <v>bueno</v>
          </cell>
          <cell r="K4774" t="str">
            <v>defsi</v>
          </cell>
        </row>
        <row r="4775">
          <cell r="B4775" t="b">
            <v>1</v>
          </cell>
          <cell r="E4775" t="str">
            <v>Foco Rojo</v>
          </cell>
          <cell r="H4775" t="str">
            <v>laboratorio</v>
          </cell>
          <cell r="J4775" t="str">
            <v>bueno</v>
          </cell>
          <cell r="K4775" t="str">
            <v>defsi</v>
          </cell>
        </row>
        <row r="4776">
          <cell r="B4776" t="b">
            <v>1</v>
          </cell>
          <cell r="E4776" t="str">
            <v>Foco Rojo</v>
          </cell>
          <cell r="H4776" t="str">
            <v>laboratorio</v>
          </cell>
          <cell r="J4776" t="str">
            <v>bueno</v>
          </cell>
          <cell r="K4776" t="str">
            <v>defsi</v>
          </cell>
        </row>
        <row r="4777">
          <cell r="B4777" t="b">
            <v>1</v>
          </cell>
          <cell r="E4777" t="str">
            <v>Foco Rojo</v>
          </cell>
          <cell r="H4777" t="str">
            <v>laboratorio</v>
          </cell>
          <cell r="J4777" t="str">
            <v>bueno</v>
          </cell>
          <cell r="K4777" t="str">
            <v>defsi</v>
          </cell>
        </row>
        <row r="4778">
          <cell r="B4778" t="b">
            <v>0</v>
          </cell>
          <cell r="E4778" t="str">
            <v>Foco Rojo</v>
          </cell>
          <cell r="H4778" t="str">
            <v>laboratorio</v>
          </cell>
          <cell r="J4778" t="str">
            <v>regular</v>
          </cell>
          <cell r="K4778" t="str">
            <v>probsi</v>
          </cell>
        </row>
        <row r="4779">
          <cell r="B4779" t="b">
            <v>1</v>
          </cell>
          <cell r="E4779" t="str">
            <v>Foco Rojo</v>
          </cell>
          <cell r="H4779" t="str">
            <v>laboratorio</v>
          </cell>
          <cell r="J4779" t="str">
            <v>bueno</v>
          </cell>
          <cell r="K4779" t="str">
            <v>defsi</v>
          </cell>
        </row>
        <row r="4780">
          <cell r="B4780" t="b">
            <v>1</v>
          </cell>
          <cell r="E4780" t="str">
            <v>Foco Rojo</v>
          </cell>
          <cell r="H4780" t="str">
            <v>laboratorio</v>
          </cell>
          <cell r="J4780" t="str">
            <v>bueno</v>
          </cell>
          <cell r="K4780" t="str">
            <v>defsi</v>
          </cell>
        </row>
        <row r="4781">
          <cell r="B4781" t="b">
            <v>1</v>
          </cell>
          <cell r="E4781" t="str">
            <v>Gaviotas</v>
          </cell>
          <cell r="H4781" t="str">
            <v>pediatria</v>
          </cell>
          <cell r="J4781" t="str">
            <v>bueno</v>
          </cell>
          <cell r="K4781" t="str">
            <v>probsi</v>
          </cell>
        </row>
        <row r="4782">
          <cell r="B4782" t="b">
            <v>1</v>
          </cell>
          <cell r="E4782" t="str">
            <v>Gaviotas</v>
          </cell>
          <cell r="H4782" t="str">
            <v>pediatria</v>
          </cell>
          <cell r="J4782" t="str">
            <v>bueno</v>
          </cell>
          <cell r="K4782" t="str">
            <v>probsi</v>
          </cell>
        </row>
        <row r="4783">
          <cell r="B4783" t="b">
            <v>1</v>
          </cell>
          <cell r="E4783" t="str">
            <v>Gaviotas</v>
          </cell>
          <cell r="H4783" t="str">
            <v>pediatria</v>
          </cell>
          <cell r="J4783" t="str">
            <v>muybueno</v>
          </cell>
          <cell r="K4783" t="str">
            <v>probsi</v>
          </cell>
        </row>
        <row r="4784">
          <cell r="B4784" t="b">
            <v>1</v>
          </cell>
          <cell r="E4784" t="str">
            <v>Foco Rojo</v>
          </cell>
          <cell r="H4784" t="str">
            <v>laboratorio</v>
          </cell>
          <cell r="J4784" t="str">
            <v>bueno</v>
          </cell>
          <cell r="K4784" t="str">
            <v>defsi</v>
          </cell>
        </row>
        <row r="4785">
          <cell r="B4785" t="b">
            <v>1</v>
          </cell>
          <cell r="E4785" t="str">
            <v>Gaviotas</v>
          </cell>
          <cell r="H4785" t="str">
            <v>pediatria</v>
          </cell>
          <cell r="J4785" t="str">
            <v>muybueno</v>
          </cell>
          <cell r="K4785" t="str">
            <v>probsi</v>
          </cell>
        </row>
        <row r="4786">
          <cell r="B4786" t="b">
            <v>1</v>
          </cell>
          <cell r="E4786" t="str">
            <v>Foco Rojo</v>
          </cell>
          <cell r="H4786" t="str">
            <v>salud_oral</v>
          </cell>
          <cell r="J4786" t="str">
            <v>bueno</v>
          </cell>
          <cell r="K4786" t="str">
            <v>defsi</v>
          </cell>
        </row>
        <row r="4787">
          <cell r="B4787" t="b">
            <v>1</v>
          </cell>
          <cell r="E4787" t="str">
            <v>Foco Rojo</v>
          </cell>
          <cell r="H4787" t="str">
            <v>salud_oral</v>
          </cell>
          <cell r="J4787" t="str">
            <v>bueno</v>
          </cell>
          <cell r="K4787" t="str">
            <v>defsi</v>
          </cell>
        </row>
        <row r="4788">
          <cell r="B4788" t="b">
            <v>1</v>
          </cell>
          <cell r="E4788" t="str">
            <v>Foco Rojo</v>
          </cell>
          <cell r="H4788" t="str">
            <v>salud_oral</v>
          </cell>
          <cell r="J4788" t="str">
            <v>bueno</v>
          </cell>
          <cell r="K4788" t="str">
            <v>defsi</v>
          </cell>
        </row>
        <row r="4789">
          <cell r="B4789" t="b">
            <v>1</v>
          </cell>
          <cell r="E4789" t="str">
            <v>Foco Rojo</v>
          </cell>
          <cell r="H4789" t="str">
            <v>salud_oral</v>
          </cell>
          <cell r="J4789" t="str">
            <v>muybueno</v>
          </cell>
          <cell r="K4789" t="str">
            <v>defsi</v>
          </cell>
        </row>
        <row r="4790">
          <cell r="B4790" t="b">
            <v>1</v>
          </cell>
          <cell r="E4790" t="str">
            <v>Foco Rojo</v>
          </cell>
          <cell r="H4790" t="str">
            <v>salud_oral</v>
          </cell>
          <cell r="J4790" t="str">
            <v>bueno</v>
          </cell>
          <cell r="K4790" t="str">
            <v>defsi</v>
          </cell>
        </row>
        <row r="4791">
          <cell r="B4791" t="b">
            <v>1</v>
          </cell>
          <cell r="E4791" t="str">
            <v>Foco Rojo</v>
          </cell>
          <cell r="H4791" t="str">
            <v>salud_oral</v>
          </cell>
          <cell r="J4791" t="str">
            <v>bueno</v>
          </cell>
          <cell r="K4791" t="str">
            <v>defsi</v>
          </cell>
        </row>
        <row r="4792">
          <cell r="B4792" t="b">
            <v>1</v>
          </cell>
          <cell r="E4792" t="str">
            <v>Foco Rojo</v>
          </cell>
          <cell r="H4792" t="str">
            <v>laboratorio</v>
          </cell>
          <cell r="J4792" t="str">
            <v>bueno</v>
          </cell>
          <cell r="K4792" t="str">
            <v>defsi</v>
          </cell>
        </row>
        <row r="4793">
          <cell r="B4793" t="b">
            <v>1</v>
          </cell>
          <cell r="E4793" t="str">
            <v>Foco Rojo</v>
          </cell>
          <cell r="H4793" t="str">
            <v>laboratorio</v>
          </cell>
          <cell r="J4793" t="str">
            <v>bueno</v>
          </cell>
          <cell r="K4793" t="str">
            <v>defsi</v>
          </cell>
        </row>
        <row r="4794">
          <cell r="B4794" t="b">
            <v>0</v>
          </cell>
          <cell r="E4794" t="str">
            <v>Baru</v>
          </cell>
          <cell r="H4794" t="str">
            <v>urgencia</v>
          </cell>
          <cell r="J4794" t="str">
            <v>regular</v>
          </cell>
          <cell r="K4794" t="str">
            <v>probsi</v>
          </cell>
        </row>
        <row r="4795">
          <cell r="B4795" t="b">
            <v>1</v>
          </cell>
          <cell r="E4795" t="str">
            <v>Baru</v>
          </cell>
          <cell r="H4795" t="str">
            <v>urgencia</v>
          </cell>
          <cell r="J4795" t="str">
            <v>bueno</v>
          </cell>
          <cell r="K4795" t="str">
            <v>probsi</v>
          </cell>
        </row>
        <row r="4796">
          <cell r="B4796" t="b">
            <v>0</v>
          </cell>
          <cell r="E4796" t="str">
            <v>Baru</v>
          </cell>
          <cell r="H4796" t="str">
            <v>urgencia</v>
          </cell>
          <cell r="J4796" t="str">
            <v>malo</v>
          </cell>
          <cell r="K4796" t="str">
            <v>probno</v>
          </cell>
        </row>
        <row r="4797">
          <cell r="B4797" t="b">
            <v>0</v>
          </cell>
          <cell r="E4797" t="str">
            <v>Baru</v>
          </cell>
          <cell r="H4797" t="str">
            <v>urgencia</v>
          </cell>
          <cell r="J4797" t="str">
            <v>malo</v>
          </cell>
          <cell r="K4797" t="str">
            <v>probno</v>
          </cell>
        </row>
        <row r="4798">
          <cell r="B4798" t="b">
            <v>1</v>
          </cell>
          <cell r="E4798" t="str">
            <v>Libano</v>
          </cell>
          <cell r="H4798" t="str">
            <v>consulta_externa</v>
          </cell>
          <cell r="J4798" t="str">
            <v>bueno</v>
          </cell>
          <cell r="K4798" t="str">
            <v>probsi</v>
          </cell>
        </row>
        <row r="4799">
          <cell r="B4799" t="b">
            <v>1</v>
          </cell>
          <cell r="E4799" t="str">
            <v>Libano</v>
          </cell>
          <cell r="H4799" t="str">
            <v>consulta_externa</v>
          </cell>
          <cell r="J4799" t="str">
            <v>bueno</v>
          </cell>
          <cell r="K4799" t="str">
            <v>probsi</v>
          </cell>
        </row>
        <row r="4800">
          <cell r="B4800" t="b">
            <v>1</v>
          </cell>
          <cell r="E4800" t="str">
            <v>Libano</v>
          </cell>
          <cell r="H4800" t="str">
            <v>consulta_externa</v>
          </cell>
          <cell r="J4800" t="str">
            <v>bueno</v>
          </cell>
          <cell r="K4800" t="str">
            <v>probsi</v>
          </cell>
        </row>
        <row r="4801">
          <cell r="B4801" t="b">
            <v>1</v>
          </cell>
          <cell r="E4801" t="str">
            <v>Libano</v>
          </cell>
          <cell r="H4801" t="str">
            <v>laboratorio</v>
          </cell>
          <cell r="J4801" t="str">
            <v>bueno</v>
          </cell>
          <cell r="K4801" t="str">
            <v>probsi</v>
          </cell>
        </row>
        <row r="4802">
          <cell r="B4802" t="b">
            <v>1</v>
          </cell>
          <cell r="E4802" t="str">
            <v>Libano</v>
          </cell>
          <cell r="H4802" t="str">
            <v>laboratorio</v>
          </cell>
          <cell r="J4802" t="str">
            <v>bueno</v>
          </cell>
          <cell r="K4802" t="str">
            <v>probsi</v>
          </cell>
        </row>
        <row r="4803">
          <cell r="B4803" t="b">
            <v>1</v>
          </cell>
          <cell r="E4803" t="str">
            <v>Libano</v>
          </cell>
          <cell r="H4803" t="str">
            <v>laboratorio</v>
          </cell>
          <cell r="J4803" t="str">
            <v>bueno</v>
          </cell>
          <cell r="K4803" t="str">
            <v>probsi</v>
          </cell>
        </row>
        <row r="4804">
          <cell r="B4804" t="b">
            <v>1</v>
          </cell>
          <cell r="E4804" t="str">
            <v>Libano</v>
          </cell>
          <cell r="H4804" t="str">
            <v>laboratorio</v>
          </cell>
          <cell r="J4804" t="str">
            <v>bueno</v>
          </cell>
          <cell r="K4804" t="str">
            <v>probsi</v>
          </cell>
        </row>
        <row r="4805">
          <cell r="B4805" t="b">
            <v>1</v>
          </cell>
          <cell r="E4805" t="str">
            <v>Libano</v>
          </cell>
          <cell r="H4805" t="str">
            <v>consulta_externa</v>
          </cell>
          <cell r="J4805" t="str">
            <v>bueno</v>
          </cell>
          <cell r="K4805" t="str">
            <v>probsi</v>
          </cell>
        </row>
        <row r="4806">
          <cell r="B4806" t="b">
            <v>1</v>
          </cell>
          <cell r="E4806" t="str">
            <v>Libano</v>
          </cell>
          <cell r="H4806" t="str">
            <v>salud_oral</v>
          </cell>
          <cell r="J4806" t="str">
            <v>bueno</v>
          </cell>
          <cell r="K4806" t="str">
            <v>probsi</v>
          </cell>
        </row>
        <row r="4807">
          <cell r="B4807" t="b">
            <v>1</v>
          </cell>
          <cell r="E4807" t="str">
            <v>Libano</v>
          </cell>
          <cell r="H4807" t="str">
            <v>salud_oral</v>
          </cell>
          <cell r="J4807" t="str">
            <v>bueno</v>
          </cell>
          <cell r="K4807" t="str">
            <v>probsi</v>
          </cell>
        </row>
        <row r="4808">
          <cell r="B4808" t="b">
            <v>1</v>
          </cell>
          <cell r="E4808" t="str">
            <v>Libano</v>
          </cell>
          <cell r="H4808" t="str">
            <v>salud_oral</v>
          </cell>
          <cell r="J4808" t="str">
            <v>bueno</v>
          </cell>
          <cell r="K4808" t="str">
            <v>probsi</v>
          </cell>
        </row>
        <row r="4809">
          <cell r="B4809" t="b">
            <v>1</v>
          </cell>
          <cell r="E4809" t="str">
            <v>Libano</v>
          </cell>
          <cell r="H4809" t="str">
            <v>consulta_externa</v>
          </cell>
          <cell r="J4809" t="str">
            <v>bueno</v>
          </cell>
          <cell r="K4809" t="str">
            <v>probsi</v>
          </cell>
        </row>
        <row r="4810">
          <cell r="B4810" t="b">
            <v>1</v>
          </cell>
          <cell r="E4810" t="str">
            <v>Libano</v>
          </cell>
          <cell r="H4810" t="str">
            <v>consulta_externa</v>
          </cell>
          <cell r="J4810" t="str">
            <v>bueno</v>
          </cell>
          <cell r="K4810" t="str">
            <v>probsi</v>
          </cell>
        </row>
        <row r="4811">
          <cell r="B4811" t="b">
            <v>1</v>
          </cell>
          <cell r="E4811" t="str">
            <v>Libano</v>
          </cell>
          <cell r="H4811" t="str">
            <v>consulta_externa</v>
          </cell>
          <cell r="J4811" t="str">
            <v>bueno</v>
          </cell>
          <cell r="K4811" t="str">
            <v>probsi</v>
          </cell>
        </row>
        <row r="4812">
          <cell r="B4812" t="b">
            <v>1</v>
          </cell>
          <cell r="E4812" t="str">
            <v>Libano</v>
          </cell>
          <cell r="H4812" t="str">
            <v>pediatria</v>
          </cell>
          <cell r="J4812" t="str">
            <v>bueno</v>
          </cell>
          <cell r="K4812" t="str">
            <v>probsi</v>
          </cell>
        </row>
        <row r="4813">
          <cell r="B4813" t="b">
            <v>1</v>
          </cell>
          <cell r="E4813" t="str">
            <v>Libano</v>
          </cell>
          <cell r="H4813" t="str">
            <v>pediatria</v>
          </cell>
          <cell r="J4813" t="str">
            <v>bueno</v>
          </cell>
          <cell r="K4813" t="str">
            <v>probsi</v>
          </cell>
        </row>
        <row r="4814">
          <cell r="B4814" t="b">
            <v>1</v>
          </cell>
          <cell r="E4814" t="str">
            <v>Libano</v>
          </cell>
          <cell r="H4814" t="str">
            <v>pediatria</v>
          </cell>
          <cell r="J4814" t="str">
            <v>bueno</v>
          </cell>
          <cell r="K4814" t="str">
            <v>probsi</v>
          </cell>
        </row>
        <row r="4815">
          <cell r="B4815" t="b">
            <v>0</v>
          </cell>
          <cell r="E4815" t="str">
            <v>Baru</v>
          </cell>
          <cell r="H4815" t="str">
            <v>urgencia</v>
          </cell>
          <cell r="J4815" t="str">
            <v>regular</v>
          </cell>
          <cell r="K4815" t="str">
            <v>probsi</v>
          </cell>
        </row>
        <row r="4816">
          <cell r="B4816" t="b">
            <v>1</v>
          </cell>
          <cell r="E4816" t="str">
            <v>Libano</v>
          </cell>
          <cell r="H4816" t="str">
            <v>pediatria</v>
          </cell>
          <cell r="J4816" t="str">
            <v>bueno</v>
          </cell>
          <cell r="K4816" t="str">
            <v>probsi</v>
          </cell>
        </row>
        <row r="4817">
          <cell r="B4817" t="b">
            <v>1</v>
          </cell>
          <cell r="E4817" t="str">
            <v>Libano</v>
          </cell>
          <cell r="H4817" t="str">
            <v>pediatria</v>
          </cell>
          <cell r="J4817" t="str">
            <v>bueno</v>
          </cell>
          <cell r="K4817" t="str">
            <v>probsi</v>
          </cell>
        </row>
        <row r="4818">
          <cell r="B4818" t="b">
            <v>1</v>
          </cell>
          <cell r="E4818" t="str">
            <v>Baru</v>
          </cell>
          <cell r="H4818" t="str">
            <v>urgencia</v>
          </cell>
          <cell r="J4818" t="str">
            <v>bueno</v>
          </cell>
          <cell r="K4818" t="str">
            <v>probsi</v>
          </cell>
        </row>
        <row r="4819">
          <cell r="B4819" t="b">
            <v>1</v>
          </cell>
          <cell r="E4819" t="str">
            <v>Libano</v>
          </cell>
          <cell r="H4819" t="str">
            <v>laboratorio</v>
          </cell>
          <cell r="J4819" t="str">
            <v>bueno</v>
          </cell>
          <cell r="K4819" t="str">
            <v>probsi</v>
          </cell>
        </row>
        <row r="4820">
          <cell r="B4820" t="b">
            <v>0</v>
          </cell>
          <cell r="E4820" t="str">
            <v>Baru</v>
          </cell>
          <cell r="H4820" t="str">
            <v>urgencia</v>
          </cell>
          <cell r="J4820" t="str">
            <v>regular</v>
          </cell>
          <cell r="K4820" t="str">
            <v>probsi</v>
          </cell>
        </row>
        <row r="4821">
          <cell r="B4821" t="b">
            <v>1</v>
          </cell>
          <cell r="E4821" t="str">
            <v>Libano</v>
          </cell>
          <cell r="H4821" t="str">
            <v>laboratorio</v>
          </cell>
          <cell r="J4821" t="str">
            <v>bueno</v>
          </cell>
          <cell r="K4821" t="str">
            <v>probsi</v>
          </cell>
        </row>
        <row r="4822">
          <cell r="B4822" t="b">
            <v>1</v>
          </cell>
          <cell r="E4822" t="str">
            <v>Libano</v>
          </cell>
          <cell r="H4822" t="str">
            <v>laboratorio</v>
          </cell>
          <cell r="J4822" t="str">
            <v>bueno</v>
          </cell>
          <cell r="K4822" t="str">
            <v>probsi</v>
          </cell>
        </row>
        <row r="4823">
          <cell r="B4823" t="b">
            <v>0</v>
          </cell>
          <cell r="E4823" t="str">
            <v>Baru</v>
          </cell>
          <cell r="H4823" t="str">
            <v>urgencia</v>
          </cell>
          <cell r="J4823" t="str">
            <v>regular</v>
          </cell>
          <cell r="K4823" t="str">
            <v>probsi</v>
          </cell>
        </row>
        <row r="4824">
          <cell r="B4824" t="b">
            <v>1</v>
          </cell>
          <cell r="E4824" t="str">
            <v>Libano</v>
          </cell>
          <cell r="H4824" t="str">
            <v>salud_oral</v>
          </cell>
          <cell r="J4824" t="str">
            <v>bueno</v>
          </cell>
          <cell r="K4824" t="str">
            <v>probsi</v>
          </cell>
        </row>
        <row r="4825">
          <cell r="B4825" t="b">
            <v>1</v>
          </cell>
          <cell r="E4825" t="str">
            <v>Baru</v>
          </cell>
          <cell r="H4825" t="str">
            <v>urgencia</v>
          </cell>
          <cell r="J4825" t="str">
            <v>bueno</v>
          </cell>
          <cell r="K4825" t="str">
            <v>probsi</v>
          </cell>
        </row>
        <row r="4826">
          <cell r="B4826" t="b">
            <v>1</v>
          </cell>
          <cell r="E4826" t="str">
            <v>Libano</v>
          </cell>
          <cell r="H4826" t="str">
            <v>salud_oral</v>
          </cell>
          <cell r="J4826" t="str">
            <v>bueno</v>
          </cell>
          <cell r="K4826" t="str">
            <v>probsi</v>
          </cell>
        </row>
        <row r="4827">
          <cell r="B4827" t="b">
            <v>1</v>
          </cell>
          <cell r="E4827" t="str">
            <v>Baru</v>
          </cell>
          <cell r="H4827" t="str">
            <v>urgencia</v>
          </cell>
          <cell r="J4827" t="str">
            <v>bueno</v>
          </cell>
          <cell r="K4827" t="str">
            <v>probsi</v>
          </cell>
        </row>
        <row r="4828">
          <cell r="B4828" t="b">
            <v>0</v>
          </cell>
          <cell r="E4828" t="str">
            <v>Baru</v>
          </cell>
          <cell r="H4828" t="str">
            <v>urgencia</v>
          </cell>
          <cell r="J4828" t="str">
            <v>regular</v>
          </cell>
          <cell r="K4828" t="str">
            <v>probsi</v>
          </cell>
        </row>
        <row r="4829">
          <cell r="B4829" t="b">
            <v>0</v>
          </cell>
          <cell r="E4829" t="str">
            <v>Baru</v>
          </cell>
          <cell r="H4829" t="str">
            <v>urgencia</v>
          </cell>
          <cell r="J4829" t="str">
            <v>regular</v>
          </cell>
          <cell r="K4829" t="str">
            <v>probsi</v>
          </cell>
        </row>
        <row r="4830">
          <cell r="B4830" t="b">
            <v>1</v>
          </cell>
          <cell r="E4830" t="str">
            <v>Baru</v>
          </cell>
          <cell r="H4830" t="str">
            <v>urgencia</v>
          </cell>
          <cell r="J4830" t="str">
            <v>bueno</v>
          </cell>
          <cell r="K4830" t="str">
            <v>probsi</v>
          </cell>
        </row>
        <row r="4831">
          <cell r="B4831" t="b">
            <v>1</v>
          </cell>
          <cell r="E4831" t="str">
            <v>Libano</v>
          </cell>
          <cell r="H4831" t="str">
            <v>salud_oral</v>
          </cell>
          <cell r="J4831" t="str">
            <v>bueno</v>
          </cell>
          <cell r="K4831" t="str">
            <v>probsi</v>
          </cell>
        </row>
        <row r="4832">
          <cell r="B4832" t="b">
            <v>1</v>
          </cell>
          <cell r="E4832" t="str">
            <v>Libano</v>
          </cell>
          <cell r="H4832" t="str">
            <v>salud_oral</v>
          </cell>
          <cell r="J4832" t="str">
            <v>bueno</v>
          </cell>
          <cell r="K4832" t="str">
            <v>probsi</v>
          </cell>
        </row>
        <row r="4833">
          <cell r="B4833" t="b">
            <v>1</v>
          </cell>
          <cell r="E4833" t="str">
            <v>Libano</v>
          </cell>
          <cell r="H4833" t="str">
            <v>salud_oral</v>
          </cell>
          <cell r="J4833" t="str">
            <v>bueno</v>
          </cell>
          <cell r="K4833" t="str">
            <v>probsi</v>
          </cell>
        </row>
        <row r="4834">
          <cell r="B4834" t="b">
            <v>1</v>
          </cell>
          <cell r="E4834" t="str">
            <v>Libano</v>
          </cell>
          <cell r="H4834" t="str">
            <v>laboratorio</v>
          </cell>
          <cell r="J4834" t="str">
            <v>bueno</v>
          </cell>
          <cell r="K4834" t="str">
            <v>probsi</v>
          </cell>
        </row>
        <row r="4835">
          <cell r="B4835" t="b">
            <v>1</v>
          </cell>
          <cell r="E4835" t="str">
            <v>Libano</v>
          </cell>
          <cell r="H4835" t="str">
            <v>laboratorio</v>
          </cell>
          <cell r="J4835" t="str">
            <v>bueno</v>
          </cell>
          <cell r="K4835" t="str">
            <v>probsi</v>
          </cell>
        </row>
        <row r="4836">
          <cell r="B4836" t="b">
            <v>1</v>
          </cell>
          <cell r="E4836" t="str">
            <v>Libano</v>
          </cell>
          <cell r="H4836" t="str">
            <v>consulta_externa</v>
          </cell>
          <cell r="J4836" t="str">
            <v>bueno</v>
          </cell>
          <cell r="K4836" t="str">
            <v>probsi</v>
          </cell>
        </row>
        <row r="4837">
          <cell r="B4837" t="b">
            <v>1</v>
          </cell>
          <cell r="E4837" t="str">
            <v>Libano</v>
          </cell>
          <cell r="H4837" t="str">
            <v>consulta_externa</v>
          </cell>
          <cell r="J4837" t="str">
            <v>bueno</v>
          </cell>
          <cell r="K4837" t="str">
            <v>probsi</v>
          </cell>
        </row>
        <row r="4838">
          <cell r="B4838" t="b">
            <v>1</v>
          </cell>
          <cell r="E4838" t="str">
            <v>Libano</v>
          </cell>
          <cell r="H4838" t="str">
            <v>laboratorio</v>
          </cell>
          <cell r="J4838" t="str">
            <v>bueno</v>
          </cell>
          <cell r="K4838" t="str">
            <v>probsi</v>
          </cell>
        </row>
        <row r="4839">
          <cell r="B4839" t="b">
            <v>1</v>
          </cell>
          <cell r="E4839" t="str">
            <v>Libano</v>
          </cell>
          <cell r="H4839" t="str">
            <v>laboratorio</v>
          </cell>
          <cell r="J4839" t="str">
            <v>bueno</v>
          </cell>
          <cell r="K4839" t="str">
            <v>probsi</v>
          </cell>
        </row>
        <row r="4840">
          <cell r="B4840" t="b">
            <v>1</v>
          </cell>
          <cell r="E4840" t="str">
            <v>Libano</v>
          </cell>
          <cell r="H4840" t="str">
            <v>laboratorio</v>
          </cell>
          <cell r="J4840" t="str">
            <v>bueno</v>
          </cell>
          <cell r="K4840" t="str">
            <v>probsi</v>
          </cell>
        </row>
        <row r="4841">
          <cell r="B4841" t="b">
            <v>1</v>
          </cell>
          <cell r="E4841" t="str">
            <v>Libano</v>
          </cell>
          <cell r="H4841" t="str">
            <v>laboratorio</v>
          </cell>
          <cell r="J4841" t="str">
            <v>bueno</v>
          </cell>
          <cell r="K4841" t="str">
            <v>probsi</v>
          </cell>
        </row>
        <row r="4842">
          <cell r="B4842" t="b">
            <v>1</v>
          </cell>
          <cell r="E4842" t="str">
            <v>Libano</v>
          </cell>
          <cell r="H4842" t="str">
            <v>laboratorio</v>
          </cell>
          <cell r="J4842" t="str">
            <v>bueno</v>
          </cell>
          <cell r="K4842" t="str">
            <v>probsi</v>
          </cell>
        </row>
        <row r="4843">
          <cell r="B4843" t="b">
            <v>1</v>
          </cell>
          <cell r="E4843" t="str">
            <v>Libano</v>
          </cell>
          <cell r="H4843" t="str">
            <v>consulta_externa</v>
          </cell>
          <cell r="J4843" t="str">
            <v>bueno</v>
          </cell>
          <cell r="K4843" t="str">
            <v>probsi</v>
          </cell>
        </row>
        <row r="4844">
          <cell r="B4844" t="b">
            <v>1</v>
          </cell>
          <cell r="E4844" t="str">
            <v>Libano</v>
          </cell>
          <cell r="H4844" t="str">
            <v>consulta_externa</v>
          </cell>
          <cell r="J4844" t="str">
            <v>bueno</v>
          </cell>
          <cell r="K4844" t="str">
            <v>probsi</v>
          </cell>
        </row>
        <row r="4845">
          <cell r="B4845" t="b">
            <v>1</v>
          </cell>
          <cell r="E4845" t="str">
            <v>Libano</v>
          </cell>
          <cell r="H4845" t="str">
            <v>consulta_externa</v>
          </cell>
          <cell r="J4845" t="str">
            <v>bueno</v>
          </cell>
          <cell r="K4845" t="str">
            <v>probsi</v>
          </cell>
        </row>
        <row r="4846">
          <cell r="B4846" t="b">
            <v>1</v>
          </cell>
          <cell r="E4846" t="str">
            <v>Libano</v>
          </cell>
          <cell r="H4846" t="str">
            <v>consulta_externa</v>
          </cell>
          <cell r="J4846" t="str">
            <v>bueno</v>
          </cell>
          <cell r="K4846" t="str">
            <v>probsi</v>
          </cell>
        </row>
        <row r="4847">
          <cell r="B4847" t="b">
            <v>1</v>
          </cell>
          <cell r="E4847" t="str">
            <v>Libano</v>
          </cell>
          <cell r="H4847" t="str">
            <v>consulta_externa</v>
          </cell>
          <cell r="J4847" t="str">
            <v>bueno</v>
          </cell>
          <cell r="K4847" t="str">
            <v>probsi</v>
          </cell>
        </row>
        <row r="4848">
          <cell r="B4848" t="b">
            <v>1</v>
          </cell>
          <cell r="E4848" t="str">
            <v>Libano</v>
          </cell>
          <cell r="H4848" t="str">
            <v>laboratorio</v>
          </cell>
          <cell r="J4848" t="str">
            <v>bueno</v>
          </cell>
          <cell r="K4848" t="str">
            <v>probsi</v>
          </cell>
        </row>
        <row r="4849">
          <cell r="B4849" t="b">
            <v>1</v>
          </cell>
          <cell r="E4849" t="str">
            <v>Libano</v>
          </cell>
          <cell r="H4849" t="str">
            <v>laboratorio</v>
          </cell>
          <cell r="J4849" t="str">
            <v>bueno</v>
          </cell>
          <cell r="K4849" t="str">
            <v>probsi</v>
          </cell>
        </row>
        <row r="4850">
          <cell r="B4850" t="b">
            <v>1</v>
          </cell>
          <cell r="E4850" t="str">
            <v>Libano</v>
          </cell>
          <cell r="H4850" t="str">
            <v>laboratorio</v>
          </cell>
          <cell r="J4850" t="str">
            <v>bueno</v>
          </cell>
          <cell r="K4850" t="str">
            <v>probsi</v>
          </cell>
        </row>
        <row r="4851">
          <cell r="B4851" t="b">
            <v>1</v>
          </cell>
          <cell r="E4851" t="str">
            <v>Libano</v>
          </cell>
          <cell r="H4851" t="str">
            <v>laboratorio</v>
          </cell>
          <cell r="J4851" t="str">
            <v>bueno</v>
          </cell>
          <cell r="K4851" t="str">
            <v>probsi</v>
          </cell>
        </row>
        <row r="4852">
          <cell r="B4852" t="b">
            <v>1</v>
          </cell>
          <cell r="E4852" t="str">
            <v>Libano</v>
          </cell>
          <cell r="H4852" t="str">
            <v>pediatria</v>
          </cell>
          <cell r="J4852" t="str">
            <v>bueno</v>
          </cell>
          <cell r="K4852" t="str">
            <v>probsi</v>
          </cell>
        </row>
        <row r="4853">
          <cell r="B4853" t="b">
            <v>1</v>
          </cell>
          <cell r="E4853" t="str">
            <v>Libano</v>
          </cell>
          <cell r="H4853" t="str">
            <v>pediatria</v>
          </cell>
          <cell r="J4853" t="str">
            <v>bueno</v>
          </cell>
          <cell r="K4853" t="str">
            <v>probsi</v>
          </cell>
        </row>
        <row r="4854">
          <cell r="B4854" t="b">
            <v>1</v>
          </cell>
          <cell r="E4854" t="str">
            <v>Libano</v>
          </cell>
          <cell r="H4854" t="str">
            <v>pediatria</v>
          </cell>
          <cell r="J4854" t="str">
            <v>bueno</v>
          </cell>
          <cell r="K4854" t="str">
            <v>probsi</v>
          </cell>
        </row>
        <row r="4855">
          <cell r="B4855" t="b">
            <v>1</v>
          </cell>
          <cell r="E4855" t="str">
            <v>Libano</v>
          </cell>
          <cell r="H4855" t="str">
            <v>pediatria</v>
          </cell>
          <cell r="J4855" t="str">
            <v>bueno</v>
          </cell>
          <cell r="K4855" t="str">
            <v>probsi</v>
          </cell>
        </row>
        <row r="4856">
          <cell r="B4856" t="b">
            <v>1</v>
          </cell>
          <cell r="E4856" t="str">
            <v>Libano</v>
          </cell>
          <cell r="H4856" t="str">
            <v>pediatria</v>
          </cell>
          <cell r="J4856" t="str">
            <v>bueno</v>
          </cell>
          <cell r="K4856" t="str">
            <v>probsi</v>
          </cell>
        </row>
        <row r="4857">
          <cell r="B4857" t="b">
            <v>1</v>
          </cell>
          <cell r="E4857" t="str">
            <v>Libano</v>
          </cell>
          <cell r="H4857" t="str">
            <v>pediatria</v>
          </cell>
          <cell r="J4857" t="str">
            <v>bueno</v>
          </cell>
          <cell r="K4857" t="str">
            <v>probsi</v>
          </cell>
        </row>
        <row r="4858">
          <cell r="B4858" t="b">
            <v>1</v>
          </cell>
          <cell r="E4858" t="str">
            <v>Libano</v>
          </cell>
          <cell r="H4858" t="str">
            <v>consulta_externa</v>
          </cell>
          <cell r="J4858" t="str">
            <v>bueno</v>
          </cell>
          <cell r="K4858" t="str">
            <v>probsi</v>
          </cell>
        </row>
        <row r="4859">
          <cell r="B4859" t="b">
            <v>1</v>
          </cell>
          <cell r="E4859" t="str">
            <v>Libano</v>
          </cell>
          <cell r="H4859" t="str">
            <v>consulta_externa</v>
          </cell>
          <cell r="J4859" t="str">
            <v>bueno</v>
          </cell>
          <cell r="K4859" t="str">
            <v>probsi</v>
          </cell>
        </row>
        <row r="4860">
          <cell r="B4860" t="b">
            <v>1</v>
          </cell>
          <cell r="E4860" t="str">
            <v>Libano</v>
          </cell>
          <cell r="H4860" t="str">
            <v>consulta_externa</v>
          </cell>
          <cell r="J4860" t="str">
            <v>bueno</v>
          </cell>
          <cell r="K4860" t="str">
            <v>probsi</v>
          </cell>
        </row>
        <row r="4861">
          <cell r="B4861" t="b">
            <v>1</v>
          </cell>
          <cell r="E4861" t="str">
            <v>Libano</v>
          </cell>
          <cell r="H4861" t="str">
            <v>consulta_externa</v>
          </cell>
          <cell r="J4861" t="str">
            <v>bueno</v>
          </cell>
          <cell r="K4861" t="str">
            <v>probsi</v>
          </cell>
        </row>
        <row r="4862">
          <cell r="B4862" t="b">
            <v>1</v>
          </cell>
          <cell r="E4862" t="str">
            <v>Libano</v>
          </cell>
          <cell r="H4862" t="str">
            <v>laboratorio</v>
          </cell>
          <cell r="J4862" t="str">
            <v>bueno</v>
          </cell>
          <cell r="K4862" t="str">
            <v>probsi</v>
          </cell>
        </row>
        <row r="4863">
          <cell r="B4863" t="b">
            <v>1</v>
          </cell>
          <cell r="E4863" t="str">
            <v>Libano</v>
          </cell>
          <cell r="H4863" t="str">
            <v>laboratorio</v>
          </cell>
          <cell r="J4863" t="str">
            <v>bueno</v>
          </cell>
          <cell r="K4863" t="str">
            <v>probsi</v>
          </cell>
        </row>
        <row r="4864">
          <cell r="B4864" t="b">
            <v>1</v>
          </cell>
          <cell r="E4864" t="str">
            <v>Libano</v>
          </cell>
          <cell r="H4864" t="str">
            <v>laboratorio</v>
          </cell>
          <cell r="J4864" t="str">
            <v>bueno</v>
          </cell>
          <cell r="K4864" t="str">
            <v>probsi</v>
          </cell>
        </row>
        <row r="4865">
          <cell r="B4865" t="b">
            <v>1</v>
          </cell>
          <cell r="E4865" t="str">
            <v>Libano</v>
          </cell>
          <cell r="H4865" t="str">
            <v>ecografias</v>
          </cell>
          <cell r="J4865" t="str">
            <v>bueno</v>
          </cell>
          <cell r="K4865" t="str">
            <v>probsi</v>
          </cell>
        </row>
        <row r="4866">
          <cell r="B4866" t="b">
            <v>1</v>
          </cell>
          <cell r="E4866" t="str">
            <v>Libano</v>
          </cell>
          <cell r="H4866" t="str">
            <v>ecografias</v>
          </cell>
          <cell r="J4866" t="str">
            <v>bueno</v>
          </cell>
          <cell r="K4866" t="str">
            <v>probsi</v>
          </cell>
        </row>
        <row r="4867">
          <cell r="B4867" t="b">
            <v>1</v>
          </cell>
          <cell r="E4867" t="str">
            <v>Libano</v>
          </cell>
          <cell r="H4867" t="str">
            <v>ecografias</v>
          </cell>
          <cell r="J4867" t="str">
            <v>bueno</v>
          </cell>
          <cell r="K4867" t="str">
            <v>probsi</v>
          </cell>
        </row>
        <row r="4868">
          <cell r="B4868" t="b">
            <v>1</v>
          </cell>
          <cell r="E4868" t="str">
            <v>Libano</v>
          </cell>
          <cell r="H4868" t="str">
            <v>ecografias</v>
          </cell>
          <cell r="J4868" t="str">
            <v>bueno</v>
          </cell>
          <cell r="K4868" t="str">
            <v>probsi</v>
          </cell>
        </row>
        <row r="4869">
          <cell r="B4869" t="b">
            <v>1</v>
          </cell>
          <cell r="E4869" t="str">
            <v>Libano</v>
          </cell>
          <cell r="H4869" t="str">
            <v>ginecologia</v>
          </cell>
          <cell r="J4869" t="str">
            <v>bueno</v>
          </cell>
          <cell r="K4869" t="str">
            <v>probsi</v>
          </cell>
        </row>
        <row r="4870">
          <cell r="B4870" t="b">
            <v>1</v>
          </cell>
          <cell r="E4870" t="str">
            <v>Libano</v>
          </cell>
          <cell r="H4870" t="str">
            <v>ginecologia</v>
          </cell>
          <cell r="J4870" t="str">
            <v>bueno</v>
          </cell>
          <cell r="K4870" t="str">
            <v>probsi</v>
          </cell>
        </row>
        <row r="4871">
          <cell r="B4871" t="b">
            <v>1</v>
          </cell>
          <cell r="E4871" t="str">
            <v>Libano</v>
          </cell>
          <cell r="H4871" t="str">
            <v>ginecologia</v>
          </cell>
          <cell r="J4871" t="str">
            <v>bueno</v>
          </cell>
          <cell r="K4871" t="str">
            <v>probsi</v>
          </cell>
        </row>
        <row r="4872">
          <cell r="B4872" t="b">
            <v>1</v>
          </cell>
          <cell r="E4872" t="str">
            <v>Libano</v>
          </cell>
          <cell r="H4872" t="str">
            <v>ginecologia</v>
          </cell>
          <cell r="J4872" t="str">
            <v>bueno</v>
          </cell>
          <cell r="K4872" t="str">
            <v>probsi</v>
          </cell>
        </row>
        <row r="4873">
          <cell r="B4873" t="b">
            <v>1</v>
          </cell>
          <cell r="E4873" t="str">
            <v>Libano</v>
          </cell>
          <cell r="H4873" t="str">
            <v>ginecologia</v>
          </cell>
          <cell r="J4873" t="str">
            <v>bueno</v>
          </cell>
          <cell r="K4873" t="str">
            <v>probsi</v>
          </cell>
        </row>
        <row r="4874">
          <cell r="B4874" t="b">
            <v>1</v>
          </cell>
          <cell r="E4874" t="str">
            <v>Libano</v>
          </cell>
          <cell r="H4874" t="str">
            <v>consulta_externa</v>
          </cell>
          <cell r="J4874" t="str">
            <v>bueno</v>
          </cell>
          <cell r="K4874" t="str">
            <v>probsi</v>
          </cell>
        </row>
        <row r="4875">
          <cell r="B4875" t="b">
            <v>1</v>
          </cell>
          <cell r="E4875" t="str">
            <v>Libano</v>
          </cell>
          <cell r="H4875" t="str">
            <v>consulta_externa</v>
          </cell>
          <cell r="J4875" t="str">
            <v>bueno</v>
          </cell>
          <cell r="K4875" t="str">
            <v>probsi</v>
          </cell>
        </row>
        <row r="4876">
          <cell r="B4876" t="b">
            <v>1</v>
          </cell>
          <cell r="E4876" t="str">
            <v>Libano</v>
          </cell>
          <cell r="H4876" t="str">
            <v>consulta_externa</v>
          </cell>
          <cell r="J4876" t="str">
            <v>bueno</v>
          </cell>
          <cell r="K4876" t="str">
            <v>probsi</v>
          </cell>
        </row>
        <row r="4877">
          <cell r="B4877" t="b">
            <v>1</v>
          </cell>
          <cell r="E4877" t="str">
            <v>Libano</v>
          </cell>
          <cell r="H4877" t="str">
            <v>consulta_externa</v>
          </cell>
          <cell r="J4877" t="str">
            <v>bueno</v>
          </cell>
          <cell r="K4877" t="str">
            <v>probsi</v>
          </cell>
        </row>
        <row r="4878">
          <cell r="B4878" t="b">
            <v>1</v>
          </cell>
          <cell r="E4878" t="str">
            <v>Libano</v>
          </cell>
          <cell r="H4878" t="str">
            <v>consulta_externa</v>
          </cell>
          <cell r="J4878" t="str">
            <v>bueno</v>
          </cell>
          <cell r="K4878" t="str">
            <v>probsi</v>
          </cell>
        </row>
        <row r="4879">
          <cell r="B4879" t="b">
            <v>1</v>
          </cell>
          <cell r="E4879" t="str">
            <v>Libano</v>
          </cell>
          <cell r="H4879" t="str">
            <v>consulta_externa</v>
          </cell>
          <cell r="J4879" t="str">
            <v>bueno</v>
          </cell>
          <cell r="K4879" t="str">
            <v>probsi</v>
          </cell>
        </row>
        <row r="4880">
          <cell r="B4880" t="b">
            <v>1</v>
          </cell>
          <cell r="E4880" t="str">
            <v>Libano</v>
          </cell>
          <cell r="H4880" t="str">
            <v>laboratorio</v>
          </cell>
          <cell r="J4880" t="str">
            <v>bueno</v>
          </cell>
          <cell r="K4880" t="str">
            <v>probsi</v>
          </cell>
        </row>
        <row r="4881">
          <cell r="B4881" t="b">
            <v>1</v>
          </cell>
          <cell r="E4881" t="str">
            <v>Libano</v>
          </cell>
          <cell r="H4881" t="str">
            <v>laboratorio</v>
          </cell>
          <cell r="J4881" t="str">
            <v>bueno</v>
          </cell>
          <cell r="K4881" t="str">
            <v>probsi</v>
          </cell>
        </row>
        <row r="4882">
          <cell r="B4882" t="b">
            <v>1</v>
          </cell>
          <cell r="E4882" t="str">
            <v>Libano</v>
          </cell>
          <cell r="H4882" t="str">
            <v>laboratorio</v>
          </cell>
          <cell r="J4882" t="str">
            <v>bueno</v>
          </cell>
          <cell r="K4882" t="str">
            <v>probsi</v>
          </cell>
        </row>
        <row r="4883">
          <cell r="B4883" t="b">
            <v>0</v>
          </cell>
          <cell r="E4883" t="str">
            <v>Baru</v>
          </cell>
          <cell r="H4883" t="str">
            <v>consulta_externa</v>
          </cell>
          <cell r="J4883" t="str">
            <v>regular</v>
          </cell>
          <cell r="K4883" t="str">
            <v>probsi</v>
          </cell>
        </row>
        <row r="4884">
          <cell r="B4884" t="b">
            <v>0</v>
          </cell>
          <cell r="E4884" t="str">
            <v>Baru</v>
          </cell>
          <cell r="H4884" t="str">
            <v>consulta_externa</v>
          </cell>
          <cell r="J4884" t="str">
            <v>regular</v>
          </cell>
          <cell r="K4884" t="str">
            <v>probsi</v>
          </cell>
        </row>
        <row r="4885">
          <cell r="B4885" t="b">
            <v>1</v>
          </cell>
          <cell r="E4885" t="str">
            <v>Esperanza</v>
          </cell>
          <cell r="H4885" t="str">
            <v>consulta_externa</v>
          </cell>
          <cell r="J4885" t="str">
            <v>bueno</v>
          </cell>
          <cell r="K4885" t="str">
            <v>defsi</v>
          </cell>
        </row>
        <row r="4886">
          <cell r="B4886" t="b">
            <v>1</v>
          </cell>
          <cell r="E4886" t="str">
            <v>Esperanza</v>
          </cell>
          <cell r="H4886" t="str">
            <v>salud_oral</v>
          </cell>
          <cell r="J4886" t="str">
            <v>bueno</v>
          </cell>
          <cell r="K4886" t="str">
            <v>defsi</v>
          </cell>
        </row>
        <row r="4887">
          <cell r="B4887" t="b">
            <v>1</v>
          </cell>
          <cell r="E4887" t="str">
            <v>Esperanza</v>
          </cell>
          <cell r="H4887" t="str">
            <v>laboratorio</v>
          </cell>
          <cell r="J4887" t="str">
            <v>bueno</v>
          </cell>
          <cell r="K4887" t="str">
            <v>defsi</v>
          </cell>
        </row>
        <row r="4888">
          <cell r="B4888" t="b">
            <v>1</v>
          </cell>
          <cell r="E4888" t="str">
            <v>Esperanza</v>
          </cell>
          <cell r="H4888" t="str">
            <v>urgencia</v>
          </cell>
          <cell r="J4888" t="str">
            <v>bueno</v>
          </cell>
          <cell r="K4888" t="str">
            <v>defsi</v>
          </cell>
        </row>
        <row r="4889">
          <cell r="B4889" t="b">
            <v>1</v>
          </cell>
          <cell r="E4889" t="str">
            <v>Esperanza</v>
          </cell>
          <cell r="H4889" t="str">
            <v>electros</v>
          </cell>
          <cell r="J4889" t="str">
            <v>bueno</v>
          </cell>
          <cell r="K4889" t="str">
            <v>defsi</v>
          </cell>
        </row>
        <row r="4890">
          <cell r="B4890" t="b">
            <v>1</v>
          </cell>
          <cell r="E4890" t="str">
            <v>Esperanza</v>
          </cell>
          <cell r="H4890" t="str">
            <v>consulta_externa</v>
          </cell>
          <cell r="J4890" t="str">
            <v>bueno</v>
          </cell>
          <cell r="K4890" t="str">
            <v>defsi</v>
          </cell>
        </row>
        <row r="4891">
          <cell r="B4891" t="b">
            <v>1</v>
          </cell>
          <cell r="E4891" t="str">
            <v>Esperanza</v>
          </cell>
          <cell r="H4891" t="str">
            <v>salud_oral</v>
          </cell>
          <cell r="J4891" t="str">
            <v>bueno</v>
          </cell>
          <cell r="K4891" t="str">
            <v>defsi</v>
          </cell>
        </row>
        <row r="4892">
          <cell r="B4892" t="b">
            <v>0</v>
          </cell>
          <cell r="E4892" t="str">
            <v>Baru</v>
          </cell>
          <cell r="H4892" t="str">
            <v>consulta_externa</v>
          </cell>
          <cell r="J4892" t="str">
            <v>regular</v>
          </cell>
          <cell r="K4892" t="str">
            <v>probsi</v>
          </cell>
        </row>
        <row r="4893">
          <cell r="B4893" t="b">
            <v>1</v>
          </cell>
          <cell r="E4893" t="str">
            <v>Esperanza</v>
          </cell>
          <cell r="H4893" t="str">
            <v>laboratorio</v>
          </cell>
          <cell r="J4893" t="str">
            <v>bueno</v>
          </cell>
          <cell r="K4893" t="str">
            <v>defsi</v>
          </cell>
        </row>
        <row r="4894">
          <cell r="B4894" t="b">
            <v>0</v>
          </cell>
          <cell r="E4894" t="str">
            <v>Baru</v>
          </cell>
          <cell r="H4894" t="str">
            <v>consulta_externa</v>
          </cell>
          <cell r="J4894" t="str">
            <v>regular</v>
          </cell>
          <cell r="K4894" t="str">
            <v>probsi</v>
          </cell>
        </row>
        <row r="4895">
          <cell r="B4895" t="b">
            <v>1</v>
          </cell>
          <cell r="E4895" t="str">
            <v>Baru</v>
          </cell>
          <cell r="H4895" t="str">
            <v>consulta_externa</v>
          </cell>
          <cell r="J4895" t="str">
            <v>bueno</v>
          </cell>
          <cell r="K4895" t="str">
            <v>probsi</v>
          </cell>
        </row>
        <row r="4896">
          <cell r="B4896" t="b">
            <v>1</v>
          </cell>
          <cell r="E4896" t="str">
            <v>Baru</v>
          </cell>
          <cell r="H4896" t="str">
            <v>salud_oral</v>
          </cell>
          <cell r="J4896" t="str">
            <v>bueno</v>
          </cell>
          <cell r="K4896" t="str">
            <v>probsi</v>
          </cell>
        </row>
        <row r="4897">
          <cell r="B4897" t="b">
            <v>1</v>
          </cell>
          <cell r="E4897" t="str">
            <v>Baru</v>
          </cell>
          <cell r="H4897" t="str">
            <v>salud_oral</v>
          </cell>
          <cell r="J4897" t="str">
            <v>bueno</v>
          </cell>
          <cell r="K4897" t="str">
            <v>probsi</v>
          </cell>
        </row>
        <row r="4898">
          <cell r="B4898" t="b">
            <v>1</v>
          </cell>
          <cell r="E4898" t="str">
            <v>Baru</v>
          </cell>
          <cell r="H4898" t="str">
            <v>salud_oral</v>
          </cell>
          <cell r="J4898" t="str">
            <v>bueno</v>
          </cell>
          <cell r="K4898" t="str">
            <v>probsi</v>
          </cell>
        </row>
        <row r="4899">
          <cell r="B4899" t="b">
            <v>1</v>
          </cell>
          <cell r="E4899" t="str">
            <v>Baru</v>
          </cell>
          <cell r="H4899" t="str">
            <v>laboratorio</v>
          </cell>
          <cell r="J4899" t="str">
            <v>bueno</v>
          </cell>
          <cell r="K4899" t="str">
            <v>probsi</v>
          </cell>
        </row>
        <row r="4900">
          <cell r="B4900" t="b">
            <v>1</v>
          </cell>
          <cell r="E4900" t="str">
            <v>Baru</v>
          </cell>
          <cell r="H4900" t="str">
            <v>laboratorio</v>
          </cell>
          <cell r="J4900" t="str">
            <v>bueno</v>
          </cell>
          <cell r="K4900" t="str">
            <v>probsi</v>
          </cell>
        </row>
        <row r="4901">
          <cell r="B4901" t="b">
            <v>1</v>
          </cell>
          <cell r="E4901" t="str">
            <v>Baru</v>
          </cell>
          <cell r="H4901" t="str">
            <v>laboratorio</v>
          </cell>
          <cell r="J4901" t="str">
            <v>bueno</v>
          </cell>
          <cell r="K4901" t="str">
            <v>probsi</v>
          </cell>
        </row>
        <row r="4902">
          <cell r="B4902" t="b">
            <v>1</v>
          </cell>
          <cell r="E4902" t="str">
            <v>Baru</v>
          </cell>
          <cell r="H4902" t="str">
            <v>urgencia</v>
          </cell>
          <cell r="J4902" t="str">
            <v>bueno</v>
          </cell>
          <cell r="K4902" t="str">
            <v>probsi</v>
          </cell>
        </row>
        <row r="4903">
          <cell r="B4903" t="b">
            <v>1</v>
          </cell>
          <cell r="E4903" t="str">
            <v>Baru</v>
          </cell>
          <cell r="H4903" t="str">
            <v>urgencia</v>
          </cell>
          <cell r="J4903" t="str">
            <v>bueno</v>
          </cell>
          <cell r="K4903" t="str">
            <v>probsi</v>
          </cell>
        </row>
        <row r="4904">
          <cell r="B4904" t="b">
            <v>0</v>
          </cell>
          <cell r="E4904" t="str">
            <v>Baru</v>
          </cell>
          <cell r="H4904" t="str">
            <v>urgencia</v>
          </cell>
          <cell r="J4904" t="str">
            <v>regular</v>
          </cell>
          <cell r="K4904" t="str">
            <v>probsi</v>
          </cell>
        </row>
        <row r="4905">
          <cell r="B4905" t="b">
            <v>1</v>
          </cell>
          <cell r="E4905" t="str">
            <v>Baru</v>
          </cell>
          <cell r="H4905" t="str">
            <v>consulta_externa</v>
          </cell>
          <cell r="J4905" t="str">
            <v>bueno</v>
          </cell>
          <cell r="K4905" t="str">
            <v>probsi</v>
          </cell>
        </row>
        <row r="4906">
          <cell r="B4906" t="b">
            <v>1</v>
          </cell>
          <cell r="E4906" t="str">
            <v>Baru</v>
          </cell>
          <cell r="H4906" t="str">
            <v>consulta_externa</v>
          </cell>
          <cell r="J4906" t="str">
            <v>bueno</v>
          </cell>
          <cell r="K4906" t="str">
            <v>probsi</v>
          </cell>
        </row>
        <row r="4907">
          <cell r="B4907" t="b">
            <v>1</v>
          </cell>
          <cell r="E4907" t="str">
            <v>Baru</v>
          </cell>
          <cell r="H4907" t="str">
            <v>consulta_externa</v>
          </cell>
          <cell r="J4907" t="str">
            <v>bueno</v>
          </cell>
          <cell r="K4907" t="str">
            <v>probsi</v>
          </cell>
        </row>
        <row r="4908">
          <cell r="B4908" t="b">
            <v>1</v>
          </cell>
          <cell r="E4908" t="str">
            <v>Baru</v>
          </cell>
          <cell r="H4908" t="str">
            <v>salud_oral</v>
          </cell>
          <cell r="J4908" t="str">
            <v>bueno</v>
          </cell>
          <cell r="K4908" t="str">
            <v>probsi</v>
          </cell>
        </row>
        <row r="4909">
          <cell r="B4909" t="b">
            <v>1</v>
          </cell>
          <cell r="E4909" t="str">
            <v>Baru</v>
          </cell>
          <cell r="H4909" t="str">
            <v>salud_oral</v>
          </cell>
          <cell r="J4909" t="str">
            <v>bueno</v>
          </cell>
          <cell r="K4909" t="str">
            <v>probsi</v>
          </cell>
        </row>
        <row r="4910">
          <cell r="B4910" t="b">
            <v>1</v>
          </cell>
          <cell r="E4910" t="str">
            <v>Baru</v>
          </cell>
          <cell r="H4910" t="str">
            <v>salud_oral</v>
          </cell>
          <cell r="J4910" t="str">
            <v>bueno</v>
          </cell>
          <cell r="K4910" t="str">
            <v>probsi</v>
          </cell>
        </row>
        <row r="4911">
          <cell r="B4911" t="b">
            <v>1</v>
          </cell>
          <cell r="E4911" t="str">
            <v>Baru</v>
          </cell>
          <cell r="H4911" t="str">
            <v>laboratorio</v>
          </cell>
          <cell r="J4911" t="str">
            <v>bueno</v>
          </cell>
          <cell r="K4911" t="str">
            <v>probsi</v>
          </cell>
        </row>
        <row r="4912">
          <cell r="B4912" t="b">
            <v>1</v>
          </cell>
          <cell r="E4912" t="str">
            <v>Baru</v>
          </cell>
          <cell r="H4912" t="str">
            <v>laboratorio</v>
          </cell>
          <cell r="J4912" t="str">
            <v>bueno</v>
          </cell>
          <cell r="K4912" t="str">
            <v>probsi</v>
          </cell>
        </row>
        <row r="4913">
          <cell r="B4913" t="b">
            <v>1</v>
          </cell>
          <cell r="E4913" t="str">
            <v>Baru</v>
          </cell>
          <cell r="H4913" t="str">
            <v>laboratorio</v>
          </cell>
          <cell r="J4913" t="str">
            <v>bueno</v>
          </cell>
          <cell r="K4913" t="str">
            <v>probsi</v>
          </cell>
        </row>
        <row r="4914">
          <cell r="B4914" t="b">
            <v>0</v>
          </cell>
          <cell r="E4914" t="str">
            <v>Baru</v>
          </cell>
          <cell r="H4914" t="str">
            <v>urgencia</v>
          </cell>
          <cell r="J4914" t="str">
            <v>regular</v>
          </cell>
          <cell r="K4914" t="str">
            <v>probsi</v>
          </cell>
        </row>
        <row r="4915">
          <cell r="B4915" t="b">
            <v>0</v>
          </cell>
          <cell r="E4915" t="str">
            <v>Baru</v>
          </cell>
          <cell r="H4915" t="str">
            <v>urgencia</v>
          </cell>
          <cell r="J4915" t="str">
            <v>regular</v>
          </cell>
          <cell r="K4915" t="str">
            <v>probsi</v>
          </cell>
        </row>
        <row r="4916">
          <cell r="B4916" t="b">
            <v>1</v>
          </cell>
          <cell r="E4916" t="str">
            <v>Baru</v>
          </cell>
          <cell r="H4916" t="str">
            <v>urgencia</v>
          </cell>
          <cell r="J4916" t="str">
            <v>bueno</v>
          </cell>
          <cell r="K4916" t="str">
            <v>probsi</v>
          </cell>
        </row>
        <row r="4917">
          <cell r="B4917" t="b">
            <v>1</v>
          </cell>
          <cell r="E4917" t="str">
            <v>Libano</v>
          </cell>
          <cell r="H4917" t="str">
            <v>consulta_externa</v>
          </cell>
          <cell r="J4917" t="str">
            <v>bueno</v>
          </cell>
          <cell r="K4917" t="str">
            <v>probsi</v>
          </cell>
        </row>
        <row r="4918">
          <cell r="B4918" t="b">
            <v>1</v>
          </cell>
          <cell r="E4918" t="str">
            <v>Libano</v>
          </cell>
          <cell r="H4918" t="str">
            <v>consulta_externa</v>
          </cell>
          <cell r="J4918" t="str">
            <v>bueno</v>
          </cell>
          <cell r="K4918" t="str">
            <v>probsi</v>
          </cell>
        </row>
        <row r="4919">
          <cell r="B4919" t="b">
            <v>1</v>
          </cell>
          <cell r="E4919" t="str">
            <v>Libano</v>
          </cell>
          <cell r="H4919" t="str">
            <v>consulta_externa</v>
          </cell>
          <cell r="J4919" t="str">
            <v>bueno</v>
          </cell>
          <cell r="K4919" t="str">
            <v>probsi</v>
          </cell>
        </row>
        <row r="4920">
          <cell r="B4920" t="b">
            <v>1</v>
          </cell>
          <cell r="E4920" t="str">
            <v>Libano</v>
          </cell>
          <cell r="H4920" t="str">
            <v>consulta_externa</v>
          </cell>
          <cell r="J4920" t="str">
            <v>bueno</v>
          </cell>
          <cell r="K4920" t="str">
            <v>probsi</v>
          </cell>
        </row>
        <row r="4921">
          <cell r="B4921" t="b">
            <v>1</v>
          </cell>
          <cell r="E4921" t="str">
            <v>Libano</v>
          </cell>
          <cell r="H4921" t="str">
            <v>consulta_externa</v>
          </cell>
          <cell r="J4921" t="str">
            <v>bueno</v>
          </cell>
          <cell r="K4921" t="str">
            <v>probsi</v>
          </cell>
        </row>
        <row r="4922">
          <cell r="B4922" t="b">
            <v>1</v>
          </cell>
          <cell r="E4922" t="str">
            <v>Libano</v>
          </cell>
          <cell r="H4922" t="str">
            <v>consulta_externa</v>
          </cell>
          <cell r="J4922" t="str">
            <v>bueno</v>
          </cell>
          <cell r="K4922" t="str">
            <v>probsi</v>
          </cell>
        </row>
        <row r="4923">
          <cell r="B4923" t="b">
            <v>1</v>
          </cell>
          <cell r="E4923" t="str">
            <v>Libano</v>
          </cell>
          <cell r="H4923" t="str">
            <v>consulta_externa</v>
          </cell>
          <cell r="J4923" t="str">
            <v>bueno</v>
          </cell>
          <cell r="K4923" t="str">
            <v>probsi</v>
          </cell>
        </row>
        <row r="4924">
          <cell r="B4924" t="b">
            <v>1</v>
          </cell>
          <cell r="E4924" t="str">
            <v>Libano</v>
          </cell>
          <cell r="H4924" t="str">
            <v>consulta_externa</v>
          </cell>
          <cell r="J4924" t="str">
            <v>bueno</v>
          </cell>
          <cell r="K4924" t="str">
            <v>probsi</v>
          </cell>
        </row>
        <row r="4925">
          <cell r="B4925" t="b">
            <v>1</v>
          </cell>
          <cell r="E4925" t="str">
            <v>Libano</v>
          </cell>
          <cell r="H4925" t="str">
            <v>consulta_externa</v>
          </cell>
          <cell r="J4925" t="str">
            <v>bueno</v>
          </cell>
          <cell r="K4925" t="str">
            <v>probsi</v>
          </cell>
        </row>
        <row r="4926">
          <cell r="B4926" t="b">
            <v>1</v>
          </cell>
          <cell r="E4926" t="str">
            <v>Libano</v>
          </cell>
          <cell r="H4926" t="str">
            <v>consulta_externa</v>
          </cell>
          <cell r="J4926" t="str">
            <v>bueno</v>
          </cell>
          <cell r="K4926" t="str">
            <v>probsi</v>
          </cell>
        </row>
        <row r="4927">
          <cell r="B4927" t="b">
            <v>1</v>
          </cell>
          <cell r="E4927" t="str">
            <v>Libano</v>
          </cell>
          <cell r="H4927" t="str">
            <v>laboratorio</v>
          </cell>
          <cell r="J4927" t="str">
            <v>bueno</v>
          </cell>
          <cell r="K4927" t="str">
            <v>probsi</v>
          </cell>
        </row>
        <row r="4928">
          <cell r="B4928" t="b">
            <v>1</v>
          </cell>
          <cell r="E4928" t="str">
            <v>Libano</v>
          </cell>
          <cell r="H4928" t="str">
            <v>laboratorio</v>
          </cell>
          <cell r="J4928" t="str">
            <v>bueno</v>
          </cell>
          <cell r="K4928" t="str">
            <v>probsi</v>
          </cell>
        </row>
        <row r="4929">
          <cell r="B4929" t="b">
            <v>1</v>
          </cell>
          <cell r="E4929" t="str">
            <v>Libano</v>
          </cell>
          <cell r="H4929" t="str">
            <v>laboratorio</v>
          </cell>
          <cell r="J4929" t="str">
            <v>bueno</v>
          </cell>
          <cell r="K4929" t="str">
            <v>probsi</v>
          </cell>
        </row>
        <row r="4930">
          <cell r="B4930" t="b">
            <v>1</v>
          </cell>
          <cell r="E4930" t="str">
            <v>Libano</v>
          </cell>
          <cell r="H4930" t="str">
            <v>laboratorio</v>
          </cell>
          <cell r="J4930" t="str">
            <v>bueno</v>
          </cell>
          <cell r="K4930" t="str">
            <v>probsi</v>
          </cell>
        </row>
        <row r="4931">
          <cell r="B4931" t="b">
            <v>1</v>
          </cell>
          <cell r="E4931" t="str">
            <v>Libano</v>
          </cell>
          <cell r="H4931" t="str">
            <v>laboratorio</v>
          </cell>
          <cell r="J4931" t="str">
            <v>bueno</v>
          </cell>
          <cell r="K4931" t="str">
            <v>probsi</v>
          </cell>
        </row>
        <row r="4932">
          <cell r="B4932" t="b">
            <v>1</v>
          </cell>
          <cell r="E4932" t="str">
            <v>Libano</v>
          </cell>
          <cell r="H4932" t="str">
            <v>laboratorio</v>
          </cell>
          <cell r="J4932" t="str">
            <v>bueno</v>
          </cell>
          <cell r="K4932" t="str">
            <v>probsi</v>
          </cell>
        </row>
        <row r="4933">
          <cell r="B4933" t="b">
            <v>1</v>
          </cell>
          <cell r="E4933" t="str">
            <v>Libano</v>
          </cell>
          <cell r="H4933" t="str">
            <v>salud_oral</v>
          </cell>
          <cell r="J4933" t="str">
            <v>bueno</v>
          </cell>
          <cell r="K4933" t="str">
            <v>probsi</v>
          </cell>
        </row>
        <row r="4934">
          <cell r="B4934" t="b">
            <v>1</v>
          </cell>
          <cell r="E4934" t="str">
            <v>Libano</v>
          </cell>
          <cell r="H4934" t="str">
            <v>salud_oral</v>
          </cell>
          <cell r="J4934" t="str">
            <v>bueno</v>
          </cell>
          <cell r="K4934" t="str">
            <v>probsi</v>
          </cell>
        </row>
        <row r="4935">
          <cell r="B4935" t="b">
            <v>1</v>
          </cell>
          <cell r="E4935" t="str">
            <v>Libano</v>
          </cell>
          <cell r="H4935" t="str">
            <v>salud_oral</v>
          </cell>
          <cell r="J4935" t="str">
            <v>bueno</v>
          </cell>
          <cell r="K4935" t="str">
            <v>probsi</v>
          </cell>
        </row>
        <row r="4936">
          <cell r="B4936" t="b">
            <v>1</v>
          </cell>
          <cell r="E4936" t="str">
            <v>Libano</v>
          </cell>
          <cell r="H4936" t="str">
            <v>ecografias</v>
          </cell>
          <cell r="J4936" t="str">
            <v>bueno</v>
          </cell>
          <cell r="K4936" t="str">
            <v>probsi</v>
          </cell>
        </row>
        <row r="4937">
          <cell r="B4937" t="b">
            <v>1</v>
          </cell>
          <cell r="E4937" t="str">
            <v>Libano</v>
          </cell>
          <cell r="H4937" t="str">
            <v>ecografias</v>
          </cell>
          <cell r="J4937" t="str">
            <v>bueno</v>
          </cell>
          <cell r="K4937" t="str">
            <v>probsi</v>
          </cell>
        </row>
        <row r="4938">
          <cell r="B4938" t="b">
            <v>1</v>
          </cell>
          <cell r="E4938" t="str">
            <v>Libano</v>
          </cell>
          <cell r="H4938" t="str">
            <v>pediatria</v>
          </cell>
          <cell r="J4938" t="str">
            <v>bueno</v>
          </cell>
          <cell r="K4938" t="str">
            <v>probsi</v>
          </cell>
        </row>
        <row r="4939">
          <cell r="B4939" t="b">
            <v>1</v>
          </cell>
          <cell r="E4939" t="str">
            <v>Libano</v>
          </cell>
          <cell r="H4939" t="str">
            <v>pediatria</v>
          </cell>
          <cell r="J4939" t="str">
            <v>bueno</v>
          </cell>
          <cell r="K4939" t="str">
            <v>probsi</v>
          </cell>
        </row>
        <row r="4940">
          <cell r="B4940" t="b">
            <v>1</v>
          </cell>
          <cell r="E4940" t="str">
            <v>Libano</v>
          </cell>
          <cell r="H4940" t="str">
            <v>pediatria</v>
          </cell>
          <cell r="J4940" t="str">
            <v>bueno</v>
          </cell>
          <cell r="K4940" t="str">
            <v>probsi</v>
          </cell>
        </row>
        <row r="4941">
          <cell r="B4941" t="b">
            <v>1</v>
          </cell>
          <cell r="E4941" t="str">
            <v>Libano</v>
          </cell>
          <cell r="H4941" t="str">
            <v>pediatria</v>
          </cell>
          <cell r="J4941" t="str">
            <v>bueno</v>
          </cell>
          <cell r="K4941" t="str">
            <v>probsi</v>
          </cell>
        </row>
        <row r="4942">
          <cell r="B4942" t="b">
            <v>1</v>
          </cell>
          <cell r="E4942" t="str">
            <v>Libano</v>
          </cell>
          <cell r="H4942" t="str">
            <v>pediatria</v>
          </cell>
          <cell r="J4942" t="str">
            <v>bueno</v>
          </cell>
          <cell r="K4942" t="str">
            <v>probsi</v>
          </cell>
        </row>
        <row r="4943">
          <cell r="B4943" t="b">
            <v>1</v>
          </cell>
          <cell r="E4943" t="str">
            <v>Blasdelezo</v>
          </cell>
          <cell r="H4943" t="str">
            <v>urgencia</v>
          </cell>
          <cell r="J4943" t="str">
            <v>bueno</v>
          </cell>
          <cell r="K4943" t="str">
            <v>probsi</v>
          </cell>
        </row>
        <row r="4944">
          <cell r="B4944" t="b">
            <v>1</v>
          </cell>
          <cell r="E4944" t="str">
            <v>Blasdelezo</v>
          </cell>
          <cell r="H4944" t="str">
            <v>urgencia</v>
          </cell>
          <cell r="J4944" t="str">
            <v>bueno</v>
          </cell>
          <cell r="K4944" t="str">
            <v>probsi</v>
          </cell>
        </row>
        <row r="4945">
          <cell r="B4945" t="b">
            <v>1</v>
          </cell>
          <cell r="E4945" t="str">
            <v>Blasdelezo</v>
          </cell>
          <cell r="H4945" t="str">
            <v>urgencia</v>
          </cell>
          <cell r="J4945" t="str">
            <v>bueno</v>
          </cell>
          <cell r="K4945" t="str">
            <v>probsi</v>
          </cell>
        </row>
        <row r="4946">
          <cell r="B4946" t="b">
            <v>1</v>
          </cell>
          <cell r="E4946" t="str">
            <v>Blasdelezo</v>
          </cell>
          <cell r="H4946" t="str">
            <v>urgencia</v>
          </cell>
          <cell r="J4946" t="str">
            <v>bueno</v>
          </cell>
          <cell r="K4946" t="str">
            <v>probsi</v>
          </cell>
        </row>
        <row r="4947">
          <cell r="B4947" t="b">
            <v>1</v>
          </cell>
          <cell r="E4947" t="str">
            <v>Blasdelezo</v>
          </cell>
          <cell r="H4947" t="str">
            <v>urgencia</v>
          </cell>
          <cell r="J4947" t="str">
            <v>bueno</v>
          </cell>
          <cell r="K4947" t="str">
            <v>probsi</v>
          </cell>
        </row>
        <row r="4948">
          <cell r="B4948" t="b">
            <v>1</v>
          </cell>
          <cell r="E4948" t="str">
            <v>Blasdelezo</v>
          </cell>
          <cell r="H4948" t="str">
            <v>urgencia</v>
          </cell>
          <cell r="J4948" t="str">
            <v>bueno</v>
          </cell>
          <cell r="K4948" t="str">
            <v>probsi</v>
          </cell>
        </row>
        <row r="4949">
          <cell r="B4949" t="b">
            <v>1</v>
          </cell>
          <cell r="E4949" t="str">
            <v>Blasdelezo</v>
          </cell>
          <cell r="H4949" t="str">
            <v>urgencia</v>
          </cell>
          <cell r="J4949" t="str">
            <v>bueno</v>
          </cell>
          <cell r="K4949" t="str">
            <v>probsi</v>
          </cell>
        </row>
        <row r="4950">
          <cell r="B4950" t="b">
            <v>1</v>
          </cell>
          <cell r="E4950" t="str">
            <v>Candelaria</v>
          </cell>
          <cell r="H4950" t="str">
            <v>laboratorio</v>
          </cell>
          <cell r="J4950" t="str">
            <v>bueno</v>
          </cell>
          <cell r="K4950" t="str">
            <v>defsi</v>
          </cell>
        </row>
        <row r="4951">
          <cell r="B4951" t="b">
            <v>1</v>
          </cell>
          <cell r="E4951" t="str">
            <v>Candelaria</v>
          </cell>
          <cell r="H4951" t="str">
            <v>laboratorio</v>
          </cell>
          <cell r="J4951" t="str">
            <v>bueno</v>
          </cell>
          <cell r="K4951" t="str">
            <v>defsi</v>
          </cell>
        </row>
        <row r="4952">
          <cell r="B4952" t="b">
            <v>1</v>
          </cell>
          <cell r="E4952" t="str">
            <v>Candelaria</v>
          </cell>
          <cell r="H4952" t="str">
            <v>consulta_externa</v>
          </cell>
          <cell r="J4952" t="str">
            <v>bueno</v>
          </cell>
          <cell r="K4952" t="str">
            <v>defsi</v>
          </cell>
        </row>
        <row r="4953">
          <cell r="B4953" t="b">
            <v>1</v>
          </cell>
          <cell r="E4953" t="str">
            <v>Candelaria</v>
          </cell>
          <cell r="H4953" t="str">
            <v>laboratorio</v>
          </cell>
          <cell r="J4953" t="str">
            <v>muybueno</v>
          </cell>
          <cell r="K4953" t="str">
            <v>defsi</v>
          </cell>
        </row>
        <row r="4954">
          <cell r="B4954" t="b">
            <v>1</v>
          </cell>
          <cell r="E4954" t="str">
            <v>Candelaria</v>
          </cell>
          <cell r="H4954" t="str">
            <v>consulta_externa</v>
          </cell>
          <cell r="J4954" t="str">
            <v>muybueno</v>
          </cell>
          <cell r="K4954" t="str">
            <v>defsi</v>
          </cell>
        </row>
        <row r="4955">
          <cell r="B4955" t="b">
            <v>0</v>
          </cell>
          <cell r="E4955" t="str">
            <v>Candelaria</v>
          </cell>
          <cell r="H4955" t="str">
            <v>laboratorio</v>
          </cell>
          <cell r="J4955" t="str">
            <v>regular</v>
          </cell>
          <cell r="K4955" t="str">
            <v>probsi</v>
          </cell>
        </row>
        <row r="4956">
          <cell r="B4956" t="b">
            <v>0</v>
          </cell>
          <cell r="E4956" t="str">
            <v>Candelaria</v>
          </cell>
          <cell r="H4956" t="str">
            <v>laboratorio</v>
          </cell>
          <cell r="J4956" t="str">
            <v>regular</v>
          </cell>
          <cell r="K4956" t="str">
            <v>probno</v>
          </cell>
        </row>
        <row r="4957">
          <cell r="B4957" t="b">
            <v>0</v>
          </cell>
          <cell r="E4957" t="str">
            <v>Candelaria</v>
          </cell>
          <cell r="H4957" t="str">
            <v>consulta_externa</v>
          </cell>
          <cell r="J4957" t="str">
            <v>regular</v>
          </cell>
          <cell r="K4957" t="str">
            <v>probno</v>
          </cell>
        </row>
        <row r="4958">
          <cell r="B4958" t="b">
            <v>0</v>
          </cell>
          <cell r="E4958" t="str">
            <v>Candelaria</v>
          </cell>
          <cell r="H4958" t="str">
            <v>laboratorio</v>
          </cell>
          <cell r="J4958" t="str">
            <v>regular</v>
          </cell>
          <cell r="K4958" t="str">
            <v>probno</v>
          </cell>
        </row>
        <row r="4959">
          <cell r="B4959" t="b">
            <v>1</v>
          </cell>
          <cell r="E4959" t="str">
            <v>Candelaria</v>
          </cell>
          <cell r="H4959" t="str">
            <v>laboratorio</v>
          </cell>
          <cell r="J4959" t="str">
            <v>bueno</v>
          </cell>
          <cell r="K4959" t="str">
            <v>defsi</v>
          </cell>
        </row>
        <row r="4960">
          <cell r="B4960" t="b">
            <v>1</v>
          </cell>
          <cell r="E4960" t="str">
            <v>Candelaria</v>
          </cell>
          <cell r="H4960" t="str">
            <v>laboratorio</v>
          </cell>
          <cell r="J4960" t="str">
            <v>bueno</v>
          </cell>
          <cell r="K4960" t="str">
            <v>defsi</v>
          </cell>
        </row>
        <row r="4961">
          <cell r="B4961" t="b">
            <v>1</v>
          </cell>
          <cell r="E4961" t="str">
            <v>Candelaria</v>
          </cell>
          <cell r="H4961" t="str">
            <v>consulta_externa</v>
          </cell>
          <cell r="J4961" t="str">
            <v>bueno</v>
          </cell>
          <cell r="K4961" t="str">
            <v>defsi</v>
          </cell>
        </row>
        <row r="4962">
          <cell r="B4962" t="b">
            <v>1</v>
          </cell>
          <cell r="E4962" t="str">
            <v>Candelaria</v>
          </cell>
          <cell r="H4962" t="str">
            <v>laboratorio</v>
          </cell>
          <cell r="J4962" t="str">
            <v>bueno</v>
          </cell>
          <cell r="K4962" t="str">
            <v>defsi</v>
          </cell>
        </row>
        <row r="4963">
          <cell r="B4963" t="b">
            <v>1</v>
          </cell>
          <cell r="E4963" t="str">
            <v>Candelaria</v>
          </cell>
          <cell r="H4963" t="str">
            <v>consulta_externa</v>
          </cell>
          <cell r="J4963" t="str">
            <v>bueno</v>
          </cell>
          <cell r="K4963" t="str">
            <v>defsi</v>
          </cell>
        </row>
        <row r="4964">
          <cell r="B4964" t="b">
            <v>1</v>
          </cell>
          <cell r="E4964" t="str">
            <v>Candelaria</v>
          </cell>
          <cell r="H4964" t="str">
            <v>laboratorio</v>
          </cell>
          <cell r="J4964" t="str">
            <v>bueno</v>
          </cell>
          <cell r="K4964" t="str">
            <v>defsi</v>
          </cell>
        </row>
        <row r="4965">
          <cell r="B4965" t="b">
            <v>0</v>
          </cell>
          <cell r="E4965" t="str">
            <v>Candelaria</v>
          </cell>
          <cell r="H4965" t="str">
            <v>laboratorio</v>
          </cell>
          <cell r="J4965" t="str">
            <v>regular</v>
          </cell>
          <cell r="K4965" t="str">
            <v>probsi</v>
          </cell>
        </row>
        <row r="4966">
          <cell r="B4966" t="b">
            <v>1</v>
          </cell>
          <cell r="E4966" t="str">
            <v>Candelaria</v>
          </cell>
          <cell r="H4966" t="str">
            <v>consulta_externa</v>
          </cell>
          <cell r="J4966" t="str">
            <v>bueno</v>
          </cell>
          <cell r="K4966" t="str">
            <v>defsi</v>
          </cell>
        </row>
        <row r="4967">
          <cell r="B4967" t="b">
            <v>0</v>
          </cell>
          <cell r="E4967" t="str">
            <v>Candelaria</v>
          </cell>
          <cell r="H4967" t="str">
            <v>laboratorio</v>
          </cell>
          <cell r="J4967" t="str">
            <v>regular</v>
          </cell>
          <cell r="K4967" t="str">
            <v>probno</v>
          </cell>
        </row>
        <row r="4968">
          <cell r="B4968" t="b">
            <v>1</v>
          </cell>
          <cell r="E4968" t="str">
            <v>Candelaria</v>
          </cell>
          <cell r="H4968" t="str">
            <v>laboratorio</v>
          </cell>
          <cell r="J4968" t="str">
            <v>bueno</v>
          </cell>
          <cell r="K4968" t="str">
            <v>defsi</v>
          </cell>
        </row>
        <row r="4969">
          <cell r="B4969" t="b">
            <v>1</v>
          </cell>
          <cell r="E4969" t="str">
            <v>Candelaria</v>
          </cell>
          <cell r="H4969" t="str">
            <v>salud_oral</v>
          </cell>
          <cell r="J4969" t="str">
            <v>bueno</v>
          </cell>
          <cell r="K4969" t="str">
            <v>defsi</v>
          </cell>
        </row>
        <row r="4970">
          <cell r="B4970" t="b">
            <v>0</v>
          </cell>
          <cell r="E4970" t="str">
            <v>Candelaria</v>
          </cell>
          <cell r="H4970" t="str">
            <v>consulta_externa</v>
          </cell>
          <cell r="J4970" t="str">
            <v>regular</v>
          </cell>
          <cell r="K4970" t="str">
            <v>defsi</v>
          </cell>
        </row>
        <row r="4971">
          <cell r="B4971" t="b">
            <v>1</v>
          </cell>
          <cell r="E4971" t="str">
            <v>Candelaria</v>
          </cell>
          <cell r="H4971" t="str">
            <v>consulta_externa</v>
          </cell>
          <cell r="J4971" t="str">
            <v>muybueno</v>
          </cell>
          <cell r="K4971" t="str">
            <v>defsi</v>
          </cell>
        </row>
        <row r="4972">
          <cell r="B4972" t="b">
            <v>1</v>
          </cell>
          <cell r="E4972" t="str">
            <v>Candelaria</v>
          </cell>
          <cell r="H4972" t="str">
            <v>electros</v>
          </cell>
          <cell r="J4972" t="str">
            <v>bueno</v>
          </cell>
          <cell r="K4972" t="str">
            <v>defsi</v>
          </cell>
        </row>
        <row r="4973">
          <cell r="B4973" t="b">
            <v>1</v>
          </cell>
          <cell r="E4973" t="str">
            <v>Candelaria</v>
          </cell>
          <cell r="H4973" t="str">
            <v>consulta_externa</v>
          </cell>
          <cell r="J4973" t="str">
            <v>bueno</v>
          </cell>
          <cell r="K4973" t="str">
            <v>defsi</v>
          </cell>
        </row>
        <row r="4974">
          <cell r="B4974" t="b">
            <v>1</v>
          </cell>
          <cell r="E4974" t="str">
            <v>Candelaria</v>
          </cell>
          <cell r="H4974" t="str">
            <v>consulta_externa</v>
          </cell>
          <cell r="J4974" t="str">
            <v>bueno</v>
          </cell>
          <cell r="K4974" t="str">
            <v>defsi</v>
          </cell>
        </row>
        <row r="4975">
          <cell r="B4975" t="b">
            <v>1</v>
          </cell>
          <cell r="E4975" t="str">
            <v>Candelaria</v>
          </cell>
          <cell r="H4975" t="str">
            <v>laboratorio</v>
          </cell>
          <cell r="J4975" t="str">
            <v>bueno</v>
          </cell>
          <cell r="K4975" t="str">
            <v>defsi</v>
          </cell>
        </row>
        <row r="4976">
          <cell r="B4976" t="b">
            <v>1</v>
          </cell>
          <cell r="E4976" t="str">
            <v>Candelaria</v>
          </cell>
          <cell r="H4976" t="str">
            <v>consulta_externa</v>
          </cell>
          <cell r="J4976" t="str">
            <v>bueno</v>
          </cell>
          <cell r="K4976" t="str">
            <v>defsi</v>
          </cell>
        </row>
        <row r="4977">
          <cell r="B4977" t="b">
            <v>1</v>
          </cell>
          <cell r="E4977" t="str">
            <v>Candelaria</v>
          </cell>
          <cell r="H4977" t="str">
            <v>laboratorio</v>
          </cell>
          <cell r="J4977" t="str">
            <v>bueno</v>
          </cell>
          <cell r="K4977" t="str">
            <v>defsi</v>
          </cell>
        </row>
        <row r="4978">
          <cell r="B4978" t="b">
            <v>1</v>
          </cell>
          <cell r="E4978" t="str">
            <v>Candelaria</v>
          </cell>
          <cell r="H4978" t="str">
            <v>electros</v>
          </cell>
          <cell r="J4978" t="str">
            <v>bueno</v>
          </cell>
          <cell r="K4978" t="str">
            <v>defsi</v>
          </cell>
        </row>
        <row r="4979">
          <cell r="B4979" t="b">
            <v>1</v>
          </cell>
          <cell r="E4979" t="str">
            <v>Candelaria</v>
          </cell>
          <cell r="H4979" t="str">
            <v>electros</v>
          </cell>
          <cell r="J4979" t="str">
            <v>bueno</v>
          </cell>
          <cell r="K4979" t="str">
            <v>defsi</v>
          </cell>
        </row>
        <row r="4980">
          <cell r="B4980" t="b">
            <v>1</v>
          </cell>
          <cell r="E4980" t="str">
            <v>Las Reinas</v>
          </cell>
          <cell r="H4980" t="str">
            <v>consulta_externa</v>
          </cell>
          <cell r="J4980" t="str">
            <v>bueno</v>
          </cell>
          <cell r="K4980" t="str">
            <v>probsi</v>
          </cell>
        </row>
        <row r="4981">
          <cell r="B4981" t="b">
            <v>0</v>
          </cell>
          <cell r="E4981" t="str">
            <v>Candelaria</v>
          </cell>
          <cell r="H4981" t="str">
            <v>urgencia</v>
          </cell>
          <cell r="J4981" t="str">
            <v>regular</v>
          </cell>
          <cell r="K4981" t="str">
            <v>probsi</v>
          </cell>
        </row>
        <row r="4982">
          <cell r="B4982" t="b">
            <v>1</v>
          </cell>
          <cell r="E4982" t="str">
            <v>Las Reinas</v>
          </cell>
          <cell r="H4982" t="str">
            <v>consulta_externa</v>
          </cell>
          <cell r="J4982" t="str">
            <v>bueno</v>
          </cell>
          <cell r="K4982" t="str">
            <v>probsi</v>
          </cell>
        </row>
        <row r="4983">
          <cell r="B4983" t="b">
            <v>1</v>
          </cell>
          <cell r="E4983" t="str">
            <v>Las Reinas</v>
          </cell>
          <cell r="H4983" t="str">
            <v>consulta_externa</v>
          </cell>
          <cell r="J4983" t="str">
            <v>bueno</v>
          </cell>
          <cell r="K4983" t="str">
            <v>probsi</v>
          </cell>
        </row>
        <row r="4984">
          <cell r="B4984" t="b">
            <v>1</v>
          </cell>
          <cell r="E4984" t="str">
            <v>Candelaria</v>
          </cell>
          <cell r="H4984" t="str">
            <v>urgencia</v>
          </cell>
          <cell r="J4984" t="str">
            <v>bueno</v>
          </cell>
          <cell r="K4984" t="str">
            <v>defsi</v>
          </cell>
        </row>
        <row r="4985">
          <cell r="B4985" t="b">
            <v>1</v>
          </cell>
          <cell r="E4985" t="str">
            <v>Candelaria</v>
          </cell>
          <cell r="H4985" t="str">
            <v>urgencia</v>
          </cell>
          <cell r="J4985" t="str">
            <v>bueno</v>
          </cell>
          <cell r="K4985" t="str">
            <v>defsi</v>
          </cell>
        </row>
        <row r="4986">
          <cell r="B4986" t="b">
            <v>0</v>
          </cell>
          <cell r="E4986" t="str">
            <v>Candelaria</v>
          </cell>
          <cell r="H4986" t="str">
            <v>urgencia</v>
          </cell>
          <cell r="J4986" t="str">
            <v>regular</v>
          </cell>
          <cell r="K4986" t="str">
            <v>defsi</v>
          </cell>
        </row>
        <row r="4987">
          <cell r="B4987" t="b">
            <v>1</v>
          </cell>
          <cell r="E4987" t="str">
            <v>Las Reinas</v>
          </cell>
          <cell r="H4987" t="str">
            <v>consulta_externa</v>
          </cell>
          <cell r="J4987" t="str">
            <v>bueno</v>
          </cell>
          <cell r="K4987" t="str">
            <v>probsi</v>
          </cell>
        </row>
        <row r="4988">
          <cell r="B4988" t="b">
            <v>1</v>
          </cell>
          <cell r="E4988" t="str">
            <v>Candelaria</v>
          </cell>
          <cell r="H4988" t="str">
            <v>urgencia</v>
          </cell>
          <cell r="J4988" t="str">
            <v>bueno</v>
          </cell>
          <cell r="K4988" t="str">
            <v>defsi</v>
          </cell>
        </row>
        <row r="4989">
          <cell r="B4989" t="b">
            <v>1</v>
          </cell>
          <cell r="E4989" t="str">
            <v>Las Reinas</v>
          </cell>
          <cell r="H4989" t="str">
            <v>salud_oral</v>
          </cell>
          <cell r="J4989" t="str">
            <v>bueno</v>
          </cell>
          <cell r="K4989" t="str">
            <v>probsi</v>
          </cell>
        </row>
        <row r="4990">
          <cell r="B4990" t="b">
            <v>1</v>
          </cell>
          <cell r="E4990" t="str">
            <v>Las Reinas</v>
          </cell>
          <cell r="H4990" t="str">
            <v>laboratorio</v>
          </cell>
          <cell r="J4990" t="str">
            <v>bueno</v>
          </cell>
          <cell r="K4990" t="str">
            <v>probsi</v>
          </cell>
        </row>
        <row r="4991">
          <cell r="B4991" t="b">
            <v>1</v>
          </cell>
          <cell r="E4991" t="str">
            <v>Candelaria</v>
          </cell>
          <cell r="H4991" t="str">
            <v>salud_oral</v>
          </cell>
          <cell r="J4991" t="str">
            <v>bueno</v>
          </cell>
          <cell r="K4991" t="str">
            <v>defsi</v>
          </cell>
        </row>
        <row r="4992">
          <cell r="B4992" t="b">
            <v>1</v>
          </cell>
          <cell r="E4992" t="str">
            <v>Candelaria</v>
          </cell>
          <cell r="H4992" t="str">
            <v>consulta_externa</v>
          </cell>
          <cell r="J4992" t="str">
            <v>bueno</v>
          </cell>
          <cell r="K4992" t="str">
            <v>defsi</v>
          </cell>
        </row>
        <row r="4993">
          <cell r="B4993" t="b">
            <v>1</v>
          </cell>
          <cell r="E4993" t="str">
            <v>Candelaria</v>
          </cell>
          <cell r="H4993" t="str">
            <v>salud_oral</v>
          </cell>
          <cell r="J4993" t="str">
            <v>bueno</v>
          </cell>
          <cell r="K4993" t="str">
            <v>defsi</v>
          </cell>
        </row>
        <row r="4994">
          <cell r="B4994" t="b">
            <v>1</v>
          </cell>
          <cell r="E4994" t="str">
            <v>Candelaria</v>
          </cell>
          <cell r="H4994" t="str">
            <v>salud_oral</v>
          </cell>
          <cell r="J4994" t="str">
            <v>bueno</v>
          </cell>
          <cell r="K4994" t="str">
            <v>defsi</v>
          </cell>
        </row>
        <row r="4995">
          <cell r="B4995" t="b">
            <v>1</v>
          </cell>
          <cell r="E4995" t="str">
            <v>Las Reinas</v>
          </cell>
          <cell r="H4995" t="str">
            <v>consulta_externa</v>
          </cell>
          <cell r="J4995" t="str">
            <v>bueno</v>
          </cell>
          <cell r="K4995" t="str">
            <v>probsi</v>
          </cell>
        </row>
        <row r="4996">
          <cell r="B4996" t="b">
            <v>1</v>
          </cell>
          <cell r="E4996" t="str">
            <v>Las Reinas</v>
          </cell>
          <cell r="H4996" t="str">
            <v>salud_oral</v>
          </cell>
          <cell r="J4996" t="str">
            <v>bueno</v>
          </cell>
          <cell r="K4996" t="str">
            <v>probsi</v>
          </cell>
        </row>
        <row r="4997">
          <cell r="B4997" t="b">
            <v>1</v>
          </cell>
          <cell r="E4997" t="str">
            <v>Las Reinas</v>
          </cell>
          <cell r="H4997" t="str">
            <v>laboratorio</v>
          </cell>
          <cell r="J4997" t="str">
            <v>bueno</v>
          </cell>
          <cell r="K4997" t="str">
            <v>probsi</v>
          </cell>
        </row>
        <row r="4998">
          <cell r="B4998" t="b">
            <v>1</v>
          </cell>
          <cell r="E4998" t="str">
            <v>Candelaria</v>
          </cell>
          <cell r="H4998" t="str">
            <v>consulta_externa</v>
          </cell>
          <cell r="J4998" t="str">
            <v>bueno</v>
          </cell>
          <cell r="K4998" t="str">
            <v>defsi</v>
          </cell>
        </row>
        <row r="4999">
          <cell r="B4999" t="b">
            <v>0</v>
          </cell>
          <cell r="E4999" t="str">
            <v>Las Reinas</v>
          </cell>
          <cell r="H4999" t="str">
            <v>laboratorio</v>
          </cell>
          <cell r="J4999" t="str">
            <v>regular</v>
          </cell>
          <cell r="K4999" t="str">
            <v>probsi</v>
          </cell>
        </row>
        <row r="5000">
          <cell r="B5000" t="b">
            <v>1</v>
          </cell>
          <cell r="E5000" t="str">
            <v>Las Reinas</v>
          </cell>
          <cell r="H5000" t="str">
            <v>consulta_externa</v>
          </cell>
          <cell r="J5000" t="str">
            <v>bueno</v>
          </cell>
          <cell r="K5000" t="str">
            <v>probsi</v>
          </cell>
        </row>
        <row r="5001">
          <cell r="B5001" t="b">
            <v>1</v>
          </cell>
          <cell r="E5001" t="str">
            <v>Las Reinas</v>
          </cell>
          <cell r="H5001" t="str">
            <v>salud_oral</v>
          </cell>
          <cell r="J5001" t="str">
            <v>bueno</v>
          </cell>
          <cell r="K5001" t="str">
            <v>probsi</v>
          </cell>
        </row>
        <row r="5002">
          <cell r="B5002" t="b">
            <v>1</v>
          </cell>
          <cell r="E5002" t="str">
            <v>Las Reinas</v>
          </cell>
          <cell r="H5002" t="str">
            <v>salud_oral</v>
          </cell>
          <cell r="J5002" t="str">
            <v>bueno</v>
          </cell>
          <cell r="K5002" t="str">
            <v>probsi</v>
          </cell>
        </row>
        <row r="5003">
          <cell r="B5003" t="b">
            <v>1</v>
          </cell>
          <cell r="E5003" t="str">
            <v>Candelaria</v>
          </cell>
          <cell r="H5003" t="str">
            <v>electros</v>
          </cell>
          <cell r="J5003" t="str">
            <v>bueno</v>
          </cell>
          <cell r="K5003" t="str">
            <v>defsi</v>
          </cell>
        </row>
        <row r="5004">
          <cell r="B5004" t="b">
            <v>1</v>
          </cell>
          <cell r="E5004" t="str">
            <v>Las Reinas</v>
          </cell>
          <cell r="H5004" t="str">
            <v>salud_oral</v>
          </cell>
          <cell r="J5004" t="str">
            <v>bueno</v>
          </cell>
          <cell r="K5004" t="str">
            <v>probsi</v>
          </cell>
        </row>
        <row r="5005">
          <cell r="B5005" t="b">
            <v>1</v>
          </cell>
          <cell r="E5005" t="str">
            <v>Candelaria</v>
          </cell>
          <cell r="H5005" t="str">
            <v>salud_oral</v>
          </cell>
          <cell r="J5005" t="str">
            <v>bueno</v>
          </cell>
          <cell r="K5005" t="str">
            <v>defsi</v>
          </cell>
        </row>
        <row r="5006">
          <cell r="B5006" t="b">
            <v>1</v>
          </cell>
          <cell r="E5006" t="str">
            <v>Candelaria</v>
          </cell>
          <cell r="H5006" t="str">
            <v>salud_oral</v>
          </cell>
          <cell r="J5006" t="str">
            <v>bueno</v>
          </cell>
          <cell r="K5006" t="str">
            <v>defsi</v>
          </cell>
        </row>
        <row r="5007">
          <cell r="B5007" t="b">
            <v>1</v>
          </cell>
          <cell r="E5007" t="str">
            <v>Las Reinas</v>
          </cell>
          <cell r="H5007" t="str">
            <v>laboratorio</v>
          </cell>
          <cell r="J5007" t="str">
            <v>bueno</v>
          </cell>
          <cell r="K5007" t="str">
            <v>probsi</v>
          </cell>
        </row>
        <row r="5008">
          <cell r="B5008" t="b">
            <v>1</v>
          </cell>
          <cell r="E5008" t="str">
            <v>Candelaria</v>
          </cell>
          <cell r="H5008" t="str">
            <v>consulta_externa</v>
          </cell>
          <cell r="J5008" t="str">
            <v>bueno</v>
          </cell>
          <cell r="K5008" t="str">
            <v>defsi</v>
          </cell>
        </row>
        <row r="5009">
          <cell r="B5009" t="b">
            <v>1</v>
          </cell>
          <cell r="E5009" t="str">
            <v>Las Reinas</v>
          </cell>
          <cell r="H5009" t="str">
            <v>consulta_externa</v>
          </cell>
          <cell r="J5009" t="str">
            <v>bueno</v>
          </cell>
          <cell r="K5009" t="str">
            <v>probsi</v>
          </cell>
        </row>
        <row r="5010">
          <cell r="B5010" t="b">
            <v>1</v>
          </cell>
          <cell r="E5010" t="str">
            <v>Candelaria</v>
          </cell>
          <cell r="H5010" t="str">
            <v>consulta_externa</v>
          </cell>
          <cell r="J5010" t="str">
            <v>bueno</v>
          </cell>
          <cell r="K5010" t="str">
            <v>defsi</v>
          </cell>
        </row>
        <row r="5011">
          <cell r="B5011" t="b">
            <v>1</v>
          </cell>
          <cell r="E5011" t="str">
            <v>Las Reinas</v>
          </cell>
          <cell r="H5011" t="str">
            <v>salud_oral</v>
          </cell>
          <cell r="J5011" t="str">
            <v>bueno</v>
          </cell>
          <cell r="K5011" t="str">
            <v>probsi</v>
          </cell>
        </row>
        <row r="5012">
          <cell r="B5012" t="b">
            <v>1</v>
          </cell>
          <cell r="E5012" t="str">
            <v>Candelaria</v>
          </cell>
          <cell r="H5012" t="str">
            <v>laboratorio</v>
          </cell>
          <cell r="J5012" t="str">
            <v>bueno</v>
          </cell>
          <cell r="K5012" t="str">
            <v>defsi</v>
          </cell>
        </row>
        <row r="5013">
          <cell r="B5013" t="b">
            <v>1</v>
          </cell>
          <cell r="E5013" t="str">
            <v>Candelaria</v>
          </cell>
          <cell r="H5013" t="str">
            <v>consulta_externa</v>
          </cell>
          <cell r="J5013" t="str">
            <v>bueno</v>
          </cell>
          <cell r="K5013" t="str">
            <v>defsi</v>
          </cell>
        </row>
        <row r="5014">
          <cell r="B5014" t="b">
            <v>1</v>
          </cell>
          <cell r="E5014" t="str">
            <v>Candelaria</v>
          </cell>
          <cell r="H5014" t="str">
            <v>laboratorio</v>
          </cell>
          <cell r="J5014" t="str">
            <v>bueno</v>
          </cell>
          <cell r="K5014" t="str">
            <v>defsi</v>
          </cell>
        </row>
        <row r="5015">
          <cell r="B5015" t="b">
            <v>1</v>
          </cell>
          <cell r="E5015" t="str">
            <v>Las Reinas</v>
          </cell>
          <cell r="H5015" t="str">
            <v>salud_oral</v>
          </cell>
          <cell r="J5015" t="str">
            <v>bueno</v>
          </cell>
          <cell r="K5015" t="str">
            <v>probsi</v>
          </cell>
        </row>
        <row r="5016">
          <cell r="B5016" t="b">
            <v>1</v>
          </cell>
          <cell r="E5016" t="str">
            <v>Candelaria</v>
          </cell>
          <cell r="H5016" t="str">
            <v>electros</v>
          </cell>
          <cell r="J5016" t="str">
            <v>bueno</v>
          </cell>
          <cell r="K5016" t="str">
            <v>defsi</v>
          </cell>
        </row>
        <row r="5017">
          <cell r="B5017" t="b">
            <v>1</v>
          </cell>
          <cell r="E5017" t="str">
            <v>Las Reinas</v>
          </cell>
          <cell r="H5017" t="str">
            <v>consulta_externa</v>
          </cell>
          <cell r="J5017" t="str">
            <v>bueno</v>
          </cell>
          <cell r="K5017" t="str">
            <v>probsi</v>
          </cell>
        </row>
        <row r="5018">
          <cell r="B5018" t="b">
            <v>1</v>
          </cell>
          <cell r="E5018" t="str">
            <v>Las Reinas</v>
          </cell>
          <cell r="H5018" t="str">
            <v>laboratorio</v>
          </cell>
          <cell r="J5018" t="str">
            <v>bueno</v>
          </cell>
          <cell r="K5018" t="str">
            <v>probsi</v>
          </cell>
        </row>
        <row r="5019">
          <cell r="B5019" t="b">
            <v>1</v>
          </cell>
          <cell r="E5019" t="str">
            <v>Candelaria</v>
          </cell>
          <cell r="H5019" t="str">
            <v>electros</v>
          </cell>
          <cell r="J5019" t="str">
            <v>bueno</v>
          </cell>
          <cell r="K5019" t="str">
            <v>defsi</v>
          </cell>
        </row>
        <row r="5020">
          <cell r="B5020" t="b">
            <v>1</v>
          </cell>
          <cell r="E5020" t="str">
            <v>Candelaria</v>
          </cell>
          <cell r="H5020" t="str">
            <v>electros</v>
          </cell>
          <cell r="J5020" t="str">
            <v>bueno</v>
          </cell>
          <cell r="K5020" t="str">
            <v>defsi</v>
          </cell>
        </row>
        <row r="5021">
          <cell r="B5021" t="b">
            <v>1</v>
          </cell>
          <cell r="E5021" t="str">
            <v>Candelaria</v>
          </cell>
          <cell r="H5021" t="str">
            <v>consulta_externa</v>
          </cell>
          <cell r="J5021" t="str">
            <v>bueno</v>
          </cell>
          <cell r="K5021" t="str">
            <v>defsi</v>
          </cell>
        </row>
        <row r="5022">
          <cell r="B5022" t="b">
            <v>1</v>
          </cell>
          <cell r="E5022" t="str">
            <v>Candelaria</v>
          </cell>
          <cell r="H5022" t="str">
            <v>electros</v>
          </cell>
          <cell r="J5022" t="str">
            <v>bueno</v>
          </cell>
          <cell r="K5022" t="str">
            <v>defsi</v>
          </cell>
        </row>
        <row r="5023">
          <cell r="B5023" t="b">
            <v>1</v>
          </cell>
          <cell r="E5023" t="str">
            <v>Las Reinas</v>
          </cell>
          <cell r="H5023" t="str">
            <v>consulta_externa</v>
          </cell>
          <cell r="J5023" t="str">
            <v>bueno</v>
          </cell>
          <cell r="K5023" t="str">
            <v>probsi</v>
          </cell>
        </row>
        <row r="5024">
          <cell r="B5024" t="b">
            <v>1</v>
          </cell>
          <cell r="E5024" t="str">
            <v>Las Reinas</v>
          </cell>
          <cell r="H5024" t="str">
            <v>laboratorio</v>
          </cell>
          <cell r="J5024" t="str">
            <v>bueno</v>
          </cell>
          <cell r="K5024" t="str">
            <v>probsi</v>
          </cell>
        </row>
        <row r="5025">
          <cell r="B5025" t="b">
            <v>1</v>
          </cell>
          <cell r="E5025" t="str">
            <v>Las Reinas</v>
          </cell>
          <cell r="H5025" t="str">
            <v>consulta_externa</v>
          </cell>
          <cell r="J5025" t="str">
            <v>bueno</v>
          </cell>
          <cell r="K5025" t="str">
            <v>probsi</v>
          </cell>
        </row>
        <row r="5026">
          <cell r="B5026" t="b">
            <v>1</v>
          </cell>
          <cell r="E5026" t="str">
            <v>Las Reinas</v>
          </cell>
          <cell r="H5026" t="str">
            <v>salud_oral</v>
          </cell>
          <cell r="J5026" t="str">
            <v>bueno</v>
          </cell>
          <cell r="K5026" t="str">
            <v>probsi</v>
          </cell>
        </row>
        <row r="5027">
          <cell r="B5027" t="b">
            <v>1</v>
          </cell>
          <cell r="E5027" t="str">
            <v>Las Reinas</v>
          </cell>
          <cell r="H5027" t="str">
            <v>laboratorio</v>
          </cell>
          <cell r="J5027" t="str">
            <v>bueno</v>
          </cell>
          <cell r="K5027" t="str">
            <v>probsi</v>
          </cell>
        </row>
        <row r="5028">
          <cell r="B5028" t="b">
            <v>1</v>
          </cell>
          <cell r="E5028" t="str">
            <v>Las Reinas</v>
          </cell>
          <cell r="H5028" t="str">
            <v>salud_oral</v>
          </cell>
          <cell r="J5028" t="str">
            <v>bueno</v>
          </cell>
          <cell r="K5028" t="str">
            <v>probsi</v>
          </cell>
        </row>
        <row r="5029">
          <cell r="B5029" t="b">
            <v>1</v>
          </cell>
          <cell r="E5029" t="str">
            <v>Las Reinas</v>
          </cell>
          <cell r="H5029" t="str">
            <v>salud_oral</v>
          </cell>
          <cell r="J5029" t="str">
            <v>bueno</v>
          </cell>
          <cell r="K5029" t="str">
            <v>probsi</v>
          </cell>
        </row>
        <row r="5030">
          <cell r="B5030" t="b">
            <v>1</v>
          </cell>
          <cell r="E5030" t="str">
            <v>Candelaria</v>
          </cell>
          <cell r="H5030" t="str">
            <v>consulta_externa</v>
          </cell>
          <cell r="J5030" t="str">
            <v>bueno</v>
          </cell>
          <cell r="K5030" t="str">
            <v>defsi</v>
          </cell>
        </row>
        <row r="5031">
          <cell r="B5031" t="b">
            <v>1</v>
          </cell>
          <cell r="E5031" t="str">
            <v>Candelaria</v>
          </cell>
          <cell r="H5031" t="str">
            <v>laboratorio</v>
          </cell>
          <cell r="J5031" t="str">
            <v>bueno</v>
          </cell>
          <cell r="K5031" t="str">
            <v>defsi</v>
          </cell>
        </row>
        <row r="5032">
          <cell r="B5032" t="b">
            <v>0</v>
          </cell>
          <cell r="E5032" t="str">
            <v>Candelaria</v>
          </cell>
          <cell r="H5032" t="str">
            <v>consulta_externa</v>
          </cell>
          <cell r="J5032" t="str">
            <v>regular</v>
          </cell>
          <cell r="K5032" t="str">
            <v>probsi</v>
          </cell>
        </row>
        <row r="5033">
          <cell r="B5033" t="b">
            <v>0</v>
          </cell>
          <cell r="E5033" t="str">
            <v>Candelaria</v>
          </cell>
          <cell r="H5033" t="str">
            <v>laboratorio</v>
          </cell>
          <cell r="J5033" t="str">
            <v>regular</v>
          </cell>
          <cell r="K5033" t="str">
            <v>probsi</v>
          </cell>
        </row>
        <row r="5034">
          <cell r="B5034" t="b">
            <v>1</v>
          </cell>
          <cell r="E5034" t="str">
            <v>Candelaria</v>
          </cell>
          <cell r="H5034" t="str">
            <v>salud_oral</v>
          </cell>
          <cell r="J5034" t="str">
            <v>bueno</v>
          </cell>
          <cell r="K5034" t="str">
            <v>defsi</v>
          </cell>
        </row>
        <row r="5035">
          <cell r="B5035" t="b">
            <v>1</v>
          </cell>
          <cell r="E5035" t="str">
            <v>Las Reinas</v>
          </cell>
          <cell r="H5035" t="str">
            <v>salud_oral</v>
          </cell>
          <cell r="J5035" t="str">
            <v>bueno</v>
          </cell>
          <cell r="K5035" t="str">
            <v>probsi</v>
          </cell>
        </row>
        <row r="5036">
          <cell r="B5036" t="b">
            <v>0</v>
          </cell>
          <cell r="E5036" t="str">
            <v>Candelaria</v>
          </cell>
          <cell r="H5036" t="str">
            <v>salud_oral</v>
          </cell>
          <cell r="J5036" t="str">
            <v>regular</v>
          </cell>
          <cell r="K5036" t="str">
            <v>defsi</v>
          </cell>
        </row>
        <row r="5037">
          <cell r="B5037" t="b">
            <v>0</v>
          </cell>
          <cell r="E5037" t="str">
            <v>Candelaria</v>
          </cell>
          <cell r="H5037" t="str">
            <v>consulta_externa</v>
          </cell>
          <cell r="J5037" t="str">
            <v>regular</v>
          </cell>
          <cell r="K5037" t="str">
            <v>defsi</v>
          </cell>
        </row>
        <row r="5038">
          <cell r="B5038" t="b">
            <v>1</v>
          </cell>
          <cell r="E5038" t="str">
            <v>Candelaria</v>
          </cell>
          <cell r="H5038" t="str">
            <v>consulta_externa</v>
          </cell>
          <cell r="J5038" t="str">
            <v>bueno</v>
          </cell>
          <cell r="K5038" t="str">
            <v>defsi</v>
          </cell>
        </row>
        <row r="5039">
          <cell r="B5039" t="b">
            <v>1</v>
          </cell>
          <cell r="E5039" t="str">
            <v>Candelaria</v>
          </cell>
          <cell r="H5039" t="str">
            <v>salud_oral</v>
          </cell>
          <cell r="J5039" t="str">
            <v>bueno</v>
          </cell>
          <cell r="K5039" t="str">
            <v>defsi</v>
          </cell>
        </row>
        <row r="5040">
          <cell r="B5040" t="b">
            <v>0</v>
          </cell>
          <cell r="E5040" t="str">
            <v>Candelaria</v>
          </cell>
          <cell r="H5040" t="str">
            <v>salud_oral</v>
          </cell>
          <cell r="J5040" t="str">
            <v>regular</v>
          </cell>
          <cell r="K5040" t="str">
            <v>defsi</v>
          </cell>
        </row>
        <row r="5041">
          <cell r="B5041" t="b">
            <v>1</v>
          </cell>
          <cell r="E5041" t="str">
            <v>Candelaria</v>
          </cell>
          <cell r="H5041" t="str">
            <v>salud_oral</v>
          </cell>
          <cell r="J5041" t="str">
            <v>bueno</v>
          </cell>
          <cell r="K5041" t="str">
            <v>defsi</v>
          </cell>
        </row>
        <row r="5042">
          <cell r="B5042" t="b">
            <v>1</v>
          </cell>
          <cell r="E5042" t="str">
            <v>Candelaria</v>
          </cell>
          <cell r="H5042" t="str">
            <v>salud_oral</v>
          </cell>
          <cell r="J5042" t="str">
            <v>bueno</v>
          </cell>
          <cell r="K5042" t="str">
            <v>defsi</v>
          </cell>
        </row>
        <row r="5043">
          <cell r="B5043" t="b">
            <v>1</v>
          </cell>
          <cell r="E5043" t="str">
            <v>Candelaria</v>
          </cell>
          <cell r="H5043" t="str">
            <v>consulta_externa</v>
          </cell>
          <cell r="J5043" t="str">
            <v>bueno</v>
          </cell>
          <cell r="K5043" t="str">
            <v>defsi</v>
          </cell>
        </row>
        <row r="5044">
          <cell r="B5044" t="b">
            <v>1</v>
          </cell>
          <cell r="E5044" t="str">
            <v>Candelaria</v>
          </cell>
          <cell r="H5044" t="str">
            <v>laboratorio</v>
          </cell>
          <cell r="J5044" t="str">
            <v>bueno</v>
          </cell>
          <cell r="K5044" t="str">
            <v>defsi</v>
          </cell>
        </row>
        <row r="5045">
          <cell r="B5045" t="b">
            <v>1</v>
          </cell>
          <cell r="E5045" t="str">
            <v>Candelaria</v>
          </cell>
          <cell r="H5045" t="str">
            <v>urgencia</v>
          </cell>
          <cell r="J5045" t="str">
            <v>bueno</v>
          </cell>
          <cell r="K5045" t="str">
            <v>defsi</v>
          </cell>
        </row>
        <row r="5046">
          <cell r="B5046" t="b">
            <v>1</v>
          </cell>
          <cell r="E5046" t="str">
            <v>Candelaria</v>
          </cell>
          <cell r="H5046" t="str">
            <v>urgencia</v>
          </cell>
          <cell r="J5046" t="str">
            <v>bueno</v>
          </cell>
          <cell r="K5046" t="str">
            <v>defsi</v>
          </cell>
        </row>
        <row r="5047">
          <cell r="B5047" t="b">
            <v>0</v>
          </cell>
          <cell r="E5047" t="str">
            <v>Candelaria</v>
          </cell>
          <cell r="H5047" t="str">
            <v>urgencia</v>
          </cell>
          <cell r="J5047" t="str">
            <v>regular</v>
          </cell>
          <cell r="K5047" t="str">
            <v>probsi</v>
          </cell>
        </row>
        <row r="5048">
          <cell r="B5048" t="b">
            <v>0</v>
          </cell>
          <cell r="E5048" t="str">
            <v>Candelaria</v>
          </cell>
          <cell r="H5048" t="str">
            <v>urgencia</v>
          </cell>
          <cell r="J5048" t="str">
            <v>regular</v>
          </cell>
          <cell r="K5048" t="str">
            <v>probsi</v>
          </cell>
        </row>
        <row r="5049">
          <cell r="B5049" t="b">
            <v>1</v>
          </cell>
          <cell r="E5049" t="str">
            <v>Candelaria</v>
          </cell>
          <cell r="H5049" t="str">
            <v>urgencia</v>
          </cell>
          <cell r="J5049" t="str">
            <v>bueno</v>
          </cell>
          <cell r="K5049" t="str">
            <v>defsi</v>
          </cell>
        </row>
        <row r="5050">
          <cell r="B5050" t="b">
            <v>0</v>
          </cell>
          <cell r="E5050" t="str">
            <v>Candelaria</v>
          </cell>
          <cell r="H5050" t="str">
            <v>urgencia</v>
          </cell>
          <cell r="J5050" t="str">
            <v>regular</v>
          </cell>
          <cell r="K5050" t="str">
            <v>defsi</v>
          </cell>
        </row>
        <row r="5051">
          <cell r="B5051" t="b">
            <v>0</v>
          </cell>
          <cell r="E5051" t="str">
            <v>Las Reinas</v>
          </cell>
          <cell r="H5051" t="str">
            <v>laboratorio</v>
          </cell>
          <cell r="J5051" t="str">
            <v>regular</v>
          </cell>
          <cell r="K5051" t="str">
            <v>probsi</v>
          </cell>
        </row>
        <row r="5052">
          <cell r="B5052" t="b">
            <v>1</v>
          </cell>
          <cell r="E5052" t="str">
            <v>Las Reinas</v>
          </cell>
          <cell r="H5052" t="str">
            <v>laboratorio</v>
          </cell>
          <cell r="J5052" t="str">
            <v>bueno</v>
          </cell>
          <cell r="K5052" t="str">
            <v>probsi</v>
          </cell>
        </row>
        <row r="5053">
          <cell r="B5053" t="b">
            <v>1</v>
          </cell>
          <cell r="E5053" t="str">
            <v>Las Reinas</v>
          </cell>
          <cell r="H5053" t="str">
            <v>laboratorio</v>
          </cell>
          <cell r="J5053" t="str">
            <v>bueno</v>
          </cell>
          <cell r="K5053" t="str">
            <v>probsi</v>
          </cell>
        </row>
        <row r="5054">
          <cell r="B5054" t="b">
            <v>1</v>
          </cell>
          <cell r="E5054" t="str">
            <v>Las Reinas</v>
          </cell>
          <cell r="H5054" t="str">
            <v>laboratorio</v>
          </cell>
          <cell r="J5054" t="str">
            <v>bueno</v>
          </cell>
          <cell r="K5054" t="str">
            <v>probsi</v>
          </cell>
        </row>
        <row r="5055">
          <cell r="B5055" t="b">
            <v>1</v>
          </cell>
          <cell r="E5055" t="str">
            <v>Las Reinas</v>
          </cell>
          <cell r="H5055" t="str">
            <v>laboratorio</v>
          </cell>
          <cell r="J5055" t="str">
            <v>bueno</v>
          </cell>
          <cell r="K5055" t="str">
            <v>probsi</v>
          </cell>
        </row>
        <row r="5056">
          <cell r="B5056" t="b">
            <v>1</v>
          </cell>
          <cell r="E5056" t="str">
            <v>Las Reinas</v>
          </cell>
          <cell r="H5056" t="str">
            <v>laboratorio</v>
          </cell>
          <cell r="J5056" t="str">
            <v>bueno</v>
          </cell>
          <cell r="K5056" t="str">
            <v>probsi</v>
          </cell>
        </row>
        <row r="5057">
          <cell r="B5057" t="b">
            <v>1</v>
          </cell>
          <cell r="E5057" t="str">
            <v>Nelson Mandela UPA</v>
          </cell>
          <cell r="H5057" t="str">
            <v>consulta_externa</v>
          </cell>
          <cell r="J5057" t="str">
            <v>bueno</v>
          </cell>
          <cell r="K5057" t="str">
            <v>probsi</v>
          </cell>
        </row>
        <row r="5058">
          <cell r="B5058" t="b">
            <v>1</v>
          </cell>
          <cell r="E5058" t="str">
            <v>Nelson Mandela UPA</v>
          </cell>
          <cell r="H5058" t="str">
            <v>laboratorio</v>
          </cell>
          <cell r="J5058" t="str">
            <v>bueno</v>
          </cell>
          <cell r="K5058" t="str">
            <v>probsi</v>
          </cell>
        </row>
        <row r="5059">
          <cell r="B5059" t="b">
            <v>0</v>
          </cell>
          <cell r="E5059" t="str">
            <v>Nelson Mandela UPA</v>
          </cell>
          <cell r="H5059" t="str">
            <v>consulta_externa</v>
          </cell>
          <cell r="J5059" t="str">
            <v>regular</v>
          </cell>
          <cell r="K5059" t="str">
            <v>probsi</v>
          </cell>
        </row>
        <row r="5060">
          <cell r="B5060" t="b">
            <v>1</v>
          </cell>
          <cell r="E5060" t="str">
            <v>Nelson Mandela UPA</v>
          </cell>
          <cell r="H5060" t="str">
            <v>consulta_externa</v>
          </cell>
          <cell r="J5060" t="str">
            <v>bueno</v>
          </cell>
          <cell r="K5060" t="str">
            <v>probsi</v>
          </cell>
        </row>
        <row r="5061">
          <cell r="B5061" t="b">
            <v>1</v>
          </cell>
          <cell r="E5061" t="str">
            <v>Nelson Mandela UPA</v>
          </cell>
          <cell r="H5061" t="str">
            <v>consulta_externa</v>
          </cell>
          <cell r="J5061" t="str">
            <v>bueno</v>
          </cell>
          <cell r="K5061" t="str">
            <v>probsi</v>
          </cell>
        </row>
        <row r="5062">
          <cell r="B5062" t="b">
            <v>1</v>
          </cell>
          <cell r="E5062" t="str">
            <v>Nelson Mandela UPA</v>
          </cell>
          <cell r="H5062" t="str">
            <v>laboratorio</v>
          </cell>
          <cell r="J5062" t="str">
            <v>bueno</v>
          </cell>
          <cell r="K5062" t="str">
            <v>probsi</v>
          </cell>
        </row>
        <row r="5063">
          <cell r="B5063" t="b">
            <v>1</v>
          </cell>
          <cell r="E5063" t="str">
            <v>Blasdelezo</v>
          </cell>
          <cell r="H5063" t="str">
            <v>consulta_externa</v>
          </cell>
          <cell r="J5063" t="str">
            <v>bueno</v>
          </cell>
          <cell r="K5063" t="str">
            <v>probsi</v>
          </cell>
        </row>
        <row r="5064">
          <cell r="B5064" t="b">
            <v>1</v>
          </cell>
          <cell r="E5064" t="str">
            <v>Blasdelezo</v>
          </cell>
          <cell r="H5064" t="str">
            <v>consulta_externa</v>
          </cell>
          <cell r="J5064" t="str">
            <v>bueno</v>
          </cell>
          <cell r="K5064" t="str">
            <v>probsi</v>
          </cell>
        </row>
        <row r="5065">
          <cell r="B5065" t="b">
            <v>1</v>
          </cell>
          <cell r="E5065" t="str">
            <v>Nelson Mandela UPA</v>
          </cell>
          <cell r="H5065" t="str">
            <v>consulta_externa</v>
          </cell>
          <cell r="J5065" t="str">
            <v>bueno</v>
          </cell>
          <cell r="K5065" t="str">
            <v>probsi</v>
          </cell>
        </row>
        <row r="5066">
          <cell r="B5066" t="b">
            <v>1</v>
          </cell>
          <cell r="E5066" t="str">
            <v>Blasdelezo</v>
          </cell>
          <cell r="H5066" t="str">
            <v>consulta_externa</v>
          </cell>
          <cell r="J5066" t="str">
            <v>bueno</v>
          </cell>
          <cell r="K5066" t="str">
            <v>probsi</v>
          </cell>
        </row>
        <row r="5067">
          <cell r="B5067" t="b">
            <v>1</v>
          </cell>
          <cell r="E5067" t="str">
            <v>Nelson Mandela UPA</v>
          </cell>
          <cell r="H5067" t="str">
            <v>laboratorio</v>
          </cell>
          <cell r="J5067" t="str">
            <v>bueno</v>
          </cell>
          <cell r="K5067" t="str">
            <v>probsi</v>
          </cell>
        </row>
        <row r="5068">
          <cell r="B5068" t="b">
            <v>1</v>
          </cell>
          <cell r="E5068" t="str">
            <v>Blasdelezo</v>
          </cell>
          <cell r="H5068" t="str">
            <v>consulta_externa</v>
          </cell>
          <cell r="J5068" t="str">
            <v>bueno</v>
          </cell>
          <cell r="K5068" t="str">
            <v>probsi</v>
          </cell>
        </row>
        <row r="5069">
          <cell r="B5069" t="b">
            <v>1</v>
          </cell>
          <cell r="E5069" t="str">
            <v>Blasdelezo</v>
          </cell>
          <cell r="H5069" t="str">
            <v>consulta_externa</v>
          </cell>
          <cell r="J5069" t="str">
            <v>bueno</v>
          </cell>
          <cell r="K5069" t="str">
            <v>probsi</v>
          </cell>
        </row>
        <row r="5070">
          <cell r="B5070" t="b">
            <v>1</v>
          </cell>
          <cell r="E5070" t="str">
            <v>Nelson Mandela UPA</v>
          </cell>
          <cell r="H5070" t="str">
            <v>urgencia</v>
          </cell>
          <cell r="J5070" t="str">
            <v>bueno</v>
          </cell>
          <cell r="K5070" t="str">
            <v>probsi</v>
          </cell>
        </row>
        <row r="5071">
          <cell r="B5071" t="b">
            <v>1</v>
          </cell>
          <cell r="E5071" t="str">
            <v>Blasdelezo</v>
          </cell>
          <cell r="H5071" t="str">
            <v>laboratorio</v>
          </cell>
          <cell r="J5071" t="str">
            <v>bueno</v>
          </cell>
          <cell r="K5071" t="str">
            <v>probsi</v>
          </cell>
        </row>
        <row r="5072">
          <cell r="B5072" t="b">
            <v>1</v>
          </cell>
          <cell r="E5072" t="str">
            <v>Blasdelezo</v>
          </cell>
          <cell r="H5072" t="str">
            <v>laboratorio</v>
          </cell>
          <cell r="J5072" t="str">
            <v>bueno</v>
          </cell>
          <cell r="K5072" t="str">
            <v>probsi</v>
          </cell>
        </row>
        <row r="5073">
          <cell r="B5073" t="b">
            <v>1</v>
          </cell>
          <cell r="E5073" t="str">
            <v>Blasdelezo</v>
          </cell>
          <cell r="H5073" t="str">
            <v>laboratorio</v>
          </cell>
          <cell r="J5073" t="str">
            <v>bueno</v>
          </cell>
          <cell r="K5073" t="str">
            <v>probsi</v>
          </cell>
        </row>
        <row r="5074">
          <cell r="B5074" t="b">
            <v>1</v>
          </cell>
          <cell r="E5074" t="str">
            <v>Blasdelezo</v>
          </cell>
          <cell r="H5074" t="str">
            <v>laboratorio</v>
          </cell>
          <cell r="J5074" t="str">
            <v>bueno</v>
          </cell>
          <cell r="K5074" t="str">
            <v>probsi</v>
          </cell>
        </row>
        <row r="5075">
          <cell r="B5075" t="b">
            <v>1</v>
          </cell>
          <cell r="E5075" t="str">
            <v>Blasdelezo</v>
          </cell>
          <cell r="H5075" t="str">
            <v>salud_oral</v>
          </cell>
          <cell r="J5075" t="str">
            <v>bueno</v>
          </cell>
          <cell r="K5075" t="str">
            <v>probsi</v>
          </cell>
        </row>
        <row r="5076">
          <cell r="B5076" t="b">
            <v>1</v>
          </cell>
          <cell r="E5076" t="str">
            <v>Blasdelezo</v>
          </cell>
          <cell r="H5076" t="str">
            <v>salud_oral</v>
          </cell>
          <cell r="J5076" t="str">
            <v>bueno</v>
          </cell>
          <cell r="K5076" t="str">
            <v>probsi</v>
          </cell>
        </row>
        <row r="5077">
          <cell r="B5077" t="b">
            <v>1</v>
          </cell>
          <cell r="E5077" t="str">
            <v>Nelson Mandela UPA</v>
          </cell>
          <cell r="H5077" t="str">
            <v>consulta_externa</v>
          </cell>
          <cell r="J5077" t="str">
            <v>bueno</v>
          </cell>
          <cell r="K5077" t="str">
            <v>probsi</v>
          </cell>
        </row>
        <row r="5078">
          <cell r="B5078" t="b">
            <v>1</v>
          </cell>
          <cell r="E5078" t="str">
            <v>Candelaria</v>
          </cell>
          <cell r="H5078" t="str">
            <v>urgencia</v>
          </cell>
          <cell r="J5078" t="str">
            <v>bueno</v>
          </cell>
          <cell r="K5078" t="str">
            <v>defsi</v>
          </cell>
        </row>
        <row r="5079">
          <cell r="B5079" t="b">
            <v>1</v>
          </cell>
          <cell r="E5079" t="str">
            <v>Candelaria</v>
          </cell>
          <cell r="H5079" t="str">
            <v>urgencia</v>
          </cell>
          <cell r="J5079" t="str">
            <v>bueno</v>
          </cell>
          <cell r="K5079" t="str">
            <v>defsi</v>
          </cell>
        </row>
        <row r="5080">
          <cell r="B5080" t="b">
            <v>1</v>
          </cell>
          <cell r="E5080" t="str">
            <v>Candelaria</v>
          </cell>
          <cell r="H5080" t="str">
            <v>urgencia</v>
          </cell>
          <cell r="J5080" t="str">
            <v>bueno</v>
          </cell>
          <cell r="K5080" t="str">
            <v>defsi</v>
          </cell>
        </row>
        <row r="5081">
          <cell r="B5081" t="b">
            <v>0</v>
          </cell>
          <cell r="E5081" t="str">
            <v>Nelson Mandela UPA</v>
          </cell>
          <cell r="H5081" t="str">
            <v>consulta_externa</v>
          </cell>
          <cell r="J5081" t="str">
            <v>regular</v>
          </cell>
          <cell r="K5081" t="str">
            <v>probsi</v>
          </cell>
        </row>
        <row r="5082">
          <cell r="B5082" t="b">
            <v>1</v>
          </cell>
          <cell r="E5082" t="str">
            <v>Candelaria</v>
          </cell>
          <cell r="H5082" t="str">
            <v>urgencia</v>
          </cell>
          <cell r="J5082" t="str">
            <v>bueno</v>
          </cell>
          <cell r="K5082" t="str">
            <v>defsi</v>
          </cell>
        </row>
        <row r="5083">
          <cell r="B5083" t="b">
            <v>0</v>
          </cell>
          <cell r="E5083" t="str">
            <v>Nelson Mandela UPA</v>
          </cell>
          <cell r="H5083" t="str">
            <v>laboratorio</v>
          </cell>
          <cell r="J5083" t="str">
            <v>regular</v>
          </cell>
          <cell r="K5083" t="str">
            <v>probsi</v>
          </cell>
        </row>
        <row r="5084">
          <cell r="B5084" t="b">
            <v>0</v>
          </cell>
          <cell r="E5084" t="str">
            <v>Candelaria</v>
          </cell>
          <cell r="H5084" t="str">
            <v>urgencia</v>
          </cell>
          <cell r="J5084" t="str">
            <v>regular</v>
          </cell>
          <cell r="K5084" t="str">
            <v>defsi</v>
          </cell>
        </row>
        <row r="5085">
          <cell r="B5085" t="b">
            <v>1</v>
          </cell>
          <cell r="E5085" t="str">
            <v>Candelaria</v>
          </cell>
          <cell r="H5085" t="str">
            <v>medicina_interna</v>
          </cell>
          <cell r="J5085" t="str">
            <v>bueno</v>
          </cell>
          <cell r="K5085" t="str">
            <v>defsi</v>
          </cell>
        </row>
        <row r="5086">
          <cell r="B5086" t="b">
            <v>1</v>
          </cell>
          <cell r="E5086" t="str">
            <v>Candelaria</v>
          </cell>
          <cell r="H5086" t="str">
            <v>medicina_interna</v>
          </cell>
          <cell r="J5086" t="str">
            <v>muybueno</v>
          </cell>
          <cell r="K5086" t="str">
            <v>defsi</v>
          </cell>
        </row>
        <row r="5087">
          <cell r="B5087" t="b">
            <v>1</v>
          </cell>
          <cell r="E5087" t="str">
            <v>Candelaria</v>
          </cell>
          <cell r="H5087" t="str">
            <v>medicina_interna</v>
          </cell>
          <cell r="J5087" t="str">
            <v>bueno</v>
          </cell>
          <cell r="K5087" t="str">
            <v>defsi</v>
          </cell>
        </row>
        <row r="5088">
          <cell r="B5088" t="b">
            <v>1</v>
          </cell>
          <cell r="E5088" t="str">
            <v>Candelaria</v>
          </cell>
          <cell r="H5088" t="str">
            <v>pediatria</v>
          </cell>
          <cell r="J5088" t="str">
            <v>bueno</v>
          </cell>
          <cell r="K5088" t="str">
            <v>defsi</v>
          </cell>
        </row>
        <row r="5089">
          <cell r="B5089" t="b">
            <v>1</v>
          </cell>
          <cell r="E5089" t="str">
            <v>Nelson Mandela UPA</v>
          </cell>
          <cell r="H5089" t="str">
            <v>consulta_externa</v>
          </cell>
          <cell r="J5089" t="str">
            <v>bueno</v>
          </cell>
          <cell r="K5089" t="str">
            <v>probsi</v>
          </cell>
        </row>
        <row r="5090">
          <cell r="B5090" t="b">
            <v>1</v>
          </cell>
          <cell r="E5090" t="str">
            <v>Nelson Mandela UPA</v>
          </cell>
          <cell r="H5090" t="str">
            <v>salud_oral</v>
          </cell>
          <cell r="J5090" t="str">
            <v>bueno</v>
          </cell>
          <cell r="K5090" t="str">
            <v>probsi</v>
          </cell>
        </row>
        <row r="5091">
          <cell r="B5091" t="b">
            <v>1</v>
          </cell>
          <cell r="E5091" t="str">
            <v>Candelaria</v>
          </cell>
          <cell r="H5091" t="str">
            <v>pediatria</v>
          </cell>
          <cell r="J5091" t="str">
            <v>bueno</v>
          </cell>
          <cell r="K5091" t="str">
            <v>defsi</v>
          </cell>
        </row>
        <row r="5092">
          <cell r="B5092" t="b">
            <v>1</v>
          </cell>
          <cell r="E5092" t="str">
            <v>Nelson Mandela UPA</v>
          </cell>
          <cell r="H5092" t="str">
            <v>laboratorio</v>
          </cell>
          <cell r="J5092" t="str">
            <v>bueno</v>
          </cell>
          <cell r="K5092" t="str">
            <v>probsi</v>
          </cell>
        </row>
        <row r="5093">
          <cell r="B5093" t="b">
            <v>1</v>
          </cell>
          <cell r="E5093" t="str">
            <v>Candelaria</v>
          </cell>
          <cell r="H5093" t="str">
            <v>pediatria</v>
          </cell>
          <cell r="J5093" t="str">
            <v>bueno</v>
          </cell>
          <cell r="K5093" t="str">
            <v>defsi</v>
          </cell>
        </row>
        <row r="5094">
          <cell r="B5094" t="b">
            <v>1</v>
          </cell>
          <cell r="E5094" t="str">
            <v>Blasdelezo</v>
          </cell>
          <cell r="H5094" t="str">
            <v>salud_oral</v>
          </cell>
          <cell r="J5094" t="str">
            <v>bueno</v>
          </cell>
          <cell r="K5094" t="str">
            <v>probsi</v>
          </cell>
        </row>
        <row r="5095">
          <cell r="B5095" t="b">
            <v>1</v>
          </cell>
          <cell r="E5095" t="str">
            <v>Candelaria</v>
          </cell>
          <cell r="H5095" t="str">
            <v>salud_oral</v>
          </cell>
          <cell r="J5095" t="str">
            <v>bueno</v>
          </cell>
          <cell r="K5095" t="str">
            <v>defsi</v>
          </cell>
        </row>
        <row r="5096">
          <cell r="B5096" t="b">
            <v>1</v>
          </cell>
          <cell r="E5096" t="str">
            <v>Candelaria</v>
          </cell>
          <cell r="H5096" t="str">
            <v>salud_oral</v>
          </cell>
          <cell r="J5096" t="str">
            <v>bueno</v>
          </cell>
          <cell r="K5096" t="str">
            <v>defsi</v>
          </cell>
        </row>
        <row r="5097">
          <cell r="B5097" t="b">
            <v>1</v>
          </cell>
          <cell r="E5097" t="str">
            <v>Candelaria</v>
          </cell>
          <cell r="H5097" t="str">
            <v>salud_oral</v>
          </cell>
          <cell r="J5097" t="str">
            <v>bueno</v>
          </cell>
          <cell r="K5097" t="str">
            <v>defsi</v>
          </cell>
        </row>
        <row r="5098">
          <cell r="B5098" t="b">
            <v>1</v>
          </cell>
          <cell r="E5098" t="str">
            <v>Candelaria</v>
          </cell>
          <cell r="H5098" t="str">
            <v>salud_oral</v>
          </cell>
          <cell r="J5098" t="str">
            <v>bueno</v>
          </cell>
          <cell r="K5098" t="str">
            <v>defsi</v>
          </cell>
        </row>
        <row r="5099">
          <cell r="B5099" t="b">
            <v>1</v>
          </cell>
          <cell r="E5099" t="str">
            <v>Candelaria</v>
          </cell>
          <cell r="H5099" t="str">
            <v>salud_oral</v>
          </cell>
          <cell r="J5099" t="str">
            <v>bueno</v>
          </cell>
          <cell r="K5099" t="str">
            <v>defsi</v>
          </cell>
        </row>
        <row r="5100">
          <cell r="B5100" t="b">
            <v>0</v>
          </cell>
          <cell r="E5100" t="str">
            <v>Candelaria</v>
          </cell>
          <cell r="H5100" t="str">
            <v>salud_oral</v>
          </cell>
          <cell r="J5100" t="str">
            <v>regular</v>
          </cell>
          <cell r="K5100" t="str">
            <v>defsi</v>
          </cell>
        </row>
        <row r="5101">
          <cell r="B5101" t="b">
            <v>1</v>
          </cell>
          <cell r="E5101" t="str">
            <v>Candelaria</v>
          </cell>
          <cell r="H5101" t="str">
            <v>medicina_interna</v>
          </cell>
          <cell r="J5101" t="str">
            <v>bueno</v>
          </cell>
          <cell r="K5101" t="str">
            <v>defsi</v>
          </cell>
        </row>
        <row r="5102">
          <cell r="B5102" t="b">
            <v>0</v>
          </cell>
          <cell r="E5102" t="str">
            <v>Candelaria</v>
          </cell>
          <cell r="H5102" t="str">
            <v>medicina_interna</v>
          </cell>
          <cell r="J5102" t="str">
            <v>regular</v>
          </cell>
          <cell r="K5102" t="str">
            <v>defsi</v>
          </cell>
        </row>
        <row r="5103">
          <cell r="B5103" t="b">
            <v>1</v>
          </cell>
          <cell r="E5103" t="str">
            <v>Nelson Mandela UPA</v>
          </cell>
          <cell r="H5103" t="str">
            <v>salud_oral</v>
          </cell>
          <cell r="J5103" t="str">
            <v>bueno</v>
          </cell>
          <cell r="K5103" t="str">
            <v>probsi</v>
          </cell>
        </row>
        <row r="5104">
          <cell r="B5104" t="b">
            <v>1</v>
          </cell>
          <cell r="E5104" t="str">
            <v>Nelson Mandela UPA</v>
          </cell>
          <cell r="H5104" t="str">
            <v>consulta_externa</v>
          </cell>
          <cell r="J5104" t="str">
            <v>bueno</v>
          </cell>
          <cell r="K5104" t="str">
            <v>probsi</v>
          </cell>
        </row>
        <row r="5105">
          <cell r="B5105" t="b">
            <v>1</v>
          </cell>
          <cell r="E5105" t="str">
            <v>Nelson Mandela UPA</v>
          </cell>
          <cell r="H5105" t="str">
            <v>urgencia</v>
          </cell>
          <cell r="J5105" t="str">
            <v>bueno</v>
          </cell>
          <cell r="K5105" t="str">
            <v>probsi</v>
          </cell>
        </row>
        <row r="5106">
          <cell r="B5106" t="b">
            <v>1</v>
          </cell>
          <cell r="E5106" t="str">
            <v>Blasdelezo</v>
          </cell>
          <cell r="H5106" t="str">
            <v>consulta_externa</v>
          </cell>
          <cell r="J5106" t="str">
            <v>bueno</v>
          </cell>
          <cell r="K5106" t="str">
            <v>probsi</v>
          </cell>
        </row>
        <row r="5107">
          <cell r="B5107" t="b">
            <v>1</v>
          </cell>
          <cell r="E5107" t="str">
            <v>Blasdelezo</v>
          </cell>
          <cell r="H5107" t="str">
            <v>consulta_externa</v>
          </cell>
          <cell r="J5107" t="str">
            <v>bueno</v>
          </cell>
          <cell r="K5107" t="str">
            <v>probsi</v>
          </cell>
        </row>
        <row r="5108">
          <cell r="B5108" t="b">
            <v>1</v>
          </cell>
          <cell r="E5108" t="str">
            <v>Blasdelezo</v>
          </cell>
          <cell r="H5108" t="str">
            <v>consulta_externa</v>
          </cell>
          <cell r="J5108" t="str">
            <v>bueno</v>
          </cell>
          <cell r="K5108" t="str">
            <v>probsi</v>
          </cell>
        </row>
        <row r="5109">
          <cell r="B5109" t="b">
            <v>1</v>
          </cell>
          <cell r="E5109" t="str">
            <v>Blasdelezo</v>
          </cell>
          <cell r="H5109" t="str">
            <v>consulta_externa</v>
          </cell>
          <cell r="J5109" t="str">
            <v>bueno</v>
          </cell>
          <cell r="K5109" t="str">
            <v>probsi</v>
          </cell>
        </row>
        <row r="5110">
          <cell r="B5110" t="b">
            <v>0</v>
          </cell>
          <cell r="E5110" t="str">
            <v>Nelson Mandela UPA</v>
          </cell>
          <cell r="H5110" t="str">
            <v>consulta_externa</v>
          </cell>
          <cell r="J5110" t="str">
            <v>regular</v>
          </cell>
          <cell r="K5110" t="str">
            <v>probsi</v>
          </cell>
        </row>
        <row r="5111">
          <cell r="B5111" t="b">
            <v>1</v>
          </cell>
          <cell r="E5111" t="str">
            <v>Blasdelezo</v>
          </cell>
          <cell r="H5111" t="str">
            <v>consulta_externa</v>
          </cell>
          <cell r="J5111" t="str">
            <v>bueno</v>
          </cell>
          <cell r="K5111" t="str">
            <v>probsi</v>
          </cell>
        </row>
        <row r="5112">
          <cell r="B5112" t="b">
            <v>1</v>
          </cell>
          <cell r="E5112" t="str">
            <v>Blasdelezo</v>
          </cell>
          <cell r="H5112" t="str">
            <v>consulta_externa</v>
          </cell>
          <cell r="J5112" t="str">
            <v>bueno</v>
          </cell>
          <cell r="K5112" t="str">
            <v>probsi</v>
          </cell>
        </row>
        <row r="5113">
          <cell r="B5113" t="b">
            <v>1</v>
          </cell>
          <cell r="E5113" t="str">
            <v>Blasdelezo</v>
          </cell>
          <cell r="H5113" t="str">
            <v>consulta_externa</v>
          </cell>
          <cell r="J5113" t="str">
            <v>bueno</v>
          </cell>
          <cell r="K5113" t="str">
            <v>probsi</v>
          </cell>
        </row>
        <row r="5114">
          <cell r="B5114" t="b">
            <v>0</v>
          </cell>
          <cell r="E5114" t="str">
            <v>Nelson Mandela UPA</v>
          </cell>
          <cell r="H5114" t="str">
            <v>laboratorio</v>
          </cell>
          <cell r="J5114" t="str">
            <v>regular</v>
          </cell>
          <cell r="K5114" t="str">
            <v>probsi</v>
          </cell>
        </row>
        <row r="5115">
          <cell r="B5115" t="b">
            <v>1</v>
          </cell>
          <cell r="E5115" t="str">
            <v>Blasdelezo</v>
          </cell>
          <cell r="H5115" t="str">
            <v>consulta_externa</v>
          </cell>
          <cell r="J5115" t="str">
            <v>bueno</v>
          </cell>
          <cell r="K5115" t="str">
            <v>probsi</v>
          </cell>
        </row>
        <row r="5116">
          <cell r="B5116" t="b">
            <v>1</v>
          </cell>
          <cell r="E5116" t="str">
            <v>Blasdelezo</v>
          </cell>
          <cell r="H5116" t="str">
            <v>consulta_externa</v>
          </cell>
          <cell r="J5116" t="str">
            <v>bueno</v>
          </cell>
          <cell r="K5116" t="str">
            <v>probsi</v>
          </cell>
        </row>
        <row r="5117">
          <cell r="B5117" t="b">
            <v>1</v>
          </cell>
          <cell r="E5117" t="str">
            <v>Blasdelezo</v>
          </cell>
          <cell r="H5117" t="str">
            <v>consulta_externa</v>
          </cell>
          <cell r="J5117" t="str">
            <v>bueno</v>
          </cell>
          <cell r="K5117" t="str">
            <v>probsi</v>
          </cell>
        </row>
        <row r="5118">
          <cell r="B5118" t="b">
            <v>1</v>
          </cell>
          <cell r="E5118" t="str">
            <v>Blasdelezo</v>
          </cell>
          <cell r="H5118" t="str">
            <v>consulta_externa</v>
          </cell>
          <cell r="J5118" t="str">
            <v>bueno</v>
          </cell>
          <cell r="K5118" t="str">
            <v>probsi</v>
          </cell>
        </row>
        <row r="5119">
          <cell r="B5119" t="b">
            <v>1</v>
          </cell>
          <cell r="E5119" t="str">
            <v>Blasdelezo</v>
          </cell>
          <cell r="H5119" t="str">
            <v>consulta_externa</v>
          </cell>
          <cell r="J5119" t="str">
            <v>bueno</v>
          </cell>
          <cell r="K5119" t="str">
            <v>probsi</v>
          </cell>
        </row>
        <row r="5120">
          <cell r="B5120" t="b">
            <v>1</v>
          </cell>
          <cell r="E5120" t="str">
            <v>Nelson Mandela UPA</v>
          </cell>
          <cell r="H5120" t="str">
            <v>salud_oral</v>
          </cell>
          <cell r="J5120" t="str">
            <v>bueno</v>
          </cell>
          <cell r="K5120" t="str">
            <v>probsi</v>
          </cell>
        </row>
        <row r="5121">
          <cell r="B5121" t="b">
            <v>1</v>
          </cell>
          <cell r="E5121" t="str">
            <v>Nelson Mandela UPA</v>
          </cell>
          <cell r="H5121" t="str">
            <v>consulta_externa</v>
          </cell>
          <cell r="J5121" t="str">
            <v>bueno</v>
          </cell>
          <cell r="K5121" t="str">
            <v>probsi</v>
          </cell>
        </row>
        <row r="5122">
          <cell r="B5122" t="b">
            <v>1</v>
          </cell>
          <cell r="E5122" t="str">
            <v>Nelson Mandela UPA</v>
          </cell>
          <cell r="H5122" t="str">
            <v>laboratorio</v>
          </cell>
          <cell r="J5122" t="str">
            <v>bueno</v>
          </cell>
          <cell r="K5122" t="str">
            <v>probsi</v>
          </cell>
        </row>
        <row r="5123">
          <cell r="B5123" t="b">
            <v>1</v>
          </cell>
          <cell r="E5123" t="str">
            <v>Nelson Mandela UPA</v>
          </cell>
          <cell r="H5123" t="str">
            <v>salud_oral</v>
          </cell>
          <cell r="J5123" t="str">
            <v>bueno</v>
          </cell>
          <cell r="K5123" t="str">
            <v>probsi</v>
          </cell>
        </row>
        <row r="5124">
          <cell r="B5124" t="b">
            <v>1</v>
          </cell>
          <cell r="E5124" t="str">
            <v>Nelson Mandela UPA</v>
          </cell>
          <cell r="H5124" t="str">
            <v>consulta_externa</v>
          </cell>
          <cell r="J5124" t="str">
            <v>bueno</v>
          </cell>
          <cell r="K5124" t="str">
            <v>probsi</v>
          </cell>
        </row>
        <row r="5125">
          <cell r="B5125" t="b">
            <v>1</v>
          </cell>
          <cell r="E5125" t="str">
            <v>Nelson Mandela UPA</v>
          </cell>
          <cell r="H5125" t="str">
            <v>laboratorio</v>
          </cell>
          <cell r="J5125" t="str">
            <v>bueno</v>
          </cell>
          <cell r="K5125" t="str">
            <v>probsi</v>
          </cell>
        </row>
        <row r="5126">
          <cell r="B5126" t="b">
            <v>1</v>
          </cell>
          <cell r="E5126" t="str">
            <v>Blasdelezo</v>
          </cell>
          <cell r="H5126" t="str">
            <v>consulta_externa</v>
          </cell>
          <cell r="J5126" t="str">
            <v>bueno</v>
          </cell>
          <cell r="K5126" t="str">
            <v>probsi</v>
          </cell>
        </row>
        <row r="5127">
          <cell r="B5127" t="b">
            <v>1</v>
          </cell>
          <cell r="E5127" t="str">
            <v>Blasdelezo</v>
          </cell>
          <cell r="H5127" t="str">
            <v>consulta_externa</v>
          </cell>
          <cell r="J5127" t="str">
            <v>bueno</v>
          </cell>
          <cell r="K5127" t="str">
            <v>probsi</v>
          </cell>
        </row>
        <row r="5128">
          <cell r="B5128" t="b">
            <v>1</v>
          </cell>
          <cell r="E5128" t="str">
            <v>Blasdelezo</v>
          </cell>
          <cell r="H5128" t="str">
            <v>consulta_externa</v>
          </cell>
          <cell r="J5128" t="str">
            <v>bueno</v>
          </cell>
          <cell r="K5128" t="str">
            <v>probsi</v>
          </cell>
        </row>
        <row r="5129">
          <cell r="B5129" t="b">
            <v>1</v>
          </cell>
          <cell r="E5129" t="str">
            <v>Blasdelezo</v>
          </cell>
          <cell r="H5129" t="str">
            <v>consulta_externa</v>
          </cell>
          <cell r="J5129" t="str">
            <v>bueno</v>
          </cell>
          <cell r="K5129" t="str">
            <v>probsi</v>
          </cell>
        </row>
        <row r="5130">
          <cell r="B5130" t="b">
            <v>1</v>
          </cell>
          <cell r="E5130" t="str">
            <v>Blasdelezo</v>
          </cell>
          <cell r="H5130" t="str">
            <v>salud_oral</v>
          </cell>
          <cell r="J5130" t="str">
            <v>bueno</v>
          </cell>
          <cell r="K5130" t="str">
            <v>probsi</v>
          </cell>
        </row>
        <row r="5131">
          <cell r="B5131" t="b">
            <v>1</v>
          </cell>
          <cell r="E5131" t="str">
            <v>Blasdelezo</v>
          </cell>
          <cell r="H5131" t="str">
            <v>salud_oral</v>
          </cell>
          <cell r="J5131" t="str">
            <v>bueno</v>
          </cell>
          <cell r="K5131" t="str">
            <v>probsi</v>
          </cell>
        </row>
        <row r="5132">
          <cell r="B5132" t="b">
            <v>1</v>
          </cell>
          <cell r="E5132" t="str">
            <v>Blasdelezo</v>
          </cell>
          <cell r="H5132" t="str">
            <v>laboratorio</v>
          </cell>
          <cell r="J5132" t="str">
            <v>bueno</v>
          </cell>
          <cell r="K5132" t="str">
            <v>probsi</v>
          </cell>
        </row>
        <row r="5133">
          <cell r="B5133" t="b">
            <v>1</v>
          </cell>
          <cell r="E5133" t="str">
            <v>Blasdelezo</v>
          </cell>
          <cell r="H5133" t="str">
            <v>laboratorio</v>
          </cell>
          <cell r="J5133" t="str">
            <v>bueno</v>
          </cell>
          <cell r="K5133" t="str">
            <v>probsi</v>
          </cell>
        </row>
        <row r="5134">
          <cell r="B5134" t="b">
            <v>1</v>
          </cell>
          <cell r="E5134" t="str">
            <v>Blasdelezo</v>
          </cell>
          <cell r="H5134" t="str">
            <v>laboratorio</v>
          </cell>
          <cell r="J5134" t="str">
            <v>bueno</v>
          </cell>
          <cell r="K5134" t="str">
            <v>probsi</v>
          </cell>
        </row>
        <row r="5135">
          <cell r="B5135" t="b">
            <v>1</v>
          </cell>
          <cell r="E5135" t="str">
            <v>Blasdelezo</v>
          </cell>
          <cell r="H5135" t="str">
            <v>laboratorio</v>
          </cell>
          <cell r="J5135" t="str">
            <v>bueno</v>
          </cell>
          <cell r="K5135" t="str">
            <v>probsi</v>
          </cell>
        </row>
        <row r="5136">
          <cell r="B5136" t="b">
            <v>1</v>
          </cell>
          <cell r="E5136" t="str">
            <v>Blasdelezo</v>
          </cell>
          <cell r="H5136" t="str">
            <v>laboratorio</v>
          </cell>
          <cell r="J5136" t="str">
            <v>bueno</v>
          </cell>
          <cell r="K5136" t="str">
            <v>probsi</v>
          </cell>
        </row>
        <row r="5137">
          <cell r="B5137" t="b">
            <v>1</v>
          </cell>
          <cell r="E5137" t="str">
            <v>Blasdelezo</v>
          </cell>
          <cell r="H5137" t="str">
            <v>laboratorio</v>
          </cell>
          <cell r="J5137" t="str">
            <v>bueno</v>
          </cell>
          <cell r="K5137" t="str">
            <v>probsi</v>
          </cell>
        </row>
        <row r="5138">
          <cell r="B5138" t="b">
            <v>1</v>
          </cell>
          <cell r="E5138" t="str">
            <v>Blasdelezo</v>
          </cell>
          <cell r="H5138" t="str">
            <v>laboratorio</v>
          </cell>
          <cell r="J5138" t="str">
            <v>bueno</v>
          </cell>
          <cell r="K5138" t="str">
            <v>probsi</v>
          </cell>
        </row>
        <row r="5139">
          <cell r="B5139" t="b">
            <v>1</v>
          </cell>
          <cell r="E5139" t="str">
            <v>Blasdelezo</v>
          </cell>
          <cell r="H5139" t="str">
            <v>laboratorio</v>
          </cell>
          <cell r="J5139" t="str">
            <v>bueno</v>
          </cell>
          <cell r="K5139" t="str">
            <v>probsi</v>
          </cell>
        </row>
        <row r="5140">
          <cell r="B5140" t="b">
            <v>1</v>
          </cell>
          <cell r="E5140" t="str">
            <v>Blasdelezo</v>
          </cell>
          <cell r="H5140" t="str">
            <v>laboratorio</v>
          </cell>
          <cell r="J5140" t="str">
            <v>bueno</v>
          </cell>
          <cell r="K5140" t="str">
            <v>probsi</v>
          </cell>
        </row>
        <row r="5141">
          <cell r="B5141" t="b">
            <v>1</v>
          </cell>
          <cell r="E5141" t="str">
            <v>Blasdelezo</v>
          </cell>
          <cell r="H5141" t="str">
            <v>laboratorio</v>
          </cell>
          <cell r="J5141" t="str">
            <v>bueno</v>
          </cell>
          <cell r="K5141" t="str">
            <v>probsi</v>
          </cell>
        </row>
        <row r="5142">
          <cell r="B5142" t="b">
            <v>1</v>
          </cell>
          <cell r="E5142" t="str">
            <v>Blasdelezo</v>
          </cell>
          <cell r="H5142" t="str">
            <v>laboratorio</v>
          </cell>
          <cell r="J5142" t="str">
            <v>bueno</v>
          </cell>
          <cell r="K5142" t="str">
            <v>probsi</v>
          </cell>
        </row>
        <row r="5143">
          <cell r="B5143" t="b">
            <v>1</v>
          </cell>
          <cell r="E5143" t="str">
            <v>Blasdelezo</v>
          </cell>
          <cell r="H5143" t="str">
            <v>laboratorio</v>
          </cell>
          <cell r="J5143" t="str">
            <v>bueno</v>
          </cell>
          <cell r="K5143" t="str">
            <v>probsi</v>
          </cell>
        </row>
        <row r="5144">
          <cell r="B5144" t="b">
            <v>1</v>
          </cell>
          <cell r="E5144" t="str">
            <v>Blasdelezo</v>
          </cell>
          <cell r="H5144" t="str">
            <v>laboratorio</v>
          </cell>
          <cell r="J5144" t="str">
            <v>bueno</v>
          </cell>
          <cell r="K5144" t="str">
            <v>probsi</v>
          </cell>
        </row>
        <row r="5145">
          <cell r="B5145" t="b">
            <v>1</v>
          </cell>
          <cell r="E5145" t="str">
            <v>Blasdelezo</v>
          </cell>
          <cell r="H5145" t="str">
            <v>pediatria</v>
          </cell>
          <cell r="J5145" t="str">
            <v>bueno</v>
          </cell>
          <cell r="K5145" t="str">
            <v>probsi</v>
          </cell>
        </row>
        <row r="5146">
          <cell r="B5146" t="b">
            <v>1</v>
          </cell>
          <cell r="E5146" t="str">
            <v>Blasdelezo</v>
          </cell>
          <cell r="H5146" t="str">
            <v>pediatria</v>
          </cell>
          <cell r="J5146" t="str">
            <v>bueno</v>
          </cell>
          <cell r="K5146" t="str">
            <v>probsi</v>
          </cell>
        </row>
        <row r="5147">
          <cell r="B5147" t="b">
            <v>1</v>
          </cell>
          <cell r="E5147" t="str">
            <v>Blasdelezo</v>
          </cell>
          <cell r="H5147" t="str">
            <v>pediatria</v>
          </cell>
          <cell r="J5147" t="str">
            <v>bueno</v>
          </cell>
          <cell r="K5147" t="str">
            <v>probsi</v>
          </cell>
        </row>
        <row r="5148">
          <cell r="B5148" t="b">
            <v>1</v>
          </cell>
          <cell r="E5148" t="str">
            <v>Nelson Mandela UPA</v>
          </cell>
          <cell r="H5148" t="str">
            <v>salud_oral</v>
          </cell>
          <cell r="J5148" t="str">
            <v>bueno</v>
          </cell>
          <cell r="K5148" t="str">
            <v>probsi</v>
          </cell>
        </row>
        <row r="5149">
          <cell r="B5149" t="b">
            <v>1</v>
          </cell>
          <cell r="E5149" t="str">
            <v>Nelson Mandela UPA</v>
          </cell>
          <cell r="H5149" t="str">
            <v>laboratorio</v>
          </cell>
          <cell r="J5149" t="str">
            <v>bueno</v>
          </cell>
          <cell r="K5149" t="str">
            <v>probsi</v>
          </cell>
        </row>
        <row r="5150">
          <cell r="B5150" t="b">
            <v>1</v>
          </cell>
          <cell r="E5150" t="str">
            <v>Nelson Mandela UPA</v>
          </cell>
          <cell r="H5150" t="str">
            <v>urgencia</v>
          </cell>
          <cell r="J5150" t="str">
            <v>bueno</v>
          </cell>
          <cell r="K5150" t="str">
            <v>probsi</v>
          </cell>
        </row>
        <row r="5151">
          <cell r="B5151" t="b">
            <v>1</v>
          </cell>
          <cell r="E5151" t="str">
            <v>Nelson Mandela UPA</v>
          </cell>
          <cell r="H5151" t="str">
            <v>salud_oral</v>
          </cell>
          <cell r="J5151" t="str">
            <v>bueno</v>
          </cell>
          <cell r="K5151" t="str">
            <v>probsi</v>
          </cell>
        </row>
        <row r="5152">
          <cell r="B5152" t="b">
            <v>1</v>
          </cell>
          <cell r="E5152" t="str">
            <v>Nelson Mandela UPA</v>
          </cell>
          <cell r="H5152" t="str">
            <v>salud_oral</v>
          </cell>
          <cell r="J5152" t="str">
            <v>bueno</v>
          </cell>
          <cell r="K5152" t="str">
            <v>probsi</v>
          </cell>
        </row>
        <row r="5153">
          <cell r="B5153" t="b">
            <v>1</v>
          </cell>
          <cell r="E5153" t="str">
            <v>Nelson Mandela UPA</v>
          </cell>
          <cell r="H5153" t="str">
            <v>urgencia</v>
          </cell>
          <cell r="J5153" t="str">
            <v>bueno</v>
          </cell>
          <cell r="K5153" t="str">
            <v>probsi</v>
          </cell>
        </row>
        <row r="5154">
          <cell r="B5154" t="b">
            <v>1</v>
          </cell>
          <cell r="E5154" t="str">
            <v>Nelson Mandela UPA</v>
          </cell>
          <cell r="H5154" t="str">
            <v>urgencia</v>
          </cell>
          <cell r="J5154" t="str">
            <v>bueno</v>
          </cell>
          <cell r="K5154" t="str">
            <v>probsi</v>
          </cell>
        </row>
        <row r="5155">
          <cell r="B5155" t="b">
            <v>0</v>
          </cell>
          <cell r="E5155" t="str">
            <v>Nelson Mandela UPA</v>
          </cell>
          <cell r="H5155" t="str">
            <v>urgencia</v>
          </cell>
          <cell r="J5155" t="str">
            <v>regular</v>
          </cell>
          <cell r="K5155" t="str">
            <v>probno</v>
          </cell>
        </row>
        <row r="5156">
          <cell r="B5156" t="b">
            <v>1</v>
          </cell>
          <cell r="E5156" t="str">
            <v>Candelaria</v>
          </cell>
          <cell r="H5156" t="str">
            <v>salud_oral</v>
          </cell>
          <cell r="J5156" t="str">
            <v>bueno</v>
          </cell>
          <cell r="K5156" t="str">
            <v>defsi</v>
          </cell>
        </row>
        <row r="5157">
          <cell r="B5157" t="b">
            <v>1</v>
          </cell>
          <cell r="E5157" t="str">
            <v>Candelaria</v>
          </cell>
          <cell r="H5157" t="str">
            <v>salud_oral</v>
          </cell>
          <cell r="J5157" t="str">
            <v>bueno</v>
          </cell>
          <cell r="K5157" t="str">
            <v>defsi</v>
          </cell>
        </row>
        <row r="5158">
          <cell r="B5158" t="b">
            <v>1</v>
          </cell>
          <cell r="E5158" t="str">
            <v>Candelaria</v>
          </cell>
          <cell r="H5158" t="str">
            <v>consulta_externa</v>
          </cell>
          <cell r="J5158" t="str">
            <v>bueno</v>
          </cell>
          <cell r="K5158" t="str">
            <v>defsi</v>
          </cell>
        </row>
        <row r="5159">
          <cell r="B5159" t="b">
            <v>1</v>
          </cell>
          <cell r="E5159" t="str">
            <v>Candelaria</v>
          </cell>
          <cell r="H5159" t="str">
            <v>laboratorio</v>
          </cell>
          <cell r="J5159" t="str">
            <v>bueno</v>
          </cell>
          <cell r="K5159" t="str">
            <v>defsi</v>
          </cell>
        </row>
        <row r="5160">
          <cell r="B5160" t="b">
            <v>1</v>
          </cell>
          <cell r="E5160" t="str">
            <v>Candelaria</v>
          </cell>
          <cell r="H5160" t="str">
            <v>urgencia</v>
          </cell>
          <cell r="J5160" t="str">
            <v>bueno</v>
          </cell>
          <cell r="K5160" t="str">
            <v>defsi</v>
          </cell>
        </row>
        <row r="5161">
          <cell r="B5161" t="b">
            <v>0</v>
          </cell>
          <cell r="E5161" t="str">
            <v>Candelaria</v>
          </cell>
          <cell r="H5161" t="str">
            <v>urgencia</v>
          </cell>
          <cell r="J5161" t="str">
            <v>regular</v>
          </cell>
          <cell r="K5161" t="str">
            <v>probsi</v>
          </cell>
        </row>
        <row r="5162">
          <cell r="B5162" t="b">
            <v>0</v>
          </cell>
          <cell r="E5162" t="str">
            <v>Candelaria</v>
          </cell>
          <cell r="H5162" t="str">
            <v>urgencia</v>
          </cell>
          <cell r="J5162" t="str">
            <v>regular</v>
          </cell>
          <cell r="K5162" t="str">
            <v>defsi</v>
          </cell>
        </row>
        <row r="5163">
          <cell r="B5163" t="b">
            <v>1</v>
          </cell>
          <cell r="E5163" t="str">
            <v>Candelaria</v>
          </cell>
          <cell r="H5163" t="str">
            <v>urgencia</v>
          </cell>
          <cell r="J5163" t="str">
            <v>bueno</v>
          </cell>
          <cell r="K5163" t="str">
            <v>defsi</v>
          </cell>
        </row>
        <row r="5164">
          <cell r="B5164" t="b">
            <v>1</v>
          </cell>
          <cell r="E5164" t="str">
            <v>Candelaria</v>
          </cell>
          <cell r="H5164" t="str">
            <v>urgencia</v>
          </cell>
          <cell r="J5164" t="str">
            <v>bueno</v>
          </cell>
          <cell r="K5164" t="str">
            <v>defsi</v>
          </cell>
        </row>
        <row r="5165">
          <cell r="B5165" t="b">
            <v>1</v>
          </cell>
          <cell r="E5165" t="str">
            <v>Candelaria</v>
          </cell>
          <cell r="H5165" t="str">
            <v>consulta_externa</v>
          </cell>
          <cell r="J5165" t="str">
            <v>bueno</v>
          </cell>
          <cell r="K5165" t="str">
            <v>defsi</v>
          </cell>
        </row>
        <row r="5166">
          <cell r="B5166" t="b">
            <v>1</v>
          </cell>
          <cell r="E5166" t="str">
            <v>Blasdelezo</v>
          </cell>
          <cell r="H5166" t="str">
            <v>consulta_externa</v>
          </cell>
          <cell r="J5166" t="str">
            <v>bueno</v>
          </cell>
          <cell r="K5166" t="str">
            <v>probsi</v>
          </cell>
        </row>
        <row r="5167">
          <cell r="B5167" t="b">
            <v>1</v>
          </cell>
          <cell r="E5167" t="str">
            <v>Blasdelezo</v>
          </cell>
          <cell r="H5167" t="str">
            <v>consulta_externa</v>
          </cell>
          <cell r="J5167" t="str">
            <v>bueno</v>
          </cell>
          <cell r="K5167" t="str">
            <v>probsi</v>
          </cell>
        </row>
        <row r="5168">
          <cell r="B5168" t="b">
            <v>1</v>
          </cell>
          <cell r="E5168" t="str">
            <v>Blasdelezo</v>
          </cell>
          <cell r="H5168" t="str">
            <v>consulta_externa</v>
          </cell>
          <cell r="J5168" t="str">
            <v>bueno</v>
          </cell>
          <cell r="K5168" t="str">
            <v>probsi</v>
          </cell>
        </row>
        <row r="5169">
          <cell r="B5169" t="b">
            <v>1</v>
          </cell>
          <cell r="E5169" t="str">
            <v>Blasdelezo</v>
          </cell>
          <cell r="H5169" t="str">
            <v>consulta_externa</v>
          </cell>
          <cell r="J5169" t="str">
            <v>bueno</v>
          </cell>
          <cell r="K5169" t="str">
            <v>probsi</v>
          </cell>
        </row>
        <row r="5170">
          <cell r="B5170" t="b">
            <v>1</v>
          </cell>
          <cell r="E5170" t="str">
            <v>Blasdelezo</v>
          </cell>
          <cell r="H5170" t="str">
            <v>consulta_externa</v>
          </cell>
          <cell r="J5170" t="str">
            <v>bueno</v>
          </cell>
          <cell r="K5170" t="str">
            <v>probsi</v>
          </cell>
        </row>
        <row r="5171">
          <cell r="B5171" t="b">
            <v>1</v>
          </cell>
          <cell r="E5171" t="str">
            <v>Blasdelezo</v>
          </cell>
          <cell r="H5171" t="str">
            <v>consulta_externa</v>
          </cell>
          <cell r="J5171" t="str">
            <v>bueno</v>
          </cell>
          <cell r="K5171" t="str">
            <v>probsi</v>
          </cell>
        </row>
        <row r="5172">
          <cell r="B5172" t="b">
            <v>1</v>
          </cell>
          <cell r="E5172" t="str">
            <v>Blasdelezo</v>
          </cell>
          <cell r="H5172" t="str">
            <v>consulta_externa</v>
          </cell>
          <cell r="J5172" t="str">
            <v>bueno</v>
          </cell>
          <cell r="K5172" t="str">
            <v>probsi</v>
          </cell>
        </row>
        <row r="5173">
          <cell r="B5173" t="b">
            <v>1</v>
          </cell>
          <cell r="E5173" t="str">
            <v>Blasdelezo</v>
          </cell>
          <cell r="H5173" t="str">
            <v>consulta_externa</v>
          </cell>
          <cell r="J5173" t="str">
            <v>bueno</v>
          </cell>
          <cell r="K5173" t="str">
            <v>probsi</v>
          </cell>
        </row>
        <row r="5174">
          <cell r="B5174" t="b">
            <v>1</v>
          </cell>
          <cell r="E5174" t="str">
            <v>Blasdelezo</v>
          </cell>
          <cell r="H5174" t="str">
            <v>consulta_externa</v>
          </cell>
          <cell r="J5174" t="str">
            <v>bueno</v>
          </cell>
          <cell r="K5174" t="str">
            <v>probsi</v>
          </cell>
        </row>
        <row r="5175">
          <cell r="B5175" t="b">
            <v>1</v>
          </cell>
          <cell r="E5175" t="str">
            <v>Blasdelezo</v>
          </cell>
          <cell r="H5175" t="str">
            <v>consulta_externa</v>
          </cell>
          <cell r="J5175" t="str">
            <v>bueno</v>
          </cell>
          <cell r="K5175" t="str">
            <v>probsi</v>
          </cell>
        </row>
        <row r="5176">
          <cell r="B5176" t="b">
            <v>1</v>
          </cell>
          <cell r="E5176" t="str">
            <v>Blasdelezo</v>
          </cell>
          <cell r="H5176" t="str">
            <v>consulta_externa</v>
          </cell>
          <cell r="J5176" t="str">
            <v>bueno</v>
          </cell>
          <cell r="K5176" t="str">
            <v>probsi</v>
          </cell>
        </row>
        <row r="5177">
          <cell r="B5177" t="b">
            <v>1</v>
          </cell>
          <cell r="E5177" t="str">
            <v>Blasdelezo</v>
          </cell>
          <cell r="H5177" t="str">
            <v>pediatria</v>
          </cell>
          <cell r="J5177" t="str">
            <v>bueno</v>
          </cell>
          <cell r="K5177" t="str">
            <v>probsi</v>
          </cell>
        </row>
        <row r="5178">
          <cell r="B5178" t="b">
            <v>1</v>
          </cell>
          <cell r="E5178" t="str">
            <v>Blasdelezo</v>
          </cell>
          <cell r="H5178" t="str">
            <v>pediatria</v>
          </cell>
          <cell r="J5178" t="str">
            <v>bueno</v>
          </cell>
          <cell r="K5178" t="str">
            <v>probsi</v>
          </cell>
        </row>
        <row r="5179">
          <cell r="B5179" t="b">
            <v>1</v>
          </cell>
          <cell r="E5179" t="str">
            <v>Blasdelezo</v>
          </cell>
          <cell r="H5179" t="str">
            <v>pediatria</v>
          </cell>
          <cell r="J5179" t="str">
            <v>bueno</v>
          </cell>
          <cell r="K5179" t="str">
            <v>probsi</v>
          </cell>
        </row>
        <row r="5180">
          <cell r="B5180" t="b">
            <v>1</v>
          </cell>
          <cell r="E5180" t="str">
            <v>Blasdelezo</v>
          </cell>
          <cell r="H5180" t="str">
            <v>pediatria</v>
          </cell>
          <cell r="J5180" t="str">
            <v>bueno</v>
          </cell>
          <cell r="K5180" t="str">
            <v>probsi</v>
          </cell>
        </row>
        <row r="5181">
          <cell r="B5181" t="b">
            <v>1</v>
          </cell>
          <cell r="E5181" t="str">
            <v>Blasdelezo</v>
          </cell>
          <cell r="H5181" t="str">
            <v>laboratorio</v>
          </cell>
          <cell r="J5181" t="str">
            <v>bueno</v>
          </cell>
          <cell r="K5181" t="str">
            <v>probsi</v>
          </cell>
        </row>
        <row r="5182">
          <cell r="B5182" t="b">
            <v>1</v>
          </cell>
          <cell r="E5182" t="str">
            <v>Blasdelezo</v>
          </cell>
          <cell r="H5182" t="str">
            <v>laboratorio</v>
          </cell>
          <cell r="J5182" t="str">
            <v>bueno</v>
          </cell>
          <cell r="K5182" t="str">
            <v>probsi</v>
          </cell>
        </row>
        <row r="5183">
          <cell r="B5183" t="b">
            <v>1</v>
          </cell>
          <cell r="E5183" t="str">
            <v>Blasdelezo</v>
          </cell>
          <cell r="H5183" t="str">
            <v>laboratorio</v>
          </cell>
          <cell r="J5183" t="str">
            <v>bueno</v>
          </cell>
          <cell r="K5183" t="str">
            <v>probsi</v>
          </cell>
        </row>
        <row r="5184">
          <cell r="B5184" t="b">
            <v>1</v>
          </cell>
          <cell r="E5184" t="str">
            <v>Blasdelezo</v>
          </cell>
          <cell r="H5184" t="str">
            <v>laboratorio</v>
          </cell>
          <cell r="J5184" t="str">
            <v>bueno</v>
          </cell>
          <cell r="K5184" t="str">
            <v>probsi</v>
          </cell>
        </row>
        <row r="5185">
          <cell r="B5185" t="b">
            <v>1</v>
          </cell>
          <cell r="E5185" t="str">
            <v>Blasdelezo</v>
          </cell>
          <cell r="H5185" t="str">
            <v>salud_oral</v>
          </cell>
          <cell r="J5185" t="str">
            <v>bueno</v>
          </cell>
          <cell r="K5185" t="str">
            <v>probsi</v>
          </cell>
        </row>
        <row r="5186">
          <cell r="B5186" t="b">
            <v>1</v>
          </cell>
          <cell r="E5186" t="str">
            <v>Blasdelezo</v>
          </cell>
          <cell r="H5186" t="str">
            <v>salud_oral</v>
          </cell>
          <cell r="J5186" t="str">
            <v>bueno</v>
          </cell>
          <cell r="K5186" t="str">
            <v>probsi</v>
          </cell>
        </row>
        <row r="5187">
          <cell r="B5187" t="b">
            <v>1</v>
          </cell>
          <cell r="E5187" t="str">
            <v>Blasdelezo</v>
          </cell>
          <cell r="H5187" t="str">
            <v>laboratorio</v>
          </cell>
          <cell r="J5187" t="str">
            <v>bueno</v>
          </cell>
          <cell r="K5187" t="str">
            <v>probsi</v>
          </cell>
        </row>
        <row r="5188">
          <cell r="B5188" t="b">
            <v>1</v>
          </cell>
          <cell r="E5188" t="str">
            <v>Blasdelezo</v>
          </cell>
          <cell r="H5188" t="str">
            <v>laboratorio</v>
          </cell>
          <cell r="J5188" t="str">
            <v>bueno</v>
          </cell>
          <cell r="K5188" t="str">
            <v>probsi</v>
          </cell>
        </row>
        <row r="5189">
          <cell r="B5189" t="b">
            <v>1</v>
          </cell>
          <cell r="E5189" t="str">
            <v>Blasdelezo</v>
          </cell>
          <cell r="H5189" t="str">
            <v>laboratorio</v>
          </cell>
          <cell r="J5189" t="str">
            <v>bueno</v>
          </cell>
          <cell r="K5189" t="str">
            <v>probsi</v>
          </cell>
        </row>
        <row r="5190">
          <cell r="B5190" t="b">
            <v>1</v>
          </cell>
          <cell r="E5190" t="str">
            <v>Blasdelezo</v>
          </cell>
          <cell r="H5190" t="str">
            <v>laboratorio</v>
          </cell>
          <cell r="J5190" t="str">
            <v>bueno</v>
          </cell>
          <cell r="K5190" t="str">
            <v>probsi</v>
          </cell>
        </row>
        <row r="5191">
          <cell r="B5191" t="b">
            <v>1</v>
          </cell>
          <cell r="E5191" t="str">
            <v>Blasdelezo</v>
          </cell>
          <cell r="H5191" t="str">
            <v>laboratorio</v>
          </cell>
          <cell r="J5191" t="str">
            <v>bueno</v>
          </cell>
          <cell r="K5191" t="str">
            <v>probsi</v>
          </cell>
        </row>
        <row r="5192">
          <cell r="B5192" t="b">
            <v>1</v>
          </cell>
          <cell r="E5192" t="str">
            <v>Blasdelezo</v>
          </cell>
          <cell r="H5192" t="str">
            <v>laboratorio</v>
          </cell>
          <cell r="J5192" t="str">
            <v>bueno</v>
          </cell>
          <cell r="K5192" t="str">
            <v>probsi</v>
          </cell>
        </row>
        <row r="5193">
          <cell r="B5193" t="b">
            <v>1</v>
          </cell>
          <cell r="E5193" t="str">
            <v>Blasdelezo</v>
          </cell>
          <cell r="H5193" t="str">
            <v>laboratorio</v>
          </cell>
          <cell r="J5193" t="str">
            <v>bueno</v>
          </cell>
          <cell r="K5193" t="str">
            <v>probsi</v>
          </cell>
        </row>
        <row r="5194">
          <cell r="B5194" t="b">
            <v>1</v>
          </cell>
          <cell r="E5194" t="str">
            <v>Blasdelezo</v>
          </cell>
          <cell r="H5194" t="str">
            <v>laboratorio</v>
          </cell>
          <cell r="J5194" t="str">
            <v>bueno</v>
          </cell>
          <cell r="K5194" t="str">
            <v>probsi</v>
          </cell>
        </row>
        <row r="5195">
          <cell r="B5195" t="b">
            <v>1</v>
          </cell>
          <cell r="E5195" t="str">
            <v>Blasdelezo</v>
          </cell>
          <cell r="H5195" t="str">
            <v>laboratorio</v>
          </cell>
          <cell r="J5195" t="str">
            <v>bueno</v>
          </cell>
          <cell r="K5195" t="str">
            <v>probsi</v>
          </cell>
        </row>
        <row r="5196">
          <cell r="B5196" t="b">
            <v>1</v>
          </cell>
          <cell r="E5196" t="str">
            <v>Blasdelezo</v>
          </cell>
          <cell r="H5196" t="str">
            <v>laboratorio</v>
          </cell>
          <cell r="J5196" t="str">
            <v>bueno</v>
          </cell>
          <cell r="K5196" t="str">
            <v>probsi</v>
          </cell>
        </row>
        <row r="5197">
          <cell r="B5197" t="b">
            <v>1</v>
          </cell>
          <cell r="E5197" t="str">
            <v>Blasdelezo</v>
          </cell>
          <cell r="H5197" t="str">
            <v>laboratorio</v>
          </cell>
          <cell r="J5197" t="str">
            <v>bueno</v>
          </cell>
          <cell r="K5197" t="str">
            <v>probsi</v>
          </cell>
        </row>
        <row r="5198">
          <cell r="B5198" t="b">
            <v>1</v>
          </cell>
          <cell r="E5198" t="str">
            <v>Blasdelezo</v>
          </cell>
          <cell r="H5198" t="str">
            <v>laboratorio</v>
          </cell>
          <cell r="J5198" t="str">
            <v>bueno</v>
          </cell>
          <cell r="K5198" t="str">
            <v>probsi</v>
          </cell>
        </row>
        <row r="5199">
          <cell r="B5199" t="b">
            <v>1</v>
          </cell>
          <cell r="E5199" t="str">
            <v>Nelson Mandela UPA</v>
          </cell>
          <cell r="H5199" t="str">
            <v>urgencia</v>
          </cell>
          <cell r="J5199" t="str">
            <v>bueno</v>
          </cell>
          <cell r="K5199" t="str">
            <v>probsi</v>
          </cell>
        </row>
        <row r="5200">
          <cell r="B5200" t="b">
            <v>1</v>
          </cell>
          <cell r="E5200" t="str">
            <v>Nelson Mandela UPA</v>
          </cell>
          <cell r="H5200" t="str">
            <v>urgencia</v>
          </cell>
          <cell r="J5200" t="str">
            <v>bueno</v>
          </cell>
          <cell r="K5200" t="str">
            <v>probsi</v>
          </cell>
        </row>
        <row r="5201">
          <cell r="B5201" t="b">
            <v>0</v>
          </cell>
          <cell r="E5201" t="str">
            <v>Nelson Mandela UPA</v>
          </cell>
          <cell r="H5201" t="str">
            <v>urgencia</v>
          </cell>
          <cell r="J5201" t="str">
            <v>regular</v>
          </cell>
          <cell r="K5201" t="str">
            <v>probsi</v>
          </cell>
        </row>
        <row r="5202">
          <cell r="B5202" t="b">
            <v>1</v>
          </cell>
          <cell r="E5202" t="str">
            <v>Nelson Mandela UPA</v>
          </cell>
          <cell r="H5202" t="str">
            <v>urgencia</v>
          </cell>
          <cell r="J5202" t="str">
            <v>bueno</v>
          </cell>
          <cell r="K5202" t="str">
            <v>probsi</v>
          </cell>
        </row>
        <row r="5203">
          <cell r="B5203" t="b">
            <v>1</v>
          </cell>
          <cell r="E5203" t="str">
            <v>Nelson Mandela UPA</v>
          </cell>
          <cell r="H5203" t="str">
            <v>urgencia</v>
          </cell>
          <cell r="J5203" t="str">
            <v>bueno</v>
          </cell>
          <cell r="K5203" t="str">
            <v>probsi</v>
          </cell>
        </row>
        <row r="5204">
          <cell r="B5204" t="b">
            <v>1</v>
          </cell>
          <cell r="E5204" t="str">
            <v>Arroyo Grande</v>
          </cell>
          <cell r="H5204" t="str">
            <v>consulta_externa</v>
          </cell>
          <cell r="J5204" t="str">
            <v>bueno</v>
          </cell>
          <cell r="K5204" t="str">
            <v>probsi</v>
          </cell>
        </row>
        <row r="5205">
          <cell r="B5205" t="b">
            <v>1</v>
          </cell>
          <cell r="E5205" t="str">
            <v>Arroyo Grande</v>
          </cell>
          <cell r="H5205" t="str">
            <v>consulta_externa</v>
          </cell>
          <cell r="J5205" t="str">
            <v>bueno</v>
          </cell>
          <cell r="K5205" t="str">
            <v>probsi</v>
          </cell>
        </row>
        <row r="5206">
          <cell r="B5206" t="b">
            <v>1</v>
          </cell>
          <cell r="E5206" t="str">
            <v>Arroyo Grande</v>
          </cell>
          <cell r="H5206" t="str">
            <v>consulta_externa</v>
          </cell>
          <cell r="J5206" t="str">
            <v>bueno</v>
          </cell>
          <cell r="K5206" t="str">
            <v>probsi</v>
          </cell>
        </row>
        <row r="5207">
          <cell r="B5207" t="b">
            <v>1</v>
          </cell>
          <cell r="E5207" t="str">
            <v>Arroyo Grande</v>
          </cell>
          <cell r="H5207" t="str">
            <v>consulta_externa</v>
          </cell>
          <cell r="J5207" t="str">
            <v>bueno</v>
          </cell>
          <cell r="K5207" t="str">
            <v>probsi</v>
          </cell>
        </row>
        <row r="5208">
          <cell r="B5208" t="b">
            <v>1</v>
          </cell>
          <cell r="E5208" t="str">
            <v>Arroyo Grande</v>
          </cell>
          <cell r="H5208" t="str">
            <v>consulta_externa</v>
          </cell>
          <cell r="J5208" t="str">
            <v>bueno</v>
          </cell>
          <cell r="K5208" t="str">
            <v>probsi</v>
          </cell>
        </row>
        <row r="5209">
          <cell r="B5209" t="b">
            <v>1</v>
          </cell>
          <cell r="E5209" t="str">
            <v>Arroyo Grande</v>
          </cell>
          <cell r="H5209" t="str">
            <v>consulta_externa</v>
          </cell>
          <cell r="J5209" t="str">
            <v>bueno</v>
          </cell>
          <cell r="K5209" t="str">
            <v>probsi</v>
          </cell>
        </row>
        <row r="5210">
          <cell r="B5210" t="b">
            <v>1</v>
          </cell>
          <cell r="E5210" t="str">
            <v>Arroyo Grande</v>
          </cell>
          <cell r="H5210" t="str">
            <v>consulta_externa</v>
          </cell>
          <cell r="J5210" t="str">
            <v>bueno</v>
          </cell>
          <cell r="K5210" t="str">
            <v>probsi</v>
          </cell>
        </row>
        <row r="5211">
          <cell r="B5211" t="b">
            <v>1</v>
          </cell>
          <cell r="E5211" t="str">
            <v>Arroyo Grande</v>
          </cell>
          <cell r="H5211" t="str">
            <v>consulta_externa</v>
          </cell>
          <cell r="J5211" t="str">
            <v>bueno</v>
          </cell>
          <cell r="K5211" t="str">
            <v>probsi</v>
          </cell>
        </row>
        <row r="5212">
          <cell r="B5212" t="b">
            <v>1</v>
          </cell>
          <cell r="E5212" t="str">
            <v>Arroyo Grande</v>
          </cell>
          <cell r="H5212" t="str">
            <v>consulta_externa</v>
          </cell>
          <cell r="J5212" t="str">
            <v>bueno</v>
          </cell>
          <cell r="K5212" t="str">
            <v>probsi</v>
          </cell>
        </row>
        <row r="5213">
          <cell r="B5213" t="b">
            <v>1</v>
          </cell>
          <cell r="E5213" t="str">
            <v>Arroyo Grande</v>
          </cell>
          <cell r="H5213" t="str">
            <v>consulta_externa</v>
          </cell>
          <cell r="J5213" t="str">
            <v>bueno</v>
          </cell>
          <cell r="K5213" t="str">
            <v>probsi</v>
          </cell>
        </row>
        <row r="5214">
          <cell r="B5214" t="b">
            <v>1</v>
          </cell>
          <cell r="E5214" t="str">
            <v>Arroyo Grande</v>
          </cell>
          <cell r="H5214" t="str">
            <v>consulta_externa</v>
          </cell>
          <cell r="J5214" t="str">
            <v>bueno</v>
          </cell>
          <cell r="K5214" t="str">
            <v>probsi</v>
          </cell>
        </row>
        <row r="5215">
          <cell r="B5215" t="b">
            <v>1</v>
          </cell>
          <cell r="E5215" t="str">
            <v>Arroyo Grande</v>
          </cell>
          <cell r="H5215" t="str">
            <v>consulta_externa</v>
          </cell>
          <cell r="J5215" t="str">
            <v>bueno</v>
          </cell>
          <cell r="K5215" t="str">
            <v>probsi</v>
          </cell>
        </row>
        <row r="5216">
          <cell r="B5216" t="b">
            <v>1</v>
          </cell>
          <cell r="E5216" t="str">
            <v>Arroyo Grande</v>
          </cell>
          <cell r="H5216" t="str">
            <v>consulta_externa</v>
          </cell>
          <cell r="J5216" t="str">
            <v>bueno</v>
          </cell>
          <cell r="K5216" t="str">
            <v>probsi</v>
          </cell>
        </row>
        <row r="5217">
          <cell r="B5217" t="b">
            <v>1</v>
          </cell>
          <cell r="E5217" t="str">
            <v>Arroyo Grande</v>
          </cell>
          <cell r="H5217" t="str">
            <v>laboratorio</v>
          </cell>
          <cell r="J5217" t="str">
            <v>bueno</v>
          </cell>
          <cell r="K5217" t="str">
            <v>probsi</v>
          </cell>
        </row>
        <row r="5218">
          <cell r="B5218" t="b">
            <v>1</v>
          </cell>
          <cell r="E5218" t="str">
            <v>Arroyo Grande</v>
          </cell>
          <cell r="H5218" t="str">
            <v>consulta_externa</v>
          </cell>
          <cell r="J5218" t="str">
            <v>bueno</v>
          </cell>
          <cell r="K5218" t="str">
            <v>probsi</v>
          </cell>
        </row>
        <row r="5219">
          <cell r="B5219" t="b">
            <v>1</v>
          </cell>
          <cell r="E5219" t="str">
            <v>Arroyo Grande</v>
          </cell>
          <cell r="H5219" t="str">
            <v>salud_oral</v>
          </cell>
          <cell r="J5219" t="str">
            <v>bueno</v>
          </cell>
          <cell r="K5219" t="str">
            <v>probsi</v>
          </cell>
        </row>
        <row r="5220">
          <cell r="B5220" t="b">
            <v>1</v>
          </cell>
          <cell r="E5220" t="str">
            <v>Arroyo Grande</v>
          </cell>
          <cell r="H5220" t="str">
            <v>laboratorio</v>
          </cell>
          <cell r="J5220" t="str">
            <v>bueno</v>
          </cell>
          <cell r="K5220" t="str">
            <v>probsi</v>
          </cell>
        </row>
        <row r="5221">
          <cell r="B5221" t="b">
            <v>1</v>
          </cell>
          <cell r="E5221" t="str">
            <v>Arroyo Grande</v>
          </cell>
          <cell r="H5221" t="str">
            <v>consulta_externa</v>
          </cell>
          <cell r="J5221" t="str">
            <v>bueno</v>
          </cell>
          <cell r="K5221" t="str">
            <v>probsi</v>
          </cell>
        </row>
        <row r="5222">
          <cell r="B5222" t="b">
            <v>1</v>
          </cell>
          <cell r="E5222" t="str">
            <v>Punta Canoa</v>
          </cell>
          <cell r="H5222" t="str">
            <v>consulta_externa</v>
          </cell>
          <cell r="J5222" t="str">
            <v>bueno</v>
          </cell>
          <cell r="K5222" t="str">
            <v>defsi</v>
          </cell>
        </row>
        <row r="5223">
          <cell r="B5223" t="b">
            <v>1</v>
          </cell>
          <cell r="E5223" t="str">
            <v>Punta Canoa</v>
          </cell>
          <cell r="H5223" t="str">
            <v>consulta_externa</v>
          </cell>
          <cell r="J5223" t="str">
            <v>bueno</v>
          </cell>
          <cell r="K5223" t="str">
            <v>defsi</v>
          </cell>
        </row>
        <row r="5224">
          <cell r="B5224" t="b">
            <v>0</v>
          </cell>
          <cell r="E5224" t="str">
            <v>Arroyo Grande</v>
          </cell>
          <cell r="H5224" t="str">
            <v>laboratorio</v>
          </cell>
          <cell r="J5224" t="str">
            <v>regular</v>
          </cell>
          <cell r="K5224" t="str">
            <v>probsi</v>
          </cell>
        </row>
        <row r="5225">
          <cell r="B5225" t="b">
            <v>1</v>
          </cell>
          <cell r="E5225" t="str">
            <v>Punta Canoa</v>
          </cell>
          <cell r="H5225" t="str">
            <v>laboratorio</v>
          </cell>
          <cell r="J5225" t="str">
            <v>bueno</v>
          </cell>
          <cell r="K5225" t="str">
            <v>defsi</v>
          </cell>
        </row>
        <row r="5226">
          <cell r="B5226" t="b">
            <v>1</v>
          </cell>
          <cell r="E5226" t="str">
            <v>Arroyo Grande</v>
          </cell>
          <cell r="H5226" t="str">
            <v>laboratorio</v>
          </cell>
          <cell r="J5226" t="str">
            <v>bueno</v>
          </cell>
          <cell r="K5226" t="str">
            <v>probsi</v>
          </cell>
        </row>
        <row r="5227">
          <cell r="B5227" t="b">
            <v>1</v>
          </cell>
          <cell r="E5227" t="str">
            <v>Arroyo Grande</v>
          </cell>
          <cell r="H5227" t="str">
            <v>laboratorio</v>
          </cell>
          <cell r="J5227" t="str">
            <v>bueno</v>
          </cell>
          <cell r="K5227" t="str">
            <v>probsi</v>
          </cell>
        </row>
        <row r="5228">
          <cell r="B5228" t="b">
            <v>1</v>
          </cell>
          <cell r="E5228" t="str">
            <v>Arroyo Grande</v>
          </cell>
          <cell r="H5228" t="str">
            <v>laboratorio</v>
          </cell>
          <cell r="J5228" t="str">
            <v>bueno</v>
          </cell>
          <cell r="K5228" t="str">
            <v>probsi</v>
          </cell>
        </row>
        <row r="5229">
          <cell r="B5229" t="b">
            <v>1</v>
          </cell>
          <cell r="E5229" t="str">
            <v>Punta Canoa</v>
          </cell>
          <cell r="H5229" t="str">
            <v>laboratorio</v>
          </cell>
          <cell r="J5229" t="str">
            <v>bueno</v>
          </cell>
          <cell r="K5229" t="str">
            <v>defsi</v>
          </cell>
        </row>
        <row r="5230">
          <cell r="B5230" t="b">
            <v>1</v>
          </cell>
          <cell r="E5230" t="str">
            <v>Arroyo Grande</v>
          </cell>
          <cell r="H5230" t="str">
            <v>laboratorio</v>
          </cell>
          <cell r="J5230" t="str">
            <v>bueno</v>
          </cell>
          <cell r="K5230" t="str">
            <v>probsi</v>
          </cell>
        </row>
        <row r="5231">
          <cell r="B5231" t="b">
            <v>1</v>
          </cell>
          <cell r="E5231" t="str">
            <v>Arroyo Grande</v>
          </cell>
          <cell r="H5231" t="str">
            <v>laboratorio</v>
          </cell>
          <cell r="J5231" t="str">
            <v>bueno</v>
          </cell>
          <cell r="K5231" t="str">
            <v>probsi</v>
          </cell>
        </row>
        <row r="5232">
          <cell r="B5232" t="b">
            <v>1</v>
          </cell>
          <cell r="E5232" t="str">
            <v>Arroyo Grande</v>
          </cell>
          <cell r="H5232" t="str">
            <v>salud_oral</v>
          </cell>
          <cell r="J5232" t="str">
            <v>bueno</v>
          </cell>
          <cell r="K5232" t="str">
            <v>probsi</v>
          </cell>
        </row>
        <row r="5233">
          <cell r="B5233" t="b">
            <v>1</v>
          </cell>
          <cell r="E5233" t="str">
            <v>Arroyo Grande</v>
          </cell>
          <cell r="H5233" t="str">
            <v>salud_oral</v>
          </cell>
          <cell r="J5233" t="str">
            <v>bueno</v>
          </cell>
          <cell r="K5233" t="str">
            <v>probsi</v>
          </cell>
        </row>
        <row r="5234">
          <cell r="B5234" t="b">
            <v>1</v>
          </cell>
          <cell r="E5234" t="str">
            <v>Punta Canoa</v>
          </cell>
          <cell r="H5234" t="str">
            <v>laboratorio</v>
          </cell>
          <cell r="J5234" t="str">
            <v>bueno</v>
          </cell>
          <cell r="K5234" t="str">
            <v>defsi</v>
          </cell>
        </row>
        <row r="5235">
          <cell r="B5235" t="b">
            <v>1</v>
          </cell>
          <cell r="E5235" t="str">
            <v>Arroyo Grande</v>
          </cell>
          <cell r="H5235" t="str">
            <v>salud_oral</v>
          </cell>
          <cell r="J5235" t="str">
            <v>bueno</v>
          </cell>
          <cell r="K5235" t="str">
            <v>probsi</v>
          </cell>
        </row>
        <row r="5236">
          <cell r="B5236" t="b">
            <v>1</v>
          </cell>
          <cell r="E5236" t="str">
            <v>Arroyo Grande</v>
          </cell>
          <cell r="H5236" t="str">
            <v>salud_oral</v>
          </cell>
          <cell r="J5236" t="str">
            <v>bueno</v>
          </cell>
          <cell r="K5236" t="str">
            <v>probsi</v>
          </cell>
        </row>
        <row r="5237">
          <cell r="B5237" t="b">
            <v>1</v>
          </cell>
          <cell r="E5237" t="str">
            <v>Arroyo Grande</v>
          </cell>
          <cell r="H5237" t="str">
            <v>salud_oral</v>
          </cell>
          <cell r="J5237" t="str">
            <v>bueno</v>
          </cell>
          <cell r="K5237" t="str">
            <v>probsi</v>
          </cell>
        </row>
        <row r="5238">
          <cell r="B5238" t="b">
            <v>1</v>
          </cell>
          <cell r="E5238" t="str">
            <v>Punta Canoa</v>
          </cell>
          <cell r="H5238" t="str">
            <v>laboratorio</v>
          </cell>
          <cell r="J5238" t="str">
            <v>bueno</v>
          </cell>
          <cell r="K5238" t="str">
            <v>defsi</v>
          </cell>
        </row>
        <row r="5239">
          <cell r="B5239" t="b">
            <v>1</v>
          </cell>
          <cell r="E5239" t="str">
            <v>Punta Canoa</v>
          </cell>
          <cell r="H5239" t="str">
            <v>consulta_externa</v>
          </cell>
          <cell r="J5239" t="str">
            <v>muybueno</v>
          </cell>
          <cell r="K5239" t="str">
            <v>defsi</v>
          </cell>
        </row>
        <row r="5240">
          <cell r="B5240" t="b">
            <v>1</v>
          </cell>
          <cell r="E5240" t="str">
            <v>Punta Canoa</v>
          </cell>
          <cell r="H5240" t="str">
            <v>salud_oral</v>
          </cell>
          <cell r="J5240" t="str">
            <v>bueno</v>
          </cell>
          <cell r="K5240" t="str">
            <v>defsi</v>
          </cell>
        </row>
        <row r="5241">
          <cell r="B5241" t="b">
            <v>1</v>
          </cell>
          <cell r="E5241" t="str">
            <v>Punta Canoa</v>
          </cell>
          <cell r="H5241" t="str">
            <v>salud_oral</v>
          </cell>
          <cell r="J5241" t="str">
            <v>bueno</v>
          </cell>
          <cell r="K5241" t="str">
            <v>defsi</v>
          </cell>
        </row>
        <row r="5242">
          <cell r="B5242" t="b">
            <v>1</v>
          </cell>
          <cell r="E5242" t="str">
            <v>Punta Canoa</v>
          </cell>
          <cell r="H5242" t="str">
            <v>salud_oral</v>
          </cell>
          <cell r="J5242" t="str">
            <v>bueno</v>
          </cell>
          <cell r="K5242" t="str">
            <v>defsi</v>
          </cell>
        </row>
        <row r="5243">
          <cell r="B5243" t="b">
            <v>1</v>
          </cell>
          <cell r="E5243" t="str">
            <v>Punta Canoa</v>
          </cell>
          <cell r="H5243" t="str">
            <v>salud_oral</v>
          </cell>
          <cell r="J5243" t="str">
            <v>bueno</v>
          </cell>
          <cell r="K5243" t="str">
            <v>defsi</v>
          </cell>
        </row>
        <row r="5244">
          <cell r="B5244" t="b">
            <v>1</v>
          </cell>
          <cell r="E5244" t="str">
            <v>Punta Canoa</v>
          </cell>
          <cell r="H5244" t="str">
            <v>consulta_externa</v>
          </cell>
          <cell r="J5244" t="str">
            <v>bueno</v>
          </cell>
          <cell r="K5244" t="str">
            <v>defsi</v>
          </cell>
        </row>
        <row r="5245">
          <cell r="B5245" t="b">
            <v>1</v>
          </cell>
          <cell r="E5245" t="str">
            <v>Punta Canoa</v>
          </cell>
          <cell r="H5245" t="str">
            <v>consulta_externa</v>
          </cell>
          <cell r="J5245" t="str">
            <v>bueno</v>
          </cell>
          <cell r="K5245" t="str">
            <v>defsi</v>
          </cell>
        </row>
        <row r="5246">
          <cell r="B5246" t="b">
            <v>1</v>
          </cell>
          <cell r="E5246" t="str">
            <v>Punta Canoa</v>
          </cell>
          <cell r="H5246" t="str">
            <v>consulta_externa</v>
          </cell>
          <cell r="J5246" t="str">
            <v>bueno</v>
          </cell>
          <cell r="K5246" t="str">
            <v>defsi</v>
          </cell>
        </row>
        <row r="5247">
          <cell r="B5247" t="b">
            <v>1</v>
          </cell>
          <cell r="E5247" t="str">
            <v>Punta Canoa</v>
          </cell>
          <cell r="H5247" t="str">
            <v>laboratorio</v>
          </cell>
          <cell r="J5247" t="str">
            <v>bueno</v>
          </cell>
          <cell r="K5247" t="str">
            <v>defsi</v>
          </cell>
        </row>
        <row r="5248">
          <cell r="B5248" t="b">
            <v>0</v>
          </cell>
          <cell r="E5248" t="str">
            <v>Punta Canoa</v>
          </cell>
          <cell r="H5248" t="str">
            <v>laboratorio</v>
          </cell>
          <cell r="J5248" t="str">
            <v>regular</v>
          </cell>
          <cell r="K5248" t="str">
            <v>defsi</v>
          </cell>
        </row>
        <row r="5249">
          <cell r="B5249" t="b">
            <v>1</v>
          </cell>
          <cell r="E5249" t="str">
            <v>Punta Canoa</v>
          </cell>
          <cell r="H5249" t="str">
            <v>salud_oral</v>
          </cell>
          <cell r="J5249" t="str">
            <v>bueno</v>
          </cell>
          <cell r="K5249" t="str">
            <v>defsi</v>
          </cell>
        </row>
        <row r="5250">
          <cell r="B5250" t="b">
            <v>1</v>
          </cell>
          <cell r="E5250" t="str">
            <v>Punta Canoa</v>
          </cell>
          <cell r="H5250" t="str">
            <v>salud_oral</v>
          </cell>
          <cell r="J5250" t="str">
            <v>bueno</v>
          </cell>
          <cell r="K5250" t="str">
            <v>defsi</v>
          </cell>
        </row>
        <row r="5251">
          <cell r="B5251" t="b">
            <v>1</v>
          </cell>
          <cell r="E5251" t="str">
            <v>Punta Canoa</v>
          </cell>
          <cell r="H5251" t="str">
            <v>consulta_externa</v>
          </cell>
          <cell r="J5251" t="str">
            <v>bueno</v>
          </cell>
          <cell r="K5251" t="str">
            <v>defsi</v>
          </cell>
        </row>
        <row r="5252">
          <cell r="B5252" t="b">
            <v>0</v>
          </cell>
          <cell r="E5252" t="str">
            <v>Punta Canoa</v>
          </cell>
          <cell r="H5252" t="str">
            <v>laboratorio</v>
          </cell>
          <cell r="J5252" t="str">
            <v>regular</v>
          </cell>
          <cell r="K5252" t="str">
            <v>defsi</v>
          </cell>
        </row>
        <row r="5253">
          <cell r="B5253" t="b">
            <v>1</v>
          </cell>
          <cell r="E5253" t="str">
            <v>Punta Canoa</v>
          </cell>
          <cell r="H5253" t="str">
            <v>salud_oral</v>
          </cell>
          <cell r="J5253" t="str">
            <v>bueno</v>
          </cell>
          <cell r="K5253" t="str">
            <v>defsi</v>
          </cell>
        </row>
        <row r="5254">
          <cell r="B5254" t="b">
            <v>1</v>
          </cell>
          <cell r="E5254" t="str">
            <v>Punta Canoa</v>
          </cell>
          <cell r="H5254" t="str">
            <v>salud_oral</v>
          </cell>
          <cell r="J5254" t="str">
            <v>muybueno</v>
          </cell>
          <cell r="K5254" t="str">
            <v>defsi</v>
          </cell>
        </row>
        <row r="5255">
          <cell r="B5255" t="b">
            <v>1</v>
          </cell>
          <cell r="E5255" t="str">
            <v>Punta Canoa</v>
          </cell>
          <cell r="H5255" t="str">
            <v>consulta_externa</v>
          </cell>
          <cell r="J5255" t="str">
            <v>muybueno</v>
          </cell>
          <cell r="K5255" t="str">
            <v>defsi</v>
          </cell>
        </row>
        <row r="5256">
          <cell r="B5256" t="b">
            <v>1</v>
          </cell>
          <cell r="E5256" t="str">
            <v>Punta Canoa</v>
          </cell>
          <cell r="H5256" t="str">
            <v>laboratorio</v>
          </cell>
          <cell r="J5256" t="str">
            <v>bueno</v>
          </cell>
          <cell r="K5256" t="str">
            <v>defsi</v>
          </cell>
        </row>
        <row r="5257">
          <cell r="B5257" t="b">
            <v>1</v>
          </cell>
          <cell r="E5257" t="str">
            <v>Punta Canoa</v>
          </cell>
          <cell r="H5257" t="str">
            <v>salud_oral</v>
          </cell>
          <cell r="J5257" t="str">
            <v>bueno</v>
          </cell>
          <cell r="K5257" t="str">
            <v>defsi</v>
          </cell>
        </row>
        <row r="5258">
          <cell r="B5258" t="b">
            <v>1</v>
          </cell>
          <cell r="E5258" t="str">
            <v>Punta Canoa</v>
          </cell>
          <cell r="H5258" t="str">
            <v>salud_oral</v>
          </cell>
          <cell r="J5258" t="str">
            <v>bueno</v>
          </cell>
          <cell r="K5258" t="str">
            <v>defsi</v>
          </cell>
        </row>
        <row r="5259">
          <cell r="B5259" t="b">
            <v>1</v>
          </cell>
          <cell r="E5259" t="str">
            <v>Punta Canoa</v>
          </cell>
          <cell r="H5259" t="str">
            <v>consulta_externa</v>
          </cell>
          <cell r="J5259" t="str">
            <v>bueno</v>
          </cell>
          <cell r="K5259" t="str">
            <v>defsi</v>
          </cell>
        </row>
        <row r="5260">
          <cell r="B5260" t="b">
            <v>1</v>
          </cell>
          <cell r="E5260" t="str">
            <v>Punta Canoa</v>
          </cell>
          <cell r="H5260" t="str">
            <v>consulta_externa</v>
          </cell>
          <cell r="J5260" t="str">
            <v>bueno</v>
          </cell>
          <cell r="K5260" t="str">
            <v>defsi</v>
          </cell>
        </row>
        <row r="5261">
          <cell r="B5261" t="b">
            <v>1</v>
          </cell>
          <cell r="E5261" t="str">
            <v>Punta Canoa</v>
          </cell>
          <cell r="H5261" t="str">
            <v>laboratorio</v>
          </cell>
          <cell r="J5261" t="str">
            <v>bueno</v>
          </cell>
          <cell r="K5261" t="str">
            <v>defsi</v>
          </cell>
        </row>
        <row r="5262">
          <cell r="B5262" t="b">
            <v>1</v>
          </cell>
          <cell r="E5262" t="str">
            <v>Punta Canoa</v>
          </cell>
          <cell r="H5262" t="str">
            <v>laboratorio</v>
          </cell>
          <cell r="J5262" t="str">
            <v>bueno</v>
          </cell>
          <cell r="K5262" t="str">
            <v>defsi</v>
          </cell>
        </row>
        <row r="5263">
          <cell r="B5263" t="b">
            <v>0</v>
          </cell>
          <cell r="E5263" t="str">
            <v>Punta Canoa</v>
          </cell>
          <cell r="H5263" t="str">
            <v>laboratorio</v>
          </cell>
          <cell r="J5263" t="str">
            <v>regular</v>
          </cell>
          <cell r="K5263" t="str">
            <v>defsi</v>
          </cell>
        </row>
        <row r="5264">
          <cell r="B5264" t="b">
            <v>1</v>
          </cell>
          <cell r="E5264" t="str">
            <v>Punta Canoa</v>
          </cell>
          <cell r="H5264" t="str">
            <v>salud_oral</v>
          </cell>
          <cell r="J5264" t="str">
            <v>bueno</v>
          </cell>
          <cell r="K5264" t="str">
            <v>defsi</v>
          </cell>
        </row>
        <row r="5265">
          <cell r="B5265" t="b">
            <v>1</v>
          </cell>
          <cell r="E5265" t="str">
            <v>Punta Canoa</v>
          </cell>
          <cell r="H5265" t="str">
            <v>salud_oral</v>
          </cell>
          <cell r="J5265" t="str">
            <v>bueno</v>
          </cell>
          <cell r="K5265" t="str">
            <v>defsi</v>
          </cell>
        </row>
        <row r="5266">
          <cell r="B5266" t="b">
            <v>1</v>
          </cell>
          <cell r="E5266" t="str">
            <v>Punta Canoa</v>
          </cell>
          <cell r="H5266" t="str">
            <v>salud_oral</v>
          </cell>
          <cell r="J5266" t="str">
            <v>bueno</v>
          </cell>
          <cell r="K5266" t="str">
            <v>defsi</v>
          </cell>
        </row>
        <row r="5267">
          <cell r="B5267" t="b">
            <v>1</v>
          </cell>
          <cell r="E5267" t="str">
            <v>Punta Canoa</v>
          </cell>
          <cell r="H5267" t="str">
            <v>salud_oral</v>
          </cell>
          <cell r="J5267" t="str">
            <v>bueno</v>
          </cell>
          <cell r="K5267" t="str">
            <v>defsi</v>
          </cell>
        </row>
        <row r="5268">
          <cell r="B5268" t="b">
            <v>1</v>
          </cell>
          <cell r="E5268" t="str">
            <v>Punta Canoa</v>
          </cell>
          <cell r="H5268" t="str">
            <v>salud_oral</v>
          </cell>
          <cell r="J5268" t="str">
            <v>bueno</v>
          </cell>
          <cell r="K5268" t="str">
            <v>defsi</v>
          </cell>
        </row>
        <row r="5269">
          <cell r="B5269" t="b">
            <v>1</v>
          </cell>
          <cell r="E5269" t="str">
            <v>Punta Canoa</v>
          </cell>
          <cell r="H5269" t="str">
            <v>consulta_externa</v>
          </cell>
          <cell r="J5269" t="str">
            <v>bueno</v>
          </cell>
          <cell r="K5269" t="str">
            <v>defsi</v>
          </cell>
        </row>
        <row r="5270">
          <cell r="B5270" t="b">
            <v>1</v>
          </cell>
          <cell r="E5270" t="str">
            <v>Arroyo de las Canoas</v>
          </cell>
          <cell r="H5270" t="str">
            <v>consulta_externa</v>
          </cell>
          <cell r="J5270" t="str">
            <v>bueno</v>
          </cell>
          <cell r="K5270" t="str">
            <v>probsi</v>
          </cell>
        </row>
        <row r="5271">
          <cell r="B5271" t="b">
            <v>1</v>
          </cell>
          <cell r="E5271" t="str">
            <v>Arroyo de las Canoas</v>
          </cell>
          <cell r="H5271" t="str">
            <v>consulta_externa</v>
          </cell>
          <cell r="J5271" t="str">
            <v>bueno</v>
          </cell>
          <cell r="K5271" t="str">
            <v>probsi</v>
          </cell>
        </row>
        <row r="5272">
          <cell r="B5272" t="b">
            <v>0</v>
          </cell>
          <cell r="E5272" t="str">
            <v>Punta Canoa</v>
          </cell>
          <cell r="H5272" t="str">
            <v>laboratorio</v>
          </cell>
          <cell r="J5272" t="str">
            <v>regular</v>
          </cell>
          <cell r="K5272" t="str">
            <v>defsi</v>
          </cell>
        </row>
        <row r="5273">
          <cell r="B5273" t="b">
            <v>1</v>
          </cell>
          <cell r="E5273" t="str">
            <v>Arroyo de las Canoas</v>
          </cell>
          <cell r="H5273" t="str">
            <v>consulta_externa</v>
          </cell>
          <cell r="J5273" t="str">
            <v>bueno</v>
          </cell>
          <cell r="K5273" t="str">
            <v>probsi</v>
          </cell>
        </row>
        <row r="5274">
          <cell r="B5274" t="b">
            <v>1</v>
          </cell>
          <cell r="E5274" t="str">
            <v>Arroyo de las Canoas</v>
          </cell>
          <cell r="H5274" t="str">
            <v>consulta_externa</v>
          </cell>
          <cell r="J5274" t="str">
            <v>bueno</v>
          </cell>
          <cell r="K5274" t="str">
            <v>probsi</v>
          </cell>
        </row>
        <row r="5275">
          <cell r="B5275" t="b">
            <v>1</v>
          </cell>
          <cell r="E5275" t="str">
            <v>Arroyo de las Canoas</v>
          </cell>
          <cell r="H5275" t="str">
            <v>salud_oral</v>
          </cell>
          <cell r="J5275" t="str">
            <v>bueno</v>
          </cell>
          <cell r="K5275" t="str">
            <v>probsi</v>
          </cell>
        </row>
        <row r="5276">
          <cell r="B5276" t="b">
            <v>1</v>
          </cell>
          <cell r="E5276" t="str">
            <v>Arroyo de las Canoas</v>
          </cell>
          <cell r="H5276" t="str">
            <v>salud_oral</v>
          </cell>
          <cell r="J5276" t="str">
            <v>bueno</v>
          </cell>
          <cell r="K5276" t="str">
            <v>probsi</v>
          </cell>
        </row>
        <row r="5277">
          <cell r="B5277" t="b">
            <v>1</v>
          </cell>
          <cell r="E5277" t="str">
            <v>Arroyo de las Canoas</v>
          </cell>
          <cell r="H5277" t="str">
            <v>salud_oral</v>
          </cell>
          <cell r="J5277" t="str">
            <v>bueno</v>
          </cell>
          <cell r="K5277" t="str">
            <v>probsi</v>
          </cell>
        </row>
        <row r="5278">
          <cell r="B5278" t="b">
            <v>1</v>
          </cell>
          <cell r="E5278" t="str">
            <v>Arroyo de las Canoas</v>
          </cell>
          <cell r="H5278" t="str">
            <v>salud_oral</v>
          </cell>
          <cell r="J5278" t="str">
            <v>bueno</v>
          </cell>
          <cell r="K5278" t="str">
            <v>probsi</v>
          </cell>
        </row>
        <row r="5279">
          <cell r="B5279" t="b">
            <v>1</v>
          </cell>
          <cell r="E5279" t="str">
            <v>Arroyo de las Canoas</v>
          </cell>
          <cell r="H5279" t="str">
            <v>laboratorio</v>
          </cell>
          <cell r="J5279" t="str">
            <v>bueno</v>
          </cell>
          <cell r="K5279" t="str">
            <v>probsi</v>
          </cell>
        </row>
        <row r="5280">
          <cell r="B5280" t="b">
            <v>1</v>
          </cell>
          <cell r="E5280" t="str">
            <v>Arroyo de las Canoas</v>
          </cell>
          <cell r="H5280" t="str">
            <v>laboratorio</v>
          </cell>
          <cell r="J5280" t="str">
            <v>bueno</v>
          </cell>
          <cell r="K5280" t="str">
            <v>probsi</v>
          </cell>
        </row>
        <row r="5281">
          <cell r="B5281" t="b">
            <v>1</v>
          </cell>
          <cell r="E5281" t="str">
            <v>Punta Canoa</v>
          </cell>
          <cell r="H5281" t="str">
            <v>laboratorio</v>
          </cell>
          <cell r="J5281" t="str">
            <v>bueno</v>
          </cell>
          <cell r="K5281" t="str">
            <v>defsi</v>
          </cell>
        </row>
        <row r="5282">
          <cell r="B5282" t="b">
            <v>1</v>
          </cell>
          <cell r="E5282" t="str">
            <v>Punta Canoa</v>
          </cell>
          <cell r="H5282" t="str">
            <v>consulta_externa</v>
          </cell>
          <cell r="J5282" t="str">
            <v>bueno</v>
          </cell>
          <cell r="K5282" t="str">
            <v>defsi</v>
          </cell>
        </row>
        <row r="5283">
          <cell r="B5283" t="b">
            <v>1</v>
          </cell>
          <cell r="E5283" t="str">
            <v>Punta Canoa</v>
          </cell>
          <cell r="H5283" t="str">
            <v>salud_oral</v>
          </cell>
          <cell r="J5283" t="str">
            <v>bueno</v>
          </cell>
          <cell r="K5283" t="str">
            <v>defsi</v>
          </cell>
        </row>
        <row r="5284">
          <cell r="B5284" t="b">
            <v>1</v>
          </cell>
          <cell r="E5284" t="str">
            <v>Punta Canoa</v>
          </cell>
          <cell r="H5284" t="str">
            <v>salud_oral</v>
          </cell>
          <cell r="J5284" t="str">
            <v>bueno</v>
          </cell>
          <cell r="K5284" t="str">
            <v>defsi</v>
          </cell>
        </row>
        <row r="5285">
          <cell r="B5285" t="b">
            <v>1</v>
          </cell>
          <cell r="E5285" t="str">
            <v>Punta Canoa</v>
          </cell>
          <cell r="H5285" t="str">
            <v>salud_oral</v>
          </cell>
          <cell r="J5285" t="str">
            <v>bueno</v>
          </cell>
          <cell r="K5285" t="str">
            <v>defsi</v>
          </cell>
        </row>
        <row r="5286">
          <cell r="B5286" t="b">
            <v>1</v>
          </cell>
          <cell r="E5286" t="str">
            <v>Punta Canoa</v>
          </cell>
          <cell r="H5286" t="str">
            <v>salud_oral</v>
          </cell>
          <cell r="J5286" t="str">
            <v>bueno</v>
          </cell>
          <cell r="K5286" t="str">
            <v>defsi</v>
          </cell>
        </row>
        <row r="5287">
          <cell r="B5287" t="b">
            <v>1</v>
          </cell>
          <cell r="E5287" t="str">
            <v>Punta Canoa</v>
          </cell>
          <cell r="H5287" t="str">
            <v>salud_oral</v>
          </cell>
          <cell r="J5287" t="str">
            <v>bueno</v>
          </cell>
          <cell r="K5287" t="str">
            <v>defsi</v>
          </cell>
        </row>
        <row r="5288">
          <cell r="B5288" t="b">
            <v>1</v>
          </cell>
          <cell r="E5288" t="str">
            <v>Punta Canoa</v>
          </cell>
          <cell r="H5288" t="str">
            <v>consulta_externa</v>
          </cell>
          <cell r="J5288" t="str">
            <v>bueno</v>
          </cell>
          <cell r="K5288" t="str">
            <v>defsi</v>
          </cell>
        </row>
        <row r="5289">
          <cell r="B5289" t="b">
            <v>1</v>
          </cell>
          <cell r="E5289" t="str">
            <v>Punta Canoa</v>
          </cell>
          <cell r="H5289" t="str">
            <v>consulta_externa</v>
          </cell>
          <cell r="J5289" t="str">
            <v>bueno</v>
          </cell>
          <cell r="K5289" t="str">
            <v>defsi</v>
          </cell>
        </row>
        <row r="5290">
          <cell r="B5290" t="b">
            <v>1</v>
          </cell>
          <cell r="E5290" t="str">
            <v>Punta Canoa</v>
          </cell>
          <cell r="H5290" t="str">
            <v>laboratorio</v>
          </cell>
          <cell r="J5290" t="str">
            <v>bueno</v>
          </cell>
          <cell r="K5290" t="str">
            <v>defsi</v>
          </cell>
        </row>
        <row r="5291">
          <cell r="B5291" t="b">
            <v>1</v>
          </cell>
          <cell r="E5291" t="str">
            <v>Punta Canoa</v>
          </cell>
          <cell r="H5291" t="str">
            <v>consulta_externa</v>
          </cell>
          <cell r="J5291" t="str">
            <v>bueno</v>
          </cell>
          <cell r="K5291" t="str">
            <v>defsi</v>
          </cell>
        </row>
        <row r="5292">
          <cell r="B5292" t="b">
            <v>1</v>
          </cell>
          <cell r="E5292" t="str">
            <v>Punta Canoa</v>
          </cell>
          <cell r="H5292" t="str">
            <v>consulta_externa</v>
          </cell>
          <cell r="J5292" t="str">
            <v>bueno</v>
          </cell>
          <cell r="K5292" t="str">
            <v>defsi</v>
          </cell>
        </row>
        <row r="5293">
          <cell r="B5293" t="b">
            <v>1</v>
          </cell>
          <cell r="E5293" t="str">
            <v>Punta Canoa</v>
          </cell>
          <cell r="H5293" t="str">
            <v>laboratorio</v>
          </cell>
          <cell r="J5293" t="str">
            <v>bueno</v>
          </cell>
          <cell r="K5293" t="str">
            <v>defsi</v>
          </cell>
        </row>
        <row r="5294">
          <cell r="B5294" t="b">
            <v>0</v>
          </cell>
          <cell r="E5294" t="str">
            <v>Punta Canoa</v>
          </cell>
          <cell r="H5294" t="str">
            <v>consulta_externa</v>
          </cell>
          <cell r="J5294" t="str">
            <v>regular</v>
          </cell>
          <cell r="K5294" t="str">
            <v>probsi</v>
          </cell>
        </row>
        <row r="5295">
          <cell r="B5295" t="b">
            <v>0</v>
          </cell>
          <cell r="E5295" t="str">
            <v>Punta Canoa</v>
          </cell>
          <cell r="H5295" t="str">
            <v>laboratorio</v>
          </cell>
          <cell r="J5295" t="str">
            <v>regular</v>
          </cell>
          <cell r="K5295" t="str">
            <v>probsi</v>
          </cell>
        </row>
        <row r="5296">
          <cell r="B5296" t="b">
            <v>1</v>
          </cell>
          <cell r="E5296" t="str">
            <v>Punta Canoa</v>
          </cell>
          <cell r="H5296" t="str">
            <v>salud_oral</v>
          </cell>
          <cell r="J5296" t="str">
            <v>muybueno</v>
          </cell>
          <cell r="K5296" t="str">
            <v>defsi</v>
          </cell>
        </row>
        <row r="5297">
          <cell r="B5297" t="b">
            <v>1</v>
          </cell>
          <cell r="E5297" t="str">
            <v>Punta Canoa</v>
          </cell>
          <cell r="H5297" t="str">
            <v>consulta_externa</v>
          </cell>
          <cell r="J5297" t="str">
            <v>bueno</v>
          </cell>
          <cell r="K5297" t="str">
            <v>defsi</v>
          </cell>
        </row>
        <row r="5298">
          <cell r="B5298" t="b">
            <v>1</v>
          </cell>
          <cell r="E5298" t="str">
            <v>Blasdelezo</v>
          </cell>
          <cell r="H5298" t="str">
            <v>laboratorio</v>
          </cell>
          <cell r="J5298" t="str">
            <v>bueno</v>
          </cell>
          <cell r="K5298" t="str">
            <v>probsi</v>
          </cell>
        </row>
        <row r="5299">
          <cell r="B5299" t="b">
            <v>1</v>
          </cell>
          <cell r="E5299" t="str">
            <v>Tierra Baja</v>
          </cell>
          <cell r="H5299" t="str">
            <v>consulta_externa</v>
          </cell>
          <cell r="J5299" t="str">
            <v>bueno</v>
          </cell>
          <cell r="K5299" t="str">
            <v>probsi</v>
          </cell>
        </row>
        <row r="5300">
          <cell r="B5300" t="b">
            <v>1</v>
          </cell>
          <cell r="E5300" t="str">
            <v>Tierra Baja</v>
          </cell>
          <cell r="H5300" t="str">
            <v>consulta_externa</v>
          </cell>
          <cell r="J5300" t="str">
            <v>bueno</v>
          </cell>
          <cell r="K5300" t="str">
            <v>probsi</v>
          </cell>
        </row>
        <row r="5301">
          <cell r="B5301" t="b">
            <v>1</v>
          </cell>
          <cell r="E5301" t="str">
            <v>Tierra Baja</v>
          </cell>
          <cell r="H5301" t="str">
            <v>consulta_externa</v>
          </cell>
          <cell r="J5301" t="str">
            <v>bueno</v>
          </cell>
          <cell r="K5301" t="str">
            <v>probsi</v>
          </cell>
        </row>
        <row r="5302">
          <cell r="B5302" t="b">
            <v>1</v>
          </cell>
          <cell r="E5302" t="str">
            <v>Tierra Baja</v>
          </cell>
          <cell r="H5302" t="str">
            <v>laboratorio</v>
          </cell>
          <cell r="J5302" t="str">
            <v>bueno</v>
          </cell>
          <cell r="K5302" t="str">
            <v>probsi</v>
          </cell>
        </row>
        <row r="5303">
          <cell r="B5303" t="b">
            <v>1</v>
          </cell>
          <cell r="E5303" t="str">
            <v>Tierra Baja</v>
          </cell>
          <cell r="H5303" t="str">
            <v>laboratorio</v>
          </cell>
          <cell r="J5303" t="str">
            <v>bueno</v>
          </cell>
          <cell r="K5303" t="str">
            <v>probsi</v>
          </cell>
        </row>
        <row r="5304">
          <cell r="B5304" t="b">
            <v>1</v>
          </cell>
          <cell r="E5304" t="str">
            <v>Tierra Baja</v>
          </cell>
          <cell r="H5304" t="str">
            <v>laboratorio</v>
          </cell>
          <cell r="J5304" t="str">
            <v>bueno</v>
          </cell>
          <cell r="K5304" t="str">
            <v>probsi</v>
          </cell>
        </row>
        <row r="5305">
          <cell r="B5305" t="b">
            <v>1</v>
          </cell>
          <cell r="E5305" t="str">
            <v>Tierra Baja</v>
          </cell>
          <cell r="H5305" t="str">
            <v>salud_oral</v>
          </cell>
          <cell r="J5305" t="str">
            <v>bueno</v>
          </cell>
          <cell r="K5305" t="str">
            <v>probsi</v>
          </cell>
        </row>
        <row r="5306">
          <cell r="B5306" t="b">
            <v>1</v>
          </cell>
          <cell r="E5306" t="str">
            <v>Tierra Baja</v>
          </cell>
          <cell r="H5306" t="str">
            <v>salud_oral</v>
          </cell>
          <cell r="J5306" t="str">
            <v>bueno</v>
          </cell>
          <cell r="K5306" t="str">
            <v>probsi</v>
          </cell>
        </row>
        <row r="5307">
          <cell r="B5307" t="b">
            <v>1</v>
          </cell>
          <cell r="E5307" t="str">
            <v>Tierra Baja</v>
          </cell>
          <cell r="H5307" t="str">
            <v>consulta_externa</v>
          </cell>
          <cell r="J5307" t="str">
            <v>bueno</v>
          </cell>
          <cell r="K5307" t="str">
            <v>probsi</v>
          </cell>
        </row>
        <row r="5308">
          <cell r="B5308" t="b">
            <v>1</v>
          </cell>
          <cell r="E5308" t="str">
            <v>Tierra Baja</v>
          </cell>
          <cell r="H5308" t="str">
            <v>consulta_externa</v>
          </cell>
          <cell r="J5308" t="str">
            <v>bueno</v>
          </cell>
          <cell r="K5308" t="str">
            <v>probsi</v>
          </cell>
        </row>
        <row r="5309">
          <cell r="B5309" t="b">
            <v>1</v>
          </cell>
          <cell r="E5309" t="str">
            <v>Tierra Baja</v>
          </cell>
          <cell r="H5309" t="str">
            <v>consulta_externa</v>
          </cell>
          <cell r="J5309" t="str">
            <v>bueno</v>
          </cell>
          <cell r="K5309" t="str">
            <v>probsi</v>
          </cell>
        </row>
        <row r="5310">
          <cell r="B5310" t="b">
            <v>1</v>
          </cell>
          <cell r="E5310" t="str">
            <v>Tierra Baja</v>
          </cell>
          <cell r="H5310" t="str">
            <v>laboratorio</v>
          </cell>
          <cell r="J5310" t="str">
            <v>bueno</v>
          </cell>
          <cell r="K5310" t="str">
            <v>probsi</v>
          </cell>
        </row>
        <row r="5311">
          <cell r="B5311" t="b">
            <v>1</v>
          </cell>
          <cell r="E5311" t="str">
            <v>Tierra Baja</v>
          </cell>
          <cell r="H5311" t="str">
            <v>laboratorio</v>
          </cell>
          <cell r="J5311" t="str">
            <v>bueno</v>
          </cell>
          <cell r="K5311" t="str">
            <v>probsi</v>
          </cell>
        </row>
        <row r="5312">
          <cell r="B5312" t="b">
            <v>1</v>
          </cell>
          <cell r="E5312" t="str">
            <v>Tierra Baja</v>
          </cell>
          <cell r="H5312" t="str">
            <v>laboratorio</v>
          </cell>
          <cell r="J5312" t="str">
            <v>bueno</v>
          </cell>
          <cell r="K5312" t="str">
            <v>probsi</v>
          </cell>
        </row>
        <row r="5313">
          <cell r="B5313" t="b">
            <v>1</v>
          </cell>
          <cell r="E5313" t="str">
            <v>Tierra Baja</v>
          </cell>
          <cell r="H5313" t="str">
            <v>laboratorio</v>
          </cell>
          <cell r="J5313" t="str">
            <v>bueno</v>
          </cell>
          <cell r="K5313" t="str">
            <v>probsi</v>
          </cell>
        </row>
        <row r="5314">
          <cell r="B5314" t="b">
            <v>1</v>
          </cell>
          <cell r="E5314" t="str">
            <v>Tierra Baja</v>
          </cell>
          <cell r="H5314" t="str">
            <v>salud_oral</v>
          </cell>
          <cell r="J5314" t="str">
            <v>bueno</v>
          </cell>
          <cell r="K5314" t="str">
            <v>probsi</v>
          </cell>
        </row>
        <row r="5315">
          <cell r="B5315" t="b">
            <v>1</v>
          </cell>
          <cell r="E5315" t="str">
            <v>Tierra Baja</v>
          </cell>
          <cell r="H5315" t="str">
            <v>salud_oral</v>
          </cell>
          <cell r="J5315" t="str">
            <v>bueno</v>
          </cell>
          <cell r="K5315" t="str">
            <v>probsi</v>
          </cell>
        </row>
        <row r="5316">
          <cell r="B5316" t="b">
            <v>1</v>
          </cell>
          <cell r="E5316" t="str">
            <v>Tierra Baja</v>
          </cell>
          <cell r="H5316" t="str">
            <v>salud_oral</v>
          </cell>
          <cell r="J5316" t="str">
            <v>bueno</v>
          </cell>
          <cell r="K5316" t="str">
            <v>probsi</v>
          </cell>
        </row>
        <row r="5317">
          <cell r="B5317" t="b">
            <v>1</v>
          </cell>
          <cell r="E5317" t="str">
            <v>Tierra Baja</v>
          </cell>
          <cell r="H5317" t="str">
            <v>salud_oral</v>
          </cell>
          <cell r="J5317" t="str">
            <v>bueno</v>
          </cell>
          <cell r="K5317" t="str">
            <v>probsi</v>
          </cell>
        </row>
        <row r="5318">
          <cell r="B5318" t="b">
            <v>1</v>
          </cell>
          <cell r="E5318" t="str">
            <v>Puerto Rey</v>
          </cell>
          <cell r="H5318" t="str">
            <v>salud_oral</v>
          </cell>
          <cell r="J5318" t="str">
            <v>bueno</v>
          </cell>
          <cell r="K5318" t="str">
            <v>probsi</v>
          </cell>
        </row>
        <row r="5319">
          <cell r="B5319" t="b">
            <v>1</v>
          </cell>
          <cell r="E5319" t="str">
            <v>Puerto Rey</v>
          </cell>
          <cell r="H5319" t="str">
            <v>salud_oral</v>
          </cell>
          <cell r="J5319" t="str">
            <v>bueno</v>
          </cell>
          <cell r="K5319" t="str">
            <v>probsi</v>
          </cell>
        </row>
        <row r="5320">
          <cell r="B5320" t="b">
            <v>1</v>
          </cell>
          <cell r="E5320" t="str">
            <v>Puerto Rey</v>
          </cell>
          <cell r="H5320" t="str">
            <v>salud_oral</v>
          </cell>
          <cell r="J5320" t="str">
            <v>bueno</v>
          </cell>
          <cell r="K5320" t="str">
            <v>probsi</v>
          </cell>
        </row>
        <row r="5321">
          <cell r="B5321" t="b">
            <v>1</v>
          </cell>
          <cell r="E5321" t="str">
            <v>Puerto Rey</v>
          </cell>
          <cell r="H5321" t="str">
            <v>salud_oral</v>
          </cell>
          <cell r="J5321" t="str">
            <v>bueno</v>
          </cell>
          <cell r="K5321" t="str">
            <v>probsi</v>
          </cell>
        </row>
        <row r="5322">
          <cell r="B5322" t="b">
            <v>1</v>
          </cell>
          <cell r="E5322" t="str">
            <v>Puerto Rey</v>
          </cell>
          <cell r="H5322" t="str">
            <v>salud_oral</v>
          </cell>
          <cell r="J5322" t="str">
            <v>bueno</v>
          </cell>
          <cell r="K5322" t="str">
            <v>probsi</v>
          </cell>
        </row>
        <row r="5323">
          <cell r="B5323" t="b">
            <v>1</v>
          </cell>
          <cell r="E5323" t="str">
            <v>Puerto Rey</v>
          </cell>
          <cell r="H5323" t="str">
            <v>consulta_externa</v>
          </cell>
          <cell r="J5323" t="str">
            <v>bueno</v>
          </cell>
          <cell r="K5323" t="str">
            <v>probsi</v>
          </cell>
        </row>
        <row r="5324">
          <cell r="B5324" t="b">
            <v>1</v>
          </cell>
          <cell r="E5324" t="str">
            <v>Puerto Rey</v>
          </cell>
          <cell r="H5324" t="str">
            <v>consulta_externa</v>
          </cell>
          <cell r="J5324" t="str">
            <v>bueno</v>
          </cell>
          <cell r="K5324" t="str">
            <v>probsi</v>
          </cell>
        </row>
        <row r="5325">
          <cell r="B5325" t="b">
            <v>1</v>
          </cell>
          <cell r="E5325" t="str">
            <v>Puerto Rey</v>
          </cell>
          <cell r="H5325" t="str">
            <v>consulta_externa</v>
          </cell>
          <cell r="J5325" t="str">
            <v>bueno</v>
          </cell>
          <cell r="K5325" t="str">
            <v>probsi</v>
          </cell>
        </row>
        <row r="5326">
          <cell r="B5326" t="b">
            <v>1</v>
          </cell>
          <cell r="E5326" t="str">
            <v>Puerto Rey</v>
          </cell>
          <cell r="H5326" t="str">
            <v>consulta_externa</v>
          </cell>
          <cell r="J5326" t="str">
            <v>bueno</v>
          </cell>
          <cell r="K5326" t="str">
            <v>probsi</v>
          </cell>
        </row>
        <row r="5327">
          <cell r="B5327" t="b">
            <v>1</v>
          </cell>
          <cell r="E5327" t="str">
            <v>Puerto Rey</v>
          </cell>
          <cell r="H5327" t="str">
            <v>consulta_externa</v>
          </cell>
          <cell r="J5327" t="str">
            <v>bueno</v>
          </cell>
          <cell r="K5327" t="str">
            <v>probsi</v>
          </cell>
        </row>
        <row r="5328">
          <cell r="B5328" t="b">
            <v>1</v>
          </cell>
          <cell r="E5328" t="str">
            <v>Punta Canoa</v>
          </cell>
          <cell r="H5328" t="str">
            <v>consulta_externa</v>
          </cell>
          <cell r="J5328" t="str">
            <v>bueno</v>
          </cell>
          <cell r="K5328" t="str">
            <v>defsi</v>
          </cell>
        </row>
        <row r="5329">
          <cell r="B5329" t="b">
            <v>1</v>
          </cell>
          <cell r="E5329" t="str">
            <v>Punta Canoa</v>
          </cell>
          <cell r="H5329" t="str">
            <v>laboratorio</v>
          </cell>
          <cell r="J5329" t="str">
            <v>bueno</v>
          </cell>
          <cell r="K5329" t="str">
            <v>defsi</v>
          </cell>
        </row>
        <row r="5330">
          <cell r="B5330" t="b">
            <v>1</v>
          </cell>
          <cell r="E5330" t="str">
            <v>Arroyo de las Canoas</v>
          </cell>
          <cell r="H5330" t="str">
            <v>laboratorio</v>
          </cell>
          <cell r="J5330" t="str">
            <v>bueno</v>
          </cell>
          <cell r="K5330" t="str">
            <v>probsi</v>
          </cell>
        </row>
        <row r="5331">
          <cell r="B5331" t="b">
            <v>1</v>
          </cell>
          <cell r="E5331" t="str">
            <v>Arroyo de las Canoas</v>
          </cell>
          <cell r="H5331" t="str">
            <v>laboratorio</v>
          </cell>
          <cell r="J5331" t="str">
            <v>bueno</v>
          </cell>
          <cell r="K5331" t="str">
            <v>probsi</v>
          </cell>
        </row>
        <row r="5332">
          <cell r="B5332" t="b">
            <v>1</v>
          </cell>
          <cell r="E5332" t="str">
            <v>Arroyo de las Canoas</v>
          </cell>
          <cell r="H5332" t="str">
            <v>laboratorio</v>
          </cell>
          <cell r="J5332" t="str">
            <v>bueno</v>
          </cell>
          <cell r="K5332" t="str">
            <v>probsi</v>
          </cell>
        </row>
        <row r="5333">
          <cell r="B5333" t="b">
            <v>1</v>
          </cell>
          <cell r="E5333" t="str">
            <v>Punta Canoa</v>
          </cell>
          <cell r="H5333" t="str">
            <v>laboratorio</v>
          </cell>
          <cell r="J5333" t="str">
            <v>bueno</v>
          </cell>
          <cell r="K5333" t="str">
            <v>defsi</v>
          </cell>
        </row>
        <row r="5334">
          <cell r="B5334" t="b">
            <v>1</v>
          </cell>
          <cell r="E5334" t="str">
            <v>Arroyo de las Canoas</v>
          </cell>
          <cell r="H5334" t="str">
            <v>laboratorio</v>
          </cell>
          <cell r="J5334" t="str">
            <v>bueno</v>
          </cell>
          <cell r="K5334" t="str">
            <v>probsi</v>
          </cell>
        </row>
        <row r="5335">
          <cell r="B5335" t="b">
            <v>1</v>
          </cell>
          <cell r="E5335" t="str">
            <v>Arroyo de las Canoas</v>
          </cell>
          <cell r="H5335" t="str">
            <v>salud_oral</v>
          </cell>
          <cell r="J5335" t="str">
            <v>bueno</v>
          </cell>
          <cell r="K5335" t="str">
            <v>probsi</v>
          </cell>
        </row>
        <row r="5336">
          <cell r="B5336" t="b">
            <v>1</v>
          </cell>
          <cell r="E5336" t="str">
            <v>Arroyo de las Canoas</v>
          </cell>
          <cell r="H5336" t="str">
            <v>salud_oral</v>
          </cell>
          <cell r="J5336" t="str">
            <v>bueno</v>
          </cell>
          <cell r="K5336" t="str">
            <v>probsi</v>
          </cell>
        </row>
        <row r="5337">
          <cell r="B5337" t="b">
            <v>1</v>
          </cell>
          <cell r="E5337" t="str">
            <v>Arroyo de las Canoas</v>
          </cell>
          <cell r="H5337" t="str">
            <v>consulta_externa</v>
          </cell>
          <cell r="J5337" t="str">
            <v>bueno</v>
          </cell>
          <cell r="K5337" t="str">
            <v>probsi</v>
          </cell>
        </row>
        <row r="5338">
          <cell r="B5338" t="b">
            <v>1</v>
          </cell>
          <cell r="E5338" t="str">
            <v>Arroyo de las Canoas</v>
          </cell>
          <cell r="H5338" t="str">
            <v>consulta_externa</v>
          </cell>
          <cell r="J5338" t="str">
            <v>bueno</v>
          </cell>
          <cell r="K5338" t="str">
            <v>probsi</v>
          </cell>
        </row>
        <row r="5339">
          <cell r="B5339" t="b">
            <v>1</v>
          </cell>
          <cell r="E5339" t="str">
            <v>Punta Canoa</v>
          </cell>
          <cell r="H5339" t="str">
            <v>consulta_externa</v>
          </cell>
          <cell r="J5339" t="str">
            <v>bueno</v>
          </cell>
          <cell r="K5339" t="str">
            <v>defsi</v>
          </cell>
        </row>
        <row r="5340">
          <cell r="B5340" t="b">
            <v>1</v>
          </cell>
          <cell r="E5340" t="str">
            <v>Punta Canoa</v>
          </cell>
          <cell r="H5340" t="str">
            <v>laboratorio</v>
          </cell>
          <cell r="J5340" t="str">
            <v>bueno</v>
          </cell>
          <cell r="K5340" t="str">
            <v>defsi</v>
          </cell>
        </row>
        <row r="5341">
          <cell r="B5341" t="b">
            <v>1</v>
          </cell>
          <cell r="E5341" t="str">
            <v>Punta Canoa</v>
          </cell>
          <cell r="H5341" t="str">
            <v>salud_oral</v>
          </cell>
          <cell r="J5341" t="str">
            <v>bueno</v>
          </cell>
          <cell r="K5341" t="str">
            <v>defsi</v>
          </cell>
        </row>
        <row r="5342">
          <cell r="B5342" t="b">
            <v>1</v>
          </cell>
          <cell r="E5342" t="str">
            <v>Arroyo de las Canoas</v>
          </cell>
          <cell r="H5342" t="str">
            <v>consulta_externa</v>
          </cell>
          <cell r="J5342" t="str">
            <v>bueno</v>
          </cell>
          <cell r="K5342" t="str">
            <v>probsi</v>
          </cell>
        </row>
        <row r="5343">
          <cell r="B5343" t="b">
            <v>1</v>
          </cell>
          <cell r="E5343" t="str">
            <v>Arroyo de las Canoas</v>
          </cell>
          <cell r="H5343" t="str">
            <v>salud_oral</v>
          </cell>
          <cell r="J5343" t="str">
            <v>bueno</v>
          </cell>
          <cell r="K5343" t="str">
            <v>probsi</v>
          </cell>
        </row>
        <row r="5344">
          <cell r="B5344" t="b">
            <v>1</v>
          </cell>
          <cell r="E5344" t="str">
            <v>Tierra Bomba</v>
          </cell>
          <cell r="H5344" t="str">
            <v>consulta_externa</v>
          </cell>
          <cell r="J5344" t="str">
            <v>bueno</v>
          </cell>
          <cell r="K5344" t="str">
            <v>probsi</v>
          </cell>
        </row>
        <row r="5345">
          <cell r="B5345" t="b">
            <v>1</v>
          </cell>
          <cell r="E5345" t="str">
            <v>Arroyo de las Canoas</v>
          </cell>
          <cell r="H5345" t="str">
            <v>laboratorio</v>
          </cell>
          <cell r="J5345" t="str">
            <v>bueno</v>
          </cell>
          <cell r="K5345" t="str">
            <v>probsi</v>
          </cell>
        </row>
        <row r="5346">
          <cell r="B5346" t="b">
            <v>1</v>
          </cell>
          <cell r="E5346" t="str">
            <v>Tierra Bomba</v>
          </cell>
          <cell r="H5346" t="str">
            <v>consulta_externa</v>
          </cell>
          <cell r="J5346" t="str">
            <v>bueno</v>
          </cell>
          <cell r="K5346" t="str">
            <v>probsi</v>
          </cell>
        </row>
        <row r="5347">
          <cell r="B5347" t="b">
            <v>1</v>
          </cell>
          <cell r="E5347" t="str">
            <v>Tierra Bomba</v>
          </cell>
          <cell r="H5347" t="str">
            <v>consulta_externa</v>
          </cell>
          <cell r="J5347" t="str">
            <v>bueno</v>
          </cell>
          <cell r="K5347" t="str">
            <v>probsi</v>
          </cell>
        </row>
        <row r="5348">
          <cell r="B5348" t="b">
            <v>1</v>
          </cell>
          <cell r="E5348" t="str">
            <v>Tierra Bomba</v>
          </cell>
          <cell r="H5348" t="str">
            <v>consulta_externa</v>
          </cell>
          <cell r="J5348" t="str">
            <v>bueno</v>
          </cell>
          <cell r="K5348" t="str">
            <v>probsi</v>
          </cell>
        </row>
        <row r="5349">
          <cell r="B5349" t="b">
            <v>1</v>
          </cell>
          <cell r="E5349" t="str">
            <v>Tierra Bomba</v>
          </cell>
          <cell r="H5349" t="str">
            <v>consulta_externa</v>
          </cell>
          <cell r="J5349" t="str">
            <v>bueno</v>
          </cell>
          <cell r="K5349" t="str">
            <v>probsi</v>
          </cell>
        </row>
        <row r="5350">
          <cell r="B5350" t="b">
            <v>0</v>
          </cell>
          <cell r="E5350" t="str">
            <v>Punta Canoa</v>
          </cell>
          <cell r="H5350" t="str">
            <v>salud_oral</v>
          </cell>
          <cell r="J5350" t="str">
            <v>regular</v>
          </cell>
          <cell r="K5350" t="str">
            <v>defsi</v>
          </cell>
        </row>
        <row r="5351">
          <cell r="B5351" t="b">
            <v>1</v>
          </cell>
          <cell r="E5351" t="str">
            <v>Tierra Bomba</v>
          </cell>
          <cell r="H5351" t="str">
            <v>laboratorio</v>
          </cell>
          <cell r="J5351" t="str">
            <v>bueno</v>
          </cell>
          <cell r="K5351" t="str">
            <v>probsi</v>
          </cell>
        </row>
        <row r="5352">
          <cell r="B5352" t="b">
            <v>1</v>
          </cell>
          <cell r="E5352" t="str">
            <v>Tierra Bomba</v>
          </cell>
          <cell r="H5352" t="str">
            <v>laboratorio</v>
          </cell>
          <cell r="J5352" t="str">
            <v>bueno</v>
          </cell>
          <cell r="K5352" t="str">
            <v>probsi</v>
          </cell>
        </row>
        <row r="5353">
          <cell r="B5353" t="b">
            <v>1</v>
          </cell>
          <cell r="E5353" t="str">
            <v>Puerto Rey</v>
          </cell>
          <cell r="H5353" t="str">
            <v>laboratorio</v>
          </cell>
          <cell r="J5353" t="str">
            <v>bueno</v>
          </cell>
          <cell r="K5353" t="str">
            <v>probsi</v>
          </cell>
        </row>
        <row r="5354">
          <cell r="B5354" t="b">
            <v>1</v>
          </cell>
          <cell r="E5354" t="str">
            <v>Puerto Rey</v>
          </cell>
          <cell r="H5354" t="str">
            <v>laboratorio</v>
          </cell>
          <cell r="J5354" t="str">
            <v>bueno</v>
          </cell>
          <cell r="K5354" t="str">
            <v>probsi</v>
          </cell>
        </row>
        <row r="5355">
          <cell r="B5355" t="b">
            <v>1</v>
          </cell>
          <cell r="E5355" t="str">
            <v>Punta Canoa</v>
          </cell>
          <cell r="H5355" t="str">
            <v>laboratorio</v>
          </cell>
          <cell r="J5355" t="str">
            <v>bueno</v>
          </cell>
          <cell r="K5355" t="str">
            <v>defsi</v>
          </cell>
        </row>
        <row r="5356">
          <cell r="B5356" t="b">
            <v>1</v>
          </cell>
          <cell r="E5356" t="str">
            <v>Punta Canoa</v>
          </cell>
          <cell r="H5356" t="str">
            <v>laboratorio</v>
          </cell>
          <cell r="J5356" t="str">
            <v>bueno</v>
          </cell>
          <cell r="K5356" t="str">
            <v>defsi</v>
          </cell>
        </row>
        <row r="5357">
          <cell r="B5357" t="b">
            <v>1</v>
          </cell>
          <cell r="E5357" t="str">
            <v>Punta Canoa</v>
          </cell>
          <cell r="H5357" t="str">
            <v>laboratorio</v>
          </cell>
          <cell r="J5357" t="str">
            <v>bueno</v>
          </cell>
          <cell r="K5357" t="str">
            <v>defsi</v>
          </cell>
        </row>
        <row r="5358">
          <cell r="B5358" t="b">
            <v>1</v>
          </cell>
          <cell r="E5358" t="str">
            <v>Punta Canoa</v>
          </cell>
          <cell r="H5358" t="str">
            <v>salud_oral</v>
          </cell>
          <cell r="J5358" t="str">
            <v>bueno</v>
          </cell>
          <cell r="K5358" t="str">
            <v>defsi</v>
          </cell>
        </row>
        <row r="5359">
          <cell r="B5359" t="b">
            <v>1</v>
          </cell>
          <cell r="E5359" t="str">
            <v>Punta Canoa</v>
          </cell>
          <cell r="H5359" t="str">
            <v>consulta_externa</v>
          </cell>
          <cell r="J5359" t="str">
            <v>bueno</v>
          </cell>
          <cell r="K5359" t="str">
            <v>defsi</v>
          </cell>
        </row>
        <row r="5360">
          <cell r="B5360" t="b">
            <v>1</v>
          </cell>
          <cell r="E5360" t="str">
            <v>Punta Canoa</v>
          </cell>
          <cell r="H5360" t="str">
            <v>laboratorio</v>
          </cell>
          <cell r="J5360" t="str">
            <v>bueno</v>
          </cell>
          <cell r="K5360" t="str">
            <v>defsi</v>
          </cell>
        </row>
        <row r="5361">
          <cell r="B5361" t="b">
            <v>1</v>
          </cell>
          <cell r="E5361" t="str">
            <v>Punta Canoa</v>
          </cell>
          <cell r="H5361" t="str">
            <v>laboratorio</v>
          </cell>
          <cell r="J5361" t="str">
            <v>bueno</v>
          </cell>
          <cell r="K5361" t="str">
            <v>defsi</v>
          </cell>
        </row>
        <row r="5362">
          <cell r="B5362" t="b">
            <v>1</v>
          </cell>
          <cell r="E5362" t="str">
            <v>Punta Canoa</v>
          </cell>
          <cell r="H5362" t="str">
            <v>laboratorio</v>
          </cell>
          <cell r="J5362" t="str">
            <v>bueno</v>
          </cell>
          <cell r="K5362" t="str">
            <v>defsi</v>
          </cell>
        </row>
        <row r="5363">
          <cell r="B5363" t="b">
            <v>1</v>
          </cell>
          <cell r="E5363" t="str">
            <v>Punta Canoa</v>
          </cell>
          <cell r="H5363" t="str">
            <v>laboratorio</v>
          </cell>
          <cell r="J5363" t="str">
            <v>bueno</v>
          </cell>
          <cell r="K5363" t="str">
            <v>defsi</v>
          </cell>
        </row>
        <row r="5364">
          <cell r="B5364" t="b">
            <v>1</v>
          </cell>
          <cell r="E5364" t="str">
            <v>Punta Canoa</v>
          </cell>
          <cell r="H5364" t="str">
            <v>salud_oral</v>
          </cell>
          <cell r="J5364" t="str">
            <v>bueno</v>
          </cell>
          <cell r="K5364" t="str">
            <v>defsi</v>
          </cell>
        </row>
        <row r="5365">
          <cell r="B5365" t="b">
            <v>1</v>
          </cell>
          <cell r="E5365" t="str">
            <v>Punta Canoa</v>
          </cell>
          <cell r="H5365" t="str">
            <v>salud_oral</v>
          </cell>
          <cell r="J5365" t="str">
            <v>bueno</v>
          </cell>
          <cell r="K5365" t="str">
            <v>defsi</v>
          </cell>
        </row>
        <row r="5366">
          <cell r="B5366" t="b">
            <v>1</v>
          </cell>
          <cell r="E5366" t="str">
            <v>Arroyo de las Canoas</v>
          </cell>
          <cell r="H5366" t="str">
            <v>laboratorio</v>
          </cell>
          <cell r="J5366" t="str">
            <v>bueno</v>
          </cell>
          <cell r="K5366" t="str">
            <v>probsi</v>
          </cell>
        </row>
        <row r="5367">
          <cell r="B5367" t="b">
            <v>1</v>
          </cell>
          <cell r="E5367" t="str">
            <v>Arroyo de las Canoas</v>
          </cell>
          <cell r="H5367" t="str">
            <v>laboratorio</v>
          </cell>
          <cell r="J5367" t="str">
            <v>bueno</v>
          </cell>
          <cell r="K5367" t="str">
            <v>probsi</v>
          </cell>
        </row>
        <row r="5368">
          <cell r="B5368" t="b">
            <v>1</v>
          </cell>
          <cell r="E5368" t="str">
            <v>Arroyo de las Canoas</v>
          </cell>
          <cell r="H5368" t="str">
            <v>laboratorio</v>
          </cell>
          <cell r="J5368" t="str">
            <v>bueno</v>
          </cell>
          <cell r="K5368" t="str">
            <v>probsi</v>
          </cell>
        </row>
        <row r="5369">
          <cell r="B5369" t="b">
            <v>1</v>
          </cell>
          <cell r="E5369" t="str">
            <v>Arroyo de las Canoas</v>
          </cell>
          <cell r="H5369" t="str">
            <v>laboratorio</v>
          </cell>
          <cell r="J5369" t="str">
            <v>bueno</v>
          </cell>
          <cell r="K5369" t="str">
            <v>probsi</v>
          </cell>
        </row>
        <row r="5370">
          <cell r="B5370" t="b">
            <v>1</v>
          </cell>
          <cell r="E5370" t="str">
            <v>Arroyo de las Canoas</v>
          </cell>
          <cell r="H5370" t="str">
            <v>consulta_externa</v>
          </cell>
          <cell r="J5370" t="str">
            <v>bueno</v>
          </cell>
          <cell r="K5370" t="str">
            <v>probsi</v>
          </cell>
        </row>
        <row r="5371">
          <cell r="B5371" t="b">
            <v>1</v>
          </cell>
          <cell r="E5371" t="str">
            <v>Arroyo de las Canoas</v>
          </cell>
          <cell r="H5371" t="str">
            <v>consulta_externa</v>
          </cell>
          <cell r="J5371" t="str">
            <v>bueno</v>
          </cell>
          <cell r="K5371" t="str">
            <v>probsi</v>
          </cell>
        </row>
        <row r="5372">
          <cell r="B5372" t="b">
            <v>1</v>
          </cell>
          <cell r="E5372" t="str">
            <v>Arroyo de las Canoas</v>
          </cell>
          <cell r="H5372" t="str">
            <v>consulta_externa</v>
          </cell>
          <cell r="J5372" t="str">
            <v>bueno</v>
          </cell>
          <cell r="K5372" t="str">
            <v>probsi</v>
          </cell>
        </row>
        <row r="5373">
          <cell r="B5373" t="b">
            <v>1</v>
          </cell>
          <cell r="E5373" t="str">
            <v>Arroyo de las Canoas</v>
          </cell>
          <cell r="H5373" t="str">
            <v>consulta_externa</v>
          </cell>
          <cell r="J5373" t="str">
            <v>bueno</v>
          </cell>
          <cell r="K5373" t="str">
            <v>probsi</v>
          </cell>
        </row>
        <row r="5374">
          <cell r="B5374" t="b">
            <v>1</v>
          </cell>
          <cell r="E5374" t="str">
            <v>Arroyo de Piedra</v>
          </cell>
          <cell r="H5374" t="str">
            <v>consulta_externa</v>
          </cell>
          <cell r="J5374" t="str">
            <v>bueno</v>
          </cell>
          <cell r="K5374" t="str">
            <v>probsi</v>
          </cell>
        </row>
        <row r="5375">
          <cell r="B5375" t="b">
            <v>1</v>
          </cell>
          <cell r="E5375" t="str">
            <v>Arroyo de Piedra</v>
          </cell>
          <cell r="H5375" t="str">
            <v>consulta_externa</v>
          </cell>
          <cell r="J5375" t="str">
            <v>bueno</v>
          </cell>
          <cell r="K5375" t="str">
            <v>probsi</v>
          </cell>
        </row>
        <row r="5376">
          <cell r="B5376" t="b">
            <v>1</v>
          </cell>
          <cell r="E5376" t="str">
            <v>Arroyo de Piedra</v>
          </cell>
          <cell r="H5376" t="str">
            <v>laboratorio</v>
          </cell>
          <cell r="J5376" t="str">
            <v>bueno</v>
          </cell>
          <cell r="K5376" t="str">
            <v>probsi</v>
          </cell>
        </row>
        <row r="5377">
          <cell r="B5377" t="b">
            <v>1</v>
          </cell>
          <cell r="E5377" t="str">
            <v>Arroyo de Piedra</v>
          </cell>
          <cell r="H5377" t="str">
            <v>laboratorio</v>
          </cell>
          <cell r="J5377" t="str">
            <v>bueno</v>
          </cell>
          <cell r="K5377" t="str">
            <v>probsi</v>
          </cell>
        </row>
        <row r="5378">
          <cell r="B5378" t="b">
            <v>1</v>
          </cell>
          <cell r="E5378" t="str">
            <v>Arroyo de Piedra</v>
          </cell>
          <cell r="H5378" t="str">
            <v>consulta_externa</v>
          </cell>
          <cell r="J5378" t="str">
            <v>bueno</v>
          </cell>
          <cell r="K5378" t="str">
            <v>probsi</v>
          </cell>
        </row>
        <row r="5379">
          <cell r="B5379" t="b">
            <v>1</v>
          </cell>
          <cell r="E5379" t="str">
            <v>Arroyo de Piedra</v>
          </cell>
          <cell r="H5379" t="str">
            <v>consulta_externa</v>
          </cell>
          <cell r="J5379" t="str">
            <v>bueno</v>
          </cell>
          <cell r="K5379" t="str">
            <v>probsi</v>
          </cell>
        </row>
        <row r="5380">
          <cell r="B5380" t="b">
            <v>1</v>
          </cell>
          <cell r="E5380" t="str">
            <v>Arroyo de Piedra</v>
          </cell>
          <cell r="H5380" t="str">
            <v>consulta_externa</v>
          </cell>
          <cell r="J5380" t="str">
            <v>bueno</v>
          </cell>
          <cell r="K5380" t="str">
            <v>probsi</v>
          </cell>
        </row>
        <row r="5381">
          <cell r="B5381" t="b">
            <v>1</v>
          </cell>
          <cell r="E5381" t="str">
            <v>Arroyo de Piedra</v>
          </cell>
          <cell r="H5381" t="str">
            <v>salud_oral</v>
          </cell>
          <cell r="J5381" t="str">
            <v>bueno</v>
          </cell>
          <cell r="K5381" t="str">
            <v>probsi</v>
          </cell>
        </row>
        <row r="5382">
          <cell r="B5382" t="b">
            <v>1</v>
          </cell>
          <cell r="E5382" t="str">
            <v>Arroyo de Piedra</v>
          </cell>
          <cell r="H5382" t="str">
            <v>salud_oral</v>
          </cell>
          <cell r="J5382" t="str">
            <v>bueno</v>
          </cell>
          <cell r="K5382" t="str">
            <v>probsi</v>
          </cell>
        </row>
        <row r="5383">
          <cell r="B5383" t="b">
            <v>1</v>
          </cell>
          <cell r="E5383" t="str">
            <v>Arroyo de Piedra</v>
          </cell>
          <cell r="H5383" t="str">
            <v>salud_oral</v>
          </cell>
          <cell r="J5383" t="str">
            <v>bueno</v>
          </cell>
          <cell r="K5383" t="str">
            <v>probsi</v>
          </cell>
        </row>
        <row r="5384">
          <cell r="B5384" t="b">
            <v>1</v>
          </cell>
          <cell r="E5384" t="str">
            <v>Arroyo de Piedra</v>
          </cell>
          <cell r="H5384" t="str">
            <v>salud_oral</v>
          </cell>
          <cell r="J5384" t="str">
            <v>bueno</v>
          </cell>
          <cell r="K5384" t="str">
            <v>probsi</v>
          </cell>
        </row>
        <row r="5385">
          <cell r="B5385" t="b">
            <v>1</v>
          </cell>
          <cell r="E5385" t="str">
            <v>Arroyo de Piedra</v>
          </cell>
          <cell r="H5385" t="str">
            <v>salud_oral</v>
          </cell>
          <cell r="J5385" t="str">
            <v>bueno</v>
          </cell>
          <cell r="K5385" t="str">
            <v>probsi</v>
          </cell>
        </row>
        <row r="5386">
          <cell r="B5386" t="b">
            <v>1</v>
          </cell>
          <cell r="E5386" t="str">
            <v>Arroyo de Piedra</v>
          </cell>
          <cell r="H5386" t="str">
            <v>salud_oral</v>
          </cell>
          <cell r="J5386" t="str">
            <v>bueno</v>
          </cell>
          <cell r="K5386" t="str">
            <v>probsi</v>
          </cell>
        </row>
        <row r="5387">
          <cell r="B5387" t="b">
            <v>0</v>
          </cell>
          <cell r="E5387" t="str">
            <v>Arroyo de Piedra</v>
          </cell>
          <cell r="H5387" t="str">
            <v>laboratorio</v>
          </cell>
          <cell r="J5387" t="str">
            <v>regular</v>
          </cell>
          <cell r="K5387" t="str">
            <v>probsi</v>
          </cell>
        </row>
        <row r="5388">
          <cell r="B5388" t="b">
            <v>1</v>
          </cell>
          <cell r="E5388" t="str">
            <v>Arroyo de Piedra</v>
          </cell>
          <cell r="H5388" t="str">
            <v>laboratorio</v>
          </cell>
          <cell r="J5388" t="str">
            <v>bueno</v>
          </cell>
          <cell r="K5388" t="str">
            <v>probsi</v>
          </cell>
        </row>
        <row r="5389">
          <cell r="B5389" t="b">
            <v>1</v>
          </cell>
          <cell r="E5389" t="str">
            <v>Arroyo de Piedra</v>
          </cell>
          <cell r="H5389" t="str">
            <v>laboratorio</v>
          </cell>
          <cell r="J5389" t="str">
            <v>bueno</v>
          </cell>
          <cell r="K5389" t="str">
            <v>probsi</v>
          </cell>
        </row>
        <row r="5390">
          <cell r="B5390" t="b">
            <v>1</v>
          </cell>
          <cell r="E5390" t="str">
            <v>Arroyo de Piedra</v>
          </cell>
          <cell r="H5390" t="str">
            <v>laboratorio</v>
          </cell>
          <cell r="J5390" t="str">
            <v>bueno</v>
          </cell>
          <cell r="K5390" t="str">
            <v>probsi</v>
          </cell>
        </row>
        <row r="5391">
          <cell r="B5391" t="b">
            <v>1</v>
          </cell>
          <cell r="E5391" t="str">
            <v>Arroyo de Piedra</v>
          </cell>
          <cell r="H5391" t="str">
            <v>laboratorio</v>
          </cell>
          <cell r="J5391" t="str">
            <v>bueno</v>
          </cell>
          <cell r="K5391" t="str">
            <v>probsi</v>
          </cell>
        </row>
        <row r="5392">
          <cell r="B5392" t="b">
            <v>1</v>
          </cell>
          <cell r="E5392" t="str">
            <v>Arroyo de Piedra</v>
          </cell>
          <cell r="H5392" t="str">
            <v>laboratorio</v>
          </cell>
          <cell r="J5392" t="str">
            <v>bueno</v>
          </cell>
          <cell r="K5392" t="str">
            <v>probsi</v>
          </cell>
        </row>
        <row r="5393">
          <cell r="B5393" t="b">
            <v>1</v>
          </cell>
          <cell r="E5393" t="str">
            <v>Pontezuela</v>
          </cell>
          <cell r="H5393" t="str">
            <v>consulta_externa</v>
          </cell>
          <cell r="J5393" t="str">
            <v>bueno</v>
          </cell>
          <cell r="K5393" t="str">
            <v>defsi</v>
          </cell>
        </row>
        <row r="5394">
          <cell r="B5394" t="b">
            <v>1</v>
          </cell>
          <cell r="E5394" t="str">
            <v>Pontezuela</v>
          </cell>
          <cell r="H5394" t="str">
            <v>consulta_externa</v>
          </cell>
          <cell r="J5394" t="str">
            <v>bueno</v>
          </cell>
          <cell r="K5394" t="str">
            <v>defsi</v>
          </cell>
        </row>
        <row r="5395">
          <cell r="B5395" t="b">
            <v>1</v>
          </cell>
          <cell r="E5395" t="str">
            <v>Pontezuela</v>
          </cell>
          <cell r="H5395" t="str">
            <v>consulta_externa</v>
          </cell>
          <cell r="J5395" t="str">
            <v>bueno</v>
          </cell>
          <cell r="K5395" t="str">
            <v>defsi</v>
          </cell>
        </row>
        <row r="5396">
          <cell r="B5396" t="b">
            <v>1</v>
          </cell>
          <cell r="E5396" t="str">
            <v>Pontezuela</v>
          </cell>
          <cell r="H5396" t="str">
            <v>consulta_externa</v>
          </cell>
          <cell r="J5396" t="str">
            <v>bueno</v>
          </cell>
          <cell r="K5396" t="str">
            <v>defsi</v>
          </cell>
        </row>
        <row r="5397">
          <cell r="B5397" t="b">
            <v>1</v>
          </cell>
          <cell r="E5397" t="str">
            <v>Pontezuela</v>
          </cell>
          <cell r="H5397" t="str">
            <v>consulta_externa</v>
          </cell>
          <cell r="J5397" t="str">
            <v>muybueno</v>
          </cell>
          <cell r="K5397" t="str">
            <v>defsi</v>
          </cell>
        </row>
        <row r="5398">
          <cell r="B5398" t="b">
            <v>1</v>
          </cell>
          <cell r="E5398" t="str">
            <v>Pontezuela</v>
          </cell>
          <cell r="H5398" t="str">
            <v>consulta_externa</v>
          </cell>
          <cell r="J5398" t="str">
            <v>muybueno</v>
          </cell>
          <cell r="K5398" t="str">
            <v>defsi</v>
          </cell>
        </row>
        <row r="5399">
          <cell r="B5399" t="b">
            <v>1</v>
          </cell>
          <cell r="E5399" t="str">
            <v>Pontezuela</v>
          </cell>
          <cell r="H5399" t="str">
            <v>consulta_externa</v>
          </cell>
          <cell r="J5399" t="str">
            <v>bueno</v>
          </cell>
          <cell r="K5399" t="str">
            <v>defsi</v>
          </cell>
        </row>
        <row r="5400">
          <cell r="B5400" t="b">
            <v>1</v>
          </cell>
          <cell r="E5400" t="str">
            <v>Pontezuela</v>
          </cell>
          <cell r="H5400" t="str">
            <v>salud_oral</v>
          </cell>
          <cell r="J5400" t="str">
            <v>bueno</v>
          </cell>
          <cell r="K5400" t="str">
            <v>defsi</v>
          </cell>
        </row>
        <row r="5401">
          <cell r="B5401" t="b">
            <v>1</v>
          </cell>
          <cell r="E5401" t="str">
            <v>Pontezuela</v>
          </cell>
          <cell r="H5401" t="str">
            <v>salud_oral</v>
          </cell>
          <cell r="J5401" t="str">
            <v>bueno</v>
          </cell>
          <cell r="K5401" t="str">
            <v>defsi</v>
          </cell>
        </row>
        <row r="5402">
          <cell r="B5402" t="b">
            <v>0</v>
          </cell>
          <cell r="E5402" t="str">
            <v>Pontezuela</v>
          </cell>
          <cell r="H5402" t="str">
            <v>salud_oral</v>
          </cell>
          <cell r="J5402" t="str">
            <v>regular</v>
          </cell>
          <cell r="K5402" t="str">
            <v>defsi</v>
          </cell>
        </row>
        <row r="5403">
          <cell r="B5403" t="b">
            <v>0</v>
          </cell>
          <cell r="E5403" t="str">
            <v>Pontezuela</v>
          </cell>
          <cell r="H5403" t="str">
            <v>consulta_externa</v>
          </cell>
          <cell r="J5403" t="str">
            <v>regular</v>
          </cell>
          <cell r="K5403" t="str">
            <v>defsi</v>
          </cell>
        </row>
        <row r="5404">
          <cell r="B5404" t="b">
            <v>1</v>
          </cell>
          <cell r="E5404" t="str">
            <v>Pontezuela</v>
          </cell>
          <cell r="H5404" t="str">
            <v>consulta_externa</v>
          </cell>
          <cell r="J5404" t="str">
            <v>bueno</v>
          </cell>
          <cell r="K5404" t="str">
            <v>defsi</v>
          </cell>
        </row>
        <row r="5405">
          <cell r="B5405" t="b">
            <v>1</v>
          </cell>
          <cell r="E5405" t="str">
            <v>Pontezuela</v>
          </cell>
          <cell r="H5405" t="str">
            <v>consulta_externa</v>
          </cell>
          <cell r="J5405" t="str">
            <v>bueno</v>
          </cell>
          <cell r="K5405" t="str">
            <v>defsi</v>
          </cell>
        </row>
        <row r="5406">
          <cell r="B5406" t="b">
            <v>1</v>
          </cell>
          <cell r="E5406" t="str">
            <v>Pontezuela</v>
          </cell>
          <cell r="H5406" t="str">
            <v>salud_oral</v>
          </cell>
          <cell r="J5406" t="str">
            <v>bueno</v>
          </cell>
          <cell r="K5406" t="str">
            <v>defsi</v>
          </cell>
        </row>
        <row r="5407">
          <cell r="B5407" t="b">
            <v>1</v>
          </cell>
          <cell r="E5407" t="str">
            <v>Pontezuela</v>
          </cell>
          <cell r="H5407" t="str">
            <v>salud_oral</v>
          </cell>
          <cell r="J5407" t="str">
            <v>bueno</v>
          </cell>
          <cell r="K5407" t="str">
            <v>defsi</v>
          </cell>
        </row>
        <row r="5408">
          <cell r="B5408" t="b">
            <v>1</v>
          </cell>
          <cell r="E5408" t="str">
            <v>Pontezuela</v>
          </cell>
          <cell r="H5408" t="str">
            <v>salud_oral</v>
          </cell>
          <cell r="J5408" t="str">
            <v>bueno</v>
          </cell>
          <cell r="K5408" t="str">
            <v>defsi</v>
          </cell>
        </row>
        <row r="5409">
          <cell r="B5409" t="b">
            <v>1</v>
          </cell>
          <cell r="E5409" t="str">
            <v>Pontezuela</v>
          </cell>
          <cell r="H5409" t="str">
            <v>consulta_externa</v>
          </cell>
          <cell r="J5409" t="str">
            <v>muybueno</v>
          </cell>
          <cell r="K5409" t="str">
            <v>defsi</v>
          </cell>
        </row>
        <row r="5410">
          <cell r="B5410" t="b">
            <v>1</v>
          </cell>
          <cell r="E5410" t="str">
            <v>Pontezuela</v>
          </cell>
          <cell r="H5410" t="str">
            <v>salud_oral</v>
          </cell>
          <cell r="J5410" t="str">
            <v>bueno</v>
          </cell>
          <cell r="K5410" t="str">
            <v>defsi</v>
          </cell>
        </row>
        <row r="5411">
          <cell r="B5411" t="b">
            <v>1</v>
          </cell>
          <cell r="E5411" t="str">
            <v>Pontezuela</v>
          </cell>
          <cell r="H5411" t="str">
            <v>salud_oral</v>
          </cell>
          <cell r="J5411" t="str">
            <v>bueno</v>
          </cell>
          <cell r="K5411" t="str">
            <v>defsi</v>
          </cell>
        </row>
        <row r="5412">
          <cell r="B5412" t="b">
            <v>1</v>
          </cell>
          <cell r="E5412" t="str">
            <v>Pontezuela</v>
          </cell>
          <cell r="H5412" t="str">
            <v>consulta_externa</v>
          </cell>
          <cell r="J5412" t="str">
            <v>bueno</v>
          </cell>
          <cell r="K5412" t="str">
            <v>defsi</v>
          </cell>
        </row>
        <row r="5413">
          <cell r="B5413" t="b">
            <v>1</v>
          </cell>
          <cell r="E5413" t="str">
            <v>Puerto Rey</v>
          </cell>
          <cell r="H5413" t="str">
            <v>consulta_externa</v>
          </cell>
          <cell r="J5413" t="str">
            <v>bueno</v>
          </cell>
          <cell r="K5413" t="str">
            <v>probsi</v>
          </cell>
        </row>
        <row r="5414">
          <cell r="B5414" t="b">
            <v>1</v>
          </cell>
          <cell r="E5414" t="str">
            <v>Santa Ana</v>
          </cell>
          <cell r="H5414" t="str">
            <v>consulta_externa</v>
          </cell>
          <cell r="J5414" t="str">
            <v>bueno</v>
          </cell>
          <cell r="K5414" t="str">
            <v>probsi</v>
          </cell>
        </row>
        <row r="5415">
          <cell r="B5415" t="b">
            <v>1</v>
          </cell>
          <cell r="E5415" t="str">
            <v>Santa Ana</v>
          </cell>
          <cell r="H5415" t="str">
            <v>consulta_externa</v>
          </cell>
          <cell r="J5415" t="str">
            <v>bueno</v>
          </cell>
          <cell r="K5415" t="str">
            <v>probsi</v>
          </cell>
        </row>
        <row r="5416">
          <cell r="B5416" t="b">
            <v>1</v>
          </cell>
          <cell r="E5416" t="str">
            <v>Santa Ana</v>
          </cell>
          <cell r="H5416" t="str">
            <v>consulta_externa</v>
          </cell>
          <cell r="J5416" t="str">
            <v>bueno</v>
          </cell>
          <cell r="K5416" t="str">
            <v>probsi</v>
          </cell>
        </row>
        <row r="5417">
          <cell r="B5417" t="b">
            <v>1</v>
          </cell>
          <cell r="E5417" t="str">
            <v>Santa Ana</v>
          </cell>
          <cell r="H5417" t="str">
            <v>consulta_externa</v>
          </cell>
          <cell r="J5417" t="str">
            <v>bueno</v>
          </cell>
          <cell r="K5417" t="str">
            <v>probsi</v>
          </cell>
        </row>
        <row r="5418">
          <cell r="B5418" t="b">
            <v>1</v>
          </cell>
          <cell r="E5418" t="str">
            <v>Santa Ana</v>
          </cell>
          <cell r="H5418" t="str">
            <v>consulta_externa</v>
          </cell>
          <cell r="J5418" t="str">
            <v>bueno</v>
          </cell>
          <cell r="K5418" t="str">
            <v>probsi</v>
          </cell>
        </row>
        <row r="5419">
          <cell r="B5419" t="b">
            <v>1</v>
          </cell>
          <cell r="E5419" t="str">
            <v>Santa Ana</v>
          </cell>
          <cell r="H5419" t="str">
            <v>laboratorio</v>
          </cell>
          <cell r="J5419" t="str">
            <v>bueno</v>
          </cell>
          <cell r="K5419" t="str">
            <v>probsi</v>
          </cell>
        </row>
        <row r="5420">
          <cell r="B5420" t="b">
            <v>1</v>
          </cell>
          <cell r="E5420" t="str">
            <v>Santa Ana</v>
          </cell>
          <cell r="H5420" t="str">
            <v>laboratorio</v>
          </cell>
          <cell r="J5420" t="str">
            <v>bueno</v>
          </cell>
          <cell r="K5420" t="str">
            <v>probsi</v>
          </cell>
        </row>
        <row r="5421">
          <cell r="B5421" t="b">
            <v>1</v>
          </cell>
          <cell r="E5421" t="str">
            <v>Santa Ana</v>
          </cell>
          <cell r="H5421" t="str">
            <v>salud_oral</v>
          </cell>
          <cell r="J5421" t="str">
            <v>bueno</v>
          </cell>
          <cell r="K5421" t="str">
            <v>probsi</v>
          </cell>
        </row>
        <row r="5422">
          <cell r="B5422" t="b">
            <v>1</v>
          </cell>
          <cell r="E5422" t="str">
            <v>Santa Ana</v>
          </cell>
          <cell r="H5422" t="str">
            <v>salud_oral</v>
          </cell>
          <cell r="J5422" t="str">
            <v>bueno</v>
          </cell>
          <cell r="K5422" t="str">
            <v>probsi</v>
          </cell>
        </row>
        <row r="5423">
          <cell r="B5423" t="b">
            <v>1</v>
          </cell>
          <cell r="E5423" t="str">
            <v>Puerto Rey</v>
          </cell>
          <cell r="H5423" t="str">
            <v>salud_oral</v>
          </cell>
          <cell r="J5423" t="str">
            <v>bueno</v>
          </cell>
          <cell r="K5423" t="str">
            <v>probsi</v>
          </cell>
        </row>
        <row r="5424">
          <cell r="B5424" t="b">
            <v>1</v>
          </cell>
          <cell r="E5424" t="str">
            <v>Puerto Rey</v>
          </cell>
          <cell r="H5424" t="str">
            <v>salud_oral</v>
          </cell>
          <cell r="J5424" t="str">
            <v>bueno</v>
          </cell>
          <cell r="K5424" t="str">
            <v>probsi</v>
          </cell>
        </row>
        <row r="5425">
          <cell r="B5425" t="b">
            <v>1</v>
          </cell>
          <cell r="E5425" t="str">
            <v>Puerto Rey</v>
          </cell>
          <cell r="H5425" t="str">
            <v>consulta_externa</v>
          </cell>
          <cell r="J5425" t="str">
            <v>bueno</v>
          </cell>
          <cell r="K5425" t="str">
            <v>probsi</v>
          </cell>
        </row>
        <row r="5426">
          <cell r="B5426" t="b">
            <v>1</v>
          </cell>
          <cell r="E5426" t="str">
            <v>Puerto Rey</v>
          </cell>
          <cell r="H5426" t="str">
            <v>consulta_externa</v>
          </cell>
          <cell r="J5426" t="str">
            <v>bueno</v>
          </cell>
          <cell r="K5426" t="str">
            <v>probsi</v>
          </cell>
        </row>
        <row r="5427">
          <cell r="B5427" t="b">
            <v>1</v>
          </cell>
          <cell r="E5427" t="str">
            <v>Puerto Rey</v>
          </cell>
          <cell r="H5427" t="str">
            <v>consulta_externa</v>
          </cell>
          <cell r="J5427" t="str">
            <v>bueno</v>
          </cell>
          <cell r="K5427" t="str">
            <v>probsi</v>
          </cell>
        </row>
        <row r="5428">
          <cell r="B5428" t="b">
            <v>1</v>
          </cell>
          <cell r="E5428" t="str">
            <v>Puerto Rey</v>
          </cell>
          <cell r="H5428" t="str">
            <v>laboratorio</v>
          </cell>
          <cell r="J5428" t="str">
            <v>bueno</v>
          </cell>
          <cell r="K5428" t="str">
            <v>probsi</v>
          </cell>
        </row>
        <row r="5429">
          <cell r="B5429" t="b">
            <v>1</v>
          </cell>
          <cell r="E5429" t="str">
            <v>Puerto Rey</v>
          </cell>
          <cell r="H5429" t="str">
            <v>laboratorio</v>
          </cell>
          <cell r="J5429" t="str">
            <v>bueno</v>
          </cell>
          <cell r="K5429" t="str">
            <v>probsi</v>
          </cell>
        </row>
        <row r="5430">
          <cell r="B5430" t="b">
            <v>1</v>
          </cell>
          <cell r="E5430" t="str">
            <v>Puerto Rey</v>
          </cell>
          <cell r="H5430" t="str">
            <v>laboratorio</v>
          </cell>
          <cell r="J5430" t="str">
            <v>bueno</v>
          </cell>
          <cell r="K5430" t="str">
            <v>probsi</v>
          </cell>
        </row>
        <row r="5431">
          <cell r="B5431" t="b">
            <v>1</v>
          </cell>
          <cell r="E5431" t="str">
            <v>Puerto Rey</v>
          </cell>
          <cell r="H5431" t="str">
            <v>laboratorio</v>
          </cell>
          <cell r="J5431" t="str">
            <v>bueno</v>
          </cell>
          <cell r="K5431" t="str">
            <v>probsi</v>
          </cell>
        </row>
        <row r="5432">
          <cell r="B5432" t="b">
            <v>1</v>
          </cell>
          <cell r="E5432" t="str">
            <v>Puerto Rey</v>
          </cell>
          <cell r="H5432" t="str">
            <v>salud_oral</v>
          </cell>
          <cell r="J5432" t="str">
            <v>bueno</v>
          </cell>
          <cell r="K5432" t="str">
            <v>probsi</v>
          </cell>
        </row>
        <row r="5433">
          <cell r="B5433" t="b">
            <v>1</v>
          </cell>
          <cell r="E5433" t="str">
            <v>Puerto Rey</v>
          </cell>
          <cell r="H5433" t="str">
            <v>salud_oral</v>
          </cell>
          <cell r="J5433" t="str">
            <v>bueno</v>
          </cell>
          <cell r="K5433" t="str">
            <v>probsi</v>
          </cell>
        </row>
        <row r="5434">
          <cell r="B5434" t="b">
            <v>1</v>
          </cell>
          <cell r="E5434" t="str">
            <v>Puerto Rey</v>
          </cell>
          <cell r="H5434" t="str">
            <v>salud_oral</v>
          </cell>
          <cell r="J5434" t="str">
            <v>bueno</v>
          </cell>
          <cell r="K5434" t="str">
            <v>probsi</v>
          </cell>
        </row>
        <row r="5435">
          <cell r="B5435" t="b">
            <v>1</v>
          </cell>
          <cell r="E5435" t="str">
            <v>Puerto Rey</v>
          </cell>
          <cell r="H5435" t="str">
            <v>laboratorio</v>
          </cell>
          <cell r="J5435" t="str">
            <v>bueno</v>
          </cell>
          <cell r="K5435" t="str">
            <v>probsi</v>
          </cell>
        </row>
        <row r="5436">
          <cell r="B5436" t="b">
            <v>1</v>
          </cell>
          <cell r="E5436" t="str">
            <v>Puerto Rey</v>
          </cell>
          <cell r="H5436" t="str">
            <v>consulta_externa</v>
          </cell>
          <cell r="J5436" t="str">
            <v>bueno</v>
          </cell>
          <cell r="K5436" t="str">
            <v>probsi</v>
          </cell>
        </row>
        <row r="5437">
          <cell r="B5437" t="b">
            <v>1</v>
          </cell>
          <cell r="E5437" t="str">
            <v>Puerto Rey</v>
          </cell>
          <cell r="H5437" t="str">
            <v>consulta_externa</v>
          </cell>
          <cell r="J5437" t="str">
            <v>bueno</v>
          </cell>
          <cell r="K5437" t="str">
            <v>probsi</v>
          </cell>
        </row>
        <row r="5438">
          <cell r="B5438" t="b">
            <v>1</v>
          </cell>
          <cell r="E5438" t="str">
            <v>Puerto Rey</v>
          </cell>
          <cell r="H5438" t="str">
            <v>consulta_externa</v>
          </cell>
          <cell r="J5438" t="str">
            <v>bueno</v>
          </cell>
          <cell r="K5438" t="str">
            <v>probsi</v>
          </cell>
        </row>
        <row r="5439">
          <cell r="B5439" t="b">
            <v>1</v>
          </cell>
          <cell r="E5439" t="str">
            <v>Puerto Rey</v>
          </cell>
          <cell r="H5439" t="str">
            <v>consulta_externa</v>
          </cell>
          <cell r="J5439" t="str">
            <v>bueno</v>
          </cell>
          <cell r="K5439" t="str">
            <v>probsi</v>
          </cell>
        </row>
        <row r="5440">
          <cell r="B5440" t="b">
            <v>1</v>
          </cell>
          <cell r="E5440" t="str">
            <v>Puerto Rey</v>
          </cell>
          <cell r="H5440" t="str">
            <v>consulta_externa</v>
          </cell>
          <cell r="J5440" t="str">
            <v>muybueno</v>
          </cell>
          <cell r="K5440" t="str">
            <v>probsi</v>
          </cell>
        </row>
        <row r="5441">
          <cell r="B5441" t="b">
            <v>1</v>
          </cell>
          <cell r="E5441" t="str">
            <v>Puerto Rey</v>
          </cell>
          <cell r="H5441" t="str">
            <v>consulta_externa</v>
          </cell>
          <cell r="J5441" t="str">
            <v>muybueno</v>
          </cell>
          <cell r="K5441" t="str">
            <v>probsi</v>
          </cell>
        </row>
        <row r="5442">
          <cell r="B5442" t="b">
            <v>1</v>
          </cell>
          <cell r="E5442" t="str">
            <v>Puerto Rey</v>
          </cell>
          <cell r="H5442" t="str">
            <v>laboratorio</v>
          </cell>
          <cell r="J5442" t="str">
            <v>muybueno</v>
          </cell>
          <cell r="K5442" t="str">
            <v>probsi</v>
          </cell>
        </row>
        <row r="5443">
          <cell r="B5443" t="b">
            <v>1</v>
          </cell>
          <cell r="E5443" t="str">
            <v>Puerto Rey</v>
          </cell>
          <cell r="H5443" t="str">
            <v>laboratorio</v>
          </cell>
          <cell r="J5443" t="str">
            <v>muybueno</v>
          </cell>
          <cell r="K5443" t="str">
            <v>probsi</v>
          </cell>
        </row>
        <row r="5444">
          <cell r="B5444" t="b">
            <v>1</v>
          </cell>
          <cell r="E5444" t="str">
            <v>Tierra Baja</v>
          </cell>
          <cell r="H5444" t="str">
            <v>laboratorio</v>
          </cell>
          <cell r="J5444" t="str">
            <v>muybueno</v>
          </cell>
          <cell r="K5444" t="str">
            <v>probsi</v>
          </cell>
        </row>
        <row r="5445">
          <cell r="B5445" t="b">
            <v>1</v>
          </cell>
          <cell r="E5445" t="str">
            <v>Tierra Baja</v>
          </cell>
          <cell r="H5445" t="str">
            <v>laboratorio</v>
          </cell>
          <cell r="J5445" t="str">
            <v>muybueno</v>
          </cell>
          <cell r="K5445" t="str">
            <v>probsi</v>
          </cell>
        </row>
        <row r="5446">
          <cell r="B5446" t="b">
            <v>1</v>
          </cell>
          <cell r="E5446" t="str">
            <v>Tierra Baja</v>
          </cell>
          <cell r="H5446" t="str">
            <v>laboratorio</v>
          </cell>
          <cell r="J5446" t="str">
            <v>muybueno</v>
          </cell>
          <cell r="K5446" t="str">
            <v>probsi</v>
          </cell>
        </row>
        <row r="5447">
          <cell r="B5447" t="b">
            <v>1</v>
          </cell>
          <cell r="E5447" t="str">
            <v>Tierra Baja</v>
          </cell>
          <cell r="H5447" t="str">
            <v>consulta_externa</v>
          </cell>
          <cell r="J5447" t="str">
            <v>muybueno</v>
          </cell>
          <cell r="K5447" t="str">
            <v>probsi</v>
          </cell>
        </row>
        <row r="5448">
          <cell r="B5448" t="b">
            <v>1</v>
          </cell>
          <cell r="E5448" t="str">
            <v>Tierra Baja</v>
          </cell>
          <cell r="H5448" t="str">
            <v>consulta_externa</v>
          </cell>
          <cell r="J5448" t="str">
            <v>muybueno</v>
          </cell>
          <cell r="K5448" t="str">
            <v>probsi</v>
          </cell>
        </row>
        <row r="5449">
          <cell r="B5449" t="b">
            <v>1</v>
          </cell>
          <cell r="E5449" t="str">
            <v>Tierra Baja</v>
          </cell>
          <cell r="H5449" t="str">
            <v>salud_oral</v>
          </cell>
          <cell r="J5449" t="str">
            <v>muybueno</v>
          </cell>
          <cell r="K5449" t="str">
            <v>probsi</v>
          </cell>
        </row>
        <row r="5450">
          <cell r="B5450" t="b">
            <v>1</v>
          </cell>
          <cell r="E5450" t="str">
            <v>Tierra Baja</v>
          </cell>
          <cell r="H5450" t="str">
            <v>salud_oral</v>
          </cell>
          <cell r="J5450" t="str">
            <v>muybueno</v>
          </cell>
          <cell r="K5450" t="str">
            <v>probsi</v>
          </cell>
        </row>
        <row r="5451">
          <cell r="B5451" t="b">
            <v>1</v>
          </cell>
          <cell r="E5451" t="str">
            <v>Santa Ana</v>
          </cell>
          <cell r="H5451" t="str">
            <v>salud_oral</v>
          </cell>
          <cell r="J5451" t="str">
            <v>muybueno</v>
          </cell>
          <cell r="K5451" t="str">
            <v>probsi</v>
          </cell>
        </row>
        <row r="5452">
          <cell r="B5452" t="b">
            <v>1</v>
          </cell>
          <cell r="E5452" t="str">
            <v>Santa Ana</v>
          </cell>
          <cell r="H5452" t="str">
            <v>salud_oral</v>
          </cell>
          <cell r="J5452" t="str">
            <v>muybueno</v>
          </cell>
          <cell r="K5452" t="str">
            <v>probsi</v>
          </cell>
        </row>
        <row r="5453">
          <cell r="B5453" t="b">
            <v>1</v>
          </cell>
          <cell r="E5453" t="str">
            <v>Santa Ana</v>
          </cell>
          <cell r="H5453" t="str">
            <v>salud_oral</v>
          </cell>
          <cell r="J5453" t="str">
            <v>muybueno</v>
          </cell>
          <cell r="K5453" t="str">
            <v>probsi</v>
          </cell>
        </row>
        <row r="5454">
          <cell r="B5454" t="b">
            <v>1</v>
          </cell>
          <cell r="E5454" t="str">
            <v>Santa Ana</v>
          </cell>
          <cell r="H5454" t="str">
            <v>salud_oral</v>
          </cell>
          <cell r="J5454" t="str">
            <v>muybueno</v>
          </cell>
          <cell r="K5454" t="str">
            <v>probsi</v>
          </cell>
        </row>
        <row r="5455">
          <cell r="B5455" t="b">
            <v>1</v>
          </cell>
          <cell r="E5455" t="str">
            <v>Santa Ana</v>
          </cell>
          <cell r="H5455" t="str">
            <v>laboratorio</v>
          </cell>
          <cell r="J5455" t="str">
            <v>muybueno</v>
          </cell>
          <cell r="K5455" t="str">
            <v>probsi</v>
          </cell>
        </row>
        <row r="5456">
          <cell r="B5456" t="b">
            <v>1</v>
          </cell>
          <cell r="E5456" t="str">
            <v>Santa Ana</v>
          </cell>
          <cell r="H5456" t="str">
            <v>laboratorio</v>
          </cell>
          <cell r="J5456" t="str">
            <v>muybueno</v>
          </cell>
          <cell r="K5456" t="str">
            <v>probsi</v>
          </cell>
        </row>
        <row r="5457">
          <cell r="B5457" t="b">
            <v>1</v>
          </cell>
          <cell r="E5457" t="str">
            <v>Santa Ana</v>
          </cell>
          <cell r="H5457" t="str">
            <v>laboratorio</v>
          </cell>
          <cell r="J5457" t="str">
            <v>muybueno</v>
          </cell>
          <cell r="K5457" t="str">
            <v>probsi</v>
          </cell>
        </row>
        <row r="5458">
          <cell r="B5458" t="b">
            <v>1</v>
          </cell>
          <cell r="E5458" t="str">
            <v>Bayunca</v>
          </cell>
          <cell r="H5458" t="str">
            <v>urgencia</v>
          </cell>
          <cell r="J5458" t="str">
            <v>bueno</v>
          </cell>
          <cell r="K5458" t="str">
            <v>defsi</v>
          </cell>
        </row>
        <row r="5459">
          <cell r="B5459" t="b">
            <v>1</v>
          </cell>
          <cell r="E5459" t="str">
            <v>Bayunca</v>
          </cell>
          <cell r="H5459" t="str">
            <v>urgencia</v>
          </cell>
          <cell r="J5459" t="str">
            <v>bueno</v>
          </cell>
          <cell r="K5459" t="str">
            <v>defsi</v>
          </cell>
        </row>
        <row r="5460">
          <cell r="B5460" t="b">
            <v>1</v>
          </cell>
          <cell r="E5460" t="str">
            <v>Bayunca</v>
          </cell>
          <cell r="H5460" t="str">
            <v>urgencia</v>
          </cell>
          <cell r="J5460" t="str">
            <v>bueno</v>
          </cell>
          <cell r="K5460" t="str">
            <v>defsi</v>
          </cell>
        </row>
        <row r="5461">
          <cell r="B5461" t="b">
            <v>1</v>
          </cell>
          <cell r="E5461" t="str">
            <v>Bayunca</v>
          </cell>
          <cell r="H5461" t="str">
            <v>consulta_externa</v>
          </cell>
          <cell r="J5461" t="str">
            <v>bueno</v>
          </cell>
          <cell r="K5461" t="str">
            <v>defsi</v>
          </cell>
        </row>
        <row r="5462">
          <cell r="B5462" t="b">
            <v>1</v>
          </cell>
          <cell r="E5462" t="str">
            <v>Bayunca</v>
          </cell>
          <cell r="H5462" t="str">
            <v>consulta_externa</v>
          </cell>
          <cell r="J5462" t="str">
            <v>bueno</v>
          </cell>
          <cell r="K5462" t="str">
            <v>defsi</v>
          </cell>
        </row>
        <row r="5463">
          <cell r="B5463" t="b">
            <v>1</v>
          </cell>
          <cell r="E5463" t="str">
            <v>Bayunca</v>
          </cell>
          <cell r="H5463" t="str">
            <v>urgencia</v>
          </cell>
          <cell r="J5463" t="str">
            <v>bueno</v>
          </cell>
          <cell r="K5463" t="str">
            <v>defsi</v>
          </cell>
        </row>
        <row r="5464">
          <cell r="B5464" t="b">
            <v>1</v>
          </cell>
          <cell r="E5464" t="str">
            <v>Bayunca</v>
          </cell>
          <cell r="H5464" t="str">
            <v>urgencia</v>
          </cell>
          <cell r="J5464" t="str">
            <v>bueno</v>
          </cell>
          <cell r="K5464" t="str">
            <v>defsi</v>
          </cell>
        </row>
        <row r="5465">
          <cell r="B5465" t="b">
            <v>1</v>
          </cell>
          <cell r="E5465" t="str">
            <v>Arroyo de Piedra</v>
          </cell>
          <cell r="H5465" t="str">
            <v>laboratorio</v>
          </cell>
          <cell r="J5465" t="str">
            <v>bueno</v>
          </cell>
          <cell r="K5465" t="str">
            <v>probsi</v>
          </cell>
        </row>
        <row r="5466">
          <cell r="B5466" t="b">
            <v>1</v>
          </cell>
          <cell r="E5466" t="str">
            <v>Arroyo de Piedra</v>
          </cell>
          <cell r="H5466" t="str">
            <v>laboratorio</v>
          </cell>
          <cell r="J5466" t="str">
            <v>bueno</v>
          </cell>
          <cell r="K5466" t="str">
            <v>probsi</v>
          </cell>
        </row>
        <row r="5467">
          <cell r="B5467" t="b">
            <v>1</v>
          </cell>
          <cell r="E5467" t="str">
            <v>Arroyo de Piedra</v>
          </cell>
          <cell r="H5467" t="str">
            <v>laboratorio</v>
          </cell>
          <cell r="J5467" t="str">
            <v>bueno</v>
          </cell>
          <cell r="K5467" t="str">
            <v>probsi</v>
          </cell>
        </row>
        <row r="5468">
          <cell r="B5468" t="b">
            <v>1</v>
          </cell>
          <cell r="E5468" t="str">
            <v>Arroyo de Piedra</v>
          </cell>
          <cell r="H5468" t="str">
            <v>laboratorio</v>
          </cell>
          <cell r="J5468" t="str">
            <v>bueno</v>
          </cell>
          <cell r="K5468" t="str">
            <v>probsi</v>
          </cell>
        </row>
        <row r="5469">
          <cell r="B5469" t="b">
            <v>1</v>
          </cell>
          <cell r="E5469" t="str">
            <v>Arroyo de Piedra</v>
          </cell>
          <cell r="H5469" t="str">
            <v>laboratorio</v>
          </cell>
          <cell r="J5469" t="str">
            <v>bueno</v>
          </cell>
          <cell r="K5469" t="str">
            <v>probsi</v>
          </cell>
        </row>
        <row r="5470">
          <cell r="B5470" t="b">
            <v>1</v>
          </cell>
          <cell r="E5470" t="str">
            <v>Arroyo de Piedra</v>
          </cell>
          <cell r="H5470" t="str">
            <v>laboratorio</v>
          </cell>
          <cell r="J5470" t="str">
            <v>bueno</v>
          </cell>
          <cell r="K5470" t="str">
            <v>probsi</v>
          </cell>
        </row>
        <row r="5471">
          <cell r="B5471" t="b">
            <v>1</v>
          </cell>
          <cell r="E5471" t="str">
            <v>Arroyo de Piedra</v>
          </cell>
          <cell r="H5471" t="str">
            <v>laboratorio</v>
          </cell>
          <cell r="J5471" t="str">
            <v>bueno</v>
          </cell>
          <cell r="K5471" t="str">
            <v>probsi</v>
          </cell>
        </row>
        <row r="5472">
          <cell r="B5472" t="b">
            <v>1</v>
          </cell>
          <cell r="E5472" t="str">
            <v>Arroyo de Piedra</v>
          </cell>
          <cell r="H5472" t="str">
            <v>consulta_externa</v>
          </cell>
          <cell r="J5472" t="str">
            <v>bueno</v>
          </cell>
          <cell r="K5472" t="str">
            <v>probsi</v>
          </cell>
        </row>
        <row r="5473">
          <cell r="B5473" t="b">
            <v>1</v>
          </cell>
          <cell r="E5473" t="str">
            <v>Arroyo de Piedra</v>
          </cell>
          <cell r="H5473" t="str">
            <v>consulta_externa</v>
          </cell>
          <cell r="J5473" t="str">
            <v>bueno</v>
          </cell>
          <cell r="K5473" t="str">
            <v>probsi</v>
          </cell>
        </row>
        <row r="5474">
          <cell r="B5474" t="b">
            <v>1</v>
          </cell>
          <cell r="E5474" t="str">
            <v>Arroyo de Piedra</v>
          </cell>
          <cell r="H5474" t="str">
            <v>consulta_externa</v>
          </cell>
          <cell r="J5474" t="str">
            <v>bueno</v>
          </cell>
          <cell r="K5474" t="str">
            <v>probsi</v>
          </cell>
        </row>
        <row r="5475">
          <cell r="B5475" t="b">
            <v>1</v>
          </cell>
          <cell r="E5475" t="str">
            <v>Arroyo de Piedra</v>
          </cell>
          <cell r="H5475" t="str">
            <v>consulta_externa</v>
          </cell>
          <cell r="J5475" t="str">
            <v>bueno</v>
          </cell>
          <cell r="K5475" t="str">
            <v>probsi</v>
          </cell>
        </row>
        <row r="5476">
          <cell r="B5476" t="b">
            <v>1</v>
          </cell>
          <cell r="E5476" t="str">
            <v>Arroyo de Piedra</v>
          </cell>
          <cell r="H5476" t="str">
            <v>consulta_externa</v>
          </cell>
          <cell r="J5476" t="str">
            <v>bueno</v>
          </cell>
          <cell r="K5476" t="str">
            <v>probsi</v>
          </cell>
        </row>
        <row r="5477">
          <cell r="B5477" t="b">
            <v>1</v>
          </cell>
          <cell r="E5477" t="str">
            <v>Arroyo de Piedra</v>
          </cell>
          <cell r="H5477" t="str">
            <v>consulta_externa</v>
          </cell>
          <cell r="J5477" t="str">
            <v>bueno</v>
          </cell>
          <cell r="K5477" t="str">
            <v>probsi</v>
          </cell>
        </row>
        <row r="5478">
          <cell r="B5478" t="b">
            <v>1</v>
          </cell>
          <cell r="E5478" t="str">
            <v>Arroyo de Piedra</v>
          </cell>
          <cell r="H5478" t="str">
            <v>consulta_externa</v>
          </cell>
          <cell r="J5478" t="str">
            <v>bueno</v>
          </cell>
          <cell r="K5478" t="str">
            <v>probsi</v>
          </cell>
        </row>
        <row r="5479">
          <cell r="B5479" t="b">
            <v>1</v>
          </cell>
          <cell r="E5479" t="str">
            <v>Arroyo de Piedra</v>
          </cell>
          <cell r="H5479" t="str">
            <v>consulta_externa</v>
          </cell>
          <cell r="J5479" t="str">
            <v>bueno</v>
          </cell>
          <cell r="K5479" t="str">
            <v>probsi</v>
          </cell>
        </row>
        <row r="5480">
          <cell r="B5480" t="b">
            <v>1</v>
          </cell>
          <cell r="E5480" t="str">
            <v>Arroyo de Piedra</v>
          </cell>
          <cell r="H5480" t="str">
            <v>salud_oral</v>
          </cell>
          <cell r="J5480" t="str">
            <v>bueno</v>
          </cell>
          <cell r="K5480" t="str">
            <v>probsi</v>
          </cell>
        </row>
        <row r="5481">
          <cell r="B5481" t="b">
            <v>1</v>
          </cell>
          <cell r="E5481" t="str">
            <v>Arroyo de Piedra</v>
          </cell>
          <cell r="H5481" t="str">
            <v>salud_oral</v>
          </cell>
          <cell r="J5481" t="str">
            <v>bueno</v>
          </cell>
          <cell r="K5481" t="str">
            <v>probsi</v>
          </cell>
        </row>
        <row r="5482">
          <cell r="B5482" t="b">
            <v>1</v>
          </cell>
          <cell r="E5482" t="str">
            <v>Arroyo de Piedra</v>
          </cell>
          <cell r="H5482" t="str">
            <v>salud_oral</v>
          </cell>
          <cell r="J5482" t="str">
            <v>bueno</v>
          </cell>
          <cell r="K5482" t="str">
            <v>probsi</v>
          </cell>
        </row>
        <row r="5483">
          <cell r="B5483" t="b">
            <v>1</v>
          </cell>
          <cell r="E5483" t="str">
            <v>Arroyo de Piedra</v>
          </cell>
          <cell r="H5483" t="str">
            <v>salud_oral</v>
          </cell>
          <cell r="J5483" t="str">
            <v>bueno</v>
          </cell>
          <cell r="K5483" t="str">
            <v>probsi</v>
          </cell>
        </row>
        <row r="5484">
          <cell r="B5484" t="b">
            <v>1</v>
          </cell>
          <cell r="E5484" t="str">
            <v>Arroyo de Piedra</v>
          </cell>
          <cell r="H5484" t="str">
            <v>salud_oral</v>
          </cell>
          <cell r="J5484" t="str">
            <v>bueno</v>
          </cell>
          <cell r="K5484" t="str">
            <v>probsi</v>
          </cell>
        </row>
        <row r="5485">
          <cell r="B5485" t="b">
            <v>1</v>
          </cell>
          <cell r="E5485" t="str">
            <v>Arroyo de Piedra</v>
          </cell>
          <cell r="H5485" t="str">
            <v>salud_oral</v>
          </cell>
          <cell r="J5485" t="str">
            <v>bueno</v>
          </cell>
          <cell r="K5485" t="str">
            <v>probsi</v>
          </cell>
        </row>
        <row r="5486">
          <cell r="B5486" t="b">
            <v>1</v>
          </cell>
          <cell r="E5486" t="str">
            <v>Arroyo de Piedra</v>
          </cell>
          <cell r="H5486" t="str">
            <v>salud_oral</v>
          </cell>
          <cell r="J5486" t="str">
            <v>bueno</v>
          </cell>
          <cell r="K5486" t="str">
            <v>probsi</v>
          </cell>
        </row>
        <row r="5487">
          <cell r="B5487" t="b">
            <v>1</v>
          </cell>
          <cell r="E5487" t="str">
            <v>Arroyo de Piedra</v>
          </cell>
          <cell r="H5487" t="str">
            <v>salud_oral</v>
          </cell>
          <cell r="J5487" t="str">
            <v>bueno</v>
          </cell>
          <cell r="K5487" t="str">
            <v>probsi</v>
          </cell>
        </row>
        <row r="5488">
          <cell r="B5488" t="b">
            <v>1</v>
          </cell>
          <cell r="E5488" t="str">
            <v>Bayunca</v>
          </cell>
          <cell r="H5488" t="str">
            <v>pediatria</v>
          </cell>
          <cell r="J5488" t="str">
            <v>bueno</v>
          </cell>
          <cell r="K5488" t="str">
            <v>defsi</v>
          </cell>
        </row>
        <row r="5489">
          <cell r="B5489" t="b">
            <v>1</v>
          </cell>
          <cell r="E5489" t="str">
            <v>Bayunca</v>
          </cell>
          <cell r="H5489" t="str">
            <v>pediatria</v>
          </cell>
          <cell r="J5489" t="str">
            <v>bueno</v>
          </cell>
          <cell r="K5489" t="str">
            <v>defsi</v>
          </cell>
        </row>
        <row r="5490">
          <cell r="B5490" t="b">
            <v>0</v>
          </cell>
          <cell r="E5490" t="str">
            <v>Bayunca</v>
          </cell>
          <cell r="H5490" t="str">
            <v>pediatria</v>
          </cell>
          <cell r="J5490" t="str">
            <v>regular</v>
          </cell>
          <cell r="K5490" t="str">
            <v>defsi</v>
          </cell>
        </row>
        <row r="5491">
          <cell r="B5491" t="b">
            <v>1</v>
          </cell>
          <cell r="E5491" t="str">
            <v>Bayunca</v>
          </cell>
          <cell r="H5491" t="str">
            <v>pediatria</v>
          </cell>
          <cell r="J5491" t="str">
            <v>bueno</v>
          </cell>
          <cell r="K5491" t="str">
            <v>defsi</v>
          </cell>
        </row>
        <row r="5492">
          <cell r="B5492" t="b">
            <v>1</v>
          </cell>
          <cell r="E5492" t="str">
            <v>Bayunca</v>
          </cell>
          <cell r="H5492" t="str">
            <v>pediatria</v>
          </cell>
          <cell r="J5492" t="str">
            <v>bueno</v>
          </cell>
          <cell r="K5492" t="str">
            <v>defsi</v>
          </cell>
        </row>
        <row r="5493">
          <cell r="B5493" t="b">
            <v>1</v>
          </cell>
          <cell r="E5493" t="str">
            <v>Bayunca</v>
          </cell>
          <cell r="H5493" t="str">
            <v>pediatria</v>
          </cell>
          <cell r="J5493" t="str">
            <v>bueno</v>
          </cell>
          <cell r="K5493" t="str">
            <v>defsi</v>
          </cell>
        </row>
        <row r="5494">
          <cell r="B5494" t="b">
            <v>1</v>
          </cell>
          <cell r="E5494" t="str">
            <v>Bayunca</v>
          </cell>
          <cell r="H5494" t="str">
            <v>pediatria</v>
          </cell>
          <cell r="J5494" t="str">
            <v>bueno</v>
          </cell>
          <cell r="K5494" t="str">
            <v>defsi</v>
          </cell>
        </row>
        <row r="5495">
          <cell r="B5495" t="b">
            <v>1</v>
          </cell>
          <cell r="E5495" t="str">
            <v>Bayunca</v>
          </cell>
          <cell r="H5495" t="str">
            <v>pediatria</v>
          </cell>
          <cell r="J5495" t="str">
            <v>bueno</v>
          </cell>
          <cell r="K5495" t="str">
            <v>defsi</v>
          </cell>
        </row>
        <row r="5496">
          <cell r="B5496" t="b">
            <v>1</v>
          </cell>
          <cell r="E5496" t="str">
            <v>Bayunca</v>
          </cell>
          <cell r="H5496" t="str">
            <v>urgencia</v>
          </cell>
          <cell r="J5496" t="str">
            <v>bueno</v>
          </cell>
          <cell r="K5496" t="str">
            <v>defsi</v>
          </cell>
        </row>
        <row r="5497">
          <cell r="B5497" t="b">
            <v>0</v>
          </cell>
          <cell r="E5497" t="str">
            <v>Bayunca</v>
          </cell>
          <cell r="H5497" t="str">
            <v>urgencia</v>
          </cell>
          <cell r="J5497" t="str">
            <v>regular</v>
          </cell>
          <cell r="K5497" t="str">
            <v>defsi</v>
          </cell>
        </row>
        <row r="5498">
          <cell r="B5498" t="b">
            <v>1</v>
          </cell>
          <cell r="E5498" t="str">
            <v>Bayunca</v>
          </cell>
          <cell r="H5498" t="str">
            <v>urgencia</v>
          </cell>
          <cell r="J5498" t="str">
            <v>bueno</v>
          </cell>
          <cell r="K5498" t="str">
            <v>defsi</v>
          </cell>
        </row>
        <row r="5499">
          <cell r="B5499" t="b">
            <v>1</v>
          </cell>
          <cell r="E5499" t="str">
            <v>Bayunca</v>
          </cell>
          <cell r="H5499" t="str">
            <v>urgencia</v>
          </cell>
          <cell r="J5499" t="str">
            <v>bueno</v>
          </cell>
          <cell r="K5499" t="str">
            <v>defsi</v>
          </cell>
        </row>
        <row r="5500">
          <cell r="B5500" t="b">
            <v>1</v>
          </cell>
          <cell r="E5500" t="str">
            <v>Bayunca</v>
          </cell>
          <cell r="H5500" t="str">
            <v>urgencia</v>
          </cell>
          <cell r="J5500" t="str">
            <v>bueno</v>
          </cell>
          <cell r="K5500" t="str">
            <v>defsi</v>
          </cell>
        </row>
        <row r="5501">
          <cell r="B5501" t="b">
            <v>0</v>
          </cell>
          <cell r="E5501" t="str">
            <v>Bayunca</v>
          </cell>
          <cell r="H5501" t="str">
            <v>urgencia</v>
          </cell>
          <cell r="J5501" t="str">
            <v>regular</v>
          </cell>
          <cell r="K5501" t="str">
            <v>probsi</v>
          </cell>
        </row>
        <row r="5502">
          <cell r="B5502" t="b">
            <v>1</v>
          </cell>
          <cell r="E5502" t="str">
            <v>Bayunca</v>
          </cell>
          <cell r="H5502" t="str">
            <v>salud_oral</v>
          </cell>
          <cell r="J5502" t="str">
            <v>bueno</v>
          </cell>
          <cell r="K5502" t="str">
            <v>defsi</v>
          </cell>
        </row>
        <row r="5503">
          <cell r="B5503" t="b">
            <v>1</v>
          </cell>
          <cell r="E5503" t="str">
            <v>Bayunca</v>
          </cell>
          <cell r="H5503" t="str">
            <v>salud_oral</v>
          </cell>
          <cell r="J5503" t="str">
            <v>muybueno</v>
          </cell>
          <cell r="K5503" t="str">
            <v>defsi</v>
          </cell>
        </row>
        <row r="5504">
          <cell r="B5504" t="b">
            <v>1</v>
          </cell>
          <cell r="E5504" t="str">
            <v>Bayunca</v>
          </cell>
          <cell r="H5504" t="str">
            <v>salud_oral</v>
          </cell>
          <cell r="J5504" t="str">
            <v>bueno</v>
          </cell>
          <cell r="K5504" t="str">
            <v>defsi</v>
          </cell>
        </row>
        <row r="5505">
          <cell r="B5505" t="b">
            <v>0</v>
          </cell>
          <cell r="E5505" t="str">
            <v>Bayunca</v>
          </cell>
          <cell r="H5505" t="str">
            <v>laboratorio</v>
          </cell>
          <cell r="J5505" t="str">
            <v>regular</v>
          </cell>
          <cell r="K5505" t="str">
            <v>probsi</v>
          </cell>
        </row>
        <row r="5506">
          <cell r="B5506" t="b">
            <v>1</v>
          </cell>
          <cell r="E5506" t="str">
            <v>Bayunca</v>
          </cell>
          <cell r="H5506" t="str">
            <v>laboratorio</v>
          </cell>
          <cell r="J5506" t="str">
            <v>bueno</v>
          </cell>
          <cell r="K5506" t="str">
            <v>defsi</v>
          </cell>
        </row>
        <row r="5507">
          <cell r="B5507" t="b">
            <v>1</v>
          </cell>
          <cell r="E5507" t="str">
            <v>Bayunca</v>
          </cell>
          <cell r="H5507" t="str">
            <v>laboratorio</v>
          </cell>
          <cell r="J5507" t="str">
            <v>bueno</v>
          </cell>
          <cell r="K5507" t="str">
            <v>defsi</v>
          </cell>
        </row>
        <row r="5508">
          <cell r="B5508" t="b">
            <v>1</v>
          </cell>
          <cell r="E5508" t="str">
            <v>Bayunca</v>
          </cell>
          <cell r="H5508" t="str">
            <v>laboratorio</v>
          </cell>
          <cell r="J5508" t="str">
            <v>bueno</v>
          </cell>
          <cell r="K5508" t="str">
            <v>defsi</v>
          </cell>
        </row>
        <row r="5509">
          <cell r="B5509" t="b">
            <v>1</v>
          </cell>
          <cell r="E5509" t="str">
            <v>Bayunca</v>
          </cell>
          <cell r="H5509" t="str">
            <v>pediatria</v>
          </cell>
          <cell r="J5509" t="str">
            <v>bueno</v>
          </cell>
          <cell r="K5509" t="str">
            <v>defsi</v>
          </cell>
        </row>
        <row r="5510">
          <cell r="B5510" t="b">
            <v>1</v>
          </cell>
          <cell r="E5510" t="str">
            <v>Bayunca</v>
          </cell>
          <cell r="H5510" t="str">
            <v>pediatria</v>
          </cell>
          <cell r="J5510" t="str">
            <v>muybueno</v>
          </cell>
          <cell r="K5510" t="str">
            <v>defsi</v>
          </cell>
        </row>
        <row r="5511">
          <cell r="B5511" t="b">
            <v>1</v>
          </cell>
          <cell r="E5511" t="str">
            <v>Punta Canoa</v>
          </cell>
          <cell r="H5511" t="str">
            <v>consulta_externa</v>
          </cell>
          <cell r="J5511" t="str">
            <v>bueno</v>
          </cell>
          <cell r="K5511" t="str">
            <v>defsi</v>
          </cell>
        </row>
        <row r="5512">
          <cell r="B5512" t="b">
            <v>1</v>
          </cell>
          <cell r="E5512" t="str">
            <v>Punta Canoa</v>
          </cell>
          <cell r="H5512" t="str">
            <v>laboratorio</v>
          </cell>
          <cell r="J5512" t="str">
            <v>bueno</v>
          </cell>
          <cell r="K5512" t="str">
            <v>defsi</v>
          </cell>
        </row>
        <row r="5513">
          <cell r="B5513" t="b">
            <v>1</v>
          </cell>
          <cell r="E5513" t="str">
            <v>Punta Canoa</v>
          </cell>
          <cell r="H5513" t="str">
            <v>laboratorio</v>
          </cell>
          <cell r="J5513" t="str">
            <v>bueno</v>
          </cell>
          <cell r="K5513" t="str">
            <v>defsi</v>
          </cell>
        </row>
        <row r="5514">
          <cell r="B5514" t="b">
            <v>0</v>
          </cell>
          <cell r="E5514" t="str">
            <v>Punta Canoa</v>
          </cell>
          <cell r="H5514" t="str">
            <v>laboratorio</v>
          </cell>
          <cell r="J5514" t="str">
            <v>regular</v>
          </cell>
          <cell r="K5514" t="str">
            <v>probsi</v>
          </cell>
        </row>
        <row r="5515">
          <cell r="B5515" t="b">
            <v>1</v>
          </cell>
          <cell r="E5515" t="str">
            <v>Punta Canoa</v>
          </cell>
          <cell r="H5515" t="str">
            <v>laboratorio</v>
          </cell>
          <cell r="J5515" t="str">
            <v>bueno</v>
          </cell>
          <cell r="K5515" t="str">
            <v>defsi</v>
          </cell>
        </row>
        <row r="5516">
          <cell r="B5516" t="b">
            <v>1</v>
          </cell>
          <cell r="E5516" t="str">
            <v>Punta Canoa</v>
          </cell>
          <cell r="H5516" t="str">
            <v>consulta_externa</v>
          </cell>
          <cell r="J5516" t="str">
            <v>bueno</v>
          </cell>
          <cell r="K5516" t="str">
            <v>defsi</v>
          </cell>
        </row>
        <row r="5517">
          <cell r="B5517" t="b">
            <v>1</v>
          </cell>
          <cell r="E5517" t="str">
            <v>Punta Canoa</v>
          </cell>
          <cell r="H5517" t="str">
            <v>laboratorio</v>
          </cell>
          <cell r="J5517" t="str">
            <v>bueno</v>
          </cell>
          <cell r="K5517" t="str">
            <v>defsi</v>
          </cell>
        </row>
        <row r="5518">
          <cell r="B5518" t="b">
            <v>1</v>
          </cell>
          <cell r="E5518" t="str">
            <v>Punta Canoa</v>
          </cell>
          <cell r="H5518" t="str">
            <v>laboratorio</v>
          </cell>
          <cell r="J5518" t="str">
            <v>bueno</v>
          </cell>
          <cell r="K5518" t="str">
            <v>defsi</v>
          </cell>
        </row>
        <row r="5519">
          <cell r="B5519" t="b">
            <v>1</v>
          </cell>
          <cell r="E5519" t="str">
            <v>Punta Canoa</v>
          </cell>
          <cell r="H5519" t="str">
            <v>laboratorio</v>
          </cell>
          <cell r="J5519" t="str">
            <v>bueno</v>
          </cell>
          <cell r="K5519" t="str">
            <v>defsi</v>
          </cell>
        </row>
        <row r="5520">
          <cell r="B5520" t="b">
            <v>1</v>
          </cell>
          <cell r="E5520" t="str">
            <v>Isla del Rosario</v>
          </cell>
          <cell r="H5520" t="str">
            <v>consulta_externa</v>
          </cell>
          <cell r="J5520" t="str">
            <v>bueno</v>
          </cell>
          <cell r="K5520" t="str">
            <v>defsi</v>
          </cell>
        </row>
        <row r="5521">
          <cell r="B5521" t="b">
            <v>1</v>
          </cell>
          <cell r="E5521" t="str">
            <v>Isla del Rosario</v>
          </cell>
          <cell r="H5521" t="str">
            <v>salud_oral</v>
          </cell>
          <cell r="J5521" t="str">
            <v>bueno</v>
          </cell>
          <cell r="K5521" t="str">
            <v>defsi</v>
          </cell>
        </row>
        <row r="5522">
          <cell r="B5522" t="b">
            <v>1</v>
          </cell>
          <cell r="E5522" t="str">
            <v>Isla del Rosario</v>
          </cell>
          <cell r="H5522" t="str">
            <v>laboratorio</v>
          </cell>
          <cell r="J5522" t="str">
            <v>bueno</v>
          </cell>
          <cell r="K5522" t="str">
            <v>defsi</v>
          </cell>
        </row>
        <row r="5523">
          <cell r="B5523" t="b">
            <v>1</v>
          </cell>
          <cell r="E5523" t="str">
            <v>Isla del Rosario</v>
          </cell>
          <cell r="H5523" t="str">
            <v>consulta_externa</v>
          </cell>
          <cell r="J5523" t="str">
            <v>bueno</v>
          </cell>
          <cell r="K5523" t="str">
            <v>defsi</v>
          </cell>
        </row>
        <row r="5524">
          <cell r="B5524" t="b">
            <v>1</v>
          </cell>
          <cell r="E5524" t="str">
            <v>Isla del Rosario</v>
          </cell>
          <cell r="H5524" t="str">
            <v>salud_oral</v>
          </cell>
          <cell r="J5524" t="str">
            <v>bueno</v>
          </cell>
          <cell r="K5524" t="str">
            <v>defsi</v>
          </cell>
        </row>
        <row r="5525">
          <cell r="B5525" t="b">
            <v>1</v>
          </cell>
          <cell r="E5525" t="str">
            <v>Isla del Rosario</v>
          </cell>
          <cell r="H5525" t="str">
            <v>laboratorio</v>
          </cell>
          <cell r="J5525" t="str">
            <v>bueno</v>
          </cell>
          <cell r="K5525" t="str">
            <v>defsi</v>
          </cell>
        </row>
        <row r="5526">
          <cell r="B5526" t="b">
            <v>1</v>
          </cell>
          <cell r="E5526" t="str">
            <v>Isla del Rosario</v>
          </cell>
          <cell r="H5526" t="str">
            <v>consulta_externa</v>
          </cell>
          <cell r="J5526" t="str">
            <v>bueno</v>
          </cell>
          <cell r="K5526" t="str">
            <v>defsi</v>
          </cell>
        </row>
        <row r="5527">
          <cell r="B5527" t="b">
            <v>1</v>
          </cell>
          <cell r="E5527" t="str">
            <v>Isla del Rosario</v>
          </cell>
          <cell r="H5527" t="str">
            <v>salud_oral</v>
          </cell>
          <cell r="J5527" t="str">
            <v>bueno</v>
          </cell>
          <cell r="K5527" t="str">
            <v>defsi</v>
          </cell>
        </row>
        <row r="5528">
          <cell r="B5528" t="b">
            <v>1</v>
          </cell>
          <cell r="E5528" t="str">
            <v>Isla del Rosario</v>
          </cell>
          <cell r="H5528" t="str">
            <v>laboratorio</v>
          </cell>
          <cell r="J5528" t="str">
            <v>bueno</v>
          </cell>
          <cell r="K5528" t="str">
            <v>defsi</v>
          </cell>
        </row>
        <row r="5529">
          <cell r="B5529" t="b">
            <v>1</v>
          </cell>
          <cell r="E5529" t="str">
            <v>Isla del Rosario</v>
          </cell>
          <cell r="H5529" t="str">
            <v>consulta_externa</v>
          </cell>
          <cell r="J5529" t="str">
            <v>bueno</v>
          </cell>
          <cell r="K5529" t="str">
            <v>defsi</v>
          </cell>
        </row>
        <row r="5530">
          <cell r="B5530" t="b">
            <v>1</v>
          </cell>
          <cell r="E5530" t="str">
            <v>Isla del Rosario</v>
          </cell>
          <cell r="H5530" t="str">
            <v>salud_oral</v>
          </cell>
          <cell r="J5530" t="str">
            <v>bueno</v>
          </cell>
          <cell r="K5530" t="str">
            <v>defsi</v>
          </cell>
        </row>
        <row r="5531">
          <cell r="B5531" t="b">
            <v>1</v>
          </cell>
          <cell r="E5531" t="str">
            <v>Isla del Rosario</v>
          </cell>
          <cell r="H5531" t="str">
            <v>laboratorio</v>
          </cell>
          <cell r="J5531" t="str">
            <v>bueno</v>
          </cell>
          <cell r="K5531" t="str">
            <v>defsi</v>
          </cell>
        </row>
        <row r="5532">
          <cell r="B5532" t="b">
            <v>1</v>
          </cell>
          <cell r="E5532" t="str">
            <v>Isla del Rosario</v>
          </cell>
          <cell r="H5532" t="str">
            <v>consulta_externa</v>
          </cell>
          <cell r="J5532" t="str">
            <v>bueno</v>
          </cell>
          <cell r="K5532" t="str">
            <v>defsi</v>
          </cell>
        </row>
        <row r="5533">
          <cell r="B5533" t="b">
            <v>1</v>
          </cell>
          <cell r="E5533" t="str">
            <v>Isla del Rosario</v>
          </cell>
          <cell r="H5533" t="str">
            <v>salud_oral</v>
          </cell>
          <cell r="J5533" t="str">
            <v>bueno</v>
          </cell>
          <cell r="K5533" t="str">
            <v>defsi</v>
          </cell>
        </row>
        <row r="5534">
          <cell r="B5534" t="b">
            <v>1</v>
          </cell>
          <cell r="E5534" t="str">
            <v>Isla del Rosario</v>
          </cell>
          <cell r="H5534" t="str">
            <v>laboratorio</v>
          </cell>
          <cell r="J5534" t="str">
            <v>bueno</v>
          </cell>
          <cell r="K5534" t="str">
            <v>defsi</v>
          </cell>
        </row>
        <row r="5535">
          <cell r="B5535" t="b">
            <v>1</v>
          </cell>
          <cell r="E5535" t="str">
            <v>Isla del Rosario</v>
          </cell>
          <cell r="H5535" t="str">
            <v>consulta_externa</v>
          </cell>
          <cell r="J5535" t="str">
            <v>bueno</v>
          </cell>
          <cell r="K5535" t="str">
            <v>defsi</v>
          </cell>
        </row>
        <row r="5536">
          <cell r="B5536" t="b">
            <v>1</v>
          </cell>
          <cell r="E5536" t="str">
            <v>Isla del Rosario</v>
          </cell>
          <cell r="H5536" t="str">
            <v>laboratorio</v>
          </cell>
          <cell r="J5536" t="str">
            <v>bueno</v>
          </cell>
          <cell r="K5536" t="str">
            <v>defsi</v>
          </cell>
        </row>
        <row r="5537">
          <cell r="B5537" t="b">
            <v>1</v>
          </cell>
          <cell r="E5537" t="str">
            <v>Isla del Rosario</v>
          </cell>
          <cell r="H5537" t="str">
            <v>consulta_externa</v>
          </cell>
          <cell r="J5537" t="str">
            <v>bueno</v>
          </cell>
          <cell r="K5537" t="str">
            <v>defsi</v>
          </cell>
        </row>
        <row r="5538">
          <cell r="B5538" t="b">
            <v>1</v>
          </cell>
          <cell r="E5538" t="str">
            <v>Isla del Rosario</v>
          </cell>
          <cell r="H5538" t="str">
            <v>laboratorio</v>
          </cell>
          <cell r="J5538" t="str">
            <v>bueno</v>
          </cell>
          <cell r="K5538" t="str">
            <v>defsi</v>
          </cell>
        </row>
        <row r="5539">
          <cell r="B5539" t="b">
            <v>1</v>
          </cell>
          <cell r="E5539" t="str">
            <v>Isla del Rosario</v>
          </cell>
          <cell r="H5539" t="str">
            <v>consulta_externa</v>
          </cell>
          <cell r="J5539" t="str">
            <v>bueno</v>
          </cell>
          <cell r="K5539" t="str">
            <v>defsi</v>
          </cell>
        </row>
        <row r="5540">
          <cell r="B5540" t="b">
            <v>1</v>
          </cell>
          <cell r="E5540" t="str">
            <v>Isla del Rosario</v>
          </cell>
          <cell r="H5540" t="str">
            <v>consulta_externa</v>
          </cell>
          <cell r="J5540" t="str">
            <v>bueno</v>
          </cell>
          <cell r="K5540" t="str">
            <v>defsi</v>
          </cell>
        </row>
        <row r="5541">
          <cell r="B5541" t="b">
            <v>1</v>
          </cell>
          <cell r="E5541" t="str">
            <v>Arroyo de Piedra</v>
          </cell>
          <cell r="H5541" t="str">
            <v>consulta_externa</v>
          </cell>
          <cell r="J5541" t="str">
            <v>bueno</v>
          </cell>
          <cell r="K5541" t="str">
            <v>probsi</v>
          </cell>
        </row>
        <row r="5542">
          <cell r="B5542" t="b">
            <v>1</v>
          </cell>
          <cell r="E5542" t="str">
            <v>Arroyo de Piedra</v>
          </cell>
          <cell r="H5542" t="str">
            <v>consulta_externa</v>
          </cell>
          <cell r="J5542" t="str">
            <v>bueno</v>
          </cell>
          <cell r="K5542" t="str">
            <v>probsi</v>
          </cell>
        </row>
        <row r="5543">
          <cell r="B5543" t="b">
            <v>1</v>
          </cell>
          <cell r="E5543" t="str">
            <v>Arroyo de Piedra</v>
          </cell>
          <cell r="H5543" t="str">
            <v>consulta_externa</v>
          </cell>
          <cell r="J5543" t="str">
            <v>bueno</v>
          </cell>
          <cell r="K5543" t="str">
            <v>probsi</v>
          </cell>
        </row>
        <row r="5544">
          <cell r="B5544" t="b">
            <v>1</v>
          </cell>
          <cell r="E5544" t="str">
            <v>Arroyo de Piedra</v>
          </cell>
          <cell r="H5544" t="str">
            <v>consulta_externa</v>
          </cell>
          <cell r="J5544" t="str">
            <v>bueno</v>
          </cell>
          <cell r="K5544" t="str">
            <v>probsi</v>
          </cell>
        </row>
        <row r="5545">
          <cell r="B5545" t="b">
            <v>1</v>
          </cell>
          <cell r="E5545" t="str">
            <v>Arroyo de Piedra</v>
          </cell>
          <cell r="H5545" t="str">
            <v>consulta_externa</v>
          </cell>
          <cell r="J5545" t="str">
            <v>bueno</v>
          </cell>
          <cell r="K5545" t="str">
            <v>probsi</v>
          </cell>
        </row>
        <row r="5546">
          <cell r="B5546" t="b">
            <v>1</v>
          </cell>
          <cell r="E5546" t="str">
            <v>Arroyo de Piedra</v>
          </cell>
          <cell r="H5546" t="str">
            <v>consulta_externa</v>
          </cell>
          <cell r="J5546" t="str">
            <v>bueno</v>
          </cell>
          <cell r="K5546" t="str">
            <v>probsi</v>
          </cell>
        </row>
        <row r="5547">
          <cell r="B5547" t="b">
            <v>0</v>
          </cell>
          <cell r="E5547" t="str">
            <v>Arroyo de Piedra</v>
          </cell>
          <cell r="H5547" t="str">
            <v>laboratorio</v>
          </cell>
          <cell r="J5547" t="str">
            <v>regular</v>
          </cell>
          <cell r="K5547" t="str">
            <v>probsi</v>
          </cell>
        </row>
        <row r="5548">
          <cell r="B5548" t="b">
            <v>1</v>
          </cell>
          <cell r="E5548" t="str">
            <v>Arroyo de Piedra</v>
          </cell>
          <cell r="H5548" t="str">
            <v>laboratorio</v>
          </cell>
          <cell r="J5548" t="str">
            <v>bueno</v>
          </cell>
          <cell r="K5548" t="str">
            <v>probsi</v>
          </cell>
        </row>
        <row r="5549">
          <cell r="B5549" t="b">
            <v>1</v>
          </cell>
          <cell r="E5549" t="str">
            <v>Arroyo de Piedra</v>
          </cell>
          <cell r="H5549" t="str">
            <v>laboratorio</v>
          </cell>
          <cell r="J5549" t="str">
            <v>bueno</v>
          </cell>
          <cell r="K5549" t="str">
            <v>probsi</v>
          </cell>
        </row>
        <row r="5550">
          <cell r="B5550" t="b">
            <v>1</v>
          </cell>
          <cell r="E5550" t="str">
            <v>Arroyo de Piedra</v>
          </cell>
          <cell r="H5550" t="str">
            <v>laboratorio</v>
          </cell>
          <cell r="J5550" t="str">
            <v>bueno</v>
          </cell>
          <cell r="K5550" t="str">
            <v>probsi</v>
          </cell>
        </row>
        <row r="5551">
          <cell r="B5551" t="b">
            <v>1</v>
          </cell>
          <cell r="E5551" t="str">
            <v>Arroyo de Piedra</v>
          </cell>
          <cell r="H5551" t="str">
            <v>laboratorio</v>
          </cell>
          <cell r="J5551" t="str">
            <v>bueno</v>
          </cell>
          <cell r="K5551" t="str">
            <v>probsi</v>
          </cell>
        </row>
        <row r="5552">
          <cell r="B5552" t="b">
            <v>1</v>
          </cell>
          <cell r="E5552" t="str">
            <v>Bosque</v>
          </cell>
          <cell r="H5552" t="str">
            <v>consulta_externa</v>
          </cell>
          <cell r="J5552" t="str">
            <v>bueno</v>
          </cell>
          <cell r="K5552" t="str">
            <v>probsi</v>
          </cell>
        </row>
        <row r="5553">
          <cell r="B5553" t="b">
            <v>1</v>
          </cell>
          <cell r="E5553" t="str">
            <v>Bosque</v>
          </cell>
          <cell r="H5553" t="str">
            <v>consulta_externa</v>
          </cell>
          <cell r="J5553" t="str">
            <v>bueno</v>
          </cell>
          <cell r="K5553" t="str">
            <v>probsi</v>
          </cell>
        </row>
        <row r="5554">
          <cell r="B5554" t="b">
            <v>1</v>
          </cell>
          <cell r="E5554" t="str">
            <v>Bosque</v>
          </cell>
          <cell r="H5554" t="str">
            <v>laboratorio</v>
          </cell>
          <cell r="J5554" t="str">
            <v>bueno</v>
          </cell>
          <cell r="K5554" t="str">
            <v>probsi</v>
          </cell>
        </row>
        <row r="5555">
          <cell r="B5555" t="b">
            <v>1</v>
          </cell>
          <cell r="E5555" t="str">
            <v>Bosque</v>
          </cell>
          <cell r="H5555" t="str">
            <v>laboratorio</v>
          </cell>
          <cell r="J5555" t="str">
            <v>bueno</v>
          </cell>
          <cell r="K5555" t="str">
            <v>probsi</v>
          </cell>
        </row>
        <row r="5556">
          <cell r="B5556" t="b">
            <v>1</v>
          </cell>
          <cell r="E5556" t="str">
            <v>Bosque</v>
          </cell>
          <cell r="H5556" t="str">
            <v>salud_oral</v>
          </cell>
          <cell r="J5556" t="str">
            <v>bueno</v>
          </cell>
          <cell r="K5556" t="str">
            <v>probsi</v>
          </cell>
        </row>
        <row r="5557">
          <cell r="B5557" t="b">
            <v>1</v>
          </cell>
          <cell r="E5557" t="str">
            <v>Pasacaballos</v>
          </cell>
          <cell r="H5557" t="str">
            <v>salud_oral</v>
          </cell>
          <cell r="J5557" t="str">
            <v>bueno</v>
          </cell>
          <cell r="K5557" t="str">
            <v>defsi</v>
          </cell>
        </row>
        <row r="5558">
          <cell r="B5558" t="b">
            <v>1</v>
          </cell>
          <cell r="E5558" t="str">
            <v>Pasacaballos</v>
          </cell>
          <cell r="H5558" t="str">
            <v>salud_oral</v>
          </cell>
          <cell r="J5558" t="str">
            <v>bueno</v>
          </cell>
          <cell r="K5558" t="str">
            <v>defsi</v>
          </cell>
        </row>
        <row r="5559">
          <cell r="B5559" t="b">
            <v>1</v>
          </cell>
          <cell r="E5559" t="str">
            <v>Pasacaballos</v>
          </cell>
          <cell r="H5559" t="str">
            <v>salud_oral</v>
          </cell>
          <cell r="J5559" t="str">
            <v>bueno</v>
          </cell>
          <cell r="K5559" t="str">
            <v>defsi</v>
          </cell>
        </row>
        <row r="5560">
          <cell r="B5560" t="b">
            <v>1</v>
          </cell>
          <cell r="E5560" t="str">
            <v>Pasacaballos</v>
          </cell>
          <cell r="H5560" t="str">
            <v>consulta_externa</v>
          </cell>
          <cell r="J5560" t="str">
            <v>bueno</v>
          </cell>
          <cell r="K5560" t="str">
            <v>defsi</v>
          </cell>
        </row>
        <row r="5561">
          <cell r="B5561" t="b">
            <v>0</v>
          </cell>
          <cell r="E5561" t="str">
            <v>Pasacaballos</v>
          </cell>
          <cell r="H5561" t="str">
            <v>laboratorio</v>
          </cell>
          <cell r="J5561" t="str">
            <v>regular</v>
          </cell>
          <cell r="K5561" t="str">
            <v>probsi</v>
          </cell>
        </row>
        <row r="5562">
          <cell r="B5562" t="b">
            <v>0</v>
          </cell>
          <cell r="E5562" t="str">
            <v>Pasacaballos</v>
          </cell>
          <cell r="H5562" t="str">
            <v>laboratorio</v>
          </cell>
          <cell r="J5562" t="str">
            <v>regular</v>
          </cell>
          <cell r="K5562" t="str">
            <v>probno</v>
          </cell>
        </row>
        <row r="5563">
          <cell r="B5563" t="b">
            <v>1</v>
          </cell>
          <cell r="E5563" t="str">
            <v>Pasacaballos</v>
          </cell>
          <cell r="H5563" t="str">
            <v>laboratorio</v>
          </cell>
          <cell r="J5563" t="str">
            <v>bueno</v>
          </cell>
          <cell r="K5563" t="str">
            <v>defsi</v>
          </cell>
        </row>
        <row r="5564">
          <cell r="B5564" t="b">
            <v>0</v>
          </cell>
          <cell r="E5564" t="str">
            <v>Pasacaballos</v>
          </cell>
          <cell r="H5564" t="str">
            <v>consulta_externa</v>
          </cell>
          <cell r="J5564" t="str">
            <v>regular</v>
          </cell>
          <cell r="K5564" t="str">
            <v>defsi</v>
          </cell>
        </row>
        <row r="5565">
          <cell r="B5565" t="b">
            <v>0</v>
          </cell>
          <cell r="E5565" t="str">
            <v>Pasacaballos</v>
          </cell>
          <cell r="H5565" t="str">
            <v>laboratorio</v>
          </cell>
          <cell r="J5565" t="str">
            <v>regular</v>
          </cell>
          <cell r="K5565" t="str">
            <v>probsi</v>
          </cell>
        </row>
        <row r="5566">
          <cell r="B5566" t="b">
            <v>0</v>
          </cell>
          <cell r="E5566" t="str">
            <v>Pasacaballos</v>
          </cell>
          <cell r="H5566" t="str">
            <v>consulta_externa</v>
          </cell>
          <cell r="J5566" t="str">
            <v>regular</v>
          </cell>
          <cell r="K5566" t="str">
            <v>probsi</v>
          </cell>
        </row>
        <row r="5567">
          <cell r="B5567" t="b">
            <v>0</v>
          </cell>
          <cell r="E5567" t="str">
            <v>Pasacaballos</v>
          </cell>
          <cell r="H5567" t="str">
            <v>laboratorio</v>
          </cell>
          <cell r="J5567" t="str">
            <v>regular</v>
          </cell>
          <cell r="K5567" t="str">
            <v>probsi</v>
          </cell>
        </row>
        <row r="5568">
          <cell r="B5568" t="b">
            <v>1</v>
          </cell>
          <cell r="E5568" t="str">
            <v>Pasacaballos</v>
          </cell>
          <cell r="H5568" t="str">
            <v>consulta_externa</v>
          </cell>
          <cell r="J5568" t="str">
            <v>muybueno</v>
          </cell>
          <cell r="K5568" t="str">
            <v>defsi</v>
          </cell>
        </row>
        <row r="5569">
          <cell r="B5569" t="b">
            <v>0</v>
          </cell>
          <cell r="E5569" t="str">
            <v>Pasacaballos</v>
          </cell>
          <cell r="H5569" t="str">
            <v>laboratorio</v>
          </cell>
          <cell r="J5569" t="str">
            <v>regular</v>
          </cell>
          <cell r="K5569" t="str">
            <v>probno</v>
          </cell>
        </row>
        <row r="5570">
          <cell r="B5570" t="b">
            <v>0</v>
          </cell>
          <cell r="E5570" t="str">
            <v>Pasacaballos</v>
          </cell>
          <cell r="H5570" t="str">
            <v>consulta_externa</v>
          </cell>
          <cell r="J5570" t="str">
            <v>regular</v>
          </cell>
          <cell r="K5570" t="str">
            <v>probno</v>
          </cell>
        </row>
        <row r="5571">
          <cell r="B5571" t="b">
            <v>1</v>
          </cell>
          <cell r="E5571" t="str">
            <v>Pasacaballos</v>
          </cell>
          <cell r="H5571" t="str">
            <v>consulta_externa</v>
          </cell>
          <cell r="J5571" t="str">
            <v>bueno</v>
          </cell>
          <cell r="K5571" t="str">
            <v>defsi</v>
          </cell>
        </row>
        <row r="5572">
          <cell r="B5572" t="b">
            <v>0</v>
          </cell>
          <cell r="E5572" t="str">
            <v>Pasacaballos</v>
          </cell>
          <cell r="H5572" t="str">
            <v>laboratorio</v>
          </cell>
          <cell r="J5572" t="str">
            <v>regular</v>
          </cell>
          <cell r="K5572" t="str">
            <v>defsi</v>
          </cell>
        </row>
        <row r="5573">
          <cell r="B5573" t="b">
            <v>1</v>
          </cell>
          <cell r="E5573" t="str">
            <v>Pasacaballos</v>
          </cell>
          <cell r="H5573" t="str">
            <v>salud_oral</v>
          </cell>
          <cell r="J5573" t="str">
            <v>bueno</v>
          </cell>
          <cell r="K5573" t="str">
            <v>defsi</v>
          </cell>
        </row>
        <row r="5574">
          <cell r="B5574" t="b">
            <v>0</v>
          </cell>
          <cell r="E5574" t="str">
            <v>Pasacaballos</v>
          </cell>
          <cell r="H5574" t="str">
            <v>laboratorio</v>
          </cell>
          <cell r="J5574" t="str">
            <v>regular</v>
          </cell>
          <cell r="K5574" t="str">
            <v>probsi</v>
          </cell>
        </row>
        <row r="5575">
          <cell r="B5575" t="b">
            <v>0</v>
          </cell>
          <cell r="E5575" t="str">
            <v>Pasacaballos</v>
          </cell>
          <cell r="H5575" t="str">
            <v>consulta_externa</v>
          </cell>
          <cell r="J5575" t="str">
            <v>regular</v>
          </cell>
          <cell r="K5575" t="str">
            <v>probsi</v>
          </cell>
        </row>
        <row r="5576">
          <cell r="B5576" t="b">
            <v>0</v>
          </cell>
          <cell r="E5576" t="str">
            <v>Pasacaballos</v>
          </cell>
          <cell r="H5576" t="str">
            <v>consulta_externa</v>
          </cell>
          <cell r="J5576" t="str">
            <v>regular</v>
          </cell>
          <cell r="K5576" t="str">
            <v>probsi</v>
          </cell>
        </row>
        <row r="5577">
          <cell r="B5577" t="b">
            <v>1</v>
          </cell>
          <cell r="E5577" t="str">
            <v>Pasacaballos</v>
          </cell>
          <cell r="H5577" t="str">
            <v>urgencia</v>
          </cell>
          <cell r="J5577" t="str">
            <v>bueno</v>
          </cell>
          <cell r="K5577" t="str">
            <v>defsi</v>
          </cell>
        </row>
        <row r="5578">
          <cell r="B5578" t="b">
            <v>1</v>
          </cell>
          <cell r="E5578" t="str">
            <v>Pasacaballos</v>
          </cell>
          <cell r="H5578" t="str">
            <v>urgencia</v>
          </cell>
          <cell r="J5578" t="str">
            <v>bueno</v>
          </cell>
          <cell r="K5578" t="str">
            <v>defsi</v>
          </cell>
        </row>
        <row r="5579">
          <cell r="B5579" t="b">
            <v>1</v>
          </cell>
          <cell r="E5579" t="str">
            <v>Pasacaballos</v>
          </cell>
          <cell r="H5579" t="str">
            <v>laboratorio</v>
          </cell>
          <cell r="J5579" t="str">
            <v>bueno</v>
          </cell>
          <cell r="K5579" t="str">
            <v>defsi</v>
          </cell>
        </row>
        <row r="5580">
          <cell r="B5580" t="b">
            <v>1</v>
          </cell>
          <cell r="E5580" t="str">
            <v>Bosque</v>
          </cell>
          <cell r="H5580" t="str">
            <v>consulta_externa</v>
          </cell>
          <cell r="J5580" t="str">
            <v>bueno</v>
          </cell>
          <cell r="K5580" t="str">
            <v>probsi</v>
          </cell>
        </row>
        <row r="5581">
          <cell r="B5581" t="b">
            <v>1</v>
          </cell>
          <cell r="E5581" t="str">
            <v>Pasacaballos</v>
          </cell>
          <cell r="H5581" t="str">
            <v>urgencia</v>
          </cell>
          <cell r="J5581" t="str">
            <v>bueno</v>
          </cell>
          <cell r="K5581" t="str">
            <v>defsi</v>
          </cell>
        </row>
        <row r="5582">
          <cell r="B5582" t="b">
            <v>1</v>
          </cell>
          <cell r="E5582" t="str">
            <v>Bosque</v>
          </cell>
          <cell r="H5582" t="str">
            <v>consulta_externa</v>
          </cell>
          <cell r="J5582" t="str">
            <v>bueno</v>
          </cell>
          <cell r="K5582" t="str">
            <v>probsi</v>
          </cell>
        </row>
        <row r="5583">
          <cell r="B5583" t="b">
            <v>1</v>
          </cell>
          <cell r="E5583" t="str">
            <v>Bosque</v>
          </cell>
          <cell r="H5583" t="str">
            <v>consulta_externa</v>
          </cell>
          <cell r="J5583" t="str">
            <v>bueno</v>
          </cell>
          <cell r="K5583" t="str">
            <v>probsi</v>
          </cell>
        </row>
        <row r="5584">
          <cell r="B5584" t="b">
            <v>1</v>
          </cell>
          <cell r="E5584" t="str">
            <v>Bosque</v>
          </cell>
          <cell r="H5584" t="str">
            <v>salud_oral</v>
          </cell>
          <cell r="J5584" t="str">
            <v>bueno</v>
          </cell>
          <cell r="K5584" t="str">
            <v>probsi</v>
          </cell>
        </row>
        <row r="5585">
          <cell r="B5585" t="b">
            <v>1</v>
          </cell>
          <cell r="E5585" t="str">
            <v>Bosque</v>
          </cell>
          <cell r="H5585" t="str">
            <v>salud_oral</v>
          </cell>
          <cell r="J5585" t="str">
            <v>bueno</v>
          </cell>
          <cell r="K5585" t="str">
            <v>probsi</v>
          </cell>
        </row>
        <row r="5586">
          <cell r="B5586" t="b">
            <v>1</v>
          </cell>
          <cell r="E5586" t="str">
            <v>Bosque</v>
          </cell>
          <cell r="H5586" t="str">
            <v>salud_oral</v>
          </cell>
          <cell r="J5586" t="str">
            <v>bueno</v>
          </cell>
          <cell r="K5586" t="str">
            <v>probsi</v>
          </cell>
        </row>
        <row r="5587">
          <cell r="B5587" t="b">
            <v>1</v>
          </cell>
          <cell r="E5587" t="str">
            <v>Bosque</v>
          </cell>
          <cell r="H5587" t="str">
            <v>laboratorio</v>
          </cell>
          <cell r="J5587" t="str">
            <v>bueno</v>
          </cell>
          <cell r="K5587" t="str">
            <v>probsi</v>
          </cell>
        </row>
        <row r="5588">
          <cell r="B5588" t="b">
            <v>1</v>
          </cell>
          <cell r="E5588" t="str">
            <v>Bosque</v>
          </cell>
          <cell r="H5588" t="str">
            <v>laboratorio</v>
          </cell>
          <cell r="J5588" t="str">
            <v>bueno</v>
          </cell>
          <cell r="K5588" t="str">
            <v>probsi</v>
          </cell>
        </row>
        <row r="5589">
          <cell r="B5589" t="b">
            <v>1</v>
          </cell>
          <cell r="E5589" t="str">
            <v>Bosque</v>
          </cell>
          <cell r="H5589" t="str">
            <v>consulta_externa</v>
          </cell>
          <cell r="J5589" t="str">
            <v>bueno</v>
          </cell>
          <cell r="K5589" t="str">
            <v>probsi</v>
          </cell>
        </row>
        <row r="5590">
          <cell r="B5590" t="b">
            <v>1</v>
          </cell>
          <cell r="E5590" t="str">
            <v>Bosque</v>
          </cell>
          <cell r="H5590" t="str">
            <v>consulta_externa</v>
          </cell>
          <cell r="J5590" t="str">
            <v>bueno</v>
          </cell>
          <cell r="K5590" t="str">
            <v>probsi</v>
          </cell>
        </row>
        <row r="5591">
          <cell r="B5591" t="b">
            <v>1</v>
          </cell>
          <cell r="E5591" t="str">
            <v>Bosque</v>
          </cell>
          <cell r="H5591" t="str">
            <v>laboratorio</v>
          </cell>
          <cell r="J5591" t="str">
            <v>bueno</v>
          </cell>
          <cell r="K5591" t="str">
            <v>probsi</v>
          </cell>
        </row>
        <row r="5592">
          <cell r="B5592" t="b">
            <v>1</v>
          </cell>
          <cell r="E5592" t="str">
            <v>Bosque</v>
          </cell>
          <cell r="H5592" t="str">
            <v>laboratorio</v>
          </cell>
          <cell r="J5592" t="str">
            <v>bueno</v>
          </cell>
          <cell r="K5592" t="str">
            <v>probsi</v>
          </cell>
        </row>
        <row r="5593">
          <cell r="B5593" t="b">
            <v>1</v>
          </cell>
          <cell r="E5593" t="str">
            <v>Bosque</v>
          </cell>
          <cell r="H5593" t="str">
            <v>laboratorio</v>
          </cell>
          <cell r="J5593" t="str">
            <v>bueno</v>
          </cell>
          <cell r="K5593" t="str">
            <v>probsi</v>
          </cell>
        </row>
        <row r="5594">
          <cell r="B5594" t="b">
            <v>1</v>
          </cell>
          <cell r="E5594" t="str">
            <v>Bosque</v>
          </cell>
          <cell r="H5594" t="str">
            <v>laboratorio</v>
          </cell>
          <cell r="J5594" t="str">
            <v>bueno</v>
          </cell>
          <cell r="K5594" t="str">
            <v>probsi</v>
          </cell>
        </row>
        <row r="5595">
          <cell r="B5595" t="b">
            <v>1</v>
          </cell>
          <cell r="E5595" t="str">
            <v>Bosque</v>
          </cell>
          <cell r="H5595" t="str">
            <v>laboratorio</v>
          </cell>
          <cell r="J5595" t="str">
            <v>bueno</v>
          </cell>
          <cell r="K5595" t="str">
            <v>probsi</v>
          </cell>
        </row>
        <row r="5596">
          <cell r="B5596" t="b">
            <v>1</v>
          </cell>
          <cell r="E5596" t="str">
            <v>Bosque</v>
          </cell>
          <cell r="H5596" t="str">
            <v>consulta_externa</v>
          </cell>
          <cell r="J5596" t="str">
            <v>bueno</v>
          </cell>
          <cell r="K5596" t="str">
            <v>probsi</v>
          </cell>
        </row>
        <row r="5597">
          <cell r="B5597" t="b">
            <v>1</v>
          </cell>
          <cell r="E5597" t="str">
            <v>Bosque</v>
          </cell>
          <cell r="H5597" t="str">
            <v>consulta_externa</v>
          </cell>
          <cell r="J5597" t="str">
            <v>bueno</v>
          </cell>
          <cell r="K5597" t="str">
            <v>probsi</v>
          </cell>
        </row>
        <row r="5598">
          <cell r="B5598" t="b">
            <v>1</v>
          </cell>
          <cell r="E5598" t="str">
            <v>Bosque</v>
          </cell>
          <cell r="H5598" t="str">
            <v>consulta_externa</v>
          </cell>
          <cell r="J5598" t="str">
            <v>bueno</v>
          </cell>
          <cell r="K5598" t="str">
            <v>probsi</v>
          </cell>
        </row>
        <row r="5599">
          <cell r="B5599" t="b">
            <v>1</v>
          </cell>
          <cell r="E5599" t="str">
            <v>Bosque</v>
          </cell>
          <cell r="H5599" t="str">
            <v>consulta_externa</v>
          </cell>
          <cell r="J5599" t="str">
            <v>bueno</v>
          </cell>
          <cell r="K5599" t="str">
            <v>probsi</v>
          </cell>
        </row>
        <row r="5600">
          <cell r="B5600" t="b">
            <v>1</v>
          </cell>
          <cell r="E5600" t="str">
            <v>Bosque</v>
          </cell>
          <cell r="H5600" t="str">
            <v>consulta_externa</v>
          </cell>
          <cell r="J5600" t="str">
            <v>bueno</v>
          </cell>
          <cell r="K5600" t="str">
            <v>probsi</v>
          </cell>
        </row>
        <row r="5601">
          <cell r="B5601" t="b">
            <v>1</v>
          </cell>
          <cell r="E5601" t="str">
            <v>Bosque</v>
          </cell>
          <cell r="H5601" t="str">
            <v>consulta_externa</v>
          </cell>
          <cell r="J5601" t="str">
            <v>bueno</v>
          </cell>
          <cell r="K5601" t="str">
            <v>probsi</v>
          </cell>
        </row>
        <row r="5602">
          <cell r="B5602" t="b">
            <v>1</v>
          </cell>
          <cell r="E5602" t="str">
            <v>Bosque</v>
          </cell>
          <cell r="H5602" t="str">
            <v>consulta_externa</v>
          </cell>
          <cell r="J5602" t="str">
            <v>bueno</v>
          </cell>
          <cell r="K5602" t="str">
            <v>probsi</v>
          </cell>
        </row>
        <row r="5603">
          <cell r="B5603" t="b">
            <v>1</v>
          </cell>
          <cell r="E5603" t="str">
            <v>Bosque</v>
          </cell>
          <cell r="H5603" t="str">
            <v>consulta_externa</v>
          </cell>
          <cell r="J5603" t="str">
            <v>bueno</v>
          </cell>
          <cell r="K5603" t="str">
            <v>probsi</v>
          </cell>
        </row>
        <row r="5604">
          <cell r="B5604" t="b">
            <v>1</v>
          </cell>
          <cell r="E5604" t="str">
            <v>Bosque</v>
          </cell>
          <cell r="H5604" t="str">
            <v>consulta_externa</v>
          </cell>
          <cell r="J5604" t="str">
            <v>bueno</v>
          </cell>
          <cell r="K5604" t="str">
            <v>probsi</v>
          </cell>
        </row>
        <row r="5605">
          <cell r="B5605" t="b">
            <v>1</v>
          </cell>
          <cell r="E5605" t="str">
            <v>Bosque</v>
          </cell>
          <cell r="H5605" t="str">
            <v>consulta_externa</v>
          </cell>
          <cell r="J5605" t="str">
            <v>bueno</v>
          </cell>
          <cell r="K5605" t="str">
            <v>probsi</v>
          </cell>
        </row>
        <row r="5606">
          <cell r="B5606" t="b">
            <v>1</v>
          </cell>
          <cell r="E5606" t="str">
            <v>Bosque</v>
          </cell>
          <cell r="H5606" t="str">
            <v>laboratorio</v>
          </cell>
          <cell r="J5606" t="str">
            <v>bueno</v>
          </cell>
          <cell r="K5606" t="str">
            <v>probsi</v>
          </cell>
        </row>
        <row r="5607">
          <cell r="B5607" t="b">
            <v>1</v>
          </cell>
          <cell r="E5607" t="str">
            <v>Bosque</v>
          </cell>
          <cell r="H5607" t="str">
            <v>laboratorio</v>
          </cell>
          <cell r="J5607" t="str">
            <v>bueno</v>
          </cell>
          <cell r="K5607" t="str">
            <v>probsi</v>
          </cell>
        </row>
        <row r="5608">
          <cell r="B5608" t="b">
            <v>1</v>
          </cell>
          <cell r="E5608" t="str">
            <v>Bosque</v>
          </cell>
          <cell r="H5608" t="str">
            <v>laboratorio</v>
          </cell>
          <cell r="J5608" t="str">
            <v>bueno</v>
          </cell>
          <cell r="K5608" t="str">
            <v>probsi</v>
          </cell>
        </row>
        <row r="5609">
          <cell r="B5609" t="b">
            <v>1</v>
          </cell>
          <cell r="E5609" t="str">
            <v>Bosque</v>
          </cell>
          <cell r="H5609" t="str">
            <v>salud_oral</v>
          </cell>
          <cell r="J5609" t="str">
            <v>bueno</v>
          </cell>
          <cell r="K5609" t="str">
            <v>probsi</v>
          </cell>
        </row>
        <row r="5610">
          <cell r="B5610" t="b">
            <v>1</v>
          </cell>
          <cell r="E5610" t="str">
            <v>Pasacaballos</v>
          </cell>
          <cell r="H5610" t="str">
            <v>urgencia</v>
          </cell>
          <cell r="J5610" t="str">
            <v>bueno</v>
          </cell>
          <cell r="K5610" t="str">
            <v>defsi</v>
          </cell>
        </row>
        <row r="5611">
          <cell r="B5611" t="b">
            <v>0</v>
          </cell>
          <cell r="E5611" t="str">
            <v>Pasacaballos</v>
          </cell>
          <cell r="H5611" t="str">
            <v>salud_oral</v>
          </cell>
          <cell r="J5611" t="str">
            <v>regular</v>
          </cell>
          <cell r="K5611" t="str">
            <v>probsi</v>
          </cell>
        </row>
        <row r="5612">
          <cell r="B5612" t="b">
            <v>1</v>
          </cell>
          <cell r="E5612" t="str">
            <v>Arroyo de Piedra</v>
          </cell>
          <cell r="H5612" t="str">
            <v>laboratorio</v>
          </cell>
          <cell r="J5612" t="str">
            <v>bueno</v>
          </cell>
          <cell r="K5612" t="str">
            <v>probsi</v>
          </cell>
        </row>
        <row r="5613">
          <cell r="B5613" t="b">
            <v>1</v>
          </cell>
          <cell r="E5613" t="str">
            <v>Arroyo de Piedra</v>
          </cell>
          <cell r="H5613" t="str">
            <v>laboratorio</v>
          </cell>
          <cell r="J5613" t="str">
            <v>bueno</v>
          </cell>
          <cell r="K5613" t="str">
            <v>probsi</v>
          </cell>
        </row>
        <row r="5614">
          <cell r="B5614" t="b">
            <v>0</v>
          </cell>
          <cell r="E5614" t="str">
            <v>Arroyo de Piedra</v>
          </cell>
          <cell r="H5614" t="str">
            <v>laboratorio</v>
          </cell>
          <cell r="J5614" t="str">
            <v>regular</v>
          </cell>
          <cell r="K5614" t="str">
            <v>probsi</v>
          </cell>
        </row>
        <row r="5615">
          <cell r="B5615" t="b">
            <v>1</v>
          </cell>
          <cell r="E5615" t="str">
            <v>Arroyo de Piedra</v>
          </cell>
          <cell r="H5615" t="str">
            <v>laboratorio</v>
          </cell>
          <cell r="J5615" t="str">
            <v>bueno</v>
          </cell>
          <cell r="K5615" t="str">
            <v>probsi</v>
          </cell>
        </row>
        <row r="5616">
          <cell r="B5616" t="b">
            <v>1</v>
          </cell>
          <cell r="E5616" t="str">
            <v>Pasacaballos</v>
          </cell>
          <cell r="H5616" t="str">
            <v>salud_oral</v>
          </cell>
          <cell r="J5616" t="str">
            <v>muybueno</v>
          </cell>
          <cell r="K5616" t="str">
            <v>defsi</v>
          </cell>
        </row>
        <row r="5617">
          <cell r="B5617" t="b">
            <v>1</v>
          </cell>
          <cell r="E5617" t="str">
            <v>Arroyo de Piedra</v>
          </cell>
          <cell r="H5617" t="str">
            <v>laboratorio</v>
          </cell>
          <cell r="J5617" t="str">
            <v>bueno</v>
          </cell>
          <cell r="K5617" t="str">
            <v>probsi</v>
          </cell>
        </row>
        <row r="5618">
          <cell r="B5618" t="b">
            <v>1</v>
          </cell>
          <cell r="E5618" t="str">
            <v>Arroyo de Piedra</v>
          </cell>
          <cell r="H5618" t="str">
            <v>laboratorio</v>
          </cell>
          <cell r="J5618" t="str">
            <v>bueno</v>
          </cell>
          <cell r="K5618" t="str">
            <v>probsi</v>
          </cell>
        </row>
        <row r="5619">
          <cell r="B5619" t="b">
            <v>1</v>
          </cell>
          <cell r="E5619" t="str">
            <v>Arroyo de Piedra</v>
          </cell>
          <cell r="H5619" t="str">
            <v>laboratorio</v>
          </cell>
          <cell r="J5619" t="str">
            <v>bueno</v>
          </cell>
          <cell r="K5619" t="str">
            <v>probsi</v>
          </cell>
        </row>
        <row r="5620">
          <cell r="B5620" t="b">
            <v>1</v>
          </cell>
          <cell r="E5620" t="str">
            <v>Pasacaballos</v>
          </cell>
          <cell r="H5620" t="str">
            <v>salud_oral</v>
          </cell>
          <cell r="J5620" t="str">
            <v>muybueno</v>
          </cell>
          <cell r="K5620" t="str">
            <v>defsi</v>
          </cell>
        </row>
        <row r="5621">
          <cell r="B5621" t="b">
            <v>1</v>
          </cell>
          <cell r="E5621" t="str">
            <v>Arroyo de Piedra</v>
          </cell>
          <cell r="H5621" t="str">
            <v>salud_oral</v>
          </cell>
          <cell r="J5621" t="str">
            <v>bueno</v>
          </cell>
          <cell r="K5621" t="str">
            <v>probsi</v>
          </cell>
        </row>
        <row r="5622">
          <cell r="B5622" t="b">
            <v>1</v>
          </cell>
          <cell r="E5622" t="str">
            <v>Arroyo de Piedra</v>
          </cell>
          <cell r="H5622" t="str">
            <v>salud_oral</v>
          </cell>
          <cell r="J5622" t="str">
            <v>bueno</v>
          </cell>
          <cell r="K5622" t="str">
            <v>probsi</v>
          </cell>
        </row>
        <row r="5623">
          <cell r="B5623" t="b">
            <v>1</v>
          </cell>
          <cell r="E5623" t="str">
            <v>Pasacaballos</v>
          </cell>
          <cell r="H5623" t="str">
            <v>salud_oral</v>
          </cell>
          <cell r="J5623" t="str">
            <v>bueno</v>
          </cell>
          <cell r="K5623" t="str">
            <v>defsi</v>
          </cell>
        </row>
        <row r="5624">
          <cell r="B5624" t="b">
            <v>1</v>
          </cell>
          <cell r="E5624" t="str">
            <v>Pasacaballos</v>
          </cell>
          <cell r="H5624" t="str">
            <v>salud_oral</v>
          </cell>
          <cell r="J5624" t="str">
            <v>bueno</v>
          </cell>
          <cell r="K5624" t="str">
            <v>defsi</v>
          </cell>
        </row>
        <row r="5625">
          <cell r="B5625" t="b">
            <v>1</v>
          </cell>
          <cell r="E5625" t="str">
            <v>Pasacaballos</v>
          </cell>
          <cell r="H5625" t="str">
            <v>laboratorio</v>
          </cell>
          <cell r="J5625" t="str">
            <v>bueno</v>
          </cell>
          <cell r="K5625" t="str">
            <v>defsi</v>
          </cell>
        </row>
        <row r="5626">
          <cell r="B5626" t="b">
            <v>1</v>
          </cell>
          <cell r="E5626" t="str">
            <v>Pasacaballos</v>
          </cell>
          <cell r="H5626" t="str">
            <v>laboratorio</v>
          </cell>
          <cell r="J5626" t="str">
            <v>bueno</v>
          </cell>
          <cell r="K5626" t="str">
            <v>defsi</v>
          </cell>
        </row>
        <row r="5627">
          <cell r="B5627" t="b">
            <v>1</v>
          </cell>
          <cell r="E5627" t="str">
            <v>Pasacaballos</v>
          </cell>
          <cell r="H5627" t="str">
            <v>laboratorio</v>
          </cell>
          <cell r="J5627" t="str">
            <v>bueno</v>
          </cell>
          <cell r="K5627" t="str">
            <v>defsi</v>
          </cell>
        </row>
        <row r="5628">
          <cell r="B5628" t="b">
            <v>1</v>
          </cell>
          <cell r="E5628" t="str">
            <v>Pasacaballos</v>
          </cell>
          <cell r="H5628" t="str">
            <v>laboratorio</v>
          </cell>
          <cell r="J5628" t="str">
            <v>bueno</v>
          </cell>
          <cell r="K5628" t="str">
            <v>defsi</v>
          </cell>
        </row>
        <row r="5629">
          <cell r="B5629" t="b">
            <v>1</v>
          </cell>
          <cell r="E5629" t="str">
            <v>Pasacaballos</v>
          </cell>
          <cell r="H5629" t="str">
            <v>urgencia</v>
          </cell>
          <cell r="J5629" t="str">
            <v>bueno</v>
          </cell>
          <cell r="K5629" t="str">
            <v>defsi</v>
          </cell>
        </row>
        <row r="5630">
          <cell r="B5630" t="b">
            <v>1</v>
          </cell>
          <cell r="E5630" t="str">
            <v>Pasacaballos</v>
          </cell>
          <cell r="H5630" t="str">
            <v>urgencia</v>
          </cell>
          <cell r="J5630" t="str">
            <v>bueno</v>
          </cell>
          <cell r="K5630" t="str">
            <v>defsi</v>
          </cell>
        </row>
        <row r="5631">
          <cell r="B5631" t="b">
            <v>0</v>
          </cell>
          <cell r="E5631" t="str">
            <v>Pasacaballos</v>
          </cell>
          <cell r="H5631" t="str">
            <v>urgencia</v>
          </cell>
          <cell r="J5631" t="str">
            <v>regular</v>
          </cell>
          <cell r="K5631" t="str">
            <v>probsi</v>
          </cell>
        </row>
        <row r="5632">
          <cell r="B5632" t="b">
            <v>1</v>
          </cell>
          <cell r="E5632" t="str">
            <v>Pasacaballos</v>
          </cell>
          <cell r="H5632" t="str">
            <v>urgencia</v>
          </cell>
          <cell r="J5632" t="str">
            <v>bueno</v>
          </cell>
          <cell r="K5632" t="str">
            <v>defsi</v>
          </cell>
        </row>
        <row r="5633">
          <cell r="B5633" t="b">
            <v>0</v>
          </cell>
          <cell r="E5633" t="str">
            <v>Pasacaballos</v>
          </cell>
          <cell r="H5633" t="str">
            <v>urgencia</v>
          </cell>
          <cell r="J5633" t="str">
            <v>regular</v>
          </cell>
          <cell r="K5633" t="str">
            <v>defsi</v>
          </cell>
        </row>
        <row r="5634">
          <cell r="B5634" t="b">
            <v>0</v>
          </cell>
          <cell r="E5634" t="str">
            <v>Pasacaballos</v>
          </cell>
          <cell r="H5634" t="str">
            <v>urgencia</v>
          </cell>
          <cell r="J5634" t="str">
            <v>regular</v>
          </cell>
          <cell r="K5634" t="str">
            <v>defsi</v>
          </cell>
        </row>
        <row r="5635">
          <cell r="B5635" t="b">
            <v>1</v>
          </cell>
          <cell r="E5635" t="str">
            <v>Pasacaballos</v>
          </cell>
          <cell r="H5635" t="str">
            <v>urgencia</v>
          </cell>
          <cell r="J5635" t="str">
            <v>bueno</v>
          </cell>
          <cell r="K5635" t="str">
            <v>defsi</v>
          </cell>
        </row>
        <row r="5636">
          <cell r="B5636" t="b">
            <v>0</v>
          </cell>
          <cell r="E5636" t="str">
            <v>Pasacaballos</v>
          </cell>
          <cell r="H5636" t="str">
            <v>urgencia</v>
          </cell>
          <cell r="J5636" t="str">
            <v>regular</v>
          </cell>
          <cell r="K5636" t="str">
            <v>defsi</v>
          </cell>
        </row>
        <row r="5637">
          <cell r="B5637" t="b">
            <v>1</v>
          </cell>
          <cell r="E5637" t="str">
            <v>Pasacaballos</v>
          </cell>
          <cell r="H5637" t="str">
            <v>urgencia</v>
          </cell>
          <cell r="J5637" t="str">
            <v>bueno</v>
          </cell>
          <cell r="K5637" t="str">
            <v>defsi</v>
          </cell>
        </row>
        <row r="5638">
          <cell r="B5638" t="b">
            <v>1</v>
          </cell>
          <cell r="E5638" t="str">
            <v>Pasacaballos</v>
          </cell>
          <cell r="H5638" t="str">
            <v>urgencia</v>
          </cell>
          <cell r="J5638" t="str">
            <v>bueno</v>
          </cell>
          <cell r="K5638" t="str">
            <v>probsi</v>
          </cell>
        </row>
        <row r="5639">
          <cell r="B5639" t="b">
            <v>1</v>
          </cell>
          <cell r="E5639" t="str">
            <v>Pasacaballos</v>
          </cell>
          <cell r="H5639" t="str">
            <v>urgencia</v>
          </cell>
          <cell r="J5639" t="str">
            <v>bueno</v>
          </cell>
          <cell r="K5639" t="str">
            <v>defsi</v>
          </cell>
        </row>
        <row r="5640">
          <cell r="B5640" t="b">
            <v>1</v>
          </cell>
          <cell r="E5640" t="str">
            <v>Pasacaballos</v>
          </cell>
          <cell r="H5640" t="str">
            <v>urgencia</v>
          </cell>
          <cell r="J5640" t="str">
            <v>bueno</v>
          </cell>
          <cell r="K5640" t="str">
            <v>defsi</v>
          </cell>
        </row>
        <row r="5641">
          <cell r="B5641" t="b">
            <v>0</v>
          </cell>
          <cell r="E5641" t="str">
            <v>Pasacaballos</v>
          </cell>
          <cell r="H5641" t="str">
            <v>urgencia</v>
          </cell>
          <cell r="J5641" t="str">
            <v>regular</v>
          </cell>
          <cell r="K5641" t="str">
            <v>probsi</v>
          </cell>
        </row>
        <row r="5642">
          <cell r="B5642" t="b">
            <v>1</v>
          </cell>
          <cell r="E5642" t="str">
            <v>Pasacaballos</v>
          </cell>
          <cell r="H5642" t="str">
            <v>consulta_externa</v>
          </cell>
          <cell r="J5642" t="str">
            <v>bueno</v>
          </cell>
          <cell r="K5642" t="str">
            <v>defsi</v>
          </cell>
        </row>
        <row r="5643">
          <cell r="B5643" t="b">
            <v>0</v>
          </cell>
          <cell r="E5643" t="str">
            <v>Pasacaballos</v>
          </cell>
          <cell r="H5643" t="str">
            <v>consulta_externa</v>
          </cell>
          <cell r="J5643" t="str">
            <v>regular</v>
          </cell>
          <cell r="K5643" t="str">
            <v>probsi</v>
          </cell>
        </row>
        <row r="5644">
          <cell r="B5644" t="b">
            <v>1</v>
          </cell>
          <cell r="E5644" t="str">
            <v>Pasacaballos</v>
          </cell>
          <cell r="H5644" t="str">
            <v>consulta_externa</v>
          </cell>
          <cell r="J5644" t="str">
            <v>bueno</v>
          </cell>
          <cell r="K5644" t="str">
            <v>defsi</v>
          </cell>
        </row>
        <row r="5645">
          <cell r="B5645" t="b">
            <v>0</v>
          </cell>
          <cell r="E5645" t="str">
            <v>Pasacaballos</v>
          </cell>
          <cell r="H5645" t="str">
            <v>laboratorio</v>
          </cell>
          <cell r="J5645" t="str">
            <v>regular</v>
          </cell>
          <cell r="K5645" t="str">
            <v>probsi</v>
          </cell>
        </row>
        <row r="5646">
          <cell r="B5646" t="b">
            <v>0</v>
          </cell>
          <cell r="E5646" t="str">
            <v>Pasacaballos</v>
          </cell>
          <cell r="H5646" t="str">
            <v>urgencia</v>
          </cell>
          <cell r="J5646" t="str">
            <v>regular</v>
          </cell>
          <cell r="K5646" t="str">
            <v>probsi</v>
          </cell>
        </row>
        <row r="5647">
          <cell r="B5647" t="b">
            <v>0</v>
          </cell>
          <cell r="E5647" t="str">
            <v>Pasacaballos</v>
          </cell>
          <cell r="H5647" t="str">
            <v>urgencia</v>
          </cell>
          <cell r="J5647" t="str">
            <v>regular</v>
          </cell>
          <cell r="K5647" t="str">
            <v>probsi</v>
          </cell>
        </row>
        <row r="5648">
          <cell r="B5648" t="b">
            <v>1</v>
          </cell>
          <cell r="E5648" t="str">
            <v>Arroyo Grande</v>
          </cell>
          <cell r="H5648" t="str">
            <v>laboratorio</v>
          </cell>
          <cell r="J5648" t="str">
            <v>bueno</v>
          </cell>
          <cell r="K5648" t="str">
            <v>probsi</v>
          </cell>
        </row>
        <row r="5649">
          <cell r="B5649" t="b">
            <v>1</v>
          </cell>
          <cell r="E5649" t="str">
            <v>Arroyo Grande</v>
          </cell>
          <cell r="H5649" t="str">
            <v>laboratorio</v>
          </cell>
          <cell r="J5649" t="str">
            <v>bueno</v>
          </cell>
          <cell r="K5649" t="str">
            <v>probsi</v>
          </cell>
        </row>
        <row r="5650">
          <cell r="B5650" t="b">
            <v>1</v>
          </cell>
          <cell r="E5650" t="str">
            <v>Arroyo Grande</v>
          </cell>
          <cell r="H5650" t="str">
            <v>laboratorio</v>
          </cell>
          <cell r="J5650" t="str">
            <v>bueno</v>
          </cell>
          <cell r="K5650" t="str">
            <v>probsi</v>
          </cell>
        </row>
        <row r="5651">
          <cell r="B5651" t="b">
            <v>1</v>
          </cell>
          <cell r="E5651" t="str">
            <v>Arroyo Grande</v>
          </cell>
          <cell r="H5651" t="str">
            <v>laboratorio</v>
          </cell>
          <cell r="J5651" t="str">
            <v>bueno</v>
          </cell>
          <cell r="K5651" t="str">
            <v>probsi</v>
          </cell>
        </row>
        <row r="5652">
          <cell r="B5652" t="b">
            <v>1</v>
          </cell>
          <cell r="E5652" t="str">
            <v>Arroyo Grande</v>
          </cell>
          <cell r="H5652" t="str">
            <v>laboratorio</v>
          </cell>
          <cell r="J5652" t="str">
            <v>bueno</v>
          </cell>
          <cell r="K5652" t="str">
            <v>probsi</v>
          </cell>
        </row>
        <row r="5653">
          <cell r="B5653" t="b">
            <v>1</v>
          </cell>
          <cell r="E5653" t="str">
            <v>Arroyo Grande</v>
          </cell>
          <cell r="H5653" t="str">
            <v>laboratorio</v>
          </cell>
          <cell r="J5653" t="str">
            <v>bueno</v>
          </cell>
          <cell r="K5653" t="str">
            <v>probsi</v>
          </cell>
        </row>
        <row r="5654">
          <cell r="B5654" t="b">
            <v>1</v>
          </cell>
          <cell r="E5654" t="str">
            <v>Arroyo Grande</v>
          </cell>
          <cell r="H5654" t="str">
            <v>laboratorio</v>
          </cell>
          <cell r="J5654" t="str">
            <v>bueno</v>
          </cell>
          <cell r="K5654" t="str">
            <v>probsi</v>
          </cell>
        </row>
        <row r="5655">
          <cell r="B5655" t="b">
            <v>1</v>
          </cell>
          <cell r="E5655" t="str">
            <v>Pasacaballos</v>
          </cell>
          <cell r="H5655" t="str">
            <v>urgencia</v>
          </cell>
          <cell r="J5655" t="str">
            <v>bueno</v>
          </cell>
          <cell r="K5655" t="str">
            <v>defsi</v>
          </cell>
        </row>
        <row r="5656">
          <cell r="B5656" t="b">
            <v>1</v>
          </cell>
          <cell r="E5656" t="str">
            <v>Islote de San Bernardo</v>
          </cell>
          <cell r="H5656" t="str">
            <v>consulta_externa</v>
          </cell>
          <cell r="J5656" t="str">
            <v>bueno</v>
          </cell>
          <cell r="K5656" t="str">
            <v>defsi</v>
          </cell>
        </row>
        <row r="5657">
          <cell r="B5657" t="b">
            <v>1</v>
          </cell>
          <cell r="E5657" t="str">
            <v>Islote de San Bernardo</v>
          </cell>
          <cell r="H5657" t="str">
            <v>salud_oral</v>
          </cell>
          <cell r="J5657" t="str">
            <v>bueno</v>
          </cell>
          <cell r="K5657" t="str">
            <v>defsi</v>
          </cell>
        </row>
        <row r="5658">
          <cell r="B5658" t="b">
            <v>1</v>
          </cell>
          <cell r="E5658" t="str">
            <v>Islote de San Bernardo</v>
          </cell>
          <cell r="H5658" t="str">
            <v>consulta_externa</v>
          </cell>
          <cell r="J5658" t="str">
            <v>bueno</v>
          </cell>
          <cell r="K5658" t="str">
            <v>defsi</v>
          </cell>
        </row>
        <row r="5659">
          <cell r="B5659" t="b">
            <v>1</v>
          </cell>
          <cell r="E5659" t="str">
            <v>Islote de San Bernardo</v>
          </cell>
          <cell r="H5659" t="str">
            <v>salud_oral</v>
          </cell>
          <cell r="J5659" t="str">
            <v>bueno</v>
          </cell>
          <cell r="K5659" t="str">
            <v>defsi</v>
          </cell>
        </row>
        <row r="5660">
          <cell r="B5660" t="b">
            <v>1</v>
          </cell>
          <cell r="E5660" t="str">
            <v>Islote de San Bernardo</v>
          </cell>
          <cell r="H5660" t="str">
            <v>consulta_externa</v>
          </cell>
          <cell r="J5660" t="str">
            <v>bueno</v>
          </cell>
          <cell r="K5660" t="str">
            <v>defsi</v>
          </cell>
        </row>
        <row r="5661">
          <cell r="B5661" t="b">
            <v>0</v>
          </cell>
          <cell r="E5661" t="str">
            <v>Pasacaballos</v>
          </cell>
          <cell r="H5661" t="str">
            <v>urgencia</v>
          </cell>
          <cell r="J5661" t="str">
            <v>regular</v>
          </cell>
          <cell r="K5661" t="str">
            <v>probsi</v>
          </cell>
        </row>
        <row r="5662">
          <cell r="B5662" t="b">
            <v>1</v>
          </cell>
          <cell r="E5662" t="str">
            <v>Islote de San Bernardo</v>
          </cell>
          <cell r="H5662" t="str">
            <v>consulta_externa</v>
          </cell>
          <cell r="J5662" t="str">
            <v>bueno</v>
          </cell>
          <cell r="K5662" t="str">
            <v>defsi</v>
          </cell>
        </row>
        <row r="5663">
          <cell r="B5663" t="b">
            <v>1</v>
          </cell>
          <cell r="E5663" t="str">
            <v>Pasacaballos</v>
          </cell>
          <cell r="H5663" t="str">
            <v>urgencia</v>
          </cell>
          <cell r="J5663" t="str">
            <v>bueno</v>
          </cell>
          <cell r="K5663" t="str">
            <v>defsi</v>
          </cell>
        </row>
        <row r="5664">
          <cell r="B5664" t="b">
            <v>1</v>
          </cell>
          <cell r="E5664" t="str">
            <v>Islote de San Bernardo</v>
          </cell>
          <cell r="H5664" t="str">
            <v>consulta_externa</v>
          </cell>
          <cell r="J5664" t="str">
            <v>bueno</v>
          </cell>
          <cell r="K5664" t="str">
            <v>defsi</v>
          </cell>
        </row>
        <row r="5665">
          <cell r="B5665" t="b">
            <v>1</v>
          </cell>
          <cell r="E5665" t="str">
            <v>Islote de San Bernardo</v>
          </cell>
          <cell r="H5665" t="str">
            <v>consulta_externa</v>
          </cell>
          <cell r="J5665" t="str">
            <v>bueno</v>
          </cell>
          <cell r="K5665" t="str">
            <v>defsi</v>
          </cell>
        </row>
        <row r="5666">
          <cell r="B5666" t="b">
            <v>1</v>
          </cell>
          <cell r="E5666" t="str">
            <v>Pasacaballos</v>
          </cell>
          <cell r="H5666" t="str">
            <v>urgencia</v>
          </cell>
          <cell r="J5666" t="str">
            <v>bueno</v>
          </cell>
          <cell r="K5666" t="str">
            <v>defsi</v>
          </cell>
        </row>
        <row r="5667">
          <cell r="B5667" t="b">
            <v>1</v>
          </cell>
          <cell r="E5667" t="str">
            <v>Pasacaballos</v>
          </cell>
          <cell r="H5667" t="str">
            <v>salud_oral</v>
          </cell>
          <cell r="J5667" t="str">
            <v>bueno</v>
          </cell>
          <cell r="K5667" t="str">
            <v>defsi</v>
          </cell>
        </row>
        <row r="5668">
          <cell r="B5668" t="b">
            <v>1</v>
          </cell>
          <cell r="E5668" t="str">
            <v>Pasacaballos</v>
          </cell>
          <cell r="H5668" t="str">
            <v>salud_oral</v>
          </cell>
          <cell r="J5668" t="str">
            <v>bueno</v>
          </cell>
          <cell r="K5668" t="str">
            <v>defsi</v>
          </cell>
        </row>
        <row r="5669">
          <cell r="B5669" t="b">
            <v>1</v>
          </cell>
          <cell r="E5669" t="str">
            <v>Pasacaballos</v>
          </cell>
          <cell r="H5669" t="str">
            <v>laboratorio</v>
          </cell>
          <cell r="J5669" t="str">
            <v>bueno</v>
          </cell>
          <cell r="K5669" t="str">
            <v>defsi</v>
          </cell>
        </row>
        <row r="5670">
          <cell r="B5670" t="b">
            <v>1</v>
          </cell>
          <cell r="E5670" t="str">
            <v>Pasacaballos</v>
          </cell>
          <cell r="H5670" t="str">
            <v>laboratorio</v>
          </cell>
          <cell r="J5670" t="str">
            <v>bueno</v>
          </cell>
          <cell r="K5670" t="str">
            <v>defsi</v>
          </cell>
        </row>
        <row r="5671">
          <cell r="B5671" t="b">
            <v>1</v>
          </cell>
          <cell r="E5671" t="str">
            <v>Pasacaballos</v>
          </cell>
          <cell r="H5671" t="str">
            <v>laboratorio</v>
          </cell>
          <cell r="J5671" t="str">
            <v>bueno</v>
          </cell>
          <cell r="K5671" t="str">
            <v>defsi</v>
          </cell>
        </row>
        <row r="5672">
          <cell r="B5672" t="b">
            <v>1</v>
          </cell>
          <cell r="E5672" t="str">
            <v>Islote de San Bernardo</v>
          </cell>
          <cell r="H5672" t="str">
            <v>consulta_externa</v>
          </cell>
          <cell r="J5672" t="str">
            <v>bueno</v>
          </cell>
          <cell r="K5672" t="str">
            <v>defsi</v>
          </cell>
        </row>
        <row r="5673">
          <cell r="B5673" t="b">
            <v>1</v>
          </cell>
          <cell r="E5673" t="str">
            <v>Pasacaballos</v>
          </cell>
          <cell r="H5673" t="str">
            <v>salud_oral</v>
          </cell>
          <cell r="J5673" t="str">
            <v>bueno</v>
          </cell>
          <cell r="K5673" t="str">
            <v>defsi</v>
          </cell>
        </row>
        <row r="5674">
          <cell r="B5674" t="b">
            <v>1</v>
          </cell>
          <cell r="E5674" t="str">
            <v>Pasacaballos</v>
          </cell>
          <cell r="H5674" t="str">
            <v>salud_oral</v>
          </cell>
          <cell r="J5674" t="str">
            <v>bueno</v>
          </cell>
          <cell r="K5674" t="str">
            <v>defsi</v>
          </cell>
        </row>
        <row r="5675">
          <cell r="B5675" t="b">
            <v>1</v>
          </cell>
          <cell r="E5675" t="str">
            <v>Pasacaballos</v>
          </cell>
          <cell r="H5675" t="str">
            <v>consulta_externa</v>
          </cell>
          <cell r="J5675" t="str">
            <v>bueno</v>
          </cell>
          <cell r="K5675" t="str">
            <v>defsi</v>
          </cell>
        </row>
        <row r="5676">
          <cell r="B5676" t="b">
            <v>0</v>
          </cell>
          <cell r="E5676" t="str">
            <v>Pasacaballos</v>
          </cell>
          <cell r="H5676" t="str">
            <v>consulta_externa</v>
          </cell>
          <cell r="J5676" t="str">
            <v>malo</v>
          </cell>
          <cell r="K5676" t="str">
            <v>probno</v>
          </cell>
        </row>
        <row r="5677">
          <cell r="B5677" t="b">
            <v>1</v>
          </cell>
          <cell r="E5677" t="str">
            <v>Bocachica</v>
          </cell>
          <cell r="H5677" t="str">
            <v>consulta_externa</v>
          </cell>
          <cell r="J5677" t="str">
            <v>bueno</v>
          </cell>
          <cell r="K5677" t="str">
            <v>defsi</v>
          </cell>
        </row>
        <row r="5678">
          <cell r="B5678" t="b">
            <v>1</v>
          </cell>
          <cell r="E5678" t="str">
            <v>Bocachica</v>
          </cell>
          <cell r="H5678" t="str">
            <v>salud_oral</v>
          </cell>
          <cell r="J5678" t="str">
            <v>bueno</v>
          </cell>
          <cell r="K5678" t="str">
            <v>defsi</v>
          </cell>
        </row>
        <row r="5679">
          <cell r="B5679" t="b">
            <v>0</v>
          </cell>
          <cell r="E5679" t="str">
            <v>Pasacaballos</v>
          </cell>
          <cell r="H5679" t="str">
            <v>salud_oral</v>
          </cell>
          <cell r="J5679" t="str">
            <v>regular</v>
          </cell>
          <cell r="K5679" t="str">
            <v>probsi</v>
          </cell>
        </row>
        <row r="5680">
          <cell r="B5680" t="b">
            <v>1</v>
          </cell>
          <cell r="E5680" t="str">
            <v>Bocachica</v>
          </cell>
          <cell r="H5680" t="str">
            <v>laboratorio</v>
          </cell>
          <cell r="J5680" t="str">
            <v>bueno</v>
          </cell>
          <cell r="K5680" t="str">
            <v>defsi</v>
          </cell>
        </row>
        <row r="5681">
          <cell r="B5681" t="b">
            <v>0</v>
          </cell>
          <cell r="E5681" t="str">
            <v>Pasacaballos</v>
          </cell>
          <cell r="H5681" t="str">
            <v>salud_oral</v>
          </cell>
          <cell r="J5681" t="str">
            <v>regular</v>
          </cell>
          <cell r="K5681" t="str">
            <v>probsi</v>
          </cell>
        </row>
        <row r="5682">
          <cell r="B5682" t="b">
            <v>1</v>
          </cell>
          <cell r="E5682" t="str">
            <v>Bocachica</v>
          </cell>
          <cell r="H5682" t="str">
            <v>urgencia</v>
          </cell>
          <cell r="J5682" t="str">
            <v>bueno</v>
          </cell>
          <cell r="K5682" t="str">
            <v>defsi</v>
          </cell>
        </row>
        <row r="5683">
          <cell r="B5683" t="b">
            <v>0</v>
          </cell>
          <cell r="E5683" t="str">
            <v>Pasacaballos</v>
          </cell>
          <cell r="H5683" t="str">
            <v>consulta_externa</v>
          </cell>
          <cell r="J5683" t="str">
            <v>regular</v>
          </cell>
          <cell r="K5683" t="str">
            <v>probno</v>
          </cell>
        </row>
        <row r="5684">
          <cell r="B5684" t="b">
            <v>1</v>
          </cell>
          <cell r="E5684" t="str">
            <v>Bocachica</v>
          </cell>
          <cell r="H5684" t="str">
            <v>consulta_externa</v>
          </cell>
          <cell r="J5684" t="str">
            <v>bueno</v>
          </cell>
          <cell r="K5684" t="str">
            <v>defsi</v>
          </cell>
        </row>
        <row r="5685">
          <cell r="B5685" t="b">
            <v>1</v>
          </cell>
          <cell r="E5685" t="str">
            <v>Pasacaballos</v>
          </cell>
          <cell r="H5685" t="str">
            <v>salud_oral</v>
          </cell>
          <cell r="J5685" t="str">
            <v>bueno</v>
          </cell>
          <cell r="K5685" t="str">
            <v>defsi</v>
          </cell>
        </row>
        <row r="5686">
          <cell r="B5686" t="b">
            <v>1</v>
          </cell>
          <cell r="E5686" t="str">
            <v>Bocachica</v>
          </cell>
          <cell r="H5686" t="str">
            <v>salud_oral</v>
          </cell>
          <cell r="J5686" t="str">
            <v>bueno</v>
          </cell>
          <cell r="K5686" t="str">
            <v>defsi</v>
          </cell>
        </row>
        <row r="5687">
          <cell r="B5687" t="b">
            <v>1</v>
          </cell>
          <cell r="E5687" t="str">
            <v>Pasacaballos</v>
          </cell>
          <cell r="H5687" t="str">
            <v>urgencia</v>
          </cell>
          <cell r="J5687" t="str">
            <v>bueno</v>
          </cell>
          <cell r="K5687" t="str">
            <v>defsi</v>
          </cell>
        </row>
        <row r="5688">
          <cell r="B5688" t="b">
            <v>1</v>
          </cell>
          <cell r="E5688" t="str">
            <v>Bocachica</v>
          </cell>
          <cell r="H5688" t="str">
            <v>laboratorio</v>
          </cell>
          <cell r="J5688" t="str">
            <v>bueno</v>
          </cell>
          <cell r="K5688" t="str">
            <v>defsi</v>
          </cell>
        </row>
        <row r="5689">
          <cell r="B5689" t="b">
            <v>1</v>
          </cell>
          <cell r="E5689" t="str">
            <v>Pasacaballos</v>
          </cell>
          <cell r="H5689" t="str">
            <v>salud_oral</v>
          </cell>
          <cell r="J5689" t="str">
            <v>bueno</v>
          </cell>
          <cell r="K5689" t="str">
            <v>defsi</v>
          </cell>
        </row>
        <row r="5690">
          <cell r="B5690" t="b">
            <v>1</v>
          </cell>
          <cell r="E5690" t="str">
            <v>Bocachica</v>
          </cell>
          <cell r="H5690" t="str">
            <v>urgencia</v>
          </cell>
          <cell r="J5690" t="str">
            <v>bueno</v>
          </cell>
          <cell r="K5690" t="str">
            <v>defsi</v>
          </cell>
        </row>
        <row r="5691">
          <cell r="B5691" t="b">
            <v>1</v>
          </cell>
          <cell r="E5691" t="str">
            <v>Pasacaballos</v>
          </cell>
          <cell r="H5691" t="str">
            <v>salud_oral</v>
          </cell>
          <cell r="J5691" t="str">
            <v>bueno</v>
          </cell>
          <cell r="K5691" t="str">
            <v>defsi</v>
          </cell>
        </row>
        <row r="5692">
          <cell r="B5692" t="b">
            <v>1</v>
          </cell>
          <cell r="E5692" t="str">
            <v>Bocachica</v>
          </cell>
          <cell r="H5692" t="str">
            <v>consulta_externa</v>
          </cell>
          <cell r="J5692" t="str">
            <v>bueno</v>
          </cell>
          <cell r="K5692" t="str">
            <v>defsi</v>
          </cell>
        </row>
        <row r="5693">
          <cell r="B5693" t="b">
            <v>1</v>
          </cell>
          <cell r="E5693" t="str">
            <v>Bocachica</v>
          </cell>
          <cell r="H5693" t="str">
            <v>salud_oral</v>
          </cell>
          <cell r="J5693" t="str">
            <v>bueno</v>
          </cell>
          <cell r="K5693" t="str">
            <v>defsi</v>
          </cell>
        </row>
        <row r="5694">
          <cell r="B5694" t="b">
            <v>1</v>
          </cell>
          <cell r="E5694" t="str">
            <v>Bocachica</v>
          </cell>
          <cell r="H5694" t="str">
            <v>laboratorio</v>
          </cell>
          <cell r="J5694" t="str">
            <v>bueno</v>
          </cell>
          <cell r="K5694" t="str">
            <v>defsi</v>
          </cell>
        </row>
        <row r="5695">
          <cell r="B5695" t="b">
            <v>1</v>
          </cell>
          <cell r="E5695" t="str">
            <v>Bocachica</v>
          </cell>
          <cell r="H5695" t="str">
            <v>urgencia</v>
          </cell>
          <cell r="J5695" t="str">
            <v>bueno</v>
          </cell>
          <cell r="K5695" t="str">
            <v>defsi</v>
          </cell>
        </row>
        <row r="5696">
          <cell r="B5696" t="b">
            <v>1</v>
          </cell>
          <cell r="E5696" t="str">
            <v>Pasacaballos</v>
          </cell>
          <cell r="H5696" t="str">
            <v>urgencia</v>
          </cell>
          <cell r="J5696" t="str">
            <v>bueno</v>
          </cell>
          <cell r="K5696" t="str">
            <v>defsi</v>
          </cell>
        </row>
        <row r="5697">
          <cell r="B5697" t="b">
            <v>0</v>
          </cell>
          <cell r="E5697" t="str">
            <v>Pasacaballos</v>
          </cell>
          <cell r="H5697" t="str">
            <v>urgencia</v>
          </cell>
          <cell r="J5697" t="str">
            <v>regular</v>
          </cell>
          <cell r="K5697" t="str">
            <v>defsi</v>
          </cell>
        </row>
        <row r="5698">
          <cell r="B5698" t="b">
            <v>1</v>
          </cell>
          <cell r="E5698" t="str">
            <v>Arroyo de las Canoas</v>
          </cell>
          <cell r="H5698" t="str">
            <v>laboratorio</v>
          </cell>
          <cell r="J5698" t="str">
            <v>bueno</v>
          </cell>
          <cell r="K5698" t="str">
            <v>probsi</v>
          </cell>
        </row>
        <row r="5699">
          <cell r="B5699" t="b">
            <v>1</v>
          </cell>
          <cell r="E5699" t="str">
            <v>Pasacaballos</v>
          </cell>
          <cell r="H5699" t="str">
            <v>urgencia</v>
          </cell>
          <cell r="J5699" t="str">
            <v>bueno</v>
          </cell>
          <cell r="K5699" t="str">
            <v>defsi</v>
          </cell>
        </row>
        <row r="5700">
          <cell r="B5700" t="b">
            <v>1</v>
          </cell>
          <cell r="E5700" t="str">
            <v>Arroyo de las Canoas</v>
          </cell>
          <cell r="H5700" t="str">
            <v>laboratorio</v>
          </cell>
          <cell r="J5700" t="str">
            <v>bueno</v>
          </cell>
          <cell r="K5700" t="str">
            <v>probsi</v>
          </cell>
        </row>
        <row r="5701">
          <cell r="B5701" t="b">
            <v>1</v>
          </cell>
          <cell r="E5701" t="str">
            <v>Pasacaballos</v>
          </cell>
          <cell r="H5701" t="str">
            <v>urgencia</v>
          </cell>
          <cell r="J5701" t="str">
            <v>bueno</v>
          </cell>
          <cell r="K5701" t="str">
            <v>defsi</v>
          </cell>
        </row>
        <row r="5702">
          <cell r="B5702" t="b">
            <v>0</v>
          </cell>
          <cell r="E5702" t="str">
            <v>Pasacaballos</v>
          </cell>
          <cell r="H5702" t="str">
            <v>laboratorio</v>
          </cell>
          <cell r="J5702" t="str">
            <v>regular</v>
          </cell>
          <cell r="K5702" t="str">
            <v>defsi</v>
          </cell>
        </row>
        <row r="5703">
          <cell r="B5703" t="b">
            <v>1</v>
          </cell>
          <cell r="E5703" t="str">
            <v>Baru</v>
          </cell>
          <cell r="H5703" t="str">
            <v>consulta_externa</v>
          </cell>
          <cell r="J5703" t="str">
            <v>bueno</v>
          </cell>
          <cell r="K5703" t="str">
            <v>probsi</v>
          </cell>
        </row>
        <row r="5704">
          <cell r="B5704" t="b">
            <v>1</v>
          </cell>
          <cell r="E5704" t="str">
            <v>Pasacaballos</v>
          </cell>
          <cell r="H5704" t="str">
            <v>laboratorio</v>
          </cell>
          <cell r="J5704" t="str">
            <v>bueno</v>
          </cell>
          <cell r="K5704" t="str">
            <v>defsi</v>
          </cell>
        </row>
        <row r="5705">
          <cell r="B5705" t="b">
            <v>1</v>
          </cell>
          <cell r="E5705" t="str">
            <v>Baru</v>
          </cell>
          <cell r="H5705" t="str">
            <v>consulta_externa</v>
          </cell>
          <cell r="J5705" t="str">
            <v>bueno</v>
          </cell>
          <cell r="K5705" t="str">
            <v>probsi</v>
          </cell>
        </row>
        <row r="5706">
          <cell r="B5706" t="b">
            <v>1</v>
          </cell>
          <cell r="E5706" t="str">
            <v>Baru</v>
          </cell>
          <cell r="H5706" t="str">
            <v>consulta_externa</v>
          </cell>
          <cell r="J5706" t="str">
            <v>bueno</v>
          </cell>
          <cell r="K5706" t="str">
            <v>probsi</v>
          </cell>
        </row>
        <row r="5707">
          <cell r="B5707" t="b">
            <v>0</v>
          </cell>
          <cell r="E5707" t="str">
            <v>Pasacaballos</v>
          </cell>
          <cell r="H5707" t="str">
            <v>laboratorio</v>
          </cell>
          <cell r="J5707" t="str">
            <v>regular</v>
          </cell>
          <cell r="K5707" t="str">
            <v>probsi</v>
          </cell>
        </row>
        <row r="5708">
          <cell r="B5708" t="b">
            <v>1</v>
          </cell>
          <cell r="E5708" t="str">
            <v>Baru</v>
          </cell>
          <cell r="H5708" t="str">
            <v>consulta_externa</v>
          </cell>
          <cell r="J5708" t="str">
            <v>bueno</v>
          </cell>
          <cell r="K5708" t="str">
            <v>probsi</v>
          </cell>
        </row>
        <row r="5709">
          <cell r="B5709" t="b">
            <v>1</v>
          </cell>
          <cell r="E5709" t="str">
            <v>Pasacaballos</v>
          </cell>
          <cell r="H5709" t="str">
            <v>urgencia</v>
          </cell>
          <cell r="J5709" t="str">
            <v>bueno</v>
          </cell>
          <cell r="K5709" t="str">
            <v>defsi</v>
          </cell>
        </row>
        <row r="5710">
          <cell r="B5710" t="b">
            <v>1</v>
          </cell>
          <cell r="E5710" t="str">
            <v>Pasacaballos</v>
          </cell>
          <cell r="H5710" t="str">
            <v>urgencia</v>
          </cell>
          <cell r="J5710" t="str">
            <v>bueno</v>
          </cell>
          <cell r="K5710" t="str">
            <v>defsi</v>
          </cell>
        </row>
        <row r="5711">
          <cell r="B5711" t="b">
            <v>0</v>
          </cell>
          <cell r="E5711" t="str">
            <v>Baru</v>
          </cell>
          <cell r="H5711" t="str">
            <v>consulta_externa</v>
          </cell>
          <cell r="J5711" t="str">
            <v>regular</v>
          </cell>
          <cell r="K5711" t="str">
            <v>probsi</v>
          </cell>
        </row>
        <row r="5712">
          <cell r="B5712" t="b">
            <v>1</v>
          </cell>
          <cell r="E5712" t="str">
            <v>Baru</v>
          </cell>
          <cell r="H5712" t="str">
            <v>consulta_externa</v>
          </cell>
          <cell r="J5712" t="str">
            <v>bueno</v>
          </cell>
          <cell r="K5712" t="str">
            <v>probsi</v>
          </cell>
        </row>
        <row r="5713">
          <cell r="B5713" t="b">
            <v>1</v>
          </cell>
          <cell r="E5713" t="str">
            <v>Pasacaballos</v>
          </cell>
          <cell r="H5713" t="str">
            <v>urgencia</v>
          </cell>
          <cell r="J5713" t="str">
            <v>bueno</v>
          </cell>
          <cell r="K5713" t="str">
            <v>defsi</v>
          </cell>
        </row>
        <row r="5714">
          <cell r="B5714" t="b">
            <v>1</v>
          </cell>
          <cell r="E5714" t="str">
            <v>Pasacaballos</v>
          </cell>
          <cell r="H5714" t="str">
            <v>consulta_externa</v>
          </cell>
          <cell r="J5714" t="str">
            <v>bueno</v>
          </cell>
          <cell r="K5714" t="str">
            <v>defsi</v>
          </cell>
        </row>
        <row r="5715">
          <cell r="B5715" t="b">
            <v>0</v>
          </cell>
          <cell r="E5715" t="str">
            <v>Baru</v>
          </cell>
          <cell r="H5715" t="str">
            <v>laboratorio</v>
          </cell>
          <cell r="J5715" t="str">
            <v>regular</v>
          </cell>
          <cell r="K5715" t="str">
            <v>probsi</v>
          </cell>
        </row>
        <row r="5716">
          <cell r="B5716" t="b">
            <v>1</v>
          </cell>
          <cell r="E5716" t="str">
            <v>Pasacaballos</v>
          </cell>
          <cell r="H5716" t="str">
            <v>laboratorio</v>
          </cell>
          <cell r="J5716" t="str">
            <v>bueno</v>
          </cell>
          <cell r="K5716" t="str">
            <v>defsi</v>
          </cell>
        </row>
        <row r="5717">
          <cell r="B5717" t="b">
            <v>0</v>
          </cell>
          <cell r="E5717" t="str">
            <v>Baru</v>
          </cell>
          <cell r="H5717" t="str">
            <v>laboratorio</v>
          </cell>
          <cell r="J5717" t="str">
            <v>regular</v>
          </cell>
          <cell r="K5717" t="str">
            <v>probsi</v>
          </cell>
        </row>
        <row r="5718">
          <cell r="B5718" t="b">
            <v>0</v>
          </cell>
          <cell r="E5718" t="str">
            <v>Baru</v>
          </cell>
          <cell r="H5718" t="str">
            <v>laboratorio</v>
          </cell>
          <cell r="J5718" t="str">
            <v>regular</v>
          </cell>
          <cell r="K5718" t="str">
            <v>probsi</v>
          </cell>
        </row>
        <row r="5719">
          <cell r="B5719" t="b">
            <v>0</v>
          </cell>
          <cell r="E5719" t="str">
            <v>Baru</v>
          </cell>
          <cell r="H5719" t="str">
            <v>laboratorio</v>
          </cell>
          <cell r="J5719" t="str">
            <v>regular</v>
          </cell>
          <cell r="K5719" t="str">
            <v>probsi</v>
          </cell>
        </row>
        <row r="5720">
          <cell r="B5720" t="b">
            <v>0</v>
          </cell>
          <cell r="E5720" t="str">
            <v>Baru</v>
          </cell>
          <cell r="H5720" t="str">
            <v>laboratorio</v>
          </cell>
          <cell r="J5720" t="str">
            <v>regular</v>
          </cell>
          <cell r="K5720" t="str">
            <v>probsi</v>
          </cell>
        </row>
        <row r="5721">
          <cell r="B5721" t="b">
            <v>1</v>
          </cell>
          <cell r="E5721" t="str">
            <v>Baru</v>
          </cell>
          <cell r="H5721" t="str">
            <v>laboratorio</v>
          </cell>
          <cell r="J5721" t="str">
            <v>bueno</v>
          </cell>
          <cell r="K5721" t="str">
            <v>probsi</v>
          </cell>
        </row>
        <row r="5722">
          <cell r="B5722" t="b">
            <v>1</v>
          </cell>
          <cell r="E5722" t="str">
            <v>Baru</v>
          </cell>
          <cell r="H5722" t="str">
            <v>laboratorio</v>
          </cell>
          <cell r="J5722" t="str">
            <v>bueno</v>
          </cell>
          <cell r="K5722" t="str">
            <v>probsi</v>
          </cell>
        </row>
        <row r="5723">
          <cell r="B5723" t="b">
            <v>1</v>
          </cell>
          <cell r="E5723" t="str">
            <v>Baru</v>
          </cell>
          <cell r="H5723" t="str">
            <v>laboratorio</v>
          </cell>
          <cell r="J5723" t="str">
            <v>bueno</v>
          </cell>
          <cell r="K5723" t="str">
            <v>probsi</v>
          </cell>
        </row>
        <row r="5724">
          <cell r="B5724" t="b">
            <v>1</v>
          </cell>
          <cell r="E5724" t="str">
            <v>Pasacaballos</v>
          </cell>
          <cell r="H5724" t="str">
            <v>urgencia</v>
          </cell>
          <cell r="J5724" t="str">
            <v>bueno</v>
          </cell>
          <cell r="K5724" t="str">
            <v>defsi</v>
          </cell>
        </row>
        <row r="5725">
          <cell r="B5725" t="b">
            <v>0</v>
          </cell>
          <cell r="E5725" t="str">
            <v>Pasacaballos</v>
          </cell>
          <cell r="H5725" t="str">
            <v>urgencia</v>
          </cell>
          <cell r="J5725" t="str">
            <v>regular</v>
          </cell>
          <cell r="K5725" t="str">
            <v>defsi</v>
          </cell>
        </row>
        <row r="5726">
          <cell r="B5726" t="b">
            <v>1</v>
          </cell>
          <cell r="E5726" t="str">
            <v>Pasacaballos</v>
          </cell>
          <cell r="H5726" t="str">
            <v>urgencia</v>
          </cell>
          <cell r="J5726" t="str">
            <v>bueno</v>
          </cell>
          <cell r="K5726" t="str">
            <v>defsi</v>
          </cell>
        </row>
        <row r="5727">
          <cell r="B5727" t="b">
            <v>1</v>
          </cell>
          <cell r="E5727" t="str">
            <v>Pasacaballos</v>
          </cell>
          <cell r="H5727" t="str">
            <v>urgencia</v>
          </cell>
          <cell r="J5727" t="str">
            <v>bueno</v>
          </cell>
          <cell r="K5727" t="str">
            <v>defsi</v>
          </cell>
        </row>
        <row r="5728">
          <cell r="B5728" t="b">
            <v>1</v>
          </cell>
          <cell r="E5728" t="str">
            <v>Pasacaballos</v>
          </cell>
          <cell r="H5728" t="str">
            <v>laboratorio</v>
          </cell>
          <cell r="J5728" t="str">
            <v>bueno</v>
          </cell>
          <cell r="K5728" t="str">
            <v>defsi</v>
          </cell>
        </row>
        <row r="5729">
          <cell r="B5729" t="b">
            <v>1</v>
          </cell>
          <cell r="E5729" t="str">
            <v>Pasacaballos</v>
          </cell>
          <cell r="H5729" t="str">
            <v>consulta_externa</v>
          </cell>
          <cell r="J5729" t="str">
            <v>bueno</v>
          </cell>
          <cell r="K5729" t="str">
            <v>defsi</v>
          </cell>
        </row>
        <row r="5730">
          <cell r="B5730" t="b">
            <v>1</v>
          </cell>
          <cell r="E5730" t="str">
            <v>Pasacaballos</v>
          </cell>
          <cell r="H5730" t="str">
            <v>urgencia</v>
          </cell>
          <cell r="J5730" t="str">
            <v>bueno</v>
          </cell>
          <cell r="K5730" t="str">
            <v>defsi</v>
          </cell>
        </row>
        <row r="5731">
          <cell r="B5731" t="b">
            <v>1</v>
          </cell>
          <cell r="E5731" t="str">
            <v>Pasacaballos</v>
          </cell>
          <cell r="H5731" t="str">
            <v>urgencia</v>
          </cell>
          <cell r="J5731" t="str">
            <v>bueno</v>
          </cell>
          <cell r="K5731" t="str">
            <v>defsi</v>
          </cell>
        </row>
        <row r="5732">
          <cell r="B5732" t="b">
            <v>0</v>
          </cell>
          <cell r="E5732" t="str">
            <v>Pasacaballos</v>
          </cell>
          <cell r="H5732" t="str">
            <v>urgencia</v>
          </cell>
          <cell r="J5732" t="str">
            <v>regular</v>
          </cell>
          <cell r="K5732" t="str">
            <v>defsi</v>
          </cell>
        </row>
        <row r="5733">
          <cell r="B5733" t="b">
            <v>1</v>
          </cell>
          <cell r="E5733" t="str">
            <v>Bocachica</v>
          </cell>
          <cell r="H5733" t="str">
            <v>consulta_externa</v>
          </cell>
          <cell r="J5733" t="str">
            <v>bueno</v>
          </cell>
          <cell r="K5733" t="str">
            <v>defsi</v>
          </cell>
        </row>
        <row r="5734">
          <cell r="B5734" t="b">
            <v>1</v>
          </cell>
          <cell r="E5734" t="str">
            <v>Bocachica</v>
          </cell>
          <cell r="H5734" t="str">
            <v>salud_oral</v>
          </cell>
          <cell r="J5734" t="str">
            <v>bueno</v>
          </cell>
          <cell r="K5734" t="str">
            <v>defsi</v>
          </cell>
        </row>
        <row r="5735">
          <cell r="B5735" t="b">
            <v>1</v>
          </cell>
          <cell r="E5735" t="str">
            <v>Bocachica</v>
          </cell>
          <cell r="H5735" t="str">
            <v>laboratorio</v>
          </cell>
          <cell r="J5735" t="str">
            <v>bueno</v>
          </cell>
          <cell r="K5735" t="str">
            <v>defsi</v>
          </cell>
        </row>
        <row r="5736">
          <cell r="B5736" t="b">
            <v>1</v>
          </cell>
          <cell r="E5736" t="str">
            <v>Bocachica</v>
          </cell>
          <cell r="H5736" t="str">
            <v>urgencia</v>
          </cell>
          <cell r="J5736" t="str">
            <v>bueno</v>
          </cell>
          <cell r="K5736" t="str">
            <v>defsi</v>
          </cell>
        </row>
        <row r="5737">
          <cell r="B5737" t="b">
            <v>1</v>
          </cell>
          <cell r="E5737" t="str">
            <v>Bocachica</v>
          </cell>
          <cell r="H5737" t="str">
            <v>consulta_externa</v>
          </cell>
          <cell r="J5737" t="str">
            <v>bueno</v>
          </cell>
          <cell r="K5737" t="str">
            <v>defsi</v>
          </cell>
        </row>
        <row r="5738">
          <cell r="B5738" t="b">
            <v>1</v>
          </cell>
          <cell r="E5738" t="str">
            <v>Bocachica</v>
          </cell>
          <cell r="H5738" t="str">
            <v>salud_oral</v>
          </cell>
          <cell r="J5738" t="str">
            <v>bueno</v>
          </cell>
          <cell r="K5738" t="str">
            <v>defsi</v>
          </cell>
        </row>
        <row r="5739">
          <cell r="B5739" t="b">
            <v>1</v>
          </cell>
          <cell r="E5739" t="str">
            <v>Bocachica</v>
          </cell>
          <cell r="H5739" t="str">
            <v>laboratorio</v>
          </cell>
          <cell r="J5739" t="str">
            <v>bueno</v>
          </cell>
          <cell r="K5739" t="str">
            <v>defsi</v>
          </cell>
        </row>
        <row r="5740">
          <cell r="B5740" t="b">
            <v>1</v>
          </cell>
          <cell r="E5740" t="str">
            <v>Pasacaballos</v>
          </cell>
          <cell r="H5740" t="str">
            <v>urgencia</v>
          </cell>
          <cell r="J5740" t="str">
            <v>bueno</v>
          </cell>
          <cell r="K5740" t="str">
            <v>defsi</v>
          </cell>
        </row>
        <row r="5741">
          <cell r="B5741" t="b">
            <v>0</v>
          </cell>
          <cell r="E5741" t="str">
            <v>Pasacaballos</v>
          </cell>
          <cell r="H5741" t="str">
            <v>urgencia</v>
          </cell>
          <cell r="J5741" t="str">
            <v>regular</v>
          </cell>
          <cell r="K5741" t="str">
            <v>defsi</v>
          </cell>
        </row>
        <row r="5742">
          <cell r="B5742" t="b">
            <v>1</v>
          </cell>
          <cell r="E5742" t="str">
            <v>Pasacaballos</v>
          </cell>
          <cell r="H5742" t="str">
            <v>laboratorio</v>
          </cell>
          <cell r="J5742" t="str">
            <v>bueno</v>
          </cell>
          <cell r="K5742" t="str">
            <v>defsi</v>
          </cell>
        </row>
        <row r="5743">
          <cell r="B5743" t="b">
            <v>1</v>
          </cell>
          <cell r="E5743" t="str">
            <v>Pasacaballos</v>
          </cell>
          <cell r="H5743" t="str">
            <v>salud_oral</v>
          </cell>
          <cell r="J5743" t="str">
            <v>bueno</v>
          </cell>
          <cell r="K5743" t="str">
            <v>defsi</v>
          </cell>
        </row>
        <row r="5744">
          <cell r="B5744" t="b">
            <v>1</v>
          </cell>
          <cell r="E5744" t="str">
            <v>Pasacaballos</v>
          </cell>
          <cell r="H5744" t="str">
            <v>salud_oral</v>
          </cell>
          <cell r="J5744" t="str">
            <v>muybueno</v>
          </cell>
          <cell r="K5744" t="str">
            <v>defsi</v>
          </cell>
        </row>
        <row r="5745">
          <cell r="B5745" t="b">
            <v>1</v>
          </cell>
          <cell r="E5745" t="str">
            <v>Pasacaballos</v>
          </cell>
          <cell r="H5745" t="str">
            <v>consulta_externa</v>
          </cell>
          <cell r="J5745" t="str">
            <v>bueno</v>
          </cell>
          <cell r="K5745" t="str">
            <v>defsi</v>
          </cell>
        </row>
        <row r="5746">
          <cell r="B5746" t="b">
            <v>1</v>
          </cell>
          <cell r="E5746" t="str">
            <v>Pasacaballos</v>
          </cell>
          <cell r="H5746" t="str">
            <v>laboratorio</v>
          </cell>
          <cell r="J5746" t="str">
            <v>bueno</v>
          </cell>
          <cell r="K5746" t="str">
            <v>defsi</v>
          </cell>
        </row>
        <row r="5747">
          <cell r="B5747" t="b">
            <v>1</v>
          </cell>
          <cell r="E5747" t="str">
            <v>Isla del Rosario</v>
          </cell>
          <cell r="H5747" t="str">
            <v>consulta_externa</v>
          </cell>
          <cell r="J5747" t="str">
            <v>bueno</v>
          </cell>
          <cell r="K5747" t="str">
            <v>probsi</v>
          </cell>
        </row>
        <row r="5748">
          <cell r="B5748" t="b">
            <v>1</v>
          </cell>
          <cell r="E5748" t="str">
            <v>Isla del Rosario</v>
          </cell>
          <cell r="H5748" t="str">
            <v>consulta_externa</v>
          </cell>
          <cell r="J5748" t="str">
            <v>bueno</v>
          </cell>
          <cell r="K5748" t="str">
            <v>probsi</v>
          </cell>
        </row>
        <row r="5749">
          <cell r="B5749" t="b">
            <v>0</v>
          </cell>
          <cell r="E5749" t="str">
            <v>Isla del Rosario</v>
          </cell>
          <cell r="H5749" t="str">
            <v>consulta_externa</v>
          </cell>
          <cell r="J5749" t="str">
            <v>regular</v>
          </cell>
          <cell r="K5749" t="str">
            <v>probsi</v>
          </cell>
        </row>
        <row r="5750">
          <cell r="B5750" t="b">
            <v>1</v>
          </cell>
          <cell r="E5750" t="str">
            <v>Isla del Rosario</v>
          </cell>
          <cell r="H5750" t="str">
            <v>consulta_externa</v>
          </cell>
          <cell r="J5750" t="str">
            <v>bueno</v>
          </cell>
          <cell r="K5750" t="str">
            <v>probsi</v>
          </cell>
        </row>
        <row r="5751">
          <cell r="B5751" t="b">
            <v>1</v>
          </cell>
          <cell r="E5751" t="str">
            <v>Isla del Rosario</v>
          </cell>
          <cell r="H5751" t="str">
            <v>consulta_externa</v>
          </cell>
          <cell r="J5751" t="str">
            <v>bueno</v>
          </cell>
          <cell r="K5751" t="str">
            <v>probsi</v>
          </cell>
        </row>
        <row r="5752">
          <cell r="B5752" t="b">
            <v>1</v>
          </cell>
          <cell r="E5752" t="str">
            <v>Isla del Rosario</v>
          </cell>
          <cell r="H5752" t="str">
            <v>consulta_externa</v>
          </cell>
          <cell r="J5752" t="str">
            <v>bueno</v>
          </cell>
          <cell r="K5752" t="str">
            <v>probsi</v>
          </cell>
        </row>
        <row r="5753">
          <cell r="B5753" t="b">
            <v>1</v>
          </cell>
          <cell r="E5753" t="str">
            <v>Isla del Rosario</v>
          </cell>
          <cell r="H5753" t="str">
            <v>consulta_externa</v>
          </cell>
          <cell r="J5753" t="str">
            <v>bueno</v>
          </cell>
          <cell r="K5753" t="str">
            <v>probsi</v>
          </cell>
        </row>
        <row r="5754">
          <cell r="B5754" t="b">
            <v>1</v>
          </cell>
          <cell r="E5754" t="str">
            <v>Isla del Rosario</v>
          </cell>
          <cell r="H5754" t="str">
            <v>consulta_externa</v>
          </cell>
          <cell r="J5754" t="str">
            <v>bueno</v>
          </cell>
          <cell r="K5754" t="str">
            <v>probsi</v>
          </cell>
        </row>
        <row r="5755">
          <cell r="B5755" t="b">
            <v>1</v>
          </cell>
          <cell r="E5755" t="str">
            <v>Isla del Rosario</v>
          </cell>
          <cell r="H5755" t="str">
            <v>consulta_externa</v>
          </cell>
          <cell r="J5755" t="str">
            <v>bueno</v>
          </cell>
          <cell r="K5755" t="str">
            <v>probsi</v>
          </cell>
        </row>
        <row r="5756">
          <cell r="B5756" t="b">
            <v>1</v>
          </cell>
          <cell r="E5756" t="str">
            <v>Isla del Rosario</v>
          </cell>
          <cell r="H5756" t="str">
            <v>consulta_externa</v>
          </cell>
          <cell r="J5756" t="str">
            <v>bueno</v>
          </cell>
          <cell r="K5756" t="str">
            <v>probsi</v>
          </cell>
        </row>
        <row r="5757">
          <cell r="B5757" t="b">
            <v>1</v>
          </cell>
          <cell r="E5757" t="str">
            <v>Isla del Rosario</v>
          </cell>
          <cell r="H5757" t="str">
            <v>consulta_externa</v>
          </cell>
          <cell r="J5757" t="str">
            <v>bueno</v>
          </cell>
          <cell r="K5757" t="str">
            <v>probsi</v>
          </cell>
        </row>
        <row r="5758">
          <cell r="B5758" t="b">
            <v>1</v>
          </cell>
          <cell r="E5758" t="str">
            <v>Isla del Rosario</v>
          </cell>
          <cell r="H5758" t="str">
            <v>consulta_externa</v>
          </cell>
          <cell r="J5758" t="str">
            <v>bueno</v>
          </cell>
          <cell r="K5758" t="str">
            <v>probsi</v>
          </cell>
        </row>
        <row r="5759">
          <cell r="B5759" t="b">
            <v>1</v>
          </cell>
          <cell r="E5759" t="str">
            <v>Isla del Rosario</v>
          </cell>
          <cell r="H5759" t="str">
            <v>consulta_externa</v>
          </cell>
          <cell r="J5759" t="str">
            <v>bueno</v>
          </cell>
          <cell r="K5759" t="str">
            <v>probsi</v>
          </cell>
        </row>
        <row r="5760">
          <cell r="B5760" t="b">
            <v>1</v>
          </cell>
          <cell r="E5760" t="str">
            <v>Isla del Rosario</v>
          </cell>
          <cell r="H5760" t="str">
            <v>laboratorio</v>
          </cell>
          <cell r="J5760" t="str">
            <v>bueno</v>
          </cell>
          <cell r="K5760" t="str">
            <v>probsi</v>
          </cell>
        </row>
        <row r="5761">
          <cell r="B5761" t="b">
            <v>1</v>
          </cell>
          <cell r="E5761" t="str">
            <v>Isla del Rosario</v>
          </cell>
          <cell r="H5761" t="str">
            <v>laboratorio</v>
          </cell>
          <cell r="J5761" t="str">
            <v>bueno</v>
          </cell>
          <cell r="K5761" t="str">
            <v>probsi</v>
          </cell>
        </row>
        <row r="5762">
          <cell r="B5762" t="b">
            <v>1</v>
          </cell>
          <cell r="E5762" t="str">
            <v>Isla del Rosario</v>
          </cell>
          <cell r="H5762" t="str">
            <v>laboratorio</v>
          </cell>
          <cell r="J5762" t="str">
            <v>bueno</v>
          </cell>
          <cell r="K5762" t="str">
            <v>probsi</v>
          </cell>
        </row>
        <row r="5763">
          <cell r="B5763" t="b">
            <v>1</v>
          </cell>
          <cell r="E5763" t="str">
            <v>Isla del Rosario</v>
          </cell>
          <cell r="H5763" t="str">
            <v>laboratorio</v>
          </cell>
          <cell r="J5763" t="str">
            <v>bueno</v>
          </cell>
          <cell r="K5763" t="str">
            <v>probsi</v>
          </cell>
        </row>
        <row r="5764">
          <cell r="B5764" t="b">
            <v>1</v>
          </cell>
          <cell r="E5764" t="str">
            <v>Isla del Rosario</v>
          </cell>
          <cell r="H5764" t="str">
            <v>laboratorio</v>
          </cell>
          <cell r="J5764" t="str">
            <v>bueno</v>
          </cell>
          <cell r="K5764" t="str">
            <v>probsi</v>
          </cell>
        </row>
        <row r="5765">
          <cell r="B5765" t="b">
            <v>1</v>
          </cell>
          <cell r="E5765" t="str">
            <v>Isla del Rosario</v>
          </cell>
          <cell r="H5765" t="str">
            <v>laboratorio</v>
          </cell>
          <cell r="J5765" t="str">
            <v>bueno</v>
          </cell>
          <cell r="K5765" t="str">
            <v>probsi</v>
          </cell>
        </row>
        <row r="5766">
          <cell r="B5766" t="b">
            <v>1</v>
          </cell>
          <cell r="E5766" t="str">
            <v>Isla del Rosario</v>
          </cell>
          <cell r="H5766" t="str">
            <v>laboratorio</v>
          </cell>
          <cell r="J5766" t="str">
            <v>bueno</v>
          </cell>
          <cell r="K5766" t="str">
            <v>probsi</v>
          </cell>
        </row>
        <row r="5767">
          <cell r="B5767" t="b">
            <v>1</v>
          </cell>
          <cell r="E5767" t="str">
            <v>Isla del Rosario</v>
          </cell>
          <cell r="H5767" t="str">
            <v>laboratorio</v>
          </cell>
          <cell r="J5767" t="str">
            <v>bueno</v>
          </cell>
          <cell r="K5767" t="str">
            <v>probsi</v>
          </cell>
        </row>
        <row r="5768">
          <cell r="B5768" t="b">
            <v>1</v>
          </cell>
          <cell r="E5768" t="str">
            <v>Isla del Rosario</v>
          </cell>
          <cell r="H5768" t="str">
            <v>laboratorio</v>
          </cell>
          <cell r="J5768" t="str">
            <v>bueno</v>
          </cell>
          <cell r="K5768" t="str">
            <v>probsi</v>
          </cell>
        </row>
        <row r="5769">
          <cell r="B5769" t="b">
            <v>1</v>
          </cell>
          <cell r="E5769" t="str">
            <v>Isla del Rosario</v>
          </cell>
          <cell r="H5769" t="str">
            <v>salud_oral</v>
          </cell>
          <cell r="J5769" t="str">
            <v>bueno</v>
          </cell>
          <cell r="K5769" t="str">
            <v>probsi</v>
          </cell>
        </row>
        <row r="5770">
          <cell r="B5770" t="b">
            <v>1</v>
          </cell>
          <cell r="E5770" t="str">
            <v>Isla del Rosario</v>
          </cell>
          <cell r="H5770" t="str">
            <v>salud_oral</v>
          </cell>
          <cell r="J5770" t="str">
            <v>bueno</v>
          </cell>
          <cell r="K5770" t="str">
            <v>probsi</v>
          </cell>
        </row>
        <row r="5771">
          <cell r="B5771" t="b">
            <v>1</v>
          </cell>
          <cell r="E5771" t="str">
            <v>Isla del Rosario</v>
          </cell>
          <cell r="H5771" t="str">
            <v>salud_oral</v>
          </cell>
          <cell r="J5771" t="str">
            <v>bueno</v>
          </cell>
          <cell r="K5771" t="str">
            <v>probsi</v>
          </cell>
        </row>
        <row r="5772">
          <cell r="B5772" t="b">
            <v>1</v>
          </cell>
          <cell r="E5772" t="str">
            <v>Isla del Rosario</v>
          </cell>
          <cell r="H5772" t="str">
            <v>salud_oral</v>
          </cell>
          <cell r="J5772" t="str">
            <v>bueno</v>
          </cell>
          <cell r="K5772" t="str">
            <v>probsi</v>
          </cell>
        </row>
        <row r="5773">
          <cell r="B5773" t="b">
            <v>1</v>
          </cell>
          <cell r="E5773" t="str">
            <v>Bocachica</v>
          </cell>
          <cell r="H5773" t="str">
            <v>urgencia</v>
          </cell>
          <cell r="J5773" t="str">
            <v>bueno</v>
          </cell>
          <cell r="K5773" t="str">
            <v>defsi</v>
          </cell>
        </row>
        <row r="5774">
          <cell r="B5774" t="b">
            <v>1</v>
          </cell>
          <cell r="E5774" t="str">
            <v>Bocachica</v>
          </cell>
          <cell r="H5774" t="str">
            <v>consulta_externa</v>
          </cell>
          <cell r="J5774" t="str">
            <v>bueno</v>
          </cell>
          <cell r="K5774" t="str">
            <v>defsi</v>
          </cell>
        </row>
        <row r="5775">
          <cell r="B5775" t="b">
            <v>1</v>
          </cell>
          <cell r="E5775" t="str">
            <v>Bocachica</v>
          </cell>
          <cell r="H5775" t="str">
            <v>salud_oral</v>
          </cell>
          <cell r="J5775" t="str">
            <v>bueno</v>
          </cell>
          <cell r="K5775" t="str">
            <v>defsi</v>
          </cell>
        </row>
        <row r="5776">
          <cell r="B5776" t="b">
            <v>1</v>
          </cell>
          <cell r="E5776" t="str">
            <v>Bocachica</v>
          </cell>
          <cell r="H5776" t="str">
            <v>laboratorio</v>
          </cell>
          <cell r="J5776" t="str">
            <v>bueno</v>
          </cell>
          <cell r="K5776" t="str">
            <v>defsi</v>
          </cell>
        </row>
        <row r="5777">
          <cell r="B5777" t="b">
            <v>1</v>
          </cell>
          <cell r="E5777" t="str">
            <v>Bocachica</v>
          </cell>
          <cell r="H5777" t="str">
            <v>urgencia</v>
          </cell>
          <cell r="J5777" t="str">
            <v>bueno</v>
          </cell>
          <cell r="K5777" t="str">
            <v>defsi</v>
          </cell>
        </row>
        <row r="5778">
          <cell r="B5778" t="b">
            <v>1</v>
          </cell>
          <cell r="E5778" t="str">
            <v>Bocachica</v>
          </cell>
          <cell r="H5778" t="str">
            <v>consulta_externa</v>
          </cell>
          <cell r="J5778" t="str">
            <v>bueno</v>
          </cell>
          <cell r="K5778" t="str">
            <v>defsi</v>
          </cell>
        </row>
        <row r="5779">
          <cell r="B5779" t="b">
            <v>1</v>
          </cell>
          <cell r="E5779" t="str">
            <v>Bocachica</v>
          </cell>
          <cell r="H5779" t="str">
            <v>salud_oral</v>
          </cell>
          <cell r="J5779" t="str">
            <v>bueno</v>
          </cell>
          <cell r="K5779" t="str">
            <v>defsi</v>
          </cell>
        </row>
        <row r="5780">
          <cell r="B5780" t="b">
            <v>1</v>
          </cell>
          <cell r="E5780" t="str">
            <v>Bocachica</v>
          </cell>
          <cell r="H5780" t="str">
            <v>laboratorio</v>
          </cell>
          <cell r="J5780" t="str">
            <v>bueno</v>
          </cell>
          <cell r="K5780" t="str">
            <v>defsi</v>
          </cell>
        </row>
        <row r="5781">
          <cell r="B5781" t="b">
            <v>1</v>
          </cell>
          <cell r="E5781" t="str">
            <v>Bocachica</v>
          </cell>
          <cell r="H5781" t="str">
            <v>urgencia</v>
          </cell>
          <cell r="J5781" t="str">
            <v>bueno</v>
          </cell>
          <cell r="K5781" t="str">
            <v>defsi</v>
          </cell>
        </row>
        <row r="5782">
          <cell r="B5782" t="b">
            <v>1</v>
          </cell>
          <cell r="E5782" t="str">
            <v>Bocachica</v>
          </cell>
          <cell r="H5782" t="str">
            <v>consulta_externa</v>
          </cell>
          <cell r="J5782" t="str">
            <v>bueno</v>
          </cell>
          <cell r="K5782" t="str">
            <v>defsi</v>
          </cell>
        </row>
        <row r="5783">
          <cell r="B5783" t="b">
            <v>1</v>
          </cell>
          <cell r="E5783" t="str">
            <v>Bocachica</v>
          </cell>
          <cell r="H5783" t="str">
            <v>salud_oral</v>
          </cell>
          <cell r="J5783" t="str">
            <v>bueno</v>
          </cell>
          <cell r="K5783" t="str">
            <v>defsi</v>
          </cell>
        </row>
        <row r="5784">
          <cell r="B5784" t="b">
            <v>1</v>
          </cell>
          <cell r="E5784" t="str">
            <v>Bocachica</v>
          </cell>
          <cell r="H5784" t="str">
            <v>laboratorio</v>
          </cell>
          <cell r="J5784" t="str">
            <v>bueno</v>
          </cell>
          <cell r="K5784" t="str">
            <v>defsi</v>
          </cell>
        </row>
        <row r="5785">
          <cell r="B5785" t="b">
            <v>1</v>
          </cell>
          <cell r="E5785" t="str">
            <v>Bocachica</v>
          </cell>
          <cell r="H5785" t="str">
            <v>urgencia</v>
          </cell>
          <cell r="J5785" t="str">
            <v>bueno</v>
          </cell>
          <cell r="K5785" t="str">
            <v>defsi</v>
          </cell>
        </row>
        <row r="5786">
          <cell r="B5786" t="b">
            <v>1</v>
          </cell>
          <cell r="E5786" t="str">
            <v>Bocachica</v>
          </cell>
          <cell r="H5786" t="str">
            <v>consulta_externa</v>
          </cell>
          <cell r="J5786" t="str">
            <v>bueno</v>
          </cell>
          <cell r="K5786" t="str">
            <v>defsi</v>
          </cell>
        </row>
        <row r="5787">
          <cell r="B5787" t="b">
            <v>1</v>
          </cell>
          <cell r="E5787" t="str">
            <v>Bocachica</v>
          </cell>
          <cell r="H5787" t="str">
            <v>salud_oral</v>
          </cell>
          <cell r="J5787" t="str">
            <v>bueno</v>
          </cell>
          <cell r="K5787" t="str">
            <v>defsi</v>
          </cell>
        </row>
        <row r="5788">
          <cell r="B5788" t="b">
            <v>1</v>
          </cell>
          <cell r="E5788" t="str">
            <v>Bocachica</v>
          </cell>
          <cell r="H5788" t="str">
            <v>laboratorio</v>
          </cell>
          <cell r="J5788" t="str">
            <v>bueno</v>
          </cell>
          <cell r="K5788" t="str">
            <v>defsi</v>
          </cell>
        </row>
        <row r="5789">
          <cell r="B5789" t="b">
            <v>1</v>
          </cell>
          <cell r="E5789" t="str">
            <v>Bocachica</v>
          </cell>
          <cell r="H5789" t="str">
            <v>urgencia</v>
          </cell>
          <cell r="J5789" t="str">
            <v>bueno</v>
          </cell>
          <cell r="K5789" t="str">
            <v>defsi</v>
          </cell>
        </row>
        <row r="5790">
          <cell r="B5790" t="b">
            <v>1</v>
          </cell>
          <cell r="E5790" t="str">
            <v>Bocachica</v>
          </cell>
          <cell r="H5790" t="str">
            <v>consulta_externa</v>
          </cell>
          <cell r="J5790" t="str">
            <v>bueno</v>
          </cell>
          <cell r="K5790" t="str">
            <v>defsi</v>
          </cell>
        </row>
        <row r="5791">
          <cell r="B5791" t="b">
            <v>1</v>
          </cell>
          <cell r="E5791" t="str">
            <v>Bocachica</v>
          </cell>
          <cell r="H5791" t="str">
            <v>salud_oral</v>
          </cell>
          <cell r="J5791" t="str">
            <v>bueno</v>
          </cell>
          <cell r="K5791" t="str">
            <v>defsi</v>
          </cell>
        </row>
        <row r="5792">
          <cell r="B5792" t="b">
            <v>1</v>
          </cell>
          <cell r="E5792" t="str">
            <v>Bocachica</v>
          </cell>
          <cell r="H5792" t="str">
            <v>laboratorio</v>
          </cell>
          <cell r="J5792" t="str">
            <v>bueno</v>
          </cell>
          <cell r="K5792" t="str">
            <v>defsi</v>
          </cell>
        </row>
        <row r="5793">
          <cell r="B5793" t="b">
            <v>1</v>
          </cell>
          <cell r="E5793" t="str">
            <v>Bocachica</v>
          </cell>
          <cell r="H5793" t="str">
            <v>urgencia</v>
          </cell>
          <cell r="J5793" t="str">
            <v>bueno</v>
          </cell>
          <cell r="K5793" t="str">
            <v>defsi</v>
          </cell>
        </row>
        <row r="5794">
          <cell r="B5794" t="b">
            <v>1</v>
          </cell>
          <cell r="E5794" t="str">
            <v>Bocachica</v>
          </cell>
          <cell r="H5794" t="str">
            <v>consulta_externa</v>
          </cell>
          <cell r="J5794" t="str">
            <v>bueno</v>
          </cell>
          <cell r="K5794" t="str">
            <v>defsi</v>
          </cell>
        </row>
        <row r="5795">
          <cell r="B5795" t="b">
            <v>1</v>
          </cell>
          <cell r="E5795" t="str">
            <v>Bocachica</v>
          </cell>
          <cell r="H5795" t="str">
            <v>salud_oral</v>
          </cell>
          <cell r="J5795" t="str">
            <v>bueno</v>
          </cell>
          <cell r="K5795" t="str">
            <v>defsi</v>
          </cell>
        </row>
        <row r="5796">
          <cell r="B5796" t="b">
            <v>1</v>
          </cell>
          <cell r="E5796" t="str">
            <v>Bocachica</v>
          </cell>
          <cell r="H5796" t="str">
            <v>laboratorio</v>
          </cell>
          <cell r="J5796" t="str">
            <v>bueno</v>
          </cell>
          <cell r="K5796" t="str">
            <v>defsi</v>
          </cell>
        </row>
        <row r="5797">
          <cell r="B5797" t="b">
            <v>1</v>
          </cell>
          <cell r="E5797" t="str">
            <v>Bocachica</v>
          </cell>
          <cell r="H5797" t="str">
            <v>urgencia</v>
          </cell>
          <cell r="J5797" t="str">
            <v>bueno</v>
          </cell>
          <cell r="K5797" t="str">
            <v>defsi</v>
          </cell>
        </row>
        <row r="5798">
          <cell r="B5798" t="b">
            <v>1</v>
          </cell>
          <cell r="E5798" t="str">
            <v>Bocachica</v>
          </cell>
          <cell r="H5798" t="str">
            <v>consulta_externa</v>
          </cell>
          <cell r="J5798" t="str">
            <v>bueno</v>
          </cell>
          <cell r="K5798" t="str">
            <v>defsi</v>
          </cell>
        </row>
        <row r="5799">
          <cell r="B5799" t="b">
            <v>1</v>
          </cell>
          <cell r="E5799" t="str">
            <v>Bocachica</v>
          </cell>
          <cell r="H5799" t="str">
            <v>salud_oral</v>
          </cell>
          <cell r="J5799" t="str">
            <v>bueno</v>
          </cell>
          <cell r="K5799" t="str">
            <v>defsi</v>
          </cell>
        </row>
        <row r="5800">
          <cell r="B5800" t="b">
            <v>1</v>
          </cell>
          <cell r="E5800" t="str">
            <v>Bicentenario</v>
          </cell>
          <cell r="H5800" t="str">
            <v>consulta_externa</v>
          </cell>
          <cell r="J5800" t="str">
            <v>bueno</v>
          </cell>
          <cell r="K5800" t="str">
            <v>defsi</v>
          </cell>
        </row>
        <row r="5801">
          <cell r="B5801" t="b">
            <v>1</v>
          </cell>
          <cell r="E5801" t="str">
            <v>Bicentenario</v>
          </cell>
          <cell r="H5801" t="str">
            <v>salud_oral</v>
          </cell>
          <cell r="J5801" t="str">
            <v>bueno</v>
          </cell>
          <cell r="K5801" t="str">
            <v>defsi</v>
          </cell>
        </row>
        <row r="5802">
          <cell r="B5802" t="b">
            <v>1</v>
          </cell>
          <cell r="E5802" t="str">
            <v>Bicentenario</v>
          </cell>
          <cell r="H5802" t="str">
            <v>laboratorio</v>
          </cell>
          <cell r="J5802" t="str">
            <v>bueno</v>
          </cell>
          <cell r="K5802" t="str">
            <v>defsi</v>
          </cell>
        </row>
        <row r="5803">
          <cell r="B5803" t="b">
            <v>1</v>
          </cell>
          <cell r="E5803" t="str">
            <v>Bicentenario</v>
          </cell>
          <cell r="H5803" t="str">
            <v>urgencia</v>
          </cell>
          <cell r="J5803" t="str">
            <v>bueno</v>
          </cell>
          <cell r="K5803" t="str">
            <v>defsi</v>
          </cell>
        </row>
        <row r="5804">
          <cell r="B5804" t="b">
            <v>1</v>
          </cell>
          <cell r="E5804" t="str">
            <v>Bicentenario</v>
          </cell>
          <cell r="H5804" t="str">
            <v>rx</v>
          </cell>
          <cell r="J5804" t="str">
            <v>bueno</v>
          </cell>
          <cell r="K5804" t="str">
            <v>defsi</v>
          </cell>
        </row>
        <row r="5805">
          <cell r="B5805" t="b">
            <v>1</v>
          </cell>
          <cell r="E5805" t="str">
            <v>Bicentenario</v>
          </cell>
          <cell r="H5805" t="str">
            <v>consulta_externa</v>
          </cell>
          <cell r="J5805" t="str">
            <v>bueno</v>
          </cell>
          <cell r="K5805" t="str">
            <v>defsi</v>
          </cell>
        </row>
        <row r="5806">
          <cell r="B5806" t="b">
            <v>1</v>
          </cell>
          <cell r="E5806" t="str">
            <v>Bicentenario</v>
          </cell>
          <cell r="H5806" t="str">
            <v>salud_oral</v>
          </cell>
          <cell r="J5806" t="str">
            <v>bueno</v>
          </cell>
          <cell r="K5806" t="str">
            <v>defsi</v>
          </cell>
        </row>
        <row r="5807">
          <cell r="B5807" t="b">
            <v>1</v>
          </cell>
          <cell r="E5807" t="str">
            <v>Bicentenario</v>
          </cell>
          <cell r="H5807" t="str">
            <v>laboratorio</v>
          </cell>
          <cell r="J5807" t="str">
            <v>bueno</v>
          </cell>
          <cell r="K5807" t="str">
            <v>defsi</v>
          </cell>
        </row>
        <row r="5808">
          <cell r="B5808" t="b">
            <v>1</v>
          </cell>
          <cell r="E5808" t="str">
            <v>Bicentenario</v>
          </cell>
          <cell r="H5808" t="str">
            <v>urgencia</v>
          </cell>
          <cell r="J5808" t="str">
            <v>bueno</v>
          </cell>
          <cell r="K5808" t="str">
            <v>defsi</v>
          </cell>
        </row>
        <row r="5809">
          <cell r="B5809" t="b">
            <v>1</v>
          </cell>
          <cell r="E5809" t="str">
            <v>Bicentenario</v>
          </cell>
          <cell r="H5809" t="str">
            <v>rx</v>
          </cell>
          <cell r="J5809" t="str">
            <v>bueno</v>
          </cell>
          <cell r="K5809" t="str">
            <v>defsi</v>
          </cell>
        </row>
        <row r="5810">
          <cell r="B5810" t="b">
            <v>1</v>
          </cell>
          <cell r="E5810" t="str">
            <v>Bicentenario</v>
          </cell>
          <cell r="H5810" t="str">
            <v>consulta_externa</v>
          </cell>
          <cell r="J5810" t="str">
            <v>bueno</v>
          </cell>
          <cell r="K5810" t="str">
            <v>defsi</v>
          </cell>
        </row>
        <row r="5811">
          <cell r="B5811" t="b">
            <v>1</v>
          </cell>
          <cell r="E5811" t="str">
            <v>Bicentenario</v>
          </cell>
          <cell r="H5811" t="str">
            <v>salud_oral</v>
          </cell>
          <cell r="J5811" t="str">
            <v>bueno</v>
          </cell>
          <cell r="K5811" t="str">
            <v>defsi</v>
          </cell>
        </row>
        <row r="5812">
          <cell r="B5812" t="b">
            <v>1</v>
          </cell>
          <cell r="E5812" t="str">
            <v>Bicentenario</v>
          </cell>
          <cell r="H5812" t="str">
            <v>laboratorio</v>
          </cell>
          <cell r="J5812" t="str">
            <v>bueno</v>
          </cell>
          <cell r="K5812" t="str">
            <v>defsi</v>
          </cell>
        </row>
        <row r="5813">
          <cell r="B5813" t="b">
            <v>1</v>
          </cell>
          <cell r="E5813" t="str">
            <v>Bicentenario</v>
          </cell>
          <cell r="H5813" t="str">
            <v>urgencia</v>
          </cell>
          <cell r="J5813" t="str">
            <v>bueno</v>
          </cell>
          <cell r="K5813" t="str">
            <v>defsi</v>
          </cell>
        </row>
        <row r="5814">
          <cell r="B5814" t="b">
            <v>1</v>
          </cell>
          <cell r="E5814" t="str">
            <v>Bicentenario</v>
          </cell>
          <cell r="H5814" t="str">
            <v>rx</v>
          </cell>
          <cell r="J5814" t="str">
            <v>bueno</v>
          </cell>
          <cell r="K5814" t="str">
            <v>defsi</v>
          </cell>
        </row>
        <row r="5815">
          <cell r="B5815" t="b">
            <v>1</v>
          </cell>
          <cell r="E5815" t="str">
            <v>Bicentenario</v>
          </cell>
          <cell r="H5815" t="str">
            <v>consulta_externa</v>
          </cell>
          <cell r="J5815" t="str">
            <v>bueno</v>
          </cell>
          <cell r="K5815" t="str">
            <v>defsi</v>
          </cell>
        </row>
        <row r="5816">
          <cell r="B5816" t="b">
            <v>1</v>
          </cell>
          <cell r="E5816" t="str">
            <v>Bicentenario</v>
          </cell>
          <cell r="H5816" t="str">
            <v>salud_oral</v>
          </cell>
          <cell r="J5816" t="str">
            <v>bueno</v>
          </cell>
          <cell r="K5816" t="str">
            <v>defsi</v>
          </cell>
        </row>
        <row r="5817">
          <cell r="B5817" t="b">
            <v>1</v>
          </cell>
          <cell r="E5817" t="str">
            <v>Bicentenario</v>
          </cell>
          <cell r="H5817" t="str">
            <v>laboratorio</v>
          </cell>
          <cell r="J5817" t="str">
            <v>bueno</v>
          </cell>
          <cell r="K5817" t="str">
            <v>defsi</v>
          </cell>
        </row>
        <row r="5818">
          <cell r="B5818" t="b">
            <v>1</v>
          </cell>
          <cell r="E5818" t="str">
            <v>Bicentenario</v>
          </cell>
          <cell r="H5818" t="str">
            <v>urgencia</v>
          </cell>
          <cell r="J5818" t="str">
            <v>bueno</v>
          </cell>
          <cell r="K5818" t="str">
            <v>defsi</v>
          </cell>
        </row>
        <row r="5819">
          <cell r="B5819" t="b">
            <v>1</v>
          </cell>
          <cell r="E5819" t="str">
            <v>Bicentenario</v>
          </cell>
          <cell r="H5819" t="str">
            <v>rx</v>
          </cell>
          <cell r="J5819" t="str">
            <v>bueno</v>
          </cell>
          <cell r="K5819" t="str">
            <v>defsi</v>
          </cell>
        </row>
        <row r="5820">
          <cell r="B5820" t="b">
            <v>1</v>
          </cell>
          <cell r="E5820" t="str">
            <v>Bicentenario</v>
          </cell>
          <cell r="H5820" t="str">
            <v>consulta_externa</v>
          </cell>
          <cell r="J5820" t="str">
            <v>bueno</v>
          </cell>
          <cell r="K5820" t="str">
            <v>defsi</v>
          </cell>
        </row>
        <row r="5821">
          <cell r="B5821" t="b">
            <v>1</v>
          </cell>
          <cell r="E5821" t="str">
            <v>Bicentenario</v>
          </cell>
          <cell r="H5821" t="str">
            <v>salud_oral</v>
          </cell>
          <cell r="J5821" t="str">
            <v>bueno</v>
          </cell>
          <cell r="K5821" t="str">
            <v>defsi</v>
          </cell>
        </row>
        <row r="5822">
          <cell r="B5822" t="b">
            <v>1</v>
          </cell>
          <cell r="E5822" t="str">
            <v>Bicentenario</v>
          </cell>
          <cell r="H5822" t="str">
            <v>laboratorio</v>
          </cell>
          <cell r="J5822" t="str">
            <v>bueno</v>
          </cell>
          <cell r="K5822" t="str">
            <v>defsi</v>
          </cell>
        </row>
        <row r="5823">
          <cell r="B5823" t="b">
            <v>1</v>
          </cell>
          <cell r="E5823" t="str">
            <v>Bicentenario</v>
          </cell>
          <cell r="H5823" t="str">
            <v>urgencia</v>
          </cell>
          <cell r="J5823" t="str">
            <v>bueno</v>
          </cell>
          <cell r="K5823" t="str">
            <v>defsi</v>
          </cell>
        </row>
        <row r="5824">
          <cell r="B5824" t="b">
            <v>1</v>
          </cell>
          <cell r="E5824" t="str">
            <v>Bicentenario</v>
          </cell>
          <cell r="H5824" t="str">
            <v>rx</v>
          </cell>
          <cell r="J5824" t="str">
            <v>bueno</v>
          </cell>
          <cell r="K5824" t="str">
            <v>defsi</v>
          </cell>
        </row>
        <row r="5825">
          <cell r="B5825" t="b">
            <v>1</v>
          </cell>
          <cell r="E5825" t="str">
            <v>Bicentenario</v>
          </cell>
          <cell r="H5825" t="str">
            <v>consulta_externa</v>
          </cell>
          <cell r="J5825" t="str">
            <v>bueno</v>
          </cell>
          <cell r="K5825" t="str">
            <v>defsi</v>
          </cell>
        </row>
        <row r="5826">
          <cell r="B5826" t="b">
            <v>1</v>
          </cell>
          <cell r="E5826" t="str">
            <v>Bicentenario</v>
          </cell>
          <cell r="H5826" t="str">
            <v>salud_oral</v>
          </cell>
          <cell r="J5826" t="str">
            <v>bueno</v>
          </cell>
          <cell r="K5826" t="str">
            <v>defsi</v>
          </cell>
        </row>
        <row r="5827">
          <cell r="B5827" t="b">
            <v>1</v>
          </cell>
          <cell r="E5827" t="str">
            <v>Bicentenario</v>
          </cell>
          <cell r="H5827" t="str">
            <v>laboratorio</v>
          </cell>
          <cell r="J5827" t="str">
            <v>bueno</v>
          </cell>
          <cell r="K5827" t="str">
            <v>defsi</v>
          </cell>
        </row>
        <row r="5828">
          <cell r="B5828" t="b">
            <v>1</v>
          </cell>
          <cell r="E5828" t="str">
            <v>Bicentenario</v>
          </cell>
          <cell r="H5828" t="str">
            <v>urgencia</v>
          </cell>
          <cell r="J5828" t="str">
            <v>bueno</v>
          </cell>
          <cell r="K5828" t="str">
            <v>defsi</v>
          </cell>
        </row>
        <row r="5829">
          <cell r="B5829" t="b">
            <v>1</v>
          </cell>
          <cell r="E5829" t="str">
            <v>Bicentenario</v>
          </cell>
          <cell r="H5829" t="str">
            <v>rx</v>
          </cell>
          <cell r="J5829" t="str">
            <v>bueno</v>
          </cell>
          <cell r="K5829" t="str">
            <v>defsi</v>
          </cell>
        </row>
        <row r="5830">
          <cell r="B5830" t="b">
            <v>1</v>
          </cell>
          <cell r="E5830" t="str">
            <v>Boston</v>
          </cell>
          <cell r="H5830" t="str">
            <v>consulta_externa</v>
          </cell>
          <cell r="J5830" t="str">
            <v>bueno</v>
          </cell>
          <cell r="K5830" t="str">
            <v>probsi</v>
          </cell>
        </row>
        <row r="5831">
          <cell r="B5831" t="b">
            <v>1</v>
          </cell>
          <cell r="E5831" t="str">
            <v>Boston</v>
          </cell>
          <cell r="H5831" t="str">
            <v>consulta_externa</v>
          </cell>
          <cell r="J5831" t="str">
            <v>bueno</v>
          </cell>
          <cell r="K5831" t="str">
            <v>probsi</v>
          </cell>
        </row>
        <row r="5832">
          <cell r="B5832" t="b">
            <v>1</v>
          </cell>
          <cell r="E5832" t="str">
            <v>Boston</v>
          </cell>
          <cell r="H5832" t="str">
            <v>consulta_externa</v>
          </cell>
          <cell r="J5832" t="str">
            <v>bueno</v>
          </cell>
          <cell r="K5832" t="str">
            <v>probsi</v>
          </cell>
        </row>
        <row r="5833">
          <cell r="B5833" t="b">
            <v>1</v>
          </cell>
          <cell r="E5833" t="str">
            <v>Los Cerros</v>
          </cell>
          <cell r="H5833" t="str">
            <v>medicina_interna</v>
          </cell>
          <cell r="J5833" t="str">
            <v>bueno</v>
          </cell>
          <cell r="K5833" t="str">
            <v>probsi</v>
          </cell>
        </row>
        <row r="5834">
          <cell r="B5834" t="b">
            <v>1</v>
          </cell>
          <cell r="E5834" t="str">
            <v>Boston</v>
          </cell>
          <cell r="H5834" t="str">
            <v>consulta_externa</v>
          </cell>
          <cell r="J5834" t="str">
            <v>muybueno</v>
          </cell>
          <cell r="K5834" t="str">
            <v>probsi</v>
          </cell>
        </row>
        <row r="5835">
          <cell r="B5835" t="b">
            <v>1</v>
          </cell>
          <cell r="E5835" t="str">
            <v>Boston</v>
          </cell>
          <cell r="H5835" t="str">
            <v>consulta_externa</v>
          </cell>
          <cell r="J5835" t="str">
            <v>muybueno</v>
          </cell>
          <cell r="K5835" t="str">
            <v>probsi</v>
          </cell>
        </row>
        <row r="5836">
          <cell r="B5836" t="b">
            <v>1</v>
          </cell>
          <cell r="E5836" t="str">
            <v>Los Cerros</v>
          </cell>
          <cell r="H5836" t="str">
            <v>ginecologia</v>
          </cell>
          <cell r="J5836" t="str">
            <v>bueno</v>
          </cell>
          <cell r="K5836" t="str">
            <v>defsi</v>
          </cell>
        </row>
        <row r="5837">
          <cell r="B5837" t="b">
            <v>1</v>
          </cell>
          <cell r="E5837" t="str">
            <v>Los Cerros</v>
          </cell>
          <cell r="H5837" t="str">
            <v>ecografias</v>
          </cell>
          <cell r="J5837" t="str">
            <v>bueno</v>
          </cell>
          <cell r="K5837" t="str">
            <v>defsi</v>
          </cell>
        </row>
        <row r="5838">
          <cell r="B5838" t="b">
            <v>1</v>
          </cell>
          <cell r="E5838" t="str">
            <v>Boston</v>
          </cell>
          <cell r="H5838" t="str">
            <v>consulta_externa</v>
          </cell>
          <cell r="J5838" t="str">
            <v>muybueno</v>
          </cell>
          <cell r="K5838" t="str">
            <v>probsi</v>
          </cell>
        </row>
        <row r="5839">
          <cell r="B5839" t="b">
            <v>1</v>
          </cell>
          <cell r="E5839" t="str">
            <v>Los Cerros</v>
          </cell>
          <cell r="H5839" t="str">
            <v>ginecologia</v>
          </cell>
          <cell r="J5839" t="str">
            <v>bueno</v>
          </cell>
          <cell r="K5839" t="str">
            <v>probsi</v>
          </cell>
        </row>
        <row r="5840">
          <cell r="B5840" t="b">
            <v>1</v>
          </cell>
          <cell r="E5840" t="str">
            <v>Los Cerros</v>
          </cell>
          <cell r="H5840" t="str">
            <v>laboratorio</v>
          </cell>
          <cell r="J5840" t="str">
            <v>bueno</v>
          </cell>
          <cell r="K5840" t="str">
            <v>probsi</v>
          </cell>
        </row>
        <row r="5841">
          <cell r="B5841" t="b">
            <v>1</v>
          </cell>
          <cell r="E5841" t="str">
            <v>Los Cerros</v>
          </cell>
          <cell r="H5841" t="str">
            <v>laboratorio</v>
          </cell>
          <cell r="J5841" t="str">
            <v>bueno</v>
          </cell>
          <cell r="K5841" t="str">
            <v>probsi</v>
          </cell>
        </row>
        <row r="5842">
          <cell r="B5842" t="b">
            <v>1</v>
          </cell>
          <cell r="E5842" t="str">
            <v>Los Cerros</v>
          </cell>
          <cell r="H5842" t="str">
            <v>salud_oral</v>
          </cell>
          <cell r="J5842" t="str">
            <v>bueno</v>
          </cell>
          <cell r="K5842" t="str">
            <v>probsi</v>
          </cell>
        </row>
        <row r="5843">
          <cell r="B5843" t="b">
            <v>1</v>
          </cell>
          <cell r="E5843" t="str">
            <v>Bicentenario</v>
          </cell>
          <cell r="H5843" t="str">
            <v>consulta_externa</v>
          </cell>
          <cell r="J5843" t="str">
            <v>bueno</v>
          </cell>
          <cell r="K5843" t="str">
            <v>defsi</v>
          </cell>
        </row>
        <row r="5844">
          <cell r="B5844" t="b">
            <v>1</v>
          </cell>
          <cell r="E5844" t="str">
            <v>Bicentenario</v>
          </cell>
          <cell r="H5844" t="str">
            <v>salud_oral</v>
          </cell>
          <cell r="J5844" t="str">
            <v>bueno</v>
          </cell>
          <cell r="K5844" t="str">
            <v>defsi</v>
          </cell>
        </row>
        <row r="5845">
          <cell r="B5845" t="b">
            <v>1</v>
          </cell>
          <cell r="E5845" t="str">
            <v>Bicentenario</v>
          </cell>
          <cell r="H5845" t="str">
            <v>laboratorio</v>
          </cell>
          <cell r="J5845" t="str">
            <v>bueno</v>
          </cell>
          <cell r="K5845" t="str">
            <v>defsi</v>
          </cell>
        </row>
        <row r="5846">
          <cell r="B5846" t="b">
            <v>1</v>
          </cell>
          <cell r="E5846" t="str">
            <v>Bicentenario</v>
          </cell>
          <cell r="H5846" t="str">
            <v>urgencia</v>
          </cell>
          <cell r="J5846" t="str">
            <v>bueno</v>
          </cell>
          <cell r="K5846" t="str">
            <v>defsi</v>
          </cell>
        </row>
        <row r="5847">
          <cell r="B5847" t="b">
            <v>1</v>
          </cell>
          <cell r="E5847" t="str">
            <v>Bicentenario</v>
          </cell>
          <cell r="H5847" t="str">
            <v>rx</v>
          </cell>
          <cell r="J5847" t="str">
            <v>bueno</v>
          </cell>
          <cell r="K5847" t="str">
            <v>defsi</v>
          </cell>
        </row>
        <row r="5848">
          <cell r="B5848" t="b">
            <v>1</v>
          </cell>
          <cell r="E5848" t="str">
            <v>Bicentenario</v>
          </cell>
          <cell r="H5848" t="str">
            <v>consulta_externa</v>
          </cell>
          <cell r="J5848" t="str">
            <v>bueno</v>
          </cell>
          <cell r="K5848" t="str">
            <v>defsi</v>
          </cell>
        </row>
        <row r="5849">
          <cell r="B5849" t="b">
            <v>1</v>
          </cell>
          <cell r="E5849" t="str">
            <v>Bicentenario</v>
          </cell>
          <cell r="H5849" t="str">
            <v>salud_oral</v>
          </cell>
          <cell r="J5849" t="str">
            <v>bueno</v>
          </cell>
          <cell r="K5849" t="str">
            <v>defsi</v>
          </cell>
        </row>
        <row r="5850">
          <cell r="B5850" t="b">
            <v>1</v>
          </cell>
          <cell r="E5850" t="str">
            <v>Bicentenario</v>
          </cell>
          <cell r="H5850" t="str">
            <v>laboratorio</v>
          </cell>
          <cell r="J5850" t="str">
            <v>bueno</v>
          </cell>
          <cell r="K5850" t="str">
            <v>defsi</v>
          </cell>
        </row>
        <row r="5851">
          <cell r="B5851" t="b">
            <v>1</v>
          </cell>
          <cell r="E5851" t="str">
            <v>Bicentenario</v>
          </cell>
          <cell r="H5851" t="str">
            <v>urgencia</v>
          </cell>
          <cell r="J5851" t="str">
            <v>bueno</v>
          </cell>
          <cell r="K5851" t="str">
            <v>defsi</v>
          </cell>
        </row>
        <row r="5852">
          <cell r="B5852" t="b">
            <v>1</v>
          </cell>
          <cell r="E5852" t="str">
            <v>Bicentenario</v>
          </cell>
          <cell r="H5852" t="str">
            <v>rx</v>
          </cell>
          <cell r="J5852" t="str">
            <v>bueno</v>
          </cell>
          <cell r="K5852" t="str">
            <v>defsi</v>
          </cell>
        </row>
        <row r="5853">
          <cell r="B5853" t="b">
            <v>1</v>
          </cell>
          <cell r="E5853" t="str">
            <v>Bicentenario</v>
          </cell>
          <cell r="H5853" t="str">
            <v>consulta_externa</v>
          </cell>
          <cell r="J5853" t="str">
            <v>bueno</v>
          </cell>
          <cell r="K5853" t="str">
            <v>defsi</v>
          </cell>
        </row>
        <row r="5854">
          <cell r="B5854" t="b">
            <v>1</v>
          </cell>
          <cell r="E5854" t="str">
            <v>Bicentenario</v>
          </cell>
          <cell r="H5854" t="str">
            <v>salud_oral</v>
          </cell>
          <cell r="J5854" t="str">
            <v>bueno</v>
          </cell>
          <cell r="K5854" t="str">
            <v>defsi</v>
          </cell>
        </row>
        <row r="5855">
          <cell r="B5855" t="b">
            <v>1</v>
          </cell>
          <cell r="E5855" t="str">
            <v>Bicentenario</v>
          </cell>
          <cell r="H5855" t="str">
            <v>laboratorio</v>
          </cell>
          <cell r="J5855" t="str">
            <v>bueno</v>
          </cell>
          <cell r="K5855" t="str">
            <v>defsi</v>
          </cell>
        </row>
        <row r="5856">
          <cell r="B5856" t="b">
            <v>1</v>
          </cell>
          <cell r="E5856" t="str">
            <v>Bicentenario</v>
          </cell>
          <cell r="H5856" t="str">
            <v>urgencia</v>
          </cell>
          <cell r="J5856" t="str">
            <v>bueno</v>
          </cell>
          <cell r="K5856" t="str">
            <v>defsi</v>
          </cell>
        </row>
        <row r="5857">
          <cell r="B5857" t="b">
            <v>1</v>
          </cell>
          <cell r="E5857" t="str">
            <v>Bicentenario</v>
          </cell>
          <cell r="H5857" t="str">
            <v>rx</v>
          </cell>
          <cell r="J5857" t="str">
            <v>bueno</v>
          </cell>
          <cell r="K5857" t="str">
            <v>defsi</v>
          </cell>
        </row>
        <row r="5858">
          <cell r="B5858" t="b">
            <v>1</v>
          </cell>
          <cell r="E5858" t="str">
            <v>Arroz Barato</v>
          </cell>
          <cell r="H5858" t="str">
            <v>laboratorio</v>
          </cell>
          <cell r="J5858" t="str">
            <v>bueno</v>
          </cell>
          <cell r="K5858" t="str">
            <v>defsi</v>
          </cell>
        </row>
        <row r="5859">
          <cell r="B5859" t="b">
            <v>1</v>
          </cell>
          <cell r="E5859" t="str">
            <v>Bicentenario</v>
          </cell>
          <cell r="H5859" t="str">
            <v>consulta_externa</v>
          </cell>
          <cell r="J5859" t="str">
            <v>bueno</v>
          </cell>
          <cell r="K5859" t="str">
            <v>defsi</v>
          </cell>
        </row>
        <row r="5860">
          <cell r="B5860" t="b">
            <v>1</v>
          </cell>
          <cell r="E5860" t="str">
            <v>Bicentenario</v>
          </cell>
          <cell r="H5860" t="str">
            <v>salud_oral</v>
          </cell>
          <cell r="J5860" t="str">
            <v>bueno</v>
          </cell>
          <cell r="K5860" t="str">
            <v>defsi</v>
          </cell>
        </row>
        <row r="5861">
          <cell r="B5861" t="b">
            <v>1</v>
          </cell>
          <cell r="E5861" t="str">
            <v>Bicentenario</v>
          </cell>
          <cell r="H5861" t="str">
            <v>laboratorio</v>
          </cell>
          <cell r="J5861" t="str">
            <v>bueno</v>
          </cell>
          <cell r="K5861" t="str">
            <v>defsi</v>
          </cell>
        </row>
        <row r="5862">
          <cell r="B5862" t="b">
            <v>1</v>
          </cell>
          <cell r="E5862" t="str">
            <v>Bicentenario</v>
          </cell>
          <cell r="H5862" t="str">
            <v>urgencia</v>
          </cell>
          <cell r="J5862" t="str">
            <v>bueno</v>
          </cell>
          <cell r="K5862" t="str">
            <v>defsi</v>
          </cell>
        </row>
        <row r="5863">
          <cell r="B5863" t="b">
            <v>1</v>
          </cell>
          <cell r="E5863" t="str">
            <v>Bicentenario</v>
          </cell>
          <cell r="H5863" t="str">
            <v>rx</v>
          </cell>
          <cell r="J5863" t="str">
            <v>bueno</v>
          </cell>
          <cell r="K5863" t="str">
            <v>defsi</v>
          </cell>
        </row>
        <row r="5864">
          <cell r="B5864" t="b">
            <v>1</v>
          </cell>
          <cell r="E5864" t="str">
            <v>Bicentenario</v>
          </cell>
          <cell r="H5864" t="str">
            <v>consulta_externa</v>
          </cell>
          <cell r="J5864" t="str">
            <v>bueno</v>
          </cell>
          <cell r="K5864" t="str">
            <v>defsi</v>
          </cell>
        </row>
        <row r="5865">
          <cell r="B5865" t="b">
            <v>1</v>
          </cell>
          <cell r="E5865" t="str">
            <v>Bicentenario</v>
          </cell>
          <cell r="H5865" t="str">
            <v>salud_oral</v>
          </cell>
          <cell r="J5865" t="str">
            <v>bueno</v>
          </cell>
          <cell r="K5865" t="str">
            <v>defsi</v>
          </cell>
        </row>
        <row r="5866">
          <cell r="B5866" t="b">
            <v>1</v>
          </cell>
          <cell r="E5866" t="str">
            <v>Arroz Barato</v>
          </cell>
          <cell r="H5866" t="str">
            <v>consulta_externa</v>
          </cell>
          <cell r="J5866" t="str">
            <v>bueno</v>
          </cell>
          <cell r="K5866" t="str">
            <v>defsi</v>
          </cell>
        </row>
        <row r="5867">
          <cell r="B5867" t="b">
            <v>1</v>
          </cell>
          <cell r="E5867" t="str">
            <v>Bicentenario</v>
          </cell>
          <cell r="H5867" t="str">
            <v>laboratorio</v>
          </cell>
          <cell r="J5867" t="str">
            <v>bueno</v>
          </cell>
          <cell r="K5867" t="str">
            <v>defsi</v>
          </cell>
        </row>
        <row r="5868">
          <cell r="B5868" t="b">
            <v>1</v>
          </cell>
          <cell r="E5868" t="str">
            <v>Bicentenario</v>
          </cell>
          <cell r="H5868" t="str">
            <v>urgencia</v>
          </cell>
          <cell r="J5868" t="str">
            <v>bueno</v>
          </cell>
          <cell r="K5868" t="str">
            <v>defsi</v>
          </cell>
        </row>
        <row r="5869">
          <cell r="B5869" t="b">
            <v>1</v>
          </cell>
          <cell r="E5869" t="str">
            <v>Arroz Barato</v>
          </cell>
          <cell r="H5869" t="str">
            <v>consulta_externa</v>
          </cell>
          <cell r="J5869" t="str">
            <v>bueno</v>
          </cell>
          <cell r="K5869" t="str">
            <v>defsi</v>
          </cell>
        </row>
        <row r="5870">
          <cell r="B5870" t="b">
            <v>1</v>
          </cell>
          <cell r="E5870" t="str">
            <v>Bicentenario</v>
          </cell>
          <cell r="H5870" t="str">
            <v>rx</v>
          </cell>
          <cell r="J5870" t="str">
            <v>bueno</v>
          </cell>
          <cell r="K5870" t="str">
            <v>defsi</v>
          </cell>
        </row>
        <row r="5871">
          <cell r="B5871" t="b">
            <v>1</v>
          </cell>
          <cell r="E5871" t="str">
            <v>Arroz Barato</v>
          </cell>
          <cell r="H5871" t="str">
            <v>salud_oral</v>
          </cell>
          <cell r="J5871" t="str">
            <v>bueno</v>
          </cell>
          <cell r="K5871" t="str">
            <v>defsi</v>
          </cell>
        </row>
        <row r="5872">
          <cell r="B5872" t="b">
            <v>1</v>
          </cell>
          <cell r="E5872" t="str">
            <v>Arroz Barato</v>
          </cell>
          <cell r="H5872" t="str">
            <v>consulta_externa</v>
          </cell>
          <cell r="J5872" t="str">
            <v>bueno</v>
          </cell>
          <cell r="K5872" t="str">
            <v>defsi</v>
          </cell>
        </row>
        <row r="5873">
          <cell r="B5873" t="b">
            <v>1</v>
          </cell>
          <cell r="E5873" t="str">
            <v>Arroz Barato</v>
          </cell>
          <cell r="H5873" t="str">
            <v>laboratorio</v>
          </cell>
          <cell r="J5873" t="str">
            <v>bueno</v>
          </cell>
          <cell r="K5873" t="str">
            <v>defsi</v>
          </cell>
        </row>
        <row r="5874">
          <cell r="B5874" t="b">
            <v>1</v>
          </cell>
          <cell r="E5874" t="str">
            <v>Bicentenario</v>
          </cell>
          <cell r="H5874" t="str">
            <v>consulta_externa</v>
          </cell>
          <cell r="J5874" t="str">
            <v>bueno</v>
          </cell>
          <cell r="K5874" t="str">
            <v>defsi</v>
          </cell>
        </row>
        <row r="5875">
          <cell r="B5875" t="b">
            <v>1</v>
          </cell>
          <cell r="E5875" t="str">
            <v>Arroz Barato</v>
          </cell>
          <cell r="H5875" t="str">
            <v>salud_oral</v>
          </cell>
          <cell r="J5875" t="str">
            <v>bueno</v>
          </cell>
          <cell r="K5875" t="str">
            <v>defsi</v>
          </cell>
        </row>
        <row r="5876">
          <cell r="B5876" t="b">
            <v>1</v>
          </cell>
          <cell r="E5876" t="str">
            <v>Bicentenario</v>
          </cell>
          <cell r="H5876" t="str">
            <v>salud_oral</v>
          </cell>
          <cell r="J5876" t="str">
            <v>bueno</v>
          </cell>
          <cell r="K5876" t="str">
            <v>defsi</v>
          </cell>
        </row>
        <row r="5877">
          <cell r="B5877" t="b">
            <v>1</v>
          </cell>
          <cell r="E5877" t="str">
            <v>Arroz Barato</v>
          </cell>
          <cell r="H5877" t="str">
            <v>salud_oral</v>
          </cell>
          <cell r="J5877" t="str">
            <v>bueno</v>
          </cell>
          <cell r="K5877" t="str">
            <v>defsi</v>
          </cell>
        </row>
        <row r="5878">
          <cell r="B5878" t="b">
            <v>1</v>
          </cell>
          <cell r="E5878" t="str">
            <v>Bicentenario</v>
          </cell>
          <cell r="H5878" t="str">
            <v>laboratorio</v>
          </cell>
          <cell r="J5878" t="str">
            <v>bueno</v>
          </cell>
          <cell r="K5878" t="str">
            <v>defsi</v>
          </cell>
        </row>
        <row r="5879">
          <cell r="B5879" t="b">
            <v>1</v>
          </cell>
          <cell r="E5879" t="str">
            <v>Bicentenario</v>
          </cell>
          <cell r="H5879" t="str">
            <v>rx</v>
          </cell>
          <cell r="J5879" t="str">
            <v>bueno</v>
          </cell>
          <cell r="K5879" t="str">
            <v>defsi</v>
          </cell>
        </row>
        <row r="5880">
          <cell r="B5880" t="b">
            <v>0</v>
          </cell>
          <cell r="E5880" t="str">
            <v>Arroz Barato</v>
          </cell>
          <cell r="H5880" t="str">
            <v>consulta_externa</v>
          </cell>
          <cell r="J5880" t="str">
            <v>regular</v>
          </cell>
          <cell r="K5880" t="str">
            <v>defsi</v>
          </cell>
        </row>
        <row r="5881">
          <cell r="B5881" t="b">
            <v>0</v>
          </cell>
          <cell r="E5881" t="str">
            <v>Arroz Barato</v>
          </cell>
          <cell r="H5881" t="str">
            <v>consulta_externa</v>
          </cell>
          <cell r="J5881" t="str">
            <v>regular</v>
          </cell>
          <cell r="K5881" t="str">
            <v>probsi</v>
          </cell>
        </row>
        <row r="5882">
          <cell r="B5882" t="b">
            <v>1</v>
          </cell>
          <cell r="E5882" t="str">
            <v>Arroz Barato</v>
          </cell>
          <cell r="H5882" t="str">
            <v>salud_oral</v>
          </cell>
          <cell r="J5882" t="str">
            <v>bueno</v>
          </cell>
          <cell r="K5882" t="str">
            <v>probsi</v>
          </cell>
        </row>
        <row r="5883">
          <cell r="B5883" t="b">
            <v>1</v>
          </cell>
          <cell r="E5883" t="str">
            <v>Arroz Barato</v>
          </cell>
          <cell r="H5883" t="str">
            <v>salud_oral</v>
          </cell>
          <cell r="J5883" t="str">
            <v>bueno</v>
          </cell>
          <cell r="K5883" t="str">
            <v>defsi</v>
          </cell>
        </row>
        <row r="5884">
          <cell r="B5884" t="b">
            <v>1</v>
          </cell>
          <cell r="E5884" t="str">
            <v>Arroz Barato</v>
          </cell>
          <cell r="H5884" t="str">
            <v>consulta_externa</v>
          </cell>
          <cell r="J5884" t="str">
            <v>bueno</v>
          </cell>
          <cell r="K5884" t="str">
            <v>defsi</v>
          </cell>
        </row>
        <row r="5885">
          <cell r="B5885" t="b">
            <v>1</v>
          </cell>
          <cell r="E5885" t="str">
            <v>Arroz Barato</v>
          </cell>
          <cell r="H5885" t="str">
            <v>consulta_externa</v>
          </cell>
          <cell r="J5885" t="str">
            <v>bueno</v>
          </cell>
          <cell r="K5885" t="str">
            <v>defsi</v>
          </cell>
        </row>
        <row r="5886">
          <cell r="B5886" t="b">
            <v>1</v>
          </cell>
          <cell r="E5886" t="str">
            <v>Arroz Barato</v>
          </cell>
          <cell r="H5886" t="str">
            <v>rx</v>
          </cell>
          <cell r="J5886" t="str">
            <v>bueno</v>
          </cell>
          <cell r="K5886" t="str">
            <v>defsi</v>
          </cell>
        </row>
        <row r="5887">
          <cell r="B5887" t="b">
            <v>1</v>
          </cell>
          <cell r="E5887" t="str">
            <v>Arroz Barato</v>
          </cell>
          <cell r="H5887" t="str">
            <v>rx</v>
          </cell>
          <cell r="J5887" t="str">
            <v>bueno</v>
          </cell>
          <cell r="K5887" t="str">
            <v>defsi</v>
          </cell>
        </row>
        <row r="5888">
          <cell r="B5888" t="b">
            <v>1</v>
          </cell>
          <cell r="E5888" t="str">
            <v>Arroz Barato</v>
          </cell>
          <cell r="H5888" t="str">
            <v>rx</v>
          </cell>
          <cell r="J5888" t="str">
            <v>bueno</v>
          </cell>
          <cell r="K5888" t="str">
            <v>defsi</v>
          </cell>
        </row>
        <row r="5889">
          <cell r="B5889" t="b">
            <v>1</v>
          </cell>
          <cell r="E5889" t="str">
            <v>Boston</v>
          </cell>
          <cell r="H5889" t="str">
            <v>consulta_externa</v>
          </cell>
          <cell r="J5889" t="str">
            <v>bueno</v>
          </cell>
          <cell r="K5889" t="str">
            <v>probsi</v>
          </cell>
        </row>
        <row r="5890">
          <cell r="B5890" t="b">
            <v>1</v>
          </cell>
          <cell r="E5890" t="str">
            <v>Boston</v>
          </cell>
          <cell r="H5890" t="str">
            <v>consulta_externa</v>
          </cell>
          <cell r="J5890" t="str">
            <v>bueno</v>
          </cell>
          <cell r="K5890" t="str">
            <v>probsi</v>
          </cell>
        </row>
        <row r="5891">
          <cell r="B5891" t="b">
            <v>1</v>
          </cell>
          <cell r="E5891" t="str">
            <v>Arroz Barato</v>
          </cell>
          <cell r="H5891" t="str">
            <v>laboratorio</v>
          </cell>
          <cell r="J5891" t="str">
            <v>bueno</v>
          </cell>
          <cell r="K5891" t="str">
            <v>defsi</v>
          </cell>
        </row>
        <row r="5892">
          <cell r="B5892" t="b">
            <v>1</v>
          </cell>
          <cell r="E5892" t="str">
            <v>Arroz Barato</v>
          </cell>
          <cell r="H5892" t="str">
            <v>laboratorio</v>
          </cell>
          <cell r="J5892" t="str">
            <v>bueno</v>
          </cell>
          <cell r="K5892" t="str">
            <v>defsi</v>
          </cell>
        </row>
        <row r="5893">
          <cell r="B5893" t="b">
            <v>0</v>
          </cell>
          <cell r="E5893" t="str">
            <v>Arroz Barato</v>
          </cell>
          <cell r="H5893" t="str">
            <v>laboratorio</v>
          </cell>
          <cell r="J5893" t="str">
            <v>regular</v>
          </cell>
          <cell r="K5893" t="str">
            <v>defsi</v>
          </cell>
        </row>
        <row r="5894">
          <cell r="B5894" t="b">
            <v>0</v>
          </cell>
          <cell r="E5894" t="str">
            <v>Boston</v>
          </cell>
          <cell r="H5894" t="str">
            <v>consulta_externa</v>
          </cell>
          <cell r="J5894" t="str">
            <v>regular</v>
          </cell>
          <cell r="K5894" t="str">
            <v>probsi</v>
          </cell>
        </row>
        <row r="5895">
          <cell r="B5895" t="b">
            <v>1</v>
          </cell>
          <cell r="E5895" t="str">
            <v>Arroz Barato</v>
          </cell>
          <cell r="H5895" t="str">
            <v>laboratorio</v>
          </cell>
          <cell r="J5895" t="str">
            <v>bueno</v>
          </cell>
          <cell r="K5895" t="str">
            <v>defsi</v>
          </cell>
        </row>
        <row r="5896">
          <cell r="B5896" t="b">
            <v>1</v>
          </cell>
          <cell r="E5896" t="str">
            <v>Boston</v>
          </cell>
          <cell r="H5896" t="str">
            <v>consulta_externa</v>
          </cell>
          <cell r="J5896" t="str">
            <v>bueno</v>
          </cell>
          <cell r="K5896" t="str">
            <v>probsi</v>
          </cell>
        </row>
        <row r="5897">
          <cell r="B5897" t="b">
            <v>1</v>
          </cell>
          <cell r="E5897" t="str">
            <v>Boston</v>
          </cell>
          <cell r="H5897" t="str">
            <v>consulta_externa</v>
          </cell>
          <cell r="J5897" t="str">
            <v>bueno</v>
          </cell>
          <cell r="K5897" t="str">
            <v>probsi</v>
          </cell>
        </row>
        <row r="5898">
          <cell r="B5898" t="b">
            <v>1</v>
          </cell>
          <cell r="E5898" t="str">
            <v>Arroz Barato</v>
          </cell>
          <cell r="H5898" t="str">
            <v>salud_oral</v>
          </cell>
          <cell r="J5898" t="str">
            <v>bueno</v>
          </cell>
          <cell r="K5898" t="str">
            <v>defsi</v>
          </cell>
        </row>
        <row r="5899">
          <cell r="B5899" t="b">
            <v>1</v>
          </cell>
          <cell r="E5899" t="str">
            <v>Arroz Barato</v>
          </cell>
          <cell r="H5899" t="str">
            <v>consulta_externa</v>
          </cell>
          <cell r="J5899" t="str">
            <v>bueno</v>
          </cell>
          <cell r="K5899" t="str">
            <v>defsi</v>
          </cell>
        </row>
        <row r="5900">
          <cell r="B5900" t="b">
            <v>1</v>
          </cell>
          <cell r="E5900" t="str">
            <v>Arroz Barato</v>
          </cell>
          <cell r="H5900" t="str">
            <v>salud_oral</v>
          </cell>
          <cell r="J5900" t="str">
            <v>bueno</v>
          </cell>
          <cell r="K5900" t="str">
            <v>defsi</v>
          </cell>
        </row>
        <row r="5901">
          <cell r="B5901" t="b">
            <v>1</v>
          </cell>
          <cell r="E5901" t="str">
            <v>Arroz Barato</v>
          </cell>
          <cell r="H5901" t="str">
            <v>salud_oral</v>
          </cell>
          <cell r="J5901" t="str">
            <v>bueno</v>
          </cell>
          <cell r="K5901" t="str">
            <v>defsi</v>
          </cell>
        </row>
        <row r="5902">
          <cell r="B5902" t="b">
            <v>1</v>
          </cell>
          <cell r="E5902" t="str">
            <v>Arroz Barato</v>
          </cell>
          <cell r="H5902" t="str">
            <v>salud_oral</v>
          </cell>
          <cell r="J5902" t="str">
            <v>bueno</v>
          </cell>
          <cell r="K5902" t="str">
            <v>defsi</v>
          </cell>
        </row>
        <row r="5903">
          <cell r="B5903" t="b">
            <v>1</v>
          </cell>
          <cell r="E5903" t="str">
            <v>Blasdelezo</v>
          </cell>
          <cell r="H5903" t="str">
            <v>consulta_externa</v>
          </cell>
          <cell r="J5903" t="str">
            <v>bueno</v>
          </cell>
          <cell r="K5903" t="str">
            <v>probsi</v>
          </cell>
        </row>
        <row r="5904">
          <cell r="B5904" t="b">
            <v>1</v>
          </cell>
          <cell r="E5904" t="str">
            <v>Blasdelezo</v>
          </cell>
          <cell r="H5904" t="str">
            <v>salud_oral</v>
          </cell>
          <cell r="J5904" t="str">
            <v>bueno</v>
          </cell>
          <cell r="K5904" t="str">
            <v>probsi</v>
          </cell>
        </row>
        <row r="5905">
          <cell r="B5905" t="b">
            <v>1</v>
          </cell>
          <cell r="E5905" t="str">
            <v>Blasdelezo</v>
          </cell>
          <cell r="H5905" t="str">
            <v>salud_oral</v>
          </cell>
          <cell r="J5905" t="str">
            <v>bueno</v>
          </cell>
          <cell r="K5905" t="str">
            <v>probsi</v>
          </cell>
        </row>
        <row r="5906">
          <cell r="B5906" t="b">
            <v>1</v>
          </cell>
          <cell r="E5906" t="str">
            <v>Blasdelezo</v>
          </cell>
          <cell r="H5906" t="str">
            <v>laboratorio</v>
          </cell>
          <cell r="J5906" t="str">
            <v>bueno</v>
          </cell>
          <cell r="K5906" t="str">
            <v>probsi</v>
          </cell>
        </row>
        <row r="5907">
          <cell r="B5907" t="b">
            <v>1</v>
          </cell>
          <cell r="E5907" t="str">
            <v>Arroz Barato</v>
          </cell>
          <cell r="H5907" t="str">
            <v>urgencia</v>
          </cell>
          <cell r="J5907" t="str">
            <v>bueno</v>
          </cell>
          <cell r="K5907" t="str">
            <v>defsi</v>
          </cell>
        </row>
        <row r="5908">
          <cell r="B5908" t="b">
            <v>1</v>
          </cell>
          <cell r="E5908" t="str">
            <v>Arroz Barato</v>
          </cell>
          <cell r="H5908" t="str">
            <v>urgencia</v>
          </cell>
          <cell r="J5908" t="str">
            <v>bueno</v>
          </cell>
          <cell r="K5908" t="str">
            <v>defsi</v>
          </cell>
        </row>
        <row r="5909">
          <cell r="B5909" t="b">
            <v>0</v>
          </cell>
          <cell r="E5909" t="str">
            <v>Arroz Barato</v>
          </cell>
          <cell r="H5909" t="str">
            <v>urgencia</v>
          </cell>
          <cell r="J5909" t="str">
            <v>regular</v>
          </cell>
          <cell r="K5909" t="str">
            <v>defsi</v>
          </cell>
        </row>
        <row r="5910">
          <cell r="B5910" t="b">
            <v>0</v>
          </cell>
          <cell r="E5910" t="str">
            <v>Arroz Barato</v>
          </cell>
          <cell r="H5910" t="str">
            <v>urgencia</v>
          </cell>
          <cell r="J5910" t="str">
            <v>regular</v>
          </cell>
          <cell r="K5910" t="str">
            <v>defsi</v>
          </cell>
        </row>
        <row r="5911">
          <cell r="B5911" t="b">
            <v>1</v>
          </cell>
          <cell r="E5911" t="str">
            <v>Arroz Barato</v>
          </cell>
          <cell r="H5911" t="str">
            <v>urgencia</v>
          </cell>
          <cell r="J5911" t="str">
            <v>bueno</v>
          </cell>
          <cell r="K5911" t="str">
            <v>defsi</v>
          </cell>
        </row>
        <row r="5912">
          <cell r="B5912" t="b">
            <v>1</v>
          </cell>
          <cell r="E5912" t="str">
            <v>Blasdelezo</v>
          </cell>
          <cell r="H5912" t="str">
            <v>laboratorio</v>
          </cell>
          <cell r="J5912" t="str">
            <v>bueno</v>
          </cell>
          <cell r="K5912" t="str">
            <v>probsi</v>
          </cell>
        </row>
        <row r="5913">
          <cell r="B5913" t="b">
            <v>1</v>
          </cell>
          <cell r="E5913" t="str">
            <v>Blasdelezo</v>
          </cell>
          <cell r="H5913" t="str">
            <v>laboratorio</v>
          </cell>
          <cell r="J5913" t="str">
            <v>bueno</v>
          </cell>
          <cell r="K5913" t="str">
            <v>probsi</v>
          </cell>
        </row>
        <row r="5914">
          <cell r="B5914" t="b">
            <v>1</v>
          </cell>
          <cell r="E5914" t="str">
            <v>Blasdelezo</v>
          </cell>
          <cell r="H5914" t="str">
            <v>laboratorio</v>
          </cell>
          <cell r="J5914" t="str">
            <v>bueno</v>
          </cell>
          <cell r="K5914" t="str">
            <v>probsi</v>
          </cell>
        </row>
        <row r="5915">
          <cell r="B5915" t="b">
            <v>1</v>
          </cell>
          <cell r="E5915" t="str">
            <v>Blasdelezo</v>
          </cell>
          <cell r="H5915" t="str">
            <v>consulta_externa</v>
          </cell>
          <cell r="J5915" t="str">
            <v>bueno</v>
          </cell>
          <cell r="K5915" t="str">
            <v>probsi</v>
          </cell>
        </row>
        <row r="5916">
          <cell r="B5916" t="b">
            <v>1</v>
          </cell>
          <cell r="E5916" t="str">
            <v>Blasdelezo</v>
          </cell>
          <cell r="H5916" t="str">
            <v>consulta_externa</v>
          </cell>
          <cell r="J5916" t="str">
            <v>bueno</v>
          </cell>
          <cell r="K5916" t="str">
            <v>probsi</v>
          </cell>
        </row>
        <row r="5917">
          <cell r="B5917" t="b">
            <v>1</v>
          </cell>
          <cell r="E5917" t="str">
            <v>Blasdelezo</v>
          </cell>
          <cell r="H5917" t="str">
            <v>consulta_externa</v>
          </cell>
          <cell r="J5917" t="str">
            <v>bueno</v>
          </cell>
          <cell r="K5917" t="str">
            <v>probsi</v>
          </cell>
        </row>
        <row r="5918">
          <cell r="B5918" t="b">
            <v>1</v>
          </cell>
          <cell r="E5918" t="str">
            <v>Blasdelezo</v>
          </cell>
          <cell r="H5918" t="str">
            <v>consulta_externa</v>
          </cell>
          <cell r="J5918" t="str">
            <v>bueno</v>
          </cell>
          <cell r="K5918" t="str">
            <v>probsi</v>
          </cell>
        </row>
        <row r="5919">
          <cell r="B5919" t="b">
            <v>0</v>
          </cell>
          <cell r="E5919" t="str">
            <v>Arroz Barato</v>
          </cell>
          <cell r="H5919" t="str">
            <v>laboratorio</v>
          </cell>
          <cell r="J5919" t="str">
            <v>regular</v>
          </cell>
          <cell r="K5919" t="str">
            <v>defsi</v>
          </cell>
        </row>
        <row r="5920">
          <cell r="B5920" t="b">
            <v>0</v>
          </cell>
          <cell r="E5920" t="str">
            <v>Arroz Barato</v>
          </cell>
          <cell r="H5920" t="str">
            <v>laboratorio</v>
          </cell>
          <cell r="J5920" t="str">
            <v>regular</v>
          </cell>
          <cell r="K5920" t="str">
            <v>defsi</v>
          </cell>
        </row>
        <row r="5921">
          <cell r="B5921" t="b">
            <v>0</v>
          </cell>
          <cell r="E5921" t="str">
            <v>Arroz Barato</v>
          </cell>
          <cell r="H5921" t="str">
            <v>urgencia</v>
          </cell>
          <cell r="J5921" t="str">
            <v>regular</v>
          </cell>
          <cell r="K5921" t="str">
            <v>defsi</v>
          </cell>
        </row>
        <row r="5922">
          <cell r="B5922" t="b">
            <v>1</v>
          </cell>
          <cell r="E5922" t="str">
            <v>Arroz Barato</v>
          </cell>
          <cell r="H5922" t="str">
            <v>salud_oral</v>
          </cell>
          <cell r="J5922" t="str">
            <v>bueno</v>
          </cell>
          <cell r="K5922" t="str">
            <v>defsi</v>
          </cell>
        </row>
        <row r="5923">
          <cell r="B5923" t="b">
            <v>1</v>
          </cell>
          <cell r="E5923" t="str">
            <v>Hospital Pozon</v>
          </cell>
          <cell r="H5923" t="str">
            <v>consulta_externa</v>
          </cell>
          <cell r="J5923" t="str">
            <v>bueno</v>
          </cell>
          <cell r="K5923" t="str">
            <v>defsi</v>
          </cell>
        </row>
        <row r="5924">
          <cell r="B5924" t="b">
            <v>1</v>
          </cell>
          <cell r="E5924" t="str">
            <v>Hospital Pozon</v>
          </cell>
          <cell r="H5924" t="str">
            <v>salud_oral</v>
          </cell>
          <cell r="J5924" t="str">
            <v>bueno</v>
          </cell>
          <cell r="K5924" t="str">
            <v>defsi</v>
          </cell>
        </row>
        <row r="5925">
          <cell r="B5925" t="b">
            <v>1</v>
          </cell>
          <cell r="E5925" t="str">
            <v>Hospital Pozon</v>
          </cell>
          <cell r="H5925" t="str">
            <v>laboratorio</v>
          </cell>
          <cell r="J5925" t="str">
            <v>bueno</v>
          </cell>
          <cell r="K5925" t="str">
            <v>defsi</v>
          </cell>
        </row>
        <row r="5926">
          <cell r="B5926" t="b">
            <v>1</v>
          </cell>
          <cell r="E5926" t="str">
            <v>Blasdelezo</v>
          </cell>
          <cell r="H5926" t="str">
            <v>consulta_externa</v>
          </cell>
          <cell r="J5926" t="str">
            <v>bueno</v>
          </cell>
          <cell r="K5926" t="str">
            <v>probsi</v>
          </cell>
        </row>
        <row r="5927">
          <cell r="B5927" t="b">
            <v>1</v>
          </cell>
          <cell r="E5927" t="str">
            <v>Hospital Pozon</v>
          </cell>
          <cell r="H5927" t="str">
            <v>urgencia</v>
          </cell>
          <cell r="J5927" t="str">
            <v>bueno</v>
          </cell>
          <cell r="K5927" t="str">
            <v>defsi</v>
          </cell>
        </row>
        <row r="5928">
          <cell r="B5928" t="b">
            <v>1</v>
          </cell>
          <cell r="E5928" t="str">
            <v>Blasdelezo</v>
          </cell>
          <cell r="H5928" t="str">
            <v>consulta_externa</v>
          </cell>
          <cell r="J5928" t="str">
            <v>bueno</v>
          </cell>
          <cell r="K5928" t="str">
            <v>probsi</v>
          </cell>
        </row>
        <row r="5929">
          <cell r="B5929" t="b">
            <v>1</v>
          </cell>
          <cell r="E5929" t="str">
            <v>Blasdelezo</v>
          </cell>
          <cell r="H5929" t="str">
            <v>consulta_externa</v>
          </cell>
          <cell r="J5929" t="str">
            <v>bueno</v>
          </cell>
          <cell r="K5929" t="str">
            <v>probsi</v>
          </cell>
        </row>
        <row r="5930">
          <cell r="B5930" t="b">
            <v>1</v>
          </cell>
          <cell r="E5930" t="str">
            <v>Blasdelezo</v>
          </cell>
          <cell r="H5930" t="str">
            <v>consulta_externa</v>
          </cell>
          <cell r="J5930" t="str">
            <v>bueno</v>
          </cell>
          <cell r="K5930" t="str">
            <v>probsi</v>
          </cell>
        </row>
        <row r="5931">
          <cell r="B5931" t="b">
            <v>1</v>
          </cell>
          <cell r="E5931" t="str">
            <v>Blasdelezo</v>
          </cell>
          <cell r="H5931" t="str">
            <v>consulta_externa</v>
          </cell>
          <cell r="J5931" t="str">
            <v>bueno</v>
          </cell>
          <cell r="K5931" t="str">
            <v>probsi</v>
          </cell>
        </row>
        <row r="5932">
          <cell r="B5932" t="b">
            <v>1</v>
          </cell>
          <cell r="E5932" t="str">
            <v>Blasdelezo</v>
          </cell>
          <cell r="H5932" t="str">
            <v>laboratorio</v>
          </cell>
          <cell r="J5932" t="str">
            <v>bueno</v>
          </cell>
          <cell r="K5932" t="str">
            <v>probsi</v>
          </cell>
        </row>
        <row r="5933">
          <cell r="B5933" t="b">
            <v>1</v>
          </cell>
          <cell r="E5933" t="str">
            <v>Blasdelezo</v>
          </cell>
          <cell r="H5933" t="str">
            <v>laboratorio</v>
          </cell>
          <cell r="J5933" t="str">
            <v>bueno</v>
          </cell>
          <cell r="K5933" t="str">
            <v>probsi</v>
          </cell>
        </row>
        <row r="5934">
          <cell r="B5934" t="b">
            <v>1</v>
          </cell>
          <cell r="E5934" t="str">
            <v>Blasdelezo</v>
          </cell>
          <cell r="H5934" t="str">
            <v>salud_oral</v>
          </cell>
          <cell r="J5934" t="str">
            <v>bueno</v>
          </cell>
          <cell r="K5934" t="str">
            <v>probsi</v>
          </cell>
        </row>
        <row r="5935">
          <cell r="B5935" t="b">
            <v>1</v>
          </cell>
          <cell r="E5935" t="str">
            <v>Blasdelezo</v>
          </cell>
          <cell r="H5935" t="str">
            <v>salud_oral</v>
          </cell>
          <cell r="J5935" t="str">
            <v>bueno</v>
          </cell>
          <cell r="K5935" t="str">
            <v>probsi</v>
          </cell>
        </row>
        <row r="5936">
          <cell r="B5936" t="b">
            <v>1</v>
          </cell>
          <cell r="E5936" t="str">
            <v>Blasdelezo</v>
          </cell>
          <cell r="H5936" t="str">
            <v>salud_oral</v>
          </cell>
          <cell r="J5936" t="str">
            <v>bueno</v>
          </cell>
          <cell r="K5936" t="str">
            <v>probsi</v>
          </cell>
        </row>
        <row r="5937">
          <cell r="B5937" t="b">
            <v>1</v>
          </cell>
          <cell r="E5937" t="str">
            <v>Blasdelezo</v>
          </cell>
          <cell r="H5937" t="str">
            <v>laboratorio</v>
          </cell>
          <cell r="J5937" t="str">
            <v>bueno</v>
          </cell>
          <cell r="K5937" t="str">
            <v>probsi</v>
          </cell>
        </row>
        <row r="5938">
          <cell r="B5938" t="b">
            <v>1</v>
          </cell>
          <cell r="E5938" t="str">
            <v>Hospital Pozon</v>
          </cell>
          <cell r="H5938" t="str">
            <v>ecografias</v>
          </cell>
          <cell r="J5938" t="str">
            <v>bueno</v>
          </cell>
          <cell r="K5938" t="str">
            <v>defsi</v>
          </cell>
        </row>
        <row r="5939">
          <cell r="B5939" t="b">
            <v>1</v>
          </cell>
          <cell r="E5939" t="str">
            <v>Blasdelezo</v>
          </cell>
          <cell r="H5939" t="str">
            <v>laboratorio</v>
          </cell>
          <cell r="J5939" t="str">
            <v>bueno</v>
          </cell>
          <cell r="K5939" t="str">
            <v>probsi</v>
          </cell>
        </row>
        <row r="5940">
          <cell r="B5940" t="b">
            <v>1</v>
          </cell>
          <cell r="E5940" t="str">
            <v>Hospital Pozon</v>
          </cell>
          <cell r="H5940" t="str">
            <v>ginecologia</v>
          </cell>
          <cell r="J5940" t="str">
            <v>bueno</v>
          </cell>
          <cell r="K5940" t="str">
            <v>defsi</v>
          </cell>
        </row>
        <row r="5941">
          <cell r="B5941" t="b">
            <v>1</v>
          </cell>
          <cell r="E5941" t="str">
            <v>Hospital Pozon</v>
          </cell>
          <cell r="H5941" t="str">
            <v>pediatria</v>
          </cell>
          <cell r="J5941" t="str">
            <v>bueno</v>
          </cell>
          <cell r="K5941" t="str">
            <v>defsi</v>
          </cell>
        </row>
        <row r="5942">
          <cell r="B5942" t="b">
            <v>1</v>
          </cell>
          <cell r="E5942" t="str">
            <v>Blasdelezo</v>
          </cell>
          <cell r="H5942" t="str">
            <v>laboratorio</v>
          </cell>
          <cell r="J5942" t="str">
            <v>bueno</v>
          </cell>
          <cell r="K5942" t="str">
            <v>probsi</v>
          </cell>
        </row>
        <row r="5943">
          <cell r="B5943" t="b">
            <v>0</v>
          </cell>
          <cell r="E5943" t="str">
            <v>Baru</v>
          </cell>
          <cell r="H5943" t="str">
            <v>consulta_externa</v>
          </cell>
          <cell r="J5943" t="str">
            <v>regular</v>
          </cell>
          <cell r="K5943" t="str">
            <v>probsi</v>
          </cell>
        </row>
        <row r="5944">
          <cell r="B5944" t="b">
            <v>0</v>
          </cell>
          <cell r="E5944" t="str">
            <v>Baru</v>
          </cell>
          <cell r="H5944" t="str">
            <v>laboratorio</v>
          </cell>
          <cell r="J5944" t="str">
            <v>regular</v>
          </cell>
          <cell r="K5944" t="str">
            <v>probsi</v>
          </cell>
        </row>
        <row r="5945">
          <cell r="B5945" t="b">
            <v>0</v>
          </cell>
          <cell r="E5945" t="str">
            <v>Baru</v>
          </cell>
          <cell r="H5945" t="str">
            <v>laboratorio</v>
          </cell>
          <cell r="J5945" t="str">
            <v>regular</v>
          </cell>
          <cell r="K5945" t="str">
            <v>probsi</v>
          </cell>
        </row>
        <row r="5946">
          <cell r="B5946" t="b">
            <v>0</v>
          </cell>
          <cell r="E5946" t="str">
            <v>Baru</v>
          </cell>
          <cell r="H5946" t="str">
            <v>laboratorio</v>
          </cell>
          <cell r="J5946" t="str">
            <v>regular</v>
          </cell>
          <cell r="K5946" t="str">
            <v>probsi</v>
          </cell>
        </row>
        <row r="5947">
          <cell r="B5947" t="b">
            <v>0</v>
          </cell>
          <cell r="E5947" t="str">
            <v>Arroz Barato</v>
          </cell>
          <cell r="H5947" t="str">
            <v>urgencia</v>
          </cell>
          <cell r="J5947" t="str">
            <v>regular</v>
          </cell>
          <cell r="K5947" t="str">
            <v>defsi</v>
          </cell>
        </row>
        <row r="5948">
          <cell r="B5948" t="b">
            <v>1</v>
          </cell>
          <cell r="E5948" t="str">
            <v>Arroz Barato</v>
          </cell>
          <cell r="H5948" t="str">
            <v>urgencia</v>
          </cell>
          <cell r="J5948" t="str">
            <v>bueno</v>
          </cell>
          <cell r="K5948" t="str">
            <v>defsi</v>
          </cell>
        </row>
        <row r="5949">
          <cell r="B5949" t="b">
            <v>1</v>
          </cell>
          <cell r="E5949" t="str">
            <v>Arroz Barato</v>
          </cell>
          <cell r="H5949" t="str">
            <v>urgencia</v>
          </cell>
          <cell r="J5949" t="str">
            <v>bueno</v>
          </cell>
          <cell r="K5949" t="str">
            <v>defsi</v>
          </cell>
        </row>
        <row r="5950">
          <cell r="B5950" t="b">
            <v>0</v>
          </cell>
          <cell r="E5950" t="str">
            <v>Arroz Barato</v>
          </cell>
          <cell r="H5950" t="str">
            <v>urgencia</v>
          </cell>
          <cell r="J5950" t="str">
            <v>regular</v>
          </cell>
          <cell r="K5950" t="str">
            <v>probsi</v>
          </cell>
        </row>
        <row r="5951">
          <cell r="B5951" t="b">
            <v>1</v>
          </cell>
          <cell r="E5951" t="str">
            <v>Arroz Barato</v>
          </cell>
          <cell r="H5951" t="str">
            <v>urgencia</v>
          </cell>
          <cell r="J5951" t="str">
            <v>bueno</v>
          </cell>
          <cell r="K5951" t="str">
            <v>probsi</v>
          </cell>
        </row>
        <row r="5952">
          <cell r="B5952" t="b">
            <v>1</v>
          </cell>
          <cell r="E5952" t="str">
            <v>Arroz Barato</v>
          </cell>
          <cell r="H5952" t="str">
            <v>urgencia</v>
          </cell>
          <cell r="J5952" t="str">
            <v>bueno</v>
          </cell>
          <cell r="K5952" t="str">
            <v>defsi</v>
          </cell>
        </row>
        <row r="5953">
          <cell r="B5953" t="b">
            <v>1</v>
          </cell>
          <cell r="E5953" t="str">
            <v>Arroz Barato</v>
          </cell>
          <cell r="H5953" t="str">
            <v>urgencia</v>
          </cell>
          <cell r="J5953" t="str">
            <v>bueno</v>
          </cell>
          <cell r="K5953" t="str">
            <v>defsi</v>
          </cell>
        </row>
        <row r="5954">
          <cell r="B5954" t="b">
            <v>1</v>
          </cell>
          <cell r="E5954" t="str">
            <v>Arroz Barato</v>
          </cell>
          <cell r="H5954" t="str">
            <v>urgencia</v>
          </cell>
          <cell r="J5954" t="str">
            <v>bueno</v>
          </cell>
          <cell r="K5954" t="str">
            <v>defsi</v>
          </cell>
        </row>
        <row r="5955">
          <cell r="B5955" t="b">
            <v>1</v>
          </cell>
          <cell r="E5955" t="str">
            <v>Arroz Barato</v>
          </cell>
          <cell r="H5955" t="str">
            <v>urgencia</v>
          </cell>
          <cell r="J5955" t="str">
            <v>bueno</v>
          </cell>
          <cell r="K5955" t="str">
            <v>defsi</v>
          </cell>
        </row>
        <row r="5956">
          <cell r="B5956" t="b">
            <v>1</v>
          </cell>
          <cell r="E5956" t="str">
            <v>Arroz Barato</v>
          </cell>
          <cell r="H5956" t="str">
            <v>laboratorio</v>
          </cell>
          <cell r="J5956" t="str">
            <v>bueno</v>
          </cell>
          <cell r="K5956" t="str">
            <v>defsi</v>
          </cell>
        </row>
        <row r="5957">
          <cell r="B5957" t="b">
            <v>1</v>
          </cell>
          <cell r="E5957" t="str">
            <v>Arroz Barato</v>
          </cell>
          <cell r="H5957" t="str">
            <v>consulta_externa</v>
          </cell>
          <cell r="J5957" t="str">
            <v>bueno</v>
          </cell>
          <cell r="K5957" t="str">
            <v>defsi</v>
          </cell>
        </row>
        <row r="5958">
          <cell r="B5958" t="b">
            <v>1</v>
          </cell>
          <cell r="E5958" t="str">
            <v>Arroz Barato</v>
          </cell>
          <cell r="H5958" t="str">
            <v>laboratorio</v>
          </cell>
          <cell r="J5958" t="str">
            <v>bueno</v>
          </cell>
          <cell r="K5958" t="str">
            <v>defsi</v>
          </cell>
        </row>
        <row r="5959">
          <cell r="B5959" t="b">
            <v>1</v>
          </cell>
          <cell r="E5959" t="str">
            <v>Arroz Barato</v>
          </cell>
          <cell r="H5959" t="str">
            <v>laboratorio</v>
          </cell>
          <cell r="J5959" t="str">
            <v>bueno</v>
          </cell>
          <cell r="K5959" t="str">
            <v>defsi</v>
          </cell>
        </row>
        <row r="5960">
          <cell r="B5960" t="b">
            <v>1</v>
          </cell>
          <cell r="E5960" t="str">
            <v>Arroz Barato</v>
          </cell>
          <cell r="H5960" t="str">
            <v>consulta_externa</v>
          </cell>
          <cell r="J5960" t="str">
            <v>bueno</v>
          </cell>
          <cell r="K5960" t="str">
            <v>defsi</v>
          </cell>
        </row>
        <row r="5961">
          <cell r="B5961" t="b">
            <v>1</v>
          </cell>
          <cell r="E5961" t="str">
            <v>Arroz Barato</v>
          </cell>
          <cell r="H5961" t="str">
            <v>laboratorio</v>
          </cell>
          <cell r="J5961" t="str">
            <v>bueno</v>
          </cell>
          <cell r="K5961" t="str">
            <v>defsi</v>
          </cell>
        </row>
        <row r="5962">
          <cell r="B5962" t="b">
            <v>1</v>
          </cell>
          <cell r="E5962" t="str">
            <v>Arroz Barato</v>
          </cell>
          <cell r="H5962" t="str">
            <v>consulta_externa</v>
          </cell>
          <cell r="J5962" t="str">
            <v>bueno</v>
          </cell>
          <cell r="K5962" t="str">
            <v>defsi</v>
          </cell>
        </row>
        <row r="5963">
          <cell r="B5963" t="b">
            <v>1</v>
          </cell>
          <cell r="E5963" t="str">
            <v>Arroz Barato</v>
          </cell>
          <cell r="H5963" t="str">
            <v>laboratorio</v>
          </cell>
          <cell r="J5963" t="str">
            <v>bueno</v>
          </cell>
          <cell r="K5963" t="str">
            <v>defsi</v>
          </cell>
        </row>
        <row r="5964">
          <cell r="B5964" t="b">
            <v>1</v>
          </cell>
          <cell r="E5964" t="str">
            <v>Arroz Barato</v>
          </cell>
          <cell r="H5964" t="str">
            <v>laboratorio</v>
          </cell>
          <cell r="J5964" t="str">
            <v>bueno</v>
          </cell>
          <cell r="K5964" t="str">
            <v>defsi</v>
          </cell>
        </row>
        <row r="5965">
          <cell r="B5965" t="b">
            <v>1</v>
          </cell>
          <cell r="E5965" t="str">
            <v>Arroz Barato</v>
          </cell>
          <cell r="H5965" t="str">
            <v>urgencia</v>
          </cell>
          <cell r="J5965" t="str">
            <v>bueno</v>
          </cell>
          <cell r="K5965" t="str">
            <v>defsi</v>
          </cell>
        </row>
        <row r="5966">
          <cell r="B5966" t="b">
            <v>1</v>
          </cell>
          <cell r="E5966" t="str">
            <v>Arroz Barato</v>
          </cell>
          <cell r="H5966" t="str">
            <v>salud_oral</v>
          </cell>
          <cell r="J5966" t="str">
            <v>bueno</v>
          </cell>
          <cell r="K5966" t="str">
            <v>defsi</v>
          </cell>
        </row>
        <row r="5967">
          <cell r="B5967" t="b">
            <v>1</v>
          </cell>
          <cell r="E5967" t="str">
            <v>Arroz Barato</v>
          </cell>
          <cell r="H5967" t="str">
            <v>salud_oral</v>
          </cell>
          <cell r="J5967" t="str">
            <v>bueno</v>
          </cell>
          <cell r="K5967" t="str">
            <v>defsi</v>
          </cell>
        </row>
        <row r="5968">
          <cell r="B5968" t="b">
            <v>1</v>
          </cell>
          <cell r="E5968" t="str">
            <v>Blasdelezo</v>
          </cell>
          <cell r="H5968" t="str">
            <v>urgencia</v>
          </cell>
          <cell r="J5968" t="str">
            <v>bueno</v>
          </cell>
          <cell r="K5968" t="str">
            <v>probsi</v>
          </cell>
        </row>
        <row r="5969">
          <cell r="B5969" t="b">
            <v>1</v>
          </cell>
          <cell r="E5969" t="str">
            <v>Blasdelezo</v>
          </cell>
          <cell r="H5969" t="str">
            <v>urgencia</v>
          </cell>
          <cell r="J5969" t="str">
            <v>bueno</v>
          </cell>
          <cell r="K5969" t="str">
            <v>probsi</v>
          </cell>
        </row>
        <row r="5970">
          <cell r="B5970" t="b">
            <v>1</v>
          </cell>
          <cell r="E5970" t="str">
            <v>Blasdelezo</v>
          </cell>
          <cell r="H5970" t="str">
            <v>urgencia</v>
          </cell>
          <cell r="J5970" t="str">
            <v>bueno</v>
          </cell>
          <cell r="K5970" t="str">
            <v>probsi</v>
          </cell>
        </row>
        <row r="5971">
          <cell r="B5971" t="b">
            <v>1</v>
          </cell>
          <cell r="E5971" t="str">
            <v>Blasdelezo</v>
          </cell>
          <cell r="H5971" t="str">
            <v>urgencia</v>
          </cell>
          <cell r="J5971" t="str">
            <v>bueno</v>
          </cell>
          <cell r="K5971" t="str">
            <v>probsi</v>
          </cell>
        </row>
        <row r="5972">
          <cell r="B5972" t="b">
            <v>1</v>
          </cell>
          <cell r="E5972" t="str">
            <v>Blasdelezo</v>
          </cell>
          <cell r="H5972" t="str">
            <v>urgencia</v>
          </cell>
          <cell r="J5972" t="str">
            <v>bueno</v>
          </cell>
          <cell r="K5972" t="str">
            <v>probsi</v>
          </cell>
        </row>
        <row r="5973">
          <cell r="B5973" t="b">
            <v>1</v>
          </cell>
          <cell r="E5973" t="str">
            <v>Blasdelezo</v>
          </cell>
          <cell r="H5973" t="str">
            <v>urgencia</v>
          </cell>
          <cell r="J5973" t="str">
            <v>bueno</v>
          </cell>
          <cell r="K5973" t="str">
            <v>probsi</v>
          </cell>
        </row>
        <row r="5974">
          <cell r="B5974" t="b">
            <v>1</v>
          </cell>
          <cell r="E5974" t="str">
            <v>Hospital Pozon</v>
          </cell>
          <cell r="H5974" t="str">
            <v>consulta_externa</v>
          </cell>
          <cell r="J5974" t="str">
            <v>bueno</v>
          </cell>
          <cell r="K5974" t="str">
            <v>defsi</v>
          </cell>
        </row>
        <row r="5975">
          <cell r="B5975" t="b">
            <v>1</v>
          </cell>
          <cell r="E5975" t="str">
            <v>Hospital Pozon</v>
          </cell>
          <cell r="H5975" t="str">
            <v>salud_oral</v>
          </cell>
          <cell r="J5975" t="str">
            <v>bueno</v>
          </cell>
          <cell r="K5975" t="str">
            <v>defsi</v>
          </cell>
        </row>
        <row r="5976">
          <cell r="B5976" t="b">
            <v>1</v>
          </cell>
          <cell r="E5976" t="str">
            <v>Hospital Pozon</v>
          </cell>
          <cell r="H5976" t="str">
            <v>laboratorio</v>
          </cell>
          <cell r="J5976" t="str">
            <v>bueno</v>
          </cell>
          <cell r="K5976" t="str">
            <v>defsi</v>
          </cell>
        </row>
        <row r="5977">
          <cell r="B5977" t="b">
            <v>1</v>
          </cell>
          <cell r="E5977" t="str">
            <v>Hospital Pozon</v>
          </cell>
          <cell r="H5977" t="str">
            <v>urgencia</v>
          </cell>
          <cell r="J5977" t="str">
            <v>bueno</v>
          </cell>
          <cell r="K5977" t="str">
            <v>defsi</v>
          </cell>
        </row>
        <row r="5978">
          <cell r="B5978" t="b">
            <v>1</v>
          </cell>
          <cell r="E5978" t="str">
            <v>Hospital Pozon</v>
          </cell>
          <cell r="H5978" t="str">
            <v>ecografias</v>
          </cell>
          <cell r="J5978" t="str">
            <v>bueno</v>
          </cell>
          <cell r="K5978" t="str">
            <v>defsi</v>
          </cell>
        </row>
        <row r="5979">
          <cell r="B5979" t="b">
            <v>1</v>
          </cell>
          <cell r="E5979" t="str">
            <v>Hospital Pozon</v>
          </cell>
          <cell r="H5979" t="str">
            <v>ginecologia</v>
          </cell>
          <cell r="J5979" t="str">
            <v>bueno</v>
          </cell>
          <cell r="K5979" t="str">
            <v>defsi</v>
          </cell>
        </row>
        <row r="5980">
          <cell r="B5980" t="b">
            <v>1</v>
          </cell>
          <cell r="E5980" t="str">
            <v>Hospital Pozon</v>
          </cell>
          <cell r="H5980" t="str">
            <v>pediatria</v>
          </cell>
          <cell r="J5980" t="str">
            <v>bueno</v>
          </cell>
          <cell r="K5980" t="str">
            <v>defsi</v>
          </cell>
        </row>
        <row r="5981">
          <cell r="B5981" t="b">
            <v>1</v>
          </cell>
          <cell r="E5981" t="str">
            <v>Hospital Pozon</v>
          </cell>
          <cell r="H5981" t="str">
            <v>consulta_externa</v>
          </cell>
          <cell r="J5981" t="str">
            <v>bueno</v>
          </cell>
          <cell r="K5981" t="str">
            <v>defsi</v>
          </cell>
        </row>
        <row r="5982">
          <cell r="B5982" t="b">
            <v>1</v>
          </cell>
          <cell r="E5982" t="str">
            <v>Hospital Pozon</v>
          </cell>
          <cell r="H5982" t="str">
            <v>salud_oral</v>
          </cell>
          <cell r="J5982" t="str">
            <v>bueno</v>
          </cell>
          <cell r="K5982" t="str">
            <v>defsi</v>
          </cell>
        </row>
        <row r="5983">
          <cell r="B5983" t="b">
            <v>1</v>
          </cell>
          <cell r="E5983" t="str">
            <v>Hospital Pozon</v>
          </cell>
          <cell r="H5983" t="str">
            <v>laboratorio</v>
          </cell>
          <cell r="J5983" t="str">
            <v>bueno</v>
          </cell>
          <cell r="K5983" t="str">
            <v>defsi</v>
          </cell>
        </row>
        <row r="5984">
          <cell r="B5984" t="b">
            <v>1</v>
          </cell>
          <cell r="E5984" t="str">
            <v>Hospital Pozon</v>
          </cell>
          <cell r="H5984" t="str">
            <v>urgencia</v>
          </cell>
          <cell r="J5984" t="str">
            <v>bueno</v>
          </cell>
          <cell r="K5984" t="str">
            <v>defsi</v>
          </cell>
        </row>
        <row r="5985">
          <cell r="B5985" t="b">
            <v>1</v>
          </cell>
          <cell r="E5985" t="str">
            <v>Hospital Pozon</v>
          </cell>
          <cell r="H5985" t="str">
            <v>ecografias</v>
          </cell>
          <cell r="J5985" t="str">
            <v>bueno</v>
          </cell>
          <cell r="K5985" t="str">
            <v>defsi</v>
          </cell>
        </row>
        <row r="5986">
          <cell r="B5986" t="b">
            <v>1</v>
          </cell>
          <cell r="E5986" t="str">
            <v>Hospital Pozon</v>
          </cell>
          <cell r="H5986" t="str">
            <v>pediatria</v>
          </cell>
          <cell r="J5986" t="str">
            <v>bueno</v>
          </cell>
          <cell r="K5986" t="str">
            <v>defsi</v>
          </cell>
        </row>
        <row r="5987">
          <cell r="B5987" t="b">
            <v>1</v>
          </cell>
          <cell r="E5987" t="str">
            <v>Hospital Pozon</v>
          </cell>
          <cell r="H5987" t="str">
            <v>ginecologia</v>
          </cell>
          <cell r="J5987" t="str">
            <v>bueno</v>
          </cell>
          <cell r="K5987" t="str">
            <v>defsi</v>
          </cell>
        </row>
        <row r="5988">
          <cell r="B5988" t="b">
            <v>1</v>
          </cell>
          <cell r="E5988" t="str">
            <v>Hospital Pozon</v>
          </cell>
          <cell r="H5988" t="str">
            <v>consulta_externa</v>
          </cell>
          <cell r="J5988" t="str">
            <v>bueno</v>
          </cell>
          <cell r="K5988" t="str">
            <v>defsi</v>
          </cell>
        </row>
        <row r="5989">
          <cell r="B5989" t="b">
            <v>1</v>
          </cell>
          <cell r="E5989" t="str">
            <v>Hospital Pozon</v>
          </cell>
          <cell r="H5989" t="str">
            <v>salud_oral</v>
          </cell>
          <cell r="J5989" t="str">
            <v>bueno</v>
          </cell>
          <cell r="K5989" t="str">
            <v>defsi</v>
          </cell>
        </row>
        <row r="5990">
          <cell r="B5990" t="b">
            <v>1</v>
          </cell>
          <cell r="E5990" t="str">
            <v>Hospital Pozon</v>
          </cell>
          <cell r="H5990" t="str">
            <v>laboratorio</v>
          </cell>
          <cell r="J5990" t="str">
            <v>bueno</v>
          </cell>
          <cell r="K5990" t="str">
            <v>defsi</v>
          </cell>
        </row>
        <row r="5991">
          <cell r="B5991" t="b">
            <v>1</v>
          </cell>
          <cell r="E5991" t="str">
            <v>Hospital Pozon</v>
          </cell>
          <cell r="H5991" t="str">
            <v>ecografias</v>
          </cell>
          <cell r="J5991" t="str">
            <v>bueno</v>
          </cell>
          <cell r="K5991" t="str">
            <v>defsi</v>
          </cell>
        </row>
        <row r="5992">
          <cell r="B5992" t="b">
            <v>1</v>
          </cell>
          <cell r="E5992" t="str">
            <v>Hospital Pozon</v>
          </cell>
          <cell r="H5992" t="str">
            <v>ginecologia</v>
          </cell>
          <cell r="J5992" t="str">
            <v>bueno</v>
          </cell>
          <cell r="K5992" t="str">
            <v>defsi</v>
          </cell>
        </row>
        <row r="5993">
          <cell r="B5993" t="b">
            <v>1</v>
          </cell>
          <cell r="E5993" t="str">
            <v>Hospital Pozon</v>
          </cell>
          <cell r="H5993" t="str">
            <v>pediatria</v>
          </cell>
          <cell r="J5993" t="str">
            <v>bueno</v>
          </cell>
          <cell r="K5993" t="str">
            <v>defsi</v>
          </cell>
        </row>
        <row r="5994">
          <cell r="B5994" t="b">
            <v>1</v>
          </cell>
          <cell r="E5994" t="str">
            <v>Hospital Pozon</v>
          </cell>
          <cell r="H5994" t="str">
            <v>urgencia</v>
          </cell>
          <cell r="J5994" t="str">
            <v>bueno</v>
          </cell>
          <cell r="K5994" t="str">
            <v>defsi</v>
          </cell>
        </row>
        <row r="5995">
          <cell r="B5995" t="b">
            <v>0</v>
          </cell>
          <cell r="E5995" t="str">
            <v>Candelaria</v>
          </cell>
          <cell r="H5995" t="str">
            <v>consulta_externa</v>
          </cell>
          <cell r="J5995" t="str">
            <v>regular</v>
          </cell>
          <cell r="K5995" t="str">
            <v>probno</v>
          </cell>
        </row>
        <row r="5996">
          <cell r="B5996" t="b">
            <v>1</v>
          </cell>
          <cell r="E5996" t="str">
            <v>Candelaria</v>
          </cell>
          <cell r="H5996" t="str">
            <v>consulta_externa</v>
          </cell>
          <cell r="J5996" t="str">
            <v>bueno</v>
          </cell>
          <cell r="K5996" t="str">
            <v>defsi</v>
          </cell>
        </row>
        <row r="5997">
          <cell r="B5997" t="b">
            <v>1</v>
          </cell>
          <cell r="E5997" t="str">
            <v>Candelaria</v>
          </cell>
          <cell r="H5997" t="str">
            <v>laboratorio</v>
          </cell>
          <cell r="J5997" t="str">
            <v>bueno</v>
          </cell>
          <cell r="K5997" t="str">
            <v>defsi</v>
          </cell>
        </row>
        <row r="5998">
          <cell r="B5998" t="b">
            <v>1</v>
          </cell>
          <cell r="E5998" t="str">
            <v>Candelaria</v>
          </cell>
          <cell r="H5998" t="str">
            <v>consulta_externa</v>
          </cell>
          <cell r="J5998" t="str">
            <v>bueno</v>
          </cell>
          <cell r="K5998" t="str">
            <v>defsi</v>
          </cell>
        </row>
        <row r="5999">
          <cell r="B5999" t="b">
            <v>1</v>
          </cell>
          <cell r="E5999" t="str">
            <v>Candelaria</v>
          </cell>
          <cell r="H5999" t="str">
            <v>laboratorio</v>
          </cell>
          <cell r="J5999" t="str">
            <v>bueno</v>
          </cell>
          <cell r="K5999" t="str">
            <v>defsi</v>
          </cell>
        </row>
        <row r="6000">
          <cell r="B6000" t="b">
            <v>1</v>
          </cell>
          <cell r="E6000" t="str">
            <v>Candelaria</v>
          </cell>
          <cell r="H6000" t="str">
            <v>consulta_externa</v>
          </cell>
          <cell r="J6000" t="str">
            <v>bueno</v>
          </cell>
          <cell r="K6000" t="str">
            <v>defsi</v>
          </cell>
        </row>
        <row r="6001">
          <cell r="B6001" t="b">
            <v>1</v>
          </cell>
          <cell r="E6001" t="str">
            <v>Candelaria</v>
          </cell>
          <cell r="H6001" t="str">
            <v>laboratorio</v>
          </cell>
          <cell r="J6001" t="str">
            <v>bueno</v>
          </cell>
          <cell r="K6001" t="str">
            <v>defsi</v>
          </cell>
        </row>
        <row r="6002">
          <cell r="B6002" t="b">
            <v>1</v>
          </cell>
          <cell r="E6002" t="str">
            <v>Candelaria</v>
          </cell>
          <cell r="H6002" t="str">
            <v>consulta_externa</v>
          </cell>
          <cell r="J6002" t="str">
            <v>bueno</v>
          </cell>
          <cell r="K6002" t="str">
            <v>defsi</v>
          </cell>
        </row>
        <row r="6003">
          <cell r="B6003" t="b">
            <v>1</v>
          </cell>
          <cell r="E6003" t="str">
            <v>Candelaria</v>
          </cell>
          <cell r="H6003" t="str">
            <v>laboratorio</v>
          </cell>
          <cell r="J6003" t="str">
            <v>bueno</v>
          </cell>
          <cell r="K6003" t="str">
            <v>defsi</v>
          </cell>
        </row>
        <row r="6004">
          <cell r="B6004" t="b">
            <v>1</v>
          </cell>
          <cell r="E6004" t="str">
            <v>Candelaria</v>
          </cell>
          <cell r="H6004" t="str">
            <v>urgencia</v>
          </cell>
          <cell r="J6004" t="str">
            <v>bueno</v>
          </cell>
          <cell r="K6004" t="str">
            <v>defsi</v>
          </cell>
        </row>
        <row r="6005">
          <cell r="B6005" t="b">
            <v>1</v>
          </cell>
          <cell r="E6005" t="str">
            <v>Candelaria</v>
          </cell>
          <cell r="H6005" t="str">
            <v>urgencia</v>
          </cell>
          <cell r="J6005" t="str">
            <v>bueno</v>
          </cell>
          <cell r="K6005" t="str">
            <v>defsi</v>
          </cell>
        </row>
        <row r="6006">
          <cell r="B6006" t="b">
            <v>1</v>
          </cell>
          <cell r="E6006" t="str">
            <v>Candelaria</v>
          </cell>
          <cell r="H6006" t="str">
            <v>urgencia</v>
          </cell>
          <cell r="J6006" t="str">
            <v>bueno</v>
          </cell>
          <cell r="K6006" t="str">
            <v>defsi</v>
          </cell>
        </row>
        <row r="6007">
          <cell r="B6007" t="b">
            <v>1</v>
          </cell>
          <cell r="E6007" t="str">
            <v>Candelaria</v>
          </cell>
          <cell r="H6007" t="str">
            <v>electros</v>
          </cell>
          <cell r="J6007" t="str">
            <v>bueno</v>
          </cell>
          <cell r="K6007" t="str">
            <v>defsi</v>
          </cell>
        </row>
        <row r="6008">
          <cell r="B6008" t="b">
            <v>1</v>
          </cell>
          <cell r="E6008" t="str">
            <v>Candelaria</v>
          </cell>
          <cell r="H6008" t="str">
            <v>electros</v>
          </cell>
          <cell r="J6008" t="str">
            <v>bueno</v>
          </cell>
          <cell r="K6008" t="str">
            <v>defsi</v>
          </cell>
        </row>
        <row r="6009">
          <cell r="B6009" t="b">
            <v>1</v>
          </cell>
          <cell r="E6009" t="str">
            <v>Candelaria</v>
          </cell>
          <cell r="H6009" t="str">
            <v>electros</v>
          </cell>
          <cell r="J6009" t="str">
            <v>bueno</v>
          </cell>
          <cell r="K6009" t="str">
            <v>defsi</v>
          </cell>
        </row>
        <row r="6010">
          <cell r="B6010" t="b">
            <v>1</v>
          </cell>
          <cell r="E6010" t="str">
            <v>Candelaria</v>
          </cell>
          <cell r="H6010" t="str">
            <v>electros</v>
          </cell>
          <cell r="J6010" t="str">
            <v>bueno</v>
          </cell>
          <cell r="K6010" t="str">
            <v>defsi</v>
          </cell>
        </row>
        <row r="6011">
          <cell r="B6011" t="b">
            <v>0</v>
          </cell>
          <cell r="E6011" t="str">
            <v>Candelaria</v>
          </cell>
          <cell r="H6011" t="str">
            <v>electros</v>
          </cell>
          <cell r="J6011" t="str">
            <v>regular</v>
          </cell>
          <cell r="K6011" t="str">
            <v>defsi</v>
          </cell>
        </row>
        <row r="6012">
          <cell r="B6012" t="b">
            <v>1</v>
          </cell>
          <cell r="E6012" t="str">
            <v>Arroz Barato</v>
          </cell>
          <cell r="H6012" t="str">
            <v>urgencia</v>
          </cell>
          <cell r="J6012" t="str">
            <v>bueno</v>
          </cell>
          <cell r="K6012" t="str">
            <v>defsi</v>
          </cell>
        </row>
        <row r="6013">
          <cell r="B6013" t="b">
            <v>1</v>
          </cell>
          <cell r="E6013" t="str">
            <v>Arroz Barato</v>
          </cell>
          <cell r="H6013" t="str">
            <v>urgencia</v>
          </cell>
          <cell r="J6013" t="str">
            <v>bueno</v>
          </cell>
          <cell r="K6013" t="str">
            <v>defsi</v>
          </cell>
        </row>
        <row r="6014">
          <cell r="B6014" t="b">
            <v>1</v>
          </cell>
          <cell r="E6014" t="str">
            <v>Candelaria</v>
          </cell>
          <cell r="H6014" t="str">
            <v>electros</v>
          </cell>
          <cell r="J6014" t="str">
            <v>bueno</v>
          </cell>
          <cell r="K6014" t="str">
            <v>defsi</v>
          </cell>
        </row>
        <row r="6015">
          <cell r="B6015" t="b">
            <v>1</v>
          </cell>
          <cell r="E6015" t="str">
            <v>Candelaria</v>
          </cell>
          <cell r="H6015" t="str">
            <v>urgencia</v>
          </cell>
          <cell r="J6015" t="str">
            <v>bueno</v>
          </cell>
          <cell r="K6015" t="str">
            <v>defsi</v>
          </cell>
        </row>
        <row r="6016">
          <cell r="B6016" t="b">
            <v>1</v>
          </cell>
          <cell r="E6016" t="str">
            <v>Candelaria</v>
          </cell>
          <cell r="H6016" t="str">
            <v>electros</v>
          </cell>
          <cell r="J6016" t="str">
            <v>bueno</v>
          </cell>
          <cell r="K6016" t="str">
            <v>defsi</v>
          </cell>
        </row>
        <row r="6017">
          <cell r="B6017" t="b">
            <v>0</v>
          </cell>
          <cell r="E6017" t="str">
            <v>Candelaria</v>
          </cell>
          <cell r="H6017" t="str">
            <v>electros</v>
          </cell>
          <cell r="J6017" t="str">
            <v>regular</v>
          </cell>
          <cell r="K6017" t="str">
            <v>defsi</v>
          </cell>
        </row>
        <row r="6018">
          <cell r="B6018" t="b">
            <v>0</v>
          </cell>
          <cell r="E6018" t="str">
            <v>Candelaria</v>
          </cell>
          <cell r="H6018" t="str">
            <v>electros</v>
          </cell>
          <cell r="J6018" t="str">
            <v>regular</v>
          </cell>
          <cell r="K6018" t="str">
            <v>defsi</v>
          </cell>
        </row>
        <row r="6019">
          <cell r="B6019" t="b">
            <v>1</v>
          </cell>
          <cell r="E6019" t="str">
            <v>Candelaria</v>
          </cell>
          <cell r="H6019" t="str">
            <v>pediatria</v>
          </cell>
          <cell r="J6019" t="str">
            <v>bueno</v>
          </cell>
          <cell r="K6019" t="str">
            <v>defsi</v>
          </cell>
        </row>
        <row r="6020">
          <cell r="B6020" t="b">
            <v>1</v>
          </cell>
          <cell r="E6020" t="str">
            <v>Candelaria</v>
          </cell>
          <cell r="H6020" t="str">
            <v>pediatria</v>
          </cell>
          <cell r="J6020" t="str">
            <v>bueno</v>
          </cell>
          <cell r="K6020" t="str">
            <v>defsi</v>
          </cell>
        </row>
        <row r="6021">
          <cell r="B6021" t="b">
            <v>1</v>
          </cell>
          <cell r="E6021" t="str">
            <v>Candelaria</v>
          </cell>
          <cell r="H6021" t="str">
            <v>pediatria</v>
          </cell>
          <cell r="J6021" t="str">
            <v>muybueno</v>
          </cell>
          <cell r="K6021" t="str">
            <v>defsi</v>
          </cell>
        </row>
        <row r="6022">
          <cell r="B6022" t="b">
            <v>1</v>
          </cell>
          <cell r="E6022" t="str">
            <v>Candelaria</v>
          </cell>
          <cell r="H6022" t="str">
            <v>medicina_interna</v>
          </cell>
          <cell r="J6022" t="str">
            <v>bueno</v>
          </cell>
          <cell r="K6022" t="str">
            <v>defsi</v>
          </cell>
        </row>
        <row r="6023">
          <cell r="B6023" t="b">
            <v>1</v>
          </cell>
          <cell r="E6023" t="str">
            <v>Candelaria</v>
          </cell>
          <cell r="H6023" t="str">
            <v>medicina_interna</v>
          </cell>
          <cell r="J6023" t="str">
            <v>bueno</v>
          </cell>
          <cell r="K6023" t="str">
            <v>defsi</v>
          </cell>
        </row>
        <row r="6024">
          <cell r="B6024" t="b">
            <v>0</v>
          </cell>
          <cell r="E6024" t="str">
            <v>Candelaria</v>
          </cell>
          <cell r="H6024" t="str">
            <v>urgencia</v>
          </cell>
          <cell r="J6024" t="str">
            <v>regular</v>
          </cell>
          <cell r="K6024" t="str">
            <v>defsi</v>
          </cell>
        </row>
        <row r="6025">
          <cell r="B6025" t="b">
            <v>1</v>
          </cell>
          <cell r="E6025" t="str">
            <v>Candelaria</v>
          </cell>
          <cell r="H6025" t="str">
            <v>urgencia</v>
          </cell>
          <cell r="J6025" t="str">
            <v>bueno</v>
          </cell>
          <cell r="K6025" t="str">
            <v>defsi</v>
          </cell>
        </row>
        <row r="6026">
          <cell r="B6026" t="b">
            <v>1</v>
          </cell>
          <cell r="E6026" t="str">
            <v>Candelaria</v>
          </cell>
          <cell r="H6026" t="str">
            <v>urgencia</v>
          </cell>
          <cell r="J6026" t="str">
            <v>bueno</v>
          </cell>
          <cell r="K6026" t="str">
            <v>defsi</v>
          </cell>
        </row>
        <row r="6027">
          <cell r="B6027" t="b">
            <v>1</v>
          </cell>
          <cell r="E6027" t="str">
            <v>Candelaria</v>
          </cell>
          <cell r="H6027" t="str">
            <v>urgencia</v>
          </cell>
          <cell r="J6027" t="str">
            <v>bueno</v>
          </cell>
          <cell r="K6027" t="str">
            <v>defsi</v>
          </cell>
        </row>
        <row r="6028">
          <cell r="B6028" t="b">
            <v>1</v>
          </cell>
          <cell r="E6028" t="str">
            <v>Candelaria</v>
          </cell>
          <cell r="H6028" t="str">
            <v>medicina_interna</v>
          </cell>
          <cell r="J6028" t="str">
            <v>bueno</v>
          </cell>
          <cell r="K6028" t="str">
            <v>defsi</v>
          </cell>
        </row>
        <row r="6029">
          <cell r="B6029" t="b">
            <v>1</v>
          </cell>
          <cell r="E6029" t="str">
            <v>Candelaria</v>
          </cell>
          <cell r="H6029" t="str">
            <v>medicina_interna</v>
          </cell>
          <cell r="J6029" t="str">
            <v>bueno</v>
          </cell>
          <cell r="K6029" t="str">
            <v>defsi</v>
          </cell>
        </row>
        <row r="6030">
          <cell r="B6030" t="b">
            <v>1</v>
          </cell>
          <cell r="E6030" t="str">
            <v>Candelaria</v>
          </cell>
          <cell r="H6030" t="str">
            <v>medicina_interna</v>
          </cell>
          <cell r="J6030" t="str">
            <v>bueno</v>
          </cell>
          <cell r="K6030" t="str">
            <v>defsi</v>
          </cell>
        </row>
        <row r="6031">
          <cell r="B6031" t="b">
            <v>1</v>
          </cell>
          <cell r="E6031" t="str">
            <v>Candelaria</v>
          </cell>
          <cell r="H6031" t="str">
            <v>electros</v>
          </cell>
          <cell r="J6031" t="str">
            <v>bueno</v>
          </cell>
          <cell r="K6031" t="str">
            <v>defsi</v>
          </cell>
        </row>
        <row r="6032">
          <cell r="B6032" t="b">
            <v>1</v>
          </cell>
          <cell r="E6032" t="str">
            <v>Candelaria</v>
          </cell>
          <cell r="H6032" t="str">
            <v>electros</v>
          </cell>
          <cell r="J6032" t="str">
            <v>bueno</v>
          </cell>
          <cell r="K6032" t="str">
            <v>defsi</v>
          </cell>
        </row>
        <row r="6033">
          <cell r="B6033" t="b">
            <v>1</v>
          </cell>
          <cell r="E6033" t="str">
            <v>Candelaria</v>
          </cell>
          <cell r="H6033" t="str">
            <v>electros</v>
          </cell>
          <cell r="J6033" t="str">
            <v>bueno</v>
          </cell>
          <cell r="K6033" t="str">
            <v>defsi</v>
          </cell>
        </row>
        <row r="6034">
          <cell r="B6034" t="b">
            <v>0</v>
          </cell>
          <cell r="E6034" t="str">
            <v>Candelaria</v>
          </cell>
          <cell r="H6034" t="str">
            <v>electros</v>
          </cell>
          <cell r="J6034" t="str">
            <v>regular</v>
          </cell>
          <cell r="K6034" t="str">
            <v>defsi</v>
          </cell>
        </row>
        <row r="6035">
          <cell r="B6035" t="b">
            <v>1</v>
          </cell>
          <cell r="E6035" t="str">
            <v>Candelaria</v>
          </cell>
          <cell r="H6035" t="str">
            <v>urgencia</v>
          </cell>
          <cell r="J6035" t="str">
            <v>bueno</v>
          </cell>
          <cell r="K6035" t="str">
            <v>defsi</v>
          </cell>
        </row>
        <row r="6036">
          <cell r="B6036" t="b">
            <v>0</v>
          </cell>
          <cell r="E6036" t="str">
            <v>Candelaria</v>
          </cell>
          <cell r="H6036" t="str">
            <v>urgencia</v>
          </cell>
          <cell r="J6036" t="str">
            <v>regular</v>
          </cell>
          <cell r="K6036" t="str">
            <v>defsi</v>
          </cell>
        </row>
        <row r="6037">
          <cell r="B6037" t="b">
            <v>1</v>
          </cell>
          <cell r="E6037" t="str">
            <v>Candelaria</v>
          </cell>
          <cell r="H6037" t="str">
            <v>urgencia</v>
          </cell>
          <cell r="J6037" t="str">
            <v>bueno</v>
          </cell>
          <cell r="K6037" t="str">
            <v>defsi</v>
          </cell>
        </row>
        <row r="6038">
          <cell r="B6038" t="b">
            <v>0</v>
          </cell>
          <cell r="E6038" t="str">
            <v>Candelaria</v>
          </cell>
          <cell r="H6038" t="str">
            <v>urgencia</v>
          </cell>
          <cell r="J6038" t="str">
            <v>regular</v>
          </cell>
          <cell r="K6038" t="str">
            <v>defsi</v>
          </cell>
        </row>
        <row r="6039">
          <cell r="B6039" t="b">
            <v>0</v>
          </cell>
          <cell r="E6039" t="str">
            <v>Candelaria</v>
          </cell>
          <cell r="H6039" t="str">
            <v>urgencia</v>
          </cell>
          <cell r="J6039" t="str">
            <v>regular</v>
          </cell>
          <cell r="K6039" t="str">
            <v>defsi</v>
          </cell>
        </row>
        <row r="6040">
          <cell r="B6040" t="b">
            <v>1</v>
          </cell>
          <cell r="E6040" t="str">
            <v>Candelaria</v>
          </cell>
          <cell r="H6040" t="str">
            <v>electros</v>
          </cell>
          <cell r="J6040" t="str">
            <v>bueno</v>
          </cell>
          <cell r="K6040" t="str">
            <v>defsi</v>
          </cell>
        </row>
        <row r="6041">
          <cell r="B6041" t="b">
            <v>1</v>
          </cell>
          <cell r="E6041" t="str">
            <v>Candelaria</v>
          </cell>
          <cell r="H6041" t="str">
            <v>electros</v>
          </cell>
          <cell r="J6041" t="str">
            <v>bueno</v>
          </cell>
          <cell r="K6041" t="str">
            <v>defsi</v>
          </cell>
        </row>
        <row r="6042">
          <cell r="B6042" t="b">
            <v>1</v>
          </cell>
          <cell r="E6042" t="str">
            <v>Candelaria</v>
          </cell>
          <cell r="H6042" t="str">
            <v>electros</v>
          </cell>
          <cell r="J6042" t="str">
            <v>bueno</v>
          </cell>
          <cell r="K6042" t="str">
            <v>defsi</v>
          </cell>
        </row>
        <row r="6043">
          <cell r="B6043" t="b">
            <v>1</v>
          </cell>
          <cell r="E6043" t="str">
            <v>Candelaria</v>
          </cell>
          <cell r="H6043" t="str">
            <v>electros</v>
          </cell>
          <cell r="J6043" t="str">
            <v>bueno</v>
          </cell>
          <cell r="K6043" t="str">
            <v>defsi</v>
          </cell>
        </row>
        <row r="6044">
          <cell r="B6044" t="b">
            <v>1</v>
          </cell>
          <cell r="E6044" t="str">
            <v>Candelaria</v>
          </cell>
          <cell r="H6044" t="str">
            <v>medicina_interna</v>
          </cell>
          <cell r="J6044" t="str">
            <v>bueno</v>
          </cell>
          <cell r="K6044" t="str">
            <v>defsi</v>
          </cell>
        </row>
        <row r="6045">
          <cell r="B6045" t="b">
            <v>1</v>
          </cell>
          <cell r="E6045" t="str">
            <v>Candelaria</v>
          </cell>
          <cell r="H6045" t="str">
            <v>electros</v>
          </cell>
          <cell r="J6045" t="str">
            <v>bueno</v>
          </cell>
          <cell r="K6045" t="str">
            <v>defsi</v>
          </cell>
        </row>
        <row r="6046">
          <cell r="B6046" t="b">
            <v>0</v>
          </cell>
          <cell r="E6046" t="str">
            <v>Candelaria</v>
          </cell>
          <cell r="H6046" t="str">
            <v>urgencia</v>
          </cell>
          <cell r="J6046" t="str">
            <v>regular</v>
          </cell>
          <cell r="K6046" t="str">
            <v>defsi</v>
          </cell>
        </row>
        <row r="6047">
          <cell r="B6047" t="b">
            <v>1</v>
          </cell>
          <cell r="E6047" t="str">
            <v>Santa Ana</v>
          </cell>
          <cell r="H6047" t="str">
            <v>consulta_externa</v>
          </cell>
          <cell r="J6047" t="str">
            <v>bueno</v>
          </cell>
          <cell r="K6047" t="str">
            <v>probsi</v>
          </cell>
        </row>
        <row r="6048">
          <cell r="B6048" t="b">
            <v>1</v>
          </cell>
          <cell r="E6048" t="str">
            <v>Santa Ana</v>
          </cell>
          <cell r="H6048" t="str">
            <v>consulta_externa</v>
          </cell>
          <cell r="J6048" t="str">
            <v>bueno</v>
          </cell>
          <cell r="K6048" t="str">
            <v>probsi</v>
          </cell>
        </row>
        <row r="6049">
          <cell r="B6049" t="b">
            <v>1</v>
          </cell>
          <cell r="E6049" t="str">
            <v>Santa Ana</v>
          </cell>
          <cell r="H6049" t="str">
            <v>consulta_externa</v>
          </cell>
          <cell r="J6049" t="str">
            <v>bueno</v>
          </cell>
          <cell r="K6049" t="str">
            <v>probsi</v>
          </cell>
        </row>
        <row r="6050">
          <cell r="B6050" t="b">
            <v>1</v>
          </cell>
          <cell r="E6050" t="str">
            <v>Santa Ana</v>
          </cell>
          <cell r="H6050" t="str">
            <v>consulta_externa</v>
          </cell>
          <cell r="J6050" t="str">
            <v>bueno</v>
          </cell>
          <cell r="K6050" t="str">
            <v>probsi</v>
          </cell>
        </row>
        <row r="6051">
          <cell r="B6051" t="b">
            <v>1</v>
          </cell>
          <cell r="E6051" t="str">
            <v>Santa Ana</v>
          </cell>
          <cell r="H6051" t="str">
            <v>laboratorio</v>
          </cell>
          <cell r="J6051" t="str">
            <v>bueno</v>
          </cell>
          <cell r="K6051" t="str">
            <v>probsi</v>
          </cell>
        </row>
        <row r="6052">
          <cell r="B6052" t="b">
            <v>1</v>
          </cell>
          <cell r="E6052" t="str">
            <v>Santa Ana</v>
          </cell>
          <cell r="H6052" t="str">
            <v>laboratorio</v>
          </cell>
          <cell r="J6052" t="str">
            <v>bueno</v>
          </cell>
          <cell r="K6052" t="str">
            <v>probsi</v>
          </cell>
        </row>
        <row r="6053">
          <cell r="B6053" t="b">
            <v>1</v>
          </cell>
          <cell r="E6053" t="str">
            <v>Santa Ana</v>
          </cell>
          <cell r="H6053" t="str">
            <v>laboratorio</v>
          </cell>
          <cell r="J6053" t="str">
            <v>bueno</v>
          </cell>
          <cell r="K6053" t="str">
            <v>probsi</v>
          </cell>
        </row>
        <row r="6054">
          <cell r="B6054" t="b">
            <v>1</v>
          </cell>
          <cell r="E6054" t="str">
            <v>Santa Ana</v>
          </cell>
          <cell r="H6054" t="str">
            <v>laboratorio</v>
          </cell>
          <cell r="J6054" t="str">
            <v>bueno</v>
          </cell>
          <cell r="K6054" t="str">
            <v>probsi</v>
          </cell>
        </row>
        <row r="6055">
          <cell r="B6055" t="b">
            <v>1</v>
          </cell>
          <cell r="E6055" t="str">
            <v>Santa Ana</v>
          </cell>
          <cell r="H6055" t="str">
            <v>salud_oral</v>
          </cell>
          <cell r="J6055" t="str">
            <v>bueno</v>
          </cell>
          <cell r="K6055" t="str">
            <v>probsi</v>
          </cell>
        </row>
        <row r="6056">
          <cell r="B6056" t="b">
            <v>1</v>
          </cell>
          <cell r="E6056" t="str">
            <v>Santa Ana</v>
          </cell>
          <cell r="H6056" t="str">
            <v>salud_oral</v>
          </cell>
          <cell r="J6056" t="str">
            <v>bueno</v>
          </cell>
          <cell r="K6056" t="str">
            <v>probsi</v>
          </cell>
        </row>
        <row r="6057">
          <cell r="B6057" t="b">
            <v>1</v>
          </cell>
          <cell r="E6057" t="str">
            <v>Santa Ana</v>
          </cell>
          <cell r="H6057" t="str">
            <v>salud_oral</v>
          </cell>
          <cell r="J6057" t="str">
            <v>bueno</v>
          </cell>
          <cell r="K6057" t="str">
            <v>probsi</v>
          </cell>
        </row>
        <row r="6058">
          <cell r="B6058" t="b">
            <v>1</v>
          </cell>
          <cell r="E6058" t="str">
            <v>Santa Ana</v>
          </cell>
          <cell r="H6058" t="str">
            <v>salud_oral</v>
          </cell>
          <cell r="J6058" t="str">
            <v>bueno</v>
          </cell>
          <cell r="K6058" t="str">
            <v>probsi</v>
          </cell>
        </row>
        <row r="6059">
          <cell r="B6059" t="b">
            <v>1</v>
          </cell>
          <cell r="E6059" t="str">
            <v>Santa Ana</v>
          </cell>
          <cell r="H6059" t="str">
            <v>salud_oral</v>
          </cell>
          <cell r="J6059" t="str">
            <v>bueno</v>
          </cell>
          <cell r="K6059" t="str">
            <v>probsi</v>
          </cell>
        </row>
        <row r="6060">
          <cell r="B6060" t="b">
            <v>1</v>
          </cell>
          <cell r="E6060" t="str">
            <v>Santa Ana</v>
          </cell>
          <cell r="H6060" t="str">
            <v>salud_oral</v>
          </cell>
          <cell r="J6060" t="str">
            <v>bueno</v>
          </cell>
          <cell r="K6060" t="str">
            <v>probsi</v>
          </cell>
        </row>
        <row r="6061">
          <cell r="B6061" t="b">
            <v>1</v>
          </cell>
          <cell r="E6061" t="str">
            <v>Santa Ana</v>
          </cell>
          <cell r="H6061" t="str">
            <v>consulta_externa</v>
          </cell>
          <cell r="J6061" t="str">
            <v>bueno</v>
          </cell>
          <cell r="K6061" t="str">
            <v>probsi</v>
          </cell>
        </row>
        <row r="6062">
          <cell r="B6062" t="b">
            <v>1</v>
          </cell>
          <cell r="E6062" t="str">
            <v>Santa Ana</v>
          </cell>
          <cell r="H6062" t="str">
            <v>consulta_externa</v>
          </cell>
          <cell r="J6062" t="str">
            <v>bueno</v>
          </cell>
          <cell r="K6062" t="str">
            <v>probsi</v>
          </cell>
        </row>
        <row r="6063">
          <cell r="B6063" t="b">
            <v>1</v>
          </cell>
          <cell r="E6063" t="str">
            <v>Santa Ana</v>
          </cell>
          <cell r="H6063" t="str">
            <v>consulta_externa</v>
          </cell>
          <cell r="J6063" t="str">
            <v>bueno</v>
          </cell>
          <cell r="K6063" t="str">
            <v>probsi</v>
          </cell>
        </row>
        <row r="6064">
          <cell r="B6064" t="b">
            <v>1</v>
          </cell>
          <cell r="E6064" t="str">
            <v>Santa Ana</v>
          </cell>
          <cell r="H6064" t="str">
            <v>consulta_externa</v>
          </cell>
          <cell r="J6064" t="str">
            <v>bueno</v>
          </cell>
          <cell r="K6064" t="str">
            <v>probsi</v>
          </cell>
        </row>
        <row r="6065">
          <cell r="B6065" t="b">
            <v>1</v>
          </cell>
          <cell r="E6065" t="str">
            <v>Santa Ana</v>
          </cell>
          <cell r="H6065" t="str">
            <v>consulta_externa</v>
          </cell>
          <cell r="J6065" t="str">
            <v>bueno</v>
          </cell>
          <cell r="K6065" t="str">
            <v>probsi</v>
          </cell>
        </row>
        <row r="6066">
          <cell r="B6066" t="b">
            <v>1</v>
          </cell>
          <cell r="E6066" t="str">
            <v>Santa Ana</v>
          </cell>
          <cell r="H6066" t="str">
            <v>laboratorio</v>
          </cell>
          <cell r="J6066" t="str">
            <v>bueno</v>
          </cell>
          <cell r="K6066" t="str">
            <v>probsi</v>
          </cell>
        </row>
        <row r="6067">
          <cell r="B6067" t="b">
            <v>1</v>
          </cell>
          <cell r="E6067" t="str">
            <v>Santa Ana</v>
          </cell>
          <cell r="H6067" t="str">
            <v>laboratorio</v>
          </cell>
          <cell r="J6067" t="str">
            <v>bueno</v>
          </cell>
          <cell r="K6067" t="str">
            <v>probsi</v>
          </cell>
        </row>
        <row r="6068">
          <cell r="B6068" t="b">
            <v>1</v>
          </cell>
          <cell r="E6068" t="str">
            <v>Santa Ana</v>
          </cell>
          <cell r="H6068" t="str">
            <v>laboratorio</v>
          </cell>
          <cell r="J6068" t="str">
            <v>bueno</v>
          </cell>
          <cell r="K6068" t="str">
            <v>probsi</v>
          </cell>
        </row>
        <row r="6069">
          <cell r="B6069" t="b">
            <v>1</v>
          </cell>
          <cell r="E6069" t="str">
            <v>Santa Ana</v>
          </cell>
          <cell r="H6069" t="str">
            <v>laboratorio</v>
          </cell>
          <cell r="J6069" t="str">
            <v>bueno</v>
          </cell>
          <cell r="K6069" t="str">
            <v>probsi</v>
          </cell>
        </row>
        <row r="6070">
          <cell r="B6070" t="b">
            <v>1</v>
          </cell>
          <cell r="E6070" t="str">
            <v>Candelaria</v>
          </cell>
          <cell r="H6070" t="str">
            <v>medicina_interna</v>
          </cell>
          <cell r="J6070" t="str">
            <v>bueno</v>
          </cell>
          <cell r="K6070" t="str">
            <v>defsi</v>
          </cell>
        </row>
        <row r="6071">
          <cell r="B6071" t="b">
            <v>0</v>
          </cell>
          <cell r="E6071" t="str">
            <v>Candelaria</v>
          </cell>
          <cell r="H6071" t="str">
            <v>medicina_interna</v>
          </cell>
          <cell r="J6071" t="str">
            <v>regular</v>
          </cell>
          <cell r="K6071" t="str">
            <v>defsi</v>
          </cell>
        </row>
        <row r="6072">
          <cell r="B6072" t="b">
            <v>1</v>
          </cell>
          <cell r="E6072" t="str">
            <v>Candelaria</v>
          </cell>
          <cell r="H6072" t="str">
            <v>urgencia</v>
          </cell>
          <cell r="J6072" t="str">
            <v>bueno</v>
          </cell>
          <cell r="K6072" t="str">
            <v>defsi</v>
          </cell>
        </row>
        <row r="6073">
          <cell r="B6073" t="b">
            <v>1</v>
          </cell>
          <cell r="E6073" t="str">
            <v>Hospital Pozon</v>
          </cell>
          <cell r="H6073" t="str">
            <v>consulta_externa</v>
          </cell>
          <cell r="J6073" t="str">
            <v>bueno</v>
          </cell>
          <cell r="K6073" t="str">
            <v>defsi</v>
          </cell>
        </row>
        <row r="6074">
          <cell r="B6074" t="b">
            <v>0</v>
          </cell>
          <cell r="E6074" t="str">
            <v>Candelaria</v>
          </cell>
          <cell r="H6074" t="str">
            <v>urgencia</v>
          </cell>
          <cell r="J6074" t="str">
            <v>regular</v>
          </cell>
          <cell r="K6074" t="str">
            <v>probsi</v>
          </cell>
        </row>
        <row r="6075">
          <cell r="B6075" t="b">
            <v>1</v>
          </cell>
          <cell r="E6075" t="str">
            <v>Hospital Pozon</v>
          </cell>
          <cell r="H6075" t="str">
            <v>salud_oral</v>
          </cell>
          <cell r="J6075" t="str">
            <v>bueno</v>
          </cell>
          <cell r="K6075" t="str">
            <v>defsi</v>
          </cell>
        </row>
        <row r="6076">
          <cell r="B6076" t="b">
            <v>1</v>
          </cell>
          <cell r="E6076" t="str">
            <v>Candelaria</v>
          </cell>
          <cell r="H6076" t="str">
            <v>medicina_interna</v>
          </cell>
          <cell r="J6076" t="str">
            <v>bueno</v>
          </cell>
          <cell r="K6076" t="str">
            <v>defsi</v>
          </cell>
        </row>
        <row r="6077">
          <cell r="B6077" t="b">
            <v>1</v>
          </cell>
          <cell r="E6077" t="str">
            <v>Candelaria</v>
          </cell>
          <cell r="H6077" t="str">
            <v>medicina_interna</v>
          </cell>
          <cell r="J6077" t="str">
            <v>bueno</v>
          </cell>
          <cell r="K6077" t="str">
            <v>defsi</v>
          </cell>
        </row>
        <row r="6078">
          <cell r="B6078" t="b">
            <v>1</v>
          </cell>
          <cell r="E6078" t="str">
            <v>Hospital Pozon</v>
          </cell>
          <cell r="H6078" t="str">
            <v>laboratorio</v>
          </cell>
          <cell r="J6078" t="str">
            <v>bueno</v>
          </cell>
          <cell r="K6078" t="str">
            <v>defsi</v>
          </cell>
        </row>
        <row r="6079">
          <cell r="B6079" t="b">
            <v>1</v>
          </cell>
          <cell r="E6079" t="str">
            <v>Candelaria</v>
          </cell>
          <cell r="H6079" t="str">
            <v>medicina_interna</v>
          </cell>
          <cell r="J6079" t="str">
            <v>muybueno</v>
          </cell>
          <cell r="K6079" t="str">
            <v>defsi</v>
          </cell>
        </row>
        <row r="6080">
          <cell r="B6080" t="b">
            <v>1</v>
          </cell>
          <cell r="E6080" t="str">
            <v>Hospital Pozon</v>
          </cell>
          <cell r="H6080" t="str">
            <v>urgencia</v>
          </cell>
          <cell r="J6080" t="str">
            <v>bueno</v>
          </cell>
          <cell r="K6080" t="str">
            <v>defsi</v>
          </cell>
        </row>
        <row r="6081">
          <cell r="B6081" t="b">
            <v>1</v>
          </cell>
          <cell r="E6081" t="str">
            <v>Tierra Bomba</v>
          </cell>
          <cell r="H6081" t="str">
            <v>consulta_externa</v>
          </cell>
          <cell r="J6081" t="str">
            <v>bueno</v>
          </cell>
          <cell r="K6081" t="str">
            <v>probsi</v>
          </cell>
        </row>
        <row r="6082">
          <cell r="B6082" t="b">
            <v>0</v>
          </cell>
          <cell r="E6082" t="str">
            <v>Candelaria</v>
          </cell>
          <cell r="H6082" t="str">
            <v>urgencia</v>
          </cell>
          <cell r="J6082" t="str">
            <v>regular</v>
          </cell>
          <cell r="K6082" t="str">
            <v>defsi</v>
          </cell>
        </row>
        <row r="6083">
          <cell r="B6083" t="b">
            <v>1</v>
          </cell>
          <cell r="E6083" t="str">
            <v>Tierra Bomba</v>
          </cell>
          <cell r="H6083" t="str">
            <v>consulta_externa</v>
          </cell>
          <cell r="J6083" t="str">
            <v>bueno</v>
          </cell>
          <cell r="K6083" t="str">
            <v>probsi</v>
          </cell>
        </row>
        <row r="6084">
          <cell r="B6084" t="b">
            <v>1</v>
          </cell>
          <cell r="E6084" t="str">
            <v>Tierra Bomba</v>
          </cell>
          <cell r="H6084" t="str">
            <v>consulta_externa</v>
          </cell>
          <cell r="J6084" t="str">
            <v>bueno</v>
          </cell>
          <cell r="K6084" t="str">
            <v>probsi</v>
          </cell>
        </row>
        <row r="6085">
          <cell r="B6085" t="b">
            <v>1</v>
          </cell>
          <cell r="E6085" t="str">
            <v>Tierra Bomba</v>
          </cell>
          <cell r="H6085" t="str">
            <v>laboratorio</v>
          </cell>
          <cell r="J6085" t="str">
            <v>bueno</v>
          </cell>
          <cell r="K6085" t="str">
            <v>probsi</v>
          </cell>
        </row>
        <row r="6086">
          <cell r="B6086" t="b">
            <v>1</v>
          </cell>
          <cell r="E6086" t="str">
            <v>Hospital Pozon</v>
          </cell>
          <cell r="H6086" t="str">
            <v>ecografias</v>
          </cell>
          <cell r="J6086" t="str">
            <v>bueno</v>
          </cell>
          <cell r="K6086" t="str">
            <v>defsi</v>
          </cell>
        </row>
        <row r="6087">
          <cell r="B6087" t="b">
            <v>1</v>
          </cell>
          <cell r="E6087" t="str">
            <v>Hospital Pozon</v>
          </cell>
          <cell r="H6087" t="str">
            <v>ecografias</v>
          </cell>
          <cell r="J6087" t="str">
            <v>bueno</v>
          </cell>
          <cell r="K6087" t="str">
            <v>defsi</v>
          </cell>
        </row>
        <row r="6088">
          <cell r="B6088" t="b">
            <v>1</v>
          </cell>
          <cell r="E6088" t="str">
            <v>Hospital Pozon</v>
          </cell>
          <cell r="H6088" t="str">
            <v>ginecologia</v>
          </cell>
          <cell r="J6088" t="str">
            <v>bueno</v>
          </cell>
          <cell r="K6088" t="str">
            <v>defsi</v>
          </cell>
        </row>
        <row r="6089">
          <cell r="B6089" t="b">
            <v>1</v>
          </cell>
          <cell r="E6089" t="str">
            <v>Hospital Pozon</v>
          </cell>
          <cell r="H6089" t="str">
            <v>pediatria</v>
          </cell>
          <cell r="J6089" t="str">
            <v>bueno</v>
          </cell>
          <cell r="K6089" t="str">
            <v>defsi</v>
          </cell>
        </row>
        <row r="6090">
          <cell r="B6090" t="b">
            <v>1</v>
          </cell>
          <cell r="E6090" t="str">
            <v>Candelaria</v>
          </cell>
          <cell r="H6090" t="str">
            <v>urgencia</v>
          </cell>
          <cell r="J6090" t="str">
            <v>bueno</v>
          </cell>
          <cell r="K6090" t="str">
            <v>defsi</v>
          </cell>
        </row>
        <row r="6091">
          <cell r="B6091" t="b">
            <v>1</v>
          </cell>
          <cell r="E6091" t="str">
            <v>Candelaria</v>
          </cell>
          <cell r="H6091" t="str">
            <v>urgencia</v>
          </cell>
          <cell r="J6091" t="str">
            <v>bueno</v>
          </cell>
          <cell r="K6091" t="str">
            <v>defsi</v>
          </cell>
        </row>
        <row r="6092">
          <cell r="B6092" t="b">
            <v>1</v>
          </cell>
          <cell r="E6092" t="str">
            <v>Hospital Pozon</v>
          </cell>
          <cell r="H6092" t="str">
            <v>consulta_externa</v>
          </cell>
          <cell r="J6092" t="str">
            <v>bueno</v>
          </cell>
          <cell r="K6092" t="str">
            <v>defsi</v>
          </cell>
        </row>
        <row r="6093">
          <cell r="B6093" t="b">
            <v>1</v>
          </cell>
          <cell r="E6093" t="str">
            <v>Hospital Pozon</v>
          </cell>
          <cell r="H6093" t="str">
            <v>salud_oral</v>
          </cell>
          <cell r="J6093" t="str">
            <v>bueno</v>
          </cell>
          <cell r="K6093" t="str">
            <v>defsi</v>
          </cell>
        </row>
        <row r="6094">
          <cell r="B6094" t="b">
            <v>1</v>
          </cell>
          <cell r="E6094" t="str">
            <v>Hospital Pozon</v>
          </cell>
          <cell r="H6094" t="str">
            <v>laboratorio</v>
          </cell>
          <cell r="J6094" t="str">
            <v>bueno</v>
          </cell>
          <cell r="K6094" t="str">
            <v>defsi</v>
          </cell>
        </row>
        <row r="6095">
          <cell r="B6095" t="b">
            <v>1</v>
          </cell>
          <cell r="E6095" t="str">
            <v>Pozon</v>
          </cell>
          <cell r="H6095" t="str">
            <v>consulta_externa</v>
          </cell>
          <cell r="J6095" t="str">
            <v>bueno</v>
          </cell>
          <cell r="K6095" t="str">
            <v>defsi</v>
          </cell>
        </row>
        <row r="6096">
          <cell r="B6096" t="b">
            <v>1</v>
          </cell>
          <cell r="E6096" t="str">
            <v>Pozon</v>
          </cell>
          <cell r="H6096" t="str">
            <v>salud_oral</v>
          </cell>
          <cell r="J6096" t="str">
            <v>bueno</v>
          </cell>
          <cell r="K6096" t="str">
            <v>defsi</v>
          </cell>
        </row>
        <row r="6097">
          <cell r="B6097" t="b">
            <v>1</v>
          </cell>
          <cell r="E6097" t="str">
            <v>Pozon</v>
          </cell>
          <cell r="H6097" t="str">
            <v>laboratorio</v>
          </cell>
          <cell r="J6097" t="str">
            <v>bueno</v>
          </cell>
          <cell r="K6097" t="str">
            <v>defsi</v>
          </cell>
        </row>
        <row r="6098">
          <cell r="B6098" t="b">
            <v>1</v>
          </cell>
          <cell r="E6098" t="str">
            <v>Pozon</v>
          </cell>
          <cell r="H6098" t="str">
            <v>consulta_externa</v>
          </cell>
          <cell r="J6098" t="str">
            <v>bueno</v>
          </cell>
          <cell r="K6098" t="str">
            <v>defsi</v>
          </cell>
        </row>
        <row r="6099">
          <cell r="B6099" t="b">
            <v>1</v>
          </cell>
          <cell r="E6099" t="str">
            <v>Pozon</v>
          </cell>
          <cell r="H6099" t="str">
            <v>salud_oral</v>
          </cell>
          <cell r="J6099" t="str">
            <v>bueno</v>
          </cell>
          <cell r="K6099" t="str">
            <v>defsi</v>
          </cell>
        </row>
        <row r="6100">
          <cell r="B6100" t="b">
            <v>1</v>
          </cell>
          <cell r="E6100" t="str">
            <v>Pozon</v>
          </cell>
          <cell r="H6100" t="str">
            <v>laboratorio</v>
          </cell>
          <cell r="J6100" t="str">
            <v>bueno</v>
          </cell>
          <cell r="K6100" t="str">
            <v>defsi</v>
          </cell>
        </row>
        <row r="6101">
          <cell r="B6101" t="b">
            <v>1</v>
          </cell>
          <cell r="E6101" t="str">
            <v>Pozon</v>
          </cell>
          <cell r="H6101" t="str">
            <v>consulta_externa</v>
          </cell>
          <cell r="J6101" t="str">
            <v>bueno</v>
          </cell>
          <cell r="K6101" t="str">
            <v>defsi</v>
          </cell>
        </row>
        <row r="6102">
          <cell r="B6102" t="b">
            <v>1</v>
          </cell>
          <cell r="E6102" t="str">
            <v>Pozon</v>
          </cell>
          <cell r="H6102" t="str">
            <v>salud_oral</v>
          </cell>
          <cell r="J6102" t="str">
            <v>bueno</v>
          </cell>
          <cell r="K6102" t="str">
            <v>defsi</v>
          </cell>
        </row>
        <row r="6103">
          <cell r="B6103" t="b">
            <v>1</v>
          </cell>
          <cell r="E6103" t="str">
            <v>Santa Ana</v>
          </cell>
          <cell r="H6103" t="str">
            <v>consulta_externa</v>
          </cell>
          <cell r="J6103" t="str">
            <v>bueno</v>
          </cell>
          <cell r="K6103" t="str">
            <v>probsi</v>
          </cell>
        </row>
        <row r="6104">
          <cell r="B6104" t="b">
            <v>1</v>
          </cell>
          <cell r="E6104" t="str">
            <v>Pozon</v>
          </cell>
          <cell r="H6104" t="str">
            <v>laboratorio</v>
          </cell>
          <cell r="J6104" t="str">
            <v>bueno</v>
          </cell>
          <cell r="K6104" t="str">
            <v>defsi</v>
          </cell>
        </row>
        <row r="6105">
          <cell r="B6105" t="b">
            <v>1</v>
          </cell>
          <cell r="E6105" t="str">
            <v>Pozon</v>
          </cell>
          <cell r="H6105" t="str">
            <v>consulta_externa</v>
          </cell>
          <cell r="J6105" t="str">
            <v>bueno</v>
          </cell>
          <cell r="K6105" t="str">
            <v>defsi</v>
          </cell>
        </row>
        <row r="6106">
          <cell r="B6106" t="b">
            <v>1</v>
          </cell>
          <cell r="E6106" t="str">
            <v>Tierra Bomba</v>
          </cell>
          <cell r="H6106" t="str">
            <v>consulta_externa</v>
          </cell>
          <cell r="J6106" t="str">
            <v>bueno</v>
          </cell>
          <cell r="K6106" t="str">
            <v>probsi</v>
          </cell>
        </row>
        <row r="6107">
          <cell r="B6107" t="b">
            <v>1</v>
          </cell>
          <cell r="E6107" t="str">
            <v>Tierra Bomba</v>
          </cell>
          <cell r="H6107" t="str">
            <v>consulta_externa</v>
          </cell>
          <cell r="J6107" t="str">
            <v>bueno</v>
          </cell>
          <cell r="K6107" t="str">
            <v>probsi</v>
          </cell>
        </row>
        <row r="6108">
          <cell r="B6108" t="b">
            <v>1</v>
          </cell>
          <cell r="E6108" t="str">
            <v>Tierra Bomba</v>
          </cell>
          <cell r="H6108" t="str">
            <v>consulta_externa</v>
          </cell>
          <cell r="J6108" t="str">
            <v>bueno</v>
          </cell>
          <cell r="K6108" t="str">
            <v>probsi</v>
          </cell>
        </row>
        <row r="6109">
          <cell r="B6109" t="b">
            <v>1</v>
          </cell>
          <cell r="E6109" t="str">
            <v>Tierra Bomba</v>
          </cell>
          <cell r="H6109" t="str">
            <v>consulta_externa</v>
          </cell>
          <cell r="J6109" t="str">
            <v>bueno</v>
          </cell>
          <cell r="K6109" t="str">
            <v>probsi</v>
          </cell>
        </row>
        <row r="6110">
          <cell r="B6110" t="b">
            <v>1</v>
          </cell>
          <cell r="E6110" t="str">
            <v>Tierra Bomba</v>
          </cell>
          <cell r="H6110" t="str">
            <v>consulta_externa</v>
          </cell>
          <cell r="J6110" t="str">
            <v>bueno</v>
          </cell>
          <cell r="K6110" t="str">
            <v>probsi</v>
          </cell>
        </row>
        <row r="6111">
          <cell r="B6111" t="b">
            <v>1</v>
          </cell>
          <cell r="E6111" t="str">
            <v>Tierra Bomba</v>
          </cell>
          <cell r="H6111" t="str">
            <v>consulta_externa</v>
          </cell>
          <cell r="J6111" t="str">
            <v>bueno</v>
          </cell>
          <cell r="K6111" t="str">
            <v>probsi</v>
          </cell>
        </row>
        <row r="6112">
          <cell r="B6112" t="b">
            <v>1</v>
          </cell>
          <cell r="E6112" t="str">
            <v>Tierra Bomba</v>
          </cell>
          <cell r="H6112" t="str">
            <v>laboratorio</v>
          </cell>
          <cell r="J6112" t="str">
            <v>bueno</v>
          </cell>
          <cell r="K6112" t="str">
            <v>probsi</v>
          </cell>
        </row>
        <row r="6113">
          <cell r="B6113" t="b">
            <v>1</v>
          </cell>
          <cell r="E6113" t="str">
            <v>Tierra Bomba</v>
          </cell>
          <cell r="H6113" t="str">
            <v>laboratorio</v>
          </cell>
          <cell r="J6113" t="str">
            <v>bueno</v>
          </cell>
          <cell r="K6113" t="str">
            <v>probsi</v>
          </cell>
        </row>
        <row r="6114">
          <cell r="B6114" t="b">
            <v>1</v>
          </cell>
          <cell r="E6114" t="str">
            <v>Tierra Bomba</v>
          </cell>
          <cell r="H6114" t="str">
            <v>laboratorio</v>
          </cell>
          <cell r="J6114" t="str">
            <v>bueno</v>
          </cell>
          <cell r="K6114" t="str">
            <v>probsi</v>
          </cell>
        </row>
        <row r="6115">
          <cell r="B6115" t="b">
            <v>1</v>
          </cell>
          <cell r="E6115" t="str">
            <v>Tierra Bomba</v>
          </cell>
          <cell r="H6115" t="str">
            <v>laboratorio</v>
          </cell>
          <cell r="J6115" t="str">
            <v>bueno</v>
          </cell>
          <cell r="K6115" t="str">
            <v>probsi</v>
          </cell>
        </row>
        <row r="6116">
          <cell r="B6116" t="b">
            <v>1</v>
          </cell>
          <cell r="E6116" t="str">
            <v>Tierra Bomba</v>
          </cell>
          <cell r="H6116" t="str">
            <v>salud_oral</v>
          </cell>
          <cell r="J6116" t="str">
            <v>bueno</v>
          </cell>
          <cell r="K6116" t="str">
            <v>probsi</v>
          </cell>
        </row>
        <row r="6117">
          <cell r="B6117" t="b">
            <v>1</v>
          </cell>
          <cell r="E6117" t="str">
            <v>Tierra Bomba</v>
          </cell>
          <cell r="H6117" t="str">
            <v>salud_oral</v>
          </cell>
          <cell r="J6117" t="str">
            <v>bueno</v>
          </cell>
          <cell r="K6117" t="str">
            <v>probsi</v>
          </cell>
        </row>
        <row r="6118">
          <cell r="B6118" t="b">
            <v>1</v>
          </cell>
          <cell r="E6118" t="str">
            <v>Tierra Bomba</v>
          </cell>
          <cell r="H6118" t="str">
            <v>salud_oral</v>
          </cell>
          <cell r="J6118" t="str">
            <v>bueno</v>
          </cell>
          <cell r="K6118" t="str">
            <v>probsi</v>
          </cell>
        </row>
        <row r="6119">
          <cell r="B6119" t="b">
            <v>1</v>
          </cell>
          <cell r="E6119" t="str">
            <v>Tierra Bomba</v>
          </cell>
          <cell r="H6119" t="str">
            <v>salud_oral</v>
          </cell>
          <cell r="J6119" t="str">
            <v>bueno</v>
          </cell>
          <cell r="K6119" t="str">
            <v>probsi</v>
          </cell>
        </row>
        <row r="6120">
          <cell r="B6120" t="b">
            <v>1</v>
          </cell>
          <cell r="E6120" t="str">
            <v>Tierra Bomba</v>
          </cell>
          <cell r="H6120" t="str">
            <v>salud_oral</v>
          </cell>
          <cell r="J6120" t="str">
            <v>bueno</v>
          </cell>
          <cell r="K6120" t="str">
            <v>probsi</v>
          </cell>
        </row>
        <row r="6121">
          <cell r="B6121" t="b">
            <v>1</v>
          </cell>
          <cell r="E6121" t="str">
            <v>Pozon</v>
          </cell>
          <cell r="H6121" t="str">
            <v>salud_oral</v>
          </cell>
          <cell r="J6121" t="str">
            <v>bueno</v>
          </cell>
          <cell r="K6121" t="str">
            <v>defsi</v>
          </cell>
        </row>
        <row r="6122">
          <cell r="B6122" t="b">
            <v>1</v>
          </cell>
          <cell r="E6122" t="str">
            <v>Tierra Bomba</v>
          </cell>
          <cell r="H6122" t="str">
            <v>salud_oral</v>
          </cell>
          <cell r="J6122" t="str">
            <v>bueno</v>
          </cell>
          <cell r="K6122" t="str">
            <v>probsi</v>
          </cell>
        </row>
        <row r="6123">
          <cell r="B6123" t="b">
            <v>1</v>
          </cell>
          <cell r="E6123" t="str">
            <v>Pozon</v>
          </cell>
          <cell r="H6123" t="str">
            <v>laboratorio</v>
          </cell>
          <cell r="J6123" t="str">
            <v>bueno</v>
          </cell>
          <cell r="K6123" t="str">
            <v>defsi</v>
          </cell>
        </row>
        <row r="6124">
          <cell r="B6124" t="b">
            <v>1</v>
          </cell>
          <cell r="E6124" t="str">
            <v>Pozon</v>
          </cell>
          <cell r="H6124" t="str">
            <v>consulta_externa</v>
          </cell>
          <cell r="J6124" t="str">
            <v>bueno</v>
          </cell>
          <cell r="K6124" t="str">
            <v>defsi</v>
          </cell>
        </row>
        <row r="6125">
          <cell r="B6125" t="b">
            <v>1</v>
          </cell>
          <cell r="E6125" t="str">
            <v>Pozon</v>
          </cell>
          <cell r="H6125" t="str">
            <v>salud_oral</v>
          </cell>
          <cell r="J6125" t="str">
            <v>bueno</v>
          </cell>
          <cell r="K6125" t="str">
            <v>defsi</v>
          </cell>
        </row>
        <row r="6126">
          <cell r="B6126" t="b">
            <v>1</v>
          </cell>
          <cell r="E6126" t="str">
            <v>Pozon</v>
          </cell>
          <cell r="H6126" t="str">
            <v>laboratorio</v>
          </cell>
          <cell r="J6126" t="str">
            <v>bueno</v>
          </cell>
          <cell r="K6126" t="str">
            <v>defsi</v>
          </cell>
        </row>
        <row r="6127">
          <cell r="B6127" t="b">
            <v>1</v>
          </cell>
          <cell r="E6127" t="str">
            <v>Pozon</v>
          </cell>
          <cell r="H6127" t="str">
            <v>consulta_externa</v>
          </cell>
          <cell r="J6127" t="str">
            <v>bueno</v>
          </cell>
          <cell r="K6127" t="str">
            <v>defsi</v>
          </cell>
        </row>
        <row r="6128">
          <cell r="B6128" t="b">
            <v>1</v>
          </cell>
          <cell r="E6128" t="str">
            <v>Pozon</v>
          </cell>
          <cell r="H6128" t="str">
            <v>salud_oral</v>
          </cell>
          <cell r="J6128" t="str">
            <v>bueno</v>
          </cell>
          <cell r="K6128" t="str">
            <v>defsi</v>
          </cell>
        </row>
        <row r="6129">
          <cell r="B6129" t="b">
            <v>1</v>
          </cell>
          <cell r="E6129" t="str">
            <v>Pozon</v>
          </cell>
          <cell r="H6129" t="str">
            <v>consulta_externa</v>
          </cell>
          <cell r="J6129" t="str">
            <v>bueno</v>
          </cell>
          <cell r="K6129" t="str">
            <v>defsi</v>
          </cell>
        </row>
        <row r="6130">
          <cell r="B6130" t="b">
            <v>1</v>
          </cell>
          <cell r="E6130" t="str">
            <v>Pozon</v>
          </cell>
          <cell r="H6130" t="str">
            <v>salud_oral</v>
          </cell>
          <cell r="J6130" t="str">
            <v>bueno</v>
          </cell>
          <cell r="K6130" t="str">
            <v>defsi</v>
          </cell>
        </row>
        <row r="6131">
          <cell r="B6131" t="b">
            <v>1</v>
          </cell>
          <cell r="E6131" t="str">
            <v>Pozon</v>
          </cell>
          <cell r="H6131" t="str">
            <v>laboratorio</v>
          </cell>
          <cell r="J6131" t="str">
            <v>bueno</v>
          </cell>
          <cell r="K6131" t="str">
            <v>defsi</v>
          </cell>
        </row>
        <row r="6132">
          <cell r="B6132" t="b">
            <v>1</v>
          </cell>
          <cell r="E6132" t="str">
            <v>Pozon</v>
          </cell>
          <cell r="H6132" t="str">
            <v>consulta_externa</v>
          </cell>
          <cell r="J6132" t="str">
            <v>bueno</v>
          </cell>
          <cell r="K6132" t="str">
            <v>defsi</v>
          </cell>
        </row>
        <row r="6133">
          <cell r="B6133" t="b">
            <v>1</v>
          </cell>
          <cell r="E6133" t="str">
            <v>Pozon</v>
          </cell>
          <cell r="H6133" t="str">
            <v>salud_oral</v>
          </cell>
          <cell r="J6133" t="str">
            <v>bueno</v>
          </cell>
          <cell r="K6133" t="str">
            <v>defsi</v>
          </cell>
        </row>
        <row r="6134">
          <cell r="B6134" t="b">
            <v>1</v>
          </cell>
          <cell r="E6134" t="str">
            <v>Pozon</v>
          </cell>
          <cell r="H6134" t="str">
            <v>laboratorio</v>
          </cell>
          <cell r="J6134" t="str">
            <v>bueno</v>
          </cell>
          <cell r="K6134" t="str">
            <v>defsi</v>
          </cell>
        </row>
        <row r="6135">
          <cell r="B6135" t="b">
            <v>1</v>
          </cell>
          <cell r="E6135" t="str">
            <v>Pozon</v>
          </cell>
          <cell r="H6135" t="str">
            <v>consulta_externa</v>
          </cell>
          <cell r="J6135" t="str">
            <v>bueno</v>
          </cell>
          <cell r="K6135" t="str">
            <v>defsi</v>
          </cell>
        </row>
        <row r="6136">
          <cell r="B6136" t="b">
            <v>1</v>
          </cell>
          <cell r="E6136" t="str">
            <v>Pozon</v>
          </cell>
          <cell r="H6136" t="str">
            <v>salud_oral</v>
          </cell>
          <cell r="J6136" t="str">
            <v>bueno</v>
          </cell>
          <cell r="K6136" t="str">
            <v>defsi</v>
          </cell>
        </row>
        <row r="6137">
          <cell r="B6137" t="b">
            <v>1</v>
          </cell>
          <cell r="E6137" t="str">
            <v>Pozon</v>
          </cell>
          <cell r="H6137" t="str">
            <v>laboratorio</v>
          </cell>
          <cell r="J6137" t="str">
            <v>bueno</v>
          </cell>
          <cell r="K6137" t="str">
            <v>defsi</v>
          </cell>
        </row>
        <row r="6138">
          <cell r="B6138" t="b">
            <v>1</v>
          </cell>
          <cell r="E6138" t="str">
            <v>Pozon</v>
          </cell>
          <cell r="H6138" t="str">
            <v>consulta_externa</v>
          </cell>
          <cell r="J6138" t="str">
            <v>bueno</v>
          </cell>
          <cell r="K6138" t="str">
            <v>defsi</v>
          </cell>
        </row>
        <row r="6139">
          <cell r="B6139" t="b">
            <v>1</v>
          </cell>
          <cell r="E6139" t="str">
            <v>Pozon</v>
          </cell>
          <cell r="H6139" t="str">
            <v>salud_oral</v>
          </cell>
          <cell r="J6139" t="str">
            <v>bueno</v>
          </cell>
          <cell r="K6139" t="str">
            <v>defsi</v>
          </cell>
        </row>
        <row r="6140">
          <cell r="B6140" t="b">
            <v>1</v>
          </cell>
          <cell r="E6140" t="str">
            <v>Pozon</v>
          </cell>
          <cell r="H6140" t="str">
            <v>laboratorio</v>
          </cell>
          <cell r="J6140" t="str">
            <v>bueno</v>
          </cell>
          <cell r="K6140" t="str">
            <v>defsi</v>
          </cell>
        </row>
        <row r="6141">
          <cell r="B6141" t="b">
            <v>1</v>
          </cell>
          <cell r="E6141" t="str">
            <v>Pozon</v>
          </cell>
          <cell r="H6141" t="str">
            <v>consulta_externa</v>
          </cell>
          <cell r="J6141" t="str">
            <v>bueno</v>
          </cell>
          <cell r="K6141" t="str">
            <v>defsi</v>
          </cell>
        </row>
        <row r="6142">
          <cell r="B6142" t="b">
            <v>1</v>
          </cell>
          <cell r="E6142" t="str">
            <v>Pozon</v>
          </cell>
          <cell r="H6142" t="str">
            <v>salud_oral</v>
          </cell>
          <cell r="J6142" t="str">
            <v>bueno</v>
          </cell>
          <cell r="K6142" t="str">
            <v>defsi</v>
          </cell>
        </row>
        <row r="6143">
          <cell r="B6143" t="b">
            <v>1</v>
          </cell>
          <cell r="E6143" t="str">
            <v>Pozon</v>
          </cell>
          <cell r="H6143" t="str">
            <v>laboratorio</v>
          </cell>
          <cell r="J6143" t="str">
            <v>bueno</v>
          </cell>
          <cell r="K6143" t="str">
            <v>defsi</v>
          </cell>
        </row>
        <row r="6144">
          <cell r="B6144" t="b">
            <v>1</v>
          </cell>
          <cell r="E6144" t="str">
            <v>Candelaria</v>
          </cell>
          <cell r="H6144" t="str">
            <v>urgencia</v>
          </cell>
          <cell r="J6144" t="str">
            <v>bueno</v>
          </cell>
          <cell r="K6144" t="str">
            <v>defsi</v>
          </cell>
        </row>
        <row r="6145">
          <cell r="B6145" t="b">
            <v>1</v>
          </cell>
          <cell r="E6145" t="str">
            <v>Candelaria</v>
          </cell>
          <cell r="H6145" t="str">
            <v>urgencia</v>
          </cell>
          <cell r="J6145" t="str">
            <v>bueno</v>
          </cell>
          <cell r="K6145" t="str">
            <v>defsi</v>
          </cell>
        </row>
        <row r="6146">
          <cell r="B6146" t="b">
            <v>1</v>
          </cell>
          <cell r="E6146" t="str">
            <v>Candelaria</v>
          </cell>
          <cell r="H6146" t="str">
            <v>urgencia</v>
          </cell>
          <cell r="J6146" t="str">
            <v>bueno</v>
          </cell>
          <cell r="K6146" t="str">
            <v>defsi</v>
          </cell>
        </row>
        <row r="6147">
          <cell r="B6147" t="b">
            <v>1</v>
          </cell>
          <cell r="E6147" t="str">
            <v>Candelaria</v>
          </cell>
          <cell r="H6147" t="str">
            <v>electros</v>
          </cell>
          <cell r="J6147" t="str">
            <v>bueno</v>
          </cell>
          <cell r="K6147" t="str">
            <v>defsi</v>
          </cell>
        </row>
        <row r="6148">
          <cell r="B6148" t="b">
            <v>1</v>
          </cell>
          <cell r="E6148" t="str">
            <v>Candelaria</v>
          </cell>
          <cell r="H6148" t="str">
            <v>electros</v>
          </cell>
          <cell r="J6148" t="str">
            <v>bueno</v>
          </cell>
          <cell r="K6148" t="str">
            <v>defsi</v>
          </cell>
        </row>
        <row r="6149">
          <cell r="B6149" t="b">
            <v>1</v>
          </cell>
          <cell r="E6149" t="str">
            <v>Arroz Barato</v>
          </cell>
          <cell r="H6149" t="str">
            <v>rx</v>
          </cell>
          <cell r="J6149" t="str">
            <v>bueno</v>
          </cell>
          <cell r="K6149" t="str">
            <v>defsi</v>
          </cell>
        </row>
        <row r="6150">
          <cell r="B6150" t="b">
            <v>1</v>
          </cell>
          <cell r="E6150" t="str">
            <v>Arroz Barato</v>
          </cell>
          <cell r="H6150" t="str">
            <v>rx</v>
          </cell>
          <cell r="J6150" t="str">
            <v>bueno</v>
          </cell>
          <cell r="K6150" t="str">
            <v>defsi</v>
          </cell>
        </row>
        <row r="6151">
          <cell r="B6151" t="b">
            <v>1</v>
          </cell>
          <cell r="E6151" t="str">
            <v>Arroz Barato</v>
          </cell>
          <cell r="H6151" t="str">
            <v>rx</v>
          </cell>
          <cell r="J6151" t="str">
            <v>bueno</v>
          </cell>
          <cell r="K6151" t="str">
            <v>defsi</v>
          </cell>
        </row>
        <row r="6152">
          <cell r="B6152" t="b">
            <v>1</v>
          </cell>
          <cell r="E6152" t="str">
            <v>Arroz Barato</v>
          </cell>
          <cell r="H6152" t="str">
            <v>rx</v>
          </cell>
          <cell r="J6152" t="str">
            <v>bueno</v>
          </cell>
          <cell r="K6152" t="str">
            <v>defsi</v>
          </cell>
        </row>
        <row r="6153">
          <cell r="B6153" t="b">
            <v>0</v>
          </cell>
          <cell r="E6153" t="str">
            <v>Arroz Barato</v>
          </cell>
          <cell r="H6153" t="str">
            <v>urgencia</v>
          </cell>
          <cell r="J6153" t="str">
            <v>regular</v>
          </cell>
          <cell r="K6153" t="str">
            <v>defsi</v>
          </cell>
        </row>
        <row r="6154">
          <cell r="B6154" t="b">
            <v>1</v>
          </cell>
          <cell r="E6154" t="str">
            <v>Arroz Barato</v>
          </cell>
          <cell r="H6154" t="str">
            <v>urgencia</v>
          </cell>
          <cell r="J6154" t="str">
            <v>bueno</v>
          </cell>
          <cell r="K6154" t="str">
            <v>defsi</v>
          </cell>
        </row>
        <row r="6155">
          <cell r="B6155" t="b">
            <v>1</v>
          </cell>
          <cell r="E6155" t="str">
            <v>Arroz Barato</v>
          </cell>
          <cell r="H6155" t="str">
            <v>rx</v>
          </cell>
          <cell r="J6155" t="str">
            <v>bueno</v>
          </cell>
          <cell r="K6155" t="str">
            <v>defsi</v>
          </cell>
        </row>
        <row r="6156">
          <cell r="B6156" t="b">
            <v>1</v>
          </cell>
          <cell r="E6156" t="str">
            <v>San Vicente de Paul</v>
          </cell>
          <cell r="H6156" t="str">
            <v>consulta_externa</v>
          </cell>
          <cell r="J6156" t="str">
            <v>bueno</v>
          </cell>
          <cell r="K6156" t="str">
            <v>probsi</v>
          </cell>
        </row>
        <row r="6157">
          <cell r="B6157" t="b">
            <v>1</v>
          </cell>
          <cell r="E6157" t="str">
            <v>San Vicente de Paul</v>
          </cell>
          <cell r="H6157" t="str">
            <v>consulta_externa</v>
          </cell>
          <cell r="J6157" t="str">
            <v>bueno</v>
          </cell>
          <cell r="K6157" t="str">
            <v>probsi</v>
          </cell>
        </row>
        <row r="6158">
          <cell r="B6158" t="b">
            <v>1</v>
          </cell>
          <cell r="E6158" t="str">
            <v>San Vicente de Paul</v>
          </cell>
          <cell r="H6158" t="str">
            <v>laboratorio</v>
          </cell>
          <cell r="J6158" t="str">
            <v>bueno</v>
          </cell>
          <cell r="K6158" t="str">
            <v>probsi</v>
          </cell>
        </row>
        <row r="6159">
          <cell r="B6159" t="b">
            <v>1</v>
          </cell>
          <cell r="E6159" t="str">
            <v>San Vicente de Paul</v>
          </cell>
          <cell r="H6159" t="str">
            <v>consulta_externa</v>
          </cell>
          <cell r="J6159" t="str">
            <v>bueno</v>
          </cell>
          <cell r="K6159" t="str">
            <v>defsi</v>
          </cell>
        </row>
        <row r="6160">
          <cell r="B6160" t="b">
            <v>1</v>
          </cell>
          <cell r="E6160" t="str">
            <v>San Vicente de Paul</v>
          </cell>
          <cell r="H6160" t="str">
            <v>consulta_externa</v>
          </cell>
          <cell r="J6160" t="str">
            <v>bueno</v>
          </cell>
          <cell r="K6160" t="str">
            <v>defsi</v>
          </cell>
        </row>
        <row r="6161">
          <cell r="B6161" t="b">
            <v>1</v>
          </cell>
          <cell r="E6161" t="str">
            <v>San Vicente de Paul</v>
          </cell>
          <cell r="H6161" t="str">
            <v>consulta_externa</v>
          </cell>
          <cell r="J6161" t="str">
            <v>bueno</v>
          </cell>
          <cell r="K6161" t="str">
            <v>defsi</v>
          </cell>
        </row>
        <row r="6162">
          <cell r="B6162" t="b">
            <v>1</v>
          </cell>
          <cell r="E6162" t="str">
            <v>San Vicente de Paul</v>
          </cell>
          <cell r="H6162" t="str">
            <v>consulta_externa</v>
          </cell>
          <cell r="J6162" t="str">
            <v>bueno</v>
          </cell>
          <cell r="K6162" t="str">
            <v>defsi</v>
          </cell>
        </row>
        <row r="6163">
          <cell r="B6163" t="b">
            <v>1</v>
          </cell>
          <cell r="E6163" t="str">
            <v>San Vicente de Paul</v>
          </cell>
          <cell r="H6163" t="str">
            <v>consulta_externa</v>
          </cell>
          <cell r="J6163" t="str">
            <v>bueno</v>
          </cell>
          <cell r="K6163" t="str">
            <v>defsi</v>
          </cell>
        </row>
        <row r="6164">
          <cell r="B6164" t="b">
            <v>1</v>
          </cell>
          <cell r="E6164" t="str">
            <v>San Vicente de Paul</v>
          </cell>
          <cell r="H6164" t="str">
            <v>laboratorio</v>
          </cell>
          <cell r="J6164" t="str">
            <v>bueno</v>
          </cell>
          <cell r="K6164" t="str">
            <v>defsi</v>
          </cell>
        </row>
        <row r="6165">
          <cell r="B6165" t="b">
            <v>1</v>
          </cell>
          <cell r="E6165" t="str">
            <v>San Vicente de Paul</v>
          </cell>
          <cell r="H6165" t="str">
            <v>laboratorio</v>
          </cell>
          <cell r="J6165" t="str">
            <v>bueno</v>
          </cell>
          <cell r="K6165" t="str">
            <v>defsi</v>
          </cell>
        </row>
        <row r="6166">
          <cell r="B6166" t="b">
            <v>1</v>
          </cell>
          <cell r="E6166" t="str">
            <v>San Vicente de Paul</v>
          </cell>
          <cell r="H6166" t="str">
            <v>laboratorio</v>
          </cell>
          <cell r="J6166" t="str">
            <v>bueno</v>
          </cell>
          <cell r="K6166" t="str">
            <v>defsi</v>
          </cell>
        </row>
        <row r="6167">
          <cell r="B6167" t="b">
            <v>1</v>
          </cell>
          <cell r="E6167" t="str">
            <v>San Vicente de Paul</v>
          </cell>
          <cell r="H6167" t="str">
            <v>laboratorio</v>
          </cell>
          <cell r="J6167" t="str">
            <v>bueno</v>
          </cell>
          <cell r="K6167" t="str">
            <v>defsi</v>
          </cell>
        </row>
        <row r="6168">
          <cell r="B6168" t="b">
            <v>1</v>
          </cell>
          <cell r="E6168" t="str">
            <v>San Vicente de Paul</v>
          </cell>
          <cell r="H6168" t="str">
            <v>laboratorio</v>
          </cell>
          <cell r="J6168" t="str">
            <v>bueno</v>
          </cell>
          <cell r="K6168" t="str">
            <v>defsi</v>
          </cell>
        </row>
        <row r="6169">
          <cell r="B6169" t="b">
            <v>1</v>
          </cell>
          <cell r="E6169" t="str">
            <v>San Vicente de Paul</v>
          </cell>
          <cell r="H6169" t="str">
            <v>laboratorio</v>
          </cell>
          <cell r="J6169" t="str">
            <v>bueno</v>
          </cell>
          <cell r="K6169" t="str">
            <v>defsi</v>
          </cell>
        </row>
        <row r="6170">
          <cell r="B6170" t="b">
            <v>1</v>
          </cell>
          <cell r="E6170" t="str">
            <v>San Vicente de Paul</v>
          </cell>
          <cell r="H6170" t="str">
            <v>laboratorio</v>
          </cell>
          <cell r="J6170" t="str">
            <v>bueno</v>
          </cell>
          <cell r="K6170" t="str">
            <v>defsi</v>
          </cell>
        </row>
        <row r="6171">
          <cell r="B6171" t="b">
            <v>1</v>
          </cell>
          <cell r="E6171" t="str">
            <v>San Francisco I</v>
          </cell>
          <cell r="H6171" t="str">
            <v>consulta_externa</v>
          </cell>
          <cell r="J6171" t="str">
            <v>bueno</v>
          </cell>
          <cell r="K6171" t="str">
            <v>defsi</v>
          </cell>
        </row>
        <row r="6172">
          <cell r="B6172" t="b">
            <v>1</v>
          </cell>
          <cell r="E6172" t="str">
            <v>San Francisco I</v>
          </cell>
          <cell r="H6172" t="str">
            <v>salud_oral</v>
          </cell>
          <cell r="J6172" t="str">
            <v>bueno</v>
          </cell>
          <cell r="K6172" t="str">
            <v>defsi</v>
          </cell>
        </row>
        <row r="6173">
          <cell r="B6173" t="b">
            <v>1</v>
          </cell>
          <cell r="E6173" t="str">
            <v>San Francisco I</v>
          </cell>
          <cell r="H6173" t="str">
            <v>laboratorio</v>
          </cell>
          <cell r="J6173" t="str">
            <v>bueno</v>
          </cell>
          <cell r="K6173" t="str">
            <v>defsi</v>
          </cell>
        </row>
        <row r="6174">
          <cell r="B6174" t="b">
            <v>1</v>
          </cell>
          <cell r="E6174" t="str">
            <v>Cano de Oro</v>
          </cell>
          <cell r="H6174" t="str">
            <v>salud_oral</v>
          </cell>
          <cell r="J6174" t="str">
            <v>bueno</v>
          </cell>
          <cell r="K6174" t="str">
            <v>defsi</v>
          </cell>
        </row>
        <row r="6175">
          <cell r="B6175" t="b">
            <v>1</v>
          </cell>
          <cell r="E6175" t="str">
            <v>Cano de Oro</v>
          </cell>
          <cell r="H6175" t="str">
            <v>salud_oral</v>
          </cell>
          <cell r="J6175" t="str">
            <v>bueno</v>
          </cell>
          <cell r="K6175" t="str">
            <v>defsi</v>
          </cell>
        </row>
        <row r="6176">
          <cell r="B6176" t="b">
            <v>1</v>
          </cell>
          <cell r="E6176" t="str">
            <v>Cano de Oro</v>
          </cell>
          <cell r="H6176" t="str">
            <v>consulta_externa</v>
          </cell>
          <cell r="J6176" t="str">
            <v>bueno</v>
          </cell>
          <cell r="K6176" t="str">
            <v>defsi</v>
          </cell>
        </row>
        <row r="6177">
          <cell r="B6177" t="b">
            <v>1</v>
          </cell>
          <cell r="E6177" t="str">
            <v>Cano de Oro</v>
          </cell>
          <cell r="H6177" t="str">
            <v>consulta_externa</v>
          </cell>
          <cell r="J6177" t="str">
            <v>bueno</v>
          </cell>
          <cell r="K6177" t="str">
            <v>defsi</v>
          </cell>
        </row>
        <row r="6178">
          <cell r="B6178" t="b">
            <v>1</v>
          </cell>
          <cell r="E6178" t="str">
            <v>Cano de Oro</v>
          </cell>
          <cell r="H6178" t="str">
            <v>laboratorio</v>
          </cell>
          <cell r="J6178" t="str">
            <v>bueno</v>
          </cell>
          <cell r="K6178" t="str">
            <v>defsi</v>
          </cell>
        </row>
        <row r="6179">
          <cell r="B6179" t="b">
            <v>1</v>
          </cell>
          <cell r="E6179" t="str">
            <v>Cano de Oro</v>
          </cell>
          <cell r="H6179" t="str">
            <v>consulta_externa</v>
          </cell>
          <cell r="J6179" t="str">
            <v>bueno</v>
          </cell>
          <cell r="K6179" t="str">
            <v>defsi</v>
          </cell>
        </row>
        <row r="6180">
          <cell r="B6180" t="b">
            <v>1</v>
          </cell>
          <cell r="E6180" t="str">
            <v>Cano de Oro</v>
          </cell>
          <cell r="H6180" t="str">
            <v>laboratorio</v>
          </cell>
          <cell r="J6180" t="str">
            <v>bueno</v>
          </cell>
          <cell r="K6180" t="str">
            <v>defsi</v>
          </cell>
        </row>
        <row r="6181">
          <cell r="B6181" t="b">
            <v>1</v>
          </cell>
          <cell r="E6181" t="str">
            <v>Cano de Oro</v>
          </cell>
          <cell r="H6181" t="str">
            <v>consulta_externa</v>
          </cell>
          <cell r="J6181" t="str">
            <v>bueno</v>
          </cell>
          <cell r="K6181" t="str">
            <v>defsi</v>
          </cell>
        </row>
        <row r="6182">
          <cell r="B6182" t="b">
            <v>1</v>
          </cell>
          <cell r="E6182" t="str">
            <v>Cano de Oro</v>
          </cell>
          <cell r="H6182" t="str">
            <v>consulta_externa</v>
          </cell>
          <cell r="J6182" t="str">
            <v>bueno</v>
          </cell>
          <cell r="K6182" t="str">
            <v>defsi</v>
          </cell>
        </row>
        <row r="6183">
          <cell r="B6183" t="b">
            <v>1</v>
          </cell>
          <cell r="E6183" t="str">
            <v>Cano de Oro</v>
          </cell>
          <cell r="H6183" t="str">
            <v>laboratorio</v>
          </cell>
          <cell r="J6183" t="str">
            <v>bueno</v>
          </cell>
          <cell r="K6183" t="str">
            <v>defsi</v>
          </cell>
        </row>
        <row r="6184">
          <cell r="B6184" t="b">
            <v>1</v>
          </cell>
          <cell r="E6184" t="str">
            <v>Cano de Oro</v>
          </cell>
          <cell r="H6184" t="str">
            <v>laboratorio</v>
          </cell>
          <cell r="J6184" t="str">
            <v>muybueno</v>
          </cell>
          <cell r="K6184" t="str">
            <v>defsi</v>
          </cell>
        </row>
        <row r="6185">
          <cell r="B6185" t="b">
            <v>1</v>
          </cell>
          <cell r="E6185" t="str">
            <v>Punta Arena</v>
          </cell>
          <cell r="H6185" t="str">
            <v>laboratorio</v>
          </cell>
          <cell r="J6185" t="str">
            <v>bueno</v>
          </cell>
          <cell r="K6185" t="str">
            <v>probsi</v>
          </cell>
        </row>
        <row r="6186">
          <cell r="B6186" t="b">
            <v>1</v>
          </cell>
          <cell r="E6186" t="str">
            <v>Punta Arena</v>
          </cell>
          <cell r="H6186" t="str">
            <v>laboratorio</v>
          </cell>
          <cell r="J6186" t="str">
            <v>bueno</v>
          </cell>
          <cell r="K6186" t="str">
            <v>probsi</v>
          </cell>
        </row>
        <row r="6187">
          <cell r="B6187" t="b">
            <v>1</v>
          </cell>
          <cell r="E6187" t="str">
            <v>Punta Arena</v>
          </cell>
          <cell r="H6187" t="str">
            <v>salud_oral</v>
          </cell>
          <cell r="J6187" t="str">
            <v>bueno</v>
          </cell>
          <cell r="K6187" t="str">
            <v>probsi</v>
          </cell>
        </row>
        <row r="6188">
          <cell r="B6188" t="b">
            <v>1</v>
          </cell>
          <cell r="E6188" t="str">
            <v>Punta Arena</v>
          </cell>
          <cell r="H6188" t="str">
            <v>salud_oral</v>
          </cell>
          <cell r="J6188" t="str">
            <v>bueno</v>
          </cell>
          <cell r="K6188" t="str">
            <v>probsi</v>
          </cell>
        </row>
        <row r="6189">
          <cell r="B6189" t="b">
            <v>1</v>
          </cell>
          <cell r="E6189" t="str">
            <v>Punta Arena</v>
          </cell>
          <cell r="H6189" t="str">
            <v>salud_oral</v>
          </cell>
          <cell r="J6189" t="str">
            <v>bueno</v>
          </cell>
          <cell r="K6189" t="str">
            <v>probsi</v>
          </cell>
        </row>
        <row r="6190">
          <cell r="B6190" t="b">
            <v>1</v>
          </cell>
          <cell r="E6190" t="str">
            <v>Punta Arena</v>
          </cell>
          <cell r="H6190" t="str">
            <v>salud_oral</v>
          </cell>
          <cell r="J6190" t="str">
            <v>bueno</v>
          </cell>
          <cell r="K6190" t="str">
            <v>probsi</v>
          </cell>
        </row>
        <row r="6191">
          <cell r="B6191" t="b">
            <v>1</v>
          </cell>
          <cell r="E6191" t="str">
            <v>Cano de Oro</v>
          </cell>
          <cell r="H6191" t="str">
            <v>consulta_externa</v>
          </cell>
          <cell r="J6191" t="str">
            <v>bueno</v>
          </cell>
          <cell r="K6191" t="str">
            <v>defsi</v>
          </cell>
        </row>
        <row r="6192">
          <cell r="B6192" t="b">
            <v>1</v>
          </cell>
          <cell r="E6192" t="str">
            <v>Cano de Oro</v>
          </cell>
          <cell r="H6192" t="str">
            <v>salud_oral</v>
          </cell>
          <cell r="J6192" t="str">
            <v>bueno</v>
          </cell>
          <cell r="K6192" t="str">
            <v>defsi</v>
          </cell>
        </row>
        <row r="6193">
          <cell r="B6193" t="b">
            <v>1</v>
          </cell>
          <cell r="E6193" t="str">
            <v>Cano de Oro</v>
          </cell>
          <cell r="H6193" t="str">
            <v>laboratorio</v>
          </cell>
          <cell r="J6193" t="str">
            <v>bueno</v>
          </cell>
          <cell r="K6193" t="str">
            <v>defsi</v>
          </cell>
        </row>
        <row r="6194">
          <cell r="B6194" t="b">
            <v>1</v>
          </cell>
          <cell r="E6194" t="str">
            <v>Cano de Oro</v>
          </cell>
          <cell r="H6194" t="str">
            <v>laboratorio</v>
          </cell>
          <cell r="J6194" t="str">
            <v>bueno</v>
          </cell>
          <cell r="K6194" t="str">
            <v>probsi</v>
          </cell>
        </row>
        <row r="6195">
          <cell r="B6195" t="b">
            <v>1</v>
          </cell>
          <cell r="E6195" t="str">
            <v>Cano de Oro</v>
          </cell>
          <cell r="H6195" t="str">
            <v>laboratorio</v>
          </cell>
          <cell r="J6195" t="str">
            <v>bueno</v>
          </cell>
          <cell r="K6195" t="str">
            <v>defsi</v>
          </cell>
        </row>
        <row r="6196">
          <cell r="B6196" t="b">
            <v>1</v>
          </cell>
          <cell r="E6196" t="str">
            <v>Punta Arena</v>
          </cell>
          <cell r="H6196" t="str">
            <v>laboratorio</v>
          </cell>
          <cell r="J6196" t="str">
            <v>bueno</v>
          </cell>
          <cell r="K6196" t="str">
            <v>probsi</v>
          </cell>
        </row>
        <row r="6197">
          <cell r="B6197" t="b">
            <v>1</v>
          </cell>
          <cell r="E6197" t="str">
            <v>Punta Arena</v>
          </cell>
          <cell r="H6197" t="str">
            <v>laboratorio</v>
          </cell>
          <cell r="J6197" t="str">
            <v>bueno</v>
          </cell>
          <cell r="K6197" t="str">
            <v>probsi</v>
          </cell>
        </row>
        <row r="6198">
          <cell r="B6198" t="b">
            <v>1</v>
          </cell>
          <cell r="E6198" t="str">
            <v>Punta Arena</v>
          </cell>
          <cell r="H6198" t="str">
            <v>laboratorio</v>
          </cell>
          <cell r="J6198" t="str">
            <v>bueno</v>
          </cell>
          <cell r="K6198" t="str">
            <v>probsi</v>
          </cell>
        </row>
        <row r="6199">
          <cell r="B6199" t="b">
            <v>1</v>
          </cell>
          <cell r="E6199" t="str">
            <v>Punta Arena</v>
          </cell>
          <cell r="H6199" t="str">
            <v>laboratorio</v>
          </cell>
          <cell r="J6199" t="str">
            <v>bueno</v>
          </cell>
          <cell r="K6199" t="str">
            <v>probsi</v>
          </cell>
        </row>
        <row r="6200">
          <cell r="B6200" t="b">
            <v>1</v>
          </cell>
          <cell r="E6200" t="str">
            <v>Punta Arena</v>
          </cell>
          <cell r="H6200" t="str">
            <v>laboratorio</v>
          </cell>
          <cell r="J6200" t="str">
            <v>bueno</v>
          </cell>
          <cell r="K6200" t="str">
            <v>probsi</v>
          </cell>
        </row>
        <row r="6201">
          <cell r="B6201" t="b">
            <v>1</v>
          </cell>
          <cell r="E6201" t="str">
            <v>Cano de Oro</v>
          </cell>
          <cell r="H6201" t="str">
            <v>consulta_externa</v>
          </cell>
          <cell r="J6201" t="str">
            <v>bueno</v>
          </cell>
          <cell r="K6201" t="str">
            <v>defsi</v>
          </cell>
        </row>
        <row r="6202">
          <cell r="B6202" t="b">
            <v>1</v>
          </cell>
          <cell r="E6202" t="str">
            <v>Cano de Oro</v>
          </cell>
          <cell r="H6202" t="str">
            <v>salud_oral</v>
          </cell>
          <cell r="J6202" t="str">
            <v>bueno</v>
          </cell>
          <cell r="K6202" t="str">
            <v>defsi</v>
          </cell>
        </row>
        <row r="6203">
          <cell r="B6203" t="b">
            <v>1</v>
          </cell>
          <cell r="E6203" t="str">
            <v>Bosque</v>
          </cell>
          <cell r="H6203" t="str">
            <v>consulta_externa</v>
          </cell>
          <cell r="J6203" t="str">
            <v>muybueno</v>
          </cell>
          <cell r="K6203" t="str">
            <v>probsi</v>
          </cell>
        </row>
        <row r="6204">
          <cell r="B6204" t="b">
            <v>1</v>
          </cell>
          <cell r="E6204" t="str">
            <v>Bosque</v>
          </cell>
          <cell r="H6204" t="str">
            <v>consulta_externa</v>
          </cell>
          <cell r="J6204" t="str">
            <v>muybueno</v>
          </cell>
          <cell r="K6204" t="str">
            <v>probsi</v>
          </cell>
        </row>
        <row r="6205">
          <cell r="B6205" t="b">
            <v>1</v>
          </cell>
          <cell r="E6205" t="str">
            <v>Bosque</v>
          </cell>
          <cell r="H6205" t="str">
            <v>consulta_externa</v>
          </cell>
          <cell r="J6205" t="str">
            <v>muybueno</v>
          </cell>
          <cell r="K6205" t="str">
            <v>probsi</v>
          </cell>
        </row>
        <row r="6206">
          <cell r="B6206" t="b">
            <v>1</v>
          </cell>
          <cell r="E6206" t="str">
            <v>Bosque</v>
          </cell>
          <cell r="H6206" t="str">
            <v>consulta_externa</v>
          </cell>
          <cell r="J6206" t="str">
            <v>muybueno</v>
          </cell>
          <cell r="K6206" t="str">
            <v>probsi</v>
          </cell>
        </row>
        <row r="6207">
          <cell r="B6207" t="b">
            <v>1</v>
          </cell>
          <cell r="E6207" t="str">
            <v>Bosque</v>
          </cell>
          <cell r="H6207" t="str">
            <v>laboratorio</v>
          </cell>
          <cell r="J6207" t="str">
            <v>muybueno</v>
          </cell>
          <cell r="K6207" t="str">
            <v>probsi</v>
          </cell>
        </row>
        <row r="6208">
          <cell r="B6208" t="b">
            <v>1</v>
          </cell>
          <cell r="E6208" t="str">
            <v>Bosque</v>
          </cell>
          <cell r="H6208" t="str">
            <v>laboratorio</v>
          </cell>
          <cell r="J6208" t="str">
            <v>muybueno</v>
          </cell>
          <cell r="K6208" t="str">
            <v>probsi</v>
          </cell>
        </row>
        <row r="6209">
          <cell r="B6209" t="b">
            <v>1</v>
          </cell>
          <cell r="E6209" t="str">
            <v>Bosque</v>
          </cell>
          <cell r="H6209" t="str">
            <v>salud_oral</v>
          </cell>
          <cell r="J6209" t="str">
            <v>muybueno</v>
          </cell>
          <cell r="K6209" t="str">
            <v>probsi</v>
          </cell>
        </row>
        <row r="6210">
          <cell r="B6210" t="b">
            <v>1</v>
          </cell>
          <cell r="E6210" t="str">
            <v>Bosque</v>
          </cell>
          <cell r="H6210" t="str">
            <v>laboratorio</v>
          </cell>
          <cell r="J6210" t="str">
            <v>muybueno</v>
          </cell>
          <cell r="K6210" t="str">
            <v>probsi</v>
          </cell>
        </row>
        <row r="6211">
          <cell r="B6211" t="b">
            <v>1</v>
          </cell>
          <cell r="E6211" t="str">
            <v>Cano de Oro</v>
          </cell>
          <cell r="H6211" t="str">
            <v>laboratorio</v>
          </cell>
          <cell r="J6211" t="str">
            <v>bueno</v>
          </cell>
          <cell r="K6211" t="str">
            <v>defsi</v>
          </cell>
        </row>
        <row r="6212">
          <cell r="B6212" t="b">
            <v>1</v>
          </cell>
          <cell r="E6212" t="str">
            <v>Bosque</v>
          </cell>
          <cell r="H6212" t="str">
            <v>laboratorio</v>
          </cell>
          <cell r="J6212" t="str">
            <v>muybueno</v>
          </cell>
          <cell r="K6212" t="str">
            <v>probsi</v>
          </cell>
        </row>
        <row r="6213">
          <cell r="B6213" t="b">
            <v>1</v>
          </cell>
          <cell r="E6213" t="str">
            <v>Cano de Oro</v>
          </cell>
          <cell r="H6213" t="str">
            <v>laboratorio</v>
          </cell>
          <cell r="J6213" t="str">
            <v>bueno</v>
          </cell>
          <cell r="K6213" t="str">
            <v>defsi</v>
          </cell>
        </row>
        <row r="6214">
          <cell r="B6214" t="b">
            <v>1</v>
          </cell>
          <cell r="E6214" t="str">
            <v>Bosque</v>
          </cell>
          <cell r="H6214" t="str">
            <v>consulta_externa</v>
          </cell>
          <cell r="J6214" t="str">
            <v>muybueno</v>
          </cell>
          <cell r="K6214" t="str">
            <v>probsi</v>
          </cell>
        </row>
        <row r="6215">
          <cell r="B6215" t="b">
            <v>1</v>
          </cell>
          <cell r="E6215" t="str">
            <v>Cano de Oro</v>
          </cell>
          <cell r="H6215" t="str">
            <v>consulta_externa</v>
          </cell>
          <cell r="J6215" t="str">
            <v>bueno</v>
          </cell>
          <cell r="K6215" t="str">
            <v>defsi</v>
          </cell>
        </row>
        <row r="6216">
          <cell r="B6216" t="b">
            <v>1</v>
          </cell>
          <cell r="E6216" t="str">
            <v>Bosque</v>
          </cell>
          <cell r="H6216" t="str">
            <v>consulta_externa</v>
          </cell>
          <cell r="J6216" t="str">
            <v>muybueno</v>
          </cell>
          <cell r="K6216" t="str">
            <v>probsi</v>
          </cell>
        </row>
        <row r="6217">
          <cell r="B6217" t="b">
            <v>1</v>
          </cell>
          <cell r="E6217" t="str">
            <v>Bosque</v>
          </cell>
          <cell r="H6217" t="str">
            <v>consulta_externa</v>
          </cell>
          <cell r="J6217" t="str">
            <v>muybueno</v>
          </cell>
          <cell r="K6217" t="str">
            <v>probsi</v>
          </cell>
        </row>
        <row r="6218">
          <cell r="B6218" t="b">
            <v>1</v>
          </cell>
          <cell r="E6218" t="str">
            <v>Bosque</v>
          </cell>
          <cell r="H6218" t="str">
            <v>laboratorio</v>
          </cell>
          <cell r="J6218" t="str">
            <v>muybueno</v>
          </cell>
          <cell r="K6218" t="str">
            <v>probsi</v>
          </cell>
        </row>
        <row r="6219">
          <cell r="B6219" t="b">
            <v>1</v>
          </cell>
          <cell r="E6219" t="str">
            <v>Bosque</v>
          </cell>
          <cell r="H6219" t="str">
            <v>laboratorio</v>
          </cell>
          <cell r="J6219" t="str">
            <v>muybueno</v>
          </cell>
          <cell r="K6219" t="str">
            <v>probsi</v>
          </cell>
        </row>
        <row r="6220">
          <cell r="B6220" t="b">
            <v>1</v>
          </cell>
          <cell r="E6220" t="str">
            <v>Bosque</v>
          </cell>
          <cell r="H6220" t="str">
            <v>salud_oral</v>
          </cell>
          <cell r="J6220" t="str">
            <v>muybueno</v>
          </cell>
          <cell r="K6220" t="str">
            <v>probsi</v>
          </cell>
        </row>
        <row r="6221">
          <cell r="B6221" t="b">
            <v>1</v>
          </cell>
          <cell r="E6221" t="str">
            <v>Bosque</v>
          </cell>
          <cell r="H6221" t="str">
            <v>salud_oral</v>
          </cell>
          <cell r="J6221" t="str">
            <v>muybueno</v>
          </cell>
          <cell r="K6221" t="str">
            <v>probsi</v>
          </cell>
        </row>
        <row r="6222">
          <cell r="B6222" t="b">
            <v>1</v>
          </cell>
          <cell r="E6222" t="str">
            <v>Bosque</v>
          </cell>
          <cell r="H6222" t="str">
            <v>salud_oral</v>
          </cell>
          <cell r="J6222" t="str">
            <v>muybueno</v>
          </cell>
          <cell r="K6222" t="str">
            <v>probsi</v>
          </cell>
        </row>
        <row r="6223">
          <cell r="B6223" t="b">
            <v>1</v>
          </cell>
          <cell r="E6223" t="str">
            <v>Bosque</v>
          </cell>
          <cell r="H6223" t="str">
            <v>consulta_externa</v>
          </cell>
          <cell r="J6223" t="str">
            <v>muybueno</v>
          </cell>
          <cell r="K6223" t="str">
            <v>probsi</v>
          </cell>
        </row>
        <row r="6224">
          <cell r="B6224" t="b">
            <v>1</v>
          </cell>
          <cell r="E6224" t="str">
            <v>Bosque</v>
          </cell>
          <cell r="H6224" t="str">
            <v>consulta_externa</v>
          </cell>
          <cell r="J6224" t="str">
            <v>muybueno</v>
          </cell>
          <cell r="K6224" t="str">
            <v>probsi</v>
          </cell>
        </row>
        <row r="6225">
          <cell r="B6225" t="b">
            <v>1</v>
          </cell>
          <cell r="E6225" t="str">
            <v>Bosque</v>
          </cell>
          <cell r="H6225" t="str">
            <v>consulta_externa</v>
          </cell>
          <cell r="J6225" t="str">
            <v>muybueno</v>
          </cell>
          <cell r="K6225" t="str">
            <v>probsi</v>
          </cell>
        </row>
        <row r="6226">
          <cell r="B6226" t="b">
            <v>1</v>
          </cell>
          <cell r="E6226" t="str">
            <v>Bosque</v>
          </cell>
          <cell r="H6226" t="str">
            <v>consulta_externa</v>
          </cell>
          <cell r="J6226" t="str">
            <v>muybueno</v>
          </cell>
          <cell r="K6226" t="str">
            <v>probsi</v>
          </cell>
        </row>
        <row r="6227">
          <cell r="B6227" t="b">
            <v>1</v>
          </cell>
          <cell r="E6227" t="str">
            <v>Bosque</v>
          </cell>
          <cell r="H6227" t="str">
            <v>consulta_externa</v>
          </cell>
          <cell r="J6227" t="str">
            <v>muybueno</v>
          </cell>
          <cell r="K6227" t="str">
            <v>probsi</v>
          </cell>
        </row>
        <row r="6228">
          <cell r="B6228" t="b">
            <v>1</v>
          </cell>
          <cell r="E6228" t="str">
            <v>Cano de Oro</v>
          </cell>
          <cell r="H6228" t="str">
            <v>consulta_externa</v>
          </cell>
          <cell r="J6228" t="str">
            <v>bueno</v>
          </cell>
          <cell r="K6228" t="str">
            <v>defsi</v>
          </cell>
        </row>
        <row r="6229">
          <cell r="B6229" t="b">
            <v>1</v>
          </cell>
          <cell r="E6229" t="str">
            <v>Cano de Oro</v>
          </cell>
          <cell r="H6229" t="str">
            <v>laboratorio</v>
          </cell>
          <cell r="J6229" t="str">
            <v>bueno</v>
          </cell>
          <cell r="K6229" t="str">
            <v>defsi</v>
          </cell>
        </row>
        <row r="6230">
          <cell r="B6230" t="b">
            <v>1</v>
          </cell>
          <cell r="E6230" t="str">
            <v>Cano de Oro</v>
          </cell>
          <cell r="H6230" t="str">
            <v>laboratorio</v>
          </cell>
          <cell r="J6230" t="str">
            <v>bueno</v>
          </cell>
          <cell r="K6230" t="str">
            <v>defsi</v>
          </cell>
        </row>
        <row r="6231">
          <cell r="B6231" t="b">
            <v>1</v>
          </cell>
          <cell r="E6231" t="str">
            <v>Cano de Oro</v>
          </cell>
          <cell r="H6231" t="str">
            <v>consulta_externa</v>
          </cell>
          <cell r="J6231" t="str">
            <v>bueno</v>
          </cell>
          <cell r="K6231" t="str">
            <v>defsi</v>
          </cell>
        </row>
        <row r="6232">
          <cell r="B6232" t="b">
            <v>1</v>
          </cell>
          <cell r="E6232" t="str">
            <v>Bosque</v>
          </cell>
          <cell r="H6232" t="str">
            <v>consulta_externa</v>
          </cell>
          <cell r="J6232" t="str">
            <v>muybueno</v>
          </cell>
          <cell r="K6232" t="str">
            <v>probsi</v>
          </cell>
        </row>
        <row r="6233">
          <cell r="B6233" t="b">
            <v>1</v>
          </cell>
          <cell r="E6233" t="str">
            <v>Bosque</v>
          </cell>
          <cell r="H6233" t="str">
            <v>consulta_externa</v>
          </cell>
          <cell r="J6233" t="str">
            <v>muybueno</v>
          </cell>
          <cell r="K6233" t="str">
            <v>probsi</v>
          </cell>
        </row>
        <row r="6234">
          <cell r="B6234" t="b">
            <v>1</v>
          </cell>
          <cell r="E6234" t="str">
            <v>Punta Arena</v>
          </cell>
          <cell r="H6234" t="str">
            <v>consulta_externa</v>
          </cell>
          <cell r="J6234" t="str">
            <v>bueno</v>
          </cell>
          <cell r="K6234" t="str">
            <v>probsi</v>
          </cell>
        </row>
        <row r="6235">
          <cell r="B6235" t="b">
            <v>1</v>
          </cell>
          <cell r="E6235" t="str">
            <v>Punta Arena</v>
          </cell>
          <cell r="H6235" t="str">
            <v>laboratorio</v>
          </cell>
          <cell r="J6235" t="str">
            <v>bueno</v>
          </cell>
          <cell r="K6235" t="str">
            <v>probsi</v>
          </cell>
        </row>
        <row r="6236">
          <cell r="B6236" t="b">
            <v>1</v>
          </cell>
          <cell r="E6236" t="str">
            <v>Bosque</v>
          </cell>
          <cell r="H6236" t="str">
            <v>consulta_externa</v>
          </cell>
          <cell r="J6236" t="str">
            <v>bueno</v>
          </cell>
          <cell r="K6236" t="str">
            <v>probsi</v>
          </cell>
        </row>
        <row r="6237">
          <cell r="B6237" t="b">
            <v>1</v>
          </cell>
          <cell r="E6237" t="str">
            <v>Cano de Oro</v>
          </cell>
          <cell r="H6237" t="str">
            <v>salud_oral</v>
          </cell>
          <cell r="J6237" t="str">
            <v>bueno</v>
          </cell>
          <cell r="K6237" t="str">
            <v>defsi</v>
          </cell>
        </row>
        <row r="6238">
          <cell r="B6238" t="b">
            <v>1</v>
          </cell>
          <cell r="E6238" t="str">
            <v>Bosque</v>
          </cell>
          <cell r="H6238" t="str">
            <v>consulta_externa</v>
          </cell>
          <cell r="J6238" t="str">
            <v>bueno</v>
          </cell>
          <cell r="K6238" t="str">
            <v>probsi</v>
          </cell>
        </row>
        <row r="6239">
          <cell r="B6239" t="b">
            <v>1</v>
          </cell>
          <cell r="E6239" t="str">
            <v>Bosque</v>
          </cell>
          <cell r="H6239" t="str">
            <v>consulta_externa</v>
          </cell>
          <cell r="J6239" t="str">
            <v>bueno</v>
          </cell>
          <cell r="K6239" t="str">
            <v>probsi</v>
          </cell>
        </row>
        <row r="6240">
          <cell r="B6240" t="b">
            <v>1</v>
          </cell>
          <cell r="E6240" t="str">
            <v>Bosque</v>
          </cell>
          <cell r="H6240" t="str">
            <v>consulta_externa</v>
          </cell>
          <cell r="J6240" t="str">
            <v>bueno</v>
          </cell>
          <cell r="K6240" t="str">
            <v>probsi</v>
          </cell>
        </row>
        <row r="6241">
          <cell r="B6241" t="b">
            <v>1</v>
          </cell>
          <cell r="E6241" t="str">
            <v>Cano de Oro</v>
          </cell>
          <cell r="H6241" t="str">
            <v>laboratorio</v>
          </cell>
          <cell r="J6241" t="str">
            <v>bueno</v>
          </cell>
          <cell r="K6241" t="str">
            <v>defsi</v>
          </cell>
        </row>
        <row r="6242">
          <cell r="B6242" t="b">
            <v>1</v>
          </cell>
          <cell r="E6242" t="str">
            <v>Cano de Oro</v>
          </cell>
          <cell r="H6242" t="str">
            <v>laboratorio</v>
          </cell>
          <cell r="J6242" t="str">
            <v>bueno</v>
          </cell>
          <cell r="K6242" t="str">
            <v>defsi</v>
          </cell>
        </row>
        <row r="6243">
          <cell r="B6243" t="b">
            <v>1</v>
          </cell>
          <cell r="E6243" t="str">
            <v>Bosque</v>
          </cell>
          <cell r="H6243" t="str">
            <v>consulta_externa</v>
          </cell>
          <cell r="J6243" t="str">
            <v>bueno</v>
          </cell>
          <cell r="K6243" t="str">
            <v>probsi</v>
          </cell>
        </row>
        <row r="6244">
          <cell r="B6244" t="b">
            <v>1</v>
          </cell>
          <cell r="E6244" t="str">
            <v>San Francisco I</v>
          </cell>
          <cell r="H6244" t="str">
            <v>consulta_externa</v>
          </cell>
          <cell r="J6244" t="str">
            <v>bueno</v>
          </cell>
          <cell r="K6244" t="str">
            <v>defsi</v>
          </cell>
        </row>
        <row r="6245">
          <cell r="B6245" t="b">
            <v>1</v>
          </cell>
          <cell r="E6245" t="str">
            <v>San Francisco I</v>
          </cell>
          <cell r="H6245" t="str">
            <v>salud_oral</v>
          </cell>
          <cell r="J6245" t="str">
            <v>bueno</v>
          </cell>
          <cell r="K6245" t="str">
            <v>defsi</v>
          </cell>
        </row>
        <row r="6246">
          <cell r="B6246" t="b">
            <v>1</v>
          </cell>
          <cell r="E6246" t="str">
            <v>San Francisco I</v>
          </cell>
          <cell r="H6246" t="str">
            <v>laboratorio</v>
          </cell>
          <cell r="J6246" t="str">
            <v>bueno</v>
          </cell>
          <cell r="K6246" t="str">
            <v>defsi</v>
          </cell>
        </row>
        <row r="6247">
          <cell r="B6247" t="b">
            <v>1</v>
          </cell>
          <cell r="E6247" t="str">
            <v>San Francisco I</v>
          </cell>
          <cell r="H6247" t="str">
            <v>consulta_externa</v>
          </cell>
          <cell r="J6247" t="str">
            <v>bueno</v>
          </cell>
          <cell r="K6247" t="str">
            <v>defsi</v>
          </cell>
        </row>
        <row r="6248">
          <cell r="B6248" t="b">
            <v>1</v>
          </cell>
          <cell r="E6248" t="str">
            <v>Cano de Oro</v>
          </cell>
          <cell r="H6248" t="str">
            <v>laboratorio</v>
          </cell>
          <cell r="J6248" t="str">
            <v>bueno</v>
          </cell>
          <cell r="K6248" t="str">
            <v>defsi</v>
          </cell>
        </row>
        <row r="6249">
          <cell r="B6249" t="b">
            <v>1</v>
          </cell>
          <cell r="E6249" t="str">
            <v>San Francisco I</v>
          </cell>
          <cell r="H6249" t="str">
            <v>salud_oral</v>
          </cell>
          <cell r="J6249" t="str">
            <v>bueno</v>
          </cell>
          <cell r="K6249" t="str">
            <v>defsi</v>
          </cell>
        </row>
        <row r="6250">
          <cell r="B6250" t="b">
            <v>1</v>
          </cell>
          <cell r="E6250" t="str">
            <v>San Francisco I</v>
          </cell>
          <cell r="H6250" t="str">
            <v>laboratorio</v>
          </cell>
          <cell r="J6250" t="str">
            <v>bueno</v>
          </cell>
          <cell r="K6250" t="str">
            <v>defsi</v>
          </cell>
        </row>
        <row r="6251">
          <cell r="B6251" t="b">
            <v>1</v>
          </cell>
          <cell r="E6251" t="str">
            <v>Punta Arena</v>
          </cell>
          <cell r="H6251" t="str">
            <v>consulta_externa</v>
          </cell>
          <cell r="J6251" t="str">
            <v>bueno</v>
          </cell>
          <cell r="K6251" t="str">
            <v>probsi</v>
          </cell>
        </row>
        <row r="6252">
          <cell r="B6252" t="b">
            <v>1</v>
          </cell>
          <cell r="E6252" t="str">
            <v>Punta Arena</v>
          </cell>
          <cell r="H6252" t="str">
            <v>salud_oral</v>
          </cell>
          <cell r="J6252" t="str">
            <v>bueno</v>
          </cell>
          <cell r="K6252" t="str">
            <v>probsi</v>
          </cell>
        </row>
        <row r="6253">
          <cell r="B6253" t="b">
            <v>1</v>
          </cell>
          <cell r="E6253" t="str">
            <v>Punta Arena</v>
          </cell>
          <cell r="H6253" t="str">
            <v>laboratorio</v>
          </cell>
          <cell r="J6253" t="str">
            <v>muybueno</v>
          </cell>
          <cell r="K6253" t="str">
            <v>probsi</v>
          </cell>
        </row>
        <row r="6254">
          <cell r="B6254" t="b">
            <v>1</v>
          </cell>
          <cell r="E6254" t="str">
            <v>San Francisco I</v>
          </cell>
          <cell r="H6254" t="str">
            <v>consulta_externa</v>
          </cell>
          <cell r="J6254" t="str">
            <v>bueno</v>
          </cell>
          <cell r="K6254" t="str">
            <v>defsi</v>
          </cell>
        </row>
        <row r="6255">
          <cell r="B6255" t="b">
            <v>1</v>
          </cell>
          <cell r="E6255" t="str">
            <v>Bosque</v>
          </cell>
          <cell r="H6255" t="str">
            <v>consulta_externa</v>
          </cell>
          <cell r="J6255" t="str">
            <v>muybueno</v>
          </cell>
          <cell r="K6255" t="str">
            <v>defsi</v>
          </cell>
        </row>
        <row r="6256">
          <cell r="B6256" t="b">
            <v>1</v>
          </cell>
          <cell r="E6256" t="str">
            <v>San Francisco I</v>
          </cell>
          <cell r="H6256" t="str">
            <v>salud_oral</v>
          </cell>
          <cell r="J6256" t="str">
            <v>bueno</v>
          </cell>
          <cell r="K6256" t="str">
            <v>defsi</v>
          </cell>
        </row>
        <row r="6257">
          <cell r="B6257" t="b">
            <v>1</v>
          </cell>
          <cell r="E6257" t="str">
            <v>Bosque</v>
          </cell>
          <cell r="H6257" t="str">
            <v>laboratorio</v>
          </cell>
          <cell r="J6257" t="str">
            <v>muybueno</v>
          </cell>
          <cell r="K6257" t="str">
            <v>defsi</v>
          </cell>
        </row>
        <row r="6258">
          <cell r="B6258" t="b">
            <v>1</v>
          </cell>
          <cell r="E6258" t="str">
            <v>San Francisco I</v>
          </cell>
          <cell r="H6258" t="str">
            <v>laboratorio</v>
          </cell>
          <cell r="J6258" t="str">
            <v>bueno</v>
          </cell>
          <cell r="K6258" t="str">
            <v>defsi</v>
          </cell>
        </row>
        <row r="6259">
          <cell r="B6259" t="b">
            <v>1</v>
          </cell>
          <cell r="E6259" t="str">
            <v>Cano de Oro</v>
          </cell>
          <cell r="H6259" t="str">
            <v>salud_oral</v>
          </cell>
          <cell r="J6259" t="str">
            <v>bueno</v>
          </cell>
          <cell r="K6259" t="str">
            <v>defsi</v>
          </cell>
        </row>
        <row r="6260">
          <cell r="B6260" t="b">
            <v>1</v>
          </cell>
          <cell r="E6260" t="str">
            <v>Cano de Oro</v>
          </cell>
          <cell r="H6260" t="str">
            <v>laboratorio</v>
          </cell>
          <cell r="J6260" t="str">
            <v>bueno</v>
          </cell>
          <cell r="K6260" t="str">
            <v>defsi</v>
          </cell>
        </row>
        <row r="6261">
          <cell r="B6261" t="b">
            <v>1</v>
          </cell>
          <cell r="E6261" t="str">
            <v>San Francisco I</v>
          </cell>
          <cell r="H6261" t="str">
            <v>consulta_externa</v>
          </cell>
          <cell r="J6261" t="str">
            <v>bueno</v>
          </cell>
          <cell r="K6261" t="str">
            <v>defsi</v>
          </cell>
        </row>
        <row r="6262">
          <cell r="B6262" t="b">
            <v>1</v>
          </cell>
          <cell r="E6262" t="str">
            <v>San Francisco I</v>
          </cell>
          <cell r="H6262" t="str">
            <v>salud_oral</v>
          </cell>
          <cell r="J6262" t="str">
            <v>bueno</v>
          </cell>
          <cell r="K6262" t="str">
            <v>defsi</v>
          </cell>
        </row>
        <row r="6263">
          <cell r="B6263" t="b">
            <v>1</v>
          </cell>
          <cell r="E6263" t="str">
            <v>San Francisco I</v>
          </cell>
          <cell r="H6263" t="str">
            <v>laboratorio</v>
          </cell>
          <cell r="J6263" t="str">
            <v>bueno</v>
          </cell>
          <cell r="K6263" t="str">
            <v>defsi</v>
          </cell>
        </row>
        <row r="6264">
          <cell r="B6264" t="b">
            <v>1</v>
          </cell>
          <cell r="E6264" t="str">
            <v>Cano de Oro</v>
          </cell>
          <cell r="H6264" t="str">
            <v>salud_oral</v>
          </cell>
          <cell r="J6264" t="str">
            <v>bueno</v>
          </cell>
          <cell r="K6264" t="str">
            <v>defsi</v>
          </cell>
        </row>
        <row r="6265">
          <cell r="B6265" t="b">
            <v>1</v>
          </cell>
          <cell r="E6265" t="str">
            <v>Cano de Oro</v>
          </cell>
          <cell r="H6265" t="str">
            <v>salud_oral</v>
          </cell>
          <cell r="J6265" t="str">
            <v>bueno</v>
          </cell>
          <cell r="K6265" t="str">
            <v>defsi</v>
          </cell>
        </row>
        <row r="6266">
          <cell r="B6266" t="b">
            <v>1</v>
          </cell>
          <cell r="E6266" t="str">
            <v>Cano de Oro</v>
          </cell>
          <cell r="H6266" t="str">
            <v>consulta_externa</v>
          </cell>
          <cell r="J6266" t="str">
            <v>bueno</v>
          </cell>
          <cell r="K6266" t="str">
            <v>defsi</v>
          </cell>
        </row>
        <row r="6267">
          <cell r="B6267" t="b">
            <v>1</v>
          </cell>
          <cell r="E6267" t="str">
            <v>Cano de Oro</v>
          </cell>
          <cell r="H6267" t="str">
            <v>salud_oral</v>
          </cell>
          <cell r="J6267" t="str">
            <v>bueno</v>
          </cell>
          <cell r="K6267" t="str">
            <v>defsi</v>
          </cell>
        </row>
        <row r="6268">
          <cell r="B6268" t="b">
            <v>1</v>
          </cell>
          <cell r="E6268" t="str">
            <v>Cano de Oro</v>
          </cell>
          <cell r="H6268" t="str">
            <v>salud_oral</v>
          </cell>
          <cell r="J6268" t="str">
            <v>bueno</v>
          </cell>
          <cell r="K6268" t="str">
            <v>defsi</v>
          </cell>
        </row>
        <row r="6269">
          <cell r="B6269" t="b">
            <v>1</v>
          </cell>
          <cell r="E6269" t="str">
            <v>Bosque</v>
          </cell>
          <cell r="H6269" t="str">
            <v>consulta_externa</v>
          </cell>
          <cell r="J6269" t="str">
            <v>muybueno</v>
          </cell>
          <cell r="K6269" t="str">
            <v>probsi</v>
          </cell>
        </row>
        <row r="6270">
          <cell r="B6270" t="b">
            <v>1</v>
          </cell>
          <cell r="E6270" t="str">
            <v>Cano de Oro</v>
          </cell>
          <cell r="H6270" t="str">
            <v>laboratorio</v>
          </cell>
          <cell r="J6270" t="str">
            <v>bueno</v>
          </cell>
          <cell r="K6270" t="str">
            <v>defsi</v>
          </cell>
        </row>
        <row r="6271">
          <cell r="B6271" t="b">
            <v>1</v>
          </cell>
          <cell r="E6271" t="str">
            <v>Cano de Oro</v>
          </cell>
          <cell r="H6271" t="str">
            <v>laboratorio</v>
          </cell>
          <cell r="J6271" t="str">
            <v>bueno</v>
          </cell>
          <cell r="K6271" t="str">
            <v>defsi</v>
          </cell>
        </row>
        <row r="6272">
          <cell r="B6272" t="b">
            <v>1</v>
          </cell>
          <cell r="E6272" t="str">
            <v>Cano de Oro</v>
          </cell>
          <cell r="H6272" t="str">
            <v>laboratorio</v>
          </cell>
          <cell r="J6272" t="str">
            <v>bueno</v>
          </cell>
          <cell r="K6272" t="str">
            <v>defsi</v>
          </cell>
        </row>
        <row r="6273">
          <cell r="B6273" t="b">
            <v>1</v>
          </cell>
          <cell r="E6273" t="str">
            <v>Cano de Oro</v>
          </cell>
          <cell r="H6273" t="str">
            <v>salud_oral</v>
          </cell>
          <cell r="J6273" t="str">
            <v>bueno</v>
          </cell>
          <cell r="K6273" t="str">
            <v>defsi</v>
          </cell>
        </row>
        <row r="6274">
          <cell r="B6274" t="b">
            <v>1</v>
          </cell>
          <cell r="E6274" t="str">
            <v>Cano de Oro</v>
          </cell>
          <cell r="H6274" t="str">
            <v>laboratorio</v>
          </cell>
          <cell r="J6274" t="str">
            <v>bueno</v>
          </cell>
          <cell r="K6274" t="str">
            <v>defsi</v>
          </cell>
        </row>
        <row r="6275">
          <cell r="B6275" t="b">
            <v>1</v>
          </cell>
          <cell r="E6275" t="str">
            <v>Cano de Oro</v>
          </cell>
          <cell r="H6275" t="str">
            <v>laboratorio</v>
          </cell>
          <cell r="J6275" t="str">
            <v>muybueno</v>
          </cell>
          <cell r="K6275" t="str">
            <v>defsi</v>
          </cell>
        </row>
        <row r="6276">
          <cell r="B6276" t="b">
            <v>1</v>
          </cell>
          <cell r="E6276" t="str">
            <v>Cano de Oro</v>
          </cell>
          <cell r="H6276" t="str">
            <v>laboratorio</v>
          </cell>
          <cell r="J6276" t="str">
            <v>bueno</v>
          </cell>
          <cell r="K6276" t="str">
            <v>defsi</v>
          </cell>
        </row>
        <row r="6277">
          <cell r="B6277" t="b">
            <v>1</v>
          </cell>
          <cell r="E6277" t="str">
            <v>Cano de Oro</v>
          </cell>
          <cell r="H6277" t="str">
            <v>laboratorio</v>
          </cell>
          <cell r="J6277" t="str">
            <v>bueno</v>
          </cell>
          <cell r="K6277" t="str">
            <v>defsi</v>
          </cell>
        </row>
        <row r="6278">
          <cell r="B6278" t="b">
            <v>1</v>
          </cell>
          <cell r="E6278" t="str">
            <v>Bosque</v>
          </cell>
          <cell r="H6278" t="str">
            <v>consulta_externa</v>
          </cell>
          <cell r="J6278" t="str">
            <v>muybueno</v>
          </cell>
          <cell r="K6278" t="str">
            <v>probsi</v>
          </cell>
        </row>
        <row r="6279">
          <cell r="B6279" t="b">
            <v>1</v>
          </cell>
          <cell r="E6279" t="str">
            <v>Punta Arena</v>
          </cell>
          <cell r="H6279" t="str">
            <v>consulta_externa</v>
          </cell>
          <cell r="J6279" t="str">
            <v>bueno</v>
          </cell>
          <cell r="K6279" t="str">
            <v>probsi</v>
          </cell>
        </row>
        <row r="6280">
          <cell r="B6280" t="b">
            <v>1</v>
          </cell>
          <cell r="E6280" t="str">
            <v>Punta Arena</v>
          </cell>
          <cell r="H6280" t="str">
            <v>consulta_externa</v>
          </cell>
          <cell r="J6280" t="str">
            <v>bueno</v>
          </cell>
          <cell r="K6280" t="str">
            <v>probsi</v>
          </cell>
        </row>
        <row r="6281">
          <cell r="B6281" t="b">
            <v>1</v>
          </cell>
          <cell r="E6281" t="str">
            <v>Punta Arena</v>
          </cell>
          <cell r="H6281" t="str">
            <v>laboratorio</v>
          </cell>
          <cell r="J6281" t="str">
            <v>bueno</v>
          </cell>
          <cell r="K6281" t="str">
            <v>probsi</v>
          </cell>
        </row>
        <row r="6282">
          <cell r="B6282" t="b">
            <v>1</v>
          </cell>
          <cell r="E6282" t="str">
            <v>Punta Arena</v>
          </cell>
          <cell r="H6282" t="str">
            <v>laboratorio</v>
          </cell>
          <cell r="J6282" t="str">
            <v>bueno</v>
          </cell>
          <cell r="K6282" t="str">
            <v>probsi</v>
          </cell>
        </row>
        <row r="6283">
          <cell r="B6283" t="b">
            <v>1</v>
          </cell>
          <cell r="E6283" t="str">
            <v>Punta Arena</v>
          </cell>
          <cell r="H6283" t="str">
            <v>salud_oral</v>
          </cell>
          <cell r="J6283" t="str">
            <v>bueno</v>
          </cell>
          <cell r="K6283" t="str">
            <v>probsi</v>
          </cell>
        </row>
        <row r="6284">
          <cell r="B6284" t="b">
            <v>1</v>
          </cell>
          <cell r="E6284" t="str">
            <v>Punta Arena</v>
          </cell>
          <cell r="H6284" t="str">
            <v>salud_oral</v>
          </cell>
          <cell r="J6284" t="str">
            <v>bueno</v>
          </cell>
          <cell r="K6284" t="str">
            <v>probsi</v>
          </cell>
        </row>
        <row r="6285">
          <cell r="B6285" t="b">
            <v>1</v>
          </cell>
          <cell r="E6285" t="str">
            <v>San Francisco I</v>
          </cell>
          <cell r="H6285" t="str">
            <v>consulta_externa</v>
          </cell>
          <cell r="J6285" t="str">
            <v>bueno</v>
          </cell>
          <cell r="K6285" t="str">
            <v>defsi</v>
          </cell>
        </row>
        <row r="6286">
          <cell r="B6286" t="b">
            <v>1</v>
          </cell>
          <cell r="E6286" t="str">
            <v>San Francisco I</v>
          </cell>
          <cell r="H6286" t="str">
            <v>salud_oral</v>
          </cell>
          <cell r="J6286" t="str">
            <v>bueno</v>
          </cell>
          <cell r="K6286" t="str">
            <v>defsi</v>
          </cell>
        </row>
        <row r="6287">
          <cell r="B6287" t="b">
            <v>1</v>
          </cell>
          <cell r="E6287" t="str">
            <v>San Francisco I</v>
          </cell>
          <cell r="H6287" t="str">
            <v>laboratorio</v>
          </cell>
          <cell r="J6287" t="str">
            <v>bueno</v>
          </cell>
          <cell r="K6287" t="str">
            <v>defsi</v>
          </cell>
        </row>
        <row r="6288">
          <cell r="B6288" t="b">
            <v>1</v>
          </cell>
          <cell r="E6288" t="str">
            <v>San Francisco I</v>
          </cell>
          <cell r="H6288" t="str">
            <v>consulta_externa</v>
          </cell>
          <cell r="J6288" t="str">
            <v>bueno</v>
          </cell>
          <cell r="K6288" t="str">
            <v>defsi</v>
          </cell>
        </row>
        <row r="6289">
          <cell r="B6289" t="b">
            <v>1</v>
          </cell>
          <cell r="E6289" t="str">
            <v>San Francisco I</v>
          </cell>
          <cell r="H6289" t="str">
            <v>salud_oral</v>
          </cell>
          <cell r="J6289" t="str">
            <v>bueno</v>
          </cell>
          <cell r="K6289" t="str">
            <v>defsi</v>
          </cell>
        </row>
        <row r="6290">
          <cell r="B6290" t="b">
            <v>1</v>
          </cell>
          <cell r="E6290" t="str">
            <v>San Francisco I</v>
          </cell>
          <cell r="H6290" t="str">
            <v>consulta_externa</v>
          </cell>
          <cell r="J6290" t="str">
            <v>bueno</v>
          </cell>
          <cell r="K6290" t="str">
            <v>defsi</v>
          </cell>
        </row>
        <row r="6291">
          <cell r="B6291" t="b">
            <v>1</v>
          </cell>
          <cell r="E6291" t="str">
            <v>San Francisco I</v>
          </cell>
          <cell r="H6291" t="str">
            <v>consulta_externa</v>
          </cell>
          <cell r="J6291" t="str">
            <v>bueno</v>
          </cell>
          <cell r="K6291" t="str">
            <v>defsi</v>
          </cell>
        </row>
        <row r="6292">
          <cell r="B6292" t="b">
            <v>1</v>
          </cell>
          <cell r="E6292" t="str">
            <v>San Francisco I</v>
          </cell>
          <cell r="H6292" t="str">
            <v>salud_oral</v>
          </cell>
          <cell r="J6292" t="str">
            <v>bueno</v>
          </cell>
          <cell r="K6292" t="str">
            <v>defsi</v>
          </cell>
        </row>
        <row r="6293">
          <cell r="B6293" t="b">
            <v>1</v>
          </cell>
          <cell r="E6293" t="str">
            <v>San Francisco I</v>
          </cell>
          <cell r="H6293" t="str">
            <v>laboratorio</v>
          </cell>
          <cell r="J6293" t="str">
            <v>bueno</v>
          </cell>
          <cell r="K6293" t="str">
            <v>defsi</v>
          </cell>
        </row>
        <row r="6294">
          <cell r="B6294" t="b">
            <v>1</v>
          </cell>
          <cell r="E6294" t="str">
            <v>Punta Arena</v>
          </cell>
          <cell r="H6294" t="str">
            <v>consulta_externa</v>
          </cell>
          <cell r="J6294" t="str">
            <v>muybueno</v>
          </cell>
          <cell r="K6294" t="str">
            <v>probsi</v>
          </cell>
        </row>
        <row r="6295">
          <cell r="B6295" t="b">
            <v>1</v>
          </cell>
          <cell r="E6295" t="str">
            <v>Punta Arena</v>
          </cell>
          <cell r="H6295" t="str">
            <v>consulta_externa</v>
          </cell>
          <cell r="J6295" t="str">
            <v>bueno</v>
          </cell>
          <cell r="K6295" t="str">
            <v>probsi</v>
          </cell>
        </row>
        <row r="6296">
          <cell r="B6296" t="b">
            <v>1</v>
          </cell>
          <cell r="E6296" t="str">
            <v>Punta Arena</v>
          </cell>
          <cell r="H6296" t="str">
            <v>consulta_externa</v>
          </cell>
          <cell r="J6296" t="str">
            <v>bueno</v>
          </cell>
          <cell r="K6296" t="str">
            <v>probsi</v>
          </cell>
        </row>
        <row r="6297">
          <cell r="B6297" t="b">
            <v>1</v>
          </cell>
          <cell r="E6297" t="str">
            <v>San Francisco I</v>
          </cell>
          <cell r="H6297" t="str">
            <v>consulta_externa</v>
          </cell>
          <cell r="J6297" t="str">
            <v>bueno</v>
          </cell>
          <cell r="K6297" t="str">
            <v>defsi</v>
          </cell>
        </row>
        <row r="6298">
          <cell r="B6298" t="b">
            <v>1</v>
          </cell>
          <cell r="E6298" t="str">
            <v>San Francisco I</v>
          </cell>
          <cell r="H6298" t="str">
            <v>salud_oral</v>
          </cell>
          <cell r="J6298" t="str">
            <v>bueno</v>
          </cell>
          <cell r="K6298" t="str">
            <v>defsi</v>
          </cell>
        </row>
        <row r="6299">
          <cell r="B6299" t="b">
            <v>1</v>
          </cell>
          <cell r="E6299" t="str">
            <v>San Francisco I</v>
          </cell>
          <cell r="H6299" t="str">
            <v>laboratorio</v>
          </cell>
          <cell r="J6299" t="str">
            <v>bueno</v>
          </cell>
          <cell r="K6299" t="str">
            <v>defsi</v>
          </cell>
        </row>
        <row r="6300">
          <cell r="B6300" t="b">
            <v>1</v>
          </cell>
          <cell r="E6300" t="str">
            <v>San Francisco I</v>
          </cell>
          <cell r="H6300" t="str">
            <v>consulta_externa</v>
          </cell>
          <cell r="J6300" t="str">
            <v>bueno</v>
          </cell>
          <cell r="K6300" t="str">
            <v>defsi</v>
          </cell>
        </row>
        <row r="6301">
          <cell r="B6301" t="b">
            <v>1</v>
          </cell>
          <cell r="E6301" t="str">
            <v>San Francisco I</v>
          </cell>
          <cell r="H6301" t="str">
            <v>salud_oral</v>
          </cell>
          <cell r="J6301" t="str">
            <v>bueno</v>
          </cell>
          <cell r="K6301" t="str">
            <v>defsi</v>
          </cell>
        </row>
        <row r="6302">
          <cell r="B6302" t="b">
            <v>1</v>
          </cell>
          <cell r="E6302" t="str">
            <v>San Francisco I</v>
          </cell>
          <cell r="H6302" t="str">
            <v>laboratorio</v>
          </cell>
          <cell r="J6302" t="str">
            <v>bueno</v>
          </cell>
          <cell r="K6302" t="str">
            <v>defsi</v>
          </cell>
        </row>
        <row r="6303">
          <cell r="B6303" t="b">
            <v>1</v>
          </cell>
          <cell r="E6303" t="str">
            <v>San Francisco I</v>
          </cell>
          <cell r="H6303" t="str">
            <v>consulta_externa</v>
          </cell>
          <cell r="J6303" t="str">
            <v>bueno</v>
          </cell>
          <cell r="K6303" t="str">
            <v>defsi</v>
          </cell>
        </row>
        <row r="6304">
          <cell r="B6304" t="b">
            <v>1</v>
          </cell>
          <cell r="E6304" t="str">
            <v>San Francisco I</v>
          </cell>
          <cell r="H6304" t="str">
            <v>salud_oral</v>
          </cell>
          <cell r="J6304" t="str">
            <v>bueno</v>
          </cell>
          <cell r="K6304" t="str">
            <v>defsi</v>
          </cell>
        </row>
        <row r="6305">
          <cell r="B6305" t="b">
            <v>1</v>
          </cell>
          <cell r="E6305" t="str">
            <v>San Francisco I</v>
          </cell>
          <cell r="H6305" t="str">
            <v>laboratorio</v>
          </cell>
          <cell r="J6305" t="str">
            <v>bueno</v>
          </cell>
          <cell r="K6305" t="str">
            <v>defsi</v>
          </cell>
        </row>
        <row r="6306">
          <cell r="B6306" t="b">
            <v>1</v>
          </cell>
          <cell r="E6306" t="str">
            <v>San Francisco I</v>
          </cell>
          <cell r="H6306" t="str">
            <v>consulta_externa</v>
          </cell>
          <cell r="J6306" t="str">
            <v>bueno</v>
          </cell>
          <cell r="K6306" t="str">
            <v>defsi</v>
          </cell>
        </row>
        <row r="6307">
          <cell r="B6307" t="b">
            <v>1</v>
          </cell>
          <cell r="E6307" t="str">
            <v>San Francisco I</v>
          </cell>
          <cell r="H6307" t="str">
            <v>salud_oral</v>
          </cell>
          <cell r="J6307" t="str">
            <v>bueno</v>
          </cell>
          <cell r="K6307" t="str">
            <v>defsi</v>
          </cell>
        </row>
        <row r="6308">
          <cell r="B6308" t="b">
            <v>1</v>
          </cell>
          <cell r="E6308" t="str">
            <v>Arroz Barato</v>
          </cell>
          <cell r="H6308" t="str">
            <v>rx</v>
          </cell>
          <cell r="J6308" t="str">
            <v>bueno</v>
          </cell>
          <cell r="K6308" t="str">
            <v>defsi</v>
          </cell>
        </row>
        <row r="6309">
          <cell r="B6309" t="b">
            <v>1</v>
          </cell>
          <cell r="E6309" t="str">
            <v>Arroz Barato</v>
          </cell>
          <cell r="H6309" t="str">
            <v>rx</v>
          </cell>
          <cell r="J6309" t="str">
            <v>bueno</v>
          </cell>
          <cell r="K6309" t="str">
            <v>defsi</v>
          </cell>
        </row>
        <row r="6310">
          <cell r="B6310" t="b">
            <v>1</v>
          </cell>
          <cell r="E6310" t="str">
            <v>Arroz Barato</v>
          </cell>
          <cell r="H6310" t="str">
            <v>consulta_externa</v>
          </cell>
          <cell r="J6310" t="str">
            <v>bueno</v>
          </cell>
          <cell r="K6310" t="str">
            <v>defsi</v>
          </cell>
        </row>
        <row r="6311">
          <cell r="B6311" t="b">
            <v>1</v>
          </cell>
          <cell r="E6311" t="str">
            <v>Arroz Barato</v>
          </cell>
          <cell r="H6311" t="str">
            <v>rx</v>
          </cell>
          <cell r="J6311" t="str">
            <v>bueno</v>
          </cell>
          <cell r="K6311" t="str">
            <v>defsi</v>
          </cell>
        </row>
        <row r="6312">
          <cell r="B6312" t="b">
            <v>1</v>
          </cell>
          <cell r="E6312" t="str">
            <v>Arroz Barato</v>
          </cell>
          <cell r="H6312" t="str">
            <v>rx</v>
          </cell>
          <cell r="J6312" t="str">
            <v>bueno</v>
          </cell>
          <cell r="K6312" t="str">
            <v>defsi</v>
          </cell>
        </row>
        <row r="6313">
          <cell r="B6313" t="b">
            <v>1</v>
          </cell>
          <cell r="E6313" t="str">
            <v>Arroz Barato</v>
          </cell>
          <cell r="H6313" t="str">
            <v>rx</v>
          </cell>
          <cell r="J6313" t="str">
            <v>bueno</v>
          </cell>
          <cell r="K6313" t="str">
            <v>defsi</v>
          </cell>
        </row>
        <row r="6314">
          <cell r="B6314" t="b">
            <v>1</v>
          </cell>
          <cell r="E6314" t="str">
            <v>Arroz Barato</v>
          </cell>
          <cell r="H6314" t="str">
            <v>rx</v>
          </cell>
          <cell r="J6314" t="str">
            <v>bueno</v>
          </cell>
          <cell r="K6314" t="str">
            <v>defsi</v>
          </cell>
        </row>
        <row r="6315">
          <cell r="B6315" t="b">
            <v>1</v>
          </cell>
          <cell r="E6315" t="str">
            <v>Arroz Barato</v>
          </cell>
          <cell r="H6315" t="str">
            <v>rx</v>
          </cell>
          <cell r="J6315" t="str">
            <v>bueno</v>
          </cell>
          <cell r="K6315" t="str">
            <v>defsi</v>
          </cell>
        </row>
        <row r="6316">
          <cell r="B6316" t="b">
            <v>1</v>
          </cell>
          <cell r="E6316" t="str">
            <v>Arroz Barato</v>
          </cell>
          <cell r="H6316" t="str">
            <v>rx</v>
          </cell>
          <cell r="J6316" t="str">
            <v>bueno</v>
          </cell>
          <cell r="K6316" t="str">
            <v>defsi</v>
          </cell>
        </row>
        <row r="6317">
          <cell r="B6317" t="b">
            <v>1</v>
          </cell>
          <cell r="E6317" t="str">
            <v>Arroz Barato</v>
          </cell>
          <cell r="H6317" t="str">
            <v>salud_oral</v>
          </cell>
          <cell r="J6317" t="str">
            <v>bueno</v>
          </cell>
          <cell r="K6317" t="str">
            <v>defsi</v>
          </cell>
        </row>
        <row r="6318">
          <cell r="B6318" t="b">
            <v>1</v>
          </cell>
          <cell r="E6318" t="str">
            <v>Arroz Barato</v>
          </cell>
          <cell r="H6318" t="str">
            <v>salud_oral</v>
          </cell>
          <cell r="J6318" t="str">
            <v>bueno</v>
          </cell>
          <cell r="K6318" t="str">
            <v>probsi</v>
          </cell>
        </row>
        <row r="6319">
          <cell r="B6319" t="b">
            <v>1</v>
          </cell>
          <cell r="E6319" t="str">
            <v>Arroz Barato</v>
          </cell>
          <cell r="H6319" t="str">
            <v>salud_oral</v>
          </cell>
          <cell r="J6319" t="str">
            <v>bueno</v>
          </cell>
          <cell r="K6319" t="str">
            <v>probsi</v>
          </cell>
        </row>
        <row r="6320">
          <cell r="B6320" t="b">
            <v>1</v>
          </cell>
          <cell r="E6320" t="str">
            <v>Arroz Barato</v>
          </cell>
          <cell r="H6320" t="str">
            <v>salud_oral</v>
          </cell>
          <cell r="J6320" t="str">
            <v>bueno</v>
          </cell>
          <cell r="K6320" t="str">
            <v>probsi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atisfaccionServicio"/>
      <sheetName val="SatisfaccionEPS"/>
      <sheetName val="N. GLOBAL"/>
      <sheetName val="RECOMENDARIA IPS"/>
      <sheetName val="INF DEBERES Y D"/>
      <sheetName val="DEBERES Y DERECHOS"/>
      <sheetName val="InfCualitativ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J1" t="str">
            <v>COMO CALIFICARIA SU SATISFACCION CON RESPECTO A LOS SERVICIOS RECIBIDOS DE LA INSTITUCIÓN</v>
          </cell>
          <cell r="K1" t="str">
            <v>RECOMENDARIA A SUS FAMILIARES Y AMIGOS LA ESE HLCI</v>
          </cell>
        </row>
        <row r="3">
          <cell r="B3" t="str">
            <v>puntaje</v>
          </cell>
          <cell r="E3" t="str">
            <v>centrosalud</v>
          </cell>
          <cell r="H3" t="str">
            <v>servicio</v>
          </cell>
          <cell r="J3" t="str">
            <v>pregunta1</v>
          </cell>
          <cell r="K3" t="str">
            <v>pregunta2</v>
          </cell>
        </row>
        <row r="4">
          <cell r="B4" t="b">
            <v>1</v>
          </cell>
          <cell r="E4" t="str">
            <v>Manzanillo</v>
          </cell>
          <cell r="H4" t="str">
            <v>consulta_externa</v>
          </cell>
          <cell r="J4" t="str">
            <v>bueno</v>
          </cell>
          <cell r="K4" t="str">
            <v>probsi</v>
          </cell>
        </row>
        <row r="5">
          <cell r="B5" t="b">
            <v>1</v>
          </cell>
          <cell r="E5" t="str">
            <v>Manzanillo</v>
          </cell>
          <cell r="H5" t="str">
            <v>consulta_externa</v>
          </cell>
          <cell r="J5" t="str">
            <v>bueno</v>
          </cell>
          <cell r="K5" t="str">
            <v>probsi</v>
          </cell>
        </row>
        <row r="6">
          <cell r="B6" t="b">
            <v>1</v>
          </cell>
          <cell r="E6" t="str">
            <v>Manzanillo</v>
          </cell>
          <cell r="H6" t="str">
            <v>salud_oral</v>
          </cell>
          <cell r="J6" t="str">
            <v>bueno</v>
          </cell>
          <cell r="K6" t="str">
            <v>probsi</v>
          </cell>
        </row>
        <row r="7">
          <cell r="B7" t="b">
            <v>1</v>
          </cell>
          <cell r="E7" t="str">
            <v>Manzanillo</v>
          </cell>
          <cell r="H7" t="str">
            <v>laboratorio</v>
          </cell>
          <cell r="J7" t="str">
            <v>bueno</v>
          </cell>
          <cell r="K7" t="str">
            <v>probsi</v>
          </cell>
        </row>
        <row r="8">
          <cell r="B8" t="b">
            <v>1</v>
          </cell>
          <cell r="E8" t="str">
            <v>Manzanillo</v>
          </cell>
          <cell r="H8" t="str">
            <v>salud_oral</v>
          </cell>
          <cell r="J8" t="str">
            <v>bueno</v>
          </cell>
          <cell r="K8" t="str">
            <v>probsi</v>
          </cell>
        </row>
        <row r="9">
          <cell r="B9" t="b">
            <v>1</v>
          </cell>
          <cell r="E9" t="str">
            <v>Manzanillo</v>
          </cell>
          <cell r="H9" t="str">
            <v>consulta_externa</v>
          </cell>
          <cell r="J9" t="str">
            <v>bueno</v>
          </cell>
          <cell r="K9" t="str">
            <v>probsi</v>
          </cell>
        </row>
        <row r="10">
          <cell r="B10" t="b">
            <v>1</v>
          </cell>
          <cell r="E10" t="str">
            <v>Manzanillo</v>
          </cell>
          <cell r="H10" t="str">
            <v>salud_oral</v>
          </cell>
          <cell r="J10" t="str">
            <v>bueno</v>
          </cell>
          <cell r="K10" t="str">
            <v>probsi</v>
          </cell>
        </row>
        <row r="11">
          <cell r="B11" t="b">
            <v>1</v>
          </cell>
          <cell r="E11" t="str">
            <v>Manzanillo</v>
          </cell>
          <cell r="H11" t="str">
            <v>consulta_externa</v>
          </cell>
          <cell r="J11" t="str">
            <v>bueno</v>
          </cell>
          <cell r="K11" t="str">
            <v>probsi</v>
          </cell>
        </row>
        <row r="12">
          <cell r="B12" t="b">
            <v>1</v>
          </cell>
          <cell r="E12" t="str">
            <v>Arroyo de Piedra</v>
          </cell>
          <cell r="H12" t="str">
            <v>consulta_externa</v>
          </cell>
          <cell r="J12" t="str">
            <v>bueno</v>
          </cell>
          <cell r="K12" t="str">
            <v>defsi</v>
          </cell>
        </row>
        <row r="13">
          <cell r="B13" t="b">
            <v>1</v>
          </cell>
          <cell r="E13" t="str">
            <v>Arroyo de Piedra</v>
          </cell>
          <cell r="H13" t="str">
            <v>salud_oral</v>
          </cell>
          <cell r="J13" t="str">
            <v>bueno</v>
          </cell>
          <cell r="K13" t="str">
            <v>defsi</v>
          </cell>
        </row>
        <row r="14">
          <cell r="B14" t="b">
            <v>1</v>
          </cell>
          <cell r="E14" t="str">
            <v>Arroyo de Piedra</v>
          </cell>
          <cell r="H14" t="str">
            <v>laboratorio</v>
          </cell>
          <cell r="J14" t="str">
            <v>bueno</v>
          </cell>
          <cell r="K14" t="str">
            <v>defsi</v>
          </cell>
        </row>
        <row r="15">
          <cell r="B15" t="b">
            <v>1</v>
          </cell>
          <cell r="E15" t="str">
            <v>Arroyo de Piedra</v>
          </cell>
          <cell r="H15" t="str">
            <v>consulta_externa</v>
          </cell>
          <cell r="J15" t="str">
            <v>bueno</v>
          </cell>
          <cell r="K15" t="str">
            <v>defsi</v>
          </cell>
        </row>
        <row r="16">
          <cell r="B16" t="b">
            <v>1</v>
          </cell>
          <cell r="E16" t="str">
            <v>Arroyo de Piedra</v>
          </cell>
          <cell r="H16" t="str">
            <v>salud_oral</v>
          </cell>
          <cell r="J16" t="str">
            <v>bueno</v>
          </cell>
          <cell r="K16" t="str">
            <v>defsi</v>
          </cell>
        </row>
        <row r="17">
          <cell r="B17" t="b">
            <v>1</v>
          </cell>
          <cell r="E17" t="str">
            <v>Arroyo de Piedra</v>
          </cell>
          <cell r="H17" t="str">
            <v>laboratorio</v>
          </cell>
          <cell r="J17" t="str">
            <v>bueno</v>
          </cell>
          <cell r="K17" t="str">
            <v>defsi</v>
          </cell>
        </row>
        <row r="18">
          <cell r="B18" t="b">
            <v>1</v>
          </cell>
          <cell r="E18" t="str">
            <v>Manzanillo</v>
          </cell>
          <cell r="H18" t="str">
            <v>consulta_externa</v>
          </cell>
          <cell r="J18" t="str">
            <v>bueno</v>
          </cell>
          <cell r="K18" t="str">
            <v>probsi</v>
          </cell>
        </row>
        <row r="19">
          <cell r="B19" t="b">
            <v>1</v>
          </cell>
          <cell r="E19" t="str">
            <v>Manzanillo</v>
          </cell>
          <cell r="H19" t="str">
            <v>salud_oral</v>
          </cell>
          <cell r="J19" t="str">
            <v>bueno</v>
          </cell>
          <cell r="K19" t="str">
            <v>probsi</v>
          </cell>
        </row>
        <row r="20">
          <cell r="B20" t="b">
            <v>1</v>
          </cell>
          <cell r="E20" t="str">
            <v>Manzanillo</v>
          </cell>
          <cell r="H20" t="str">
            <v>laboratorio</v>
          </cell>
          <cell r="J20" t="str">
            <v>bueno</v>
          </cell>
          <cell r="K20" t="str">
            <v>probsi</v>
          </cell>
        </row>
        <row r="21">
          <cell r="B21" t="b">
            <v>1</v>
          </cell>
          <cell r="E21" t="str">
            <v>Manzanillo</v>
          </cell>
          <cell r="H21" t="str">
            <v>consulta_externa</v>
          </cell>
          <cell r="J21" t="str">
            <v>bueno</v>
          </cell>
          <cell r="K21" t="str">
            <v>probsi</v>
          </cell>
        </row>
        <row r="22">
          <cell r="B22" t="b">
            <v>1</v>
          </cell>
          <cell r="E22" t="str">
            <v>Manzanillo</v>
          </cell>
          <cell r="H22" t="str">
            <v>salud_oral</v>
          </cell>
          <cell r="J22" t="str">
            <v>bueno</v>
          </cell>
          <cell r="K22" t="str">
            <v>probsi</v>
          </cell>
        </row>
        <row r="23">
          <cell r="B23" t="b">
            <v>1</v>
          </cell>
          <cell r="E23" t="str">
            <v>Arroyo de Piedra</v>
          </cell>
          <cell r="H23" t="str">
            <v>consulta_externa</v>
          </cell>
          <cell r="J23" t="str">
            <v>bueno</v>
          </cell>
          <cell r="K23" t="str">
            <v>defsi</v>
          </cell>
        </row>
        <row r="24">
          <cell r="B24" t="b">
            <v>1</v>
          </cell>
          <cell r="E24" t="str">
            <v>Arroyo de Piedra</v>
          </cell>
          <cell r="H24" t="str">
            <v>salud_oral</v>
          </cell>
          <cell r="J24" t="str">
            <v>bueno</v>
          </cell>
          <cell r="K24" t="str">
            <v>defsi</v>
          </cell>
        </row>
        <row r="25">
          <cell r="B25" t="b">
            <v>1</v>
          </cell>
          <cell r="E25" t="str">
            <v>Arroyo de Piedra</v>
          </cell>
          <cell r="H25" t="str">
            <v>laboratorio</v>
          </cell>
          <cell r="J25" t="str">
            <v>bueno</v>
          </cell>
          <cell r="K25" t="str">
            <v>defsi</v>
          </cell>
        </row>
        <row r="26">
          <cell r="B26" t="b">
            <v>1</v>
          </cell>
          <cell r="E26" t="str">
            <v>Arroyo de Piedra</v>
          </cell>
          <cell r="H26" t="str">
            <v>consulta_externa</v>
          </cell>
          <cell r="J26" t="str">
            <v>bueno</v>
          </cell>
          <cell r="K26" t="str">
            <v>defsi</v>
          </cell>
        </row>
        <row r="27">
          <cell r="B27" t="b">
            <v>1</v>
          </cell>
          <cell r="E27" t="str">
            <v>Arroyo de Piedra</v>
          </cell>
          <cell r="H27" t="str">
            <v>salud_oral</v>
          </cell>
          <cell r="J27" t="str">
            <v>bueno</v>
          </cell>
          <cell r="K27" t="str">
            <v>defsi</v>
          </cell>
        </row>
        <row r="28">
          <cell r="B28" t="b">
            <v>1</v>
          </cell>
          <cell r="E28" t="str">
            <v>Arroyo de Piedra</v>
          </cell>
          <cell r="H28" t="str">
            <v>laboratorio</v>
          </cell>
          <cell r="J28" t="str">
            <v>bueno</v>
          </cell>
          <cell r="K28" t="str">
            <v>defsi</v>
          </cell>
        </row>
        <row r="29">
          <cell r="B29" t="b">
            <v>1</v>
          </cell>
          <cell r="E29" t="str">
            <v>Manzanillo</v>
          </cell>
          <cell r="H29" t="str">
            <v>consulta_externa</v>
          </cell>
          <cell r="J29" t="str">
            <v>bueno</v>
          </cell>
          <cell r="K29" t="str">
            <v>probsi</v>
          </cell>
        </row>
        <row r="30">
          <cell r="B30" t="b">
            <v>1</v>
          </cell>
          <cell r="E30" t="str">
            <v>Manzanillo</v>
          </cell>
          <cell r="H30" t="str">
            <v>salud_oral</v>
          </cell>
          <cell r="J30" t="str">
            <v>bueno</v>
          </cell>
          <cell r="K30" t="str">
            <v>probsi</v>
          </cell>
        </row>
        <row r="31">
          <cell r="B31" t="b">
            <v>1</v>
          </cell>
          <cell r="E31" t="str">
            <v>Manzanillo</v>
          </cell>
          <cell r="H31" t="str">
            <v>laboratorio</v>
          </cell>
          <cell r="J31" t="str">
            <v>bueno</v>
          </cell>
          <cell r="K31" t="str">
            <v>probsi</v>
          </cell>
        </row>
        <row r="32">
          <cell r="B32" t="b">
            <v>1</v>
          </cell>
          <cell r="E32" t="str">
            <v>Arroyo de Piedra</v>
          </cell>
          <cell r="H32" t="str">
            <v>consulta_externa</v>
          </cell>
          <cell r="J32" t="str">
            <v>bueno</v>
          </cell>
          <cell r="K32" t="str">
            <v>defsi</v>
          </cell>
        </row>
        <row r="33">
          <cell r="B33" t="b">
            <v>1</v>
          </cell>
          <cell r="E33" t="str">
            <v>Arroyo de Piedra</v>
          </cell>
          <cell r="H33" t="str">
            <v>salud_oral</v>
          </cell>
          <cell r="J33" t="str">
            <v>bueno</v>
          </cell>
          <cell r="K33" t="str">
            <v>defsi</v>
          </cell>
        </row>
        <row r="34">
          <cell r="B34" t="b">
            <v>1</v>
          </cell>
          <cell r="E34" t="str">
            <v>Arroyo de Piedra</v>
          </cell>
          <cell r="H34" t="str">
            <v>laboratorio</v>
          </cell>
          <cell r="J34" t="str">
            <v>bueno</v>
          </cell>
          <cell r="K34" t="str">
            <v>defsi</v>
          </cell>
        </row>
        <row r="35">
          <cell r="B35" t="b">
            <v>1</v>
          </cell>
          <cell r="E35" t="str">
            <v>Arroyo de Piedra</v>
          </cell>
          <cell r="H35" t="str">
            <v>consulta_externa</v>
          </cell>
          <cell r="J35" t="str">
            <v>bueno</v>
          </cell>
          <cell r="K35" t="str">
            <v>defsi</v>
          </cell>
        </row>
        <row r="36">
          <cell r="B36" t="b">
            <v>1</v>
          </cell>
          <cell r="E36" t="str">
            <v>Arroyo de Piedra</v>
          </cell>
          <cell r="H36" t="str">
            <v>salud_oral</v>
          </cell>
          <cell r="J36" t="str">
            <v>bueno</v>
          </cell>
          <cell r="K36" t="str">
            <v>defsi</v>
          </cell>
        </row>
        <row r="37">
          <cell r="B37" t="b">
            <v>1</v>
          </cell>
          <cell r="E37" t="str">
            <v>Arroyo de Piedra</v>
          </cell>
          <cell r="H37" t="str">
            <v>laboratorio</v>
          </cell>
          <cell r="J37" t="str">
            <v>bueno</v>
          </cell>
          <cell r="K37" t="str">
            <v>defsi</v>
          </cell>
        </row>
        <row r="38">
          <cell r="B38" t="b">
            <v>1</v>
          </cell>
          <cell r="E38" t="str">
            <v>Arroyo de Piedra</v>
          </cell>
          <cell r="H38" t="str">
            <v>consulta_externa</v>
          </cell>
          <cell r="J38" t="str">
            <v>bueno</v>
          </cell>
          <cell r="K38" t="str">
            <v>defsi</v>
          </cell>
        </row>
        <row r="39">
          <cell r="B39" t="b">
            <v>1</v>
          </cell>
          <cell r="E39" t="str">
            <v>Arroyo de Piedra</v>
          </cell>
          <cell r="H39" t="str">
            <v>salud_oral</v>
          </cell>
          <cell r="J39" t="str">
            <v>bueno</v>
          </cell>
          <cell r="K39" t="str">
            <v>defsi</v>
          </cell>
        </row>
        <row r="40">
          <cell r="B40" t="b">
            <v>1</v>
          </cell>
          <cell r="E40" t="str">
            <v>Arroyo de Piedra</v>
          </cell>
          <cell r="H40" t="str">
            <v>laboratorio</v>
          </cell>
          <cell r="J40" t="str">
            <v>bueno</v>
          </cell>
          <cell r="K40" t="str">
            <v>defsi</v>
          </cell>
        </row>
        <row r="41">
          <cell r="B41" t="b">
            <v>1</v>
          </cell>
          <cell r="E41" t="str">
            <v>Arroyo de Piedra</v>
          </cell>
          <cell r="H41" t="str">
            <v>consulta_externa</v>
          </cell>
          <cell r="J41" t="str">
            <v>bueno</v>
          </cell>
          <cell r="K41" t="str">
            <v>defsi</v>
          </cell>
        </row>
        <row r="42">
          <cell r="B42" t="b">
            <v>1</v>
          </cell>
          <cell r="E42" t="str">
            <v>Arroyo de Piedra</v>
          </cell>
          <cell r="H42" t="str">
            <v>salud_oral</v>
          </cell>
          <cell r="J42" t="str">
            <v>bueno</v>
          </cell>
          <cell r="K42" t="str">
            <v>defsi</v>
          </cell>
        </row>
        <row r="43">
          <cell r="B43" t="b">
            <v>1</v>
          </cell>
          <cell r="E43" t="str">
            <v>Arroyo de Piedra</v>
          </cell>
          <cell r="H43" t="str">
            <v>laboratorio</v>
          </cell>
          <cell r="J43" t="str">
            <v>bueno</v>
          </cell>
          <cell r="K43" t="str">
            <v>defsi</v>
          </cell>
        </row>
        <row r="44">
          <cell r="B44" t="b">
            <v>1</v>
          </cell>
          <cell r="E44" t="str">
            <v>Arroyo de Piedra</v>
          </cell>
          <cell r="H44" t="str">
            <v>consulta_externa</v>
          </cell>
          <cell r="J44" t="str">
            <v>bueno</v>
          </cell>
          <cell r="K44" t="str">
            <v>defsi</v>
          </cell>
        </row>
        <row r="45">
          <cell r="B45" t="b">
            <v>1</v>
          </cell>
          <cell r="E45" t="str">
            <v>Arroyo de Piedra</v>
          </cell>
          <cell r="H45" t="str">
            <v>salud_oral</v>
          </cell>
          <cell r="J45" t="str">
            <v>bueno</v>
          </cell>
          <cell r="K45" t="str">
            <v>defsi</v>
          </cell>
        </row>
        <row r="46">
          <cell r="B46" t="b">
            <v>1</v>
          </cell>
          <cell r="E46" t="str">
            <v>Arroyo de Piedra</v>
          </cell>
          <cell r="H46" t="str">
            <v>laboratorio</v>
          </cell>
          <cell r="J46" t="str">
            <v>bueno</v>
          </cell>
          <cell r="K46" t="str">
            <v>defsi</v>
          </cell>
        </row>
        <row r="47">
          <cell r="B47" t="b">
            <v>1</v>
          </cell>
          <cell r="E47" t="str">
            <v>Arroyo de Piedra</v>
          </cell>
          <cell r="H47" t="str">
            <v>consulta_externa</v>
          </cell>
          <cell r="J47" t="str">
            <v>bueno</v>
          </cell>
          <cell r="K47" t="str">
            <v>defsi</v>
          </cell>
        </row>
        <row r="48">
          <cell r="B48" t="b">
            <v>1</v>
          </cell>
          <cell r="E48" t="str">
            <v>Arroyo de Piedra</v>
          </cell>
          <cell r="H48" t="str">
            <v>salud_oral</v>
          </cell>
          <cell r="J48" t="str">
            <v>bueno</v>
          </cell>
          <cell r="K48" t="str">
            <v>defsi</v>
          </cell>
        </row>
        <row r="49">
          <cell r="B49" t="b">
            <v>1</v>
          </cell>
          <cell r="E49" t="str">
            <v>Arroyo de Piedra</v>
          </cell>
          <cell r="H49" t="str">
            <v>laboratorio</v>
          </cell>
          <cell r="J49" t="str">
            <v>bueno</v>
          </cell>
          <cell r="K49" t="str">
            <v>defsi</v>
          </cell>
        </row>
        <row r="50">
          <cell r="B50" t="b">
            <v>1</v>
          </cell>
          <cell r="E50" t="str">
            <v>Manzanillo</v>
          </cell>
          <cell r="H50" t="str">
            <v>consulta_externa</v>
          </cell>
          <cell r="J50" t="str">
            <v>bueno</v>
          </cell>
          <cell r="K50" t="str">
            <v>probsi</v>
          </cell>
        </row>
        <row r="51">
          <cell r="B51" t="b">
            <v>1</v>
          </cell>
          <cell r="E51" t="str">
            <v>Manzanillo</v>
          </cell>
          <cell r="H51" t="str">
            <v>consulta_externa</v>
          </cell>
          <cell r="J51" t="str">
            <v>bueno</v>
          </cell>
          <cell r="K51" t="str">
            <v>probsi</v>
          </cell>
        </row>
        <row r="52">
          <cell r="B52" t="b">
            <v>1</v>
          </cell>
          <cell r="E52" t="str">
            <v>Boquilla</v>
          </cell>
          <cell r="H52" t="str">
            <v>laboratorio</v>
          </cell>
          <cell r="J52" t="str">
            <v>bueno</v>
          </cell>
          <cell r="K52" t="str">
            <v>defsi</v>
          </cell>
        </row>
        <row r="53">
          <cell r="B53" t="b">
            <v>1</v>
          </cell>
          <cell r="E53" t="str">
            <v>Boquilla</v>
          </cell>
          <cell r="H53" t="str">
            <v>consulta_externa</v>
          </cell>
          <cell r="J53" t="str">
            <v>bueno</v>
          </cell>
          <cell r="K53" t="str">
            <v>defsi</v>
          </cell>
        </row>
        <row r="54">
          <cell r="B54" t="b">
            <v>1</v>
          </cell>
          <cell r="E54" t="str">
            <v>Boquilla</v>
          </cell>
          <cell r="H54" t="str">
            <v>laboratorio</v>
          </cell>
          <cell r="J54" t="str">
            <v>bueno</v>
          </cell>
          <cell r="K54" t="str">
            <v>defsi</v>
          </cell>
        </row>
        <row r="55">
          <cell r="B55" t="b">
            <v>1</v>
          </cell>
          <cell r="E55" t="str">
            <v>Boquilla</v>
          </cell>
          <cell r="H55" t="str">
            <v>salud_oral</v>
          </cell>
          <cell r="J55" t="str">
            <v>bueno</v>
          </cell>
          <cell r="K55" t="str">
            <v>defsi</v>
          </cell>
        </row>
        <row r="56">
          <cell r="B56" t="b">
            <v>1</v>
          </cell>
          <cell r="E56" t="str">
            <v>Boquilla</v>
          </cell>
          <cell r="H56" t="str">
            <v>consulta_externa</v>
          </cell>
          <cell r="J56" t="str">
            <v>bueno</v>
          </cell>
          <cell r="K56" t="str">
            <v>defsi</v>
          </cell>
        </row>
        <row r="57">
          <cell r="B57" t="b">
            <v>1</v>
          </cell>
          <cell r="E57" t="str">
            <v>Boquilla</v>
          </cell>
          <cell r="H57" t="str">
            <v>laboratorio</v>
          </cell>
          <cell r="J57" t="str">
            <v>bueno</v>
          </cell>
          <cell r="K57" t="str">
            <v>defsi</v>
          </cell>
        </row>
        <row r="58">
          <cell r="B58" t="b">
            <v>1</v>
          </cell>
          <cell r="E58" t="str">
            <v>Boquilla</v>
          </cell>
          <cell r="H58" t="str">
            <v>salud_oral</v>
          </cell>
          <cell r="J58" t="str">
            <v>bueno</v>
          </cell>
          <cell r="K58" t="str">
            <v>defsi</v>
          </cell>
        </row>
        <row r="59">
          <cell r="B59" t="b">
            <v>1</v>
          </cell>
          <cell r="E59" t="str">
            <v>Boquilla</v>
          </cell>
          <cell r="H59" t="str">
            <v>consulta_externa</v>
          </cell>
          <cell r="J59" t="str">
            <v>bueno</v>
          </cell>
          <cell r="K59" t="str">
            <v>defsi</v>
          </cell>
        </row>
        <row r="60">
          <cell r="B60" t="b">
            <v>1</v>
          </cell>
          <cell r="E60" t="str">
            <v>Boquilla</v>
          </cell>
          <cell r="H60" t="str">
            <v>consulta_externa</v>
          </cell>
          <cell r="J60" t="str">
            <v>bueno</v>
          </cell>
          <cell r="K60" t="str">
            <v>defsi</v>
          </cell>
        </row>
        <row r="61">
          <cell r="B61" t="b">
            <v>1</v>
          </cell>
          <cell r="E61" t="str">
            <v>Boquilla</v>
          </cell>
          <cell r="H61" t="str">
            <v>laboratorio</v>
          </cell>
          <cell r="J61" t="str">
            <v>bueno</v>
          </cell>
          <cell r="K61" t="str">
            <v>defsi</v>
          </cell>
        </row>
        <row r="62">
          <cell r="B62" t="b">
            <v>1</v>
          </cell>
          <cell r="E62" t="str">
            <v>Boquilla</v>
          </cell>
          <cell r="H62" t="str">
            <v>consulta_externa</v>
          </cell>
          <cell r="J62" t="str">
            <v>bueno</v>
          </cell>
          <cell r="K62" t="str">
            <v>defsi</v>
          </cell>
        </row>
        <row r="63">
          <cell r="B63" t="b">
            <v>1</v>
          </cell>
          <cell r="E63" t="str">
            <v>Boquilla</v>
          </cell>
          <cell r="H63" t="str">
            <v>consulta_externa</v>
          </cell>
          <cell r="J63" t="str">
            <v>bueno</v>
          </cell>
          <cell r="K63" t="str">
            <v>defsi</v>
          </cell>
        </row>
        <row r="64">
          <cell r="B64" t="b">
            <v>1</v>
          </cell>
          <cell r="E64" t="str">
            <v>Boquilla</v>
          </cell>
          <cell r="H64" t="str">
            <v>salud_oral</v>
          </cell>
          <cell r="J64" t="str">
            <v>bueno</v>
          </cell>
          <cell r="K64" t="str">
            <v>defsi</v>
          </cell>
        </row>
        <row r="65">
          <cell r="B65" t="b">
            <v>0</v>
          </cell>
          <cell r="E65" t="str">
            <v>Boquilla</v>
          </cell>
          <cell r="H65" t="str">
            <v>salud_oral</v>
          </cell>
          <cell r="J65" t="str">
            <v>regular</v>
          </cell>
          <cell r="K65" t="str">
            <v>probsi</v>
          </cell>
        </row>
        <row r="66">
          <cell r="B66" t="b">
            <v>0</v>
          </cell>
          <cell r="E66" t="str">
            <v>Boquilla</v>
          </cell>
          <cell r="H66" t="str">
            <v>consulta_externa</v>
          </cell>
          <cell r="J66" t="str">
            <v>regular</v>
          </cell>
          <cell r="K66" t="str">
            <v>probsi</v>
          </cell>
        </row>
        <row r="67">
          <cell r="B67" t="b">
            <v>0</v>
          </cell>
          <cell r="E67" t="str">
            <v>Boquilla</v>
          </cell>
          <cell r="H67" t="str">
            <v>consulta_externa</v>
          </cell>
          <cell r="J67" t="str">
            <v>regular</v>
          </cell>
          <cell r="K67" t="str">
            <v>defsi</v>
          </cell>
        </row>
        <row r="68">
          <cell r="B68" t="b">
            <v>0</v>
          </cell>
          <cell r="E68" t="str">
            <v>Boquilla</v>
          </cell>
          <cell r="H68" t="str">
            <v>salud_oral</v>
          </cell>
          <cell r="J68" t="str">
            <v>regular</v>
          </cell>
          <cell r="K68" t="str">
            <v>defsi</v>
          </cell>
        </row>
        <row r="69">
          <cell r="B69" t="b">
            <v>0</v>
          </cell>
          <cell r="E69" t="str">
            <v>Boquilla</v>
          </cell>
          <cell r="H69" t="str">
            <v>laboratorio</v>
          </cell>
          <cell r="J69" t="str">
            <v>regular</v>
          </cell>
          <cell r="K69" t="str">
            <v>defsi</v>
          </cell>
        </row>
        <row r="70">
          <cell r="B70" t="b">
            <v>0</v>
          </cell>
          <cell r="E70" t="str">
            <v>Boquilla</v>
          </cell>
          <cell r="H70" t="str">
            <v>laboratorio</v>
          </cell>
          <cell r="J70" t="str">
            <v>regular</v>
          </cell>
          <cell r="K70" t="str">
            <v>defsi</v>
          </cell>
        </row>
        <row r="71">
          <cell r="B71" t="b">
            <v>0</v>
          </cell>
          <cell r="E71" t="str">
            <v>Boquilla</v>
          </cell>
          <cell r="H71" t="str">
            <v>laboratorio</v>
          </cell>
          <cell r="J71" t="str">
            <v>regular</v>
          </cell>
          <cell r="K71" t="str">
            <v>defsi</v>
          </cell>
        </row>
        <row r="72">
          <cell r="B72" t="b">
            <v>0</v>
          </cell>
          <cell r="E72" t="str">
            <v>Boquilla</v>
          </cell>
          <cell r="H72" t="str">
            <v>consulta_externa</v>
          </cell>
          <cell r="J72" t="str">
            <v>regular</v>
          </cell>
          <cell r="K72" t="str">
            <v>defsi</v>
          </cell>
        </row>
        <row r="73">
          <cell r="B73" t="b">
            <v>1</v>
          </cell>
          <cell r="E73" t="str">
            <v>Boquilla</v>
          </cell>
          <cell r="H73" t="str">
            <v>consulta_externa</v>
          </cell>
          <cell r="J73" t="str">
            <v>bueno</v>
          </cell>
          <cell r="K73" t="str">
            <v>defsi</v>
          </cell>
        </row>
        <row r="74">
          <cell r="B74" t="b">
            <v>1</v>
          </cell>
          <cell r="E74" t="str">
            <v>Boquilla</v>
          </cell>
          <cell r="H74" t="str">
            <v>laboratorio</v>
          </cell>
          <cell r="J74" t="str">
            <v>bueno</v>
          </cell>
          <cell r="K74" t="str">
            <v>defsi</v>
          </cell>
        </row>
        <row r="75">
          <cell r="B75" t="b">
            <v>1</v>
          </cell>
          <cell r="E75" t="str">
            <v>Boquilla</v>
          </cell>
          <cell r="H75" t="str">
            <v>laboratorio</v>
          </cell>
          <cell r="J75" t="str">
            <v>bueno</v>
          </cell>
          <cell r="K75" t="str">
            <v>defsi</v>
          </cell>
        </row>
        <row r="76">
          <cell r="B76" t="b">
            <v>1</v>
          </cell>
          <cell r="E76" t="str">
            <v>Boquilla</v>
          </cell>
          <cell r="H76" t="str">
            <v>laboratorio</v>
          </cell>
          <cell r="J76" t="str">
            <v>bueno</v>
          </cell>
          <cell r="K76" t="str">
            <v>defsi</v>
          </cell>
        </row>
        <row r="77">
          <cell r="B77" t="b">
            <v>1</v>
          </cell>
          <cell r="E77" t="str">
            <v>Boquilla</v>
          </cell>
          <cell r="H77" t="str">
            <v>consulta_externa</v>
          </cell>
          <cell r="J77" t="str">
            <v>bueno</v>
          </cell>
          <cell r="K77" t="str">
            <v>defsi</v>
          </cell>
        </row>
        <row r="78">
          <cell r="B78" t="b">
            <v>0</v>
          </cell>
          <cell r="E78" t="str">
            <v>Boquilla</v>
          </cell>
          <cell r="H78" t="str">
            <v>laboratorio</v>
          </cell>
          <cell r="J78" t="str">
            <v>regular</v>
          </cell>
          <cell r="K78" t="str">
            <v>probsi</v>
          </cell>
        </row>
        <row r="79">
          <cell r="B79" t="b">
            <v>1</v>
          </cell>
          <cell r="E79" t="str">
            <v>Boquilla</v>
          </cell>
          <cell r="H79" t="str">
            <v>salud_oral</v>
          </cell>
          <cell r="J79" t="str">
            <v>bueno</v>
          </cell>
          <cell r="K79" t="str">
            <v>defsi</v>
          </cell>
        </row>
        <row r="80">
          <cell r="B80" t="b">
            <v>1</v>
          </cell>
          <cell r="E80" t="str">
            <v>Boquilla</v>
          </cell>
          <cell r="H80" t="str">
            <v>salud_oral</v>
          </cell>
          <cell r="J80" t="str">
            <v>bueno</v>
          </cell>
          <cell r="K80" t="str">
            <v>defsi</v>
          </cell>
        </row>
        <row r="81">
          <cell r="B81" t="b">
            <v>0</v>
          </cell>
          <cell r="E81" t="str">
            <v>Boquilla</v>
          </cell>
          <cell r="H81" t="str">
            <v>salud_oral</v>
          </cell>
          <cell r="J81" t="str">
            <v>regular</v>
          </cell>
          <cell r="K81" t="str">
            <v>defsi</v>
          </cell>
        </row>
        <row r="82">
          <cell r="B82" t="b">
            <v>1</v>
          </cell>
          <cell r="E82" t="str">
            <v>Boquilla</v>
          </cell>
          <cell r="H82" t="str">
            <v>salud_oral</v>
          </cell>
          <cell r="J82" t="str">
            <v>bueno</v>
          </cell>
          <cell r="K82" t="str">
            <v>defsi</v>
          </cell>
        </row>
        <row r="83">
          <cell r="B83" t="b">
            <v>1</v>
          </cell>
          <cell r="E83" t="str">
            <v>Boquilla</v>
          </cell>
          <cell r="H83" t="str">
            <v>salud_oral</v>
          </cell>
          <cell r="J83" t="str">
            <v>bueno</v>
          </cell>
          <cell r="K83" t="str">
            <v>defsi</v>
          </cell>
        </row>
        <row r="84">
          <cell r="B84" t="b">
            <v>1</v>
          </cell>
          <cell r="E84" t="str">
            <v>Boquilla</v>
          </cell>
          <cell r="H84" t="str">
            <v>urgencia</v>
          </cell>
          <cell r="J84" t="str">
            <v>bueno</v>
          </cell>
          <cell r="K84" t="str">
            <v>defsi</v>
          </cell>
        </row>
        <row r="85">
          <cell r="B85" t="b">
            <v>1</v>
          </cell>
          <cell r="E85" t="str">
            <v>Boquilla</v>
          </cell>
          <cell r="H85" t="str">
            <v>urgencia</v>
          </cell>
          <cell r="J85" t="str">
            <v>bueno</v>
          </cell>
          <cell r="K85" t="str">
            <v>defsi</v>
          </cell>
        </row>
        <row r="86">
          <cell r="B86" t="b">
            <v>0</v>
          </cell>
          <cell r="E86" t="str">
            <v>Boquilla</v>
          </cell>
          <cell r="H86" t="str">
            <v>urgencia</v>
          </cell>
          <cell r="J86" t="str">
            <v>regular</v>
          </cell>
          <cell r="K86" t="str">
            <v>defsi</v>
          </cell>
        </row>
        <row r="87">
          <cell r="B87" t="b">
            <v>1</v>
          </cell>
          <cell r="E87" t="str">
            <v>Boquilla</v>
          </cell>
          <cell r="H87" t="str">
            <v>salud_oral</v>
          </cell>
          <cell r="J87" t="str">
            <v>bueno</v>
          </cell>
          <cell r="K87" t="str">
            <v>defsi</v>
          </cell>
        </row>
        <row r="88">
          <cell r="B88" t="b">
            <v>1</v>
          </cell>
          <cell r="E88" t="str">
            <v>Boquilla</v>
          </cell>
          <cell r="H88" t="str">
            <v>consulta_externa</v>
          </cell>
          <cell r="J88" t="str">
            <v>bueno</v>
          </cell>
          <cell r="K88" t="str">
            <v>defsi</v>
          </cell>
        </row>
        <row r="89">
          <cell r="B89" t="b">
            <v>1</v>
          </cell>
          <cell r="E89" t="str">
            <v>Boquilla</v>
          </cell>
          <cell r="H89" t="str">
            <v>laboratorio</v>
          </cell>
          <cell r="J89" t="str">
            <v>bueno</v>
          </cell>
          <cell r="K89" t="str">
            <v>defsi</v>
          </cell>
        </row>
        <row r="90">
          <cell r="B90" t="b">
            <v>1</v>
          </cell>
          <cell r="E90" t="str">
            <v>Boquilla</v>
          </cell>
          <cell r="H90" t="str">
            <v>salud_oral</v>
          </cell>
          <cell r="J90" t="str">
            <v>bueno</v>
          </cell>
          <cell r="K90" t="str">
            <v>defsi</v>
          </cell>
        </row>
        <row r="91">
          <cell r="B91" t="b">
            <v>1</v>
          </cell>
          <cell r="E91" t="str">
            <v>Boquilla</v>
          </cell>
          <cell r="H91" t="str">
            <v>salud_oral</v>
          </cell>
          <cell r="J91" t="str">
            <v>bueno</v>
          </cell>
          <cell r="K91" t="str">
            <v>defsi</v>
          </cell>
        </row>
        <row r="92">
          <cell r="B92" t="b">
            <v>1</v>
          </cell>
          <cell r="E92" t="str">
            <v>Boquilla</v>
          </cell>
          <cell r="H92" t="str">
            <v>urgencia</v>
          </cell>
          <cell r="J92" t="str">
            <v>bueno</v>
          </cell>
          <cell r="K92" t="str">
            <v>defsi</v>
          </cell>
        </row>
        <row r="93">
          <cell r="B93" t="b">
            <v>1</v>
          </cell>
          <cell r="E93" t="str">
            <v>Boquilla</v>
          </cell>
          <cell r="H93" t="str">
            <v>urgencia</v>
          </cell>
          <cell r="J93" t="str">
            <v>bueno</v>
          </cell>
          <cell r="K93" t="str">
            <v>defsi</v>
          </cell>
        </row>
        <row r="94">
          <cell r="B94" t="b">
            <v>1</v>
          </cell>
          <cell r="E94" t="str">
            <v>Boquilla</v>
          </cell>
          <cell r="H94" t="str">
            <v>urgencia</v>
          </cell>
          <cell r="J94" t="str">
            <v>muybueno</v>
          </cell>
          <cell r="K94" t="str">
            <v>defsi</v>
          </cell>
        </row>
        <row r="95">
          <cell r="B95" t="b">
            <v>1</v>
          </cell>
          <cell r="E95" t="str">
            <v>Boquilla</v>
          </cell>
          <cell r="H95" t="str">
            <v>urgencia</v>
          </cell>
          <cell r="J95" t="str">
            <v>bueno</v>
          </cell>
          <cell r="K95" t="str">
            <v>defsi</v>
          </cell>
        </row>
        <row r="96">
          <cell r="B96" t="b">
            <v>1</v>
          </cell>
          <cell r="E96" t="str">
            <v>Manzanillo</v>
          </cell>
          <cell r="H96" t="str">
            <v>laboratorio</v>
          </cell>
          <cell r="J96" t="str">
            <v>bueno</v>
          </cell>
          <cell r="K96" t="str">
            <v>probsi</v>
          </cell>
        </row>
        <row r="97">
          <cell r="B97" t="b">
            <v>1</v>
          </cell>
          <cell r="E97" t="str">
            <v>Manzanillo</v>
          </cell>
          <cell r="H97" t="str">
            <v>laboratorio</v>
          </cell>
          <cell r="J97" t="str">
            <v>bueno</v>
          </cell>
          <cell r="K97" t="str">
            <v>probsi</v>
          </cell>
        </row>
        <row r="98">
          <cell r="B98" t="b">
            <v>1</v>
          </cell>
          <cell r="E98" t="str">
            <v>Manzanillo</v>
          </cell>
          <cell r="H98" t="str">
            <v>laboratorio</v>
          </cell>
          <cell r="J98" t="str">
            <v>bueno</v>
          </cell>
          <cell r="K98" t="str">
            <v>probsi</v>
          </cell>
        </row>
        <row r="99">
          <cell r="B99" t="b">
            <v>1</v>
          </cell>
          <cell r="E99" t="str">
            <v>Manzanillo</v>
          </cell>
          <cell r="H99" t="str">
            <v>laboratorio</v>
          </cell>
          <cell r="J99" t="str">
            <v>bueno</v>
          </cell>
          <cell r="K99" t="str">
            <v>probsi</v>
          </cell>
        </row>
        <row r="100">
          <cell r="B100" t="b">
            <v>1</v>
          </cell>
          <cell r="E100" t="str">
            <v>Manzanillo</v>
          </cell>
          <cell r="H100" t="str">
            <v>laboratorio</v>
          </cell>
          <cell r="J100" t="str">
            <v>bueno</v>
          </cell>
          <cell r="K100" t="str">
            <v>probsi</v>
          </cell>
        </row>
        <row r="101">
          <cell r="B101" t="b">
            <v>1</v>
          </cell>
          <cell r="E101" t="str">
            <v>Manzanillo</v>
          </cell>
          <cell r="H101" t="str">
            <v>salud_oral</v>
          </cell>
          <cell r="J101" t="str">
            <v>bueno</v>
          </cell>
          <cell r="K101" t="str">
            <v>probsi</v>
          </cell>
        </row>
        <row r="102">
          <cell r="B102" t="b">
            <v>1</v>
          </cell>
          <cell r="E102" t="str">
            <v>Manzanillo</v>
          </cell>
          <cell r="H102" t="str">
            <v>salud_oral</v>
          </cell>
          <cell r="J102" t="str">
            <v>bueno</v>
          </cell>
          <cell r="K102" t="str">
            <v>probsi</v>
          </cell>
        </row>
        <row r="103">
          <cell r="B103" t="b">
            <v>1</v>
          </cell>
          <cell r="E103" t="str">
            <v>Manzanillo</v>
          </cell>
          <cell r="H103" t="str">
            <v>salud_oral</v>
          </cell>
          <cell r="J103" t="str">
            <v>bueno</v>
          </cell>
          <cell r="K103" t="str">
            <v>probsi</v>
          </cell>
        </row>
        <row r="104">
          <cell r="B104" t="b">
            <v>1</v>
          </cell>
          <cell r="E104" t="str">
            <v>Puerto Rey</v>
          </cell>
          <cell r="H104" t="str">
            <v>consulta_externa</v>
          </cell>
          <cell r="J104" t="str">
            <v>bueno</v>
          </cell>
          <cell r="K104" t="str">
            <v>probsi</v>
          </cell>
        </row>
        <row r="105">
          <cell r="B105" t="b">
            <v>1</v>
          </cell>
          <cell r="E105" t="str">
            <v>Puerto Rey</v>
          </cell>
          <cell r="H105" t="str">
            <v>salud_oral</v>
          </cell>
          <cell r="J105" t="str">
            <v>bueno</v>
          </cell>
          <cell r="K105" t="str">
            <v>probsi</v>
          </cell>
        </row>
        <row r="106">
          <cell r="B106" t="b">
            <v>1</v>
          </cell>
          <cell r="E106" t="str">
            <v>Puerto Rey</v>
          </cell>
          <cell r="H106" t="str">
            <v>laboratorio</v>
          </cell>
          <cell r="J106" t="str">
            <v>bueno</v>
          </cell>
          <cell r="K106" t="str">
            <v>probsi</v>
          </cell>
        </row>
        <row r="107">
          <cell r="B107" t="b">
            <v>1</v>
          </cell>
          <cell r="E107" t="str">
            <v>Puerto Rey</v>
          </cell>
          <cell r="H107" t="str">
            <v>consulta_externa</v>
          </cell>
          <cell r="J107" t="str">
            <v>bueno</v>
          </cell>
          <cell r="K107" t="str">
            <v>probsi</v>
          </cell>
        </row>
        <row r="108">
          <cell r="B108" t="b">
            <v>1</v>
          </cell>
          <cell r="E108" t="str">
            <v>Puerto Rey</v>
          </cell>
          <cell r="H108" t="str">
            <v>salud_oral</v>
          </cell>
          <cell r="J108" t="str">
            <v>bueno</v>
          </cell>
          <cell r="K108" t="str">
            <v>probsi</v>
          </cell>
        </row>
        <row r="109">
          <cell r="B109" t="b">
            <v>1</v>
          </cell>
          <cell r="E109" t="str">
            <v>Puerto Rey</v>
          </cell>
          <cell r="H109" t="str">
            <v>laboratorio</v>
          </cell>
          <cell r="J109" t="str">
            <v>bueno</v>
          </cell>
          <cell r="K109" t="str">
            <v>probsi</v>
          </cell>
        </row>
        <row r="110">
          <cell r="B110" t="b">
            <v>1</v>
          </cell>
          <cell r="E110" t="str">
            <v>Puerto Rey</v>
          </cell>
          <cell r="H110" t="str">
            <v>consulta_externa</v>
          </cell>
          <cell r="J110" t="str">
            <v>bueno</v>
          </cell>
          <cell r="K110" t="str">
            <v>probsi</v>
          </cell>
        </row>
        <row r="111">
          <cell r="B111" t="b">
            <v>1</v>
          </cell>
          <cell r="E111" t="str">
            <v>Puerto Rey</v>
          </cell>
          <cell r="H111" t="str">
            <v>laboratorio</v>
          </cell>
          <cell r="J111" t="str">
            <v>bueno</v>
          </cell>
          <cell r="K111" t="str">
            <v>probsi</v>
          </cell>
        </row>
        <row r="112">
          <cell r="B112" t="b">
            <v>1</v>
          </cell>
          <cell r="E112" t="str">
            <v>Hospital Pozon</v>
          </cell>
          <cell r="H112" t="str">
            <v>consulta_externa</v>
          </cell>
          <cell r="J112" t="str">
            <v>bueno</v>
          </cell>
          <cell r="K112" t="str">
            <v>defsi</v>
          </cell>
        </row>
        <row r="113">
          <cell r="B113" t="b">
            <v>1</v>
          </cell>
          <cell r="E113" t="str">
            <v>Hospital Pozon</v>
          </cell>
          <cell r="H113" t="str">
            <v>laboratorio</v>
          </cell>
          <cell r="J113" t="str">
            <v>bueno</v>
          </cell>
          <cell r="K113" t="str">
            <v>defsi</v>
          </cell>
        </row>
        <row r="114">
          <cell r="B114" t="b">
            <v>1</v>
          </cell>
          <cell r="E114" t="str">
            <v>Puerto Rey</v>
          </cell>
          <cell r="H114" t="str">
            <v>consulta_externa</v>
          </cell>
          <cell r="J114" t="str">
            <v>bueno</v>
          </cell>
          <cell r="K114" t="str">
            <v>probsi</v>
          </cell>
        </row>
        <row r="115">
          <cell r="B115" t="b">
            <v>1</v>
          </cell>
          <cell r="E115" t="str">
            <v>Puerto Rey</v>
          </cell>
          <cell r="H115" t="str">
            <v>laboratorio</v>
          </cell>
          <cell r="J115" t="str">
            <v>bueno</v>
          </cell>
          <cell r="K115" t="str">
            <v>probsi</v>
          </cell>
        </row>
        <row r="116">
          <cell r="B116" t="b">
            <v>0</v>
          </cell>
          <cell r="E116" t="str">
            <v>Hospital Pozon</v>
          </cell>
          <cell r="H116" t="str">
            <v>consulta_externa</v>
          </cell>
          <cell r="J116" t="str">
            <v>regular</v>
          </cell>
          <cell r="K116" t="str">
            <v>probsi</v>
          </cell>
        </row>
        <row r="117">
          <cell r="B117" t="b">
            <v>1</v>
          </cell>
          <cell r="E117" t="str">
            <v>Hospital Pozon</v>
          </cell>
          <cell r="H117" t="str">
            <v>rx</v>
          </cell>
          <cell r="J117" t="str">
            <v>bueno</v>
          </cell>
          <cell r="K117" t="str">
            <v>defsi</v>
          </cell>
        </row>
        <row r="118">
          <cell r="B118" t="b">
            <v>1</v>
          </cell>
          <cell r="E118" t="str">
            <v>Hospital Pozon</v>
          </cell>
          <cell r="H118" t="str">
            <v>rx</v>
          </cell>
          <cell r="J118" t="str">
            <v>bueno</v>
          </cell>
          <cell r="K118" t="str">
            <v>defsi</v>
          </cell>
        </row>
        <row r="119">
          <cell r="B119" t="b">
            <v>0</v>
          </cell>
          <cell r="E119" t="str">
            <v>Hospital Pozon</v>
          </cell>
          <cell r="H119" t="str">
            <v>pediatria</v>
          </cell>
          <cell r="J119" t="str">
            <v>regular</v>
          </cell>
          <cell r="K119" t="str">
            <v>probsi</v>
          </cell>
        </row>
        <row r="120">
          <cell r="B120" t="b">
            <v>1</v>
          </cell>
          <cell r="E120" t="str">
            <v>Hospital Pozon</v>
          </cell>
          <cell r="H120" t="str">
            <v>salud_oral</v>
          </cell>
          <cell r="J120" t="str">
            <v>bueno</v>
          </cell>
          <cell r="K120" t="str">
            <v>defsi</v>
          </cell>
        </row>
        <row r="121">
          <cell r="B121" t="b">
            <v>1</v>
          </cell>
          <cell r="E121" t="str">
            <v>Hospital Pozon</v>
          </cell>
          <cell r="H121" t="str">
            <v>salud_oral</v>
          </cell>
          <cell r="J121" t="str">
            <v>muybueno</v>
          </cell>
          <cell r="K121" t="str">
            <v>defsi</v>
          </cell>
        </row>
        <row r="122">
          <cell r="B122" t="b">
            <v>1</v>
          </cell>
          <cell r="E122" t="str">
            <v>Hospital Pozon</v>
          </cell>
          <cell r="H122" t="str">
            <v>consulta_externa</v>
          </cell>
          <cell r="J122" t="str">
            <v>muybueno</v>
          </cell>
          <cell r="K122" t="str">
            <v>defsi</v>
          </cell>
        </row>
        <row r="123">
          <cell r="B123" t="b">
            <v>1</v>
          </cell>
          <cell r="E123" t="str">
            <v>Hospital Pozon</v>
          </cell>
          <cell r="H123" t="str">
            <v>consulta_externa</v>
          </cell>
          <cell r="J123" t="str">
            <v>bueno</v>
          </cell>
          <cell r="K123" t="str">
            <v>defsi</v>
          </cell>
        </row>
        <row r="124">
          <cell r="B124" t="b">
            <v>1</v>
          </cell>
          <cell r="E124" t="str">
            <v>Hospital Pozon</v>
          </cell>
          <cell r="H124" t="str">
            <v>laboratorio</v>
          </cell>
          <cell r="J124" t="str">
            <v>bueno</v>
          </cell>
          <cell r="K124" t="str">
            <v>defsi</v>
          </cell>
        </row>
        <row r="125">
          <cell r="B125" t="b">
            <v>1</v>
          </cell>
          <cell r="E125" t="str">
            <v>Hospital Pozon</v>
          </cell>
          <cell r="H125" t="str">
            <v>laboratorio</v>
          </cell>
          <cell r="J125" t="str">
            <v>muybueno</v>
          </cell>
          <cell r="K125" t="str">
            <v>defsi</v>
          </cell>
        </row>
        <row r="126">
          <cell r="B126" t="b">
            <v>1</v>
          </cell>
          <cell r="E126" t="str">
            <v>Hospital Pozon</v>
          </cell>
          <cell r="H126" t="str">
            <v>urgencia</v>
          </cell>
          <cell r="J126" t="str">
            <v>muybueno</v>
          </cell>
          <cell r="K126" t="str">
            <v>defsi</v>
          </cell>
        </row>
        <row r="127">
          <cell r="B127" t="b">
            <v>1</v>
          </cell>
          <cell r="E127" t="str">
            <v>Hospital Pozon</v>
          </cell>
          <cell r="H127" t="str">
            <v>consulta_externa</v>
          </cell>
          <cell r="J127" t="str">
            <v>bueno</v>
          </cell>
          <cell r="K127" t="str">
            <v>probsi</v>
          </cell>
        </row>
        <row r="128">
          <cell r="B128" t="b">
            <v>1</v>
          </cell>
          <cell r="E128" t="str">
            <v>Hospital Pozon</v>
          </cell>
          <cell r="H128" t="str">
            <v>laboratorio</v>
          </cell>
          <cell r="J128" t="str">
            <v>bueno</v>
          </cell>
          <cell r="K128" t="str">
            <v>probsi</v>
          </cell>
        </row>
        <row r="129">
          <cell r="B129" t="b">
            <v>1</v>
          </cell>
          <cell r="E129" t="str">
            <v>Hospital Pozon</v>
          </cell>
          <cell r="H129" t="str">
            <v>consulta_externa</v>
          </cell>
          <cell r="J129" t="str">
            <v>bueno</v>
          </cell>
          <cell r="K129" t="str">
            <v>defsi</v>
          </cell>
        </row>
        <row r="130">
          <cell r="B130" t="b">
            <v>1</v>
          </cell>
          <cell r="E130" t="str">
            <v>Hospital Pozon</v>
          </cell>
          <cell r="H130" t="str">
            <v>laboratorio</v>
          </cell>
          <cell r="J130" t="str">
            <v>bueno</v>
          </cell>
          <cell r="K130" t="str">
            <v>defsi</v>
          </cell>
        </row>
        <row r="131">
          <cell r="B131" t="b">
            <v>1</v>
          </cell>
          <cell r="E131" t="str">
            <v>Hospital Pozon</v>
          </cell>
          <cell r="H131" t="str">
            <v>laboratorio</v>
          </cell>
          <cell r="J131" t="str">
            <v>bueno</v>
          </cell>
          <cell r="K131" t="str">
            <v>defsi</v>
          </cell>
        </row>
        <row r="132">
          <cell r="B132" t="b">
            <v>1</v>
          </cell>
          <cell r="E132" t="str">
            <v>Hospital Pozon</v>
          </cell>
          <cell r="H132" t="str">
            <v>consulta_externa</v>
          </cell>
          <cell r="J132" t="str">
            <v>bueno</v>
          </cell>
          <cell r="K132" t="str">
            <v>defsi</v>
          </cell>
        </row>
        <row r="133">
          <cell r="B133" t="b">
            <v>1</v>
          </cell>
          <cell r="E133" t="str">
            <v>Hospital Pozon</v>
          </cell>
          <cell r="H133" t="str">
            <v>consulta_externa</v>
          </cell>
          <cell r="J133" t="str">
            <v>bueno</v>
          </cell>
          <cell r="K133" t="str">
            <v>defsi</v>
          </cell>
        </row>
        <row r="134">
          <cell r="B134" t="b">
            <v>1</v>
          </cell>
          <cell r="E134" t="str">
            <v>Hospital Pozon</v>
          </cell>
          <cell r="H134" t="str">
            <v>consulta_externa</v>
          </cell>
          <cell r="J134" t="str">
            <v>bueno</v>
          </cell>
          <cell r="K134" t="str">
            <v>defsi</v>
          </cell>
        </row>
        <row r="135">
          <cell r="B135" t="b">
            <v>1</v>
          </cell>
          <cell r="E135" t="str">
            <v>Hospital Pozon</v>
          </cell>
          <cell r="H135" t="str">
            <v>laboratorio</v>
          </cell>
          <cell r="J135" t="str">
            <v>bueno</v>
          </cell>
          <cell r="K135" t="str">
            <v>defsi</v>
          </cell>
        </row>
        <row r="136">
          <cell r="B136" t="b">
            <v>1</v>
          </cell>
          <cell r="E136" t="str">
            <v>Hospital Pozon</v>
          </cell>
          <cell r="H136" t="str">
            <v>laboratorio</v>
          </cell>
          <cell r="J136" t="str">
            <v>bueno</v>
          </cell>
          <cell r="K136" t="str">
            <v>defsi</v>
          </cell>
        </row>
        <row r="137">
          <cell r="B137" t="b">
            <v>1</v>
          </cell>
          <cell r="E137" t="str">
            <v>Hospital Pozon</v>
          </cell>
          <cell r="H137" t="str">
            <v>rx</v>
          </cell>
          <cell r="J137" t="str">
            <v>bueno</v>
          </cell>
          <cell r="K137" t="str">
            <v>defsi</v>
          </cell>
        </row>
        <row r="138">
          <cell r="B138" t="b">
            <v>1</v>
          </cell>
          <cell r="E138" t="str">
            <v>Hospital Pozon</v>
          </cell>
          <cell r="H138" t="str">
            <v>rx</v>
          </cell>
          <cell r="J138" t="str">
            <v>muybueno</v>
          </cell>
          <cell r="K138" t="str">
            <v>defsi</v>
          </cell>
        </row>
        <row r="139">
          <cell r="B139" t="b">
            <v>1</v>
          </cell>
          <cell r="E139" t="str">
            <v>Hospital Pozon</v>
          </cell>
          <cell r="H139" t="str">
            <v>consulta_externa</v>
          </cell>
          <cell r="J139" t="str">
            <v>bueno</v>
          </cell>
          <cell r="K139" t="str">
            <v>defsi</v>
          </cell>
        </row>
        <row r="140">
          <cell r="B140" t="b">
            <v>1</v>
          </cell>
          <cell r="E140" t="str">
            <v>Hospital Pozon</v>
          </cell>
          <cell r="H140" t="str">
            <v>ecografias</v>
          </cell>
          <cell r="J140" t="str">
            <v>muybueno</v>
          </cell>
          <cell r="K140" t="str">
            <v>defsi</v>
          </cell>
        </row>
        <row r="141">
          <cell r="B141" t="b">
            <v>1</v>
          </cell>
          <cell r="E141" t="str">
            <v>Hospital Pozon</v>
          </cell>
          <cell r="H141" t="str">
            <v>consulta_externa</v>
          </cell>
          <cell r="J141" t="str">
            <v>bueno</v>
          </cell>
          <cell r="K141" t="str">
            <v>defsi</v>
          </cell>
        </row>
        <row r="142">
          <cell r="B142" t="b">
            <v>1</v>
          </cell>
          <cell r="E142" t="str">
            <v>Hospital Pozon</v>
          </cell>
          <cell r="H142" t="str">
            <v>consulta_externa</v>
          </cell>
          <cell r="J142" t="str">
            <v>muybueno</v>
          </cell>
          <cell r="K142" t="str">
            <v>defsi</v>
          </cell>
        </row>
        <row r="143">
          <cell r="B143" t="b">
            <v>1</v>
          </cell>
          <cell r="E143" t="str">
            <v>Hospital Pozon</v>
          </cell>
          <cell r="H143" t="str">
            <v>laboratorio</v>
          </cell>
          <cell r="J143" t="str">
            <v>muybueno</v>
          </cell>
          <cell r="K143" t="str">
            <v>defsi</v>
          </cell>
        </row>
        <row r="144">
          <cell r="B144" t="b">
            <v>1</v>
          </cell>
          <cell r="E144" t="str">
            <v>Hospital Pozon</v>
          </cell>
          <cell r="H144" t="str">
            <v>consulta_externa</v>
          </cell>
          <cell r="J144" t="str">
            <v>bueno</v>
          </cell>
          <cell r="K144" t="str">
            <v>defsi</v>
          </cell>
        </row>
        <row r="145">
          <cell r="B145" t="b">
            <v>1</v>
          </cell>
          <cell r="E145" t="str">
            <v>Hospital Pozon</v>
          </cell>
          <cell r="H145" t="str">
            <v>ginecologia</v>
          </cell>
          <cell r="J145" t="str">
            <v>bueno</v>
          </cell>
          <cell r="K145" t="str">
            <v>defsi</v>
          </cell>
        </row>
        <row r="146">
          <cell r="B146" t="b">
            <v>1</v>
          </cell>
          <cell r="E146" t="str">
            <v>Hospital Pozon</v>
          </cell>
          <cell r="H146" t="str">
            <v>consulta_externa</v>
          </cell>
          <cell r="J146" t="str">
            <v>bueno</v>
          </cell>
          <cell r="K146" t="str">
            <v>defsi</v>
          </cell>
        </row>
        <row r="147">
          <cell r="B147" t="b">
            <v>1</v>
          </cell>
          <cell r="E147" t="str">
            <v>Hospital Pozon</v>
          </cell>
          <cell r="H147" t="str">
            <v>laboratorio</v>
          </cell>
          <cell r="J147" t="str">
            <v>bueno</v>
          </cell>
          <cell r="K147" t="str">
            <v>defsi</v>
          </cell>
        </row>
        <row r="148">
          <cell r="B148" t="b">
            <v>1</v>
          </cell>
          <cell r="E148" t="str">
            <v>Hospital Pozon</v>
          </cell>
          <cell r="H148" t="str">
            <v>rx</v>
          </cell>
          <cell r="J148" t="str">
            <v>bueno</v>
          </cell>
          <cell r="K148" t="str">
            <v>defsi</v>
          </cell>
        </row>
        <row r="149">
          <cell r="B149" t="b">
            <v>1</v>
          </cell>
          <cell r="E149" t="str">
            <v>Hospital Pozon</v>
          </cell>
          <cell r="H149" t="str">
            <v>salud_oral</v>
          </cell>
          <cell r="J149" t="str">
            <v>bueno</v>
          </cell>
          <cell r="K149" t="str">
            <v>defsi</v>
          </cell>
        </row>
        <row r="150">
          <cell r="B150" t="b">
            <v>1</v>
          </cell>
          <cell r="E150" t="str">
            <v>Puerto Rey</v>
          </cell>
          <cell r="H150" t="str">
            <v>consulta_externa</v>
          </cell>
          <cell r="J150" t="str">
            <v>bueno</v>
          </cell>
          <cell r="K150" t="str">
            <v>probsi</v>
          </cell>
        </row>
        <row r="151">
          <cell r="B151" t="b">
            <v>1</v>
          </cell>
          <cell r="E151" t="str">
            <v>Puerto Rey</v>
          </cell>
          <cell r="H151" t="str">
            <v>consulta_externa</v>
          </cell>
          <cell r="J151" t="str">
            <v>bueno</v>
          </cell>
          <cell r="K151" t="str">
            <v>probsi</v>
          </cell>
        </row>
        <row r="152">
          <cell r="B152" t="b">
            <v>1</v>
          </cell>
          <cell r="E152" t="str">
            <v>Puerto Rey</v>
          </cell>
          <cell r="H152" t="str">
            <v>consulta_externa</v>
          </cell>
          <cell r="J152" t="str">
            <v>bueno</v>
          </cell>
          <cell r="K152" t="str">
            <v>probsi</v>
          </cell>
        </row>
        <row r="153">
          <cell r="B153" t="b">
            <v>1</v>
          </cell>
          <cell r="E153" t="str">
            <v>Puerto Rey</v>
          </cell>
          <cell r="H153" t="str">
            <v>consulta_externa</v>
          </cell>
          <cell r="J153" t="str">
            <v>bueno</v>
          </cell>
          <cell r="K153" t="str">
            <v>probsi</v>
          </cell>
        </row>
        <row r="154">
          <cell r="B154" t="b">
            <v>1</v>
          </cell>
          <cell r="E154" t="str">
            <v>Puerto Rey</v>
          </cell>
          <cell r="H154" t="str">
            <v>laboratorio</v>
          </cell>
          <cell r="J154" t="str">
            <v>bueno</v>
          </cell>
          <cell r="K154" t="str">
            <v>probsi</v>
          </cell>
        </row>
        <row r="155">
          <cell r="B155" t="b">
            <v>1</v>
          </cell>
          <cell r="E155" t="str">
            <v>Puerto Rey</v>
          </cell>
          <cell r="H155" t="str">
            <v>laboratorio</v>
          </cell>
          <cell r="J155" t="str">
            <v>bueno</v>
          </cell>
          <cell r="K155" t="str">
            <v>probsi</v>
          </cell>
        </row>
        <row r="156">
          <cell r="B156" t="b">
            <v>1</v>
          </cell>
          <cell r="E156" t="str">
            <v>Puerto Rey</v>
          </cell>
          <cell r="H156" t="str">
            <v>laboratorio</v>
          </cell>
          <cell r="J156" t="str">
            <v>bueno</v>
          </cell>
          <cell r="K156" t="str">
            <v>probsi</v>
          </cell>
        </row>
        <row r="157">
          <cell r="B157" t="b">
            <v>1</v>
          </cell>
          <cell r="E157" t="str">
            <v>Puerto Rey</v>
          </cell>
          <cell r="H157" t="str">
            <v>laboratorio</v>
          </cell>
          <cell r="J157" t="str">
            <v>bueno</v>
          </cell>
          <cell r="K157" t="str">
            <v>probsi</v>
          </cell>
        </row>
        <row r="158">
          <cell r="B158" t="b">
            <v>1</v>
          </cell>
          <cell r="E158" t="str">
            <v>Hospital Pozon</v>
          </cell>
          <cell r="H158" t="str">
            <v>salud_oral</v>
          </cell>
          <cell r="J158" t="str">
            <v>bueno</v>
          </cell>
          <cell r="K158" t="str">
            <v>defsi</v>
          </cell>
        </row>
        <row r="159">
          <cell r="B159" t="b">
            <v>1</v>
          </cell>
          <cell r="E159" t="str">
            <v>Hospital Pozon</v>
          </cell>
          <cell r="H159" t="str">
            <v>salud_oral</v>
          </cell>
          <cell r="J159" t="str">
            <v>bueno</v>
          </cell>
          <cell r="K159" t="str">
            <v>defsi</v>
          </cell>
        </row>
        <row r="160">
          <cell r="B160" t="b">
            <v>1</v>
          </cell>
          <cell r="E160" t="str">
            <v>Puerto Rey</v>
          </cell>
          <cell r="H160" t="str">
            <v>laboratorio</v>
          </cell>
          <cell r="J160" t="str">
            <v>bueno</v>
          </cell>
          <cell r="K160" t="str">
            <v>probsi</v>
          </cell>
        </row>
        <row r="161">
          <cell r="B161" t="b">
            <v>1</v>
          </cell>
          <cell r="E161" t="str">
            <v>Puerto Rey</v>
          </cell>
          <cell r="H161" t="str">
            <v>salud_oral</v>
          </cell>
          <cell r="J161" t="str">
            <v>bueno</v>
          </cell>
          <cell r="K161" t="str">
            <v>probsi</v>
          </cell>
        </row>
        <row r="162">
          <cell r="B162" t="b">
            <v>1</v>
          </cell>
          <cell r="E162" t="str">
            <v>Puerto Rey</v>
          </cell>
          <cell r="H162" t="str">
            <v>salud_oral</v>
          </cell>
          <cell r="J162" t="str">
            <v>bueno</v>
          </cell>
          <cell r="K162" t="str">
            <v>probsi</v>
          </cell>
        </row>
        <row r="163">
          <cell r="B163" t="b">
            <v>1</v>
          </cell>
          <cell r="E163" t="str">
            <v>Hospital Pozon</v>
          </cell>
          <cell r="H163" t="str">
            <v>consulta_externa</v>
          </cell>
          <cell r="J163" t="str">
            <v>bueno</v>
          </cell>
          <cell r="K163" t="str">
            <v>defsi</v>
          </cell>
        </row>
        <row r="164">
          <cell r="B164" t="b">
            <v>1</v>
          </cell>
          <cell r="E164" t="str">
            <v>Puerto Rey</v>
          </cell>
          <cell r="H164" t="str">
            <v>salud_oral</v>
          </cell>
          <cell r="J164" t="str">
            <v>bueno</v>
          </cell>
          <cell r="K164" t="str">
            <v>probsi</v>
          </cell>
        </row>
        <row r="165">
          <cell r="B165" t="b">
            <v>1</v>
          </cell>
          <cell r="E165" t="str">
            <v>Puerto Rey</v>
          </cell>
          <cell r="H165" t="str">
            <v>consulta_externa</v>
          </cell>
          <cell r="J165" t="str">
            <v>bueno</v>
          </cell>
          <cell r="K165" t="str">
            <v>probsi</v>
          </cell>
        </row>
        <row r="166">
          <cell r="B166" t="b">
            <v>1</v>
          </cell>
          <cell r="E166" t="str">
            <v>Puerto Rey</v>
          </cell>
          <cell r="H166" t="str">
            <v>salud_oral</v>
          </cell>
          <cell r="J166" t="str">
            <v>bueno</v>
          </cell>
          <cell r="K166" t="str">
            <v>probsi</v>
          </cell>
        </row>
        <row r="167">
          <cell r="B167" t="b">
            <v>1</v>
          </cell>
          <cell r="E167" t="str">
            <v>Hospital Pozon</v>
          </cell>
          <cell r="H167" t="str">
            <v>consulta_externa</v>
          </cell>
          <cell r="J167" t="str">
            <v>muybueno</v>
          </cell>
          <cell r="K167" t="str">
            <v>defsi</v>
          </cell>
        </row>
        <row r="168">
          <cell r="B168" t="b">
            <v>1</v>
          </cell>
          <cell r="E168" t="str">
            <v>Puerto Rey</v>
          </cell>
          <cell r="H168" t="str">
            <v>laboratorio</v>
          </cell>
          <cell r="J168" t="str">
            <v>bueno</v>
          </cell>
          <cell r="K168" t="str">
            <v>probsi</v>
          </cell>
        </row>
        <row r="169">
          <cell r="B169" t="b">
            <v>1</v>
          </cell>
          <cell r="E169" t="str">
            <v>Puerto Rey</v>
          </cell>
          <cell r="H169" t="str">
            <v>salud_oral</v>
          </cell>
          <cell r="J169" t="str">
            <v>bueno</v>
          </cell>
          <cell r="K169" t="str">
            <v>probsi</v>
          </cell>
        </row>
        <row r="170">
          <cell r="B170" t="b">
            <v>1</v>
          </cell>
          <cell r="E170" t="str">
            <v>Hospital Pozon</v>
          </cell>
          <cell r="H170" t="str">
            <v>salud_oral</v>
          </cell>
          <cell r="J170" t="str">
            <v>bueno</v>
          </cell>
          <cell r="K170" t="str">
            <v>defsi</v>
          </cell>
        </row>
        <row r="171">
          <cell r="B171" t="b">
            <v>1</v>
          </cell>
          <cell r="E171" t="str">
            <v>Las Reinas</v>
          </cell>
          <cell r="H171" t="str">
            <v>consulta_externa</v>
          </cell>
          <cell r="J171" t="str">
            <v>bueno</v>
          </cell>
          <cell r="K171" t="str">
            <v>defsi</v>
          </cell>
        </row>
        <row r="172">
          <cell r="B172" t="b">
            <v>1</v>
          </cell>
          <cell r="E172" t="str">
            <v>Hospital Pozon</v>
          </cell>
          <cell r="H172" t="str">
            <v>salud_oral</v>
          </cell>
          <cell r="J172" t="str">
            <v>bueno</v>
          </cell>
          <cell r="K172" t="str">
            <v>defsi</v>
          </cell>
        </row>
        <row r="173">
          <cell r="B173" t="b">
            <v>0</v>
          </cell>
          <cell r="E173" t="str">
            <v>Hospital Pozon</v>
          </cell>
          <cell r="H173" t="str">
            <v>salud_oral</v>
          </cell>
          <cell r="J173" t="str">
            <v>regular</v>
          </cell>
          <cell r="K173" t="str">
            <v>defsi</v>
          </cell>
        </row>
        <row r="174">
          <cell r="B174" t="b">
            <v>1</v>
          </cell>
          <cell r="E174" t="str">
            <v>Tierra Baja</v>
          </cell>
          <cell r="H174" t="str">
            <v>consulta_externa</v>
          </cell>
          <cell r="J174" t="str">
            <v>bueno</v>
          </cell>
          <cell r="K174" t="str">
            <v>probsi</v>
          </cell>
        </row>
        <row r="175">
          <cell r="B175" t="b">
            <v>1</v>
          </cell>
          <cell r="E175" t="str">
            <v>Tierra Baja</v>
          </cell>
          <cell r="H175" t="str">
            <v>salud_oral</v>
          </cell>
          <cell r="J175" t="str">
            <v>bueno</v>
          </cell>
          <cell r="K175" t="str">
            <v>probsi</v>
          </cell>
        </row>
        <row r="176">
          <cell r="B176" t="b">
            <v>1</v>
          </cell>
          <cell r="E176" t="str">
            <v>Tierra Baja</v>
          </cell>
          <cell r="H176" t="str">
            <v>laboratorio</v>
          </cell>
          <cell r="J176" t="str">
            <v>bueno</v>
          </cell>
          <cell r="K176" t="str">
            <v>probsi</v>
          </cell>
        </row>
        <row r="177">
          <cell r="B177" t="b">
            <v>1</v>
          </cell>
          <cell r="E177" t="str">
            <v>Las Reinas</v>
          </cell>
          <cell r="H177" t="str">
            <v>consulta_externa</v>
          </cell>
          <cell r="J177" t="str">
            <v>bueno</v>
          </cell>
          <cell r="K177" t="str">
            <v>defsi</v>
          </cell>
        </row>
        <row r="178">
          <cell r="B178" t="b">
            <v>1</v>
          </cell>
          <cell r="E178" t="str">
            <v>Hospital Pozon</v>
          </cell>
          <cell r="H178" t="str">
            <v>consulta_externa</v>
          </cell>
          <cell r="J178" t="str">
            <v>bueno</v>
          </cell>
          <cell r="K178" t="str">
            <v>defsi</v>
          </cell>
        </row>
        <row r="179">
          <cell r="B179" t="b">
            <v>1</v>
          </cell>
          <cell r="E179" t="str">
            <v>Hospital Pozon</v>
          </cell>
          <cell r="H179" t="str">
            <v>salud_oral</v>
          </cell>
          <cell r="J179" t="str">
            <v>bueno</v>
          </cell>
          <cell r="K179" t="str">
            <v>defsi</v>
          </cell>
        </row>
        <row r="180">
          <cell r="B180" t="b">
            <v>1</v>
          </cell>
          <cell r="E180" t="str">
            <v>Hospital Pozon</v>
          </cell>
          <cell r="H180" t="str">
            <v>salud_oral</v>
          </cell>
          <cell r="J180" t="str">
            <v>bueno</v>
          </cell>
          <cell r="K180" t="str">
            <v>defsi</v>
          </cell>
        </row>
        <row r="181">
          <cell r="B181" t="b">
            <v>1</v>
          </cell>
          <cell r="E181" t="str">
            <v>Hospital Pozon</v>
          </cell>
          <cell r="H181" t="str">
            <v>pediatria</v>
          </cell>
          <cell r="J181" t="str">
            <v>bueno</v>
          </cell>
          <cell r="K181" t="str">
            <v>defsi</v>
          </cell>
        </row>
        <row r="182">
          <cell r="B182" t="b">
            <v>1</v>
          </cell>
          <cell r="E182" t="str">
            <v>Hospital Pozon</v>
          </cell>
          <cell r="H182" t="str">
            <v>rx</v>
          </cell>
          <cell r="J182" t="str">
            <v>bueno</v>
          </cell>
          <cell r="K182" t="str">
            <v>defsi</v>
          </cell>
        </row>
        <row r="183">
          <cell r="B183" t="b">
            <v>1</v>
          </cell>
          <cell r="E183" t="str">
            <v>Las Reinas</v>
          </cell>
          <cell r="H183" t="str">
            <v>laboratorio</v>
          </cell>
          <cell r="J183" t="str">
            <v>bueno</v>
          </cell>
          <cell r="K183" t="str">
            <v>defsi</v>
          </cell>
        </row>
        <row r="184">
          <cell r="B184" t="b">
            <v>1</v>
          </cell>
          <cell r="E184" t="str">
            <v>Las Reinas</v>
          </cell>
          <cell r="H184" t="str">
            <v>consulta_externa</v>
          </cell>
          <cell r="J184" t="str">
            <v>bueno</v>
          </cell>
          <cell r="K184" t="str">
            <v>defsi</v>
          </cell>
        </row>
        <row r="185">
          <cell r="B185" t="b">
            <v>1</v>
          </cell>
          <cell r="E185" t="str">
            <v>Las Reinas</v>
          </cell>
          <cell r="H185" t="str">
            <v>salud_oral</v>
          </cell>
          <cell r="J185" t="str">
            <v>bueno</v>
          </cell>
          <cell r="K185" t="str">
            <v>defsi</v>
          </cell>
        </row>
        <row r="186">
          <cell r="B186" t="b">
            <v>1</v>
          </cell>
          <cell r="E186" t="str">
            <v>Las Reinas</v>
          </cell>
          <cell r="H186" t="str">
            <v>laboratorio</v>
          </cell>
          <cell r="J186" t="str">
            <v>bueno</v>
          </cell>
          <cell r="K186" t="str">
            <v>defsi</v>
          </cell>
        </row>
        <row r="187">
          <cell r="B187" t="b">
            <v>1</v>
          </cell>
          <cell r="E187" t="str">
            <v>Las Reinas</v>
          </cell>
          <cell r="H187" t="str">
            <v>consulta_externa</v>
          </cell>
          <cell r="J187" t="str">
            <v>bueno</v>
          </cell>
          <cell r="K187" t="str">
            <v>defsi</v>
          </cell>
        </row>
        <row r="188">
          <cell r="B188" t="b">
            <v>1</v>
          </cell>
          <cell r="E188" t="str">
            <v>Las Reinas</v>
          </cell>
          <cell r="H188" t="str">
            <v>salud_oral</v>
          </cell>
          <cell r="J188" t="str">
            <v>bueno</v>
          </cell>
          <cell r="K188" t="str">
            <v>defsi</v>
          </cell>
        </row>
        <row r="189">
          <cell r="B189" t="b">
            <v>1</v>
          </cell>
          <cell r="E189" t="str">
            <v>Las Reinas</v>
          </cell>
          <cell r="H189" t="str">
            <v>laboratorio</v>
          </cell>
          <cell r="J189" t="str">
            <v>bueno</v>
          </cell>
          <cell r="K189" t="str">
            <v>defsi</v>
          </cell>
        </row>
        <row r="190">
          <cell r="B190" t="b">
            <v>1</v>
          </cell>
          <cell r="E190" t="str">
            <v>Las Reinas</v>
          </cell>
          <cell r="H190" t="str">
            <v>consulta_externa</v>
          </cell>
          <cell r="J190" t="str">
            <v>bueno</v>
          </cell>
          <cell r="K190" t="str">
            <v>defsi</v>
          </cell>
        </row>
        <row r="191">
          <cell r="B191" t="b">
            <v>1</v>
          </cell>
          <cell r="E191" t="str">
            <v>Las Reinas</v>
          </cell>
          <cell r="H191" t="str">
            <v>salud_oral</v>
          </cell>
          <cell r="J191" t="str">
            <v>bueno</v>
          </cell>
          <cell r="K191" t="str">
            <v>defsi</v>
          </cell>
        </row>
        <row r="192">
          <cell r="B192" t="b">
            <v>1</v>
          </cell>
          <cell r="E192" t="str">
            <v>Las Reinas</v>
          </cell>
          <cell r="H192" t="str">
            <v>laboratorio</v>
          </cell>
          <cell r="J192" t="str">
            <v>bueno</v>
          </cell>
          <cell r="K192" t="str">
            <v>defsi</v>
          </cell>
        </row>
        <row r="193">
          <cell r="B193" t="b">
            <v>1</v>
          </cell>
          <cell r="E193" t="str">
            <v>Hospital Pozon</v>
          </cell>
          <cell r="H193" t="str">
            <v>urgencia</v>
          </cell>
          <cell r="J193" t="str">
            <v>bueno</v>
          </cell>
          <cell r="K193" t="str">
            <v>defsi</v>
          </cell>
        </row>
        <row r="194">
          <cell r="B194" t="b">
            <v>1</v>
          </cell>
          <cell r="E194" t="str">
            <v>Las Reinas</v>
          </cell>
          <cell r="H194" t="str">
            <v>consulta_externa</v>
          </cell>
          <cell r="J194" t="str">
            <v>bueno</v>
          </cell>
          <cell r="K194" t="str">
            <v>defsi</v>
          </cell>
        </row>
        <row r="195">
          <cell r="B195" t="b">
            <v>0</v>
          </cell>
          <cell r="E195" t="str">
            <v>Hospital Pozon</v>
          </cell>
          <cell r="H195" t="str">
            <v>urgencia</v>
          </cell>
          <cell r="J195" t="str">
            <v>regular</v>
          </cell>
          <cell r="K195" t="str">
            <v>defsi</v>
          </cell>
        </row>
        <row r="196">
          <cell r="B196" t="b">
            <v>1</v>
          </cell>
          <cell r="E196" t="str">
            <v>Las Reinas</v>
          </cell>
          <cell r="H196" t="str">
            <v>salud_oral</v>
          </cell>
          <cell r="J196" t="str">
            <v>bueno</v>
          </cell>
          <cell r="K196" t="str">
            <v>defsi</v>
          </cell>
        </row>
        <row r="197">
          <cell r="B197" t="b">
            <v>1</v>
          </cell>
          <cell r="E197" t="str">
            <v>Hospital Pozon</v>
          </cell>
          <cell r="H197" t="str">
            <v>urgencia</v>
          </cell>
          <cell r="J197" t="str">
            <v>bueno</v>
          </cell>
          <cell r="K197" t="str">
            <v>defsi</v>
          </cell>
        </row>
        <row r="198">
          <cell r="B198" t="b">
            <v>1</v>
          </cell>
          <cell r="E198" t="str">
            <v>Hospital Pozon</v>
          </cell>
          <cell r="H198" t="str">
            <v>urgencia</v>
          </cell>
          <cell r="J198" t="str">
            <v>bueno</v>
          </cell>
          <cell r="K198" t="str">
            <v>defsi</v>
          </cell>
        </row>
        <row r="199">
          <cell r="B199" t="b">
            <v>1</v>
          </cell>
          <cell r="E199" t="str">
            <v>Hospital Pozon</v>
          </cell>
          <cell r="H199" t="str">
            <v>urgencia</v>
          </cell>
          <cell r="J199" t="str">
            <v>bueno</v>
          </cell>
          <cell r="K199" t="str">
            <v>defsi</v>
          </cell>
        </row>
        <row r="200">
          <cell r="B200" t="b">
            <v>1</v>
          </cell>
          <cell r="E200" t="str">
            <v>Las Reinas</v>
          </cell>
          <cell r="H200" t="str">
            <v>laboratorio</v>
          </cell>
          <cell r="J200" t="str">
            <v>bueno</v>
          </cell>
          <cell r="K200" t="str">
            <v>defsi</v>
          </cell>
        </row>
        <row r="201">
          <cell r="B201" t="b">
            <v>1</v>
          </cell>
          <cell r="E201" t="str">
            <v>Las Reinas</v>
          </cell>
          <cell r="H201" t="str">
            <v>consulta_externa</v>
          </cell>
          <cell r="J201" t="str">
            <v>bueno</v>
          </cell>
          <cell r="K201" t="str">
            <v>defsi</v>
          </cell>
        </row>
        <row r="202">
          <cell r="B202" t="b">
            <v>1</v>
          </cell>
          <cell r="E202" t="str">
            <v>Hospital Pozon</v>
          </cell>
          <cell r="H202" t="str">
            <v>ginecologia</v>
          </cell>
          <cell r="J202" t="str">
            <v>bueno</v>
          </cell>
          <cell r="K202" t="str">
            <v>defsi</v>
          </cell>
        </row>
        <row r="203">
          <cell r="B203" t="b">
            <v>1</v>
          </cell>
          <cell r="E203" t="str">
            <v>Las Reinas</v>
          </cell>
          <cell r="H203" t="str">
            <v>salud_oral</v>
          </cell>
          <cell r="J203" t="str">
            <v>bueno</v>
          </cell>
          <cell r="K203" t="str">
            <v>defsi</v>
          </cell>
        </row>
        <row r="204">
          <cell r="B204" t="b">
            <v>1</v>
          </cell>
          <cell r="E204" t="str">
            <v>Hospital Pozon</v>
          </cell>
          <cell r="H204" t="str">
            <v>ginecologia</v>
          </cell>
          <cell r="J204" t="str">
            <v>bueno</v>
          </cell>
          <cell r="K204" t="str">
            <v>defsi</v>
          </cell>
        </row>
        <row r="205">
          <cell r="B205" t="b">
            <v>1</v>
          </cell>
          <cell r="E205" t="str">
            <v>Hospital Pozon</v>
          </cell>
          <cell r="H205" t="str">
            <v>consulta_externa</v>
          </cell>
          <cell r="J205" t="str">
            <v>bueno</v>
          </cell>
          <cell r="K205" t="str">
            <v>defsi</v>
          </cell>
        </row>
        <row r="206">
          <cell r="B206" t="b">
            <v>1</v>
          </cell>
          <cell r="E206" t="str">
            <v>Hospital Pozon</v>
          </cell>
          <cell r="H206" t="str">
            <v>salud_oral</v>
          </cell>
          <cell r="J206" t="str">
            <v>bueno</v>
          </cell>
          <cell r="K206" t="str">
            <v>defsi</v>
          </cell>
        </row>
        <row r="207">
          <cell r="B207" t="b">
            <v>1</v>
          </cell>
          <cell r="E207" t="str">
            <v>Las Reinas</v>
          </cell>
          <cell r="H207" t="str">
            <v>laboratorio</v>
          </cell>
          <cell r="J207" t="str">
            <v>bueno</v>
          </cell>
          <cell r="K207" t="str">
            <v>defsi</v>
          </cell>
        </row>
        <row r="208">
          <cell r="B208" t="b">
            <v>1</v>
          </cell>
          <cell r="E208" t="str">
            <v>Tierra Baja</v>
          </cell>
          <cell r="H208" t="str">
            <v>consulta_externa</v>
          </cell>
          <cell r="J208" t="str">
            <v>bueno</v>
          </cell>
          <cell r="K208" t="str">
            <v>probsi</v>
          </cell>
        </row>
        <row r="209">
          <cell r="B209" t="b">
            <v>1</v>
          </cell>
          <cell r="E209" t="str">
            <v>Tierra Baja</v>
          </cell>
          <cell r="H209" t="str">
            <v>salud_oral</v>
          </cell>
          <cell r="J209" t="str">
            <v>bueno</v>
          </cell>
          <cell r="K209" t="str">
            <v>probsi</v>
          </cell>
        </row>
        <row r="210">
          <cell r="B210" t="b">
            <v>1</v>
          </cell>
          <cell r="E210" t="str">
            <v>Tierra Baja</v>
          </cell>
          <cell r="H210" t="str">
            <v>laboratorio</v>
          </cell>
          <cell r="J210" t="str">
            <v>bueno</v>
          </cell>
          <cell r="K210" t="str">
            <v>probsi</v>
          </cell>
        </row>
        <row r="211">
          <cell r="B211" t="b">
            <v>1</v>
          </cell>
          <cell r="E211" t="str">
            <v>Tierra Baja</v>
          </cell>
          <cell r="H211" t="str">
            <v>consulta_externa</v>
          </cell>
          <cell r="J211" t="str">
            <v>bueno</v>
          </cell>
          <cell r="K211" t="str">
            <v>probsi</v>
          </cell>
        </row>
        <row r="212">
          <cell r="B212" t="b">
            <v>1</v>
          </cell>
          <cell r="E212" t="str">
            <v>Las Reinas</v>
          </cell>
          <cell r="H212" t="str">
            <v>consulta_externa</v>
          </cell>
          <cell r="J212" t="str">
            <v>bueno</v>
          </cell>
          <cell r="K212" t="str">
            <v>defsi</v>
          </cell>
        </row>
        <row r="213">
          <cell r="B213" t="b">
            <v>1</v>
          </cell>
          <cell r="E213" t="str">
            <v>Las Reinas</v>
          </cell>
          <cell r="H213" t="str">
            <v>salud_oral</v>
          </cell>
          <cell r="J213" t="str">
            <v>bueno</v>
          </cell>
          <cell r="K213" t="str">
            <v>defsi</v>
          </cell>
        </row>
        <row r="214">
          <cell r="B214" t="b">
            <v>1</v>
          </cell>
          <cell r="E214" t="str">
            <v>Las Reinas</v>
          </cell>
          <cell r="H214" t="str">
            <v>laboratorio</v>
          </cell>
          <cell r="J214" t="str">
            <v>bueno</v>
          </cell>
          <cell r="K214" t="str">
            <v>defsi</v>
          </cell>
        </row>
        <row r="215">
          <cell r="B215" t="b">
            <v>1</v>
          </cell>
          <cell r="E215" t="str">
            <v>Las Reinas</v>
          </cell>
          <cell r="H215" t="str">
            <v>consulta_externa</v>
          </cell>
          <cell r="J215" t="str">
            <v>bueno</v>
          </cell>
          <cell r="K215" t="str">
            <v>defsi</v>
          </cell>
        </row>
        <row r="216">
          <cell r="B216" t="b">
            <v>1</v>
          </cell>
          <cell r="E216" t="str">
            <v>Las Reinas</v>
          </cell>
          <cell r="H216" t="str">
            <v>salud_oral</v>
          </cell>
          <cell r="J216" t="str">
            <v>bueno</v>
          </cell>
          <cell r="K216" t="str">
            <v>defsi</v>
          </cell>
        </row>
        <row r="217">
          <cell r="B217" t="b">
            <v>1</v>
          </cell>
          <cell r="E217" t="str">
            <v>Tierra Baja</v>
          </cell>
          <cell r="H217" t="str">
            <v>consulta_externa</v>
          </cell>
          <cell r="J217" t="str">
            <v>bueno</v>
          </cell>
          <cell r="K217" t="str">
            <v>probsi</v>
          </cell>
        </row>
        <row r="218">
          <cell r="B218" t="b">
            <v>1</v>
          </cell>
          <cell r="E218" t="str">
            <v>Tierra Baja</v>
          </cell>
          <cell r="H218" t="str">
            <v>salud_oral</v>
          </cell>
          <cell r="J218" t="str">
            <v>bueno</v>
          </cell>
          <cell r="K218" t="str">
            <v>probsi</v>
          </cell>
        </row>
        <row r="219">
          <cell r="B219" t="b">
            <v>1</v>
          </cell>
          <cell r="E219" t="str">
            <v>Las Reinas</v>
          </cell>
          <cell r="H219" t="str">
            <v>laboratorio</v>
          </cell>
          <cell r="J219" t="str">
            <v>bueno</v>
          </cell>
          <cell r="K219" t="str">
            <v>defsi</v>
          </cell>
        </row>
        <row r="220">
          <cell r="B220" t="b">
            <v>1</v>
          </cell>
          <cell r="E220" t="str">
            <v>Tierra Baja</v>
          </cell>
          <cell r="H220" t="str">
            <v>laboratorio</v>
          </cell>
          <cell r="J220" t="str">
            <v>bueno</v>
          </cell>
          <cell r="K220" t="str">
            <v>probsi</v>
          </cell>
        </row>
        <row r="221">
          <cell r="B221" t="b">
            <v>1</v>
          </cell>
          <cell r="E221" t="str">
            <v>Tierra Baja</v>
          </cell>
          <cell r="H221" t="str">
            <v>consulta_externa</v>
          </cell>
          <cell r="J221" t="str">
            <v>bueno</v>
          </cell>
          <cell r="K221" t="str">
            <v>probsi</v>
          </cell>
        </row>
        <row r="222">
          <cell r="B222" t="b">
            <v>1</v>
          </cell>
          <cell r="E222" t="str">
            <v>Las Reinas</v>
          </cell>
          <cell r="H222" t="str">
            <v>consulta_externa</v>
          </cell>
          <cell r="J222" t="str">
            <v>bueno</v>
          </cell>
          <cell r="K222" t="str">
            <v>defsi</v>
          </cell>
        </row>
        <row r="223">
          <cell r="B223" t="b">
            <v>1</v>
          </cell>
          <cell r="E223" t="str">
            <v>Las Reinas</v>
          </cell>
          <cell r="H223" t="str">
            <v>salud_oral</v>
          </cell>
          <cell r="J223" t="str">
            <v>bueno</v>
          </cell>
          <cell r="K223" t="str">
            <v>defsi</v>
          </cell>
        </row>
        <row r="224">
          <cell r="B224" t="b">
            <v>1</v>
          </cell>
          <cell r="E224" t="str">
            <v>Tierra Baja</v>
          </cell>
          <cell r="H224" t="str">
            <v>consulta_externa</v>
          </cell>
          <cell r="J224" t="str">
            <v>bueno</v>
          </cell>
          <cell r="K224" t="str">
            <v>probsi</v>
          </cell>
        </row>
        <row r="225">
          <cell r="B225" t="b">
            <v>1</v>
          </cell>
          <cell r="E225" t="str">
            <v>Tierra Baja</v>
          </cell>
          <cell r="H225" t="str">
            <v>consulta_externa</v>
          </cell>
          <cell r="J225" t="str">
            <v>bueno</v>
          </cell>
          <cell r="K225" t="str">
            <v>probsi</v>
          </cell>
        </row>
        <row r="226">
          <cell r="B226" t="b">
            <v>1</v>
          </cell>
          <cell r="E226" t="str">
            <v>Tierra Baja</v>
          </cell>
          <cell r="H226" t="str">
            <v>salud_oral</v>
          </cell>
          <cell r="J226" t="str">
            <v>bueno</v>
          </cell>
          <cell r="K226" t="str">
            <v>probsi</v>
          </cell>
        </row>
        <row r="227">
          <cell r="B227" t="b">
            <v>1</v>
          </cell>
          <cell r="E227" t="str">
            <v>Las Reinas</v>
          </cell>
          <cell r="H227" t="str">
            <v>laboratorio</v>
          </cell>
          <cell r="J227" t="str">
            <v>bueno</v>
          </cell>
          <cell r="K227" t="str">
            <v>defsi</v>
          </cell>
        </row>
        <row r="228">
          <cell r="B228" t="b">
            <v>1</v>
          </cell>
          <cell r="E228" t="str">
            <v>Tierra Baja</v>
          </cell>
          <cell r="H228" t="str">
            <v>laboratorio</v>
          </cell>
          <cell r="J228" t="str">
            <v>bueno</v>
          </cell>
          <cell r="K228" t="str">
            <v>probsi</v>
          </cell>
        </row>
        <row r="229">
          <cell r="B229" t="b">
            <v>1</v>
          </cell>
          <cell r="E229" t="str">
            <v>Las Reinas</v>
          </cell>
          <cell r="H229" t="str">
            <v>consulta_externa</v>
          </cell>
          <cell r="J229" t="str">
            <v>bueno</v>
          </cell>
          <cell r="K229" t="str">
            <v>defsi</v>
          </cell>
        </row>
        <row r="230">
          <cell r="B230" t="b">
            <v>1</v>
          </cell>
          <cell r="E230" t="str">
            <v>Las Reinas</v>
          </cell>
          <cell r="H230" t="str">
            <v>salud_oral</v>
          </cell>
          <cell r="J230" t="str">
            <v>bueno</v>
          </cell>
          <cell r="K230" t="str">
            <v>defsi</v>
          </cell>
        </row>
        <row r="231">
          <cell r="B231" t="b">
            <v>1</v>
          </cell>
          <cell r="E231" t="str">
            <v>Las Reinas</v>
          </cell>
          <cell r="H231" t="str">
            <v>laboratorio</v>
          </cell>
          <cell r="J231" t="str">
            <v>bueno</v>
          </cell>
          <cell r="K231" t="str">
            <v>defsi</v>
          </cell>
        </row>
        <row r="232">
          <cell r="B232" t="b">
            <v>1</v>
          </cell>
          <cell r="E232" t="str">
            <v>Tierra Baja</v>
          </cell>
          <cell r="H232" t="str">
            <v>consulta_externa</v>
          </cell>
          <cell r="J232" t="str">
            <v>bueno</v>
          </cell>
          <cell r="K232" t="str">
            <v>probsi</v>
          </cell>
        </row>
        <row r="233">
          <cell r="B233" t="b">
            <v>1</v>
          </cell>
          <cell r="E233" t="str">
            <v>Tierra Baja</v>
          </cell>
          <cell r="H233" t="str">
            <v>consulta_externa</v>
          </cell>
          <cell r="J233" t="str">
            <v>bueno</v>
          </cell>
          <cell r="K233" t="str">
            <v>probsi</v>
          </cell>
        </row>
        <row r="234">
          <cell r="B234" t="b">
            <v>1</v>
          </cell>
          <cell r="E234" t="str">
            <v>Tierra Baja</v>
          </cell>
          <cell r="H234" t="str">
            <v>salud_oral</v>
          </cell>
          <cell r="J234" t="str">
            <v>bueno</v>
          </cell>
          <cell r="K234" t="str">
            <v>probsi</v>
          </cell>
        </row>
        <row r="235">
          <cell r="B235" t="b">
            <v>1</v>
          </cell>
          <cell r="E235" t="str">
            <v>Hospital Pozon</v>
          </cell>
          <cell r="H235" t="str">
            <v>rx</v>
          </cell>
          <cell r="J235" t="str">
            <v>bueno</v>
          </cell>
          <cell r="K235" t="str">
            <v>probno</v>
          </cell>
        </row>
        <row r="236">
          <cell r="B236" t="b">
            <v>1</v>
          </cell>
          <cell r="E236" t="str">
            <v>Hospital Pozon</v>
          </cell>
          <cell r="H236" t="str">
            <v>salud_oral</v>
          </cell>
          <cell r="J236" t="str">
            <v>bueno</v>
          </cell>
          <cell r="K236" t="str">
            <v>defsi</v>
          </cell>
        </row>
        <row r="237">
          <cell r="B237" t="b">
            <v>1</v>
          </cell>
          <cell r="E237" t="str">
            <v>Hospital Pozon</v>
          </cell>
          <cell r="H237" t="str">
            <v>salud_oral</v>
          </cell>
          <cell r="J237" t="str">
            <v>bueno</v>
          </cell>
          <cell r="K237" t="str">
            <v>defsi</v>
          </cell>
        </row>
        <row r="238">
          <cell r="B238" t="b">
            <v>1</v>
          </cell>
          <cell r="E238" t="str">
            <v>Hospital Pozon</v>
          </cell>
          <cell r="H238" t="str">
            <v>urgencia</v>
          </cell>
          <cell r="J238" t="str">
            <v>bueno</v>
          </cell>
          <cell r="K238" t="str">
            <v>defsi</v>
          </cell>
        </row>
        <row r="239">
          <cell r="B239" t="b">
            <v>1</v>
          </cell>
          <cell r="E239" t="str">
            <v>Hospital Pozon</v>
          </cell>
          <cell r="H239" t="str">
            <v>urgencia</v>
          </cell>
          <cell r="J239" t="str">
            <v>bueno</v>
          </cell>
          <cell r="K239" t="str">
            <v>defsi</v>
          </cell>
        </row>
        <row r="240">
          <cell r="B240" t="b">
            <v>1</v>
          </cell>
          <cell r="E240" t="str">
            <v>Hospital Pozon</v>
          </cell>
          <cell r="H240" t="str">
            <v>urgencia</v>
          </cell>
          <cell r="J240" t="str">
            <v>bueno</v>
          </cell>
          <cell r="K240" t="str">
            <v>defsi</v>
          </cell>
        </row>
        <row r="241">
          <cell r="B241" t="b">
            <v>1</v>
          </cell>
          <cell r="E241" t="str">
            <v>Hospital Pozon</v>
          </cell>
          <cell r="H241" t="str">
            <v>rx</v>
          </cell>
          <cell r="J241" t="str">
            <v>muybueno</v>
          </cell>
          <cell r="K241" t="str">
            <v>defsi</v>
          </cell>
        </row>
        <row r="242">
          <cell r="B242" t="b">
            <v>1</v>
          </cell>
          <cell r="E242" t="str">
            <v>Hospital Pozon</v>
          </cell>
          <cell r="H242" t="str">
            <v>rx</v>
          </cell>
          <cell r="J242" t="str">
            <v>bueno</v>
          </cell>
          <cell r="K242" t="str">
            <v>defsi</v>
          </cell>
        </row>
        <row r="243">
          <cell r="B243" t="b">
            <v>1</v>
          </cell>
          <cell r="E243" t="str">
            <v>Hospital Pozon</v>
          </cell>
          <cell r="H243" t="str">
            <v>urgencia</v>
          </cell>
          <cell r="J243" t="str">
            <v>bueno</v>
          </cell>
          <cell r="K243" t="str">
            <v>defsi</v>
          </cell>
        </row>
        <row r="244">
          <cell r="B244" t="b">
            <v>1</v>
          </cell>
          <cell r="E244" t="str">
            <v>Hospital Pozon</v>
          </cell>
          <cell r="H244" t="str">
            <v>urgencia</v>
          </cell>
          <cell r="J244" t="str">
            <v>bueno</v>
          </cell>
          <cell r="K244" t="str">
            <v>defsi</v>
          </cell>
        </row>
        <row r="245">
          <cell r="B245" t="b">
            <v>1</v>
          </cell>
          <cell r="E245" t="str">
            <v>Hospital Pozon</v>
          </cell>
          <cell r="H245" t="str">
            <v>medicina_interna</v>
          </cell>
          <cell r="J245" t="str">
            <v>bueno</v>
          </cell>
          <cell r="K245" t="str">
            <v>defsi</v>
          </cell>
        </row>
        <row r="246">
          <cell r="B246" t="b">
            <v>1</v>
          </cell>
          <cell r="E246" t="str">
            <v>Hospital Pozon</v>
          </cell>
          <cell r="H246" t="str">
            <v>medicina_interna</v>
          </cell>
          <cell r="J246" t="str">
            <v>bueno</v>
          </cell>
          <cell r="K246" t="str">
            <v>defsi</v>
          </cell>
        </row>
        <row r="247">
          <cell r="B247" t="b">
            <v>1</v>
          </cell>
          <cell r="E247" t="str">
            <v>Hospital Pozon</v>
          </cell>
          <cell r="H247" t="str">
            <v>pediatria</v>
          </cell>
          <cell r="J247" t="str">
            <v>bueno</v>
          </cell>
          <cell r="K247" t="str">
            <v>defsi</v>
          </cell>
        </row>
        <row r="248">
          <cell r="B248" t="b">
            <v>1</v>
          </cell>
          <cell r="E248" t="str">
            <v>Hospital Pozon</v>
          </cell>
          <cell r="H248" t="str">
            <v>pediatria</v>
          </cell>
          <cell r="J248" t="str">
            <v>bueno</v>
          </cell>
          <cell r="K248" t="str">
            <v>defsi</v>
          </cell>
        </row>
        <row r="249">
          <cell r="B249" t="b">
            <v>1</v>
          </cell>
          <cell r="E249" t="str">
            <v>Hospital Pozon</v>
          </cell>
          <cell r="H249" t="str">
            <v>pediatria</v>
          </cell>
          <cell r="J249" t="str">
            <v>bueno</v>
          </cell>
          <cell r="K249" t="str">
            <v>defsi</v>
          </cell>
        </row>
        <row r="250">
          <cell r="B250" t="b">
            <v>1</v>
          </cell>
          <cell r="E250" t="str">
            <v>Hospital Pozon</v>
          </cell>
          <cell r="H250" t="str">
            <v>rx</v>
          </cell>
          <cell r="J250" t="str">
            <v>bueno</v>
          </cell>
          <cell r="K250" t="str">
            <v>defsi</v>
          </cell>
        </row>
        <row r="251">
          <cell r="B251" t="b">
            <v>1</v>
          </cell>
          <cell r="E251" t="str">
            <v>Hospital Pozon</v>
          </cell>
          <cell r="H251" t="str">
            <v>medicina_interna</v>
          </cell>
          <cell r="J251" t="str">
            <v>bueno</v>
          </cell>
          <cell r="K251" t="str">
            <v>defsi</v>
          </cell>
        </row>
        <row r="252">
          <cell r="B252" t="b">
            <v>1</v>
          </cell>
          <cell r="E252" t="str">
            <v>Las Reinas</v>
          </cell>
          <cell r="H252" t="str">
            <v>consulta_externa</v>
          </cell>
          <cell r="J252" t="str">
            <v>bueno</v>
          </cell>
          <cell r="K252" t="str">
            <v>defsi</v>
          </cell>
        </row>
        <row r="253">
          <cell r="B253" t="b">
            <v>1</v>
          </cell>
          <cell r="E253" t="str">
            <v>Las Reinas</v>
          </cell>
          <cell r="H253" t="str">
            <v>salud_oral</v>
          </cell>
          <cell r="J253" t="str">
            <v>bueno</v>
          </cell>
          <cell r="K253" t="str">
            <v>defsi</v>
          </cell>
        </row>
        <row r="254">
          <cell r="B254" t="b">
            <v>1</v>
          </cell>
          <cell r="E254" t="str">
            <v>Las Reinas</v>
          </cell>
          <cell r="H254" t="str">
            <v>laboratorio</v>
          </cell>
          <cell r="J254" t="str">
            <v>bueno</v>
          </cell>
          <cell r="K254" t="str">
            <v>defsi</v>
          </cell>
        </row>
        <row r="255">
          <cell r="B255" t="b">
            <v>1</v>
          </cell>
          <cell r="E255" t="str">
            <v>Las Reinas</v>
          </cell>
          <cell r="H255" t="str">
            <v>consulta_externa</v>
          </cell>
          <cell r="J255" t="str">
            <v>bueno</v>
          </cell>
          <cell r="K255" t="str">
            <v>defsi</v>
          </cell>
        </row>
        <row r="256">
          <cell r="B256" t="b">
            <v>1</v>
          </cell>
          <cell r="E256" t="str">
            <v>Las Reinas</v>
          </cell>
          <cell r="H256" t="str">
            <v>salud_oral</v>
          </cell>
          <cell r="J256" t="str">
            <v>bueno</v>
          </cell>
          <cell r="K256" t="str">
            <v>defsi</v>
          </cell>
        </row>
        <row r="257">
          <cell r="B257" t="b">
            <v>1</v>
          </cell>
          <cell r="E257" t="str">
            <v>Pozon</v>
          </cell>
          <cell r="H257" t="str">
            <v>consulta_externa</v>
          </cell>
          <cell r="J257" t="str">
            <v>bueno</v>
          </cell>
          <cell r="K257" t="str">
            <v>defsi</v>
          </cell>
        </row>
        <row r="258">
          <cell r="B258" t="b">
            <v>1</v>
          </cell>
          <cell r="E258" t="str">
            <v>Pozon</v>
          </cell>
          <cell r="H258" t="str">
            <v>laboratorio</v>
          </cell>
          <cell r="J258" t="str">
            <v>bueno</v>
          </cell>
          <cell r="K258" t="str">
            <v>defsi</v>
          </cell>
        </row>
        <row r="259">
          <cell r="B259" t="b">
            <v>1</v>
          </cell>
          <cell r="E259" t="str">
            <v>Pozon</v>
          </cell>
          <cell r="H259" t="str">
            <v>consulta_externa</v>
          </cell>
          <cell r="J259" t="str">
            <v>bueno</v>
          </cell>
          <cell r="K259" t="str">
            <v>defsi</v>
          </cell>
        </row>
        <row r="260">
          <cell r="B260" t="b">
            <v>1</v>
          </cell>
          <cell r="E260" t="str">
            <v>Pozon</v>
          </cell>
          <cell r="H260" t="str">
            <v>laboratorio</v>
          </cell>
          <cell r="J260" t="str">
            <v>bueno</v>
          </cell>
          <cell r="K260" t="str">
            <v>defsi</v>
          </cell>
        </row>
        <row r="261">
          <cell r="B261" t="b">
            <v>1</v>
          </cell>
          <cell r="E261" t="str">
            <v>Pozon</v>
          </cell>
          <cell r="H261" t="str">
            <v>laboratorio</v>
          </cell>
          <cell r="J261" t="str">
            <v>bueno</v>
          </cell>
          <cell r="K261" t="str">
            <v>defsi</v>
          </cell>
        </row>
        <row r="262">
          <cell r="B262" t="b">
            <v>1</v>
          </cell>
          <cell r="E262" t="str">
            <v>Pozon</v>
          </cell>
          <cell r="H262" t="str">
            <v>consulta_externa</v>
          </cell>
          <cell r="J262" t="str">
            <v>bueno</v>
          </cell>
          <cell r="K262" t="str">
            <v>defsi</v>
          </cell>
        </row>
        <row r="263">
          <cell r="B263" t="b">
            <v>1</v>
          </cell>
          <cell r="E263" t="str">
            <v>Pozon</v>
          </cell>
          <cell r="H263" t="str">
            <v>salud_oral</v>
          </cell>
          <cell r="J263" t="str">
            <v>bueno</v>
          </cell>
          <cell r="K263" t="str">
            <v>defsi</v>
          </cell>
        </row>
        <row r="264">
          <cell r="B264" t="b">
            <v>1</v>
          </cell>
          <cell r="E264" t="str">
            <v>Pozon</v>
          </cell>
          <cell r="H264" t="str">
            <v>salud_oral</v>
          </cell>
          <cell r="J264" t="str">
            <v>bueno</v>
          </cell>
          <cell r="K264" t="str">
            <v>defsi</v>
          </cell>
        </row>
        <row r="265">
          <cell r="B265" t="b">
            <v>1</v>
          </cell>
          <cell r="E265" t="str">
            <v>Pozon</v>
          </cell>
          <cell r="H265" t="str">
            <v>salud_oral</v>
          </cell>
          <cell r="J265" t="str">
            <v>bueno</v>
          </cell>
          <cell r="K265" t="str">
            <v>defsi</v>
          </cell>
        </row>
        <row r="266">
          <cell r="B266" t="b">
            <v>1</v>
          </cell>
          <cell r="E266" t="str">
            <v>Pozon</v>
          </cell>
          <cell r="H266" t="str">
            <v>laboratorio</v>
          </cell>
          <cell r="J266" t="str">
            <v>muybueno</v>
          </cell>
          <cell r="K266" t="str">
            <v>defsi</v>
          </cell>
        </row>
        <row r="267">
          <cell r="B267" t="b">
            <v>1</v>
          </cell>
          <cell r="E267" t="str">
            <v>Tierra Baja</v>
          </cell>
          <cell r="H267" t="str">
            <v>laboratorio</v>
          </cell>
          <cell r="J267" t="str">
            <v>bueno</v>
          </cell>
          <cell r="K267" t="str">
            <v>probsi</v>
          </cell>
        </row>
        <row r="268">
          <cell r="B268" t="b">
            <v>1</v>
          </cell>
          <cell r="E268" t="str">
            <v>Tierra Baja</v>
          </cell>
          <cell r="H268" t="str">
            <v>laboratorio</v>
          </cell>
          <cell r="J268" t="str">
            <v>bueno</v>
          </cell>
          <cell r="K268" t="str">
            <v>probsi</v>
          </cell>
        </row>
        <row r="269">
          <cell r="B269" t="b">
            <v>1</v>
          </cell>
          <cell r="E269" t="str">
            <v>Tierra Baja</v>
          </cell>
          <cell r="H269" t="str">
            <v>laboratorio</v>
          </cell>
          <cell r="J269" t="str">
            <v>bueno</v>
          </cell>
          <cell r="K269" t="str">
            <v>probsi</v>
          </cell>
        </row>
        <row r="270">
          <cell r="B270" t="b">
            <v>1</v>
          </cell>
          <cell r="E270" t="str">
            <v>Tierra Baja</v>
          </cell>
          <cell r="H270" t="str">
            <v>laboratorio</v>
          </cell>
          <cell r="J270" t="str">
            <v>bueno</v>
          </cell>
          <cell r="K270" t="str">
            <v>probsi</v>
          </cell>
        </row>
        <row r="271">
          <cell r="B271" t="b">
            <v>1</v>
          </cell>
          <cell r="E271" t="str">
            <v>Tierra Baja</v>
          </cell>
          <cell r="H271" t="str">
            <v>salud_oral</v>
          </cell>
          <cell r="J271" t="str">
            <v>bueno</v>
          </cell>
          <cell r="K271" t="str">
            <v>probsi</v>
          </cell>
        </row>
        <row r="272">
          <cell r="B272" t="b">
            <v>1</v>
          </cell>
          <cell r="E272" t="str">
            <v>Tierra Baja</v>
          </cell>
          <cell r="H272" t="str">
            <v>salud_oral</v>
          </cell>
          <cell r="J272" t="str">
            <v>bueno</v>
          </cell>
          <cell r="K272" t="str">
            <v>probsi</v>
          </cell>
        </row>
        <row r="273">
          <cell r="B273" t="b">
            <v>1</v>
          </cell>
          <cell r="E273" t="str">
            <v>Tierra Baja</v>
          </cell>
          <cell r="H273" t="str">
            <v>salud_oral</v>
          </cell>
          <cell r="J273" t="str">
            <v>bueno</v>
          </cell>
          <cell r="K273" t="str">
            <v>probsi</v>
          </cell>
        </row>
        <row r="274">
          <cell r="B274" t="b">
            <v>1</v>
          </cell>
          <cell r="E274" t="str">
            <v>Tierra Baja</v>
          </cell>
          <cell r="H274" t="str">
            <v>consulta_externa</v>
          </cell>
          <cell r="J274" t="str">
            <v>bueno</v>
          </cell>
          <cell r="K274" t="str">
            <v>probsi</v>
          </cell>
        </row>
        <row r="275">
          <cell r="B275" t="b">
            <v>1</v>
          </cell>
          <cell r="E275" t="str">
            <v>Tierra Baja</v>
          </cell>
          <cell r="H275" t="str">
            <v>consulta_externa</v>
          </cell>
          <cell r="J275" t="str">
            <v>bueno</v>
          </cell>
          <cell r="K275" t="str">
            <v>probsi</v>
          </cell>
        </row>
        <row r="276">
          <cell r="B276" t="b">
            <v>1</v>
          </cell>
          <cell r="E276" t="str">
            <v>Tierra Baja</v>
          </cell>
          <cell r="H276" t="str">
            <v>consulta_externa</v>
          </cell>
          <cell r="J276" t="str">
            <v>bueno</v>
          </cell>
          <cell r="K276" t="str">
            <v>probsi</v>
          </cell>
        </row>
        <row r="277">
          <cell r="B277" t="b">
            <v>0</v>
          </cell>
          <cell r="E277" t="str">
            <v>Pozon</v>
          </cell>
          <cell r="H277" t="str">
            <v>laboratorio</v>
          </cell>
          <cell r="J277" t="str">
            <v>regular</v>
          </cell>
          <cell r="K277" t="str">
            <v>probsi</v>
          </cell>
        </row>
        <row r="278">
          <cell r="B278" t="b">
            <v>1</v>
          </cell>
          <cell r="E278" t="str">
            <v>Tierra Baja</v>
          </cell>
          <cell r="H278" t="str">
            <v>laboratorio</v>
          </cell>
          <cell r="J278" t="str">
            <v>bueno</v>
          </cell>
          <cell r="K278" t="str">
            <v>probsi</v>
          </cell>
        </row>
        <row r="279">
          <cell r="B279" t="b">
            <v>1</v>
          </cell>
          <cell r="E279" t="str">
            <v>Tierra Baja</v>
          </cell>
          <cell r="H279" t="str">
            <v>salud_oral</v>
          </cell>
          <cell r="J279" t="str">
            <v>bueno</v>
          </cell>
          <cell r="K279" t="str">
            <v>probsi</v>
          </cell>
        </row>
        <row r="280">
          <cell r="B280" t="b">
            <v>1</v>
          </cell>
          <cell r="E280" t="str">
            <v>Tierra Baja</v>
          </cell>
          <cell r="H280" t="str">
            <v>salud_oral</v>
          </cell>
          <cell r="J280" t="str">
            <v>bueno</v>
          </cell>
          <cell r="K280" t="str">
            <v>probsi</v>
          </cell>
        </row>
        <row r="281">
          <cell r="B281" t="b">
            <v>1</v>
          </cell>
          <cell r="E281" t="str">
            <v>Pozon</v>
          </cell>
          <cell r="H281" t="str">
            <v>consulta_externa</v>
          </cell>
          <cell r="J281" t="str">
            <v>bueno</v>
          </cell>
          <cell r="K281" t="str">
            <v>defsi</v>
          </cell>
        </row>
        <row r="282">
          <cell r="B282" t="b">
            <v>1</v>
          </cell>
          <cell r="E282" t="str">
            <v>Pozon</v>
          </cell>
          <cell r="H282" t="str">
            <v>consulta_externa</v>
          </cell>
          <cell r="J282" t="str">
            <v>bueno</v>
          </cell>
          <cell r="K282" t="str">
            <v>defsi</v>
          </cell>
        </row>
        <row r="283">
          <cell r="B283" t="b">
            <v>1</v>
          </cell>
          <cell r="E283" t="str">
            <v>Nelson Mandela UPA</v>
          </cell>
          <cell r="H283" t="str">
            <v>consulta_externa</v>
          </cell>
          <cell r="J283" t="str">
            <v>bueno</v>
          </cell>
          <cell r="K283" t="str">
            <v>defsi</v>
          </cell>
        </row>
        <row r="284">
          <cell r="B284" t="b">
            <v>1</v>
          </cell>
          <cell r="E284" t="str">
            <v>Nelson Mandela UPA</v>
          </cell>
          <cell r="H284" t="str">
            <v>salud_oral</v>
          </cell>
          <cell r="J284" t="str">
            <v>bueno</v>
          </cell>
          <cell r="K284" t="str">
            <v>defsi</v>
          </cell>
        </row>
        <row r="285">
          <cell r="B285" t="b">
            <v>1</v>
          </cell>
          <cell r="E285" t="str">
            <v>Nelson Mandela UPA</v>
          </cell>
          <cell r="H285" t="str">
            <v>laboratorio</v>
          </cell>
          <cell r="J285" t="str">
            <v>bueno</v>
          </cell>
          <cell r="K285" t="str">
            <v>defsi</v>
          </cell>
        </row>
        <row r="286">
          <cell r="B286" t="b">
            <v>1</v>
          </cell>
          <cell r="E286" t="str">
            <v>Nelson Mandela UPA</v>
          </cell>
          <cell r="H286" t="str">
            <v>urgencia</v>
          </cell>
          <cell r="J286" t="str">
            <v>bueno</v>
          </cell>
          <cell r="K286" t="str">
            <v>defsi</v>
          </cell>
        </row>
        <row r="287">
          <cell r="B287" t="b">
            <v>1</v>
          </cell>
          <cell r="E287" t="str">
            <v>Nelson Mandela UPA</v>
          </cell>
          <cell r="H287" t="str">
            <v>consulta_externa</v>
          </cell>
          <cell r="J287" t="str">
            <v>bueno</v>
          </cell>
          <cell r="K287" t="str">
            <v>defsi</v>
          </cell>
        </row>
        <row r="288">
          <cell r="B288" t="b">
            <v>1</v>
          </cell>
          <cell r="E288" t="str">
            <v>Nelson Mandela UPA</v>
          </cell>
          <cell r="H288" t="str">
            <v>salud_oral</v>
          </cell>
          <cell r="J288" t="str">
            <v>bueno</v>
          </cell>
          <cell r="K288" t="str">
            <v>defsi</v>
          </cell>
        </row>
        <row r="289">
          <cell r="B289" t="b">
            <v>1</v>
          </cell>
          <cell r="E289" t="str">
            <v>Nelson Mandela UPA</v>
          </cell>
          <cell r="H289" t="str">
            <v>laboratorio</v>
          </cell>
          <cell r="J289" t="str">
            <v>bueno</v>
          </cell>
          <cell r="K289" t="str">
            <v>defsi</v>
          </cell>
        </row>
        <row r="290">
          <cell r="B290" t="b">
            <v>1</v>
          </cell>
          <cell r="E290" t="str">
            <v>Nelson Mandela UPA</v>
          </cell>
          <cell r="H290" t="str">
            <v>urgencia</v>
          </cell>
          <cell r="J290" t="str">
            <v>bueno</v>
          </cell>
          <cell r="K290" t="str">
            <v>defsi</v>
          </cell>
        </row>
        <row r="291">
          <cell r="B291" t="b">
            <v>1</v>
          </cell>
          <cell r="E291" t="str">
            <v>Nelson Mandela UPA</v>
          </cell>
          <cell r="H291" t="str">
            <v>consulta_externa</v>
          </cell>
          <cell r="J291" t="str">
            <v>bueno</v>
          </cell>
          <cell r="K291" t="str">
            <v>defsi</v>
          </cell>
        </row>
        <row r="292">
          <cell r="B292" t="b">
            <v>1</v>
          </cell>
          <cell r="E292" t="str">
            <v>Nelson Mandela UPA</v>
          </cell>
          <cell r="H292" t="str">
            <v>salud_oral</v>
          </cell>
          <cell r="J292" t="str">
            <v>bueno</v>
          </cell>
          <cell r="K292" t="str">
            <v>defsi</v>
          </cell>
        </row>
        <row r="293">
          <cell r="B293" t="b">
            <v>1</v>
          </cell>
          <cell r="E293" t="str">
            <v>Nelson Mandela UPA</v>
          </cell>
          <cell r="H293" t="str">
            <v>laboratorio</v>
          </cell>
          <cell r="J293" t="str">
            <v>bueno</v>
          </cell>
          <cell r="K293" t="str">
            <v>defsi</v>
          </cell>
        </row>
        <row r="294">
          <cell r="B294" t="b">
            <v>1</v>
          </cell>
          <cell r="E294" t="str">
            <v>Nelson Mandela UPA</v>
          </cell>
          <cell r="H294" t="str">
            <v>urgencia</v>
          </cell>
          <cell r="J294" t="str">
            <v>bueno</v>
          </cell>
          <cell r="K294" t="str">
            <v>defsi</v>
          </cell>
        </row>
        <row r="295">
          <cell r="B295" t="b">
            <v>1</v>
          </cell>
          <cell r="E295" t="str">
            <v>Nelson Mandela UPA</v>
          </cell>
          <cell r="H295" t="str">
            <v>consulta_externa</v>
          </cell>
          <cell r="J295" t="str">
            <v>bueno</v>
          </cell>
          <cell r="K295" t="str">
            <v>defsi</v>
          </cell>
        </row>
        <row r="296">
          <cell r="B296" t="b">
            <v>1</v>
          </cell>
          <cell r="E296" t="str">
            <v>Nelson Mandela UPA</v>
          </cell>
          <cell r="H296" t="str">
            <v>salud_oral</v>
          </cell>
          <cell r="J296" t="str">
            <v>bueno</v>
          </cell>
          <cell r="K296" t="str">
            <v>defsi</v>
          </cell>
        </row>
        <row r="297">
          <cell r="B297" t="b">
            <v>1</v>
          </cell>
          <cell r="E297" t="str">
            <v>Nelson Mandela UPA</v>
          </cell>
          <cell r="H297" t="str">
            <v>laboratorio</v>
          </cell>
          <cell r="J297" t="str">
            <v>bueno</v>
          </cell>
          <cell r="K297" t="str">
            <v>defsi</v>
          </cell>
        </row>
        <row r="298">
          <cell r="B298" t="b">
            <v>1</v>
          </cell>
          <cell r="E298" t="str">
            <v>Nelson Mandela UPA</v>
          </cell>
          <cell r="H298" t="str">
            <v>urgencia</v>
          </cell>
          <cell r="J298" t="str">
            <v>bueno</v>
          </cell>
          <cell r="K298" t="str">
            <v>defsi</v>
          </cell>
        </row>
        <row r="299">
          <cell r="B299" t="b">
            <v>1</v>
          </cell>
          <cell r="E299" t="str">
            <v>Libano</v>
          </cell>
          <cell r="H299" t="str">
            <v>ginecologia</v>
          </cell>
          <cell r="J299" t="str">
            <v>bueno</v>
          </cell>
          <cell r="K299" t="str">
            <v>probsi</v>
          </cell>
        </row>
        <row r="300">
          <cell r="B300" t="b">
            <v>1</v>
          </cell>
          <cell r="E300" t="str">
            <v>Libano</v>
          </cell>
          <cell r="H300" t="str">
            <v>laboratorio</v>
          </cell>
          <cell r="J300" t="str">
            <v>bueno</v>
          </cell>
          <cell r="K300" t="str">
            <v>probsi</v>
          </cell>
        </row>
        <row r="301">
          <cell r="B301" t="b">
            <v>1</v>
          </cell>
          <cell r="E301" t="str">
            <v>Libano</v>
          </cell>
          <cell r="H301" t="str">
            <v>consulta_externa</v>
          </cell>
          <cell r="J301" t="str">
            <v>muybueno</v>
          </cell>
          <cell r="K301" t="str">
            <v>defsi</v>
          </cell>
        </row>
        <row r="302">
          <cell r="B302" t="b">
            <v>1</v>
          </cell>
          <cell r="E302" t="str">
            <v>Libano</v>
          </cell>
          <cell r="H302" t="str">
            <v>consulta_externa</v>
          </cell>
          <cell r="J302" t="str">
            <v>muybueno</v>
          </cell>
          <cell r="K302" t="str">
            <v>defsi</v>
          </cell>
        </row>
        <row r="303">
          <cell r="B303" t="b">
            <v>1</v>
          </cell>
          <cell r="E303" t="str">
            <v>Libano</v>
          </cell>
          <cell r="H303" t="str">
            <v>ginecologia</v>
          </cell>
          <cell r="J303" t="str">
            <v>bueno</v>
          </cell>
          <cell r="K303" t="str">
            <v>probsi</v>
          </cell>
        </row>
        <row r="304">
          <cell r="B304" t="b">
            <v>1</v>
          </cell>
          <cell r="E304" t="str">
            <v>Libano</v>
          </cell>
          <cell r="H304" t="str">
            <v>ginecologia</v>
          </cell>
          <cell r="J304" t="str">
            <v>bueno</v>
          </cell>
          <cell r="K304" t="str">
            <v>probsi</v>
          </cell>
        </row>
        <row r="305">
          <cell r="B305" t="b">
            <v>1</v>
          </cell>
          <cell r="E305" t="str">
            <v>Nelson Mandela UPA</v>
          </cell>
          <cell r="H305" t="str">
            <v>consulta_externa</v>
          </cell>
          <cell r="J305" t="str">
            <v>bueno</v>
          </cell>
          <cell r="K305" t="str">
            <v>defsi</v>
          </cell>
        </row>
        <row r="306">
          <cell r="B306" t="b">
            <v>1</v>
          </cell>
          <cell r="E306" t="str">
            <v>Nelson Mandela UPA</v>
          </cell>
          <cell r="H306" t="str">
            <v>salud_oral</v>
          </cell>
          <cell r="J306" t="str">
            <v>bueno</v>
          </cell>
          <cell r="K306" t="str">
            <v>defsi</v>
          </cell>
        </row>
        <row r="307">
          <cell r="B307" t="b">
            <v>1</v>
          </cell>
          <cell r="E307" t="str">
            <v>Nelson Mandela UPA</v>
          </cell>
          <cell r="H307" t="str">
            <v>laboratorio</v>
          </cell>
          <cell r="J307" t="str">
            <v>bueno</v>
          </cell>
          <cell r="K307" t="str">
            <v>defsi</v>
          </cell>
        </row>
        <row r="308">
          <cell r="B308" t="b">
            <v>1</v>
          </cell>
          <cell r="E308" t="str">
            <v>Nelson Mandela UPA</v>
          </cell>
          <cell r="H308" t="str">
            <v>urgencia</v>
          </cell>
          <cell r="J308" t="str">
            <v>bueno</v>
          </cell>
          <cell r="K308" t="str">
            <v>defsi</v>
          </cell>
        </row>
        <row r="309">
          <cell r="B309" t="b">
            <v>0</v>
          </cell>
          <cell r="E309" t="str">
            <v>Libano</v>
          </cell>
          <cell r="H309" t="str">
            <v>ginecologia</v>
          </cell>
          <cell r="J309" t="str">
            <v>regular</v>
          </cell>
          <cell r="K309" t="str">
            <v>probsi</v>
          </cell>
        </row>
        <row r="310">
          <cell r="B310" t="b">
            <v>1</v>
          </cell>
          <cell r="E310" t="str">
            <v>Libano</v>
          </cell>
          <cell r="H310" t="str">
            <v>consulta_externa</v>
          </cell>
          <cell r="J310" t="str">
            <v>bueno</v>
          </cell>
          <cell r="K310" t="str">
            <v>probsi</v>
          </cell>
        </row>
        <row r="311">
          <cell r="B311" t="b">
            <v>1</v>
          </cell>
          <cell r="E311" t="str">
            <v>Libano</v>
          </cell>
          <cell r="H311" t="str">
            <v>salud_oral</v>
          </cell>
          <cell r="J311" t="str">
            <v>bueno</v>
          </cell>
          <cell r="K311" t="str">
            <v>probsi</v>
          </cell>
        </row>
        <row r="312">
          <cell r="B312" t="b">
            <v>0</v>
          </cell>
          <cell r="E312" t="str">
            <v>Libano</v>
          </cell>
          <cell r="H312" t="str">
            <v>consulta_externa</v>
          </cell>
          <cell r="J312" t="str">
            <v>muymalo</v>
          </cell>
          <cell r="K312" t="str">
            <v>probno</v>
          </cell>
        </row>
        <row r="313">
          <cell r="B313" t="b">
            <v>1</v>
          </cell>
          <cell r="E313" t="str">
            <v>Bicentenario</v>
          </cell>
          <cell r="H313" t="str">
            <v>rx</v>
          </cell>
          <cell r="J313" t="str">
            <v>bueno</v>
          </cell>
          <cell r="K313" t="str">
            <v>defsi</v>
          </cell>
        </row>
        <row r="314">
          <cell r="B314" t="b">
            <v>1</v>
          </cell>
          <cell r="E314" t="str">
            <v>Nelson Mandela UPA</v>
          </cell>
          <cell r="H314" t="str">
            <v>consulta_externa</v>
          </cell>
          <cell r="J314" t="str">
            <v>bueno</v>
          </cell>
          <cell r="K314" t="str">
            <v>defsi</v>
          </cell>
        </row>
        <row r="315">
          <cell r="B315" t="b">
            <v>1</v>
          </cell>
          <cell r="E315" t="str">
            <v>Nelson Mandela UPA</v>
          </cell>
          <cell r="H315" t="str">
            <v>salud_oral</v>
          </cell>
          <cell r="J315" t="str">
            <v>bueno</v>
          </cell>
          <cell r="K315" t="str">
            <v>defsi</v>
          </cell>
        </row>
        <row r="316">
          <cell r="B316" t="b">
            <v>1</v>
          </cell>
          <cell r="E316" t="str">
            <v>Bicentenario</v>
          </cell>
          <cell r="H316" t="str">
            <v>rx</v>
          </cell>
          <cell r="J316" t="str">
            <v>bueno</v>
          </cell>
          <cell r="K316" t="str">
            <v>defsi</v>
          </cell>
        </row>
        <row r="317">
          <cell r="B317" t="b">
            <v>1</v>
          </cell>
          <cell r="E317" t="str">
            <v>Nelson Mandela UPA</v>
          </cell>
          <cell r="H317" t="str">
            <v>laboratorio</v>
          </cell>
          <cell r="J317" t="str">
            <v>bueno</v>
          </cell>
          <cell r="K317" t="str">
            <v>defsi</v>
          </cell>
        </row>
        <row r="318">
          <cell r="B318" t="b">
            <v>1</v>
          </cell>
          <cell r="E318" t="str">
            <v>Nelson Mandela UPA</v>
          </cell>
          <cell r="H318" t="str">
            <v>urgencia</v>
          </cell>
          <cell r="J318" t="str">
            <v>bueno</v>
          </cell>
          <cell r="K318" t="str">
            <v>defsi</v>
          </cell>
        </row>
        <row r="319">
          <cell r="B319" t="b">
            <v>1</v>
          </cell>
          <cell r="E319" t="str">
            <v>Nelson Mandela UPA</v>
          </cell>
          <cell r="H319" t="str">
            <v>consulta_externa</v>
          </cell>
          <cell r="J319" t="str">
            <v>bueno</v>
          </cell>
          <cell r="K319" t="str">
            <v>defsi</v>
          </cell>
        </row>
        <row r="320">
          <cell r="B320" t="b">
            <v>1</v>
          </cell>
          <cell r="E320" t="str">
            <v>Nelson Mandela UPA</v>
          </cell>
          <cell r="H320" t="str">
            <v>salud_oral</v>
          </cell>
          <cell r="J320" t="str">
            <v>bueno</v>
          </cell>
          <cell r="K320" t="str">
            <v>defsi</v>
          </cell>
        </row>
        <row r="321">
          <cell r="B321" t="b">
            <v>1</v>
          </cell>
          <cell r="E321" t="str">
            <v>Nelson Mandela UPA</v>
          </cell>
          <cell r="H321" t="str">
            <v>laboratorio</v>
          </cell>
          <cell r="J321" t="str">
            <v>bueno</v>
          </cell>
          <cell r="K321" t="str">
            <v>defsi</v>
          </cell>
        </row>
        <row r="322">
          <cell r="B322" t="b">
            <v>1</v>
          </cell>
          <cell r="E322" t="str">
            <v>Nelson Mandela UPA</v>
          </cell>
          <cell r="H322" t="str">
            <v>urgencia</v>
          </cell>
          <cell r="J322" t="str">
            <v>bueno</v>
          </cell>
          <cell r="K322" t="str">
            <v>defsi</v>
          </cell>
        </row>
        <row r="323">
          <cell r="B323" t="b">
            <v>1</v>
          </cell>
          <cell r="E323" t="str">
            <v>Libano</v>
          </cell>
          <cell r="H323" t="str">
            <v>consulta_externa</v>
          </cell>
          <cell r="J323" t="str">
            <v>bueno</v>
          </cell>
          <cell r="K323" t="str">
            <v>probsi</v>
          </cell>
        </row>
        <row r="324">
          <cell r="B324" t="b">
            <v>1</v>
          </cell>
          <cell r="E324" t="str">
            <v>Libano</v>
          </cell>
          <cell r="H324" t="str">
            <v>consulta_externa</v>
          </cell>
          <cell r="J324" t="str">
            <v>bueno</v>
          </cell>
          <cell r="K324" t="str">
            <v>probsi</v>
          </cell>
        </row>
        <row r="325">
          <cell r="B325" t="b">
            <v>1</v>
          </cell>
          <cell r="E325" t="str">
            <v>Libano</v>
          </cell>
          <cell r="H325" t="str">
            <v>laboratorio</v>
          </cell>
          <cell r="J325" t="str">
            <v>bueno</v>
          </cell>
          <cell r="K325" t="str">
            <v>probsi</v>
          </cell>
        </row>
        <row r="326">
          <cell r="B326" t="b">
            <v>1</v>
          </cell>
          <cell r="E326" t="str">
            <v>Libano</v>
          </cell>
          <cell r="H326" t="str">
            <v>consulta_externa</v>
          </cell>
          <cell r="J326" t="str">
            <v>bueno</v>
          </cell>
          <cell r="K326" t="str">
            <v>probsi</v>
          </cell>
        </row>
        <row r="327">
          <cell r="B327" t="b">
            <v>1</v>
          </cell>
          <cell r="E327" t="str">
            <v>Libano</v>
          </cell>
          <cell r="H327" t="str">
            <v>salud_oral</v>
          </cell>
          <cell r="J327" t="str">
            <v>bueno</v>
          </cell>
          <cell r="K327" t="str">
            <v>probsi</v>
          </cell>
        </row>
        <row r="328">
          <cell r="B328" t="b">
            <v>1</v>
          </cell>
          <cell r="E328" t="str">
            <v>Libano</v>
          </cell>
          <cell r="H328" t="str">
            <v>laboratorio</v>
          </cell>
          <cell r="J328" t="str">
            <v>bueno</v>
          </cell>
          <cell r="K328" t="str">
            <v>probsi</v>
          </cell>
        </row>
        <row r="329">
          <cell r="B329" t="b">
            <v>1</v>
          </cell>
          <cell r="E329" t="str">
            <v>Bicentenario</v>
          </cell>
          <cell r="H329" t="str">
            <v>consulta_externa</v>
          </cell>
          <cell r="J329" t="str">
            <v>bueno</v>
          </cell>
          <cell r="K329" t="str">
            <v>defsi</v>
          </cell>
        </row>
        <row r="330">
          <cell r="B330" t="b">
            <v>1</v>
          </cell>
          <cell r="E330" t="str">
            <v>Bicentenario</v>
          </cell>
          <cell r="H330" t="str">
            <v>rx</v>
          </cell>
          <cell r="J330" t="str">
            <v>bueno</v>
          </cell>
          <cell r="K330" t="str">
            <v>defsi</v>
          </cell>
        </row>
        <row r="331">
          <cell r="B331" t="b">
            <v>0</v>
          </cell>
          <cell r="E331" t="str">
            <v>Libano</v>
          </cell>
          <cell r="H331" t="str">
            <v>consulta_externa</v>
          </cell>
          <cell r="J331" t="str">
            <v>regular</v>
          </cell>
          <cell r="K331" t="str">
            <v>probsi</v>
          </cell>
        </row>
        <row r="332">
          <cell r="B332" t="b">
            <v>1</v>
          </cell>
          <cell r="E332" t="str">
            <v>Bicentenario</v>
          </cell>
          <cell r="H332" t="str">
            <v>rx</v>
          </cell>
          <cell r="J332" t="str">
            <v>bueno</v>
          </cell>
          <cell r="K332" t="str">
            <v>defsi</v>
          </cell>
        </row>
        <row r="333">
          <cell r="B333" t="b">
            <v>1</v>
          </cell>
          <cell r="E333" t="str">
            <v>Libano</v>
          </cell>
          <cell r="H333" t="str">
            <v>salud_oral</v>
          </cell>
          <cell r="J333" t="str">
            <v>bueno</v>
          </cell>
          <cell r="K333" t="str">
            <v>probsi</v>
          </cell>
        </row>
        <row r="334">
          <cell r="B334" t="b">
            <v>1</v>
          </cell>
          <cell r="E334" t="str">
            <v>Libano</v>
          </cell>
          <cell r="H334" t="str">
            <v>salud_oral</v>
          </cell>
          <cell r="J334" t="str">
            <v>bueno</v>
          </cell>
          <cell r="K334" t="str">
            <v>probsi</v>
          </cell>
        </row>
        <row r="335">
          <cell r="B335" t="b">
            <v>1</v>
          </cell>
          <cell r="E335" t="str">
            <v>Bicentenario</v>
          </cell>
          <cell r="H335" t="str">
            <v>rx</v>
          </cell>
          <cell r="J335" t="str">
            <v>bueno</v>
          </cell>
          <cell r="K335" t="str">
            <v>defsi</v>
          </cell>
        </row>
        <row r="336">
          <cell r="B336" t="b">
            <v>1</v>
          </cell>
          <cell r="E336" t="str">
            <v>Libano</v>
          </cell>
          <cell r="H336" t="str">
            <v>salud_oral</v>
          </cell>
          <cell r="J336" t="str">
            <v>bueno</v>
          </cell>
          <cell r="K336" t="str">
            <v>probsi</v>
          </cell>
        </row>
        <row r="337">
          <cell r="B337" t="b">
            <v>1</v>
          </cell>
          <cell r="E337" t="str">
            <v>Bicentenario</v>
          </cell>
          <cell r="H337" t="str">
            <v>urgencia</v>
          </cell>
          <cell r="J337" t="str">
            <v>bueno</v>
          </cell>
          <cell r="K337" t="str">
            <v>defsi</v>
          </cell>
        </row>
        <row r="338">
          <cell r="B338" t="b">
            <v>1</v>
          </cell>
          <cell r="E338" t="str">
            <v>Libano</v>
          </cell>
          <cell r="H338" t="str">
            <v>consulta_externa</v>
          </cell>
          <cell r="J338" t="str">
            <v>muybueno</v>
          </cell>
          <cell r="K338" t="str">
            <v>probsi</v>
          </cell>
        </row>
        <row r="339">
          <cell r="B339" t="b">
            <v>1</v>
          </cell>
          <cell r="E339" t="str">
            <v>Bicentenario</v>
          </cell>
          <cell r="H339" t="str">
            <v>consulta_externa</v>
          </cell>
          <cell r="J339" t="str">
            <v>bueno</v>
          </cell>
          <cell r="K339" t="str">
            <v>defsi</v>
          </cell>
        </row>
        <row r="340">
          <cell r="B340" t="b">
            <v>1</v>
          </cell>
          <cell r="E340" t="str">
            <v>Libano</v>
          </cell>
          <cell r="H340" t="str">
            <v>salud_oral</v>
          </cell>
          <cell r="J340" t="str">
            <v>bueno</v>
          </cell>
          <cell r="K340" t="str">
            <v>probsi</v>
          </cell>
        </row>
        <row r="341">
          <cell r="B341" t="b">
            <v>1</v>
          </cell>
          <cell r="E341" t="str">
            <v>Bicentenario</v>
          </cell>
          <cell r="H341" t="str">
            <v>laboratorio</v>
          </cell>
          <cell r="J341" t="str">
            <v>bueno</v>
          </cell>
          <cell r="K341" t="str">
            <v>defsi</v>
          </cell>
        </row>
        <row r="342">
          <cell r="B342" t="b">
            <v>1</v>
          </cell>
          <cell r="E342" t="str">
            <v>Bicentenario</v>
          </cell>
          <cell r="H342" t="str">
            <v>urgencia</v>
          </cell>
          <cell r="J342" t="str">
            <v>bueno</v>
          </cell>
          <cell r="K342" t="str">
            <v>defsi</v>
          </cell>
        </row>
        <row r="343">
          <cell r="B343" t="b">
            <v>1</v>
          </cell>
          <cell r="E343" t="str">
            <v>Bicentenario</v>
          </cell>
          <cell r="H343" t="str">
            <v>urgencia</v>
          </cell>
          <cell r="J343" t="str">
            <v>bueno</v>
          </cell>
          <cell r="K343" t="str">
            <v>defsi</v>
          </cell>
        </row>
        <row r="344">
          <cell r="B344" t="b">
            <v>1</v>
          </cell>
          <cell r="E344" t="str">
            <v>Bicentenario</v>
          </cell>
          <cell r="H344" t="str">
            <v>urgencia</v>
          </cell>
          <cell r="J344" t="str">
            <v>bueno</v>
          </cell>
          <cell r="K344" t="str">
            <v>defsi</v>
          </cell>
        </row>
        <row r="345">
          <cell r="B345" t="b">
            <v>1</v>
          </cell>
          <cell r="E345" t="str">
            <v>Libano</v>
          </cell>
          <cell r="H345" t="str">
            <v>consulta_externa</v>
          </cell>
          <cell r="J345" t="str">
            <v>muybueno</v>
          </cell>
          <cell r="K345" t="str">
            <v>defsi</v>
          </cell>
        </row>
        <row r="346">
          <cell r="B346" t="b">
            <v>1</v>
          </cell>
          <cell r="E346" t="str">
            <v>Bicentenario</v>
          </cell>
          <cell r="H346" t="str">
            <v>urgencia</v>
          </cell>
          <cell r="J346" t="str">
            <v>bueno</v>
          </cell>
          <cell r="K346" t="str">
            <v>defsi</v>
          </cell>
        </row>
        <row r="347">
          <cell r="B347" t="b">
            <v>1</v>
          </cell>
          <cell r="E347" t="str">
            <v>Bicentenario</v>
          </cell>
          <cell r="H347" t="str">
            <v>urgencia</v>
          </cell>
          <cell r="J347" t="str">
            <v>bueno</v>
          </cell>
          <cell r="K347" t="str">
            <v>defsi</v>
          </cell>
        </row>
        <row r="348">
          <cell r="B348" t="b">
            <v>1</v>
          </cell>
          <cell r="E348" t="str">
            <v>Libano</v>
          </cell>
          <cell r="H348" t="str">
            <v>consulta_externa</v>
          </cell>
          <cell r="J348" t="str">
            <v>bueno</v>
          </cell>
          <cell r="K348" t="str">
            <v>probsi</v>
          </cell>
        </row>
        <row r="349">
          <cell r="B349" t="b">
            <v>1</v>
          </cell>
          <cell r="E349" t="str">
            <v>Libano</v>
          </cell>
          <cell r="H349" t="str">
            <v>laboratorio</v>
          </cell>
          <cell r="J349" t="str">
            <v>bueno</v>
          </cell>
          <cell r="K349" t="str">
            <v>probsi</v>
          </cell>
        </row>
        <row r="350">
          <cell r="B350" t="b">
            <v>1</v>
          </cell>
          <cell r="E350" t="str">
            <v>Bicentenario</v>
          </cell>
          <cell r="H350" t="str">
            <v>urgencia</v>
          </cell>
          <cell r="J350" t="str">
            <v>bueno</v>
          </cell>
          <cell r="K350" t="str">
            <v>defsi</v>
          </cell>
        </row>
        <row r="351">
          <cell r="B351" t="b">
            <v>1</v>
          </cell>
          <cell r="E351" t="str">
            <v>Bicentenario</v>
          </cell>
          <cell r="H351" t="str">
            <v>laboratorio</v>
          </cell>
          <cell r="J351" t="str">
            <v>bueno</v>
          </cell>
          <cell r="K351" t="str">
            <v>defsi</v>
          </cell>
        </row>
        <row r="352">
          <cell r="B352" t="b">
            <v>1</v>
          </cell>
          <cell r="E352" t="str">
            <v>Bicentenario</v>
          </cell>
          <cell r="H352" t="str">
            <v>urgencia</v>
          </cell>
          <cell r="J352" t="str">
            <v>bueno</v>
          </cell>
          <cell r="K352" t="str">
            <v>defsi</v>
          </cell>
        </row>
        <row r="353">
          <cell r="B353" t="b">
            <v>0</v>
          </cell>
          <cell r="E353" t="str">
            <v>Bicentenario</v>
          </cell>
          <cell r="H353" t="str">
            <v>urgencia</v>
          </cell>
          <cell r="J353" t="str">
            <v>regular</v>
          </cell>
          <cell r="K353" t="str">
            <v>probsi</v>
          </cell>
        </row>
        <row r="354">
          <cell r="B354" t="b">
            <v>1</v>
          </cell>
          <cell r="E354" t="str">
            <v>Bicentenario</v>
          </cell>
          <cell r="H354" t="str">
            <v>urgencia</v>
          </cell>
          <cell r="J354" t="str">
            <v>muybueno</v>
          </cell>
          <cell r="K354" t="str">
            <v>defsi</v>
          </cell>
        </row>
        <row r="355">
          <cell r="B355" t="b">
            <v>1</v>
          </cell>
          <cell r="E355" t="str">
            <v>Bicentenario</v>
          </cell>
          <cell r="H355" t="str">
            <v>urgencia</v>
          </cell>
          <cell r="J355" t="str">
            <v>muybueno</v>
          </cell>
          <cell r="K355" t="str">
            <v>defsi</v>
          </cell>
        </row>
        <row r="356">
          <cell r="B356" t="b">
            <v>1</v>
          </cell>
          <cell r="E356" t="str">
            <v>Bicentenario</v>
          </cell>
          <cell r="H356" t="str">
            <v>urgencia</v>
          </cell>
          <cell r="J356" t="str">
            <v>bueno</v>
          </cell>
          <cell r="K356" t="str">
            <v>defsi</v>
          </cell>
        </row>
        <row r="357">
          <cell r="B357" t="b">
            <v>1</v>
          </cell>
          <cell r="E357" t="str">
            <v>Libano</v>
          </cell>
          <cell r="H357" t="str">
            <v>consulta_externa</v>
          </cell>
          <cell r="J357" t="str">
            <v>bueno</v>
          </cell>
          <cell r="K357" t="str">
            <v>probsi</v>
          </cell>
        </row>
        <row r="358">
          <cell r="B358" t="b">
            <v>1</v>
          </cell>
          <cell r="E358" t="str">
            <v>Libano</v>
          </cell>
          <cell r="H358" t="str">
            <v>laboratorio</v>
          </cell>
          <cell r="J358" t="str">
            <v>bueno</v>
          </cell>
          <cell r="K358" t="str">
            <v>probsi</v>
          </cell>
        </row>
        <row r="359">
          <cell r="B359" t="b">
            <v>1</v>
          </cell>
          <cell r="E359" t="str">
            <v>Libano</v>
          </cell>
          <cell r="H359" t="str">
            <v>salud_oral</v>
          </cell>
          <cell r="J359" t="str">
            <v>bueno</v>
          </cell>
          <cell r="K359" t="str">
            <v>probsi</v>
          </cell>
        </row>
        <row r="360">
          <cell r="B360" t="b">
            <v>1</v>
          </cell>
          <cell r="E360" t="str">
            <v>Libano</v>
          </cell>
          <cell r="H360" t="str">
            <v>salud_oral</v>
          </cell>
          <cell r="J360" t="str">
            <v>bueno</v>
          </cell>
          <cell r="K360" t="str">
            <v>probsi</v>
          </cell>
        </row>
        <row r="361">
          <cell r="B361" t="b">
            <v>1</v>
          </cell>
          <cell r="E361" t="str">
            <v>Libano</v>
          </cell>
          <cell r="H361" t="str">
            <v>laboratorio</v>
          </cell>
          <cell r="J361" t="str">
            <v>bueno</v>
          </cell>
          <cell r="K361" t="str">
            <v>probsi</v>
          </cell>
        </row>
        <row r="362">
          <cell r="B362" t="b">
            <v>1</v>
          </cell>
          <cell r="E362" t="str">
            <v>Nelson Mandela UPA</v>
          </cell>
          <cell r="H362" t="str">
            <v>consulta_externa</v>
          </cell>
          <cell r="J362" t="str">
            <v>bueno</v>
          </cell>
          <cell r="K362" t="str">
            <v>defsi</v>
          </cell>
        </row>
        <row r="363">
          <cell r="B363" t="b">
            <v>1</v>
          </cell>
          <cell r="E363" t="str">
            <v>Bicentenario</v>
          </cell>
          <cell r="H363" t="str">
            <v>rx</v>
          </cell>
          <cell r="J363" t="str">
            <v>bueno</v>
          </cell>
          <cell r="K363" t="str">
            <v>defsi</v>
          </cell>
        </row>
        <row r="364">
          <cell r="B364" t="b">
            <v>1</v>
          </cell>
          <cell r="E364" t="str">
            <v>Bicentenario</v>
          </cell>
          <cell r="H364" t="str">
            <v>laboratorio</v>
          </cell>
          <cell r="J364" t="str">
            <v>bueno</v>
          </cell>
          <cell r="K364" t="str">
            <v>defsi</v>
          </cell>
        </row>
        <row r="365">
          <cell r="B365" t="b">
            <v>1</v>
          </cell>
          <cell r="E365" t="str">
            <v>Nelson Mandela UPA</v>
          </cell>
          <cell r="H365" t="str">
            <v>salud_oral</v>
          </cell>
          <cell r="J365" t="str">
            <v>bueno</v>
          </cell>
          <cell r="K365" t="str">
            <v>defsi</v>
          </cell>
        </row>
        <row r="366">
          <cell r="B366" t="b">
            <v>1</v>
          </cell>
          <cell r="E366" t="str">
            <v>Bicentenario</v>
          </cell>
          <cell r="H366" t="str">
            <v>laboratorio</v>
          </cell>
          <cell r="J366" t="str">
            <v>bueno</v>
          </cell>
          <cell r="K366" t="str">
            <v>defsi</v>
          </cell>
        </row>
        <row r="367">
          <cell r="B367" t="b">
            <v>1</v>
          </cell>
          <cell r="E367" t="str">
            <v>Bicentenario</v>
          </cell>
          <cell r="H367" t="str">
            <v>laboratorio</v>
          </cell>
          <cell r="J367" t="str">
            <v>bueno</v>
          </cell>
          <cell r="K367" t="str">
            <v>defsi</v>
          </cell>
        </row>
        <row r="368">
          <cell r="B368" t="b">
            <v>1</v>
          </cell>
          <cell r="E368" t="str">
            <v>Nelson Mandela UPA</v>
          </cell>
          <cell r="H368" t="str">
            <v>laboratorio</v>
          </cell>
          <cell r="J368" t="str">
            <v>bueno</v>
          </cell>
          <cell r="K368" t="str">
            <v>defsi</v>
          </cell>
        </row>
        <row r="369">
          <cell r="B369" t="b">
            <v>1</v>
          </cell>
          <cell r="E369" t="str">
            <v>Nelson Mandela UPA</v>
          </cell>
          <cell r="H369" t="str">
            <v>urgencia</v>
          </cell>
          <cell r="J369" t="str">
            <v>bueno</v>
          </cell>
          <cell r="K369" t="str">
            <v>defsi</v>
          </cell>
        </row>
        <row r="370">
          <cell r="B370" t="b">
            <v>0</v>
          </cell>
          <cell r="E370" t="str">
            <v>Bicentenario</v>
          </cell>
          <cell r="H370" t="str">
            <v>consulta_externa</v>
          </cell>
          <cell r="J370" t="str">
            <v>regular</v>
          </cell>
          <cell r="K370" t="str">
            <v>probno</v>
          </cell>
        </row>
        <row r="371">
          <cell r="B371" t="b">
            <v>1</v>
          </cell>
          <cell r="E371" t="str">
            <v>Bicentenario</v>
          </cell>
          <cell r="H371" t="str">
            <v>laboratorio</v>
          </cell>
          <cell r="J371" t="str">
            <v>bueno</v>
          </cell>
          <cell r="K371" t="str">
            <v>defsi</v>
          </cell>
        </row>
        <row r="372">
          <cell r="B372" t="b">
            <v>1</v>
          </cell>
          <cell r="E372" t="str">
            <v>Bicentenario</v>
          </cell>
          <cell r="H372" t="str">
            <v>laboratorio</v>
          </cell>
          <cell r="J372" t="str">
            <v>bueno</v>
          </cell>
          <cell r="K372" t="str">
            <v>defsi</v>
          </cell>
        </row>
        <row r="373">
          <cell r="B373" t="b">
            <v>1</v>
          </cell>
          <cell r="E373" t="str">
            <v>Bicentenario</v>
          </cell>
          <cell r="H373" t="str">
            <v>laboratorio</v>
          </cell>
          <cell r="J373" t="str">
            <v>bueno</v>
          </cell>
          <cell r="K373" t="str">
            <v>defsi</v>
          </cell>
        </row>
        <row r="374">
          <cell r="B374" t="b">
            <v>1</v>
          </cell>
          <cell r="E374" t="str">
            <v>Libano</v>
          </cell>
          <cell r="H374" t="str">
            <v>consulta_externa</v>
          </cell>
          <cell r="J374" t="str">
            <v>bueno</v>
          </cell>
          <cell r="K374" t="str">
            <v>probsi</v>
          </cell>
        </row>
        <row r="375">
          <cell r="B375" t="b">
            <v>1</v>
          </cell>
          <cell r="E375" t="str">
            <v>Libano</v>
          </cell>
          <cell r="H375" t="str">
            <v>consulta_externa</v>
          </cell>
          <cell r="J375" t="str">
            <v>bueno</v>
          </cell>
          <cell r="K375" t="str">
            <v>probsi</v>
          </cell>
        </row>
        <row r="376">
          <cell r="B376" t="b">
            <v>1</v>
          </cell>
          <cell r="E376" t="str">
            <v>Libano</v>
          </cell>
          <cell r="H376" t="str">
            <v>salud_oral</v>
          </cell>
          <cell r="J376" t="str">
            <v>bueno</v>
          </cell>
          <cell r="K376" t="str">
            <v>probsi</v>
          </cell>
        </row>
        <row r="377">
          <cell r="B377" t="b">
            <v>1</v>
          </cell>
          <cell r="E377" t="str">
            <v>Libano</v>
          </cell>
          <cell r="H377" t="str">
            <v>laboratorio</v>
          </cell>
          <cell r="J377" t="str">
            <v>bueno</v>
          </cell>
          <cell r="K377" t="str">
            <v>probsi</v>
          </cell>
        </row>
        <row r="378">
          <cell r="B378" t="b">
            <v>1</v>
          </cell>
          <cell r="E378" t="str">
            <v>Libano</v>
          </cell>
          <cell r="H378" t="str">
            <v>salud_oral</v>
          </cell>
          <cell r="J378" t="str">
            <v>bueno</v>
          </cell>
          <cell r="K378" t="str">
            <v>defsi</v>
          </cell>
        </row>
        <row r="379">
          <cell r="B379" t="b">
            <v>1</v>
          </cell>
          <cell r="E379" t="str">
            <v>Libano</v>
          </cell>
          <cell r="H379" t="str">
            <v>consulta_externa</v>
          </cell>
          <cell r="J379" t="str">
            <v>muybueno</v>
          </cell>
          <cell r="K379" t="str">
            <v>defsi</v>
          </cell>
        </row>
        <row r="380">
          <cell r="B380" t="b">
            <v>1</v>
          </cell>
          <cell r="E380" t="str">
            <v>Libano</v>
          </cell>
          <cell r="H380" t="str">
            <v>laboratorio</v>
          </cell>
          <cell r="J380" t="str">
            <v>bueno</v>
          </cell>
          <cell r="K380" t="str">
            <v>probsi</v>
          </cell>
        </row>
        <row r="381">
          <cell r="B381" t="b">
            <v>1</v>
          </cell>
          <cell r="E381" t="str">
            <v>Libano</v>
          </cell>
          <cell r="H381" t="str">
            <v>consulta_externa</v>
          </cell>
          <cell r="J381" t="str">
            <v>muybueno</v>
          </cell>
          <cell r="K381" t="str">
            <v>defsi</v>
          </cell>
        </row>
        <row r="382">
          <cell r="B382" t="b">
            <v>1</v>
          </cell>
          <cell r="E382" t="str">
            <v>Libano</v>
          </cell>
          <cell r="H382" t="str">
            <v>salud_oral</v>
          </cell>
          <cell r="J382" t="str">
            <v>muybueno</v>
          </cell>
          <cell r="K382" t="str">
            <v>defsi</v>
          </cell>
        </row>
        <row r="383">
          <cell r="B383" t="b">
            <v>1</v>
          </cell>
          <cell r="E383" t="str">
            <v>Libano</v>
          </cell>
          <cell r="H383" t="str">
            <v>laboratorio</v>
          </cell>
          <cell r="J383" t="str">
            <v>muybueno</v>
          </cell>
          <cell r="K383" t="str">
            <v>defsi</v>
          </cell>
        </row>
        <row r="384">
          <cell r="B384" t="b">
            <v>1</v>
          </cell>
          <cell r="E384" t="str">
            <v>Nelson Mandela UPA</v>
          </cell>
          <cell r="H384" t="str">
            <v>consulta_externa</v>
          </cell>
          <cell r="J384" t="str">
            <v>bueno</v>
          </cell>
          <cell r="K384" t="str">
            <v>defsi</v>
          </cell>
        </row>
        <row r="385">
          <cell r="B385" t="b">
            <v>1</v>
          </cell>
          <cell r="E385" t="str">
            <v>Nelson Mandela UPA</v>
          </cell>
          <cell r="H385" t="str">
            <v>salud_oral</v>
          </cell>
          <cell r="J385" t="str">
            <v>bueno</v>
          </cell>
          <cell r="K385" t="str">
            <v>defsi</v>
          </cell>
        </row>
        <row r="386">
          <cell r="B386" t="b">
            <v>1</v>
          </cell>
          <cell r="E386" t="str">
            <v>Nelson Mandela UPA</v>
          </cell>
          <cell r="H386" t="str">
            <v>laboratorio</v>
          </cell>
          <cell r="J386" t="str">
            <v>bueno</v>
          </cell>
          <cell r="K386" t="str">
            <v>defsi</v>
          </cell>
        </row>
        <row r="387">
          <cell r="B387" t="b">
            <v>1</v>
          </cell>
          <cell r="E387" t="str">
            <v>Nelson Mandela UPA</v>
          </cell>
          <cell r="H387" t="str">
            <v>urgencia</v>
          </cell>
          <cell r="J387" t="str">
            <v>bueno</v>
          </cell>
          <cell r="K387" t="str">
            <v>defsi</v>
          </cell>
        </row>
        <row r="388">
          <cell r="B388" t="b">
            <v>1</v>
          </cell>
          <cell r="E388" t="str">
            <v>Nelson Mandela UPA</v>
          </cell>
          <cell r="H388" t="str">
            <v>consulta_externa</v>
          </cell>
          <cell r="J388" t="str">
            <v>bueno</v>
          </cell>
          <cell r="K388" t="str">
            <v>defsi</v>
          </cell>
        </row>
        <row r="389">
          <cell r="B389" t="b">
            <v>1</v>
          </cell>
          <cell r="E389" t="str">
            <v>Nelson Mandela UPA</v>
          </cell>
          <cell r="H389" t="str">
            <v>salud_oral</v>
          </cell>
          <cell r="J389" t="str">
            <v>bueno</v>
          </cell>
          <cell r="K389" t="str">
            <v>defsi</v>
          </cell>
        </row>
        <row r="390">
          <cell r="B390" t="b">
            <v>1</v>
          </cell>
          <cell r="E390" t="str">
            <v>Nelson Mandela UPA</v>
          </cell>
          <cell r="H390" t="str">
            <v>laboratorio</v>
          </cell>
          <cell r="J390" t="str">
            <v>bueno</v>
          </cell>
          <cell r="K390" t="str">
            <v>defsi</v>
          </cell>
        </row>
        <row r="391">
          <cell r="B391" t="b">
            <v>1</v>
          </cell>
          <cell r="E391" t="str">
            <v>Nelson Mandela UPA</v>
          </cell>
          <cell r="H391" t="str">
            <v>urgencia</v>
          </cell>
          <cell r="J391" t="str">
            <v>bueno</v>
          </cell>
          <cell r="K391" t="str">
            <v>defsi</v>
          </cell>
        </row>
        <row r="392">
          <cell r="B392" t="b">
            <v>1</v>
          </cell>
          <cell r="E392" t="str">
            <v>Nelson Mandela UPA</v>
          </cell>
          <cell r="H392" t="str">
            <v>consulta_externa</v>
          </cell>
          <cell r="J392" t="str">
            <v>bueno</v>
          </cell>
          <cell r="K392" t="str">
            <v>defsi</v>
          </cell>
        </row>
        <row r="393">
          <cell r="B393" t="b">
            <v>1</v>
          </cell>
          <cell r="E393" t="str">
            <v>Nelson Mandela UPA</v>
          </cell>
          <cell r="H393" t="str">
            <v>salud_oral</v>
          </cell>
          <cell r="J393" t="str">
            <v>bueno</v>
          </cell>
          <cell r="K393" t="str">
            <v>defsi</v>
          </cell>
        </row>
        <row r="394">
          <cell r="B394" t="b">
            <v>1</v>
          </cell>
          <cell r="E394" t="str">
            <v>Nelson Mandela UPA</v>
          </cell>
          <cell r="H394" t="str">
            <v>laboratorio</v>
          </cell>
          <cell r="J394" t="str">
            <v>bueno</v>
          </cell>
          <cell r="K394" t="str">
            <v>defsi</v>
          </cell>
        </row>
        <row r="395">
          <cell r="B395" t="b">
            <v>1</v>
          </cell>
          <cell r="E395" t="str">
            <v>Nelson Mandela UPA</v>
          </cell>
          <cell r="H395" t="str">
            <v>urgencia</v>
          </cell>
          <cell r="J395" t="str">
            <v>bueno</v>
          </cell>
          <cell r="K395" t="str">
            <v>defsi</v>
          </cell>
        </row>
        <row r="396">
          <cell r="B396" t="b">
            <v>1</v>
          </cell>
          <cell r="E396" t="str">
            <v>Nelson Mandela UPA</v>
          </cell>
          <cell r="H396" t="str">
            <v>consulta_externa</v>
          </cell>
          <cell r="J396" t="str">
            <v>bueno</v>
          </cell>
          <cell r="K396" t="str">
            <v>defsi</v>
          </cell>
        </row>
        <row r="397">
          <cell r="B397" t="b">
            <v>1</v>
          </cell>
          <cell r="E397" t="str">
            <v>Nelson Mandela UPA</v>
          </cell>
          <cell r="H397" t="str">
            <v>salud_oral</v>
          </cell>
          <cell r="J397" t="str">
            <v>bueno</v>
          </cell>
          <cell r="K397" t="str">
            <v>defsi</v>
          </cell>
        </row>
        <row r="398">
          <cell r="B398" t="b">
            <v>1</v>
          </cell>
          <cell r="E398" t="str">
            <v>Nelson Mandela UPA</v>
          </cell>
          <cell r="H398" t="str">
            <v>laboratorio</v>
          </cell>
          <cell r="J398" t="str">
            <v>bueno</v>
          </cell>
          <cell r="K398" t="str">
            <v>defsi</v>
          </cell>
        </row>
        <row r="399">
          <cell r="B399" t="b">
            <v>1</v>
          </cell>
          <cell r="E399" t="str">
            <v>Nuevo Porvenir</v>
          </cell>
          <cell r="H399" t="str">
            <v>consulta_externa</v>
          </cell>
          <cell r="J399" t="str">
            <v>bueno</v>
          </cell>
          <cell r="K399" t="str">
            <v>defsi</v>
          </cell>
        </row>
        <row r="400">
          <cell r="B400" t="b">
            <v>1</v>
          </cell>
          <cell r="E400" t="str">
            <v>Nuevo Porvenir</v>
          </cell>
          <cell r="H400" t="str">
            <v>salud_oral</v>
          </cell>
          <cell r="J400" t="str">
            <v>bueno</v>
          </cell>
          <cell r="K400" t="str">
            <v>defsi</v>
          </cell>
        </row>
        <row r="401">
          <cell r="B401" t="b">
            <v>1</v>
          </cell>
          <cell r="E401" t="str">
            <v>Nuevo Porvenir</v>
          </cell>
          <cell r="H401" t="str">
            <v>laboratorio</v>
          </cell>
          <cell r="J401" t="str">
            <v>bueno</v>
          </cell>
          <cell r="K401" t="str">
            <v>defsi</v>
          </cell>
        </row>
        <row r="402">
          <cell r="B402" t="b">
            <v>1</v>
          </cell>
          <cell r="E402" t="str">
            <v>Nuevo Porvenir</v>
          </cell>
          <cell r="H402" t="str">
            <v>consulta_externa</v>
          </cell>
          <cell r="J402" t="str">
            <v>bueno</v>
          </cell>
          <cell r="K402" t="str">
            <v>defsi</v>
          </cell>
        </row>
        <row r="403">
          <cell r="B403" t="b">
            <v>1</v>
          </cell>
          <cell r="E403" t="str">
            <v>Nuevo Porvenir</v>
          </cell>
          <cell r="H403" t="str">
            <v>salud_oral</v>
          </cell>
          <cell r="J403" t="str">
            <v>bueno</v>
          </cell>
          <cell r="K403" t="str">
            <v>defsi</v>
          </cell>
        </row>
        <row r="404">
          <cell r="B404" t="b">
            <v>1</v>
          </cell>
          <cell r="E404" t="str">
            <v>Nuevo Porvenir</v>
          </cell>
          <cell r="H404" t="str">
            <v>laboratorio</v>
          </cell>
          <cell r="J404" t="str">
            <v>bueno</v>
          </cell>
          <cell r="K404" t="str">
            <v>defsi</v>
          </cell>
        </row>
        <row r="405">
          <cell r="B405" t="b">
            <v>1</v>
          </cell>
          <cell r="E405" t="str">
            <v>Nuevo Porvenir</v>
          </cell>
          <cell r="H405" t="str">
            <v>consulta_externa</v>
          </cell>
          <cell r="J405" t="str">
            <v>bueno</v>
          </cell>
          <cell r="K405" t="str">
            <v>defsi</v>
          </cell>
        </row>
        <row r="406">
          <cell r="B406" t="b">
            <v>1</v>
          </cell>
          <cell r="E406" t="str">
            <v>Nuevo Porvenir</v>
          </cell>
          <cell r="H406" t="str">
            <v>salud_oral</v>
          </cell>
          <cell r="J406" t="str">
            <v>bueno</v>
          </cell>
          <cell r="K406" t="str">
            <v>defsi</v>
          </cell>
        </row>
        <row r="407">
          <cell r="B407" t="b">
            <v>1</v>
          </cell>
          <cell r="E407" t="str">
            <v>Nuevo Porvenir</v>
          </cell>
          <cell r="H407" t="str">
            <v>laboratorio</v>
          </cell>
          <cell r="J407" t="str">
            <v>bueno</v>
          </cell>
          <cell r="K407" t="str">
            <v>defsi</v>
          </cell>
        </row>
        <row r="408">
          <cell r="B408" t="b">
            <v>1</v>
          </cell>
          <cell r="E408" t="str">
            <v>Nuevo Porvenir</v>
          </cell>
          <cell r="H408" t="str">
            <v>consulta_externa</v>
          </cell>
          <cell r="J408" t="str">
            <v>bueno</v>
          </cell>
          <cell r="K408" t="str">
            <v>defsi</v>
          </cell>
        </row>
        <row r="409">
          <cell r="B409" t="b">
            <v>1</v>
          </cell>
          <cell r="E409" t="str">
            <v>Nuevo Porvenir</v>
          </cell>
          <cell r="H409" t="str">
            <v>salud_oral</v>
          </cell>
          <cell r="J409" t="str">
            <v>bueno</v>
          </cell>
          <cell r="K409" t="str">
            <v>defsi</v>
          </cell>
        </row>
        <row r="410">
          <cell r="B410" t="b">
            <v>1</v>
          </cell>
          <cell r="E410" t="str">
            <v>Nuevo Porvenir</v>
          </cell>
          <cell r="H410" t="str">
            <v>laboratorio</v>
          </cell>
          <cell r="J410" t="str">
            <v>bueno</v>
          </cell>
          <cell r="K410" t="str">
            <v>defsi</v>
          </cell>
        </row>
        <row r="411">
          <cell r="B411" t="b">
            <v>1</v>
          </cell>
          <cell r="E411" t="str">
            <v>Nuevo Porvenir</v>
          </cell>
          <cell r="H411" t="str">
            <v>consulta_externa</v>
          </cell>
          <cell r="J411" t="str">
            <v>bueno</v>
          </cell>
          <cell r="K411" t="str">
            <v>defsi</v>
          </cell>
        </row>
        <row r="412">
          <cell r="B412" t="b">
            <v>1</v>
          </cell>
          <cell r="E412" t="str">
            <v>Nuevo Porvenir</v>
          </cell>
          <cell r="H412" t="str">
            <v>salud_oral</v>
          </cell>
          <cell r="J412" t="str">
            <v>bueno</v>
          </cell>
          <cell r="K412" t="str">
            <v>defsi</v>
          </cell>
        </row>
        <row r="413">
          <cell r="B413" t="b">
            <v>1</v>
          </cell>
          <cell r="E413" t="str">
            <v>Nuevo Porvenir</v>
          </cell>
          <cell r="H413" t="str">
            <v>laboratorio</v>
          </cell>
          <cell r="J413" t="str">
            <v>bueno</v>
          </cell>
          <cell r="K413" t="str">
            <v>defsi</v>
          </cell>
        </row>
        <row r="414">
          <cell r="B414" t="b">
            <v>1</v>
          </cell>
          <cell r="E414" t="str">
            <v>Los Cerros</v>
          </cell>
          <cell r="H414" t="str">
            <v>consulta_externa</v>
          </cell>
          <cell r="J414" t="str">
            <v>bueno</v>
          </cell>
          <cell r="K414" t="str">
            <v>probsi</v>
          </cell>
        </row>
        <row r="415">
          <cell r="B415" t="b">
            <v>1</v>
          </cell>
          <cell r="E415" t="str">
            <v>Nuevo Porvenir</v>
          </cell>
          <cell r="H415" t="str">
            <v>consulta_externa</v>
          </cell>
          <cell r="J415" t="str">
            <v>bueno</v>
          </cell>
          <cell r="K415" t="str">
            <v>defsi</v>
          </cell>
        </row>
        <row r="416">
          <cell r="B416" t="b">
            <v>1</v>
          </cell>
          <cell r="E416" t="str">
            <v>Los Cerros</v>
          </cell>
          <cell r="H416" t="str">
            <v>consulta_externa</v>
          </cell>
          <cell r="J416" t="str">
            <v>bueno</v>
          </cell>
          <cell r="K416" t="str">
            <v>probsi</v>
          </cell>
        </row>
        <row r="417">
          <cell r="B417" t="b">
            <v>1</v>
          </cell>
          <cell r="E417" t="str">
            <v>Nuevo Porvenir</v>
          </cell>
          <cell r="H417" t="str">
            <v>salud_oral</v>
          </cell>
          <cell r="J417" t="str">
            <v>bueno</v>
          </cell>
          <cell r="K417" t="str">
            <v>defsi</v>
          </cell>
        </row>
        <row r="418">
          <cell r="B418" t="b">
            <v>1</v>
          </cell>
          <cell r="E418" t="str">
            <v>Los Cerros</v>
          </cell>
          <cell r="H418" t="str">
            <v>ecografias</v>
          </cell>
          <cell r="J418" t="str">
            <v>bueno</v>
          </cell>
          <cell r="K418" t="str">
            <v>probsi</v>
          </cell>
        </row>
        <row r="419">
          <cell r="B419" t="b">
            <v>1</v>
          </cell>
          <cell r="E419" t="str">
            <v>Nuevo Porvenir</v>
          </cell>
          <cell r="H419" t="str">
            <v>laboratorio</v>
          </cell>
          <cell r="J419" t="str">
            <v>bueno</v>
          </cell>
          <cell r="K419" t="str">
            <v>defsi</v>
          </cell>
        </row>
        <row r="420">
          <cell r="B420" t="b">
            <v>1</v>
          </cell>
          <cell r="E420" t="str">
            <v>Los Cerros</v>
          </cell>
          <cell r="H420" t="str">
            <v>medicina_interna</v>
          </cell>
          <cell r="J420" t="str">
            <v>bueno</v>
          </cell>
          <cell r="K420" t="str">
            <v>probsi</v>
          </cell>
        </row>
        <row r="421">
          <cell r="B421" t="b">
            <v>1</v>
          </cell>
          <cell r="E421" t="str">
            <v>Los Cerros</v>
          </cell>
          <cell r="H421" t="str">
            <v>ecografias</v>
          </cell>
          <cell r="J421" t="str">
            <v>bueno</v>
          </cell>
          <cell r="K421" t="str">
            <v>probsi</v>
          </cell>
        </row>
        <row r="422">
          <cell r="B422" t="b">
            <v>1</v>
          </cell>
          <cell r="E422" t="str">
            <v>Los Cerros</v>
          </cell>
          <cell r="H422" t="str">
            <v>consulta_externa</v>
          </cell>
          <cell r="J422" t="str">
            <v>bueno</v>
          </cell>
          <cell r="K422" t="str">
            <v>probsi</v>
          </cell>
        </row>
        <row r="423">
          <cell r="B423" t="b">
            <v>1</v>
          </cell>
          <cell r="E423" t="str">
            <v>Los Cerros</v>
          </cell>
          <cell r="H423" t="str">
            <v>salud_oral</v>
          </cell>
          <cell r="J423" t="str">
            <v>bueno</v>
          </cell>
          <cell r="K423" t="str">
            <v>probsi</v>
          </cell>
        </row>
        <row r="424">
          <cell r="B424" t="b">
            <v>1</v>
          </cell>
          <cell r="E424" t="str">
            <v>Los Cerros</v>
          </cell>
          <cell r="H424" t="str">
            <v>salud_oral</v>
          </cell>
          <cell r="J424" t="str">
            <v>bueno</v>
          </cell>
          <cell r="K424" t="str">
            <v>probsi</v>
          </cell>
        </row>
        <row r="425">
          <cell r="B425" t="b">
            <v>1</v>
          </cell>
          <cell r="E425" t="str">
            <v>Nuevo Porvenir</v>
          </cell>
          <cell r="H425" t="str">
            <v>consulta_externa</v>
          </cell>
          <cell r="J425" t="str">
            <v>bueno</v>
          </cell>
          <cell r="K425" t="str">
            <v>defsi</v>
          </cell>
        </row>
        <row r="426">
          <cell r="B426" t="b">
            <v>1</v>
          </cell>
          <cell r="E426" t="str">
            <v>Nuevo Porvenir</v>
          </cell>
          <cell r="H426" t="str">
            <v>salud_oral</v>
          </cell>
          <cell r="J426" t="str">
            <v>bueno</v>
          </cell>
          <cell r="K426" t="str">
            <v>defsi</v>
          </cell>
        </row>
        <row r="427">
          <cell r="B427" t="b">
            <v>1</v>
          </cell>
          <cell r="E427" t="str">
            <v>Los Cerros</v>
          </cell>
          <cell r="H427" t="str">
            <v>ecografias</v>
          </cell>
          <cell r="J427" t="str">
            <v>bueno</v>
          </cell>
          <cell r="K427" t="str">
            <v>probsi</v>
          </cell>
        </row>
        <row r="428">
          <cell r="B428" t="b">
            <v>1</v>
          </cell>
          <cell r="E428" t="str">
            <v>Los Cerros</v>
          </cell>
          <cell r="H428" t="str">
            <v>consulta_externa</v>
          </cell>
          <cell r="J428" t="str">
            <v>bueno</v>
          </cell>
          <cell r="K428" t="str">
            <v>probsi</v>
          </cell>
        </row>
        <row r="429">
          <cell r="B429" t="b">
            <v>1</v>
          </cell>
          <cell r="E429" t="str">
            <v>Los Cerros</v>
          </cell>
          <cell r="H429" t="str">
            <v>salud_oral</v>
          </cell>
          <cell r="J429" t="str">
            <v>bueno</v>
          </cell>
          <cell r="K429" t="str">
            <v>probsi</v>
          </cell>
        </row>
        <row r="430">
          <cell r="B430" t="b">
            <v>1</v>
          </cell>
          <cell r="E430" t="str">
            <v>Los Cerros</v>
          </cell>
          <cell r="H430" t="str">
            <v>laboratorio</v>
          </cell>
          <cell r="J430" t="str">
            <v>bueno</v>
          </cell>
          <cell r="K430" t="str">
            <v>probsi</v>
          </cell>
        </row>
        <row r="431">
          <cell r="B431" t="b">
            <v>1</v>
          </cell>
          <cell r="E431" t="str">
            <v>Nuevo Porvenir</v>
          </cell>
          <cell r="H431" t="str">
            <v>laboratorio</v>
          </cell>
          <cell r="J431" t="str">
            <v>bueno</v>
          </cell>
          <cell r="K431" t="str">
            <v>defsi</v>
          </cell>
        </row>
        <row r="432">
          <cell r="B432" t="b">
            <v>1</v>
          </cell>
          <cell r="E432" t="str">
            <v>Los Cerros</v>
          </cell>
          <cell r="H432" t="str">
            <v>consulta_externa</v>
          </cell>
          <cell r="J432" t="str">
            <v>bueno</v>
          </cell>
          <cell r="K432" t="str">
            <v>probsi</v>
          </cell>
        </row>
        <row r="433">
          <cell r="B433" t="b">
            <v>1</v>
          </cell>
          <cell r="E433" t="str">
            <v>Nuevo Porvenir</v>
          </cell>
          <cell r="H433" t="str">
            <v>consulta_externa</v>
          </cell>
          <cell r="J433" t="str">
            <v>bueno</v>
          </cell>
          <cell r="K433" t="str">
            <v>defsi</v>
          </cell>
        </row>
        <row r="434">
          <cell r="B434" t="b">
            <v>1</v>
          </cell>
          <cell r="E434" t="str">
            <v>Nuevo Porvenir</v>
          </cell>
          <cell r="H434" t="str">
            <v>salud_oral</v>
          </cell>
          <cell r="J434" t="str">
            <v>bueno</v>
          </cell>
          <cell r="K434" t="str">
            <v>defsi</v>
          </cell>
        </row>
        <row r="435">
          <cell r="B435" t="b">
            <v>1</v>
          </cell>
          <cell r="E435" t="str">
            <v>Nuevo Porvenir</v>
          </cell>
          <cell r="H435" t="str">
            <v>laboratorio</v>
          </cell>
          <cell r="J435" t="str">
            <v>bueno</v>
          </cell>
          <cell r="K435" t="str">
            <v>defsi</v>
          </cell>
        </row>
        <row r="436">
          <cell r="B436" t="b">
            <v>1</v>
          </cell>
          <cell r="E436" t="str">
            <v>Los Cerros</v>
          </cell>
          <cell r="H436" t="str">
            <v>consulta_externa</v>
          </cell>
          <cell r="J436" t="str">
            <v>bueno</v>
          </cell>
          <cell r="K436" t="str">
            <v>probsi</v>
          </cell>
        </row>
        <row r="437">
          <cell r="B437" t="b">
            <v>1</v>
          </cell>
          <cell r="E437" t="str">
            <v>Los Cerros</v>
          </cell>
          <cell r="H437" t="str">
            <v>salud_oral</v>
          </cell>
          <cell r="J437" t="str">
            <v>bueno</v>
          </cell>
          <cell r="K437" t="str">
            <v>probsi</v>
          </cell>
        </row>
        <row r="438">
          <cell r="B438" t="b">
            <v>1</v>
          </cell>
          <cell r="E438" t="str">
            <v>Los Cerros</v>
          </cell>
          <cell r="H438" t="str">
            <v>salud_oral</v>
          </cell>
          <cell r="J438" t="str">
            <v>bueno</v>
          </cell>
          <cell r="K438" t="str">
            <v>probsi</v>
          </cell>
        </row>
        <row r="439">
          <cell r="B439" t="b">
            <v>1</v>
          </cell>
          <cell r="E439" t="str">
            <v>Los Cerros</v>
          </cell>
          <cell r="H439" t="str">
            <v>electros</v>
          </cell>
          <cell r="J439" t="str">
            <v>bueno</v>
          </cell>
          <cell r="K439" t="str">
            <v>probsi</v>
          </cell>
        </row>
        <row r="440">
          <cell r="B440" t="b">
            <v>1</v>
          </cell>
          <cell r="E440" t="str">
            <v>Los Cerros</v>
          </cell>
          <cell r="H440" t="str">
            <v>consulta_externa</v>
          </cell>
          <cell r="J440" t="str">
            <v>bueno</v>
          </cell>
          <cell r="K440" t="str">
            <v>probsi</v>
          </cell>
        </row>
        <row r="441">
          <cell r="B441" t="b">
            <v>1</v>
          </cell>
          <cell r="E441" t="str">
            <v>Los Cerros</v>
          </cell>
          <cell r="H441" t="str">
            <v>salud_oral</v>
          </cell>
          <cell r="J441" t="str">
            <v>bueno</v>
          </cell>
          <cell r="K441" t="str">
            <v>probsi</v>
          </cell>
        </row>
        <row r="442">
          <cell r="B442" t="b">
            <v>1</v>
          </cell>
          <cell r="E442" t="str">
            <v>Los Cerros</v>
          </cell>
          <cell r="H442" t="str">
            <v>salud_oral</v>
          </cell>
          <cell r="J442" t="str">
            <v>bueno</v>
          </cell>
          <cell r="K442" t="str">
            <v>probsi</v>
          </cell>
        </row>
        <row r="443">
          <cell r="B443" t="b">
            <v>1</v>
          </cell>
          <cell r="E443" t="str">
            <v>Los Cerros</v>
          </cell>
          <cell r="H443" t="str">
            <v>laboratorio</v>
          </cell>
          <cell r="J443" t="str">
            <v>bueno</v>
          </cell>
          <cell r="K443" t="str">
            <v>probsi</v>
          </cell>
        </row>
        <row r="444">
          <cell r="B444" t="b">
            <v>1</v>
          </cell>
          <cell r="E444" t="str">
            <v>Los Cerros</v>
          </cell>
          <cell r="H444" t="str">
            <v>consulta_externa</v>
          </cell>
          <cell r="J444" t="str">
            <v>bueno</v>
          </cell>
          <cell r="K444" t="str">
            <v>probsi</v>
          </cell>
        </row>
        <row r="445">
          <cell r="B445" t="b">
            <v>1</v>
          </cell>
          <cell r="E445" t="str">
            <v>Los Cerros</v>
          </cell>
          <cell r="H445" t="str">
            <v>salud_oral</v>
          </cell>
          <cell r="J445" t="str">
            <v>bueno</v>
          </cell>
          <cell r="K445" t="str">
            <v>probsi</v>
          </cell>
        </row>
        <row r="446">
          <cell r="B446" t="b">
            <v>0</v>
          </cell>
          <cell r="E446" t="str">
            <v>Los Cerros</v>
          </cell>
          <cell r="H446" t="str">
            <v>laboratorio</v>
          </cell>
          <cell r="J446" t="str">
            <v>regular</v>
          </cell>
          <cell r="K446" t="str">
            <v>probsi</v>
          </cell>
        </row>
        <row r="447">
          <cell r="B447" t="b">
            <v>1</v>
          </cell>
          <cell r="E447" t="str">
            <v>Los Cerros</v>
          </cell>
          <cell r="H447" t="str">
            <v>pediatria</v>
          </cell>
          <cell r="J447" t="str">
            <v>bueno</v>
          </cell>
          <cell r="K447" t="str">
            <v>probsi</v>
          </cell>
        </row>
        <row r="448">
          <cell r="B448" t="b">
            <v>1</v>
          </cell>
          <cell r="E448" t="str">
            <v>Los Cerros</v>
          </cell>
          <cell r="H448" t="str">
            <v>pediatria</v>
          </cell>
          <cell r="J448" t="str">
            <v>bueno</v>
          </cell>
          <cell r="K448" t="str">
            <v>probsi</v>
          </cell>
        </row>
        <row r="449">
          <cell r="B449" t="b">
            <v>1</v>
          </cell>
          <cell r="E449" t="str">
            <v>Los Cerros</v>
          </cell>
          <cell r="H449" t="str">
            <v>pediatria</v>
          </cell>
          <cell r="J449" t="str">
            <v>bueno</v>
          </cell>
          <cell r="K449" t="str">
            <v>probsi</v>
          </cell>
        </row>
        <row r="450">
          <cell r="B450" t="b">
            <v>1</v>
          </cell>
          <cell r="E450" t="str">
            <v>Los Cerros</v>
          </cell>
          <cell r="H450" t="str">
            <v>salud_oral</v>
          </cell>
          <cell r="J450" t="str">
            <v>bueno</v>
          </cell>
          <cell r="K450" t="str">
            <v>probsi</v>
          </cell>
        </row>
        <row r="451">
          <cell r="B451" t="b">
            <v>1</v>
          </cell>
          <cell r="E451" t="str">
            <v>Nuevo Porvenir</v>
          </cell>
          <cell r="H451" t="str">
            <v>consulta_externa</v>
          </cell>
          <cell r="J451" t="str">
            <v>bueno</v>
          </cell>
          <cell r="K451" t="str">
            <v>defsi</v>
          </cell>
        </row>
        <row r="452">
          <cell r="B452" t="b">
            <v>1</v>
          </cell>
          <cell r="E452" t="str">
            <v>Los Cerros</v>
          </cell>
          <cell r="H452" t="str">
            <v>consulta_externa</v>
          </cell>
          <cell r="J452" t="str">
            <v>bueno</v>
          </cell>
          <cell r="K452" t="str">
            <v>probsi</v>
          </cell>
        </row>
        <row r="453">
          <cell r="B453" t="b">
            <v>1</v>
          </cell>
          <cell r="E453" t="str">
            <v>Los Cerros</v>
          </cell>
          <cell r="H453" t="str">
            <v>salud_oral</v>
          </cell>
          <cell r="J453" t="str">
            <v>bueno</v>
          </cell>
          <cell r="K453" t="str">
            <v>probsi</v>
          </cell>
        </row>
        <row r="454">
          <cell r="B454" t="b">
            <v>1</v>
          </cell>
          <cell r="E454" t="str">
            <v>Los Cerros</v>
          </cell>
          <cell r="H454" t="str">
            <v>electros</v>
          </cell>
          <cell r="J454" t="str">
            <v>bueno</v>
          </cell>
          <cell r="K454" t="str">
            <v>probsi</v>
          </cell>
        </row>
        <row r="455">
          <cell r="B455" t="b">
            <v>1</v>
          </cell>
          <cell r="E455" t="str">
            <v>Nuevo Porvenir</v>
          </cell>
          <cell r="H455" t="str">
            <v>salud_oral</v>
          </cell>
          <cell r="J455" t="str">
            <v>bueno</v>
          </cell>
          <cell r="K455" t="str">
            <v>defsi</v>
          </cell>
        </row>
        <row r="456">
          <cell r="B456" t="b">
            <v>1</v>
          </cell>
          <cell r="E456" t="str">
            <v>Nuevo Porvenir</v>
          </cell>
          <cell r="H456" t="str">
            <v>laboratorio</v>
          </cell>
          <cell r="J456" t="str">
            <v>bueno</v>
          </cell>
          <cell r="K456" t="str">
            <v>defsi</v>
          </cell>
        </row>
        <row r="457">
          <cell r="B457" t="b">
            <v>1</v>
          </cell>
          <cell r="E457" t="str">
            <v>San Francisco I</v>
          </cell>
          <cell r="H457" t="str">
            <v>consulta_externa</v>
          </cell>
          <cell r="J457" t="str">
            <v>bueno</v>
          </cell>
          <cell r="K457" t="str">
            <v>defsi</v>
          </cell>
        </row>
        <row r="458">
          <cell r="B458" t="b">
            <v>1</v>
          </cell>
          <cell r="E458" t="str">
            <v>Los Cerros</v>
          </cell>
          <cell r="H458" t="str">
            <v>pediatria</v>
          </cell>
          <cell r="J458" t="str">
            <v>bueno</v>
          </cell>
          <cell r="K458" t="str">
            <v>probsi</v>
          </cell>
        </row>
        <row r="459">
          <cell r="B459" t="b">
            <v>0</v>
          </cell>
          <cell r="E459" t="str">
            <v>Los Cerros</v>
          </cell>
          <cell r="H459" t="str">
            <v>laboratorio</v>
          </cell>
          <cell r="J459" t="str">
            <v>regular</v>
          </cell>
          <cell r="K459" t="str">
            <v>probsi</v>
          </cell>
        </row>
        <row r="460">
          <cell r="B460" t="b">
            <v>1</v>
          </cell>
          <cell r="E460" t="str">
            <v>Los Cerros</v>
          </cell>
          <cell r="H460" t="str">
            <v>laboratorio</v>
          </cell>
          <cell r="J460" t="str">
            <v>bueno</v>
          </cell>
          <cell r="K460" t="str">
            <v>probsi</v>
          </cell>
        </row>
        <row r="461">
          <cell r="B461" t="b">
            <v>1</v>
          </cell>
          <cell r="E461" t="str">
            <v>Los Cerros</v>
          </cell>
          <cell r="H461" t="str">
            <v>laboratorio</v>
          </cell>
          <cell r="J461" t="str">
            <v>bueno</v>
          </cell>
          <cell r="K461" t="str">
            <v>probsi</v>
          </cell>
        </row>
        <row r="462">
          <cell r="B462" t="b">
            <v>1</v>
          </cell>
          <cell r="E462" t="str">
            <v>Los Cerros</v>
          </cell>
          <cell r="H462" t="str">
            <v>laboratorio</v>
          </cell>
          <cell r="J462" t="str">
            <v>bueno</v>
          </cell>
          <cell r="K462" t="str">
            <v>probsi</v>
          </cell>
        </row>
        <row r="463">
          <cell r="B463" t="b">
            <v>0</v>
          </cell>
          <cell r="E463" t="str">
            <v>Los Cerros</v>
          </cell>
          <cell r="H463" t="str">
            <v>electros</v>
          </cell>
          <cell r="J463" t="str">
            <v>regular</v>
          </cell>
          <cell r="K463" t="str">
            <v>probsi</v>
          </cell>
        </row>
        <row r="464">
          <cell r="B464" t="b">
            <v>1</v>
          </cell>
          <cell r="E464" t="str">
            <v>Los Cerros</v>
          </cell>
          <cell r="H464" t="str">
            <v>consulta_externa</v>
          </cell>
          <cell r="J464" t="str">
            <v>muybueno</v>
          </cell>
          <cell r="K464" t="str">
            <v>probsi</v>
          </cell>
        </row>
        <row r="465">
          <cell r="B465" t="b">
            <v>1</v>
          </cell>
          <cell r="E465" t="str">
            <v>San Francisco I</v>
          </cell>
          <cell r="H465" t="str">
            <v>consulta_externa</v>
          </cell>
          <cell r="J465" t="str">
            <v>bueno</v>
          </cell>
          <cell r="K465" t="str">
            <v>defsi</v>
          </cell>
        </row>
        <row r="466">
          <cell r="B466" t="b">
            <v>1</v>
          </cell>
          <cell r="E466" t="str">
            <v>San Francisco I</v>
          </cell>
          <cell r="H466" t="str">
            <v>laboratorio</v>
          </cell>
          <cell r="J466" t="str">
            <v>bueno</v>
          </cell>
          <cell r="K466" t="str">
            <v>defsi</v>
          </cell>
        </row>
        <row r="467">
          <cell r="B467" t="b">
            <v>1</v>
          </cell>
          <cell r="E467" t="str">
            <v>San Francisco I</v>
          </cell>
          <cell r="H467" t="str">
            <v>laboratorio</v>
          </cell>
          <cell r="J467" t="str">
            <v>bueno</v>
          </cell>
          <cell r="K467" t="str">
            <v>defsi</v>
          </cell>
        </row>
        <row r="468">
          <cell r="B468" t="b">
            <v>1</v>
          </cell>
          <cell r="E468" t="str">
            <v>San Francisco I</v>
          </cell>
          <cell r="H468" t="str">
            <v>consulta_externa</v>
          </cell>
          <cell r="J468" t="str">
            <v>muybueno</v>
          </cell>
          <cell r="K468" t="str">
            <v>defsi</v>
          </cell>
        </row>
        <row r="469">
          <cell r="B469" t="b">
            <v>1</v>
          </cell>
          <cell r="E469" t="str">
            <v>San Francisco I</v>
          </cell>
          <cell r="H469" t="str">
            <v>laboratorio</v>
          </cell>
          <cell r="J469" t="str">
            <v>muybueno</v>
          </cell>
          <cell r="K469" t="str">
            <v>defsi</v>
          </cell>
        </row>
        <row r="470">
          <cell r="B470" t="b">
            <v>1</v>
          </cell>
          <cell r="E470" t="str">
            <v>San Francisco I</v>
          </cell>
          <cell r="H470" t="str">
            <v>consulta_externa</v>
          </cell>
          <cell r="J470" t="str">
            <v>bueno</v>
          </cell>
          <cell r="K470" t="str">
            <v>defsi</v>
          </cell>
        </row>
        <row r="471">
          <cell r="B471" t="b">
            <v>1</v>
          </cell>
          <cell r="E471" t="str">
            <v>San Francisco I</v>
          </cell>
          <cell r="H471" t="str">
            <v>laboratorio</v>
          </cell>
          <cell r="J471" t="str">
            <v>bueno</v>
          </cell>
          <cell r="K471" t="str">
            <v>defsi</v>
          </cell>
        </row>
        <row r="472">
          <cell r="B472" t="b">
            <v>0</v>
          </cell>
          <cell r="E472" t="str">
            <v>San Francisco I</v>
          </cell>
          <cell r="H472" t="str">
            <v>salud_oral</v>
          </cell>
          <cell r="J472" t="str">
            <v>regular</v>
          </cell>
          <cell r="K472" t="str">
            <v>probsi</v>
          </cell>
        </row>
        <row r="473">
          <cell r="B473" t="b">
            <v>1</v>
          </cell>
          <cell r="E473" t="str">
            <v>San Francisco I</v>
          </cell>
          <cell r="H473" t="str">
            <v>consulta_externa</v>
          </cell>
          <cell r="J473" t="str">
            <v>bueno</v>
          </cell>
          <cell r="K473" t="str">
            <v>defsi</v>
          </cell>
        </row>
        <row r="474">
          <cell r="B474" t="b">
            <v>1</v>
          </cell>
          <cell r="E474" t="str">
            <v>San Francisco I</v>
          </cell>
          <cell r="H474" t="str">
            <v>consulta_externa</v>
          </cell>
          <cell r="J474" t="str">
            <v>bueno</v>
          </cell>
          <cell r="K474" t="str">
            <v>defsi</v>
          </cell>
        </row>
        <row r="475">
          <cell r="B475" t="b">
            <v>1</v>
          </cell>
          <cell r="E475" t="str">
            <v>San Francisco I</v>
          </cell>
          <cell r="H475" t="str">
            <v>salud_oral</v>
          </cell>
          <cell r="J475" t="str">
            <v>bueno</v>
          </cell>
          <cell r="K475" t="str">
            <v>defsi</v>
          </cell>
        </row>
        <row r="476">
          <cell r="B476" t="b">
            <v>1</v>
          </cell>
          <cell r="E476" t="str">
            <v>Los Cerros</v>
          </cell>
          <cell r="H476" t="str">
            <v>laboratorio</v>
          </cell>
          <cell r="J476" t="str">
            <v>bueno</v>
          </cell>
          <cell r="K476" t="str">
            <v>probsi</v>
          </cell>
        </row>
        <row r="477">
          <cell r="B477" t="b">
            <v>1</v>
          </cell>
          <cell r="E477" t="str">
            <v>Los Cerros</v>
          </cell>
          <cell r="H477" t="str">
            <v>laboratorio</v>
          </cell>
          <cell r="J477" t="str">
            <v>bueno</v>
          </cell>
          <cell r="K477" t="str">
            <v>probsi</v>
          </cell>
        </row>
        <row r="478">
          <cell r="B478" t="b">
            <v>1</v>
          </cell>
          <cell r="E478" t="str">
            <v>San Francisco I</v>
          </cell>
          <cell r="H478" t="str">
            <v>consulta_externa</v>
          </cell>
          <cell r="J478" t="str">
            <v>bueno</v>
          </cell>
          <cell r="K478" t="str">
            <v>defsi</v>
          </cell>
        </row>
        <row r="479">
          <cell r="B479" t="b">
            <v>1</v>
          </cell>
          <cell r="E479" t="str">
            <v>San Francisco I</v>
          </cell>
          <cell r="H479" t="str">
            <v>consulta_externa</v>
          </cell>
          <cell r="J479" t="str">
            <v>bueno</v>
          </cell>
          <cell r="K479" t="str">
            <v>defsi</v>
          </cell>
        </row>
        <row r="480">
          <cell r="B480" t="b">
            <v>1</v>
          </cell>
          <cell r="E480" t="str">
            <v>San Francisco I</v>
          </cell>
          <cell r="H480" t="str">
            <v>laboratorio</v>
          </cell>
          <cell r="J480" t="str">
            <v>bueno</v>
          </cell>
          <cell r="K480" t="str">
            <v>defsi</v>
          </cell>
        </row>
        <row r="481">
          <cell r="B481" t="b">
            <v>1</v>
          </cell>
          <cell r="E481" t="str">
            <v>San Francisco I</v>
          </cell>
          <cell r="H481" t="str">
            <v>consulta_externa</v>
          </cell>
          <cell r="J481" t="str">
            <v>bueno</v>
          </cell>
          <cell r="K481" t="str">
            <v>defsi</v>
          </cell>
        </row>
        <row r="482">
          <cell r="B482" t="b">
            <v>1</v>
          </cell>
          <cell r="E482" t="str">
            <v>San Francisco I</v>
          </cell>
          <cell r="H482" t="str">
            <v>salud_oral</v>
          </cell>
          <cell r="J482" t="str">
            <v>bueno</v>
          </cell>
          <cell r="K482" t="str">
            <v>defsi</v>
          </cell>
        </row>
        <row r="483">
          <cell r="B483" t="b">
            <v>1</v>
          </cell>
          <cell r="E483" t="str">
            <v>San Francisco I</v>
          </cell>
          <cell r="H483" t="str">
            <v>consulta_externa</v>
          </cell>
          <cell r="J483" t="str">
            <v>bueno</v>
          </cell>
          <cell r="K483" t="str">
            <v>defsi</v>
          </cell>
        </row>
        <row r="484">
          <cell r="B484" t="b">
            <v>1</v>
          </cell>
          <cell r="E484" t="str">
            <v>Los Cerros</v>
          </cell>
          <cell r="H484" t="str">
            <v>consulta_externa</v>
          </cell>
          <cell r="J484" t="str">
            <v>bueno</v>
          </cell>
          <cell r="K484" t="str">
            <v>probsi</v>
          </cell>
        </row>
        <row r="485">
          <cell r="B485" t="b">
            <v>1</v>
          </cell>
          <cell r="E485" t="str">
            <v>Los Cerros</v>
          </cell>
          <cell r="H485" t="str">
            <v>laboratorio</v>
          </cell>
          <cell r="J485" t="str">
            <v>bueno</v>
          </cell>
          <cell r="K485" t="str">
            <v>probsi</v>
          </cell>
        </row>
        <row r="486">
          <cell r="B486" t="b">
            <v>1</v>
          </cell>
          <cell r="E486" t="str">
            <v>Los Cerros</v>
          </cell>
          <cell r="H486" t="str">
            <v>laboratorio</v>
          </cell>
          <cell r="J486" t="str">
            <v>bueno</v>
          </cell>
          <cell r="K486" t="str">
            <v>probsi</v>
          </cell>
        </row>
        <row r="487">
          <cell r="B487" t="b">
            <v>1</v>
          </cell>
          <cell r="E487" t="str">
            <v>San Francisco I</v>
          </cell>
          <cell r="H487" t="str">
            <v>salud_oral</v>
          </cell>
          <cell r="J487" t="str">
            <v>muybueno</v>
          </cell>
          <cell r="K487" t="str">
            <v>defsi</v>
          </cell>
        </row>
        <row r="488">
          <cell r="B488" t="b">
            <v>1</v>
          </cell>
          <cell r="E488" t="str">
            <v>Los Cerros</v>
          </cell>
          <cell r="H488" t="str">
            <v>consulta_externa</v>
          </cell>
          <cell r="J488" t="str">
            <v>bueno</v>
          </cell>
          <cell r="K488" t="str">
            <v>probsi</v>
          </cell>
        </row>
        <row r="489">
          <cell r="B489" t="b">
            <v>1</v>
          </cell>
          <cell r="E489" t="str">
            <v>Los Cerros</v>
          </cell>
          <cell r="H489" t="str">
            <v>salud_oral</v>
          </cell>
          <cell r="J489" t="str">
            <v>muybueno</v>
          </cell>
          <cell r="K489" t="str">
            <v>probsi</v>
          </cell>
        </row>
        <row r="490">
          <cell r="B490" t="b">
            <v>1</v>
          </cell>
          <cell r="E490" t="str">
            <v>San Francisco I</v>
          </cell>
          <cell r="H490" t="str">
            <v>salud_oral</v>
          </cell>
          <cell r="J490" t="str">
            <v>muybueno</v>
          </cell>
          <cell r="K490" t="str">
            <v>defsi</v>
          </cell>
        </row>
        <row r="491">
          <cell r="B491" t="b">
            <v>1</v>
          </cell>
          <cell r="E491" t="str">
            <v>San Francisco I</v>
          </cell>
          <cell r="H491" t="str">
            <v>laboratorio</v>
          </cell>
          <cell r="J491" t="str">
            <v>bueno</v>
          </cell>
          <cell r="K491" t="str">
            <v>defsi</v>
          </cell>
        </row>
        <row r="492">
          <cell r="B492" t="b">
            <v>1</v>
          </cell>
          <cell r="E492" t="str">
            <v>San Francisco I</v>
          </cell>
          <cell r="H492" t="str">
            <v>salud_oral</v>
          </cell>
          <cell r="J492" t="str">
            <v>bueno</v>
          </cell>
          <cell r="K492" t="str">
            <v>defsi</v>
          </cell>
        </row>
        <row r="493">
          <cell r="B493" t="b">
            <v>1</v>
          </cell>
          <cell r="E493" t="str">
            <v>San Francisco I</v>
          </cell>
          <cell r="H493" t="str">
            <v>consulta_externa</v>
          </cell>
          <cell r="J493" t="str">
            <v>bueno</v>
          </cell>
          <cell r="K493" t="str">
            <v>defsi</v>
          </cell>
        </row>
        <row r="494">
          <cell r="B494" t="b">
            <v>1</v>
          </cell>
          <cell r="E494" t="str">
            <v>San Francisco I</v>
          </cell>
          <cell r="H494" t="str">
            <v>laboratorio</v>
          </cell>
          <cell r="J494" t="str">
            <v>bueno</v>
          </cell>
          <cell r="K494" t="str">
            <v>defsi</v>
          </cell>
        </row>
        <row r="495">
          <cell r="B495" t="b">
            <v>1</v>
          </cell>
          <cell r="E495" t="str">
            <v>San Francisco I</v>
          </cell>
          <cell r="H495" t="str">
            <v>consulta_externa</v>
          </cell>
          <cell r="J495" t="str">
            <v>bueno</v>
          </cell>
          <cell r="K495" t="str">
            <v>defsi</v>
          </cell>
        </row>
        <row r="496">
          <cell r="B496" t="b">
            <v>1</v>
          </cell>
          <cell r="E496" t="str">
            <v>San Francisco I</v>
          </cell>
          <cell r="H496" t="str">
            <v>salud_oral</v>
          </cell>
          <cell r="J496" t="str">
            <v>bueno</v>
          </cell>
          <cell r="K496" t="str">
            <v>defsi</v>
          </cell>
        </row>
        <row r="497">
          <cell r="B497" t="b">
            <v>1</v>
          </cell>
          <cell r="E497" t="str">
            <v>San Francisco I</v>
          </cell>
          <cell r="H497" t="str">
            <v>salud_oral</v>
          </cell>
          <cell r="J497" t="str">
            <v>bueno</v>
          </cell>
          <cell r="K497" t="str">
            <v>defsi</v>
          </cell>
        </row>
        <row r="498">
          <cell r="B498" t="b">
            <v>1</v>
          </cell>
          <cell r="E498" t="str">
            <v>San Francisco I</v>
          </cell>
          <cell r="H498" t="str">
            <v>consulta_externa</v>
          </cell>
          <cell r="J498" t="str">
            <v>bueno</v>
          </cell>
          <cell r="K498" t="str">
            <v>defsi</v>
          </cell>
        </row>
        <row r="499">
          <cell r="B499" t="b">
            <v>1</v>
          </cell>
          <cell r="E499" t="str">
            <v>San Francisco I</v>
          </cell>
          <cell r="H499" t="str">
            <v>laboratorio</v>
          </cell>
          <cell r="J499" t="str">
            <v>bueno</v>
          </cell>
          <cell r="K499" t="str">
            <v>defsi</v>
          </cell>
        </row>
        <row r="500">
          <cell r="B500" t="b">
            <v>1</v>
          </cell>
          <cell r="E500" t="str">
            <v>San Francisco I</v>
          </cell>
          <cell r="H500" t="str">
            <v>laboratorio</v>
          </cell>
          <cell r="J500" t="str">
            <v>bueno</v>
          </cell>
          <cell r="K500" t="str">
            <v>defsi</v>
          </cell>
        </row>
        <row r="501">
          <cell r="B501" t="b">
            <v>1</v>
          </cell>
          <cell r="E501" t="str">
            <v>San Francisco I</v>
          </cell>
          <cell r="H501" t="str">
            <v>laboratorio</v>
          </cell>
          <cell r="J501" t="str">
            <v>bueno</v>
          </cell>
          <cell r="K501" t="str">
            <v>defsi</v>
          </cell>
        </row>
        <row r="502">
          <cell r="B502" t="b">
            <v>1</v>
          </cell>
          <cell r="E502" t="str">
            <v>San Francisco I</v>
          </cell>
          <cell r="H502" t="str">
            <v>consulta_externa</v>
          </cell>
          <cell r="J502" t="str">
            <v>bueno</v>
          </cell>
          <cell r="K502" t="str">
            <v>defsi</v>
          </cell>
        </row>
        <row r="503">
          <cell r="B503" t="b">
            <v>1</v>
          </cell>
          <cell r="E503" t="str">
            <v>Nuevo Porvenir</v>
          </cell>
          <cell r="H503" t="str">
            <v>consulta_externa</v>
          </cell>
          <cell r="J503" t="str">
            <v>bueno</v>
          </cell>
          <cell r="K503" t="str">
            <v>defsi</v>
          </cell>
        </row>
        <row r="504">
          <cell r="B504" t="b">
            <v>1</v>
          </cell>
          <cell r="E504" t="str">
            <v>Nuevo Porvenir</v>
          </cell>
          <cell r="H504" t="str">
            <v>salud_oral</v>
          </cell>
          <cell r="J504" t="str">
            <v>bueno</v>
          </cell>
          <cell r="K504" t="str">
            <v>defsi</v>
          </cell>
        </row>
        <row r="505">
          <cell r="B505" t="b">
            <v>1</v>
          </cell>
          <cell r="E505" t="str">
            <v>Nuevo Porvenir</v>
          </cell>
          <cell r="H505" t="str">
            <v>laboratorio</v>
          </cell>
          <cell r="J505" t="str">
            <v>bueno</v>
          </cell>
          <cell r="K505" t="str">
            <v>defsi</v>
          </cell>
        </row>
        <row r="506">
          <cell r="B506" t="b">
            <v>1</v>
          </cell>
          <cell r="E506" t="str">
            <v>Nuevo Porvenir</v>
          </cell>
          <cell r="H506" t="str">
            <v>consulta_externa</v>
          </cell>
          <cell r="J506" t="str">
            <v>bueno</v>
          </cell>
          <cell r="K506" t="str">
            <v>defsi</v>
          </cell>
        </row>
        <row r="507">
          <cell r="B507" t="b">
            <v>1</v>
          </cell>
          <cell r="E507" t="str">
            <v>Nuevo Porvenir</v>
          </cell>
          <cell r="H507" t="str">
            <v>salud_oral</v>
          </cell>
          <cell r="J507" t="str">
            <v>bueno</v>
          </cell>
          <cell r="K507" t="str">
            <v>defsi</v>
          </cell>
        </row>
        <row r="508">
          <cell r="B508" t="b">
            <v>1</v>
          </cell>
          <cell r="E508" t="str">
            <v>Nuevo Porvenir</v>
          </cell>
          <cell r="H508" t="str">
            <v>laboratorio</v>
          </cell>
          <cell r="J508" t="str">
            <v>bueno</v>
          </cell>
          <cell r="K508" t="str">
            <v>defsi</v>
          </cell>
        </row>
        <row r="509">
          <cell r="B509" t="b">
            <v>1</v>
          </cell>
          <cell r="E509" t="str">
            <v>Nuevo Porvenir</v>
          </cell>
          <cell r="H509" t="str">
            <v>consulta_externa</v>
          </cell>
          <cell r="J509" t="str">
            <v>bueno</v>
          </cell>
          <cell r="K509" t="str">
            <v>defsi</v>
          </cell>
        </row>
        <row r="510">
          <cell r="B510" t="b">
            <v>1</v>
          </cell>
          <cell r="E510" t="str">
            <v>Nuevo Porvenir</v>
          </cell>
          <cell r="H510" t="str">
            <v>salud_oral</v>
          </cell>
          <cell r="J510" t="str">
            <v>bueno</v>
          </cell>
          <cell r="K510" t="str">
            <v>defsi</v>
          </cell>
        </row>
        <row r="511">
          <cell r="B511" t="b">
            <v>1</v>
          </cell>
          <cell r="E511" t="str">
            <v>Fredonia</v>
          </cell>
          <cell r="H511" t="str">
            <v>consulta_externa</v>
          </cell>
          <cell r="J511" t="str">
            <v>bueno</v>
          </cell>
          <cell r="K511" t="str">
            <v>defsi</v>
          </cell>
        </row>
        <row r="512">
          <cell r="B512" t="b">
            <v>1</v>
          </cell>
          <cell r="E512" t="str">
            <v>Fredonia</v>
          </cell>
          <cell r="H512" t="str">
            <v>salud_oral</v>
          </cell>
          <cell r="J512" t="str">
            <v>bueno</v>
          </cell>
          <cell r="K512" t="str">
            <v>defsi</v>
          </cell>
        </row>
        <row r="513">
          <cell r="B513" t="b">
            <v>1</v>
          </cell>
          <cell r="E513" t="str">
            <v>San Francisco I</v>
          </cell>
          <cell r="H513" t="str">
            <v>laboratorio</v>
          </cell>
          <cell r="J513" t="str">
            <v>bueno</v>
          </cell>
          <cell r="K513" t="str">
            <v>defsi</v>
          </cell>
        </row>
        <row r="514">
          <cell r="B514" t="b">
            <v>1</v>
          </cell>
          <cell r="E514" t="str">
            <v>San Francisco I</v>
          </cell>
          <cell r="H514" t="str">
            <v>laboratorio</v>
          </cell>
          <cell r="J514" t="str">
            <v>muybueno</v>
          </cell>
          <cell r="K514" t="str">
            <v>defsi</v>
          </cell>
        </row>
        <row r="515">
          <cell r="B515" t="b">
            <v>1</v>
          </cell>
          <cell r="E515" t="str">
            <v>Fredonia</v>
          </cell>
          <cell r="H515" t="str">
            <v>laboratorio</v>
          </cell>
          <cell r="J515" t="str">
            <v>bueno</v>
          </cell>
          <cell r="K515" t="str">
            <v>defsi</v>
          </cell>
        </row>
        <row r="516">
          <cell r="B516" t="b">
            <v>1</v>
          </cell>
          <cell r="E516" t="str">
            <v>San Francisco I</v>
          </cell>
          <cell r="H516" t="str">
            <v>salud_oral</v>
          </cell>
          <cell r="J516" t="str">
            <v>bueno</v>
          </cell>
          <cell r="K516" t="str">
            <v>defsi</v>
          </cell>
        </row>
        <row r="517">
          <cell r="B517" t="b">
            <v>1</v>
          </cell>
          <cell r="E517" t="str">
            <v>Canapote</v>
          </cell>
          <cell r="H517" t="str">
            <v>laboratorio</v>
          </cell>
          <cell r="J517" t="str">
            <v>bueno</v>
          </cell>
          <cell r="K517" t="str">
            <v>defsi</v>
          </cell>
        </row>
        <row r="518">
          <cell r="B518" t="b">
            <v>1</v>
          </cell>
          <cell r="E518" t="str">
            <v>Canapote</v>
          </cell>
          <cell r="H518" t="str">
            <v>laboratorio</v>
          </cell>
          <cell r="J518" t="str">
            <v>bueno</v>
          </cell>
          <cell r="K518" t="str">
            <v>defsi</v>
          </cell>
        </row>
        <row r="519">
          <cell r="B519" t="b">
            <v>1</v>
          </cell>
          <cell r="E519" t="str">
            <v>Canapote</v>
          </cell>
          <cell r="H519" t="str">
            <v>laboratorio</v>
          </cell>
          <cell r="J519" t="str">
            <v>bueno</v>
          </cell>
          <cell r="K519" t="str">
            <v>defsi</v>
          </cell>
        </row>
        <row r="520">
          <cell r="B520" t="b">
            <v>1</v>
          </cell>
          <cell r="E520" t="str">
            <v>Canapote</v>
          </cell>
          <cell r="H520" t="str">
            <v>consulta_externa</v>
          </cell>
          <cell r="J520" t="str">
            <v>bueno</v>
          </cell>
          <cell r="K520" t="str">
            <v>defsi</v>
          </cell>
        </row>
        <row r="521">
          <cell r="B521" t="b">
            <v>1</v>
          </cell>
          <cell r="E521" t="str">
            <v>Nuevo Bosque</v>
          </cell>
          <cell r="H521" t="str">
            <v>consulta_externa</v>
          </cell>
          <cell r="J521" t="str">
            <v>bueno</v>
          </cell>
          <cell r="K521" t="str">
            <v>probsi</v>
          </cell>
        </row>
        <row r="522">
          <cell r="B522" t="b">
            <v>1</v>
          </cell>
          <cell r="E522" t="str">
            <v>Canapote</v>
          </cell>
          <cell r="H522" t="str">
            <v>consulta_externa</v>
          </cell>
          <cell r="J522" t="str">
            <v>bueno</v>
          </cell>
          <cell r="K522" t="str">
            <v>defsi</v>
          </cell>
        </row>
        <row r="523">
          <cell r="B523" t="b">
            <v>1</v>
          </cell>
          <cell r="E523" t="str">
            <v>Nuevo Bosque</v>
          </cell>
          <cell r="H523" t="str">
            <v>salud_oral</v>
          </cell>
          <cell r="J523" t="str">
            <v>bueno</v>
          </cell>
          <cell r="K523" t="str">
            <v>probsi</v>
          </cell>
        </row>
        <row r="524">
          <cell r="B524" t="b">
            <v>1</v>
          </cell>
          <cell r="E524" t="str">
            <v>Nuevo Bosque</v>
          </cell>
          <cell r="H524" t="str">
            <v>laboratorio</v>
          </cell>
          <cell r="J524" t="str">
            <v>bueno</v>
          </cell>
          <cell r="K524" t="str">
            <v>probsi</v>
          </cell>
        </row>
        <row r="525">
          <cell r="B525" t="b">
            <v>1</v>
          </cell>
          <cell r="E525" t="str">
            <v>Fredonia</v>
          </cell>
          <cell r="H525" t="str">
            <v>consulta_externa</v>
          </cell>
          <cell r="J525" t="str">
            <v>bueno</v>
          </cell>
          <cell r="K525" t="str">
            <v>defsi</v>
          </cell>
        </row>
        <row r="526">
          <cell r="B526" t="b">
            <v>1</v>
          </cell>
          <cell r="E526" t="str">
            <v>Fredonia</v>
          </cell>
          <cell r="H526" t="str">
            <v>salud_oral</v>
          </cell>
          <cell r="J526" t="str">
            <v>bueno</v>
          </cell>
          <cell r="K526" t="str">
            <v>defsi</v>
          </cell>
        </row>
        <row r="527">
          <cell r="B527" t="b">
            <v>1</v>
          </cell>
          <cell r="E527" t="str">
            <v>Fredonia</v>
          </cell>
          <cell r="H527" t="str">
            <v>laboratorio</v>
          </cell>
          <cell r="J527" t="str">
            <v>bueno</v>
          </cell>
          <cell r="K527" t="str">
            <v>defsi</v>
          </cell>
        </row>
        <row r="528">
          <cell r="B528" t="b">
            <v>1</v>
          </cell>
          <cell r="E528" t="str">
            <v>Canapote</v>
          </cell>
          <cell r="H528" t="str">
            <v>laboratorio</v>
          </cell>
          <cell r="J528" t="str">
            <v>muybueno</v>
          </cell>
          <cell r="K528" t="str">
            <v>defsi</v>
          </cell>
        </row>
        <row r="529">
          <cell r="B529" t="b">
            <v>1</v>
          </cell>
          <cell r="E529" t="str">
            <v>Nuevo Bosque</v>
          </cell>
          <cell r="H529" t="str">
            <v>consulta_externa</v>
          </cell>
          <cell r="J529" t="str">
            <v>bueno</v>
          </cell>
          <cell r="K529" t="str">
            <v>probsi</v>
          </cell>
        </row>
        <row r="530">
          <cell r="B530" t="b">
            <v>1</v>
          </cell>
          <cell r="E530" t="str">
            <v>Nuevo Bosque</v>
          </cell>
          <cell r="H530" t="str">
            <v>laboratorio</v>
          </cell>
          <cell r="J530" t="str">
            <v>bueno</v>
          </cell>
          <cell r="K530" t="str">
            <v>probsi</v>
          </cell>
        </row>
        <row r="531">
          <cell r="B531" t="b">
            <v>1</v>
          </cell>
          <cell r="E531" t="str">
            <v>Nuevo Bosque</v>
          </cell>
          <cell r="H531" t="str">
            <v>laboratorio</v>
          </cell>
          <cell r="J531" t="str">
            <v>bueno</v>
          </cell>
          <cell r="K531" t="str">
            <v>probsi</v>
          </cell>
        </row>
        <row r="532">
          <cell r="B532" t="b">
            <v>1</v>
          </cell>
          <cell r="E532" t="str">
            <v>Canapote</v>
          </cell>
          <cell r="H532" t="str">
            <v>laboratorio</v>
          </cell>
          <cell r="J532" t="str">
            <v>bueno</v>
          </cell>
          <cell r="K532" t="str">
            <v>defsi</v>
          </cell>
        </row>
        <row r="533">
          <cell r="B533" t="b">
            <v>1</v>
          </cell>
          <cell r="E533" t="str">
            <v>Nuevo Bosque</v>
          </cell>
          <cell r="H533" t="str">
            <v>laboratorio</v>
          </cell>
          <cell r="J533" t="str">
            <v>bueno</v>
          </cell>
          <cell r="K533" t="str">
            <v>probsi</v>
          </cell>
        </row>
        <row r="534">
          <cell r="B534" t="b">
            <v>1</v>
          </cell>
          <cell r="E534" t="str">
            <v>Fredonia</v>
          </cell>
          <cell r="H534" t="str">
            <v>consulta_externa</v>
          </cell>
          <cell r="J534" t="str">
            <v>bueno</v>
          </cell>
          <cell r="K534" t="str">
            <v>defsi</v>
          </cell>
        </row>
        <row r="535">
          <cell r="B535" t="b">
            <v>1</v>
          </cell>
          <cell r="E535" t="str">
            <v>Nuevo Bosque</v>
          </cell>
          <cell r="H535" t="str">
            <v>consulta_externa</v>
          </cell>
          <cell r="J535" t="str">
            <v>bueno</v>
          </cell>
          <cell r="K535" t="str">
            <v>probsi</v>
          </cell>
        </row>
        <row r="536">
          <cell r="B536" t="b">
            <v>0</v>
          </cell>
          <cell r="E536" t="str">
            <v>Canapote</v>
          </cell>
          <cell r="H536" t="str">
            <v>laboratorio</v>
          </cell>
          <cell r="J536" t="str">
            <v>malo</v>
          </cell>
          <cell r="K536" t="str">
            <v>probno</v>
          </cell>
        </row>
        <row r="537">
          <cell r="B537" t="b">
            <v>1</v>
          </cell>
          <cell r="E537" t="str">
            <v>Nuevo Bosque</v>
          </cell>
          <cell r="H537" t="str">
            <v>urgencia</v>
          </cell>
          <cell r="J537" t="str">
            <v>bueno</v>
          </cell>
          <cell r="K537" t="str">
            <v>probsi</v>
          </cell>
        </row>
        <row r="538">
          <cell r="B538" t="b">
            <v>1</v>
          </cell>
          <cell r="E538" t="str">
            <v>Canapote</v>
          </cell>
          <cell r="H538" t="str">
            <v>consulta_externa</v>
          </cell>
          <cell r="J538" t="str">
            <v>bueno</v>
          </cell>
          <cell r="K538" t="str">
            <v>defsi</v>
          </cell>
        </row>
        <row r="539">
          <cell r="B539" t="b">
            <v>0</v>
          </cell>
          <cell r="E539" t="str">
            <v>Nuevo Bosque</v>
          </cell>
          <cell r="H539" t="str">
            <v>consulta_externa</v>
          </cell>
          <cell r="J539" t="str">
            <v>regular</v>
          </cell>
          <cell r="K539" t="str">
            <v>probsi</v>
          </cell>
        </row>
        <row r="540">
          <cell r="B540" t="b">
            <v>0</v>
          </cell>
          <cell r="E540" t="str">
            <v>Nuevo Bosque</v>
          </cell>
          <cell r="H540" t="str">
            <v>consulta_externa</v>
          </cell>
          <cell r="J540" t="str">
            <v>regular</v>
          </cell>
          <cell r="K540" t="str">
            <v>probsi</v>
          </cell>
        </row>
        <row r="541">
          <cell r="B541" t="b">
            <v>1</v>
          </cell>
          <cell r="E541" t="str">
            <v>Canapote</v>
          </cell>
          <cell r="H541" t="str">
            <v>laboratorio</v>
          </cell>
          <cell r="J541" t="str">
            <v>bueno</v>
          </cell>
          <cell r="K541" t="str">
            <v>defsi</v>
          </cell>
        </row>
        <row r="542">
          <cell r="B542" t="b">
            <v>1</v>
          </cell>
          <cell r="E542" t="str">
            <v>Canapote</v>
          </cell>
          <cell r="H542" t="str">
            <v>consulta_externa</v>
          </cell>
          <cell r="J542" t="str">
            <v>bueno</v>
          </cell>
          <cell r="K542" t="str">
            <v>defsi</v>
          </cell>
        </row>
        <row r="543">
          <cell r="B543" t="b">
            <v>0</v>
          </cell>
          <cell r="E543" t="str">
            <v>Nuevo Bosque</v>
          </cell>
          <cell r="H543" t="str">
            <v>consulta_externa</v>
          </cell>
          <cell r="J543" t="str">
            <v>regular</v>
          </cell>
          <cell r="K543" t="str">
            <v>probsi</v>
          </cell>
        </row>
        <row r="544">
          <cell r="B544" t="b">
            <v>1</v>
          </cell>
          <cell r="E544" t="str">
            <v>Nuevo Bosque</v>
          </cell>
          <cell r="H544" t="str">
            <v>consulta_externa</v>
          </cell>
          <cell r="J544" t="str">
            <v>bueno</v>
          </cell>
          <cell r="K544" t="str">
            <v>probsi</v>
          </cell>
        </row>
        <row r="545">
          <cell r="B545" t="b">
            <v>1</v>
          </cell>
          <cell r="E545" t="str">
            <v>Nuevo Bosque</v>
          </cell>
          <cell r="H545" t="str">
            <v>consulta_externa</v>
          </cell>
          <cell r="J545" t="str">
            <v>bueno</v>
          </cell>
          <cell r="K545" t="str">
            <v>probsi</v>
          </cell>
        </row>
        <row r="546">
          <cell r="B546" t="b">
            <v>1</v>
          </cell>
          <cell r="E546" t="str">
            <v>Nuevo Bosque</v>
          </cell>
          <cell r="H546" t="str">
            <v>laboratorio</v>
          </cell>
          <cell r="J546" t="str">
            <v>bueno</v>
          </cell>
          <cell r="K546" t="str">
            <v>probsi</v>
          </cell>
        </row>
        <row r="547">
          <cell r="B547" t="b">
            <v>1</v>
          </cell>
          <cell r="E547" t="str">
            <v>Nuevo Bosque</v>
          </cell>
          <cell r="H547" t="str">
            <v>laboratorio</v>
          </cell>
          <cell r="J547" t="str">
            <v>bueno</v>
          </cell>
          <cell r="K547" t="str">
            <v>probsi</v>
          </cell>
        </row>
        <row r="548">
          <cell r="B548" t="b">
            <v>1</v>
          </cell>
          <cell r="E548" t="str">
            <v>Nuevo Bosque</v>
          </cell>
          <cell r="H548" t="str">
            <v>laboratorio</v>
          </cell>
          <cell r="J548" t="str">
            <v>bueno</v>
          </cell>
          <cell r="K548" t="str">
            <v>probsi</v>
          </cell>
        </row>
        <row r="549">
          <cell r="B549" t="b">
            <v>1</v>
          </cell>
          <cell r="E549" t="str">
            <v>Nuevo Bosque</v>
          </cell>
          <cell r="H549" t="str">
            <v>laboratorio</v>
          </cell>
          <cell r="J549" t="str">
            <v>bueno</v>
          </cell>
          <cell r="K549" t="str">
            <v>probsi</v>
          </cell>
        </row>
        <row r="550">
          <cell r="B550" t="b">
            <v>1</v>
          </cell>
          <cell r="E550" t="str">
            <v>Canapote</v>
          </cell>
          <cell r="H550" t="str">
            <v>consulta_externa</v>
          </cell>
          <cell r="J550" t="str">
            <v>bueno</v>
          </cell>
          <cell r="K550" t="str">
            <v>defsi</v>
          </cell>
        </row>
        <row r="551">
          <cell r="B551" t="b">
            <v>1</v>
          </cell>
          <cell r="E551" t="str">
            <v>Nuevo Bosque</v>
          </cell>
          <cell r="H551" t="str">
            <v>consulta_externa</v>
          </cell>
          <cell r="J551" t="str">
            <v>bueno</v>
          </cell>
          <cell r="K551" t="str">
            <v>probsi</v>
          </cell>
        </row>
        <row r="552">
          <cell r="B552" t="b">
            <v>1</v>
          </cell>
          <cell r="E552" t="str">
            <v>Nuevo Bosque</v>
          </cell>
          <cell r="H552" t="str">
            <v>salud_oral</v>
          </cell>
          <cell r="J552" t="str">
            <v>bueno</v>
          </cell>
          <cell r="K552" t="str">
            <v>probsi</v>
          </cell>
        </row>
        <row r="553">
          <cell r="B553" t="b">
            <v>1</v>
          </cell>
          <cell r="E553" t="str">
            <v>Canapote</v>
          </cell>
          <cell r="H553" t="str">
            <v>consulta_externa</v>
          </cell>
          <cell r="J553" t="str">
            <v>muybueno</v>
          </cell>
          <cell r="K553" t="str">
            <v>defsi</v>
          </cell>
        </row>
        <row r="554">
          <cell r="B554" t="b">
            <v>1</v>
          </cell>
          <cell r="E554" t="str">
            <v>Nuevo Bosque</v>
          </cell>
          <cell r="H554" t="str">
            <v>salud_oral</v>
          </cell>
          <cell r="J554" t="str">
            <v>bueno</v>
          </cell>
          <cell r="K554" t="str">
            <v>probsi</v>
          </cell>
        </row>
        <row r="555">
          <cell r="B555" t="b">
            <v>1</v>
          </cell>
          <cell r="E555" t="str">
            <v>Nuevo Bosque</v>
          </cell>
          <cell r="H555" t="str">
            <v>salud_oral</v>
          </cell>
          <cell r="J555" t="str">
            <v>bueno</v>
          </cell>
          <cell r="K555" t="str">
            <v>probsi</v>
          </cell>
        </row>
        <row r="556">
          <cell r="B556" t="b">
            <v>1</v>
          </cell>
          <cell r="E556" t="str">
            <v>Canapote</v>
          </cell>
          <cell r="H556" t="str">
            <v>laboratorio</v>
          </cell>
          <cell r="J556" t="str">
            <v>muybueno</v>
          </cell>
          <cell r="K556" t="str">
            <v>defsi</v>
          </cell>
        </row>
        <row r="557">
          <cell r="B557" t="b">
            <v>1</v>
          </cell>
          <cell r="E557" t="str">
            <v>Canapote</v>
          </cell>
          <cell r="H557" t="str">
            <v>consulta_externa</v>
          </cell>
          <cell r="J557" t="str">
            <v>bueno</v>
          </cell>
          <cell r="K557" t="str">
            <v>defsi</v>
          </cell>
        </row>
        <row r="558">
          <cell r="B558" t="b">
            <v>1</v>
          </cell>
          <cell r="E558" t="str">
            <v>Canapote</v>
          </cell>
          <cell r="H558" t="str">
            <v>laboratorio</v>
          </cell>
          <cell r="J558" t="str">
            <v>bueno</v>
          </cell>
          <cell r="K558" t="str">
            <v>defsi</v>
          </cell>
        </row>
        <row r="559">
          <cell r="B559" t="b">
            <v>1</v>
          </cell>
          <cell r="E559" t="str">
            <v>Canapote</v>
          </cell>
          <cell r="H559" t="str">
            <v>salud_oral</v>
          </cell>
          <cell r="J559" t="str">
            <v>bueno</v>
          </cell>
          <cell r="K559" t="str">
            <v>defsi</v>
          </cell>
        </row>
        <row r="560">
          <cell r="B560" t="b">
            <v>1</v>
          </cell>
          <cell r="E560" t="str">
            <v>Canapote</v>
          </cell>
          <cell r="H560" t="str">
            <v>consulta_externa</v>
          </cell>
          <cell r="J560" t="str">
            <v>bueno</v>
          </cell>
          <cell r="K560" t="str">
            <v>defsi</v>
          </cell>
        </row>
        <row r="561">
          <cell r="B561" t="b">
            <v>0</v>
          </cell>
          <cell r="E561" t="str">
            <v>Nuevo Bosque</v>
          </cell>
          <cell r="H561" t="str">
            <v>consulta_externa</v>
          </cell>
          <cell r="J561" t="str">
            <v>regular</v>
          </cell>
          <cell r="K561" t="str">
            <v>probsi</v>
          </cell>
        </row>
        <row r="562">
          <cell r="B562" t="b">
            <v>1</v>
          </cell>
          <cell r="E562" t="str">
            <v>Nuevo Bosque</v>
          </cell>
          <cell r="H562" t="str">
            <v>salud_oral</v>
          </cell>
          <cell r="J562" t="str">
            <v>bueno</v>
          </cell>
          <cell r="K562" t="str">
            <v>probsi</v>
          </cell>
        </row>
        <row r="563">
          <cell r="B563" t="b">
            <v>1</v>
          </cell>
          <cell r="E563" t="str">
            <v>Canapote</v>
          </cell>
          <cell r="H563" t="str">
            <v>consulta_externa</v>
          </cell>
          <cell r="J563" t="str">
            <v>bueno</v>
          </cell>
          <cell r="K563" t="str">
            <v>defsi</v>
          </cell>
        </row>
        <row r="564">
          <cell r="B564" t="b">
            <v>1</v>
          </cell>
          <cell r="E564" t="str">
            <v>Canapote</v>
          </cell>
          <cell r="H564" t="str">
            <v>laboratorio</v>
          </cell>
          <cell r="J564" t="str">
            <v>bueno</v>
          </cell>
          <cell r="K564" t="str">
            <v>defsi</v>
          </cell>
        </row>
        <row r="565">
          <cell r="B565" t="b">
            <v>0</v>
          </cell>
          <cell r="E565" t="str">
            <v>Nuevo Bosque</v>
          </cell>
          <cell r="H565" t="str">
            <v>consulta_externa</v>
          </cell>
          <cell r="J565" t="str">
            <v>regular</v>
          </cell>
          <cell r="K565" t="str">
            <v>probsi</v>
          </cell>
        </row>
        <row r="566">
          <cell r="B566" t="b">
            <v>1</v>
          </cell>
          <cell r="E566" t="str">
            <v>Canapote</v>
          </cell>
          <cell r="H566" t="str">
            <v>salud_oral</v>
          </cell>
          <cell r="J566" t="str">
            <v>bueno</v>
          </cell>
          <cell r="K566" t="str">
            <v>defsi</v>
          </cell>
        </row>
        <row r="567">
          <cell r="B567" t="b">
            <v>1</v>
          </cell>
          <cell r="E567" t="str">
            <v>Canapote</v>
          </cell>
          <cell r="H567" t="str">
            <v>salud_oral</v>
          </cell>
          <cell r="J567" t="str">
            <v>bueno</v>
          </cell>
          <cell r="K567" t="str">
            <v>defsi</v>
          </cell>
        </row>
        <row r="568">
          <cell r="B568" t="b">
            <v>1</v>
          </cell>
          <cell r="E568" t="str">
            <v>Canapote</v>
          </cell>
          <cell r="H568" t="str">
            <v>salud_oral</v>
          </cell>
          <cell r="J568" t="str">
            <v>bueno</v>
          </cell>
          <cell r="K568" t="str">
            <v>defsi</v>
          </cell>
        </row>
        <row r="569">
          <cell r="B569" t="b">
            <v>1</v>
          </cell>
          <cell r="E569" t="str">
            <v>Canapote</v>
          </cell>
          <cell r="H569" t="str">
            <v>salud_oral</v>
          </cell>
          <cell r="J569" t="str">
            <v>bueno</v>
          </cell>
          <cell r="K569" t="str">
            <v>defsi</v>
          </cell>
        </row>
        <row r="570">
          <cell r="B570" t="b">
            <v>1</v>
          </cell>
          <cell r="E570" t="str">
            <v>Canapote</v>
          </cell>
          <cell r="H570" t="str">
            <v>consulta_externa</v>
          </cell>
          <cell r="J570" t="str">
            <v>bueno</v>
          </cell>
          <cell r="K570" t="str">
            <v>defsi</v>
          </cell>
        </row>
        <row r="571">
          <cell r="B571" t="b">
            <v>1</v>
          </cell>
          <cell r="E571" t="str">
            <v>Canapote</v>
          </cell>
          <cell r="H571" t="str">
            <v>salud_oral</v>
          </cell>
          <cell r="J571" t="str">
            <v>bueno</v>
          </cell>
          <cell r="K571" t="str">
            <v>defsi</v>
          </cell>
        </row>
        <row r="572">
          <cell r="B572" t="b">
            <v>1</v>
          </cell>
          <cell r="E572" t="str">
            <v>Canapote</v>
          </cell>
          <cell r="H572" t="str">
            <v>salud_oral</v>
          </cell>
          <cell r="J572" t="str">
            <v>bueno</v>
          </cell>
          <cell r="K572" t="str">
            <v>defsi</v>
          </cell>
        </row>
        <row r="573">
          <cell r="B573" t="b">
            <v>1</v>
          </cell>
          <cell r="E573" t="str">
            <v>Canapote</v>
          </cell>
          <cell r="H573" t="str">
            <v>consulta_externa</v>
          </cell>
          <cell r="J573" t="str">
            <v>bueno</v>
          </cell>
          <cell r="K573" t="str">
            <v>defsi</v>
          </cell>
        </row>
        <row r="574">
          <cell r="B574" t="b">
            <v>1</v>
          </cell>
          <cell r="E574" t="str">
            <v>Canapote</v>
          </cell>
          <cell r="H574" t="str">
            <v>salud_oral</v>
          </cell>
          <cell r="J574" t="str">
            <v>bueno</v>
          </cell>
          <cell r="K574" t="str">
            <v>defsi</v>
          </cell>
        </row>
        <row r="575">
          <cell r="B575" t="b">
            <v>1</v>
          </cell>
          <cell r="E575" t="str">
            <v>Canapote</v>
          </cell>
          <cell r="H575" t="str">
            <v>salud_oral</v>
          </cell>
          <cell r="J575" t="str">
            <v>bueno</v>
          </cell>
          <cell r="K575" t="str">
            <v>defsi</v>
          </cell>
        </row>
        <row r="576">
          <cell r="B576" t="b">
            <v>1</v>
          </cell>
          <cell r="E576" t="str">
            <v>Canapote</v>
          </cell>
          <cell r="H576" t="str">
            <v>salud_oral</v>
          </cell>
          <cell r="J576" t="str">
            <v>bueno</v>
          </cell>
          <cell r="K576" t="str">
            <v>defsi</v>
          </cell>
        </row>
        <row r="577">
          <cell r="B577" t="b">
            <v>1</v>
          </cell>
          <cell r="E577" t="str">
            <v>Canapote</v>
          </cell>
          <cell r="H577" t="str">
            <v>salud_oral</v>
          </cell>
          <cell r="J577" t="str">
            <v>bueno</v>
          </cell>
          <cell r="K577" t="str">
            <v>defsi</v>
          </cell>
        </row>
        <row r="578">
          <cell r="B578" t="b">
            <v>1</v>
          </cell>
          <cell r="E578" t="str">
            <v>Fredonia</v>
          </cell>
          <cell r="H578" t="str">
            <v>salud_oral</v>
          </cell>
          <cell r="J578" t="str">
            <v>bueno</v>
          </cell>
          <cell r="K578" t="str">
            <v>defsi</v>
          </cell>
        </row>
        <row r="579">
          <cell r="B579" t="b">
            <v>1</v>
          </cell>
          <cell r="E579" t="str">
            <v>Fredonia</v>
          </cell>
          <cell r="H579" t="str">
            <v>laboratorio</v>
          </cell>
          <cell r="J579" t="str">
            <v>bueno</v>
          </cell>
          <cell r="K579" t="str">
            <v>defsi</v>
          </cell>
        </row>
        <row r="580">
          <cell r="B580" t="b">
            <v>1</v>
          </cell>
          <cell r="E580" t="str">
            <v>Nuevo Bosque</v>
          </cell>
          <cell r="H580" t="str">
            <v>salud_oral</v>
          </cell>
          <cell r="J580" t="str">
            <v>bueno</v>
          </cell>
          <cell r="K580" t="str">
            <v>probsi</v>
          </cell>
        </row>
        <row r="581">
          <cell r="B581" t="b">
            <v>1</v>
          </cell>
          <cell r="E581" t="str">
            <v>Nuevo Bosque</v>
          </cell>
          <cell r="H581" t="str">
            <v>salud_oral</v>
          </cell>
          <cell r="J581" t="str">
            <v>bueno</v>
          </cell>
          <cell r="K581" t="str">
            <v>probsi</v>
          </cell>
        </row>
        <row r="582">
          <cell r="B582" t="b">
            <v>1</v>
          </cell>
          <cell r="E582" t="str">
            <v>Nuevo Bosque</v>
          </cell>
          <cell r="H582" t="str">
            <v>laboratorio</v>
          </cell>
          <cell r="J582" t="str">
            <v>bueno</v>
          </cell>
          <cell r="K582" t="str">
            <v>probsi</v>
          </cell>
        </row>
        <row r="583">
          <cell r="B583" t="b">
            <v>1</v>
          </cell>
          <cell r="E583" t="str">
            <v>Nuevo Bosque</v>
          </cell>
          <cell r="H583" t="str">
            <v>laboratorio</v>
          </cell>
          <cell r="J583" t="str">
            <v>bueno</v>
          </cell>
          <cell r="K583" t="str">
            <v>probsi</v>
          </cell>
        </row>
        <row r="584">
          <cell r="B584" t="b">
            <v>1</v>
          </cell>
          <cell r="E584" t="str">
            <v>Nuevo Bosque</v>
          </cell>
          <cell r="H584" t="str">
            <v>laboratorio</v>
          </cell>
          <cell r="J584" t="str">
            <v>bueno</v>
          </cell>
          <cell r="K584" t="str">
            <v>probsi</v>
          </cell>
        </row>
        <row r="585">
          <cell r="B585" t="b">
            <v>0</v>
          </cell>
          <cell r="E585" t="str">
            <v>Nuevo Bosque</v>
          </cell>
          <cell r="H585" t="str">
            <v>urgencia</v>
          </cell>
          <cell r="J585" t="str">
            <v>regular</v>
          </cell>
          <cell r="K585" t="str">
            <v>probsi</v>
          </cell>
        </row>
        <row r="586">
          <cell r="B586" t="b">
            <v>0</v>
          </cell>
          <cell r="E586" t="str">
            <v>Nuevo Bosque</v>
          </cell>
          <cell r="H586" t="str">
            <v>urgencia</v>
          </cell>
          <cell r="J586" t="str">
            <v>regular</v>
          </cell>
          <cell r="K586" t="str">
            <v>probsi</v>
          </cell>
        </row>
        <row r="587">
          <cell r="B587" t="b">
            <v>1</v>
          </cell>
          <cell r="E587" t="str">
            <v>Nuevo Bosque</v>
          </cell>
          <cell r="H587" t="str">
            <v>urgencia</v>
          </cell>
          <cell r="J587" t="str">
            <v>bueno</v>
          </cell>
          <cell r="K587" t="str">
            <v>probsi</v>
          </cell>
        </row>
        <row r="588">
          <cell r="B588" t="b">
            <v>1</v>
          </cell>
          <cell r="E588" t="str">
            <v>Nuevo Bosque</v>
          </cell>
          <cell r="H588" t="str">
            <v>urgencia</v>
          </cell>
          <cell r="J588" t="str">
            <v>bueno</v>
          </cell>
          <cell r="K588" t="str">
            <v>probsi</v>
          </cell>
        </row>
        <row r="589">
          <cell r="B589" t="b">
            <v>1</v>
          </cell>
          <cell r="E589" t="str">
            <v>Fredonia</v>
          </cell>
          <cell r="H589" t="str">
            <v>consulta_externa</v>
          </cell>
          <cell r="J589" t="str">
            <v>bueno</v>
          </cell>
          <cell r="K589" t="str">
            <v>defsi</v>
          </cell>
        </row>
        <row r="590">
          <cell r="B590" t="b">
            <v>1</v>
          </cell>
          <cell r="E590" t="str">
            <v>Fredonia</v>
          </cell>
          <cell r="H590" t="str">
            <v>salud_oral</v>
          </cell>
          <cell r="J590" t="str">
            <v>bueno</v>
          </cell>
          <cell r="K590" t="str">
            <v>defsi</v>
          </cell>
        </row>
        <row r="591">
          <cell r="B591" t="b">
            <v>1</v>
          </cell>
          <cell r="E591" t="str">
            <v>Fredonia</v>
          </cell>
          <cell r="H591" t="str">
            <v>laboratorio</v>
          </cell>
          <cell r="J591" t="str">
            <v>bueno</v>
          </cell>
          <cell r="K591" t="str">
            <v>defsi</v>
          </cell>
        </row>
        <row r="592">
          <cell r="B592" t="b">
            <v>1</v>
          </cell>
          <cell r="E592" t="str">
            <v>Fredonia</v>
          </cell>
          <cell r="H592" t="str">
            <v>consulta_externa</v>
          </cell>
          <cell r="J592" t="str">
            <v>bueno</v>
          </cell>
          <cell r="K592" t="str">
            <v>defsi</v>
          </cell>
        </row>
        <row r="593">
          <cell r="B593" t="b">
            <v>1</v>
          </cell>
          <cell r="E593" t="str">
            <v>Fredonia</v>
          </cell>
          <cell r="H593" t="str">
            <v>salud_oral</v>
          </cell>
          <cell r="J593" t="str">
            <v>bueno</v>
          </cell>
          <cell r="K593" t="str">
            <v>defsi</v>
          </cell>
        </row>
        <row r="594">
          <cell r="B594" t="b">
            <v>1</v>
          </cell>
          <cell r="E594" t="str">
            <v>Fredonia</v>
          </cell>
          <cell r="H594" t="str">
            <v>laboratorio</v>
          </cell>
          <cell r="J594" t="str">
            <v>bueno</v>
          </cell>
          <cell r="K594" t="str">
            <v>defsi</v>
          </cell>
        </row>
        <row r="595">
          <cell r="B595" t="b">
            <v>1</v>
          </cell>
          <cell r="E595" t="str">
            <v>Fredonia</v>
          </cell>
          <cell r="H595" t="str">
            <v>consulta_externa</v>
          </cell>
          <cell r="J595" t="str">
            <v>bueno</v>
          </cell>
          <cell r="K595" t="str">
            <v>defsi</v>
          </cell>
        </row>
        <row r="596">
          <cell r="B596" t="b">
            <v>1</v>
          </cell>
          <cell r="E596" t="str">
            <v>Fredonia</v>
          </cell>
          <cell r="H596" t="str">
            <v>salud_oral</v>
          </cell>
          <cell r="J596" t="str">
            <v>muybueno</v>
          </cell>
          <cell r="K596" t="str">
            <v>defsi</v>
          </cell>
        </row>
        <row r="597">
          <cell r="B597" t="b">
            <v>1</v>
          </cell>
          <cell r="E597" t="str">
            <v>Fredonia</v>
          </cell>
          <cell r="H597" t="str">
            <v>laboratorio</v>
          </cell>
          <cell r="J597" t="str">
            <v>bueno</v>
          </cell>
          <cell r="K597" t="str">
            <v>defsi</v>
          </cell>
        </row>
        <row r="598">
          <cell r="B598" t="b">
            <v>1</v>
          </cell>
          <cell r="E598" t="str">
            <v>Fredonia</v>
          </cell>
          <cell r="H598" t="str">
            <v>consulta_externa</v>
          </cell>
          <cell r="J598" t="str">
            <v>bueno</v>
          </cell>
          <cell r="K598" t="str">
            <v>defsi</v>
          </cell>
        </row>
        <row r="599">
          <cell r="B599" t="b">
            <v>1</v>
          </cell>
          <cell r="E599" t="str">
            <v>Fredonia</v>
          </cell>
          <cell r="H599" t="str">
            <v>salud_oral</v>
          </cell>
          <cell r="J599" t="str">
            <v>bueno</v>
          </cell>
          <cell r="K599" t="str">
            <v>defsi</v>
          </cell>
        </row>
        <row r="600">
          <cell r="B600" t="b">
            <v>1</v>
          </cell>
          <cell r="E600" t="str">
            <v>Fredonia</v>
          </cell>
          <cell r="H600" t="str">
            <v>laboratorio</v>
          </cell>
          <cell r="J600" t="str">
            <v>bueno</v>
          </cell>
          <cell r="K600" t="str">
            <v>defsi</v>
          </cell>
        </row>
        <row r="601">
          <cell r="B601" t="b">
            <v>1</v>
          </cell>
          <cell r="E601" t="str">
            <v>Fredonia</v>
          </cell>
          <cell r="H601" t="str">
            <v>salud_oral</v>
          </cell>
          <cell r="J601" t="str">
            <v>bueno</v>
          </cell>
          <cell r="K601" t="str">
            <v>defsi</v>
          </cell>
        </row>
        <row r="602">
          <cell r="B602" t="b">
            <v>1</v>
          </cell>
          <cell r="E602" t="str">
            <v>Fredonia</v>
          </cell>
          <cell r="H602" t="str">
            <v>salud_oral</v>
          </cell>
          <cell r="J602" t="str">
            <v>bueno</v>
          </cell>
          <cell r="K602" t="str">
            <v>defsi</v>
          </cell>
        </row>
        <row r="603">
          <cell r="B603" t="b">
            <v>1</v>
          </cell>
          <cell r="E603" t="str">
            <v>Fredonia</v>
          </cell>
          <cell r="H603" t="str">
            <v>laboratorio</v>
          </cell>
          <cell r="J603" t="str">
            <v>bueno</v>
          </cell>
          <cell r="K603" t="str">
            <v>defsi</v>
          </cell>
        </row>
        <row r="604">
          <cell r="B604" t="b">
            <v>1</v>
          </cell>
          <cell r="E604" t="str">
            <v>Daniel Lemaitre</v>
          </cell>
          <cell r="H604" t="str">
            <v>consulta_externa</v>
          </cell>
          <cell r="J604" t="str">
            <v>bueno</v>
          </cell>
          <cell r="K604" t="str">
            <v>defsi</v>
          </cell>
        </row>
        <row r="605">
          <cell r="B605" t="b">
            <v>1</v>
          </cell>
          <cell r="E605" t="str">
            <v>Fredonia</v>
          </cell>
          <cell r="H605" t="str">
            <v>consulta_externa</v>
          </cell>
          <cell r="J605" t="str">
            <v>bueno</v>
          </cell>
          <cell r="K605" t="str">
            <v>defsi</v>
          </cell>
        </row>
        <row r="606">
          <cell r="B606" t="b">
            <v>1</v>
          </cell>
          <cell r="E606" t="str">
            <v>Fredonia</v>
          </cell>
          <cell r="H606" t="str">
            <v>salud_oral</v>
          </cell>
          <cell r="J606" t="str">
            <v>bueno</v>
          </cell>
          <cell r="K606" t="str">
            <v>defsi</v>
          </cell>
        </row>
        <row r="607">
          <cell r="B607" t="b">
            <v>1</v>
          </cell>
          <cell r="E607" t="str">
            <v>Fredonia</v>
          </cell>
          <cell r="H607" t="str">
            <v>laboratorio</v>
          </cell>
          <cell r="J607" t="str">
            <v>bueno</v>
          </cell>
          <cell r="K607" t="str">
            <v>defsi</v>
          </cell>
        </row>
        <row r="608">
          <cell r="B608" t="b">
            <v>1</v>
          </cell>
          <cell r="E608" t="str">
            <v>Daniel Lemaitre</v>
          </cell>
          <cell r="H608" t="str">
            <v>consulta_externa</v>
          </cell>
          <cell r="J608" t="str">
            <v>bueno</v>
          </cell>
          <cell r="K608" t="str">
            <v>defsi</v>
          </cell>
        </row>
        <row r="609">
          <cell r="B609" t="b">
            <v>1</v>
          </cell>
          <cell r="E609" t="str">
            <v>Daniel Lemaitre</v>
          </cell>
          <cell r="H609" t="str">
            <v>consulta_externa</v>
          </cell>
          <cell r="J609" t="str">
            <v>bueno</v>
          </cell>
          <cell r="K609" t="str">
            <v>defsi</v>
          </cell>
        </row>
        <row r="610">
          <cell r="B610" t="b">
            <v>0</v>
          </cell>
          <cell r="E610" t="str">
            <v>Daniel Lemaitre</v>
          </cell>
          <cell r="H610" t="str">
            <v>consulta_externa</v>
          </cell>
          <cell r="J610" t="str">
            <v>regular</v>
          </cell>
          <cell r="K610" t="str">
            <v>probsi</v>
          </cell>
        </row>
        <row r="611">
          <cell r="B611" t="b">
            <v>1</v>
          </cell>
          <cell r="E611" t="str">
            <v>Daniel Lemaitre</v>
          </cell>
          <cell r="H611" t="str">
            <v>consulta_externa</v>
          </cell>
          <cell r="J611" t="str">
            <v>bueno</v>
          </cell>
          <cell r="K611" t="str">
            <v>defsi</v>
          </cell>
        </row>
        <row r="612">
          <cell r="B612" t="b">
            <v>1</v>
          </cell>
          <cell r="E612" t="str">
            <v>Daniel Lemaitre</v>
          </cell>
          <cell r="H612" t="str">
            <v>laboratorio</v>
          </cell>
          <cell r="J612" t="str">
            <v>bueno</v>
          </cell>
          <cell r="K612" t="str">
            <v>defsi</v>
          </cell>
        </row>
        <row r="613">
          <cell r="B613" t="b">
            <v>1</v>
          </cell>
          <cell r="E613" t="str">
            <v>Daniel Lemaitre</v>
          </cell>
          <cell r="H613" t="str">
            <v>consulta_externa</v>
          </cell>
          <cell r="J613" t="str">
            <v>bueno</v>
          </cell>
          <cell r="K613" t="str">
            <v>defsi</v>
          </cell>
        </row>
        <row r="614">
          <cell r="B614" t="b">
            <v>1</v>
          </cell>
          <cell r="E614" t="str">
            <v>Daniel Lemaitre</v>
          </cell>
          <cell r="H614" t="str">
            <v>laboratorio</v>
          </cell>
          <cell r="J614" t="str">
            <v>bueno</v>
          </cell>
          <cell r="K614" t="str">
            <v>defsi</v>
          </cell>
        </row>
        <row r="615">
          <cell r="B615" t="b">
            <v>1</v>
          </cell>
          <cell r="E615" t="str">
            <v>Daniel Lemaitre</v>
          </cell>
          <cell r="H615" t="str">
            <v>consulta_externa</v>
          </cell>
          <cell r="J615" t="str">
            <v>bueno</v>
          </cell>
          <cell r="K615" t="str">
            <v>defsi</v>
          </cell>
        </row>
        <row r="616">
          <cell r="B616" t="b">
            <v>1</v>
          </cell>
          <cell r="E616" t="str">
            <v>Fredonia</v>
          </cell>
          <cell r="H616" t="str">
            <v>consulta_externa</v>
          </cell>
          <cell r="J616" t="str">
            <v>bueno</v>
          </cell>
          <cell r="K616" t="str">
            <v>defsi</v>
          </cell>
        </row>
        <row r="617">
          <cell r="B617" t="b">
            <v>1</v>
          </cell>
          <cell r="E617" t="str">
            <v>Daniel Lemaitre</v>
          </cell>
          <cell r="H617" t="str">
            <v>consulta_externa</v>
          </cell>
          <cell r="J617" t="str">
            <v>muybueno</v>
          </cell>
          <cell r="K617" t="str">
            <v>defsi</v>
          </cell>
        </row>
        <row r="618">
          <cell r="B618" t="b">
            <v>1</v>
          </cell>
          <cell r="E618" t="str">
            <v>Daniel Lemaitre</v>
          </cell>
          <cell r="H618" t="str">
            <v>consulta_externa</v>
          </cell>
          <cell r="J618" t="str">
            <v>bueno</v>
          </cell>
          <cell r="K618" t="str">
            <v>defsi</v>
          </cell>
        </row>
        <row r="619">
          <cell r="B619" t="b">
            <v>1</v>
          </cell>
          <cell r="E619" t="str">
            <v>Daniel Lemaitre</v>
          </cell>
          <cell r="H619" t="str">
            <v>salud_oral</v>
          </cell>
          <cell r="J619" t="str">
            <v>bueno</v>
          </cell>
          <cell r="K619" t="str">
            <v>defsi</v>
          </cell>
        </row>
        <row r="620">
          <cell r="B620" t="b">
            <v>1</v>
          </cell>
          <cell r="E620" t="str">
            <v>Daniel Lemaitre</v>
          </cell>
          <cell r="H620" t="str">
            <v>laboratorio</v>
          </cell>
          <cell r="J620" t="str">
            <v>bueno</v>
          </cell>
          <cell r="K620" t="str">
            <v>defsi</v>
          </cell>
        </row>
        <row r="621">
          <cell r="B621" t="b">
            <v>1</v>
          </cell>
          <cell r="E621" t="str">
            <v>Daniel Lemaitre</v>
          </cell>
          <cell r="H621" t="str">
            <v>consulta_externa</v>
          </cell>
          <cell r="J621" t="str">
            <v>muybueno</v>
          </cell>
          <cell r="K621" t="str">
            <v>defsi</v>
          </cell>
        </row>
        <row r="622">
          <cell r="B622" t="b">
            <v>1</v>
          </cell>
          <cell r="E622" t="str">
            <v>Daniel Lemaitre</v>
          </cell>
          <cell r="H622" t="str">
            <v>salud_oral</v>
          </cell>
          <cell r="J622" t="str">
            <v>bueno</v>
          </cell>
          <cell r="K622" t="str">
            <v>defsi</v>
          </cell>
        </row>
        <row r="623">
          <cell r="B623" t="b">
            <v>1</v>
          </cell>
          <cell r="E623" t="str">
            <v>Daniel Lemaitre</v>
          </cell>
          <cell r="H623" t="str">
            <v>salud_oral</v>
          </cell>
          <cell r="J623" t="str">
            <v>bueno</v>
          </cell>
          <cell r="K623" t="str">
            <v>defsi</v>
          </cell>
        </row>
        <row r="624">
          <cell r="B624" t="b">
            <v>1</v>
          </cell>
          <cell r="E624" t="str">
            <v>Daniel Lemaitre</v>
          </cell>
          <cell r="H624" t="str">
            <v>salud_oral</v>
          </cell>
          <cell r="J624" t="str">
            <v>bueno</v>
          </cell>
          <cell r="K624" t="str">
            <v>defsi</v>
          </cell>
        </row>
        <row r="625">
          <cell r="B625" t="b">
            <v>1</v>
          </cell>
          <cell r="E625" t="str">
            <v>Daniel Lemaitre</v>
          </cell>
          <cell r="H625" t="str">
            <v>consulta_externa</v>
          </cell>
          <cell r="J625" t="str">
            <v>bueno</v>
          </cell>
          <cell r="K625" t="str">
            <v>defsi</v>
          </cell>
        </row>
        <row r="626">
          <cell r="B626" t="b">
            <v>1</v>
          </cell>
          <cell r="E626" t="str">
            <v>Daniel Lemaitre</v>
          </cell>
          <cell r="H626" t="str">
            <v>consulta_externa</v>
          </cell>
          <cell r="J626" t="str">
            <v>bueno</v>
          </cell>
          <cell r="K626" t="str">
            <v>defsi</v>
          </cell>
        </row>
        <row r="627">
          <cell r="B627" t="b">
            <v>1</v>
          </cell>
          <cell r="E627" t="str">
            <v>Daniel Lemaitre</v>
          </cell>
          <cell r="H627" t="str">
            <v>consulta_externa</v>
          </cell>
          <cell r="J627" t="str">
            <v>bueno</v>
          </cell>
          <cell r="K627" t="str">
            <v>defsi</v>
          </cell>
        </row>
        <row r="628">
          <cell r="B628" t="b">
            <v>1</v>
          </cell>
          <cell r="E628" t="str">
            <v>Daniel Lemaitre</v>
          </cell>
          <cell r="H628" t="str">
            <v>consulta_externa</v>
          </cell>
          <cell r="J628" t="str">
            <v>bueno</v>
          </cell>
          <cell r="K628" t="str">
            <v>defsi</v>
          </cell>
        </row>
        <row r="629">
          <cell r="B629" t="b">
            <v>1</v>
          </cell>
          <cell r="E629" t="str">
            <v>Nuevo Bosque</v>
          </cell>
          <cell r="H629" t="str">
            <v>salud_oral</v>
          </cell>
          <cell r="J629" t="str">
            <v>bueno</v>
          </cell>
          <cell r="K629" t="str">
            <v>probsi</v>
          </cell>
        </row>
        <row r="630">
          <cell r="B630" t="b">
            <v>1</v>
          </cell>
          <cell r="E630" t="str">
            <v>Nuevo Bosque</v>
          </cell>
          <cell r="H630" t="str">
            <v>salud_oral</v>
          </cell>
          <cell r="J630" t="str">
            <v>bueno</v>
          </cell>
          <cell r="K630" t="str">
            <v>probsi</v>
          </cell>
        </row>
        <row r="631">
          <cell r="B631" t="b">
            <v>1</v>
          </cell>
          <cell r="E631" t="str">
            <v>Nuevo Bosque</v>
          </cell>
          <cell r="H631" t="str">
            <v>salud_oral</v>
          </cell>
          <cell r="J631" t="str">
            <v>bueno</v>
          </cell>
          <cell r="K631" t="str">
            <v>probsi</v>
          </cell>
        </row>
        <row r="632">
          <cell r="B632" t="b">
            <v>1</v>
          </cell>
          <cell r="E632" t="str">
            <v>Nuevo Bosque</v>
          </cell>
          <cell r="H632" t="str">
            <v>salud_oral</v>
          </cell>
          <cell r="J632" t="str">
            <v>bueno</v>
          </cell>
          <cell r="K632" t="str">
            <v>probsi</v>
          </cell>
        </row>
        <row r="633">
          <cell r="B633" t="b">
            <v>1</v>
          </cell>
          <cell r="E633" t="str">
            <v>Nuevo Bosque</v>
          </cell>
          <cell r="H633" t="str">
            <v>salud_oral</v>
          </cell>
          <cell r="J633" t="str">
            <v>bueno</v>
          </cell>
          <cell r="K633" t="str">
            <v>probsi</v>
          </cell>
        </row>
        <row r="634">
          <cell r="B634" t="b">
            <v>1</v>
          </cell>
          <cell r="E634" t="str">
            <v>Nuevo Bosque</v>
          </cell>
          <cell r="H634" t="str">
            <v>urgencia</v>
          </cell>
          <cell r="J634" t="str">
            <v>bueno</v>
          </cell>
          <cell r="K634" t="str">
            <v>probsi</v>
          </cell>
        </row>
        <row r="635">
          <cell r="B635" t="b">
            <v>1</v>
          </cell>
          <cell r="E635" t="str">
            <v>Nuevo Bosque</v>
          </cell>
          <cell r="H635" t="str">
            <v>urgencia</v>
          </cell>
          <cell r="J635" t="str">
            <v>bueno</v>
          </cell>
          <cell r="K635" t="str">
            <v>probsi</v>
          </cell>
        </row>
        <row r="636">
          <cell r="B636" t="b">
            <v>0</v>
          </cell>
          <cell r="E636" t="str">
            <v>Nuevo Bosque</v>
          </cell>
          <cell r="H636" t="str">
            <v>urgencia</v>
          </cell>
          <cell r="J636" t="str">
            <v>regular</v>
          </cell>
          <cell r="K636" t="str">
            <v>probsi</v>
          </cell>
        </row>
        <row r="637">
          <cell r="B637" t="b">
            <v>0</v>
          </cell>
          <cell r="E637" t="str">
            <v>Nuevo Bosque</v>
          </cell>
          <cell r="H637" t="str">
            <v>urgencia</v>
          </cell>
          <cell r="J637" t="str">
            <v>regular</v>
          </cell>
          <cell r="K637" t="str">
            <v>probsi</v>
          </cell>
        </row>
        <row r="638">
          <cell r="B638" t="b">
            <v>1</v>
          </cell>
          <cell r="E638" t="str">
            <v>Los Cerros</v>
          </cell>
          <cell r="H638" t="str">
            <v>electros</v>
          </cell>
          <cell r="J638" t="str">
            <v>bueno</v>
          </cell>
          <cell r="K638" t="str">
            <v>probsi</v>
          </cell>
        </row>
        <row r="639">
          <cell r="B639" t="b">
            <v>1</v>
          </cell>
          <cell r="E639" t="str">
            <v>Los Cerros</v>
          </cell>
          <cell r="H639" t="str">
            <v>electros</v>
          </cell>
          <cell r="J639" t="str">
            <v>bueno</v>
          </cell>
          <cell r="K639" t="str">
            <v>probsi</v>
          </cell>
        </row>
        <row r="640">
          <cell r="B640" t="b">
            <v>1</v>
          </cell>
          <cell r="E640" t="str">
            <v>Los Cerros</v>
          </cell>
          <cell r="H640" t="str">
            <v>electros</v>
          </cell>
          <cell r="J640" t="str">
            <v>bueno</v>
          </cell>
          <cell r="K640" t="str">
            <v>probsi</v>
          </cell>
        </row>
        <row r="641">
          <cell r="B641" t="b">
            <v>1</v>
          </cell>
          <cell r="E641" t="str">
            <v>Los Cerros</v>
          </cell>
          <cell r="H641" t="str">
            <v>electros</v>
          </cell>
          <cell r="J641" t="str">
            <v>bueno</v>
          </cell>
          <cell r="K641" t="str">
            <v>probsi</v>
          </cell>
        </row>
        <row r="642">
          <cell r="B642" t="b">
            <v>1</v>
          </cell>
          <cell r="E642" t="str">
            <v>Los Cerros</v>
          </cell>
          <cell r="H642" t="str">
            <v>electros</v>
          </cell>
          <cell r="J642" t="str">
            <v>bueno</v>
          </cell>
          <cell r="K642" t="str">
            <v>probsi</v>
          </cell>
        </row>
        <row r="643">
          <cell r="B643" t="b">
            <v>1</v>
          </cell>
          <cell r="E643" t="str">
            <v>Los Cerros</v>
          </cell>
          <cell r="H643" t="str">
            <v>electros</v>
          </cell>
          <cell r="J643" t="str">
            <v>bueno</v>
          </cell>
          <cell r="K643" t="str">
            <v>probsi</v>
          </cell>
        </row>
        <row r="644">
          <cell r="B644" t="b">
            <v>1</v>
          </cell>
          <cell r="E644" t="str">
            <v>Los Cerros</v>
          </cell>
          <cell r="H644" t="str">
            <v>electros</v>
          </cell>
          <cell r="J644" t="str">
            <v>bueno</v>
          </cell>
          <cell r="K644" t="str">
            <v>probsi</v>
          </cell>
        </row>
        <row r="645">
          <cell r="B645" t="b">
            <v>1</v>
          </cell>
          <cell r="E645" t="str">
            <v>Los Cerros</v>
          </cell>
          <cell r="H645" t="str">
            <v>pediatria</v>
          </cell>
          <cell r="J645" t="str">
            <v>bueno</v>
          </cell>
          <cell r="K645" t="str">
            <v>probsi</v>
          </cell>
        </row>
        <row r="646">
          <cell r="B646" t="b">
            <v>1</v>
          </cell>
          <cell r="E646" t="str">
            <v>Los Cerros</v>
          </cell>
          <cell r="H646" t="str">
            <v>pediatria</v>
          </cell>
          <cell r="J646" t="str">
            <v>bueno</v>
          </cell>
          <cell r="K646" t="str">
            <v>probsi</v>
          </cell>
        </row>
        <row r="647">
          <cell r="B647" t="b">
            <v>1</v>
          </cell>
          <cell r="E647" t="str">
            <v>Los Cerros</v>
          </cell>
          <cell r="H647" t="str">
            <v>pediatria</v>
          </cell>
          <cell r="J647" t="str">
            <v>bueno</v>
          </cell>
          <cell r="K647" t="str">
            <v>probsi</v>
          </cell>
        </row>
        <row r="648">
          <cell r="B648" t="b">
            <v>1</v>
          </cell>
          <cell r="E648" t="str">
            <v>Los Cerros</v>
          </cell>
          <cell r="H648" t="str">
            <v>ginecologia</v>
          </cell>
          <cell r="J648" t="str">
            <v>bueno</v>
          </cell>
          <cell r="K648" t="str">
            <v>probsi</v>
          </cell>
        </row>
        <row r="649">
          <cell r="B649" t="b">
            <v>1</v>
          </cell>
          <cell r="E649" t="str">
            <v>Los Cerros</v>
          </cell>
          <cell r="H649" t="str">
            <v>ginecologia</v>
          </cell>
          <cell r="J649" t="str">
            <v>bueno</v>
          </cell>
          <cell r="K649" t="str">
            <v>probsi</v>
          </cell>
        </row>
        <row r="650">
          <cell r="B650" t="b">
            <v>1</v>
          </cell>
          <cell r="E650" t="str">
            <v>Los Cerros</v>
          </cell>
          <cell r="H650" t="str">
            <v>ginecologia</v>
          </cell>
          <cell r="J650" t="str">
            <v>bueno</v>
          </cell>
          <cell r="K650" t="str">
            <v>probsi</v>
          </cell>
        </row>
        <row r="651">
          <cell r="B651" t="b">
            <v>1</v>
          </cell>
          <cell r="E651" t="str">
            <v>Los Cerros</v>
          </cell>
          <cell r="H651" t="str">
            <v>ginecologia</v>
          </cell>
          <cell r="J651" t="str">
            <v>bueno</v>
          </cell>
          <cell r="K651" t="str">
            <v>probsi</v>
          </cell>
        </row>
        <row r="652">
          <cell r="B652" t="b">
            <v>1</v>
          </cell>
          <cell r="E652" t="str">
            <v>Los Cerros</v>
          </cell>
          <cell r="H652" t="str">
            <v>ginecologia</v>
          </cell>
          <cell r="J652" t="str">
            <v>bueno</v>
          </cell>
          <cell r="K652" t="str">
            <v>probsi</v>
          </cell>
        </row>
        <row r="653">
          <cell r="B653" t="b">
            <v>1</v>
          </cell>
          <cell r="E653" t="str">
            <v>Fredonia</v>
          </cell>
          <cell r="H653" t="str">
            <v>salud_oral</v>
          </cell>
          <cell r="J653" t="str">
            <v>bueno</v>
          </cell>
          <cell r="K653" t="str">
            <v>defsi</v>
          </cell>
        </row>
        <row r="654">
          <cell r="B654" t="b">
            <v>1</v>
          </cell>
          <cell r="E654" t="str">
            <v>Fredonia</v>
          </cell>
          <cell r="H654" t="str">
            <v>laboratorio</v>
          </cell>
          <cell r="J654" t="str">
            <v>bueno</v>
          </cell>
          <cell r="K654" t="str">
            <v>defsi</v>
          </cell>
        </row>
        <row r="655">
          <cell r="B655" t="b">
            <v>1</v>
          </cell>
          <cell r="E655" t="str">
            <v>Fredonia</v>
          </cell>
          <cell r="H655" t="str">
            <v>consulta_externa</v>
          </cell>
          <cell r="J655" t="str">
            <v>bueno</v>
          </cell>
          <cell r="K655" t="str">
            <v>defsi</v>
          </cell>
        </row>
        <row r="656">
          <cell r="B656" t="b">
            <v>1</v>
          </cell>
          <cell r="E656" t="str">
            <v>Fredonia</v>
          </cell>
          <cell r="H656" t="str">
            <v>salud_oral</v>
          </cell>
          <cell r="J656" t="str">
            <v>bueno</v>
          </cell>
          <cell r="K656" t="str">
            <v>defsi</v>
          </cell>
        </row>
        <row r="657">
          <cell r="B657" t="b">
            <v>1</v>
          </cell>
          <cell r="E657" t="str">
            <v>Fredonia</v>
          </cell>
          <cell r="H657" t="str">
            <v>laboratorio</v>
          </cell>
          <cell r="J657" t="str">
            <v>bueno</v>
          </cell>
          <cell r="K657" t="str">
            <v>defsi</v>
          </cell>
        </row>
        <row r="658">
          <cell r="B658" t="b">
            <v>1</v>
          </cell>
          <cell r="E658" t="str">
            <v>Fredonia</v>
          </cell>
          <cell r="H658" t="str">
            <v>consulta_externa</v>
          </cell>
          <cell r="J658" t="str">
            <v>bueno</v>
          </cell>
          <cell r="K658" t="str">
            <v>defsi</v>
          </cell>
        </row>
        <row r="659">
          <cell r="B659" t="b">
            <v>1</v>
          </cell>
          <cell r="E659" t="str">
            <v>Fredonia</v>
          </cell>
          <cell r="H659" t="str">
            <v>salud_oral</v>
          </cell>
          <cell r="J659" t="str">
            <v>bueno</v>
          </cell>
          <cell r="K659" t="str">
            <v>defsi</v>
          </cell>
        </row>
        <row r="660">
          <cell r="B660" t="b">
            <v>1</v>
          </cell>
          <cell r="E660" t="str">
            <v>Bosque</v>
          </cell>
          <cell r="H660" t="str">
            <v>consulta_externa</v>
          </cell>
          <cell r="J660" t="str">
            <v>bueno</v>
          </cell>
          <cell r="K660" t="str">
            <v>probsi</v>
          </cell>
        </row>
        <row r="661">
          <cell r="B661" t="b">
            <v>1</v>
          </cell>
          <cell r="E661" t="str">
            <v>Bosque</v>
          </cell>
          <cell r="H661" t="str">
            <v>consulta_externa</v>
          </cell>
          <cell r="J661" t="str">
            <v>bueno</v>
          </cell>
          <cell r="K661" t="str">
            <v>probsi</v>
          </cell>
        </row>
        <row r="662">
          <cell r="B662" t="b">
            <v>1</v>
          </cell>
          <cell r="E662" t="str">
            <v>Bosque</v>
          </cell>
          <cell r="H662" t="str">
            <v>salud_oral</v>
          </cell>
          <cell r="J662" t="str">
            <v>bueno</v>
          </cell>
          <cell r="K662" t="str">
            <v>probsi</v>
          </cell>
        </row>
        <row r="663">
          <cell r="B663" t="b">
            <v>1</v>
          </cell>
          <cell r="E663" t="str">
            <v>Bosque</v>
          </cell>
          <cell r="H663" t="str">
            <v>consulta_externa</v>
          </cell>
          <cell r="J663" t="str">
            <v>bueno</v>
          </cell>
          <cell r="K663" t="str">
            <v>probsi</v>
          </cell>
        </row>
        <row r="664">
          <cell r="B664" t="b">
            <v>1</v>
          </cell>
          <cell r="E664" t="str">
            <v>Bosque</v>
          </cell>
          <cell r="H664" t="str">
            <v>laboratorio</v>
          </cell>
          <cell r="J664" t="str">
            <v>bueno</v>
          </cell>
          <cell r="K664" t="str">
            <v>probsi</v>
          </cell>
        </row>
        <row r="665">
          <cell r="B665" t="b">
            <v>1</v>
          </cell>
          <cell r="E665" t="str">
            <v>Bosque</v>
          </cell>
          <cell r="H665" t="str">
            <v>consulta_externa</v>
          </cell>
          <cell r="J665" t="str">
            <v>muybueno</v>
          </cell>
          <cell r="K665" t="str">
            <v>probsi</v>
          </cell>
        </row>
        <row r="666">
          <cell r="B666" t="b">
            <v>1</v>
          </cell>
          <cell r="E666" t="str">
            <v>Bosque</v>
          </cell>
          <cell r="H666" t="str">
            <v>salud_oral</v>
          </cell>
          <cell r="J666" t="str">
            <v>muybueno</v>
          </cell>
          <cell r="K666" t="str">
            <v>probsi</v>
          </cell>
        </row>
        <row r="667">
          <cell r="B667" t="b">
            <v>1</v>
          </cell>
          <cell r="E667" t="str">
            <v>Bosque</v>
          </cell>
          <cell r="H667" t="str">
            <v>laboratorio</v>
          </cell>
          <cell r="J667" t="str">
            <v>bueno</v>
          </cell>
          <cell r="K667" t="str">
            <v>probsi</v>
          </cell>
        </row>
        <row r="668">
          <cell r="B668" t="b">
            <v>1</v>
          </cell>
          <cell r="E668" t="str">
            <v>Bosque</v>
          </cell>
          <cell r="H668" t="str">
            <v>consulta_externa</v>
          </cell>
          <cell r="J668" t="str">
            <v>bueno</v>
          </cell>
          <cell r="K668" t="str">
            <v>probsi</v>
          </cell>
        </row>
        <row r="669">
          <cell r="B669" t="b">
            <v>1</v>
          </cell>
          <cell r="E669" t="str">
            <v>Bosque</v>
          </cell>
          <cell r="H669" t="str">
            <v>consulta_externa</v>
          </cell>
          <cell r="J669" t="str">
            <v>bueno</v>
          </cell>
          <cell r="K669" t="str">
            <v>probsi</v>
          </cell>
        </row>
        <row r="670">
          <cell r="B670" t="b">
            <v>1</v>
          </cell>
          <cell r="E670" t="str">
            <v>Bosque</v>
          </cell>
          <cell r="H670" t="str">
            <v>salud_oral</v>
          </cell>
          <cell r="J670" t="str">
            <v>bueno</v>
          </cell>
          <cell r="K670" t="str">
            <v>probsi</v>
          </cell>
        </row>
        <row r="671">
          <cell r="B671" t="b">
            <v>1</v>
          </cell>
          <cell r="E671" t="str">
            <v>Bosque</v>
          </cell>
          <cell r="H671" t="str">
            <v>laboratorio</v>
          </cell>
          <cell r="J671" t="str">
            <v>bueno</v>
          </cell>
          <cell r="K671" t="str">
            <v>probsi</v>
          </cell>
        </row>
        <row r="672">
          <cell r="B672" t="b">
            <v>1</v>
          </cell>
          <cell r="E672" t="str">
            <v>Bosque</v>
          </cell>
          <cell r="H672" t="str">
            <v>consulta_externa</v>
          </cell>
          <cell r="J672" t="str">
            <v>bueno</v>
          </cell>
          <cell r="K672" t="str">
            <v>probsi</v>
          </cell>
        </row>
        <row r="673">
          <cell r="B673" t="b">
            <v>1</v>
          </cell>
          <cell r="E673" t="str">
            <v>Bosque</v>
          </cell>
          <cell r="H673" t="str">
            <v>consulta_externa</v>
          </cell>
          <cell r="J673" t="str">
            <v>bueno</v>
          </cell>
          <cell r="K673" t="str">
            <v>probsi</v>
          </cell>
        </row>
        <row r="674">
          <cell r="B674" t="b">
            <v>1</v>
          </cell>
          <cell r="E674" t="str">
            <v>Bosque</v>
          </cell>
          <cell r="H674" t="str">
            <v>laboratorio</v>
          </cell>
          <cell r="J674" t="str">
            <v>bueno</v>
          </cell>
          <cell r="K674" t="str">
            <v>probsi</v>
          </cell>
        </row>
        <row r="675">
          <cell r="B675" t="b">
            <v>1</v>
          </cell>
          <cell r="E675" t="str">
            <v>Bosque</v>
          </cell>
          <cell r="H675" t="str">
            <v>consulta_externa</v>
          </cell>
          <cell r="J675" t="str">
            <v>muybueno</v>
          </cell>
          <cell r="K675" t="str">
            <v>probsi</v>
          </cell>
        </row>
        <row r="676">
          <cell r="B676" t="b">
            <v>1</v>
          </cell>
          <cell r="E676" t="str">
            <v>Bosque</v>
          </cell>
          <cell r="H676" t="str">
            <v>consulta_externa</v>
          </cell>
          <cell r="J676" t="str">
            <v>muybueno</v>
          </cell>
          <cell r="K676" t="str">
            <v>probsi</v>
          </cell>
        </row>
        <row r="677">
          <cell r="B677" t="b">
            <v>1</v>
          </cell>
          <cell r="E677" t="str">
            <v>Bosque</v>
          </cell>
          <cell r="H677" t="str">
            <v>consulta_externa</v>
          </cell>
          <cell r="J677" t="str">
            <v>muybueno</v>
          </cell>
          <cell r="K677" t="str">
            <v>probsi</v>
          </cell>
        </row>
        <row r="678">
          <cell r="B678" t="b">
            <v>1</v>
          </cell>
          <cell r="E678" t="str">
            <v>Bosque</v>
          </cell>
          <cell r="H678" t="str">
            <v>consulta_externa</v>
          </cell>
          <cell r="J678" t="str">
            <v>bueno</v>
          </cell>
          <cell r="K678" t="str">
            <v>probsi</v>
          </cell>
        </row>
        <row r="679">
          <cell r="B679" t="b">
            <v>1</v>
          </cell>
          <cell r="E679" t="str">
            <v>Bosque</v>
          </cell>
          <cell r="H679" t="str">
            <v>laboratorio</v>
          </cell>
          <cell r="J679" t="str">
            <v>bueno</v>
          </cell>
          <cell r="K679" t="str">
            <v>probsi</v>
          </cell>
        </row>
        <row r="680">
          <cell r="B680" t="b">
            <v>1</v>
          </cell>
          <cell r="E680" t="str">
            <v>Bosque</v>
          </cell>
          <cell r="H680" t="str">
            <v>consulta_externa</v>
          </cell>
          <cell r="J680" t="str">
            <v>muybueno</v>
          </cell>
          <cell r="K680" t="str">
            <v>probsi</v>
          </cell>
        </row>
        <row r="681">
          <cell r="B681" t="b">
            <v>1</v>
          </cell>
          <cell r="E681" t="str">
            <v>Foco Rojo</v>
          </cell>
          <cell r="H681" t="str">
            <v>consulta_externa</v>
          </cell>
          <cell r="J681" t="str">
            <v>bueno</v>
          </cell>
          <cell r="K681" t="str">
            <v>defsi</v>
          </cell>
        </row>
        <row r="682">
          <cell r="B682" t="b">
            <v>1</v>
          </cell>
          <cell r="E682" t="str">
            <v>Foco Rojo</v>
          </cell>
          <cell r="H682" t="str">
            <v>salud_oral</v>
          </cell>
          <cell r="J682" t="str">
            <v>bueno</v>
          </cell>
          <cell r="K682" t="str">
            <v>defsi</v>
          </cell>
        </row>
        <row r="683">
          <cell r="B683" t="b">
            <v>1</v>
          </cell>
          <cell r="E683" t="str">
            <v>Bosque</v>
          </cell>
          <cell r="H683" t="str">
            <v>consulta_externa</v>
          </cell>
          <cell r="J683" t="str">
            <v>bueno</v>
          </cell>
          <cell r="K683" t="str">
            <v>probsi</v>
          </cell>
        </row>
        <row r="684">
          <cell r="B684" t="b">
            <v>1</v>
          </cell>
          <cell r="E684" t="str">
            <v>Foco Rojo</v>
          </cell>
          <cell r="H684" t="str">
            <v>laboratorio</v>
          </cell>
          <cell r="J684" t="str">
            <v>bueno</v>
          </cell>
          <cell r="K684" t="str">
            <v>defsi</v>
          </cell>
        </row>
        <row r="685">
          <cell r="B685" t="b">
            <v>1</v>
          </cell>
          <cell r="E685" t="str">
            <v>Bosque</v>
          </cell>
          <cell r="H685" t="str">
            <v>laboratorio</v>
          </cell>
          <cell r="J685" t="str">
            <v>bueno</v>
          </cell>
          <cell r="K685" t="str">
            <v>probsi</v>
          </cell>
        </row>
        <row r="686">
          <cell r="B686" t="b">
            <v>1</v>
          </cell>
          <cell r="E686" t="str">
            <v>Foco Rojo</v>
          </cell>
          <cell r="H686" t="str">
            <v>consulta_externa</v>
          </cell>
          <cell r="J686" t="str">
            <v>bueno</v>
          </cell>
          <cell r="K686" t="str">
            <v>defsi</v>
          </cell>
        </row>
        <row r="687">
          <cell r="B687" t="b">
            <v>1</v>
          </cell>
          <cell r="E687" t="str">
            <v>Foco Rojo</v>
          </cell>
          <cell r="H687" t="str">
            <v>salud_oral</v>
          </cell>
          <cell r="J687" t="str">
            <v>bueno</v>
          </cell>
          <cell r="K687" t="str">
            <v>defsi</v>
          </cell>
        </row>
        <row r="688">
          <cell r="B688" t="b">
            <v>1</v>
          </cell>
          <cell r="E688" t="str">
            <v>Foco Rojo</v>
          </cell>
          <cell r="H688" t="str">
            <v>laboratorio</v>
          </cell>
          <cell r="J688" t="str">
            <v>bueno</v>
          </cell>
          <cell r="K688" t="str">
            <v>defsi</v>
          </cell>
        </row>
        <row r="689">
          <cell r="B689" t="b">
            <v>1</v>
          </cell>
          <cell r="E689" t="str">
            <v>Foco Rojo</v>
          </cell>
          <cell r="H689" t="str">
            <v>consulta_externa</v>
          </cell>
          <cell r="J689" t="str">
            <v>bueno</v>
          </cell>
          <cell r="K689" t="str">
            <v>defsi</v>
          </cell>
        </row>
        <row r="690">
          <cell r="B690" t="b">
            <v>1</v>
          </cell>
          <cell r="E690" t="str">
            <v>Foco Rojo</v>
          </cell>
          <cell r="H690" t="str">
            <v>salud_oral</v>
          </cell>
          <cell r="J690" t="str">
            <v>bueno</v>
          </cell>
          <cell r="K690" t="str">
            <v>defsi</v>
          </cell>
        </row>
        <row r="691">
          <cell r="B691" t="b">
            <v>1</v>
          </cell>
          <cell r="E691" t="str">
            <v>Foco Rojo</v>
          </cell>
          <cell r="H691" t="str">
            <v>laboratorio</v>
          </cell>
          <cell r="J691" t="str">
            <v>bueno</v>
          </cell>
          <cell r="K691" t="str">
            <v>defsi</v>
          </cell>
        </row>
        <row r="692">
          <cell r="B692" t="b">
            <v>1</v>
          </cell>
          <cell r="E692" t="str">
            <v>Bosque</v>
          </cell>
          <cell r="H692" t="str">
            <v>consulta_externa</v>
          </cell>
          <cell r="J692" t="str">
            <v>bueno</v>
          </cell>
          <cell r="K692" t="str">
            <v>probsi</v>
          </cell>
        </row>
        <row r="693">
          <cell r="B693" t="b">
            <v>1</v>
          </cell>
          <cell r="E693" t="str">
            <v>Foco Rojo</v>
          </cell>
          <cell r="H693" t="str">
            <v>consulta_externa</v>
          </cell>
          <cell r="J693" t="str">
            <v>bueno</v>
          </cell>
          <cell r="K693" t="str">
            <v>defsi</v>
          </cell>
        </row>
        <row r="694">
          <cell r="B694" t="b">
            <v>1</v>
          </cell>
          <cell r="E694" t="str">
            <v>Bosque</v>
          </cell>
          <cell r="H694" t="str">
            <v>laboratorio</v>
          </cell>
          <cell r="J694" t="str">
            <v>bueno</v>
          </cell>
          <cell r="K694" t="str">
            <v>probsi</v>
          </cell>
        </row>
        <row r="695">
          <cell r="B695" t="b">
            <v>1</v>
          </cell>
          <cell r="E695" t="str">
            <v>Foco Rojo</v>
          </cell>
          <cell r="H695" t="str">
            <v>salud_oral</v>
          </cell>
          <cell r="J695" t="str">
            <v>bueno</v>
          </cell>
          <cell r="K695" t="str">
            <v>defsi</v>
          </cell>
        </row>
        <row r="696">
          <cell r="B696" t="b">
            <v>1</v>
          </cell>
          <cell r="E696" t="str">
            <v>Foco Rojo</v>
          </cell>
          <cell r="H696" t="str">
            <v>laboratorio</v>
          </cell>
          <cell r="J696" t="str">
            <v>bueno</v>
          </cell>
          <cell r="K696" t="str">
            <v>defsi</v>
          </cell>
        </row>
        <row r="697">
          <cell r="B697" t="b">
            <v>1</v>
          </cell>
          <cell r="E697" t="str">
            <v>Bosque</v>
          </cell>
          <cell r="H697" t="str">
            <v>salud_oral</v>
          </cell>
          <cell r="J697" t="str">
            <v>muybueno</v>
          </cell>
          <cell r="K697" t="str">
            <v>probsi</v>
          </cell>
        </row>
        <row r="698">
          <cell r="B698" t="b">
            <v>1</v>
          </cell>
          <cell r="E698" t="str">
            <v>Bosque</v>
          </cell>
          <cell r="H698" t="str">
            <v>salud_oral</v>
          </cell>
          <cell r="J698" t="str">
            <v>bueno</v>
          </cell>
          <cell r="K698" t="str">
            <v>probsi</v>
          </cell>
        </row>
        <row r="699">
          <cell r="B699" t="b">
            <v>1</v>
          </cell>
          <cell r="E699" t="str">
            <v>Bosque</v>
          </cell>
          <cell r="H699" t="str">
            <v>consulta_externa</v>
          </cell>
          <cell r="J699" t="str">
            <v>bueno</v>
          </cell>
          <cell r="K699" t="str">
            <v>probsi</v>
          </cell>
        </row>
        <row r="700">
          <cell r="B700" t="b">
            <v>1</v>
          </cell>
          <cell r="E700" t="str">
            <v>Foco Rojo</v>
          </cell>
          <cell r="H700" t="str">
            <v>consulta_externa</v>
          </cell>
          <cell r="J700" t="str">
            <v>bueno</v>
          </cell>
          <cell r="K700" t="str">
            <v>defsi</v>
          </cell>
        </row>
        <row r="701">
          <cell r="B701" t="b">
            <v>1</v>
          </cell>
          <cell r="E701" t="str">
            <v>Foco Rojo</v>
          </cell>
          <cell r="H701" t="str">
            <v>salud_oral</v>
          </cell>
          <cell r="J701" t="str">
            <v>bueno</v>
          </cell>
          <cell r="K701" t="str">
            <v>defsi</v>
          </cell>
        </row>
        <row r="702">
          <cell r="B702" t="b">
            <v>1</v>
          </cell>
          <cell r="E702" t="str">
            <v>Foco Rojo</v>
          </cell>
          <cell r="H702" t="str">
            <v>laboratorio</v>
          </cell>
          <cell r="J702" t="str">
            <v>bueno</v>
          </cell>
          <cell r="K702" t="str">
            <v>defsi</v>
          </cell>
        </row>
        <row r="703">
          <cell r="B703" t="b">
            <v>1</v>
          </cell>
          <cell r="E703" t="str">
            <v>Foco Rojo</v>
          </cell>
          <cell r="H703" t="str">
            <v>consulta_externa</v>
          </cell>
          <cell r="J703" t="str">
            <v>bueno</v>
          </cell>
          <cell r="K703" t="str">
            <v>defsi</v>
          </cell>
        </row>
        <row r="704">
          <cell r="B704" t="b">
            <v>1</v>
          </cell>
          <cell r="E704" t="str">
            <v>Foco Rojo</v>
          </cell>
          <cell r="H704" t="str">
            <v>salud_oral</v>
          </cell>
          <cell r="J704" t="str">
            <v>bueno</v>
          </cell>
          <cell r="K704" t="str">
            <v>defsi</v>
          </cell>
        </row>
        <row r="705">
          <cell r="B705" t="b">
            <v>1</v>
          </cell>
          <cell r="E705" t="str">
            <v>Foco Rojo</v>
          </cell>
          <cell r="H705" t="str">
            <v>laboratorio</v>
          </cell>
          <cell r="J705" t="str">
            <v>bueno</v>
          </cell>
          <cell r="K705" t="str">
            <v>defsi</v>
          </cell>
        </row>
        <row r="706">
          <cell r="B706" t="b">
            <v>1</v>
          </cell>
          <cell r="E706" t="str">
            <v>Foco Rojo</v>
          </cell>
          <cell r="H706" t="str">
            <v>consulta_externa</v>
          </cell>
          <cell r="J706" t="str">
            <v>bueno</v>
          </cell>
          <cell r="K706" t="str">
            <v>defsi</v>
          </cell>
        </row>
        <row r="707">
          <cell r="B707" t="b">
            <v>1</v>
          </cell>
          <cell r="E707" t="str">
            <v>Foco Rojo</v>
          </cell>
          <cell r="H707" t="str">
            <v>salud_oral</v>
          </cell>
          <cell r="J707" t="str">
            <v>bueno</v>
          </cell>
          <cell r="K707" t="str">
            <v>defsi</v>
          </cell>
        </row>
        <row r="708">
          <cell r="B708" t="b">
            <v>1</v>
          </cell>
          <cell r="E708" t="str">
            <v>San Pedro y Libertad</v>
          </cell>
          <cell r="H708" t="str">
            <v>consulta_externa</v>
          </cell>
          <cell r="J708" t="str">
            <v>bueno</v>
          </cell>
          <cell r="K708" t="str">
            <v>defsi</v>
          </cell>
        </row>
        <row r="709">
          <cell r="B709" t="b">
            <v>1</v>
          </cell>
          <cell r="E709" t="str">
            <v>Foco Rojo</v>
          </cell>
          <cell r="H709" t="str">
            <v>laboratorio</v>
          </cell>
          <cell r="J709" t="str">
            <v>bueno</v>
          </cell>
          <cell r="K709" t="str">
            <v>defsi</v>
          </cell>
        </row>
        <row r="710">
          <cell r="B710" t="b">
            <v>1</v>
          </cell>
          <cell r="E710" t="str">
            <v>San Pedro y Libertad</v>
          </cell>
          <cell r="H710" t="str">
            <v>consulta_externa</v>
          </cell>
          <cell r="J710" t="str">
            <v>bueno</v>
          </cell>
          <cell r="K710" t="str">
            <v>defsi</v>
          </cell>
        </row>
        <row r="711">
          <cell r="B711" t="b">
            <v>1</v>
          </cell>
          <cell r="E711" t="str">
            <v>Foco Rojo</v>
          </cell>
          <cell r="H711" t="str">
            <v>consulta_externa</v>
          </cell>
          <cell r="J711" t="str">
            <v>bueno</v>
          </cell>
          <cell r="K711" t="str">
            <v>defsi</v>
          </cell>
        </row>
        <row r="712">
          <cell r="B712" t="b">
            <v>1</v>
          </cell>
          <cell r="E712" t="str">
            <v>Foco Rojo</v>
          </cell>
          <cell r="H712" t="str">
            <v>salud_oral</v>
          </cell>
          <cell r="J712" t="str">
            <v>bueno</v>
          </cell>
          <cell r="K712" t="str">
            <v>defsi</v>
          </cell>
        </row>
        <row r="713">
          <cell r="B713" t="b">
            <v>1</v>
          </cell>
          <cell r="E713" t="str">
            <v>Foco Rojo</v>
          </cell>
          <cell r="H713" t="str">
            <v>laboratorio</v>
          </cell>
          <cell r="J713" t="str">
            <v>bueno</v>
          </cell>
          <cell r="K713" t="str">
            <v>defsi</v>
          </cell>
        </row>
        <row r="714">
          <cell r="B714" t="b">
            <v>1</v>
          </cell>
          <cell r="E714" t="str">
            <v>Foco Rojo</v>
          </cell>
          <cell r="H714" t="str">
            <v>consulta_externa</v>
          </cell>
          <cell r="J714" t="str">
            <v>bueno</v>
          </cell>
          <cell r="K714" t="str">
            <v>defsi</v>
          </cell>
        </row>
        <row r="715">
          <cell r="B715" t="b">
            <v>1</v>
          </cell>
          <cell r="E715" t="str">
            <v>Foco Rojo</v>
          </cell>
          <cell r="H715" t="str">
            <v>salud_oral</v>
          </cell>
          <cell r="J715" t="str">
            <v>bueno</v>
          </cell>
          <cell r="K715" t="str">
            <v>defsi</v>
          </cell>
        </row>
        <row r="716">
          <cell r="B716" t="b">
            <v>1</v>
          </cell>
          <cell r="E716" t="str">
            <v>Foco Rojo</v>
          </cell>
          <cell r="H716" t="str">
            <v>laboratorio</v>
          </cell>
          <cell r="J716" t="str">
            <v>bueno</v>
          </cell>
          <cell r="K716" t="str">
            <v>defsi</v>
          </cell>
        </row>
        <row r="717">
          <cell r="B717" t="b">
            <v>1</v>
          </cell>
          <cell r="E717" t="str">
            <v>San Pedro y Libertad</v>
          </cell>
          <cell r="H717" t="str">
            <v>salud_oral</v>
          </cell>
          <cell r="J717" t="str">
            <v>bueno</v>
          </cell>
          <cell r="K717" t="str">
            <v>defsi</v>
          </cell>
        </row>
        <row r="718">
          <cell r="B718" t="b">
            <v>1</v>
          </cell>
          <cell r="E718" t="str">
            <v>Foco Rojo</v>
          </cell>
          <cell r="H718" t="str">
            <v>consulta_externa</v>
          </cell>
          <cell r="J718" t="str">
            <v>bueno</v>
          </cell>
          <cell r="K718" t="str">
            <v>defsi</v>
          </cell>
        </row>
        <row r="719">
          <cell r="B719" t="b">
            <v>1</v>
          </cell>
          <cell r="E719" t="str">
            <v>Foco Rojo</v>
          </cell>
          <cell r="H719" t="str">
            <v>laboratorio</v>
          </cell>
          <cell r="J719" t="str">
            <v>bueno</v>
          </cell>
          <cell r="K719" t="str">
            <v>defsi</v>
          </cell>
        </row>
        <row r="720">
          <cell r="B720" t="b">
            <v>1</v>
          </cell>
          <cell r="E720" t="str">
            <v>San Pedro y Libertad</v>
          </cell>
          <cell r="H720" t="str">
            <v>consulta_externa</v>
          </cell>
          <cell r="J720" t="str">
            <v>bueno</v>
          </cell>
          <cell r="K720" t="str">
            <v>defsi</v>
          </cell>
        </row>
        <row r="721">
          <cell r="B721" t="b">
            <v>1</v>
          </cell>
          <cell r="E721" t="str">
            <v>San Pedro y Libertad</v>
          </cell>
          <cell r="H721" t="str">
            <v>consulta_externa</v>
          </cell>
          <cell r="J721" t="str">
            <v>bueno</v>
          </cell>
          <cell r="K721" t="str">
            <v>defsi</v>
          </cell>
        </row>
        <row r="722">
          <cell r="B722" t="b">
            <v>1</v>
          </cell>
          <cell r="E722" t="str">
            <v>Bosque</v>
          </cell>
          <cell r="H722" t="str">
            <v>salud_oral</v>
          </cell>
          <cell r="J722" t="str">
            <v>bueno</v>
          </cell>
          <cell r="K722" t="str">
            <v>probsi</v>
          </cell>
        </row>
        <row r="723">
          <cell r="B723" t="b">
            <v>1</v>
          </cell>
          <cell r="E723" t="str">
            <v>San Pedro y Libertad</v>
          </cell>
          <cell r="H723" t="str">
            <v>consulta_externa</v>
          </cell>
          <cell r="J723" t="str">
            <v>bueno</v>
          </cell>
          <cell r="K723" t="str">
            <v>defsi</v>
          </cell>
        </row>
        <row r="724">
          <cell r="B724" t="b">
            <v>1</v>
          </cell>
          <cell r="E724" t="str">
            <v>San Pedro y Libertad</v>
          </cell>
          <cell r="H724" t="str">
            <v>consulta_externa</v>
          </cell>
          <cell r="J724" t="str">
            <v>bueno</v>
          </cell>
          <cell r="K724" t="str">
            <v>defsi</v>
          </cell>
        </row>
        <row r="725">
          <cell r="B725" t="b">
            <v>1</v>
          </cell>
          <cell r="E725" t="str">
            <v>San Pedro y Libertad</v>
          </cell>
          <cell r="H725" t="str">
            <v>consulta_externa</v>
          </cell>
          <cell r="J725" t="str">
            <v>bueno</v>
          </cell>
          <cell r="K725" t="str">
            <v>defsi</v>
          </cell>
        </row>
        <row r="726">
          <cell r="B726" t="b">
            <v>1</v>
          </cell>
          <cell r="E726" t="str">
            <v>San Pedro y Libertad</v>
          </cell>
          <cell r="H726" t="str">
            <v>consulta_externa</v>
          </cell>
          <cell r="J726" t="str">
            <v>bueno</v>
          </cell>
          <cell r="K726" t="str">
            <v>defsi</v>
          </cell>
        </row>
        <row r="727">
          <cell r="B727" t="b">
            <v>0</v>
          </cell>
          <cell r="E727" t="str">
            <v>San Pedro y Libertad</v>
          </cell>
          <cell r="H727" t="str">
            <v>consulta_externa</v>
          </cell>
          <cell r="J727" t="str">
            <v>regular</v>
          </cell>
          <cell r="K727" t="str">
            <v>probsi</v>
          </cell>
        </row>
        <row r="728">
          <cell r="B728" t="b">
            <v>1</v>
          </cell>
          <cell r="E728" t="str">
            <v>San Pedro y Libertad</v>
          </cell>
          <cell r="H728" t="str">
            <v>consulta_externa</v>
          </cell>
          <cell r="J728" t="str">
            <v>bueno</v>
          </cell>
          <cell r="K728" t="str">
            <v>defsi</v>
          </cell>
        </row>
        <row r="729">
          <cell r="B729" t="b">
            <v>1</v>
          </cell>
          <cell r="E729" t="str">
            <v>San Pedro y Libertad</v>
          </cell>
          <cell r="H729" t="str">
            <v>laboratorio</v>
          </cell>
          <cell r="J729" t="str">
            <v>bueno</v>
          </cell>
          <cell r="K729" t="str">
            <v>defsi</v>
          </cell>
        </row>
        <row r="730">
          <cell r="B730" t="b">
            <v>1</v>
          </cell>
          <cell r="E730" t="str">
            <v>San Pedro y Libertad</v>
          </cell>
          <cell r="H730" t="str">
            <v>laboratorio</v>
          </cell>
          <cell r="J730" t="str">
            <v>bueno</v>
          </cell>
          <cell r="K730" t="str">
            <v>defsi</v>
          </cell>
        </row>
        <row r="731">
          <cell r="B731" t="b">
            <v>1</v>
          </cell>
          <cell r="E731" t="str">
            <v>San Pedro y Libertad</v>
          </cell>
          <cell r="H731" t="str">
            <v>salud_oral</v>
          </cell>
          <cell r="J731" t="str">
            <v>bueno</v>
          </cell>
          <cell r="K731" t="str">
            <v>defsi</v>
          </cell>
        </row>
        <row r="732">
          <cell r="B732" t="b">
            <v>1</v>
          </cell>
          <cell r="E732" t="str">
            <v>San Pedro y Libertad</v>
          </cell>
          <cell r="H732" t="str">
            <v>laboratorio</v>
          </cell>
          <cell r="J732" t="str">
            <v>bueno</v>
          </cell>
          <cell r="K732" t="str">
            <v>defsi</v>
          </cell>
        </row>
        <row r="733">
          <cell r="B733" t="b">
            <v>1</v>
          </cell>
          <cell r="E733" t="str">
            <v>San Pedro y Libertad</v>
          </cell>
          <cell r="H733" t="str">
            <v>salud_oral</v>
          </cell>
          <cell r="J733" t="str">
            <v>bueno</v>
          </cell>
          <cell r="K733" t="str">
            <v>defsi</v>
          </cell>
        </row>
        <row r="734">
          <cell r="B734" t="b">
            <v>1</v>
          </cell>
          <cell r="E734" t="str">
            <v>San Pedro y Libertad</v>
          </cell>
          <cell r="H734" t="str">
            <v>salud_oral</v>
          </cell>
          <cell r="J734" t="str">
            <v>bueno</v>
          </cell>
          <cell r="K734" t="str">
            <v>defsi</v>
          </cell>
        </row>
        <row r="735">
          <cell r="B735" t="b">
            <v>0</v>
          </cell>
          <cell r="E735" t="str">
            <v>San Pedro y Libertad</v>
          </cell>
          <cell r="H735" t="str">
            <v>salud_oral</v>
          </cell>
          <cell r="J735" t="str">
            <v>regular</v>
          </cell>
          <cell r="K735" t="str">
            <v>defsi</v>
          </cell>
        </row>
        <row r="736">
          <cell r="B736" t="b">
            <v>1</v>
          </cell>
          <cell r="E736" t="str">
            <v>San Pedro y Libertad</v>
          </cell>
          <cell r="H736" t="str">
            <v>consulta_externa</v>
          </cell>
          <cell r="J736" t="str">
            <v>bueno</v>
          </cell>
          <cell r="K736" t="str">
            <v>defsi</v>
          </cell>
        </row>
        <row r="737">
          <cell r="B737" t="b">
            <v>1</v>
          </cell>
          <cell r="E737" t="str">
            <v>San Pedro y Libertad</v>
          </cell>
          <cell r="H737" t="str">
            <v>laboratorio</v>
          </cell>
          <cell r="J737" t="str">
            <v>bueno</v>
          </cell>
          <cell r="K737" t="str">
            <v>defsi</v>
          </cell>
        </row>
        <row r="738">
          <cell r="B738" t="b">
            <v>1</v>
          </cell>
          <cell r="E738" t="str">
            <v>Bosque</v>
          </cell>
          <cell r="H738" t="str">
            <v>salud_oral</v>
          </cell>
          <cell r="J738" t="str">
            <v>bueno</v>
          </cell>
          <cell r="K738" t="str">
            <v>probsi</v>
          </cell>
        </row>
        <row r="739">
          <cell r="B739" t="b">
            <v>1</v>
          </cell>
          <cell r="E739" t="str">
            <v>Bosque</v>
          </cell>
          <cell r="H739" t="str">
            <v>salud_oral</v>
          </cell>
          <cell r="J739" t="str">
            <v>bueno</v>
          </cell>
          <cell r="K739" t="str">
            <v>probsi</v>
          </cell>
        </row>
        <row r="740">
          <cell r="B740" t="b">
            <v>1</v>
          </cell>
          <cell r="E740" t="str">
            <v>Bosque</v>
          </cell>
          <cell r="H740" t="str">
            <v>laboratorio</v>
          </cell>
          <cell r="J740" t="str">
            <v>bueno</v>
          </cell>
          <cell r="K740" t="str">
            <v>probsi</v>
          </cell>
        </row>
        <row r="741">
          <cell r="B741" t="b">
            <v>1</v>
          </cell>
          <cell r="E741" t="str">
            <v>San Pedro y Libertad</v>
          </cell>
          <cell r="H741" t="str">
            <v>salud_oral</v>
          </cell>
          <cell r="J741" t="str">
            <v>bueno</v>
          </cell>
          <cell r="K741" t="str">
            <v>defsi</v>
          </cell>
        </row>
        <row r="742">
          <cell r="B742" t="b">
            <v>1</v>
          </cell>
          <cell r="E742" t="str">
            <v>San Pedro y Libertad</v>
          </cell>
          <cell r="H742" t="str">
            <v>laboratorio</v>
          </cell>
          <cell r="J742" t="str">
            <v>bueno</v>
          </cell>
          <cell r="K742" t="str">
            <v>defsi</v>
          </cell>
        </row>
        <row r="743">
          <cell r="B743" t="b">
            <v>1</v>
          </cell>
          <cell r="E743" t="str">
            <v>San Pedro y Libertad</v>
          </cell>
          <cell r="H743" t="str">
            <v>laboratorio</v>
          </cell>
          <cell r="J743" t="str">
            <v>bueno</v>
          </cell>
          <cell r="K743" t="str">
            <v>defsi</v>
          </cell>
        </row>
        <row r="744">
          <cell r="B744" t="b">
            <v>1</v>
          </cell>
          <cell r="E744" t="str">
            <v>San Pedro y Libertad</v>
          </cell>
          <cell r="H744" t="str">
            <v>consulta_externa</v>
          </cell>
          <cell r="J744" t="str">
            <v>bueno</v>
          </cell>
          <cell r="K744" t="str">
            <v>defsi</v>
          </cell>
        </row>
        <row r="745">
          <cell r="B745" t="b">
            <v>1</v>
          </cell>
          <cell r="E745" t="str">
            <v>San Pedro y Libertad</v>
          </cell>
          <cell r="H745" t="str">
            <v>salud_oral</v>
          </cell>
          <cell r="J745" t="str">
            <v>bueno</v>
          </cell>
          <cell r="K745" t="str">
            <v>defsi</v>
          </cell>
        </row>
        <row r="746">
          <cell r="B746" t="b">
            <v>1</v>
          </cell>
          <cell r="E746" t="str">
            <v>San Pedro y Libertad</v>
          </cell>
          <cell r="H746" t="str">
            <v>salud_oral</v>
          </cell>
          <cell r="J746" t="str">
            <v>bueno</v>
          </cell>
          <cell r="K746" t="str">
            <v>defsi</v>
          </cell>
        </row>
        <row r="747">
          <cell r="B747" t="b">
            <v>1</v>
          </cell>
          <cell r="E747" t="str">
            <v>San Pedro y Libertad</v>
          </cell>
          <cell r="H747" t="str">
            <v>laboratorio</v>
          </cell>
          <cell r="J747" t="str">
            <v>muybueno</v>
          </cell>
          <cell r="K747" t="str">
            <v>defsi</v>
          </cell>
        </row>
        <row r="748">
          <cell r="B748" t="b">
            <v>1</v>
          </cell>
          <cell r="E748" t="str">
            <v>Foco Rojo</v>
          </cell>
          <cell r="H748" t="str">
            <v>salud_oral</v>
          </cell>
          <cell r="J748" t="str">
            <v>bueno</v>
          </cell>
          <cell r="K748" t="str">
            <v>defsi</v>
          </cell>
        </row>
        <row r="749">
          <cell r="B749" t="b">
            <v>1</v>
          </cell>
          <cell r="E749" t="str">
            <v>Foco Rojo</v>
          </cell>
          <cell r="H749" t="str">
            <v>consulta_externa</v>
          </cell>
          <cell r="J749" t="str">
            <v>bueno</v>
          </cell>
          <cell r="K749" t="str">
            <v>defsi</v>
          </cell>
        </row>
        <row r="750">
          <cell r="B750" t="b">
            <v>1</v>
          </cell>
          <cell r="E750" t="str">
            <v>Foco Rojo</v>
          </cell>
          <cell r="H750" t="str">
            <v>salud_oral</v>
          </cell>
          <cell r="J750" t="str">
            <v>bueno</v>
          </cell>
          <cell r="K750" t="str">
            <v>defsi</v>
          </cell>
        </row>
        <row r="751">
          <cell r="B751" t="b">
            <v>1</v>
          </cell>
          <cell r="E751" t="str">
            <v>Foco Rojo</v>
          </cell>
          <cell r="H751" t="str">
            <v>laboratorio</v>
          </cell>
          <cell r="J751" t="str">
            <v>bueno</v>
          </cell>
          <cell r="K751" t="str">
            <v>defsi</v>
          </cell>
        </row>
        <row r="752">
          <cell r="B752" t="b">
            <v>1</v>
          </cell>
          <cell r="E752" t="str">
            <v>San Pedro y Libertad</v>
          </cell>
          <cell r="H752" t="str">
            <v>laboratorio</v>
          </cell>
          <cell r="J752" t="str">
            <v>muybueno</v>
          </cell>
          <cell r="K752" t="str">
            <v>defsi</v>
          </cell>
        </row>
        <row r="753">
          <cell r="B753" t="b">
            <v>1</v>
          </cell>
          <cell r="E753" t="str">
            <v>San Pedro y Libertad</v>
          </cell>
          <cell r="H753" t="str">
            <v>laboratorio</v>
          </cell>
          <cell r="J753" t="str">
            <v>bueno</v>
          </cell>
          <cell r="K753" t="str">
            <v>defsi</v>
          </cell>
        </row>
        <row r="754">
          <cell r="B754" t="b">
            <v>1</v>
          </cell>
          <cell r="E754" t="str">
            <v>San Pedro y Libertad</v>
          </cell>
          <cell r="H754" t="str">
            <v>laboratorio</v>
          </cell>
          <cell r="J754" t="str">
            <v>bueno</v>
          </cell>
          <cell r="K754" t="str">
            <v>defsi</v>
          </cell>
        </row>
        <row r="755">
          <cell r="B755" t="b">
            <v>1</v>
          </cell>
          <cell r="E755" t="str">
            <v>San Pedro y Libertad</v>
          </cell>
          <cell r="H755" t="str">
            <v>salud_oral</v>
          </cell>
          <cell r="J755" t="str">
            <v>bueno</v>
          </cell>
          <cell r="K755" t="str">
            <v>defsi</v>
          </cell>
        </row>
        <row r="756">
          <cell r="B756" t="b">
            <v>1</v>
          </cell>
          <cell r="E756" t="str">
            <v>San Pedro y Libertad</v>
          </cell>
          <cell r="H756" t="str">
            <v>salud_oral</v>
          </cell>
          <cell r="J756" t="str">
            <v>bueno</v>
          </cell>
          <cell r="K756" t="str">
            <v>defsi</v>
          </cell>
        </row>
        <row r="757">
          <cell r="B757" t="b">
            <v>0</v>
          </cell>
          <cell r="E757" t="str">
            <v>San Pedro y Libertad</v>
          </cell>
          <cell r="H757" t="str">
            <v>salud_oral</v>
          </cell>
          <cell r="J757" t="str">
            <v>regular</v>
          </cell>
          <cell r="K757" t="str">
            <v>defsi</v>
          </cell>
        </row>
        <row r="758">
          <cell r="B758" t="b">
            <v>1</v>
          </cell>
          <cell r="E758" t="str">
            <v>Blasdelezo</v>
          </cell>
          <cell r="H758" t="str">
            <v>consulta_externa</v>
          </cell>
          <cell r="J758" t="str">
            <v>bueno</v>
          </cell>
          <cell r="K758" t="str">
            <v>probsi</v>
          </cell>
        </row>
        <row r="759">
          <cell r="B759" t="b">
            <v>1</v>
          </cell>
          <cell r="E759" t="str">
            <v>Blasdelezo</v>
          </cell>
          <cell r="H759" t="str">
            <v>laboratorio</v>
          </cell>
          <cell r="J759" t="str">
            <v>bueno</v>
          </cell>
          <cell r="K759" t="str">
            <v>probsi</v>
          </cell>
        </row>
        <row r="760">
          <cell r="B760" t="b">
            <v>1</v>
          </cell>
          <cell r="E760" t="str">
            <v>Blasdelezo</v>
          </cell>
          <cell r="H760" t="str">
            <v>consulta_externa</v>
          </cell>
          <cell r="J760" t="str">
            <v>bueno</v>
          </cell>
          <cell r="K760" t="str">
            <v>probsi</v>
          </cell>
        </row>
        <row r="761">
          <cell r="B761" t="b">
            <v>1</v>
          </cell>
          <cell r="E761" t="str">
            <v>Blasdelezo</v>
          </cell>
          <cell r="H761" t="str">
            <v>consulta_externa</v>
          </cell>
          <cell r="J761" t="str">
            <v>bueno</v>
          </cell>
          <cell r="K761" t="str">
            <v>probsi</v>
          </cell>
        </row>
        <row r="762">
          <cell r="B762" t="b">
            <v>0</v>
          </cell>
          <cell r="E762" t="str">
            <v>Blasdelezo</v>
          </cell>
          <cell r="H762" t="str">
            <v>consulta_externa</v>
          </cell>
          <cell r="J762" t="str">
            <v>regular</v>
          </cell>
          <cell r="K762" t="str">
            <v>probno</v>
          </cell>
        </row>
        <row r="763">
          <cell r="B763" t="b">
            <v>0</v>
          </cell>
          <cell r="E763" t="str">
            <v>Blasdelezo</v>
          </cell>
          <cell r="H763" t="str">
            <v>consulta_externa</v>
          </cell>
          <cell r="J763" t="str">
            <v>regular</v>
          </cell>
          <cell r="K763" t="str">
            <v>probsi</v>
          </cell>
        </row>
        <row r="764">
          <cell r="B764" t="b">
            <v>0</v>
          </cell>
          <cell r="E764" t="str">
            <v>Blasdelezo</v>
          </cell>
          <cell r="H764" t="str">
            <v>urgencia</v>
          </cell>
          <cell r="J764" t="str">
            <v>regular</v>
          </cell>
          <cell r="K764" t="str">
            <v>probsi</v>
          </cell>
        </row>
        <row r="765">
          <cell r="B765" t="b">
            <v>0</v>
          </cell>
          <cell r="E765" t="str">
            <v>Blasdelezo</v>
          </cell>
          <cell r="H765" t="str">
            <v>urgencia</v>
          </cell>
          <cell r="J765" t="str">
            <v>regular</v>
          </cell>
          <cell r="K765" t="str">
            <v>probsi</v>
          </cell>
        </row>
        <row r="766">
          <cell r="B766" t="b">
            <v>0</v>
          </cell>
          <cell r="E766" t="str">
            <v>Blasdelezo</v>
          </cell>
          <cell r="H766" t="str">
            <v>urgencia</v>
          </cell>
          <cell r="J766" t="str">
            <v>regular</v>
          </cell>
          <cell r="K766" t="str">
            <v>probsi</v>
          </cell>
        </row>
        <row r="767">
          <cell r="B767" t="b">
            <v>0</v>
          </cell>
          <cell r="E767" t="str">
            <v>Blasdelezo</v>
          </cell>
          <cell r="H767" t="str">
            <v>consulta_externa</v>
          </cell>
          <cell r="J767" t="str">
            <v>regular</v>
          </cell>
          <cell r="K767" t="str">
            <v>probsi</v>
          </cell>
        </row>
        <row r="768">
          <cell r="B768" t="b">
            <v>1</v>
          </cell>
          <cell r="E768" t="str">
            <v>Blasdelezo</v>
          </cell>
          <cell r="H768" t="str">
            <v>consulta_externa</v>
          </cell>
          <cell r="J768" t="str">
            <v>bueno</v>
          </cell>
          <cell r="K768" t="str">
            <v>probsi</v>
          </cell>
        </row>
        <row r="769">
          <cell r="B769" t="b">
            <v>1</v>
          </cell>
          <cell r="E769" t="str">
            <v>Blasdelezo</v>
          </cell>
          <cell r="H769" t="str">
            <v>consulta_externa</v>
          </cell>
          <cell r="J769" t="str">
            <v>bueno</v>
          </cell>
          <cell r="K769" t="str">
            <v>probsi</v>
          </cell>
        </row>
        <row r="770">
          <cell r="B770" t="b">
            <v>1</v>
          </cell>
          <cell r="E770" t="str">
            <v>Blasdelezo</v>
          </cell>
          <cell r="H770" t="str">
            <v>salud_oral</v>
          </cell>
          <cell r="J770" t="str">
            <v>bueno</v>
          </cell>
          <cell r="K770" t="str">
            <v>probsi</v>
          </cell>
        </row>
        <row r="771">
          <cell r="B771" t="b">
            <v>1</v>
          </cell>
          <cell r="E771" t="str">
            <v>Blasdelezo</v>
          </cell>
          <cell r="H771" t="str">
            <v>salud_oral</v>
          </cell>
          <cell r="J771" t="str">
            <v>bueno</v>
          </cell>
          <cell r="K771" t="str">
            <v>probsi</v>
          </cell>
        </row>
        <row r="772">
          <cell r="B772" t="b">
            <v>1</v>
          </cell>
          <cell r="E772" t="str">
            <v>Blasdelezo</v>
          </cell>
          <cell r="H772" t="str">
            <v>salud_oral</v>
          </cell>
          <cell r="J772" t="str">
            <v>bueno</v>
          </cell>
          <cell r="K772" t="str">
            <v>probsi</v>
          </cell>
        </row>
        <row r="773">
          <cell r="B773" t="b">
            <v>1</v>
          </cell>
          <cell r="E773" t="str">
            <v>Blasdelezo</v>
          </cell>
          <cell r="H773" t="str">
            <v>salud_oral</v>
          </cell>
          <cell r="J773" t="str">
            <v>bueno</v>
          </cell>
          <cell r="K773" t="str">
            <v>probsi</v>
          </cell>
        </row>
        <row r="774">
          <cell r="B774" t="b">
            <v>1</v>
          </cell>
          <cell r="E774" t="str">
            <v>Blasdelezo</v>
          </cell>
          <cell r="H774" t="str">
            <v>salud_oral</v>
          </cell>
          <cell r="J774" t="str">
            <v>bueno</v>
          </cell>
          <cell r="K774" t="str">
            <v>probsi</v>
          </cell>
        </row>
        <row r="775">
          <cell r="B775" t="b">
            <v>0</v>
          </cell>
          <cell r="E775" t="str">
            <v>Blasdelezo</v>
          </cell>
          <cell r="H775" t="str">
            <v>laboratorio</v>
          </cell>
          <cell r="J775" t="str">
            <v>regular</v>
          </cell>
          <cell r="K775" t="str">
            <v>probsi</v>
          </cell>
        </row>
        <row r="776">
          <cell r="B776" t="b">
            <v>1</v>
          </cell>
          <cell r="E776" t="str">
            <v>Blasdelezo</v>
          </cell>
          <cell r="H776" t="str">
            <v>laboratorio</v>
          </cell>
          <cell r="J776" t="str">
            <v>bueno</v>
          </cell>
          <cell r="K776" t="str">
            <v>probsi</v>
          </cell>
        </row>
        <row r="777">
          <cell r="B777" t="b">
            <v>1</v>
          </cell>
          <cell r="E777" t="str">
            <v>Blasdelezo</v>
          </cell>
          <cell r="H777" t="str">
            <v>laboratorio</v>
          </cell>
          <cell r="J777" t="str">
            <v>bueno</v>
          </cell>
          <cell r="K777" t="str">
            <v>probsi</v>
          </cell>
        </row>
        <row r="778">
          <cell r="B778" t="b">
            <v>1</v>
          </cell>
          <cell r="E778" t="str">
            <v>Blasdelezo</v>
          </cell>
          <cell r="H778" t="str">
            <v>laboratorio</v>
          </cell>
          <cell r="J778" t="str">
            <v>bueno</v>
          </cell>
          <cell r="K778" t="str">
            <v>probsi</v>
          </cell>
        </row>
        <row r="779">
          <cell r="B779" t="b">
            <v>1</v>
          </cell>
          <cell r="E779" t="str">
            <v>Blasdelezo</v>
          </cell>
          <cell r="H779" t="str">
            <v>laboratorio</v>
          </cell>
          <cell r="J779" t="str">
            <v>bueno</v>
          </cell>
          <cell r="K779" t="str">
            <v>probsi</v>
          </cell>
        </row>
        <row r="780">
          <cell r="B780" t="b">
            <v>0</v>
          </cell>
          <cell r="E780" t="str">
            <v>Blasdelezo</v>
          </cell>
          <cell r="H780" t="str">
            <v>consulta_externa</v>
          </cell>
          <cell r="J780" t="str">
            <v>regular</v>
          </cell>
          <cell r="K780" t="str">
            <v>probsi</v>
          </cell>
        </row>
        <row r="781">
          <cell r="B781" t="b">
            <v>0</v>
          </cell>
          <cell r="E781" t="str">
            <v>Blasdelezo</v>
          </cell>
          <cell r="H781" t="str">
            <v>salud_oral</v>
          </cell>
          <cell r="J781" t="str">
            <v>regular</v>
          </cell>
          <cell r="K781" t="str">
            <v>probsi</v>
          </cell>
        </row>
        <row r="782">
          <cell r="B782" t="b">
            <v>0</v>
          </cell>
          <cell r="E782" t="str">
            <v>Blasdelezo</v>
          </cell>
          <cell r="H782" t="str">
            <v>laboratorio</v>
          </cell>
          <cell r="J782" t="str">
            <v>regular</v>
          </cell>
          <cell r="K782" t="str">
            <v>probsi</v>
          </cell>
        </row>
        <row r="783">
          <cell r="B783" t="b">
            <v>1</v>
          </cell>
          <cell r="E783" t="str">
            <v>Blasdelezo</v>
          </cell>
          <cell r="H783" t="str">
            <v>consulta_externa</v>
          </cell>
          <cell r="J783" t="str">
            <v>bueno</v>
          </cell>
          <cell r="K783" t="str">
            <v>probsi</v>
          </cell>
        </row>
        <row r="784">
          <cell r="B784" t="b">
            <v>1</v>
          </cell>
          <cell r="E784" t="str">
            <v>Blasdelezo</v>
          </cell>
          <cell r="H784" t="str">
            <v>salud_oral</v>
          </cell>
          <cell r="J784" t="str">
            <v>bueno</v>
          </cell>
          <cell r="K784" t="str">
            <v>probsi</v>
          </cell>
        </row>
        <row r="785">
          <cell r="B785" t="b">
            <v>0</v>
          </cell>
          <cell r="E785" t="str">
            <v>Blasdelezo</v>
          </cell>
          <cell r="H785" t="str">
            <v>urgencia</v>
          </cell>
          <cell r="J785" t="str">
            <v>regular</v>
          </cell>
          <cell r="K785" t="str">
            <v>probsi</v>
          </cell>
        </row>
        <row r="786">
          <cell r="B786" t="b">
            <v>1</v>
          </cell>
          <cell r="E786" t="str">
            <v>Gaviotas</v>
          </cell>
          <cell r="H786" t="str">
            <v>consulta_externa</v>
          </cell>
          <cell r="J786" t="str">
            <v>bueno</v>
          </cell>
          <cell r="K786" t="str">
            <v>defsi</v>
          </cell>
        </row>
        <row r="787">
          <cell r="B787" t="b">
            <v>1</v>
          </cell>
          <cell r="E787" t="str">
            <v>Blasdelezo</v>
          </cell>
          <cell r="H787" t="str">
            <v>consulta_externa</v>
          </cell>
          <cell r="J787" t="str">
            <v>bueno</v>
          </cell>
          <cell r="K787" t="str">
            <v>probsi</v>
          </cell>
        </row>
        <row r="788">
          <cell r="B788" t="b">
            <v>1</v>
          </cell>
          <cell r="E788" t="str">
            <v>Blasdelezo</v>
          </cell>
          <cell r="H788" t="str">
            <v>consulta_externa</v>
          </cell>
          <cell r="J788" t="str">
            <v>bueno</v>
          </cell>
          <cell r="K788" t="str">
            <v>probsi</v>
          </cell>
        </row>
        <row r="789">
          <cell r="B789" t="b">
            <v>1</v>
          </cell>
          <cell r="E789" t="str">
            <v>Blasdelezo</v>
          </cell>
          <cell r="H789" t="str">
            <v>laboratorio</v>
          </cell>
          <cell r="J789" t="str">
            <v>bueno</v>
          </cell>
          <cell r="K789" t="str">
            <v>probsi</v>
          </cell>
        </row>
        <row r="790">
          <cell r="B790" t="b">
            <v>1</v>
          </cell>
          <cell r="E790" t="str">
            <v>Blasdelezo</v>
          </cell>
          <cell r="H790" t="str">
            <v>consulta_externa</v>
          </cell>
          <cell r="J790" t="str">
            <v>bueno</v>
          </cell>
          <cell r="K790" t="str">
            <v>probsi</v>
          </cell>
        </row>
        <row r="791">
          <cell r="B791" t="b">
            <v>1</v>
          </cell>
          <cell r="E791" t="str">
            <v>Gaviotas</v>
          </cell>
          <cell r="H791" t="str">
            <v>salud_oral</v>
          </cell>
          <cell r="J791" t="str">
            <v>bueno</v>
          </cell>
          <cell r="K791" t="str">
            <v>defsi</v>
          </cell>
        </row>
        <row r="792">
          <cell r="B792" t="b">
            <v>1</v>
          </cell>
          <cell r="E792" t="str">
            <v>Gaviotas</v>
          </cell>
          <cell r="H792" t="str">
            <v>laboratorio</v>
          </cell>
          <cell r="J792" t="str">
            <v>bueno</v>
          </cell>
          <cell r="K792" t="str">
            <v>defsi</v>
          </cell>
        </row>
        <row r="793">
          <cell r="B793" t="b">
            <v>1</v>
          </cell>
          <cell r="E793" t="str">
            <v>Gaviotas</v>
          </cell>
          <cell r="H793" t="str">
            <v>consulta_externa</v>
          </cell>
          <cell r="J793" t="str">
            <v>bueno</v>
          </cell>
          <cell r="K793" t="str">
            <v>defsi</v>
          </cell>
        </row>
        <row r="794">
          <cell r="B794" t="b">
            <v>1</v>
          </cell>
          <cell r="E794" t="str">
            <v>Gaviotas</v>
          </cell>
          <cell r="H794" t="str">
            <v>salud_oral</v>
          </cell>
          <cell r="J794" t="str">
            <v>bueno</v>
          </cell>
          <cell r="K794" t="str">
            <v>defsi</v>
          </cell>
        </row>
        <row r="795">
          <cell r="B795" t="b">
            <v>1</v>
          </cell>
          <cell r="E795" t="str">
            <v>Gaviotas</v>
          </cell>
          <cell r="H795" t="str">
            <v>laboratorio</v>
          </cell>
          <cell r="J795" t="str">
            <v>bueno</v>
          </cell>
          <cell r="K795" t="str">
            <v>defsi</v>
          </cell>
        </row>
        <row r="796">
          <cell r="B796" t="b">
            <v>1</v>
          </cell>
          <cell r="E796" t="str">
            <v>Esperanza</v>
          </cell>
          <cell r="H796" t="str">
            <v>consulta_externa</v>
          </cell>
          <cell r="J796" t="str">
            <v>bueno</v>
          </cell>
          <cell r="K796" t="str">
            <v>probno</v>
          </cell>
        </row>
        <row r="797">
          <cell r="B797" t="b">
            <v>1</v>
          </cell>
          <cell r="E797" t="str">
            <v>Esperanza</v>
          </cell>
          <cell r="H797" t="str">
            <v>salud_oral</v>
          </cell>
          <cell r="J797" t="str">
            <v>bueno</v>
          </cell>
          <cell r="K797" t="str">
            <v>probno</v>
          </cell>
        </row>
        <row r="798">
          <cell r="B798" t="b">
            <v>1</v>
          </cell>
          <cell r="E798" t="str">
            <v>Esperanza</v>
          </cell>
          <cell r="H798" t="str">
            <v>consulta_externa</v>
          </cell>
          <cell r="J798" t="str">
            <v>bueno</v>
          </cell>
          <cell r="K798" t="str">
            <v>defsi</v>
          </cell>
        </row>
        <row r="799">
          <cell r="B799" t="b">
            <v>1</v>
          </cell>
          <cell r="E799" t="str">
            <v>Esperanza</v>
          </cell>
          <cell r="H799" t="str">
            <v>laboratorio</v>
          </cell>
          <cell r="J799" t="str">
            <v>bueno</v>
          </cell>
          <cell r="K799" t="str">
            <v>defsi</v>
          </cell>
        </row>
        <row r="800">
          <cell r="B800" t="b">
            <v>1</v>
          </cell>
          <cell r="E800" t="str">
            <v>Esperanza</v>
          </cell>
          <cell r="H800" t="str">
            <v>laboratorio</v>
          </cell>
          <cell r="J800" t="str">
            <v>bueno</v>
          </cell>
          <cell r="K800" t="str">
            <v>defsi</v>
          </cell>
        </row>
        <row r="801">
          <cell r="B801" t="b">
            <v>1</v>
          </cell>
          <cell r="E801" t="str">
            <v>Esperanza</v>
          </cell>
          <cell r="H801" t="str">
            <v>consulta_externa</v>
          </cell>
          <cell r="J801" t="str">
            <v>bueno</v>
          </cell>
          <cell r="K801" t="str">
            <v>defsi</v>
          </cell>
        </row>
        <row r="802">
          <cell r="B802" t="b">
            <v>0</v>
          </cell>
          <cell r="E802" t="str">
            <v>Esperanza</v>
          </cell>
          <cell r="H802" t="str">
            <v>consulta_externa</v>
          </cell>
          <cell r="J802" t="str">
            <v>regular</v>
          </cell>
          <cell r="K802" t="str">
            <v>defsi</v>
          </cell>
        </row>
        <row r="803">
          <cell r="B803" t="b">
            <v>1</v>
          </cell>
          <cell r="E803" t="str">
            <v>Esperanza</v>
          </cell>
          <cell r="H803" t="str">
            <v>electros</v>
          </cell>
          <cell r="J803" t="str">
            <v>bueno</v>
          </cell>
          <cell r="K803" t="str">
            <v>defsi</v>
          </cell>
        </row>
        <row r="804">
          <cell r="B804" t="b">
            <v>1</v>
          </cell>
          <cell r="E804" t="str">
            <v>Esperanza</v>
          </cell>
          <cell r="H804" t="str">
            <v>electros</v>
          </cell>
          <cell r="J804" t="str">
            <v>bueno</v>
          </cell>
          <cell r="K804" t="str">
            <v>defsi</v>
          </cell>
        </row>
        <row r="805">
          <cell r="B805" t="b">
            <v>1</v>
          </cell>
          <cell r="E805" t="str">
            <v>Esperanza</v>
          </cell>
          <cell r="H805" t="str">
            <v>electros</v>
          </cell>
          <cell r="J805" t="str">
            <v>bueno</v>
          </cell>
          <cell r="K805" t="str">
            <v>defsi</v>
          </cell>
        </row>
        <row r="806">
          <cell r="B806" t="b">
            <v>1</v>
          </cell>
          <cell r="E806" t="str">
            <v>Gaviotas</v>
          </cell>
          <cell r="H806" t="str">
            <v>consulta_externa</v>
          </cell>
          <cell r="J806" t="str">
            <v>bueno</v>
          </cell>
          <cell r="K806" t="str">
            <v>defsi</v>
          </cell>
        </row>
        <row r="807">
          <cell r="B807" t="b">
            <v>1</v>
          </cell>
          <cell r="E807" t="str">
            <v>Gaviotas</v>
          </cell>
          <cell r="H807" t="str">
            <v>salud_oral</v>
          </cell>
          <cell r="J807" t="str">
            <v>bueno</v>
          </cell>
          <cell r="K807" t="str">
            <v>defsi</v>
          </cell>
        </row>
        <row r="808">
          <cell r="B808" t="b">
            <v>1</v>
          </cell>
          <cell r="E808" t="str">
            <v>Gaviotas</v>
          </cell>
          <cell r="H808" t="str">
            <v>laboratorio</v>
          </cell>
          <cell r="J808" t="str">
            <v>bueno</v>
          </cell>
          <cell r="K808" t="str">
            <v>defsi</v>
          </cell>
        </row>
        <row r="809">
          <cell r="B809" t="b">
            <v>1</v>
          </cell>
          <cell r="E809" t="str">
            <v>Gaviotas</v>
          </cell>
          <cell r="H809" t="str">
            <v>consulta_externa</v>
          </cell>
          <cell r="J809" t="str">
            <v>bueno</v>
          </cell>
          <cell r="K809" t="str">
            <v>defsi</v>
          </cell>
        </row>
        <row r="810">
          <cell r="B810" t="b">
            <v>1</v>
          </cell>
          <cell r="E810" t="str">
            <v>Gaviotas</v>
          </cell>
          <cell r="H810" t="str">
            <v>salud_oral</v>
          </cell>
          <cell r="J810" t="str">
            <v>bueno</v>
          </cell>
          <cell r="K810" t="str">
            <v>defsi</v>
          </cell>
        </row>
        <row r="811">
          <cell r="B811" t="b">
            <v>1</v>
          </cell>
          <cell r="E811" t="str">
            <v>Gaviotas</v>
          </cell>
          <cell r="H811" t="str">
            <v>laboratorio</v>
          </cell>
          <cell r="J811" t="str">
            <v>bueno</v>
          </cell>
          <cell r="K811" t="str">
            <v>defsi</v>
          </cell>
        </row>
        <row r="812">
          <cell r="B812" t="b">
            <v>1</v>
          </cell>
          <cell r="E812" t="str">
            <v>Gaviotas</v>
          </cell>
          <cell r="H812" t="str">
            <v>consulta_externa</v>
          </cell>
          <cell r="J812" t="str">
            <v>bueno</v>
          </cell>
          <cell r="K812" t="str">
            <v>defsi</v>
          </cell>
        </row>
        <row r="813">
          <cell r="B813" t="b">
            <v>1</v>
          </cell>
          <cell r="E813" t="str">
            <v>Gaviotas</v>
          </cell>
          <cell r="H813" t="str">
            <v>salud_oral</v>
          </cell>
          <cell r="J813" t="str">
            <v>bueno</v>
          </cell>
          <cell r="K813" t="str">
            <v>defsi</v>
          </cell>
        </row>
        <row r="814">
          <cell r="B814" t="b">
            <v>1</v>
          </cell>
          <cell r="E814" t="str">
            <v>Gaviotas</v>
          </cell>
          <cell r="H814" t="str">
            <v>laboratorio</v>
          </cell>
          <cell r="J814" t="str">
            <v>bueno</v>
          </cell>
          <cell r="K814" t="str">
            <v>defsi</v>
          </cell>
        </row>
        <row r="815">
          <cell r="B815" t="b">
            <v>1</v>
          </cell>
          <cell r="E815" t="str">
            <v>Gaviotas</v>
          </cell>
          <cell r="H815" t="str">
            <v>consulta_externa</v>
          </cell>
          <cell r="J815" t="str">
            <v>bueno</v>
          </cell>
          <cell r="K815" t="str">
            <v>defsi</v>
          </cell>
        </row>
        <row r="816">
          <cell r="B816" t="b">
            <v>1</v>
          </cell>
          <cell r="E816" t="str">
            <v>Gaviotas</v>
          </cell>
          <cell r="H816" t="str">
            <v>salud_oral</v>
          </cell>
          <cell r="J816" t="str">
            <v>bueno</v>
          </cell>
          <cell r="K816" t="str">
            <v>defsi</v>
          </cell>
        </row>
        <row r="817">
          <cell r="B817" t="b">
            <v>1</v>
          </cell>
          <cell r="E817" t="str">
            <v>Gaviotas</v>
          </cell>
          <cell r="H817" t="str">
            <v>laboratorio</v>
          </cell>
          <cell r="J817" t="str">
            <v>bueno</v>
          </cell>
          <cell r="K817" t="str">
            <v>defsi</v>
          </cell>
        </row>
        <row r="818">
          <cell r="B818" t="b">
            <v>1</v>
          </cell>
          <cell r="E818" t="str">
            <v>Gaviotas</v>
          </cell>
          <cell r="H818" t="str">
            <v>consulta_externa</v>
          </cell>
          <cell r="J818" t="str">
            <v>bueno</v>
          </cell>
          <cell r="K818" t="str">
            <v>defsi</v>
          </cell>
        </row>
        <row r="819">
          <cell r="B819" t="b">
            <v>1</v>
          </cell>
          <cell r="E819" t="str">
            <v>Gaviotas</v>
          </cell>
          <cell r="H819" t="str">
            <v>salud_oral</v>
          </cell>
          <cell r="J819" t="str">
            <v>bueno</v>
          </cell>
          <cell r="K819" t="str">
            <v>defsi</v>
          </cell>
        </row>
        <row r="820">
          <cell r="B820" t="b">
            <v>1</v>
          </cell>
          <cell r="E820" t="str">
            <v>Gaviotas</v>
          </cell>
          <cell r="H820" t="str">
            <v>laboratorio</v>
          </cell>
          <cell r="J820" t="str">
            <v>bueno</v>
          </cell>
          <cell r="K820" t="str">
            <v>defsi</v>
          </cell>
        </row>
        <row r="821">
          <cell r="B821" t="b">
            <v>1</v>
          </cell>
          <cell r="E821" t="str">
            <v>Esperanza</v>
          </cell>
          <cell r="H821" t="str">
            <v>electros</v>
          </cell>
          <cell r="J821" t="str">
            <v>bueno</v>
          </cell>
          <cell r="K821" t="str">
            <v>defsi</v>
          </cell>
        </row>
        <row r="822">
          <cell r="B822" t="b">
            <v>1</v>
          </cell>
          <cell r="E822" t="str">
            <v>Esperanza</v>
          </cell>
          <cell r="H822" t="str">
            <v>electros</v>
          </cell>
          <cell r="J822" t="str">
            <v>bueno</v>
          </cell>
          <cell r="K822" t="str">
            <v>defsi</v>
          </cell>
        </row>
        <row r="823">
          <cell r="B823" t="b">
            <v>1</v>
          </cell>
          <cell r="E823" t="str">
            <v>Esperanza</v>
          </cell>
          <cell r="H823" t="str">
            <v>consulta_externa</v>
          </cell>
          <cell r="J823" t="str">
            <v>bueno</v>
          </cell>
          <cell r="K823" t="str">
            <v>defsi</v>
          </cell>
        </row>
        <row r="824">
          <cell r="B824" t="b">
            <v>1</v>
          </cell>
          <cell r="E824" t="str">
            <v>Esperanza</v>
          </cell>
          <cell r="H824" t="str">
            <v>consulta_externa</v>
          </cell>
          <cell r="J824" t="str">
            <v>bueno</v>
          </cell>
          <cell r="K824" t="str">
            <v>defsi</v>
          </cell>
        </row>
        <row r="825">
          <cell r="B825" t="b">
            <v>1</v>
          </cell>
          <cell r="E825" t="str">
            <v>Gaviotas</v>
          </cell>
          <cell r="H825" t="str">
            <v>consulta_externa</v>
          </cell>
          <cell r="J825" t="str">
            <v>bueno</v>
          </cell>
          <cell r="K825" t="str">
            <v>defsi</v>
          </cell>
        </row>
        <row r="826">
          <cell r="B826" t="b">
            <v>1</v>
          </cell>
          <cell r="E826" t="str">
            <v>Gaviotas</v>
          </cell>
          <cell r="H826" t="str">
            <v>salud_oral</v>
          </cell>
          <cell r="J826" t="str">
            <v>bueno</v>
          </cell>
          <cell r="K826" t="str">
            <v>defsi</v>
          </cell>
        </row>
        <row r="827">
          <cell r="B827" t="b">
            <v>1</v>
          </cell>
          <cell r="E827" t="str">
            <v>Gaviotas</v>
          </cell>
          <cell r="H827" t="str">
            <v>laboratorio</v>
          </cell>
          <cell r="J827" t="str">
            <v>bueno</v>
          </cell>
          <cell r="K827" t="str">
            <v>defsi</v>
          </cell>
        </row>
        <row r="828">
          <cell r="B828" t="b">
            <v>1</v>
          </cell>
          <cell r="E828" t="str">
            <v>Esperanza</v>
          </cell>
          <cell r="H828" t="str">
            <v>consulta_externa</v>
          </cell>
          <cell r="J828" t="str">
            <v>muybueno</v>
          </cell>
          <cell r="K828" t="str">
            <v>defsi</v>
          </cell>
        </row>
        <row r="829">
          <cell r="B829" t="b">
            <v>1</v>
          </cell>
          <cell r="E829" t="str">
            <v>Esperanza</v>
          </cell>
          <cell r="H829" t="str">
            <v>laboratorio</v>
          </cell>
          <cell r="J829" t="str">
            <v>muybueno</v>
          </cell>
          <cell r="K829" t="str">
            <v>defsi</v>
          </cell>
        </row>
        <row r="830">
          <cell r="B830" t="b">
            <v>1</v>
          </cell>
          <cell r="E830" t="str">
            <v>Esperanza</v>
          </cell>
          <cell r="H830" t="str">
            <v>consulta_externa</v>
          </cell>
          <cell r="J830" t="str">
            <v>bueno</v>
          </cell>
          <cell r="K830" t="str">
            <v>defsi</v>
          </cell>
        </row>
        <row r="831">
          <cell r="B831" t="b">
            <v>1</v>
          </cell>
          <cell r="E831" t="str">
            <v>Esperanza</v>
          </cell>
          <cell r="H831" t="str">
            <v>laboratorio</v>
          </cell>
          <cell r="J831" t="str">
            <v>bueno</v>
          </cell>
          <cell r="K831" t="str">
            <v>defsi</v>
          </cell>
        </row>
        <row r="832">
          <cell r="B832" t="b">
            <v>1</v>
          </cell>
          <cell r="E832" t="str">
            <v>Esperanza</v>
          </cell>
          <cell r="H832" t="str">
            <v>electros</v>
          </cell>
          <cell r="J832" t="str">
            <v>bueno</v>
          </cell>
          <cell r="K832" t="str">
            <v>defsi</v>
          </cell>
        </row>
        <row r="833">
          <cell r="B833" t="b">
            <v>1</v>
          </cell>
          <cell r="E833" t="str">
            <v>Esperanza</v>
          </cell>
          <cell r="H833" t="str">
            <v>consulta_externa</v>
          </cell>
          <cell r="J833" t="str">
            <v>muybueno</v>
          </cell>
          <cell r="K833" t="str">
            <v>defsi</v>
          </cell>
        </row>
        <row r="834">
          <cell r="B834" t="b">
            <v>1</v>
          </cell>
          <cell r="E834" t="str">
            <v>Esperanza</v>
          </cell>
          <cell r="H834" t="str">
            <v>laboratorio</v>
          </cell>
          <cell r="J834" t="str">
            <v>bueno</v>
          </cell>
          <cell r="K834" t="str">
            <v>defsi</v>
          </cell>
        </row>
        <row r="835">
          <cell r="B835" t="b">
            <v>1</v>
          </cell>
          <cell r="E835" t="str">
            <v>Esperanza</v>
          </cell>
          <cell r="H835" t="str">
            <v>consulta_externa</v>
          </cell>
          <cell r="J835" t="str">
            <v>bueno</v>
          </cell>
          <cell r="K835" t="str">
            <v>defsi</v>
          </cell>
        </row>
        <row r="836">
          <cell r="B836" t="b">
            <v>0</v>
          </cell>
          <cell r="E836" t="str">
            <v>Esperanza</v>
          </cell>
          <cell r="H836" t="str">
            <v>salud_oral</v>
          </cell>
          <cell r="J836" t="str">
            <v>regular</v>
          </cell>
          <cell r="K836" t="str">
            <v>defsi</v>
          </cell>
        </row>
        <row r="837">
          <cell r="B837" t="b">
            <v>0</v>
          </cell>
          <cell r="E837" t="str">
            <v>Esperanza</v>
          </cell>
          <cell r="H837" t="str">
            <v>urgencia</v>
          </cell>
          <cell r="J837" t="str">
            <v>regular</v>
          </cell>
          <cell r="K837" t="str">
            <v>probsi</v>
          </cell>
        </row>
        <row r="838">
          <cell r="B838" t="b">
            <v>0</v>
          </cell>
          <cell r="E838" t="str">
            <v>Esperanza</v>
          </cell>
          <cell r="H838" t="str">
            <v>consulta_externa</v>
          </cell>
          <cell r="J838" t="str">
            <v>regular</v>
          </cell>
          <cell r="K838" t="str">
            <v>probsi</v>
          </cell>
        </row>
        <row r="839">
          <cell r="B839" t="b">
            <v>1</v>
          </cell>
          <cell r="E839" t="str">
            <v>Esperanza</v>
          </cell>
          <cell r="H839" t="str">
            <v>salud_oral</v>
          </cell>
          <cell r="J839" t="str">
            <v>bueno</v>
          </cell>
          <cell r="K839" t="str">
            <v>probsi</v>
          </cell>
        </row>
        <row r="840">
          <cell r="B840" t="b">
            <v>0</v>
          </cell>
          <cell r="E840" t="str">
            <v>Esperanza</v>
          </cell>
          <cell r="H840" t="str">
            <v>salud_oral</v>
          </cell>
          <cell r="J840" t="str">
            <v>regular</v>
          </cell>
          <cell r="K840" t="str">
            <v>probsi</v>
          </cell>
        </row>
        <row r="841">
          <cell r="B841" t="b">
            <v>1</v>
          </cell>
          <cell r="E841" t="str">
            <v>Esperanza</v>
          </cell>
          <cell r="H841" t="str">
            <v>salud_oral</v>
          </cell>
          <cell r="J841" t="str">
            <v>bueno</v>
          </cell>
          <cell r="K841" t="str">
            <v>defsi</v>
          </cell>
        </row>
        <row r="842">
          <cell r="B842" t="b">
            <v>1</v>
          </cell>
          <cell r="E842" t="str">
            <v>Blasdelezo</v>
          </cell>
          <cell r="H842" t="str">
            <v>laboratorio</v>
          </cell>
          <cell r="J842" t="str">
            <v>bueno</v>
          </cell>
          <cell r="K842" t="str">
            <v>probsi</v>
          </cell>
        </row>
        <row r="843">
          <cell r="B843" t="b">
            <v>1</v>
          </cell>
          <cell r="E843" t="str">
            <v>Blasdelezo</v>
          </cell>
          <cell r="H843" t="str">
            <v>laboratorio</v>
          </cell>
          <cell r="J843" t="str">
            <v>bueno</v>
          </cell>
          <cell r="K843" t="str">
            <v>probsi</v>
          </cell>
        </row>
        <row r="844">
          <cell r="B844" t="b">
            <v>1</v>
          </cell>
          <cell r="E844" t="str">
            <v>Blasdelezo</v>
          </cell>
          <cell r="H844" t="str">
            <v>laboratorio</v>
          </cell>
          <cell r="J844" t="str">
            <v>bueno</v>
          </cell>
          <cell r="K844" t="str">
            <v>probsi</v>
          </cell>
        </row>
        <row r="845">
          <cell r="B845" t="b">
            <v>1</v>
          </cell>
          <cell r="E845" t="str">
            <v>Esperanza</v>
          </cell>
          <cell r="H845" t="str">
            <v>salud_oral</v>
          </cell>
          <cell r="J845" t="str">
            <v>bueno</v>
          </cell>
          <cell r="K845" t="str">
            <v>defsi</v>
          </cell>
        </row>
        <row r="846">
          <cell r="B846" t="b">
            <v>1</v>
          </cell>
          <cell r="E846" t="str">
            <v>Blasdelezo</v>
          </cell>
          <cell r="H846" t="str">
            <v>salud_oral</v>
          </cell>
          <cell r="J846" t="str">
            <v>bueno</v>
          </cell>
          <cell r="K846" t="str">
            <v>probsi</v>
          </cell>
        </row>
        <row r="847">
          <cell r="B847" t="b">
            <v>1</v>
          </cell>
          <cell r="E847" t="str">
            <v>Esperanza</v>
          </cell>
          <cell r="H847" t="str">
            <v>consulta_externa</v>
          </cell>
          <cell r="J847" t="str">
            <v>bueno</v>
          </cell>
          <cell r="K847" t="str">
            <v>defsi</v>
          </cell>
        </row>
        <row r="848">
          <cell r="B848" t="b">
            <v>1</v>
          </cell>
          <cell r="E848" t="str">
            <v>Blasdelezo</v>
          </cell>
          <cell r="H848" t="str">
            <v>salud_oral</v>
          </cell>
          <cell r="J848" t="str">
            <v>bueno</v>
          </cell>
          <cell r="K848" t="str">
            <v>probsi</v>
          </cell>
        </row>
        <row r="849">
          <cell r="B849" t="b">
            <v>1</v>
          </cell>
          <cell r="E849" t="str">
            <v>Blasdelezo</v>
          </cell>
          <cell r="H849" t="str">
            <v>urgencia</v>
          </cell>
          <cell r="J849" t="str">
            <v>bueno</v>
          </cell>
          <cell r="K849" t="str">
            <v>probsi</v>
          </cell>
        </row>
        <row r="850">
          <cell r="B850" t="b">
            <v>1</v>
          </cell>
          <cell r="E850" t="str">
            <v>Esperanza</v>
          </cell>
          <cell r="H850" t="str">
            <v>laboratorio</v>
          </cell>
          <cell r="J850" t="str">
            <v>bueno</v>
          </cell>
          <cell r="K850" t="str">
            <v>defsi</v>
          </cell>
        </row>
        <row r="851">
          <cell r="B851" t="b">
            <v>1</v>
          </cell>
          <cell r="E851" t="str">
            <v>Blasdelezo</v>
          </cell>
          <cell r="H851" t="str">
            <v>urgencia</v>
          </cell>
          <cell r="J851" t="str">
            <v>bueno</v>
          </cell>
          <cell r="K851" t="str">
            <v>probsi</v>
          </cell>
        </row>
        <row r="852">
          <cell r="B852" t="b">
            <v>1</v>
          </cell>
          <cell r="E852" t="str">
            <v>Blasdelezo</v>
          </cell>
          <cell r="H852" t="str">
            <v>urgencia</v>
          </cell>
          <cell r="J852" t="str">
            <v>bueno</v>
          </cell>
          <cell r="K852" t="str">
            <v>probsi</v>
          </cell>
        </row>
        <row r="853">
          <cell r="B853" t="b">
            <v>0</v>
          </cell>
          <cell r="E853" t="str">
            <v>Blasdelezo</v>
          </cell>
          <cell r="H853" t="str">
            <v>urgencia</v>
          </cell>
          <cell r="J853" t="str">
            <v>regular</v>
          </cell>
          <cell r="K853" t="str">
            <v>probsi</v>
          </cell>
        </row>
        <row r="854">
          <cell r="B854" t="b">
            <v>1</v>
          </cell>
          <cell r="E854" t="str">
            <v>Esperanza</v>
          </cell>
          <cell r="H854" t="str">
            <v>laboratorio</v>
          </cell>
          <cell r="J854" t="str">
            <v>bueno</v>
          </cell>
          <cell r="K854" t="str">
            <v>defsi</v>
          </cell>
        </row>
        <row r="855">
          <cell r="B855" t="b">
            <v>1</v>
          </cell>
          <cell r="E855" t="str">
            <v>Esperanza</v>
          </cell>
          <cell r="H855" t="str">
            <v>consulta_externa</v>
          </cell>
          <cell r="J855" t="str">
            <v>bueno</v>
          </cell>
          <cell r="K855" t="str">
            <v>defsi</v>
          </cell>
        </row>
        <row r="856">
          <cell r="B856" t="b">
            <v>1</v>
          </cell>
          <cell r="E856" t="str">
            <v>Esperanza</v>
          </cell>
          <cell r="H856" t="str">
            <v>laboratorio</v>
          </cell>
          <cell r="J856" t="str">
            <v>bueno</v>
          </cell>
          <cell r="K856" t="str">
            <v>defsi</v>
          </cell>
        </row>
        <row r="857">
          <cell r="B857" t="b">
            <v>1</v>
          </cell>
          <cell r="E857" t="str">
            <v>Gaviotas</v>
          </cell>
          <cell r="H857" t="str">
            <v>consulta_externa</v>
          </cell>
          <cell r="J857" t="str">
            <v>bueno</v>
          </cell>
          <cell r="K857" t="str">
            <v>defsi</v>
          </cell>
        </row>
        <row r="858">
          <cell r="B858" t="b">
            <v>1</v>
          </cell>
          <cell r="E858" t="str">
            <v>Gaviotas</v>
          </cell>
          <cell r="H858" t="str">
            <v>salud_oral</v>
          </cell>
          <cell r="J858" t="str">
            <v>bueno</v>
          </cell>
          <cell r="K858" t="str">
            <v>defsi</v>
          </cell>
        </row>
        <row r="859">
          <cell r="B859" t="b">
            <v>1</v>
          </cell>
          <cell r="E859" t="str">
            <v>Gaviotas</v>
          </cell>
          <cell r="H859" t="str">
            <v>laboratorio</v>
          </cell>
          <cell r="J859" t="str">
            <v>bueno</v>
          </cell>
          <cell r="K859" t="str">
            <v>defsi</v>
          </cell>
        </row>
        <row r="860">
          <cell r="B860" t="b">
            <v>1</v>
          </cell>
          <cell r="E860" t="str">
            <v>Gaviotas</v>
          </cell>
          <cell r="H860" t="str">
            <v>consulta_externa</v>
          </cell>
          <cell r="J860" t="str">
            <v>bueno</v>
          </cell>
          <cell r="K860" t="str">
            <v>defsi</v>
          </cell>
        </row>
        <row r="861">
          <cell r="B861" t="b">
            <v>1</v>
          </cell>
          <cell r="E861" t="str">
            <v>Gaviotas</v>
          </cell>
          <cell r="H861" t="str">
            <v>salud_oral</v>
          </cell>
          <cell r="J861" t="str">
            <v>bueno</v>
          </cell>
          <cell r="K861" t="str">
            <v>defsi</v>
          </cell>
        </row>
        <row r="862">
          <cell r="B862" t="b">
            <v>1</v>
          </cell>
          <cell r="E862" t="str">
            <v>Gaviotas</v>
          </cell>
          <cell r="H862" t="str">
            <v>laboratorio</v>
          </cell>
          <cell r="J862" t="str">
            <v>bueno</v>
          </cell>
          <cell r="K862" t="str">
            <v>defsi</v>
          </cell>
        </row>
        <row r="863">
          <cell r="B863" t="b">
            <v>1</v>
          </cell>
          <cell r="E863" t="str">
            <v>Gaviotas</v>
          </cell>
          <cell r="H863" t="str">
            <v>consulta_externa</v>
          </cell>
          <cell r="J863" t="str">
            <v>bueno</v>
          </cell>
          <cell r="K863" t="str">
            <v>defsi</v>
          </cell>
        </row>
        <row r="864">
          <cell r="B864" t="b">
            <v>1</v>
          </cell>
          <cell r="E864" t="str">
            <v>Gaviotas</v>
          </cell>
          <cell r="H864" t="str">
            <v>salud_oral</v>
          </cell>
          <cell r="J864" t="str">
            <v>bueno</v>
          </cell>
          <cell r="K864" t="str">
            <v>defsi</v>
          </cell>
        </row>
        <row r="865">
          <cell r="B865" t="b">
            <v>1</v>
          </cell>
          <cell r="E865" t="str">
            <v>Gaviotas</v>
          </cell>
          <cell r="H865" t="str">
            <v>laboratorio</v>
          </cell>
          <cell r="J865" t="str">
            <v>bueno</v>
          </cell>
          <cell r="K865" t="str">
            <v>defsi</v>
          </cell>
        </row>
        <row r="866">
          <cell r="B866" t="b">
            <v>1</v>
          </cell>
          <cell r="E866" t="str">
            <v>Gaviotas</v>
          </cell>
          <cell r="H866" t="str">
            <v>consulta_externa</v>
          </cell>
          <cell r="J866" t="str">
            <v>bueno</v>
          </cell>
          <cell r="K866" t="str">
            <v>defsi</v>
          </cell>
        </row>
        <row r="867">
          <cell r="B867" t="b">
            <v>1</v>
          </cell>
          <cell r="E867" t="str">
            <v>Gaviotas</v>
          </cell>
          <cell r="H867" t="str">
            <v>salud_oral</v>
          </cell>
          <cell r="J867" t="str">
            <v>bueno</v>
          </cell>
          <cell r="K867" t="str">
            <v>defsi</v>
          </cell>
        </row>
        <row r="868">
          <cell r="B868" t="b">
            <v>1</v>
          </cell>
          <cell r="E868" t="str">
            <v>Foco Rojo</v>
          </cell>
          <cell r="H868" t="str">
            <v>consulta_externa</v>
          </cell>
          <cell r="J868" t="str">
            <v>bueno</v>
          </cell>
          <cell r="K868" t="str">
            <v>defsi</v>
          </cell>
        </row>
        <row r="869">
          <cell r="B869" t="b">
            <v>1</v>
          </cell>
          <cell r="E869" t="str">
            <v>Foco Rojo</v>
          </cell>
          <cell r="H869" t="str">
            <v>salud_oral</v>
          </cell>
          <cell r="J869" t="str">
            <v>bueno</v>
          </cell>
          <cell r="K869" t="str">
            <v>defsi</v>
          </cell>
        </row>
        <row r="870">
          <cell r="B870" t="b">
            <v>1</v>
          </cell>
          <cell r="E870" t="str">
            <v>Esperanza</v>
          </cell>
          <cell r="H870" t="str">
            <v>consulta_externa</v>
          </cell>
          <cell r="J870" t="str">
            <v>bueno</v>
          </cell>
          <cell r="K870" t="str">
            <v>defsi</v>
          </cell>
        </row>
        <row r="871">
          <cell r="B871" t="b">
            <v>1</v>
          </cell>
          <cell r="E871" t="str">
            <v>Esperanza</v>
          </cell>
          <cell r="H871" t="str">
            <v>electros</v>
          </cell>
          <cell r="J871" t="str">
            <v>bueno</v>
          </cell>
          <cell r="K871" t="str">
            <v>defsi</v>
          </cell>
        </row>
        <row r="872">
          <cell r="B872" t="b">
            <v>1</v>
          </cell>
          <cell r="E872" t="str">
            <v>Esperanza</v>
          </cell>
          <cell r="H872" t="str">
            <v>electros</v>
          </cell>
          <cell r="J872" t="str">
            <v>bueno</v>
          </cell>
          <cell r="K872" t="str">
            <v>defsi</v>
          </cell>
        </row>
        <row r="873">
          <cell r="B873" t="b">
            <v>1</v>
          </cell>
          <cell r="E873" t="str">
            <v>Esperanza</v>
          </cell>
          <cell r="H873" t="str">
            <v>electros</v>
          </cell>
          <cell r="J873" t="str">
            <v>muybueno</v>
          </cell>
          <cell r="K873" t="str">
            <v>defsi</v>
          </cell>
        </row>
        <row r="874">
          <cell r="B874" t="b">
            <v>1</v>
          </cell>
          <cell r="E874" t="str">
            <v>Esperanza</v>
          </cell>
          <cell r="H874" t="str">
            <v>salud_oral</v>
          </cell>
          <cell r="J874" t="str">
            <v>bueno</v>
          </cell>
          <cell r="K874" t="str">
            <v>defsi</v>
          </cell>
        </row>
        <row r="875">
          <cell r="B875" t="b">
            <v>1</v>
          </cell>
          <cell r="E875" t="str">
            <v>Esperanza</v>
          </cell>
          <cell r="H875" t="str">
            <v>electros</v>
          </cell>
          <cell r="J875" t="str">
            <v>bueno</v>
          </cell>
          <cell r="K875" t="str">
            <v>defsi</v>
          </cell>
        </row>
        <row r="876">
          <cell r="B876" t="b">
            <v>1</v>
          </cell>
          <cell r="E876" t="str">
            <v>Esperanza</v>
          </cell>
          <cell r="H876" t="str">
            <v>consulta_externa</v>
          </cell>
          <cell r="J876" t="str">
            <v>bueno</v>
          </cell>
          <cell r="K876" t="str">
            <v>defsi</v>
          </cell>
        </row>
        <row r="877">
          <cell r="B877" t="b">
            <v>1</v>
          </cell>
          <cell r="E877" t="str">
            <v>Esperanza</v>
          </cell>
          <cell r="H877" t="str">
            <v>laboratorio</v>
          </cell>
          <cell r="J877" t="str">
            <v>bueno</v>
          </cell>
          <cell r="K877" t="str">
            <v>defsi</v>
          </cell>
        </row>
        <row r="878">
          <cell r="B878" t="b">
            <v>1</v>
          </cell>
          <cell r="E878" t="str">
            <v>Esperanza</v>
          </cell>
          <cell r="H878" t="str">
            <v>salud_oral</v>
          </cell>
          <cell r="J878" t="str">
            <v>bueno</v>
          </cell>
          <cell r="K878" t="str">
            <v>defsi</v>
          </cell>
        </row>
        <row r="879">
          <cell r="B879" t="b">
            <v>1</v>
          </cell>
          <cell r="E879" t="str">
            <v>Esperanza</v>
          </cell>
          <cell r="H879" t="str">
            <v>consulta_externa</v>
          </cell>
          <cell r="J879" t="str">
            <v>bueno</v>
          </cell>
          <cell r="K879" t="str">
            <v>defsi</v>
          </cell>
        </row>
        <row r="880">
          <cell r="B880" t="b">
            <v>1</v>
          </cell>
          <cell r="E880" t="str">
            <v>Esperanza</v>
          </cell>
          <cell r="H880" t="str">
            <v>laboratorio</v>
          </cell>
          <cell r="J880" t="str">
            <v>bueno</v>
          </cell>
          <cell r="K880" t="str">
            <v>defsi</v>
          </cell>
        </row>
        <row r="881">
          <cell r="B881" t="b">
            <v>1</v>
          </cell>
          <cell r="E881" t="str">
            <v>Esperanza</v>
          </cell>
          <cell r="H881" t="str">
            <v>urgencia</v>
          </cell>
          <cell r="J881" t="str">
            <v>bueno</v>
          </cell>
          <cell r="K881" t="str">
            <v>defsi</v>
          </cell>
        </row>
        <row r="882">
          <cell r="B882" t="b">
            <v>1</v>
          </cell>
          <cell r="E882" t="str">
            <v>Esperanza</v>
          </cell>
          <cell r="H882" t="str">
            <v>urgencia</v>
          </cell>
          <cell r="J882" t="str">
            <v>muybueno</v>
          </cell>
          <cell r="K882" t="str">
            <v>defsi</v>
          </cell>
        </row>
        <row r="883">
          <cell r="B883" t="b">
            <v>1</v>
          </cell>
          <cell r="E883" t="str">
            <v>Esperanza</v>
          </cell>
          <cell r="H883" t="str">
            <v>urgencia</v>
          </cell>
          <cell r="J883" t="str">
            <v>bueno</v>
          </cell>
          <cell r="K883" t="str">
            <v>defsi</v>
          </cell>
        </row>
        <row r="884">
          <cell r="B884" t="b">
            <v>1</v>
          </cell>
          <cell r="E884" t="str">
            <v>Esperanza</v>
          </cell>
          <cell r="H884" t="str">
            <v>urgencia</v>
          </cell>
          <cell r="J884" t="str">
            <v>bueno</v>
          </cell>
          <cell r="K884" t="str">
            <v>defsi</v>
          </cell>
        </row>
        <row r="885">
          <cell r="B885" t="b">
            <v>1</v>
          </cell>
          <cell r="E885" t="str">
            <v>Esperanza</v>
          </cell>
          <cell r="H885" t="str">
            <v>urgencia</v>
          </cell>
          <cell r="J885" t="str">
            <v>bueno</v>
          </cell>
          <cell r="K885" t="str">
            <v>defsi</v>
          </cell>
        </row>
        <row r="886">
          <cell r="B886" t="b">
            <v>1</v>
          </cell>
          <cell r="E886" t="str">
            <v>Esperanza</v>
          </cell>
          <cell r="H886" t="str">
            <v>laboratorio</v>
          </cell>
          <cell r="J886" t="str">
            <v>bueno</v>
          </cell>
          <cell r="K886" t="str">
            <v>defsi</v>
          </cell>
        </row>
        <row r="887">
          <cell r="B887" t="b">
            <v>1</v>
          </cell>
          <cell r="E887" t="str">
            <v>Esperanza</v>
          </cell>
          <cell r="H887" t="str">
            <v>laboratorio</v>
          </cell>
          <cell r="J887" t="str">
            <v>bueno</v>
          </cell>
          <cell r="K887" t="str">
            <v>defsi</v>
          </cell>
        </row>
        <row r="888">
          <cell r="B888" t="b">
            <v>1</v>
          </cell>
          <cell r="E888" t="str">
            <v>Esperanza</v>
          </cell>
          <cell r="H888" t="str">
            <v>salud_oral</v>
          </cell>
          <cell r="J888" t="str">
            <v>bueno</v>
          </cell>
          <cell r="K888" t="str">
            <v>defsi</v>
          </cell>
        </row>
        <row r="889">
          <cell r="B889" t="b">
            <v>1</v>
          </cell>
          <cell r="E889" t="str">
            <v>Esperanza</v>
          </cell>
          <cell r="H889" t="str">
            <v>salud_oral</v>
          </cell>
          <cell r="J889" t="str">
            <v>bueno</v>
          </cell>
          <cell r="K889" t="str">
            <v>defsi</v>
          </cell>
        </row>
        <row r="890">
          <cell r="B890" t="b">
            <v>1</v>
          </cell>
          <cell r="E890" t="str">
            <v>Esperanza</v>
          </cell>
          <cell r="H890" t="str">
            <v>urgencia</v>
          </cell>
          <cell r="J890" t="str">
            <v>bueno</v>
          </cell>
          <cell r="K890" t="str">
            <v>defsi</v>
          </cell>
        </row>
        <row r="891">
          <cell r="B891" t="b">
            <v>0</v>
          </cell>
          <cell r="E891" t="str">
            <v>Esperanza</v>
          </cell>
          <cell r="H891" t="str">
            <v>urgencia</v>
          </cell>
          <cell r="J891" t="str">
            <v>regular</v>
          </cell>
          <cell r="K891" t="str">
            <v>defsi</v>
          </cell>
        </row>
        <row r="892">
          <cell r="B892" t="b">
            <v>1</v>
          </cell>
          <cell r="E892" t="str">
            <v>Esperanza</v>
          </cell>
          <cell r="H892" t="str">
            <v>laboratorio</v>
          </cell>
          <cell r="J892" t="str">
            <v>bueno</v>
          </cell>
          <cell r="K892" t="str">
            <v>defsi</v>
          </cell>
        </row>
        <row r="893">
          <cell r="B893" t="b">
            <v>0</v>
          </cell>
          <cell r="E893" t="str">
            <v>Esperanza</v>
          </cell>
          <cell r="H893" t="str">
            <v>urgencia</v>
          </cell>
          <cell r="J893" t="str">
            <v>regular</v>
          </cell>
          <cell r="K893" t="str">
            <v>probsi</v>
          </cell>
        </row>
        <row r="894">
          <cell r="B894" t="b">
            <v>1</v>
          </cell>
          <cell r="E894" t="str">
            <v>Esperanza</v>
          </cell>
          <cell r="H894" t="str">
            <v>salud_oral</v>
          </cell>
          <cell r="J894" t="str">
            <v>bueno</v>
          </cell>
          <cell r="K894" t="str">
            <v>probsi</v>
          </cell>
        </row>
        <row r="895">
          <cell r="B895" t="b">
            <v>0</v>
          </cell>
          <cell r="E895" t="str">
            <v>Esperanza</v>
          </cell>
          <cell r="H895" t="str">
            <v>urgencia</v>
          </cell>
          <cell r="J895" t="str">
            <v>regular</v>
          </cell>
          <cell r="K895" t="str">
            <v>probsi</v>
          </cell>
        </row>
        <row r="896">
          <cell r="B896" t="b">
            <v>1</v>
          </cell>
          <cell r="E896" t="str">
            <v>Blasdelezo</v>
          </cell>
          <cell r="H896" t="str">
            <v>salud_oral</v>
          </cell>
          <cell r="J896" t="str">
            <v>bueno</v>
          </cell>
          <cell r="K896" t="str">
            <v>probsi</v>
          </cell>
        </row>
        <row r="897">
          <cell r="B897" t="b">
            <v>1</v>
          </cell>
          <cell r="E897" t="str">
            <v>Blasdelezo</v>
          </cell>
          <cell r="H897" t="str">
            <v>salud_oral</v>
          </cell>
          <cell r="J897" t="str">
            <v>bueno</v>
          </cell>
          <cell r="K897" t="str">
            <v>probsi</v>
          </cell>
        </row>
        <row r="898">
          <cell r="B898" t="b">
            <v>1</v>
          </cell>
          <cell r="E898" t="str">
            <v>Blasdelezo</v>
          </cell>
          <cell r="H898" t="str">
            <v>urgencia</v>
          </cell>
          <cell r="J898" t="str">
            <v>bueno</v>
          </cell>
          <cell r="K898" t="str">
            <v>probsi</v>
          </cell>
        </row>
        <row r="899">
          <cell r="B899" t="b">
            <v>1</v>
          </cell>
          <cell r="E899" t="str">
            <v>Blasdelezo</v>
          </cell>
          <cell r="H899" t="str">
            <v>urgencia</v>
          </cell>
          <cell r="J899" t="str">
            <v>bueno</v>
          </cell>
          <cell r="K899" t="str">
            <v>probsi</v>
          </cell>
        </row>
        <row r="900">
          <cell r="B900" t="b">
            <v>0</v>
          </cell>
          <cell r="E900" t="str">
            <v>Blasdelezo</v>
          </cell>
          <cell r="H900" t="str">
            <v>urgencia</v>
          </cell>
          <cell r="J900" t="str">
            <v>regular</v>
          </cell>
          <cell r="K900" t="str">
            <v>probsi</v>
          </cell>
        </row>
        <row r="901">
          <cell r="B901" t="b">
            <v>1</v>
          </cell>
          <cell r="E901" t="str">
            <v>Blasdelezo</v>
          </cell>
          <cell r="H901" t="str">
            <v>pediatria</v>
          </cell>
          <cell r="J901" t="str">
            <v>bueno</v>
          </cell>
          <cell r="K901" t="str">
            <v>probsi</v>
          </cell>
        </row>
        <row r="902">
          <cell r="B902" t="b">
            <v>1</v>
          </cell>
          <cell r="E902" t="str">
            <v>Blasdelezo</v>
          </cell>
          <cell r="H902" t="str">
            <v>pediatria</v>
          </cell>
          <cell r="J902" t="str">
            <v>bueno</v>
          </cell>
          <cell r="K902" t="str">
            <v>probsi</v>
          </cell>
        </row>
        <row r="903">
          <cell r="B903" t="b">
            <v>1</v>
          </cell>
          <cell r="E903" t="str">
            <v>Blasdelezo</v>
          </cell>
          <cell r="H903" t="str">
            <v>pediatria</v>
          </cell>
          <cell r="J903" t="str">
            <v>bueno</v>
          </cell>
          <cell r="K903" t="str">
            <v>probsi</v>
          </cell>
        </row>
        <row r="904">
          <cell r="B904" t="b">
            <v>1</v>
          </cell>
          <cell r="E904" t="str">
            <v>Blasdelezo</v>
          </cell>
          <cell r="H904" t="str">
            <v>pediatria</v>
          </cell>
          <cell r="J904" t="str">
            <v>bueno</v>
          </cell>
          <cell r="K904" t="str">
            <v>probsi</v>
          </cell>
        </row>
        <row r="905">
          <cell r="B905" t="b">
            <v>1</v>
          </cell>
          <cell r="E905" t="str">
            <v>Blasdelezo</v>
          </cell>
          <cell r="H905" t="str">
            <v>medicina_interna</v>
          </cell>
          <cell r="J905" t="str">
            <v>bueno</v>
          </cell>
          <cell r="K905" t="str">
            <v>probsi</v>
          </cell>
        </row>
        <row r="906">
          <cell r="B906" t="b">
            <v>1</v>
          </cell>
          <cell r="E906" t="str">
            <v>Blasdelezo</v>
          </cell>
          <cell r="H906" t="str">
            <v>medicina_interna</v>
          </cell>
          <cell r="J906" t="str">
            <v>bueno</v>
          </cell>
          <cell r="K906" t="str">
            <v>probsi</v>
          </cell>
        </row>
        <row r="907">
          <cell r="B907" t="b">
            <v>1</v>
          </cell>
          <cell r="E907" t="str">
            <v>Blasdelezo</v>
          </cell>
          <cell r="H907" t="str">
            <v>medicina_interna</v>
          </cell>
          <cell r="J907" t="str">
            <v>bueno</v>
          </cell>
          <cell r="K907" t="str">
            <v>probsi</v>
          </cell>
        </row>
        <row r="908">
          <cell r="B908" t="b">
            <v>1</v>
          </cell>
          <cell r="E908" t="str">
            <v>Blasdelezo</v>
          </cell>
          <cell r="H908" t="str">
            <v>medicina_interna</v>
          </cell>
          <cell r="J908" t="str">
            <v>bueno</v>
          </cell>
          <cell r="K908" t="str">
            <v>probsi</v>
          </cell>
        </row>
        <row r="909">
          <cell r="B909" t="b">
            <v>1</v>
          </cell>
          <cell r="E909" t="str">
            <v>Arroz Barato</v>
          </cell>
          <cell r="H909" t="str">
            <v>consulta_externa</v>
          </cell>
          <cell r="J909" t="str">
            <v>bueno</v>
          </cell>
          <cell r="K909" t="str">
            <v>probsi</v>
          </cell>
        </row>
        <row r="910">
          <cell r="B910" t="b">
            <v>1</v>
          </cell>
          <cell r="E910" t="str">
            <v>Arroz Barato</v>
          </cell>
          <cell r="H910" t="str">
            <v>laboratorio</v>
          </cell>
          <cell r="J910" t="str">
            <v>bueno</v>
          </cell>
          <cell r="K910" t="str">
            <v>probsi</v>
          </cell>
        </row>
        <row r="911">
          <cell r="B911" t="b">
            <v>1</v>
          </cell>
          <cell r="E911" t="str">
            <v>Arroz Barato</v>
          </cell>
          <cell r="H911" t="str">
            <v>consulta_externa</v>
          </cell>
          <cell r="J911" t="str">
            <v>bueno</v>
          </cell>
          <cell r="K911" t="str">
            <v>probsi</v>
          </cell>
        </row>
        <row r="912">
          <cell r="B912" t="b">
            <v>1</v>
          </cell>
          <cell r="E912" t="str">
            <v>Arroz Barato</v>
          </cell>
          <cell r="H912" t="str">
            <v>consulta_externa</v>
          </cell>
          <cell r="J912" t="str">
            <v>bueno</v>
          </cell>
          <cell r="K912" t="str">
            <v>probsi</v>
          </cell>
        </row>
        <row r="913">
          <cell r="B913" t="b">
            <v>1</v>
          </cell>
          <cell r="E913" t="str">
            <v>Arroz Barato</v>
          </cell>
          <cell r="H913" t="str">
            <v>laboratorio</v>
          </cell>
          <cell r="J913" t="str">
            <v>bueno</v>
          </cell>
          <cell r="K913" t="str">
            <v>probsi</v>
          </cell>
        </row>
        <row r="914">
          <cell r="B914" t="b">
            <v>1</v>
          </cell>
          <cell r="E914" t="str">
            <v>Arroz Barato</v>
          </cell>
          <cell r="H914" t="str">
            <v>laboratorio</v>
          </cell>
          <cell r="J914" t="str">
            <v>bueno</v>
          </cell>
          <cell r="K914" t="str">
            <v>probsi</v>
          </cell>
        </row>
        <row r="915">
          <cell r="B915" t="b">
            <v>1</v>
          </cell>
          <cell r="E915" t="str">
            <v>Arroz Barato</v>
          </cell>
          <cell r="H915" t="str">
            <v>consulta_externa</v>
          </cell>
          <cell r="J915" t="str">
            <v>bueno</v>
          </cell>
          <cell r="K915" t="str">
            <v>probsi</v>
          </cell>
        </row>
        <row r="916">
          <cell r="B916" t="b">
            <v>0</v>
          </cell>
          <cell r="E916" t="str">
            <v>Arroz Barato</v>
          </cell>
          <cell r="H916" t="str">
            <v>laboratorio</v>
          </cell>
          <cell r="J916" t="str">
            <v>regular</v>
          </cell>
          <cell r="K916" t="str">
            <v>probsi</v>
          </cell>
        </row>
        <row r="917">
          <cell r="B917" t="b">
            <v>0</v>
          </cell>
          <cell r="E917" t="str">
            <v>Arroz Barato</v>
          </cell>
          <cell r="H917" t="str">
            <v>salud_oral</v>
          </cell>
          <cell r="J917" t="str">
            <v>regular</v>
          </cell>
          <cell r="K917" t="str">
            <v>probsi</v>
          </cell>
        </row>
        <row r="918">
          <cell r="B918" t="b">
            <v>1</v>
          </cell>
          <cell r="E918" t="str">
            <v>Arroz Barato</v>
          </cell>
          <cell r="H918" t="str">
            <v>consulta_externa</v>
          </cell>
          <cell r="J918" t="str">
            <v>bueno</v>
          </cell>
          <cell r="K918" t="str">
            <v>probsi</v>
          </cell>
        </row>
        <row r="919">
          <cell r="B919" t="b">
            <v>1</v>
          </cell>
          <cell r="E919" t="str">
            <v>Arroz Barato</v>
          </cell>
          <cell r="H919" t="str">
            <v>laboratorio</v>
          </cell>
          <cell r="J919" t="str">
            <v>bueno</v>
          </cell>
          <cell r="K919" t="str">
            <v>probsi</v>
          </cell>
        </row>
        <row r="920">
          <cell r="B920" t="b">
            <v>0</v>
          </cell>
          <cell r="E920" t="str">
            <v>Arroz Barato</v>
          </cell>
          <cell r="H920" t="str">
            <v>consulta_externa</v>
          </cell>
          <cell r="J920" t="str">
            <v>regular</v>
          </cell>
          <cell r="K920" t="str">
            <v>probsi</v>
          </cell>
        </row>
        <row r="921">
          <cell r="B921" t="b">
            <v>0</v>
          </cell>
          <cell r="E921" t="str">
            <v>Arroz Barato</v>
          </cell>
          <cell r="H921" t="str">
            <v>salud_oral</v>
          </cell>
          <cell r="J921" t="str">
            <v>regular</v>
          </cell>
          <cell r="K921" t="str">
            <v>probsi</v>
          </cell>
        </row>
        <row r="922">
          <cell r="B922" t="b">
            <v>0</v>
          </cell>
          <cell r="E922" t="str">
            <v>Arroz Barato</v>
          </cell>
          <cell r="H922" t="str">
            <v>laboratorio</v>
          </cell>
          <cell r="J922" t="str">
            <v>regular</v>
          </cell>
          <cell r="K922" t="str">
            <v>probsi</v>
          </cell>
        </row>
        <row r="923">
          <cell r="B923" t="b">
            <v>1</v>
          </cell>
          <cell r="E923" t="str">
            <v>Arroz Barato</v>
          </cell>
          <cell r="H923" t="str">
            <v>urgencia</v>
          </cell>
          <cell r="J923" t="str">
            <v>bueno</v>
          </cell>
          <cell r="K923" t="str">
            <v>probsi</v>
          </cell>
        </row>
        <row r="924">
          <cell r="B924" t="b">
            <v>0</v>
          </cell>
          <cell r="E924" t="str">
            <v>Arroz Barato</v>
          </cell>
          <cell r="H924" t="str">
            <v>urgencia</v>
          </cell>
          <cell r="J924" t="str">
            <v>regular</v>
          </cell>
          <cell r="K924" t="str">
            <v>probsi</v>
          </cell>
        </row>
        <row r="925">
          <cell r="B925" t="b">
            <v>1</v>
          </cell>
          <cell r="E925" t="str">
            <v>Bocachica</v>
          </cell>
          <cell r="H925" t="str">
            <v>consulta_externa</v>
          </cell>
          <cell r="J925" t="str">
            <v>muybueno</v>
          </cell>
          <cell r="K925" t="str">
            <v>defsi</v>
          </cell>
        </row>
        <row r="926">
          <cell r="B926" t="b">
            <v>1</v>
          </cell>
          <cell r="E926" t="str">
            <v>Bocachica</v>
          </cell>
          <cell r="H926" t="str">
            <v>salud_oral</v>
          </cell>
          <cell r="J926" t="str">
            <v>muybueno</v>
          </cell>
          <cell r="K926" t="str">
            <v>defsi</v>
          </cell>
        </row>
        <row r="927">
          <cell r="B927" t="b">
            <v>1</v>
          </cell>
          <cell r="E927" t="str">
            <v>Bocachica</v>
          </cell>
          <cell r="H927" t="str">
            <v>laboratorio</v>
          </cell>
          <cell r="J927" t="str">
            <v>muybueno</v>
          </cell>
          <cell r="K927" t="str">
            <v>defsi</v>
          </cell>
        </row>
        <row r="928">
          <cell r="B928" t="b">
            <v>1</v>
          </cell>
          <cell r="E928" t="str">
            <v>Bocachica</v>
          </cell>
          <cell r="H928" t="str">
            <v>consulta_externa</v>
          </cell>
          <cell r="J928" t="str">
            <v>muybueno</v>
          </cell>
          <cell r="K928" t="str">
            <v>defsi</v>
          </cell>
        </row>
        <row r="929">
          <cell r="B929" t="b">
            <v>1</v>
          </cell>
          <cell r="E929" t="str">
            <v>Bocachica</v>
          </cell>
          <cell r="H929" t="str">
            <v>salud_oral</v>
          </cell>
          <cell r="J929" t="str">
            <v>muybueno</v>
          </cell>
          <cell r="K929" t="str">
            <v>defsi</v>
          </cell>
        </row>
        <row r="930">
          <cell r="B930" t="b">
            <v>1</v>
          </cell>
          <cell r="E930" t="str">
            <v>Bocachica</v>
          </cell>
          <cell r="H930" t="str">
            <v>laboratorio</v>
          </cell>
          <cell r="J930" t="str">
            <v>muybueno</v>
          </cell>
          <cell r="K930" t="str">
            <v>defsi</v>
          </cell>
        </row>
        <row r="931">
          <cell r="B931" t="b">
            <v>1</v>
          </cell>
          <cell r="E931" t="str">
            <v>Bocachica</v>
          </cell>
          <cell r="H931" t="str">
            <v>consulta_externa</v>
          </cell>
          <cell r="J931" t="str">
            <v>muybueno</v>
          </cell>
          <cell r="K931" t="str">
            <v>defsi</v>
          </cell>
        </row>
        <row r="932">
          <cell r="B932" t="b">
            <v>1</v>
          </cell>
          <cell r="E932" t="str">
            <v>Bocachica</v>
          </cell>
          <cell r="H932" t="str">
            <v>salud_oral</v>
          </cell>
          <cell r="J932" t="str">
            <v>muybueno</v>
          </cell>
          <cell r="K932" t="str">
            <v>defsi</v>
          </cell>
        </row>
        <row r="933">
          <cell r="B933" t="b">
            <v>1</v>
          </cell>
          <cell r="E933" t="str">
            <v>Arroz Barato</v>
          </cell>
          <cell r="H933" t="str">
            <v>consulta_externa</v>
          </cell>
          <cell r="J933" t="str">
            <v>bueno</v>
          </cell>
          <cell r="K933" t="str">
            <v>probsi</v>
          </cell>
        </row>
        <row r="934">
          <cell r="B934" t="b">
            <v>1</v>
          </cell>
          <cell r="E934" t="str">
            <v>Bocachica</v>
          </cell>
          <cell r="H934" t="str">
            <v>consulta_externa</v>
          </cell>
          <cell r="J934" t="str">
            <v>muybueno</v>
          </cell>
          <cell r="K934" t="str">
            <v>defsi</v>
          </cell>
        </row>
        <row r="935">
          <cell r="B935" t="b">
            <v>1</v>
          </cell>
          <cell r="E935" t="str">
            <v>Arroz Barato</v>
          </cell>
          <cell r="H935" t="str">
            <v>salud_oral</v>
          </cell>
          <cell r="J935" t="str">
            <v>bueno</v>
          </cell>
          <cell r="K935" t="str">
            <v>probsi</v>
          </cell>
        </row>
        <row r="936">
          <cell r="B936" t="b">
            <v>1</v>
          </cell>
          <cell r="E936" t="str">
            <v>Arroz Barato</v>
          </cell>
          <cell r="H936" t="str">
            <v>laboratorio</v>
          </cell>
          <cell r="J936" t="str">
            <v>bueno</v>
          </cell>
          <cell r="K936" t="str">
            <v>probsi</v>
          </cell>
        </row>
        <row r="937">
          <cell r="B937" t="b">
            <v>1</v>
          </cell>
          <cell r="E937" t="str">
            <v>Bocachica</v>
          </cell>
          <cell r="H937" t="str">
            <v>urgencia</v>
          </cell>
          <cell r="J937" t="str">
            <v>muybueno</v>
          </cell>
          <cell r="K937" t="str">
            <v>defsi</v>
          </cell>
        </row>
        <row r="938">
          <cell r="B938" t="b">
            <v>1</v>
          </cell>
          <cell r="E938" t="str">
            <v>Arroz Barato</v>
          </cell>
          <cell r="H938" t="str">
            <v>urgencia</v>
          </cell>
          <cell r="J938" t="str">
            <v>bueno</v>
          </cell>
          <cell r="K938" t="str">
            <v>probsi</v>
          </cell>
        </row>
        <row r="939">
          <cell r="B939" t="b">
            <v>1</v>
          </cell>
          <cell r="E939" t="str">
            <v>Arroz Barato</v>
          </cell>
          <cell r="H939" t="str">
            <v>consulta_externa</v>
          </cell>
          <cell r="J939" t="str">
            <v>bueno</v>
          </cell>
          <cell r="K939" t="str">
            <v>probsi</v>
          </cell>
        </row>
        <row r="940">
          <cell r="B940" t="b">
            <v>1</v>
          </cell>
          <cell r="E940" t="str">
            <v>Arroz Barato</v>
          </cell>
          <cell r="H940" t="str">
            <v>consulta_externa</v>
          </cell>
          <cell r="J940" t="str">
            <v>bueno</v>
          </cell>
          <cell r="K940" t="str">
            <v>probsi</v>
          </cell>
        </row>
        <row r="941">
          <cell r="B941" t="b">
            <v>1</v>
          </cell>
          <cell r="E941" t="str">
            <v>Bocachica</v>
          </cell>
          <cell r="H941" t="str">
            <v>consulta_externa</v>
          </cell>
          <cell r="J941" t="str">
            <v>muybueno</v>
          </cell>
          <cell r="K941" t="str">
            <v>defsi</v>
          </cell>
        </row>
        <row r="942">
          <cell r="B942" t="b">
            <v>1</v>
          </cell>
          <cell r="E942" t="str">
            <v>Bocachica</v>
          </cell>
          <cell r="H942" t="str">
            <v>consulta_externa</v>
          </cell>
          <cell r="J942" t="str">
            <v>muybueno</v>
          </cell>
          <cell r="K942" t="str">
            <v>defsi</v>
          </cell>
        </row>
        <row r="943">
          <cell r="B943" t="b">
            <v>1</v>
          </cell>
          <cell r="E943" t="str">
            <v>Bocachica</v>
          </cell>
          <cell r="H943" t="str">
            <v>consulta_externa</v>
          </cell>
          <cell r="J943" t="str">
            <v>muybueno</v>
          </cell>
          <cell r="K943" t="str">
            <v>defsi</v>
          </cell>
        </row>
        <row r="944">
          <cell r="B944" t="b">
            <v>1</v>
          </cell>
          <cell r="E944" t="str">
            <v>Arroz Barato</v>
          </cell>
          <cell r="H944" t="str">
            <v>consulta_externa</v>
          </cell>
          <cell r="J944" t="str">
            <v>bueno</v>
          </cell>
          <cell r="K944" t="str">
            <v>probsi</v>
          </cell>
        </row>
        <row r="945">
          <cell r="B945" t="b">
            <v>1</v>
          </cell>
          <cell r="E945" t="str">
            <v>Bocachica</v>
          </cell>
          <cell r="H945" t="str">
            <v>consulta_externa</v>
          </cell>
          <cell r="J945" t="str">
            <v>muybueno</v>
          </cell>
          <cell r="K945" t="str">
            <v>defsi</v>
          </cell>
        </row>
        <row r="946">
          <cell r="B946" t="b">
            <v>1</v>
          </cell>
          <cell r="E946" t="str">
            <v>Arroz Barato</v>
          </cell>
          <cell r="H946" t="str">
            <v>rx</v>
          </cell>
          <cell r="J946" t="str">
            <v>bueno</v>
          </cell>
          <cell r="K946" t="str">
            <v>probsi</v>
          </cell>
        </row>
        <row r="947">
          <cell r="B947" t="b">
            <v>1</v>
          </cell>
          <cell r="E947" t="str">
            <v>Bocachica</v>
          </cell>
          <cell r="H947" t="str">
            <v>laboratorio</v>
          </cell>
          <cell r="J947" t="str">
            <v>muybueno</v>
          </cell>
          <cell r="K947" t="str">
            <v>defsi</v>
          </cell>
        </row>
        <row r="948">
          <cell r="B948" t="b">
            <v>1</v>
          </cell>
          <cell r="E948" t="str">
            <v>Arroz Barato</v>
          </cell>
          <cell r="H948" t="str">
            <v>rx</v>
          </cell>
          <cell r="J948" t="str">
            <v>bueno</v>
          </cell>
          <cell r="K948" t="str">
            <v>probsi</v>
          </cell>
        </row>
        <row r="949">
          <cell r="B949" t="b">
            <v>1</v>
          </cell>
          <cell r="E949" t="str">
            <v>Arroz Barato</v>
          </cell>
          <cell r="H949" t="str">
            <v>rx</v>
          </cell>
          <cell r="J949" t="str">
            <v>bueno</v>
          </cell>
          <cell r="K949" t="str">
            <v>probsi</v>
          </cell>
        </row>
        <row r="950">
          <cell r="B950" t="b">
            <v>1</v>
          </cell>
          <cell r="E950" t="str">
            <v>Bocachica</v>
          </cell>
          <cell r="H950" t="str">
            <v>consulta_externa</v>
          </cell>
          <cell r="J950" t="str">
            <v>muybueno</v>
          </cell>
          <cell r="K950" t="str">
            <v>defsi</v>
          </cell>
        </row>
        <row r="951">
          <cell r="B951" t="b">
            <v>1</v>
          </cell>
          <cell r="E951" t="str">
            <v>Bocachica</v>
          </cell>
          <cell r="H951" t="str">
            <v>laboratorio</v>
          </cell>
          <cell r="J951" t="str">
            <v>muybueno</v>
          </cell>
          <cell r="K951" t="str">
            <v>defsi</v>
          </cell>
        </row>
        <row r="952">
          <cell r="B952" t="b">
            <v>1</v>
          </cell>
          <cell r="E952" t="str">
            <v>Candelaria</v>
          </cell>
          <cell r="H952" t="str">
            <v>consulta_externa</v>
          </cell>
          <cell r="J952" t="str">
            <v>bueno</v>
          </cell>
          <cell r="K952" t="str">
            <v>defsi</v>
          </cell>
        </row>
        <row r="953">
          <cell r="B953" t="b">
            <v>1</v>
          </cell>
          <cell r="E953" t="str">
            <v>Candelaria</v>
          </cell>
          <cell r="H953" t="str">
            <v>salud_oral</v>
          </cell>
          <cell r="J953" t="str">
            <v>bueno</v>
          </cell>
          <cell r="K953" t="str">
            <v>defsi</v>
          </cell>
        </row>
        <row r="954">
          <cell r="B954" t="b">
            <v>1</v>
          </cell>
          <cell r="E954" t="str">
            <v>Candelaria</v>
          </cell>
          <cell r="H954" t="str">
            <v>laboratorio</v>
          </cell>
          <cell r="J954" t="str">
            <v>bueno</v>
          </cell>
          <cell r="K954" t="str">
            <v>defsi</v>
          </cell>
        </row>
        <row r="955">
          <cell r="B955" t="b">
            <v>1</v>
          </cell>
          <cell r="E955" t="str">
            <v>Candelaria</v>
          </cell>
          <cell r="H955" t="str">
            <v>urgencia</v>
          </cell>
          <cell r="J955" t="str">
            <v>bueno</v>
          </cell>
          <cell r="K955" t="str">
            <v>defsi</v>
          </cell>
        </row>
        <row r="956">
          <cell r="B956" t="b">
            <v>1</v>
          </cell>
          <cell r="E956" t="str">
            <v>Candelaria</v>
          </cell>
          <cell r="H956" t="str">
            <v>electros</v>
          </cell>
          <cell r="J956" t="str">
            <v>bueno</v>
          </cell>
          <cell r="K956" t="str">
            <v>defsi</v>
          </cell>
        </row>
        <row r="957">
          <cell r="B957" t="b">
            <v>1</v>
          </cell>
          <cell r="E957" t="str">
            <v>Arroz Barato</v>
          </cell>
          <cell r="H957" t="str">
            <v>rx</v>
          </cell>
          <cell r="J957" t="str">
            <v>bueno</v>
          </cell>
          <cell r="K957" t="str">
            <v>probsi</v>
          </cell>
        </row>
        <row r="958">
          <cell r="B958" t="b">
            <v>1</v>
          </cell>
          <cell r="E958" t="str">
            <v>Arroz Barato</v>
          </cell>
          <cell r="H958" t="str">
            <v>rx</v>
          </cell>
          <cell r="J958" t="str">
            <v>bueno</v>
          </cell>
          <cell r="K958" t="str">
            <v>probsi</v>
          </cell>
        </row>
        <row r="959">
          <cell r="B959" t="b">
            <v>1</v>
          </cell>
          <cell r="E959" t="str">
            <v>Arroz Barato</v>
          </cell>
          <cell r="H959" t="str">
            <v>rx</v>
          </cell>
          <cell r="J959" t="str">
            <v>bueno</v>
          </cell>
          <cell r="K959" t="str">
            <v>probsi</v>
          </cell>
        </row>
        <row r="960">
          <cell r="B960" t="b">
            <v>1</v>
          </cell>
          <cell r="E960" t="str">
            <v>Bocachica</v>
          </cell>
          <cell r="H960" t="str">
            <v>consulta_externa</v>
          </cell>
          <cell r="J960" t="str">
            <v>muybueno</v>
          </cell>
          <cell r="K960" t="str">
            <v>defsi</v>
          </cell>
        </row>
        <row r="961">
          <cell r="B961" t="b">
            <v>1</v>
          </cell>
          <cell r="E961" t="str">
            <v>Bocachica</v>
          </cell>
          <cell r="H961" t="str">
            <v>salud_oral</v>
          </cell>
          <cell r="J961" t="str">
            <v>muybueno</v>
          </cell>
          <cell r="K961" t="str">
            <v>defsi</v>
          </cell>
        </row>
        <row r="962">
          <cell r="B962" t="b">
            <v>1</v>
          </cell>
          <cell r="E962" t="str">
            <v>Bocachica</v>
          </cell>
          <cell r="H962" t="str">
            <v>laboratorio</v>
          </cell>
          <cell r="J962" t="str">
            <v>muybueno</v>
          </cell>
          <cell r="K962" t="str">
            <v>defsi</v>
          </cell>
        </row>
        <row r="963">
          <cell r="B963" t="b">
            <v>1</v>
          </cell>
          <cell r="E963" t="str">
            <v>Candelaria</v>
          </cell>
          <cell r="H963" t="str">
            <v>pediatria</v>
          </cell>
          <cell r="J963" t="str">
            <v>bueno</v>
          </cell>
          <cell r="K963" t="str">
            <v>defsi</v>
          </cell>
        </row>
        <row r="964">
          <cell r="B964" t="b">
            <v>1</v>
          </cell>
          <cell r="E964" t="str">
            <v>Bocachica</v>
          </cell>
          <cell r="H964" t="str">
            <v>consulta_externa</v>
          </cell>
          <cell r="J964" t="str">
            <v>muybueno</v>
          </cell>
          <cell r="K964" t="str">
            <v>defsi</v>
          </cell>
        </row>
        <row r="965">
          <cell r="B965" t="b">
            <v>1</v>
          </cell>
          <cell r="E965" t="str">
            <v>Candelaria</v>
          </cell>
          <cell r="H965" t="str">
            <v>medicina_interna</v>
          </cell>
          <cell r="J965" t="str">
            <v>bueno</v>
          </cell>
          <cell r="K965" t="str">
            <v>defsi</v>
          </cell>
        </row>
        <row r="966">
          <cell r="B966" t="b">
            <v>1</v>
          </cell>
          <cell r="E966" t="str">
            <v>Candelaria</v>
          </cell>
          <cell r="H966" t="str">
            <v>consulta_externa</v>
          </cell>
          <cell r="J966" t="str">
            <v>bueno</v>
          </cell>
          <cell r="K966" t="str">
            <v>defsi</v>
          </cell>
        </row>
        <row r="967">
          <cell r="B967" t="b">
            <v>1</v>
          </cell>
          <cell r="E967" t="str">
            <v>Candelaria</v>
          </cell>
          <cell r="H967" t="str">
            <v>salud_oral</v>
          </cell>
          <cell r="J967" t="str">
            <v>bueno</v>
          </cell>
          <cell r="K967" t="str">
            <v>defsi</v>
          </cell>
        </row>
        <row r="968">
          <cell r="B968" t="b">
            <v>1</v>
          </cell>
          <cell r="E968" t="str">
            <v>Candelaria</v>
          </cell>
          <cell r="H968" t="str">
            <v>laboratorio</v>
          </cell>
          <cell r="J968" t="str">
            <v>bueno</v>
          </cell>
          <cell r="K968" t="str">
            <v>defsi</v>
          </cell>
        </row>
        <row r="969">
          <cell r="B969" t="b">
            <v>1</v>
          </cell>
          <cell r="E969" t="str">
            <v>Candelaria</v>
          </cell>
          <cell r="H969" t="str">
            <v>urgencia</v>
          </cell>
          <cell r="J969" t="str">
            <v>bueno</v>
          </cell>
          <cell r="K969" t="str">
            <v>defsi</v>
          </cell>
        </row>
        <row r="970">
          <cell r="B970" t="b">
            <v>1</v>
          </cell>
          <cell r="E970" t="str">
            <v>Bocachica</v>
          </cell>
          <cell r="H970" t="str">
            <v>consulta_externa</v>
          </cell>
          <cell r="J970" t="str">
            <v>muybueno</v>
          </cell>
          <cell r="K970" t="str">
            <v>defno</v>
          </cell>
        </row>
        <row r="971">
          <cell r="B971" t="b">
            <v>1</v>
          </cell>
          <cell r="E971" t="str">
            <v>Candelaria</v>
          </cell>
          <cell r="H971" t="str">
            <v>electros</v>
          </cell>
          <cell r="J971" t="str">
            <v>bueno</v>
          </cell>
          <cell r="K971" t="str">
            <v>defsi</v>
          </cell>
        </row>
        <row r="972">
          <cell r="B972" t="b">
            <v>1</v>
          </cell>
          <cell r="E972" t="str">
            <v>Bocachica</v>
          </cell>
          <cell r="H972" t="str">
            <v>consulta_externa</v>
          </cell>
          <cell r="J972" t="str">
            <v>muybueno</v>
          </cell>
          <cell r="K972" t="str">
            <v>defno</v>
          </cell>
        </row>
        <row r="973">
          <cell r="B973" t="b">
            <v>1</v>
          </cell>
          <cell r="E973" t="str">
            <v>Candelaria</v>
          </cell>
          <cell r="H973" t="str">
            <v>pediatria</v>
          </cell>
          <cell r="J973" t="str">
            <v>bueno</v>
          </cell>
          <cell r="K973" t="str">
            <v>defsi</v>
          </cell>
        </row>
        <row r="974">
          <cell r="B974" t="b">
            <v>1</v>
          </cell>
          <cell r="E974" t="str">
            <v>Candelaria</v>
          </cell>
          <cell r="H974" t="str">
            <v>medicina_interna</v>
          </cell>
          <cell r="J974" t="str">
            <v>bueno</v>
          </cell>
          <cell r="K974" t="str">
            <v>defsi</v>
          </cell>
        </row>
        <row r="975">
          <cell r="B975" t="b">
            <v>1</v>
          </cell>
          <cell r="E975" t="str">
            <v>Arroz Barato</v>
          </cell>
          <cell r="H975" t="str">
            <v>consulta_externa</v>
          </cell>
          <cell r="J975" t="str">
            <v>bueno</v>
          </cell>
          <cell r="K975" t="str">
            <v>probsi</v>
          </cell>
        </row>
        <row r="976">
          <cell r="B976" t="b">
            <v>0</v>
          </cell>
          <cell r="E976" t="str">
            <v>Arroz Barato</v>
          </cell>
          <cell r="H976" t="str">
            <v>urgencia</v>
          </cell>
          <cell r="J976" t="str">
            <v>regular</v>
          </cell>
          <cell r="K976" t="str">
            <v>probsi</v>
          </cell>
        </row>
        <row r="977">
          <cell r="B977" t="b">
            <v>1</v>
          </cell>
          <cell r="E977" t="str">
            <v>Bocachica</v>
          </cell>
          <cell r="H977" t="str">
            <v>consulta_externa</v>
          </cell>
          <cell r="J977" t="str">
            <v>muybueno</v>
          </cell>
          <cell r="K977" t="str">
            <v>defsi</v>
          </cell>
        </row>
        <row r="978">
          <cell r="B978" t="b">
            <v>0</v>
          </cell>
          <cell r="E978" t="str">
            <v>Arroz Barato</v>
          </cell>
          <cell r="H978" t="str">
            <v>urgencia</v>
          </cell>
          <cell r="J978" t="str">
            <v>regular</v>
          </cell>
          <cell r="K978" t="str">
            <v>probsi</v>
          </cell>
        </row>
        <row r="979">
          <cell r="B979" t="b">
            <v>1</v>
          </cell>
          <cell r="E979" t="str">
            <v>Arroz Barato</v>
          </cell>
          <cell r="H979" t="str">
            <v>salud_oral</v>
          </cell>
          <cell r="J979" t="str">
            <v>bueno</v>
          </cell>
          <cell r="K979" t="str">
            <v>probsi</v>
          </cell>
        </row>
        <row r="980">
          <cell r="B980" t="b">
            <v>1</v>
          </cell>
          <cell r="E980" t="str">
            <v>Arroz Barato</v>
          </cell>
          <cell r="H980" t="str">
            <v>salud_oral</v>
          </cell>
          <cell r="J980" t="str">
            <v>bueno</v>
          </cell>
          <cell r="K980" t="str">
            <v>probsi</v>
          </cell>
        </row>
        <row r="981">
          <cell r="B981" t="b">
            <v>1</v>
          </cell>
          <cell r="E981" t="str">
            <v>Bocachica</v>
          </cell>
          <cell r="H981" t="str">
            <v>consulta_externa</v>
          </cell>
          <cell r="J981" t="str">
            <v>muybueno</v>
          </cell>
          <cell r="K981" t="str">
            <v>defsi</v>
          </cell>
        </row>
        <row r="982">
          <cell r="B982" t="b">
            <v>1</v>
          </cell>
          <cell r="E982" t="str">
            <v>Bocachica</v>
          </cell>
          <cell r="H982" t="str">
            <v>consulta_externa</v>
          </cell>
          <cell r="J982" t="str">
            <v>muybueno</v>
          </cell>
          <cell r="K982" t="str">
            <v>defsi</v>
          </cell>
        </row>
        <row r="983">
          <cell r="B983" t="b">
            <v>1</v>
          </cell>
          <cell r="E983" t="str">
            <v>Candelaria</v>
          </cell>
          <cell r="H983" t="str">
            <v>consulta_externa</v>
          </cell>
          <cell r="J983" t="str">
            <v>bueno</v>
          </cell>
          <cell r="K983" t="str">
            <v>defsi</v>
          </cell>
        </row>
        <row r="984">
          <cell r="B984" t="b">
            <v>1</v>
          </cell>
          <cell r="E984" t="str">
            <v>Candelaria</v>
          </cell>
          <cell r="H984" t="str">
            <v>salud_oral</v>
          </cell>
          <cell r="J984" t="str">
            <v>bueno</v>
          </cell>
          <cell r="K984" t="str">
            <v>defsi</v>
          </cell>
        </row>
        <row r="985">
          <cell r="B985" t="b">
            <v>1</v>
          </cell>
          <cell r="E985" t="str">
            <v>Candelaria</v>
          </cell>
          <cell r="H985" t="str">
            <v>laboratorio</v>
          </cell>
          <cell r="J985" t="str">
            <v>bueno</v>
          </cell>
          <cell r="K985" t="str">
            <v>defsi</v>
          </cell>
        </row>
        <row r="986">
          <cell r="B986" t="b">
            <v>1</v>
          </cell>
          <cell r="E986" t="str">
            <v>Candelaria</v>
          </cell>
          <cell r="H986" t="str">
            <v>urgencia</v>
          </cell>
          <cell r="J986" t="str">
            <v>bueno</v>
          </cell>
          <cell r="K986" t="str">
            <v>defsi</v>
          </cell>
        </row>
        <row r="987">
          <cell r="B987" t="b">
            <v>1</v>
          </cell>
          <cell r="E987" t="str">
            <v>Bocachica</v>
          </cell>
          <cell r="H987" t="str">
            <v>salud_oral</v>
          </cell>
          <cell r="J987" t="str">
            <v>muybueno</v>
          </cell>
          <cell r="K987" t="str">
            <v>defsi</v>
          </cell>
        </row>
        <row r="988">
          <cell r="B988" t="b">
            <v>1</v>
          </cell>
          <cell r="E988" t="str">
            <v>Candelaria</v>
          </cell>
          <cell r="H988" t="str">
            <v>electros</v>
          </cell>
          <cell r="J988" t="str">
            <v>bueno</v>
          </cell>
          <cell r="K988" t="str">
            <v>defsi</v>
          </cell>
        </row>
        <row r="989">
          <cell r="B989" t="b">
            <v>1</v>
          </cell>
          <cell r="E989" t="str">
            <v>Candelaria</v>
          </cell>
          <cell r="H989" t="str">
            <v>pediatria</v>
          </cell>
          <cell r="J989" t="str">
            <v>bueno</v>
          </cell>
          <cell r="K989" t="str">
            <v>defsi</v>
          </cell>
        </row>
        <row r="990">
          <cell r="B990" t="b">
            <v>1</v>
          </cell>
          <cell r="E990" t="str">
            <v>Candelaria</v>
          </cell>
          <cell r="H990" t="str">
            <v>medicina_interna</v>
          </cell>
          <cell r="J990" t="str">
            <v>bueno</v>
          </cell>
          <cell r="K990" t="str">
            <v>defsi</v>
          </cell>
        </row>
        <row r="991">
          <cell r="B991" t="b">
            <v>1</v>
          </cell>
          <cell r="E991" t="str">
            <v>Bocachica</v>
          </cell>
          <cell r="H991" t="str">
            <v>laboratorio</v>
          </cell>
          <cell r="J991" t="str">
            <v>muybueno</v>
          </cell>
          <cell r="K991" t="str">
            <v>defsi</v>
          </cell>
        </row>
        <row r="992">
          <cell r="B992" t="b">
            <v>1</v>
          </cell>
          <cell r="E992" t="str">
            <v>Bocachica</v>
          </cell>
          <cell r="H992" t="str">
            <v>salud_oral</v>
          </cell>
          <cell r="J992" t="str">
            <v>muybueno</v>
          </cell>
          <cell r="K992" t="str">
            <v>defsi</v>
          </cell>
        </row>
        <row r="993">
          <cell r="B993" t="b">
            <v>1</v>
          </cell>
          <cell r="E993" t="str">
            <v>Bocachica</v>
          </cell>
          <cell r="H993" t="str">
            <v>consulta_externa</v>
          </cell>
          <cell r="J993" t="str">
            <v>muybueno</v>
          </cell>
          <cell r="K993" t="str">
            <v>defsi</v>
          </cell>
        </row>
        <row r="994">
          <cell r="B994" t="b">
            <v>1</v>
          </cell>
          <cell r="E994" t="str">
            <v>Bocachica</v>
          </cell>
          <cell r="H994" t="str">
            <v>consulta_externa</v>
          </cell>
          <cell r="J994" t="str">
            <v>muybueno</v>
          </cell>
          <cell r="K994" t="str">
            <v>defsi</v>
          </cell>
        </row>
        <row r="995">
          <cell r="B995" t="b">
            <v>1</v>
          </cell>
          <cell r="E995" t="str">
            <v>Bocachica</v>
          </cell>
          <cell r="H995" t="str">
            <v>salud_oral</v>
          </cell>
          <cell r="J995" t="str">
            <v>muybueno</v>
          </cell>
          <cell r="K995" t="str">
            <v>defsi</v>
          </cell>
        </row>
        <row r="996">
          <cell r="B996" t="b">
            <v>1</v>
          </cell>
          <cell r="E996" t="str">
            <v>Candelaria</v>
          </cell>
          <cell r="H996" t="str">
            <v>consulta_externa</v>
          </cell>
          <cell r="J996" t="str">
            <v>bueno</v>
          </cell>
          <cell r="K996" t="str">
            <v>defsi</v>
          </cell>
        </row>
        <row r="997">
          <cell r="B997" t="b">
            <v>1</v>
          </cell>
          <cell r="E997" t="str">
            <v>Candelaria</v>
          </cell>
          <cell r="H997" t="str">
            <v>salud_oral</v>
          </cell>
          <cell r="J997" t="str">
            <v>bueno</v>
          </cell>
          <cell r="K997" t="str">
            <v>defsi</v>
          </cell>
        </row>
        <row r="998">
          <cell r="B998" t="b">
            <v>1</v>
          </cell>
          <cell r="E998" t="str">
            <v>Candelaria</v>
          </cell>
          <cell r="H998" t="str">
            <v>laboratorio</v>
          </cell>
          <cell r="J998" t="str">
            <v>bueno</v>
          </cell>
          <cell r="K998" t="str">
            <v>defsi</v>
          </cell>
        </row>
        <row r="999">
          <cell r="B999" t="b">
            <v>1</v>
          </cell>
          <cell r="E999" t="str">
            <v>Bocachica</v>
          </cell>
          <cell r="H999" t="str">
            <v>consulta_externa</v>
          </cell>
          <cell r="J999" t="str">
            <v>muybueno</v>
          </cell>
          <cell r="K999" t="str">
            <v>defsi</v>
          </cell>
        </row>
        <row r="1000">
          <cell r="B1000" t="b">
            <v>1</v>
          </cell>
          <cell r="E1000" t="str">
            <v>Candelaria</v>
          </cell>
          <cell r="H1000" t="str">
            <v>urgencia</v>
          </cell>
          <cell r="J1000" t="str">
            <v>bueno</v>
          </cell>
          <cell r="K1000" t="str">
            <v>defsi</v>
          </cell>
        </row>
        <row r="1001">
          <cell r="B1001" t="b">
            <v>1</v>
          </cell>
          <cell r="E1001" t="str">
            <v>Candelaria</v>
          </cell>
          <cell r="H1001" t="str">
            <v>electros</v>
          </cell>
          <cell r="J1001" t="str">
            <v>bueno</v>
          </cell>
          <cell r="K1001" t="str">
            <v>defsi</v>
          </cell>
        </row>
        <row r="1002">
          <cell r="B1002" t="b">
            <v>1</v>
          </cell>
          <cell r="E1002" t="str">
            <v>Candelaria</v>
          </cell>
          <cell r="H1002" t="str">
            <v>pediatria</v>
          </cell>
          <cell r="J1002" t="str">
            <v>bueno</v>
          </cell>
          <cell r="K1002" t="str">
            <v>defsi</v>
          </cell>
        </row>
        <row r="1003">
          <cell r="B1003" t="b">
            <v>1</v>
          </cell>
          <cell r="E1003" t="str">
            <v>Candelaria</v>
          </cell>
          <cell r="H1003" t="str">
            <v>medicina_interna</v>
          </cell>
          <cell r="J1003" t="str">
            <v>bueno</v>
          </cell>
          <cell r="K1003" t="str">
            <v>defsi</v>
          </cell>
        </row>
        <row r="1004">
          <cell r="B1004" t="b">
            <v>0</v>
          </cell>
          <cell r="E1004" t="str">
            <v>Arroz Barato</v>
          </cell>
          <cell r="H1004" t="str">
            <v>salud_oral</v>
          </cell>
          <cell r="J1004" t="str">
            <v>regular</v>
          </cell>
          <cell r="K1004" t="str">
            <v>probsi</v>
          </cell>
        </row>
        <row r="1005">
          <cell r="B1005" t="b">
            <v>1</v>
          </cell>
          <cell r="E1005" t="str">
            <v>Arroz Barato</v>
          </cell>
          <cell r="H1005" t="str">
            <v>salud_oral</v>
          </cell>
          <cell r="J1005" t="str">
            <v>bueno</v>
          </cell>
          <cell r="K1005" t="str">
            <v>probsi</v>
          </cell>
        </row>
        <row r="1006">
          <cell r="B1006" t="b">
            <v>1</v>
          </cell>
          <cell r="E1006" t="str">
            <v>Arroz Barato</v>
          </cell>
          <cell r="H1006" t="str">
            <v>salud_oral</v>
          </cell>
          <cell r="J1006" t="str">
            <v>bueno</v>
          </cell>
          <cell r="K1006" t="str">
            <v>probsi</v>
          </cell>
        </row>
        <row r="1007">
          <cell r="B1007" t="b">
            <v>0</v>
          </cell>
          <cell r="E1007" t="str">
            <v>Arroz Barato</v>
          </cell>
          <cell r="H1007" t="str">
            <v>laboratorio</v>
          </cell>
          <cell r="J1007" t="str">
            <v>regular</v>
          </cell>
          <cell r="K1007" t="str">
            <v>probsi</v>
          </cell>
        </row>
        <row r="1008">
          <cell r="B1008" t="b">
            <v>0</v>
          </cell>
          <cell r="E1008" t="str">
            <v>Arroz Barato</v>
          </cell>
          <cell r="H1008" t="str">
            <v>laboratorio</v>
          </cell>
          <cell r="J1008" t="str">
            <v>regular</v>
          </cell>
          <cell r="K1008" t="str">
            <v>probsi</v>
          </cell>
        </row>
        <row r="1009">
          <cell r="B1009" t="b">
            <v>1</v>
          </cell>
          <cell r="E1009" t="str">
            <v>Arroz Barato</v>
          </cell>
          <cell r="H1009" t="str">
            <v>salud_oral</v>
          </cell>
          <cell r="J1009" t="str">
            <v>bueno</v>
          </cell>
          <cell r="K1009" t="str">
            <v>probsi</v>
          </cell>
        </row>
        <row r="1010">
          <cell r="B1010" t="b">
            <v>1</v>
          </cell>
          <cell r="E1010" t="str">
            <v>Arroz Barato</v>
          </cell>
          <cell r="H1010" t="str">
            <v>salud_oral</v>
          </cell>
          <cell r="J1010" t="str">
            <v>bueno</v>
          </cell>
          <cell r="K1010" t="str">
            <v>probsi</v>
          </cell>
        </row>
        <row r="1011">
          <cell r="B1011" t="b">
            <v>1</v>
          </cell>
          <cell r="E1011" t="str">
            <v>Pasacaballos</v>
          </cell>
          <cell r="H1011" t="str">
            <v>consulta_externa</v>
          </cell>
          <cell r="J1011" t="str">
            <v>bueno</v>
          </cell>
          <cell r="K1011" t="str">
            <v>probsi</v>
          </cell>
        </row>
        <row r="1012">
          <cell r="B1012" t="b">
            <v>1</v>
          </cell>
          <cell r="E1012" t="str">
            <v>Pasacaballos</v>
          </cell>
          <cell r="H1012" t="str">
            <v>laboratorio</v>
          </cell>
          <cell r="J1012" t="str">
            <v>bueno</v>
          </cell>
          <cell r="K1012" t="str">
            <v>probsi</v>
          </cell>
        </row>
        <row r="1013">
          <cell r="B1013" t="b">
            <v>1</v>
          </cell>
          <cell r="E1013" t="str">
            <v>Bocachica</v>
          </cell>
          <cell r="H1013" t="str">
            <v>laboratorio</v>
          </cell>
          <cell r="J1013" t="str">
            <v>muybueno</v>
          </cell>
          <cell r="K1013" t="str">
            <v>defsi</v>
          </cell>
        </row>
        <row r="1014">
          <cell r="B1014" t="b">
            <v>1</v>
          </cell>
          <cell r="E1014" t="str">
            <v>Pasacaballos</v>
          </cell>
          <cell r="H1014" t="str">
            <v>consulta_externa</v>
          </cell>
          <cell r="J1014" t="str">
            <v>bueno</v>
          </cell>
          <cell r="K1014" t="str">
            <v>probsi</v>
          </cell>
        </row>
        <row r="1015">
          <cell r="B1015" t="b">
            <v>0</v>
          </cell>
          <cell r="E1015" t="str">
            <v>Pasacaballos</v>
          </cell>
          <cell r="H1015" t="str">
            <v>consulta_externa</v>
          </cell>
          <cell r="J1015" t="str">
            <v>regular</v>
          </cell>
          <cell r="K1015" t="str">
            <v>probsi</v>
          </cell>
        </row>
        <row r="1016">
          <cell r="B1016" t="b">
            <v>1</v>
          </cell>
          <cell r="E1016" t="str">
            <v>Bocachica</v>
          </cell>
          <cell r="H1016" t="str">
            <v>consulta_externa</v>
          </cell>
          <cell r="J1016" t="str">
            <v>muybueno</v>
          </cell>
          <cell r="K1016" t="str">
            <v>defsi</v>
          </cell>
        </row>
        <row r="1017">
          <cell r="B1017" t="b">
            <v>0</v>
          </cell>
          <cell r="E1017" t="str">
            <v>Pasacaballos</v>
          </cell>
          <cell r="H1017" t="str">
            <v>laboratorio</v>
          </cell>
          <cell r="J1017" t="str">
            <v>regular</v>
          </cell>
          <cell r="K1017" t="str">
            <v>probsi</v>
          </cell>
        </row>
        <row r="1018">
          <cell r="B1018" t="b">
            <v>1</v>
          </cell>
          <cell r="E1018" t="str">
            <v>Bocachica</v>
          </cell>
          <cell r="H1018" t="str">
            <v>consulta_externa</v>
          </cell>
          <cell r="J1018" t="str">
            <v>muybueno</v>
          </cell>
          <cell r="K1018" t="str">
            <v>defsi</v>
          </cell>
        </row>
        <row r="1019">
          <cell r="B1019" t="b">
            <v>0</v>
          </cell>
          <cell r="E1019" t="str">
            <v>Pasacaballos</v>
          </cell>
          <cell r="H1019" t="str">
            <v>laboratorio</v>
          </cell>
          <cell r="J1019" t="str">
            <v>regular</v>
          </cell>
          <cell r="K1019" t="str">
            <v>probsi</v>
          </cell>
        </row>
        <row r="1020">
          <cell r="B1020" t="b">
            <v>1</v>
          </cell>
          <cell r="E1020" t="str">
            <v>Pasacaballos</v>
          </cell>
          <cell r="H1020" t="str">
            <v>salud_oral</v>
          </cell>
          <cell r="J1020" t="str">
            <v>bueno</v>
          </cell>
          <cell r="K1020" t="str">
            <v>probsi</v>
          </cell>
        </row>
        <row r="1021">
          <cell r="B1021" t="b">
            <v>0</v>
          </cell>
          <cell r="E1021" t="str">
            <v>Pasacaballos</v>
          </cell>
          <cell r="H1021" t="str">
            <v>laboratorio</v>
          </cell>
          <cell r="J1021" t="str">
            <v>regular</v>
          </cell>
          <cell r="K1021" t="str">
            <v>probsi</v>
          </cell>
        </row>
        <row r="1022">
          <cell r="B1022" t="b">
            <v>1</v>
          </cell>
          <cell r="E1022" t="str">
            <v>Bocachica</v>
          </cell>
          <cell r="H1022" t="str">
            <v>laboratorio</v>
          </cell>
          <cell r="J1022" t="str">
            <v>muybueno</v>
          </cell>
          <cell r="K1022" t="str">
            <v>defsi</v>
          </cell>
        </row>
        <row r="1023">
          <cell r="B1023" t="b">
            <v>1</v>
          </cell>
          <cell r="E1023" t="str">
            <v>Boquilla</v>
          </cell>
          <cell r="H1023" t="str">
            <v>consulta_externa</v>
          </cell>
          <cell r="J1023" t="str">
            <v>bueno</v>
          </cell>
          <cell r="K1023" t="str">
            <v>defsi</v>
          </cell>
        </row>
        <row r="1024">
          <cell r="B1024" t="b">
            <v>1</v>
          </cell>
          <cell r="E1024" t="str">
            <v>Boquilla</v>
          </cell>
          <cell r="H1024" t="str">
            <v>salud_oral</v>
          </cell>
          <cell r="J1024" t="str">
            <v>bueno</v>
          </cell>
          <cell r="K1024" t="str">
            <v>defsi</v>
          </cell>
        </row>
        <row r="1025">
          <cell r="B1025" t="b">
            <v>1</v>
          </cell>
          <cell r="E1025" t="str">
            <v>Boquilla</v>
          </cell>
          <cell r="H1025" t="str">
            <v>salud_oral</v>
          </cell>
          <cell r="J1025" t="str">
            <v>bueno</v>
          </cell>
          <cell r="K1025" t="str">
            <v>defsi</v>
          </cell>
        </row>
        <row r="1026">
          <cell r="B1026" t="b">
            <v>1</v>
          </cell>
          <cell r="E1026" t="str">
            <v>Boquilla</v>
          </cell>
          <cell r="H1026" t="str">
            <v>laboratorio</v>
          </cell>
          <cell r="J1026" t="str">
            <v>muybueno</v>
          </cell>
          <cell r="K1026" t="str">
            <v>defsi</v>
          </cell>
        </row>
        <row r="1027">
          <cell r="B1027" t="b">
            <v>1</v>
          </cell>
          <cell r="E1027" t="str">
            <v>Bocachica</v>
          </cell>
          <cell r="H1027" t="str">
            <v>consulta_externa</v>
          </cell>
          <cell r="J1027" t="str">
            <v>muybueno</v>
          </cell>
          <cell r="K1027" t="str">
            <v>defsi</v>
          </cell>
        </row>
        <row r="1028">
          <cell r="B1028" t="b">
            <v>1</v>
          </cell>
          <cell r="E1028" t="str">
            <v>Boquilla</v>
          </cell>
          <cell r="H1028" t="str">
            <v>laboratorio</v>
          </cell>
          <cell r="J1028" t="str">
            <v>bueno</v>
          </cell>
          <cell r="K1028" t="str">
            <v>defsi</v>
          </cell>
        </row>
        <row r="1029">
          <cell r="B1029" t="b">
            <v>1</v>
          </cell>
          <cell r="E1029" t="str">
            <v>Boquilla</v>
          </cell>
          <cell r="H1029" t="str">
            <v>consulta_externa</v>
          </cell>
          <cell r="J1029" t="str">
            <v>muybueno</v>
          </cell>
          <cell r="K1029" t="str">
            <v>defsi</v>
          </cell>
        </row>
        <row r="1030">
          <cell r="B1030" t="b">
            <v>1</v>
          </cell>
          <cell r="E1030" t="str">
            <v>Bocachica</v>
          </cell>
          <cell r="H1030" t="str">
            <v>laboratorio</v>
          </cell>
          <cell r="J1030" t="str">
            <v>muybueno</v>
          </cell>
          <cell r="K1030" t="str">
            <v>defsi</v>
          </cell>
        </row>
        <row r="1031">
          <cell r="B1031" t="b">
            <v>1</v>
          </cell>
          <cell r="E1031" t="str">
            <v>Candelaria</v>
          </cell>
          <cell r="H1031" t="str">
            <v>consulta_externa</v>
          </cell>
          <cell r="J1031" t="str">
            <v>bueno</v>
          </cell>
          <cell r="K1031" t="str">
            <v>defsi</v>
          </cell>
        </row>
        <row r="1032">
          <cell r="B1032" t="b">
            <v>1</v>
          </cell>
          <cell r="E1032" t="str">
            <v>Bocachica</v>
          </cell>
          <cell r="H1032" t="str">
            <v>salud_oral</v>
          </cell>
          <cell r="J1032" t="str">
            <v>muybueno</v>
          </cell>
          <cell r="K1032" t="str">
            <v>defsi</v>
          </cell>
        </row>
        <row r="1033">
          <cell r="B1033" t="b">
            <v>1</v>
          </cell>
          <cell r="E1033" t="str">
            <v>Candelaria</v>
          </cell>
          <cell r="H1033" t="str">
            <v>salud_oral</v>
          </cell>
          <cell r="J1033" t="str">
            <v>bueno</v>
          </cell>
          <cell r="K1033" t="str">
            <v>defsi</v>
          </cell>
        </row>
        <row r="1034">
          <cell r="B1034" t="b">
            <v>1</v>
          </cell>
          <cell r="E1034" t="str">
            <v>Boquilla</v>
          </cell>
          <cell r="H1034" t="str">
            <v>consulta_externa</v>
          </cell>
          <cell r="J1034" t="str">
            <v>bueno</v>
          </cell>
          <cell r="K1034" t="str">
            <v>defsi</v>
          </cell>
        </row>
        <row r="1035">
          <cell r="B1035" t="b">
            <v>1</v>
          </cell>
          <cell r="E1035" t="str">
            <v>Candelaria</v>
          </cell>
          <cell r="H1035" t="str">
            <v>laboratorio</v>
          </cell>
          <cell r="J1035" t="str">
            <v>bueno</v>
          </cell>
          <cell r="K1035" t="str">
            <v>defsi</v>
          </cell>
        </row>
        <row r="1036">
          <cell r="B1036" t="b">
            <v>1</v>
          </cell>
          <cell r="E1036" t="str">
            <v>Candelaria</v>
          </cell>
          <cell r="H1036" t="str">
            <v>urgencia</v>
          </cell>
          <cell r="J1036" t="str">
            <v>bueno</v>
          </cell>
          <cell r="K1036" t="str">
            <v>defsi</v>
          </cell>
        </row>
        <row r="1037">
          <cell r="B1037" t="b">
            <v>1</v>
          </cell>
          <cell r="E1037" t="str">
            <v>Boquilla</v>
          </cell>
          <cell r="H1037" t="str">
            <v>consulta_externa</v>
          </cell>
          <cell r="J1037" t="str">
            <v>bueno</v>
          </cell>
          <cell r="K1037" t="str">
            <v>defsi</v>
          </cell>
        </row>
        <row r="1038">
          <cell r="B1038" t="b">
            <v>1</v>
          </cell>
          <cell r="E1038" t="str">
            <v>Boquilla</v>
          </cell>
          <cell r="H1038" t="str">
            <v>laboratorio</v>
          </cell>
          <cell r="J1038" t="str">
            <v>bueno</v>
          </cell>
          <cell r="K1038" t="str">
            <v>defsi</v>
          </cell>
        </row>
        <row r="1039">
          <cell r="B1039" t="b">
            <v>1</v>
          </cell>
          <cell r="E1039" t="str">
            <v>Candelaria</v>
          </cell>
          <cell r="H1039" t="str">
            <v>electros</v>
          </cell>
          <cell r="J1039" t="str">
            <v>bueno</v>
          </cell>
          <cell r="K1039" t="str">
            <v>defsi</v>
          </cell>
        </row>
        <row r="1040">
          <cell r="B1040" t="b">
            <v>1</v>
          </cell>
          <cell r="E1040" t="str">
            <v>Pasacaballos</v>
          </cell>
          <cell r="H1040" t="str">
            <v>consulta_externa</v>
          </cell>
          <cell r="J1040" t="str">
            <v>bueno</v>
          </cell>
          <cell r="K1040" t="str">
            <v>probsi</v>
          </cell>
        </row>
        <row r="1041">
          <cell r="B1041" t="b">
            <v>1</v>
          </cell>
          <cell r="E1041" t="str">
            <v>Boquilla</v>
          </cell>
          <cell r="H1041" t="str">
            <v>consulta_externa</v>
          </cell>
          <cell r="J1041" t="str">
            <v>bueno</v>
          </cell>
          <cell r="K1041" t="str">
            <v>defsi</v>
          </cell>
        </row>
        <row r="1042">
          <cell r="B1042" t="b">
            <v>1</v>
          </cell>
          <cell r="E1042" t="str">
            <v>Bocachica</v>
          </cell>
          <cell r="H1042" t="str">
            <v>laboratorio</v>
          </cell>
          <cell r="J1042" t="str">
            <v>muybueno</v>
          </cell>
          <cell r="K1042" t="str">
            <v>defsi</v>
          </cell>
        </row>
        <row r="1043">
          <cell r="B1043" t="b">
            <v>1</v>
          </cell>
          <cell r="E1043" t="str">
            <v>Candelaria</v>
          </cell>
          <cell r="H1043" t="str">
            <v>pediatria</v>
          </cell>
          <cell r="J1043" t="str">
            <v>bueno</v>
          </cell>
          <cell r="K1043" t="str">
            <v>defsi</v>
          </cell>
        </row>
        <row r="1044">
          <cell r="B1044" t="b">
            <v>1</v>
          </cell>
          <cell r="E1044" t="str">
            <v>Candelaria</v>
          </cell>
          <cell r="H1044" t="str">
            <v>medicina_interna</v>
          </cell>
          <cell r="J1044" t="str">
            <v>bueno</v>
          </cell>
          <cell r="K1044" t="str">
            <v>defsi</v>
          </cell>
        </row>
        <row r="1045">
          <cell r="B1045" t="b">
            <v>1</v>
          </cell>
          <cell r="E1045" t="str">
            <v>Boquilla</v>
          </cell>
          <cell r="H1045" t="str">
            <v>laboratorio</v>
          </cell>
          <cell r="J1045" t="str">
            <v>bueno</v>
          </cell>
          <cell r="K1045" t="str">
            <v>defsi</v>
          </cell>
        </row>
        <row r="1046">
          <cell r="B1046" t="b">
            <v>1</v>
          </cell>
          <cell r="E1046" t="str">
            <v>Candelaria</v>
          </cell>
          <cell r="H1046" t="str">
            <v>consulta_externa</v>
          </cell>
          <cell r="J1046" t="str">
            <v>bueno</v>
          </cell>
          <cell r="K1046" t="str">
            <v>defsi</v>
          </cell>
        </row>
        <row r="1047">
          <cell r="B1047" t="b">
            <v>1</v>
          </cell>
          <cell r="E1047" t="str">
            <v>Candelaria</v>
          </cell>
          <cell r="H1047" t="str">
            <v>salud_oral</v>
          </cell>
          <cell r="J1047" t="str">
            <v>bueno</v>
          </cell>
          <cell r="K1047" t="str">
            <v>defsi</v>
          </cell>
        </row>
        <row r="1048">
          <cell r="B1048" t="b">
            <v>1</v>
          </cell>
          <cell r="E1048" t="str">
            <v>Candelaria</v>
          </cell>
          <cell r="H1048" t="str">
            <v>laboratorio</v>
          </cell>
          <cell r="J1048" t="str">
            <v>bueno</v>
          </cell>
          <cell r="K1048" t="str">
            <v>defsi</v>
          </cell>
        </row>
        <row r="1049">
          <cell r="B1049" t="b">
            <v>1</v>
          </cell>
          <cell r="E1049" t="str">
            <v>Bocachica</v>
          </cell>
          <cell r="H1049" t="str">
            <v>consulta_externa</v>
          </cell>
          <cell r="J1049" t="str">
            <v>muybueno</v>
          </cell>
          <cell r="K1049" t="str">
            <v>defsi</v>
          </cell>
        </row>
        <row r="1050">
          <cell r="B1050" t="b">
            <v>1</v>
          </cell>
          <cell r="E1050" t="str">
            <v>Candelaria</v>
          </cell>
          <cell r="H1050" t="str">
            <v>urgencia</v>
          </cell>
          <cell r="J1050" t="str">
            <v>bueno</v>
          </cell>
          <cell r="K1050" t="str">
            <v>defsi</v>
          </cell>
        </row>
        <row r="1051">
          <cell r="B1051" t="b">
            <v>1</v>
          </cell>
          <cell r="E1051" t="str">
            <v>Candelaria</v>
          </cell>
          <cell r="H1051" t="str">
            <v>electros</v>
          </cell>
          <cell r="J1051" t="str">
            <v>bueno</v>
          </cell>
          <cell r="K1051" t="str">
            <v>defsi</v>
          </cell>
        </row>
        <row r="1052">
          <cell r="B1052" t="b">
            <v>1</v>
          </cell>
          <cell r="E1052" t="str">
            <v>Candelaria</v>
          </cell>
          <cell r="H1052" t="str">
            <v>pediatria</v>
          </cell>
          <cell r="J1052" t="str">
            <v>bueno</v>
          </cell>
          <cell r="K1052" t="str">
            <v>defsi</v>
          </cell>
        </row>
        <row r="1053">
          <cell r="B1053" t="b">
            <v>1</v>
          </cell>
          <cell r="E1053" t="str">
            <v>Candelaria</v>
          </cell>
          <cell r="H1053" t="str">
            <v>medicina_interna</v>
          </cell>
          <cell r="J1053" t="str">
            <v>bueno</v>
          </cell>
          <cell r="K1053" t="str">
            <v>defsi</v>
          </cell>
        </row>
        <row r="1054">
          <cell r="B1054" t="b">
            <v>1</v>
          </cell>
          <cell r="E1054" t="str">
            <v>Candelaria</v>
          </cell>
          <cell r="H1054" t="str">
            <v>consulta_externa</v>
          </cell>
          <cell r="J1054" t="str">
            <v>bueno</v>
          </cell>
          <cell r="K1054" t="str">
            <v>defsi</v>
          </cell>
        </row>
        <row r="1055">
          <cell r="B1055" t="b">
            <v>1</v>
          </cell>
          <cell r="E1055" t="str">
            <v>Bocachica</v>
          </cell>
          <cell r="H1055" t="str">
            <v>salud_oral</v>
          </cell>
          <cell r="J1055" t="str">
            <v>muybueno</v>
          </cell>
          <cell r="K1055" t="str">
            <v>defsi</v>
          </cell>
        </row>
        <row r="1056">
          <cell r="B1056" t="b">
            <v>1</v>
          </cell>
          <cell r="E1056" t="str">
            <v>Bocachica</v>
          </cell>
          <cell r="H1056" t="str">
            <v>salud_oral</v>
          </cell>
          <cell r="J1056" t="str">
            <v>muybueno</v>
          </cell>
          <cell r="K1056" t="str">
            <v>defsi</v>
          </cell>
        </row>
        <row r="1057">
          <cell r="B1057" t="b">
            <v>1</v>
          </cell>
          <cell r="E1057" t="str">
            <v>Candelaria</v>
          </cell>
          <cell r="H1057" t="str">
            <v>salud_oral</v>
          </cell>
          <cell r="J1057" t="str">
            <v>bueno</v>
          </cell>
          <cell r="K1057" t="str">
            <v>defsi</v>
          </cell>
        </row>
        <row r="1058">
          <cell r="B1058" t="b">
            <v>1</v>
          </cell>
          <cell r="E1058" t="str">
            <v>Candelaria</v>
          </cell>
          <cell r="H1058" t="str">
            <v>laboratorio</v>
          </cell>
          <cell r="J1058" t="str">
            <v>bueno</v>
          </cell>
          <cell r="K1058" t="str">
            <v>defsi</v>
          </cell>
        </row>
        <row r="1059">
          <cell r="B1059" t="b">
            <v>1</v>
          </cell>
          <cell r="E1059" t="str">
            <v>Boquilla</v>
          </cell>
          <cell r="H1059" t="str">
            <v>consulta_externa</v>
          </cell>
          <cell r="J1059" t="str">
            <v>bueno</v>
          </cell>
          <cell r="K1059" t="str">
            <v>defsi</v>
          </cell>
        </row>
        <row r="1060">
          <cell r="B1060" t="b">
            <v>1</v>
          </cell>
          <cell r="E1060" t="str">
            <v>Boquilla</v>
          </cell>
          <cell r="H1060" t="str">
            <v>salud_oral</v>
          </cell>
          <cell r="J1060" t="str">
            <v>bueno</v>
          </cell>
          <cell r="K1060" t="str">
            <v>defsi</v>
          </cell>
        </row>
        <row r="1061">
          <cell r="B1061" t="b">
            <v>1</v>
          </cell>
          <cell r="E1061" t="str">
            <v>Candelaria</v>
          </cell>
          <cell r="H1061" t="str">
            <v>urgencia</v>
          </cell>
          <cell r="J1061" t="str">
            <v>bueno</v>
          </cell>
          <cell r="K1061" t="str">
            <v>defsi</v>
          </cell>
        </row>
        <row r="1062">
          <cell r="B1062" t="b">
            <v>1</v>
          </cell>
          <cell r="E1062" t="str">
            <v>Candelaria</v>
          </cell>
          <cell r="H1062" t="str">
            <v>electros</v>
          </cell>
          <cell r="J1062" t="str">
            <v>bueno</v>
          </cell>
          <cell r="K1062" t="str">
            <v>defsi</v>
          </cell>
        </row>
        <row r="1063">
          <cell r="B1063" t="b">
            <v>1</v>
          </cell>
          <cell r="E1063" t="str">
            <v>Boquilla</v>
          </cell>
          <cell r="H1063" t="str">
            <v>salud_oral</v>
          </cell>
          <cell r="J1063" t="str">
            <v>bueno</v>
          </cell>
          <cell r="K1063" t="str">
            <v>defsi</v>
          </cell>
        </row>
        <row r="1064">
          <cell r="B1064" t="b">
            <v>0</v>
          </cell>
          <cell r="E1064" t="str">
            <v>Bocachica</v>
          </cell>
          <cell r="H1064" t="str">
            <v>consulta_externa</v>
          </cell>
          <cell r="J1064" t="str">
            <v>regular</v>
          </cell>
          <cell r="K1064" t="str">
            <v>defno</v>
          </cell>
        </row>
        <row r="1065">
          <cell r="B1065" t="b">
            <v>1</v>
          </cell>
          <cell r="E1065" t="str">
            <v>Candelaria</v>
          </cell>
          <cell r="H1065" t="str">
            <v>pediatria</v>
          </cell>
          <cell r="J1065" t="str">
            <v>bueno</v>
          </cell>
          <cell r="K1065" t="str">
            <v>defsi</v>
          </cell>
        </row>
        <row r="1066">
          <cell r="B1066" t="b">
            <v>1</v>
          </cell>
          <cell r="E1066" t="str">
            <v>Candelaria</v>
          </cell>
          <cell r="H1066" t="str">
            <v>medicina_interna</v>
          </cell>
          <cell r="J1066" t="str">
            <v>bueno</v>
          </cell>
          <cell r="K1066" t="str">
            <v>defsi</v>
          </cell>
        </row>
        <row r="1067">
          <cell r="B1067" t="b">
            <v>0</v>
          </cell>
          <cell r="E1067" t="str">
            <v>Boquilla</v>
          </cell>
          <cell r="H1067" t="str">
            <v>consulta_externa</v>
          </cell>
          <cell r="J1067" t="str">
            <v>regular</v>
          </cell>
          <cell r="K1067" t="str">
            <v>defsi</v>
          </cell>
        </row>
        <row r="1068">
          <cell r="B1068" t="b">
            <v>1</v>
          </cell>
          <cell r="E1068" t="str">
            <v>Boquilla</v>
          </cell>
          <cell r="H1068" t="str">
            <v>consulta_externa</v>
          </cell>
          <cell r="J1068" t="str">
            <v>bueno</v>
          </cell>
          <cell r="K1068" t="str">
            <v>defsi</v>
          </cell>
        </row>
        <row r="1069">
          <cell r="B1069" t="b">
            <v>0</v>
          </cell>
          <cell r="E1069" t="str">
            <v>Boquilla</v>
          </cell>
          <cell r="H1069" t="str">
            <v>laboratorio</v>
          </cell>
          <cell r="J1069" t="str">
            <v>regular</v>
          </cell>
          <cell r="K1069" t="str">
            <v>probsi</v>
          </cell>
        </row>
        <row r="1070">
          <cell r="B1070" t="b">
            <v>1</v>
          </cell>
          <cell r="E1070" t="str">
            <v>Pasacaballos</v>
          </cell>
          <cell r="H1070" t="str">
            <v>consulta_externa</v>
          </cell>
          <cell r="J1070" t="str">
            <v>bueno</v>
          </cell>
          <cell r="K1070" t="str">
            <v>probsi</v>
          </cell>
        </row>
        <row r="1071">
          <cell r="B1071" t="b">
            <v>1</v>
          </cell>
          <cell r="E1071" t="str">
            <v>Boquilla</v>
          </cell>
          <cell r="H1071" t="str">
            <v>salud_oral</v>
          </cell>
          <cell r="J1071" t="str">
            <v>bueno</v>
          </cell>
          <cell r="K1071" t="str">
            <v>defsi</v>
          </cell>
        </row>
        <row r="1072">
          <cell r="B1072" t="b">
            <v>1</v>
          </cell>
          <cell r="E1072" t="str">
            <v>Boquilla</v>
          </cell>
          <cell r="H1072" t="str">
            <v>salud_oral</v>
          </cell>
          <cell r="J1072" t="str">
            <v>bueno</v>
          </cell>
          <cell r="K1072" t="str">
            <v>defsi</v>
          </cell>
        </row>
        <row r="1073">
          <cell r="B1073" t="b">
            <v>1</v>
          </cell>
          <cell r="E1073" t="str">
            <v>Pasacaballos</v>
          </cell>
          <cell r="H1073" t="str">
            <v>consulta_externa</v>
          </cell>
          <cell r="J1073" t="str">
            <v>bueno</v>
          </cell>
          <cell r="K1073" t="str">
            <v>probsi</v>
          </cell>
        </row>
        <row r="1074">
          <cell r="B1074" t="b">
            <v>1</v>
          </cell>
          <cell r="E1074" t="str">
            <v>Boquilla</v>
          </cell>
          <cell r="H1074" t="str">
            <v>urgencia</v>
          </cell>
          <cell r="J1074" t="str">
            <v>bueno</v>
          </cell>
          <cell r="K1074" t="str">
            <v>defsi</v>
          </cell>
        </row>
        <row r="1075">
          <cell r="B1075" t="b">
            <v>1</v>
          </cell>
          <cell r="E1075" t="str">
            <v>Pasacaballos</v>
          </cell>
          <cell r="H1075" t="str">
            <v>consulta_externa</v>
          </cell>
          <cell r="J1075" t="str">
            <v>bueno</v>
          </cell>
          <cell r="K1075" t="str">
            <v>probsi</v>
          </cell>
        </row>
        <row r="1076">
          <cell r="B1076" t="b">
            <v>0</v>
          </cell>
          <cell r="E1076" t="str">
            <v>Pasacaballos</v>
          </cell>
          <cell r="H1076" t="str">
            <v>consulta_externa</v>
          </cell>
          <cell r="J1076" t="str">
            <v>regular</v>
          </cell>
          <cell r="K1076" t="str">
            <v>probsi</v>
          </cell>
        </row>
        <row r="1077">
          <cell r="B1077" t="b">
            <v>0</v>
          </cell>
          <cell r="E1077" t="str">
            <v>Pasacaballos</v>
          </cell>
          <cell r="H1077" t="str">
            <v>laboratorio</v>
          </cell>
          <cell r="J1077" t="str">
            <v>regular</v>
          </cell>
          <cell r="K1077" t="str">
            <v>probsi</v>
          </cell>
        </row>
        <row r="1078">
          <cell r="B1078" t="b">
            <v>0</v>
          </cell>
          <cell r="E1078" t="str">
            <v>Pasacaballos</v>
          </cell>
          <cell r="H1078" t="str">
            <v>laboratorio</v>
          </cell>
          <cell r="J1078" t="str">
            <v>regular</v>
          </cell>
          <cell r="K1078" t="str">
            <v>probno</v>
          </cell>
        </row>
        <row r="1079">
          <cell r="B1079" t="b">
            <v>1</v>
          </cell>
          <cell r="E1079" t="str">
            <v>Boquilla</v>
          </cell>
          <cell r="H1079" t="str">
            <v>urgencia</v>
          </cell>
          <cell r="J1079" t="str">
            <v>bueno</v>
          </cell>
          <cell r="K1079" t="str">
            <v>defsi</v>
          </cell>
        </row>
        <row r="1080">
          <cell r="B1080" t="b">
            <v>1</v>
          </cell>
          <cell r="E1080" t="str">
            <v>Boquilla</v>
          </cell>
          <cell r="H1080" t="str">
            <v>urgencia</v>
          </cell>
          <cell r="J1080" t="str">
            <v>bueno</v>
          </cell>
          <cell r="K1080" t="str">
            <v>defsi</v>
          </cell>
        </row>
        <row r="1081">
          <cell r="B1081" t="b">
            <v>1</v>
          </cell>
          <cell r="E1081" t="str">
            <v>Boquilla</v>
          </cell>
          <cell r="H1081" t="str">
            <v>urgencia</v>
          </cell>
          <cell r="J1081" t="str">
            <v>bueno</v>
          </cell>
          <cell r="K1081" t="str">
            <v>defsi</v>
          </cell>
        </row>
        <row r="1082">
          <cell r="B1082" t="b">
            <v>0</v>
          </cell>
          <cell r="E1082" t="str">
            <v>Pasacaballos</v>
          </cell>
          <cell r="H1082" t="str">
            <v>salud_oral</v>
          </cell>
          <cell r="J1082" t="str">
            <v>regular</v>
          </cell>
          <cell r="K1082" t="str">
            <v>probsi</v>
          </cell>
        </row>
        <row r="1083">
          <cell r="B1083" t="b">
            <v>1</v>
          </cell>
          <cell r="E1083" t="str">
            <v>Boquilla</v>
          </cell>
          <cell r="H1083" t="str">
            <v>urgencia</v>
          </cell>
          <cell r="J1083" t="str">
            <v>bueno</v>
          </cell>
          <cell r="K1083" t="str">
            <v>defsi</v>
          </cell>
        </row>
        <row r="1084">
          <cell r="B1084" t="b">
            <v>0</v>
          </cell>
          <cell r="E1084" t="str">
            <v>Pasacaballos</v>
          </cell>
          <cell r="H1084" t="str">
            <v>consulta_externa</v>
          </cell>
          <cell r="J1084" t="str">
            <v>regular</v>
          </cell>
          <cell r="K1084" t="str">
            <v>probsi</v>
          </cell>
        </row>
        <row r="1085">
          <cell r="B1085" t="b">
            <v>1</v>
          </cell>
          <cell r="E1085" t="str">
            <v>Pasacaballos</v>
          </cell>
          <cell r="H1085" t="str">
            <v>salud_oral</v>
          </cell>
          <cell r="J1085" t="str">
            <v>bueno</v>
          </cell>
          <cell r="K1085" t="str">
            <v>probsi</v>
          </cell>
        </row>
        <row r="1086">
          <cell r="B1086" t="b">
            <v>0</v>
          </cell>
          <cell r="E1086" t="str">
            <v>Pasacaballos</v>
          </cell>
          <cell r="H1086" t="str">
            <v>laboratorio</v>
          </cell>
          <cell r="J1086" t="str">
            <v>malo</v>
          </cell>
          <cell r="K1086" t="str">
            <v>probno</v>
          </cell>
        </row>
        <row r="1087">
          <cell r="B1087" t="b">
            <v>0</v>
          </cell>
          <cell r="E1087" t="str">
            <v>Pasacaballos</v>
          </cell>
          <cell r="H1087" t="str">
            <v>consulta_externa</v>
          </cell>
          <cell r="J1087" t="str">
            <v>regular</v>
          </cell>
          <cell r="K1087" t="str">
            <v>probsi</v>
          </cell>
        </row>
        <row r="1088">
          <cell r="B1088" t="b">
            <v>0</v>
          </cell>
          <cell r="E1088" t="str">
            <v>Pasacaballos</v>
          </cell>
          <cell r="H1088" t="str">
            <v>urgencia</v>
          </cell>
          <cell r="J1088" t="str">
            <v>regular</v>
          </cell>
          <cell r="K1088" t="str">
            <v>probsi</v>
          </cell>
        </row>
        <row r="1089">
          <cell r="B1089" t="b">
            <v>1</v>
          </cell>
          <cell r="E1089" t="str">
            <v>Bocachica</v>
          </cell>
          <cell r="H1089" t="str">
            <v>urgencia</v>
          </cell>
          <cell r="J1089" t="str">
            <v>muybueno</v>
          </cell>
          <cell r="K1089" t="str">
            <v>defsi</v>
          </cell>
        </row>
        <row r="1090">
          <cell r="B1090" t="b">
            <v>1</v>
          </cell>
          <cell r="E1090" t="str">
            <v>Pasacaballos</v>
          </cell>
          <cell r="H1090" t="str">
            <v>consulta_externa</v>
          </cell>
          <cell r="J1090" t="str">
            <v>bueno</v>
          </cell>
          <cell r="K1090" t="str">
            <v>probsi</v>
          </cell>
        </row>
        <row r="1091">
          <cell r="B1091" t="b">
            <v>0</v>
          </cell>
          <cell r="E1091" t="str">
            <v>Pasacaballos</v>
          </cell>
          <cell r="H1091" t="str">
            <v>laboratorio</v>
          </cell>
          <cell r="J1091" t="str">
            <v>regular</v>
          </cell>
          <cell r="K1091" t="str">
            <v>probsi</v>
          </cell>
        </row>
        <row r="1092">
          <cell r="B1092" t="b">
            <v>1</v>
          </cell>
          <cell r="E1092" t="str">
            <v>Bocachica</v>
          </cell>
          <cell r="H1092" t="str">
            <v>salud_oral</v>
          </cell>
          <cell r="J1092" t="str">
            <v>muybueno</v>
          </cell>
          <cell r="K1092" t="str">
            <v>defsi</v>
          </cell>
        </row>
        <row r="1093">
          <cell r="B1093" t="b">
            <v>1</v>
          </cell>
          <cell r="E1093" t="str">
            <v>Boquilla</v>
          </cell>
          <cell r="H1093" t="str">
            <v>salud_oral</v>
          </cell>
          <cell r="J1093" t="str">
            <v>bueno</v>
          </cell>
          <cell r="K1093" t="str">
            <v>defsi</v>
          </cell>
        </row>
        <row r="1094">
          <cell r="B1094" t="b">
            <v>1</v>
          </cell>
          <cell r="E1094" t="str">
            <v>Boquilla</v>
          </cell>
          <cell r="H1094" t="str">
            <v>consulta_externa</v>
          </cell>
          <cell r="J1094" t="str">
            <v>bueno</v>
          </cell>
          <cell r="K1094" t="str">
            <v>defsi</v>
          </cell>
        </row>
        <row r="1095">
          <cell r="B1095" t="b">
            <v>1</v>
          </cell>
          <cell r="E1095" t="str">
            <v>Bocachica</v>
          </cell>
          <cell r="H1095" t="str">
            <v>salud_oral</v>
          </cell>
          <cell r="J1095" t="str">
            <v>muybueno</v>
          </cell>
          <cell r="K1095" t="str">
            <v>defsi</v>
          </cell>
        </row>
        <row r="1096">
          <cell r="B1096" t="b">
            <v>1</v>
          </cell>
          <cell r="E1096" t="str">
            <v>Boquilla</v>
          </cell>
          <cell r="H1096" t="str">
            <v>consulta_externa</v>
          </cell>
          <cell r="J1096" t="str">
            <v>bueno</v>
          </cell>
          <cell r="K1096" t="str">
            <v>defsi</v>
          </cell>
        </row>
        <row r="1097">
          <cell r="B1097" t="b">
            <v>1</v>
          </cell>
          <cell r="E1097" t="str">
            <v>Pasacaballos</v>
          </cell>
          <cell r="H1097" t="str">
            <v>consulta_externa</v>
          </cell>
          <cell r="J1097" t="str">
            <v>bueno</v>
          </cell>
          <cell r="K1097" t="str">
            <v>probsi</v>
          </cell>
        </row>
        <row r="1098">
          <cell r="B1098" t="b">
            <v>1</v>
          </cell>
          <cell r="E1098" t="str">
            <v>Boquilla</v>
          </cell>
          <cell r="H1098" t="str">
            <v>laboratorio</v>
          </cell>
          <cell r="J1098" t="str">
            <v>bueno</v>
          </cell>
          <cell r="K1098" t="str">
            <v>defsi</v>
          </cell>
        </row>
        <row r="1099">
          <cell r="B1099" t="b">
            <v>1</v>
          </cell>
          <cell r="E1099" t="str">
            <v>Pasacaballos</v>
          </cell>
          <cell r="H1099" t="str">
            <v>consulta_externa</v>
          </cell>
          <cell r="J1099" t="str">
            <v>bueno</v>
          </cell>
          <cell r="K1099" t="str">
            <v>probsi</v>
          </cell>
        </row>
        <row r="1100">
          <cell r="B1100" t="b">
            <v>1</v>
          </cell>
          <cell r="E1100" t="str">
            <v>Bocachica</v>
          </cell>
          <cell r="H1100" t="str">
            <v>salud_oral</v>
          </cell>
          <cell r="J1100" t="str">
            <v>muybueno</v>
          </cell>
          <cell r="K1100" t="str">
            <v>defsi</v>
          </cell>
        </row>
        <row r="1101">
          <cell r="B1101" t="b">
            <v>1</v>
          </cell>
          <cell r="E1101" t="str">
            <v>Candelaria</v>
          </cell>
          <cell r="H1101" t="str">
            <v>consulta_externa</v>
          </cell>
          <cell r="J1101" t="str">
            <v>bueno</v>
          </cell>
          <cell r="K1101" t="str">
            <v>defsi</v>
          </cell>
        </row>
        <row r="1102">
          <cell r="B1102" t="b">
            <v>1</v>
          </cell>
          <cell r="E1102" t="str">
            <v>Bocachica</v>
          </cell>
          <cell r="H1102" t="str">
            <v>laboratorio</v>
          </cell>
          <cell r="J1102" t="str">
            <v>muybueno</v>
          </cell>
          <cell r="K1102" t="str">
            <v>defsi</v>
          </cell>
        </row>
        <row r="1103">
          <cell r="B1103" t="b">
            <v>1</v>
          </cell>
          <cell r="E1103" t="str">
            <v>Boquilla</v>
          </cell>
          <cell r="H1103" t="str">
            <v>laboratorio</v>
          </cell>
          <cell r="J1103" t="str">
            <v>bueno</v>
          </cell>
          <cell r="K1103" t="str">
            <v>defsi</v>
          </cell>
        </row>
        <row r="1104">
          <cell r="B1104" t="b">
            <v>1</v>
          </cell>
          <cell r="E1104" t="str">
            <v>Boquilla</v>
          </cell>
          <cell r="H1104" t="str">
            <v>consulta_externa</v>
          </cell>
          <cell r="J1104" t="str">
            <v>muybueno</v>
          </cell>
          <cell r="K1104" t="str">
            <v>defsi</v>
          </cell>
        </row>
        <row r="1105">
          <cell r="B1105" t="b">
            <v>1</v>
          </cell>
          <cell r="E1105" t="str">
            <v>Boquilla</v>
          </cell>
          <cell r="H1105" t="str">
            <v>salud_oral</v>
          </cell>
          <cell r="J1105" t="str">
            <v>bueno</v>
          </cell>
          <cell r="K1105" t="str">
            <v>defsi</v>
          </cell>
        </row>
        <row r="1106">
          <cell r="B1106" t="b">
            <v>1</v>
          </cell>
          <cell r="E1106" t="str">
            <v>Bocachica</v>
          </cell>
          <cell r="H1106" t="str">
            <v>laboratorio</v>
          </cell>
          <cell r="J1106" t="str">
            <v>muybueno</v>
          </cell>
          <cell r="K1106" t="str">
            <v>defsi</v>
          </cell>
        </row>
        <row r="1107">
          <cell r="B1107" t="b">
            <v>1</v>
          </cell>
          <cell r="E1107" t="str">
            <v>Bocachica</v>
          </cell>
          <cell r="H1107" t="str">
            <v>salud_oral</v>
          </cell>
          <cell r="J1107" t="str">
            <v>muybueno</v>
          </cell>
          <cell r="K1107" t="str">
            <v>defsi</v>
          </cell>
        </row>
        <row r="1108">
          <cell r="B1108" t="b">
            <v>1</v>
          </cell>
          <cell r="E1108" t="str">
            <v>Bocachica</v>
          </cell>
          <cell r="H1108" t="str">
            <v>consulta_externa</v>
          </cell>
          <cell r="J1108" t="str">
            <v>muybueno</v>
          </cell>
          <cell r="K1108" t="str">
            <v>defsi</v>
          </cell>
        </row>
        <row r="1109">
          <cell r="B1109" t="b">
            <v>1</v>
          </cell>
          <cell r="E1109" t="str">
            <v>Bocachica</v>
          </cell>
          <cell r="H1109" t="str">
            <v>laboratorio</v>
          </cell>
          <cell r="J1109" t="str">
            <v>muybueno</v>
          </cell>
          <cell r="K1109" t="str">
            <v>defsi</v>
          </cell>
        </row>
        <row r="1110">
          <cell r="B1110" t="b">
            <v>1</v>
          </cell>
          <cell r="E1110" t="str">
            <v>Bocachica</v>
          </cell>
          <cell r="H1110" t="str">
            <v>salud_oral</v>
          </cell>
          <cell r="J1110" t="str">
            <v>muybueno</v>
          </cell>
          <cell r="K1110" t="str">
            <v>defsi</v>
          </cell>
        </row>
        <row r="1111">
          <cell r="B1111" t="b">
            <v>1</v>
          </cell>
          <cell r="E1111" t="str">
            <v>Bocachica</v>
          </cell>
          <cell r="H1111" t="str">
            <v>salud_oral</v>
          </cell>
          <cell r="J1111" t="str">
            <v>muybueno</v>
          </cell>
          <cell r="K1111" t="str">
            <v>defsi</v>
          </cell>
        </row>
        <row r="1112">
          <cell r="B1112" t="b">
            <v>1</v>
          </cell>
          <cell r="E1112" t="str">
            <v>Bocachica</v>
          </cell>
          <cell r="H1112" t="str">
            <v>consulta_externa</v>
          </cell>
          <cell r="J1112" t="str">
            <v>muybueno</v>
          </cell>
          <cell r="K1112" t="str">
            <v>defsi</v>
          </cell>
        </row>
        <row r="1113">
          <cell r="B1113" t="b">
            <v>1</v>
          </cell>
          <cell r="E1113" t="str">
            <v>Boquilla</v>
          </cell>
          <cell r="H1113" t="str">
            <v>urgencia</v>
          </cell>
          <cell r="J1113" t="str">
            <v>bueno</v>
          </cell>
          <cell r="K1113" t="str">
            <v>defsi</v>
          </cell>
        </row>
        <row r="1114">
          <cell r="B1114" t="b">
            <v>1</v>
          </cell>
          <cell r="E1114" t="str">
            <v>Boquilla</v>
          </cell>
          <cell r="H1114" t="str">
            <v>urgencia</v>
          </cell>
          <cell r="J1114" t="str">
            <v>bueno</v>
          </cell>
          <cell r="K1114" t="str">
            <v>defsi</v>
          </cell>
        </row>
        <row r="1115">
          <cell r="B1115" t="b">
            <v>1</v>
          </cell>
          <cell r="E1115" t="str">
            <v>Boquilla</v>
          </cell>
          <cell r="H1115" t="str">
            <v>laboratorio</v>
          </cell>
          <cell r="J1115" t="str">
            <v>bueno</v>
          </cell>
          <cell r="K1115" t="str">
            <v>defsi</v>
          </cell>
        </row>
        <row r="1116">
          <cell r="B1116" t="b">
            <v>1</v>
          </cell>
          <cell r="E1116" t="str">
            <v>Boquilla</v>
          </cell>
          <cell r="H1116" t="str">
            <v>urgencia</v>
          </cell>
          <cell r="J1116" t="str">
            <v>bueno</v>
          </cell>
          <cell r="K1116" t="str">
            <v>defsi</v>
          </cell>
        </row>
        <row r="1117">
          <cell r="B1117" t="b">
            <v>0</v>
          </cell>
          <cell r="E1117" t="str">
            <v>Boquilla</v>
          </cell>
          <cell r="H1117" t="str">
            <v>urgencia</v>
          </cell>
          <cell r="J1117" t="str">
            <v>regular</v>
          </cell>
          <cell r="K1117" t="str">
            <v>probsi</v>
          </cell>
        </row>
        <row r="1118">
          <cell r="B1118" t="b">
            <v>1</v>
          </cell>
          <cell r="E1118" t="str">
            <v>Boquilla</v>
          </cell>
          <cell r="H1118" t="str">
            <v>consulta_externa</v>
          </cell>
          <cell r="J1118" t="str">
            <v>bueno</v>
          </cell>
          <cell r="K1118" t="str">
            <v>defsi</v>
          </cell>
        </row>
        <row r="1119">
          <cell r="B1119" t="b">
            <v>1</v>
          </cell>
          <cell r="E1119" t="str">
            <v>Boquilla</v>
          </cell>
          <cell r="H1119" t="str">
            <v>laboratorio</v>
          </cell>
          <cell r="J1119" t="str">
            <v>bueno</v>
          </cell>
          <cell r="K1119" t="str">
            <v>defsi</v>
          </cell>
        </row>
        <row r="1120">
          <cell r="B1120" t="b">
            <v>1</v>
          </cell>
          <cell r="E1120" t="str">
            <v>Boquilla</v>
          </cell>
          <cell r="H1120" t="str">
            <v>laboratorio</v>
          </cell>
          <cell r="J1120" t="str">
            <v>bueno</v>
          </cell>
          <cell r="K1120" t="str">
            <v>defsi</v>
          </cell>
        </row>
        <row r="1121">
          <cell r="B1121" t="b">
            <v>1</v>
          </cell>
          <cell r="E1121" t="str">
            <v>Pasacaballos</v>
          </cell>
          <cell r="H1121" t="str">
            <v>salud_oral</v>
          </cell>
          <cell r="J1121" t="str">
            <v>bueno</v>
          </cell>
          <cell r="K1121" t="str">
            <v>probsi</v>
          </cell>
        </row>
        <row r="1122">
          <cell r="B1122" t="b">
            <v>1</v>
          </cell>
          <cell r="E1122" t="str">
            <v>Pasacaballos</v>
          </cell>
          <cell r="H1122" t="str">
            <v>salud_oral</v>
          </cell>
          <cell r="J1122" t="str">
            <v>bueno</v>
          </cell>
          <cell r="K1122" t="str">
            <v>probsi</v>
          </cell>
        </row>
        <row r="1123">
          <cell r="B1123" t="b">
            <v>0</v>
          </cell>
          <cell r="E1123" t="str">
            <v>Boquilla</v>
          </cell>
          <cell r="H1123" t="str">
            <v>urgencia</v>
          </cell>
          <cell r="J1123" t="str">
            <v>regular</v>
          </cell>
          <cell r="K1123" t="str">
            <v>defsi</v>
          </cell>
        </row>
        <row r="1124">
          <cell r="B1124" t="b">
            <v>1</v>
          </cell>
          <cell r="E1124" t="str">
            <v>Pasacaballos</v>
          </cell>
          <cell r="H1124" t="str">
            <v>salud_oral</v>
          </cell>
          <cell r="J1124" t="str">
            <v>bueno</v>
          </cell>
          <cell r="K1124" t="str">
            <v>probsi</v>
          </cell>
        </row>
        <row r="1125">
          <cell r="B1125" t="b">
            <v>1</v>
          </cell>
          <cell r="E1125" t="str">
            <v>Pasacaballos</v>
          </cell>
          <cell r="H1125" t="str">
            <v>salud_oral</v>
          </cell>
          <cell r="J1125" t="str">
            <v>bueno</v>
          </cell>
          <cell r="K1125" t="str">
            <v>probsi</v>
          </cell>
        </row>
        <row r="1126">
          <cell r="B1126" t="b">
            <v>1</v>
          </cell>
          <cell r="E1126" t="str">
            <v>Pasacaballos</v>
          </cell>
          <cell r="H1126" t="str">
            <v>salud_oral</v>
          </cell>
          <cell r="J1126" t="str">
            <v>bueno</v>
          </cell>
          <cell r="K1126" t="str">
            <v>probsi</v>
          </cell>
        </row>
        <row r="1127">
          <cell r="B1127" t="b">
            <v>1</v>
          </cell>
          <cell r="E1127" t="str">
            <v>Pasacaballos</v>
          </cell>
          <cell r="H1127" t="str">
            <v>salud_oral</v>
          </cell>
          <cell r="J1127" t="str">
            <v>bueno</v>
          </cell>
          <cell r="K1127" t="str">
            <v>probsi</v>
          </cell>
        </row>
        <row r="1128">
          <cell r="B1128" t="b">
            <v>1</v>
          </cell>
          <cell r="E1128" t="str">
            <v>Boquilla</v>
          </cell>
          <cell r="H1128" t="str">
            <v>urgencia</v>
          </cell>
          <cell r="J1128" t="str">
            <v>bueno</v>
          </cell>
          <cell r="K1128" t="str">
            <v>defsi</v>
          </cell>
        </row>
        <row r="1129">
          <cell r="B1129" t="b">
            <v>1</v>
          </cell>
          <cell r="E1129" t="str">
            <v>Boquilla</v>
          </cell>
          <cell r="H1129" t="str">
            <v>laboratorio</v>
          </cell>
          <cell r="J1129" t="str">
            <v>bueno</v>
          </cell>
          <cell r="K1129" t="str">
            <v>defsi</v>
          </cell>
        </row>
        <row r="1130">
          <cell r="B1130" t="b">
            <v>0</v>
          </cell>
          <cell r="E1130" t="str">
            <v>Boquilla</v>
          </cell>
          <cell r="H1130" t="str">
            <v>laboratorio</v>
          </cell>
          <cell r="J1130" t="str">
            <v>regular</v>
          </cell>
          <cell r="K1130" t="str">
            <v>defsi</v>
          </cell>
        </row>
        <row r="1131">
          <cell r="B1131" t="b">
            <v>0</v>
          </cell>
          <cell r="E1131" t="str">
            <v>Boquilla</v>
          </cell>
          <cell r="H1131" t="str">
            <v>laboratorio</v>
          </cell>
          <cell r="J1131" t="str">
            <v>regular</v>
          </cell>
          <cell r="K1131" t="str">
            <v>defsi</v>
          </cell>
        </row>
        <row r="1132">
          <cell r="B1132" t="b">
            <v>0</v>
          </cell>
          <cell r="E1132" t="str">
            <v>Boquilla</v>
          </cell>
          <cell r="H1132" t="str">
            <v>urgencia</v>
          </cell>
          <cell r="J1132" t="str">
            <v>regular</v>
          </cell>
          <cell r="K1132" t="str">
            <v>defsi</v>
          </cell>
        </row>
        <row r="1133">
          <cell r="B1133" t="b">
            <v>1</v>
          </cell>
          <cell r="E1133" t="str">
            <v>Boquilla</v>
          </cell>
          <cell r="H1133" t="str">
            <v>urgencia</v>
          </cell>
          <cell r="J1133" t="str">
            <v>bueno</v>
          </cell>
          <cell r="K1133" t="str">
            <v>defsi</v>
          </cell>
        </row>
        <row r="1134">
          <cell r="B1134" t="b">
            <v>1</v>
          </cell>
          <cell r="E1134" t="str">
            <v>Boquilla</v>
          </cell>
          <cell r="H1134" t="str">
            <v>urgencia</v>
          </cell>
          <cell r="J1134" t="str">
            <v>bueno</v>
          </cell>
          <cell r="K1134" t="str">
            <v>defsi</v>
          </cell>
        </row>
        <row r="1135">
          <cell r="B1135" t="b">
            <v>1</v>
          </cell>
          <cell r="E1135" t="str">
            <v>Boquilla</v>
          </cell>
          <cell r="H1135" t="str">
            <v>urgencia</v>
          </cell>
          <cell r="J1135" t="str">
            <v>bueno</v>
          </cell>
          <cell r="K1135" t="str">
            <v>defsi</v>
          </cell>
        </row>
        <row r="1136">
          <cell r="B1136" t="b">
            <v>0</v>
          </cell>
          <cell r="E1136" t="str">
            <v>Boquilla</v>
          </cell>
          <cell r="H1136" t="str">
            <v>urgencia</v>
          </cell>
          <cell r="J1136" t="str">
            <v>regular</v>
          </cell>
          <cell r="K1136" t="str">
            <v>probsi</v>
          </cell>
        </row>
        <row r="1137">
          <cell r="B1137" t="b">
            <v>1</v>
          </cell>
          <cell r="E1137" t="str">
            <v>Boquilla</v>
          </cell>
          <cell r="H1137" t="str">
            <v>salud_oral</v>
          </cell>
          <cell r="J1137" t="str">
            <v>bueno</v>
          </cell>
          <cell r="K1137" t="str">
            <v>defsi</v>
          </cell>
        </row>
        <row r="1138">
          <cell r="B1138" t="b">
            <v>1</v>
          </cell>
          <cell r="E1138" t="str">
            <v>Boquilla</v>
          </cell>
          <cell r="H1138" t="str">
            <v>salud_oral</v>
          </cell>
          <cell r="J1138" t="str">
            <v>bueno</v>
          </cell>
          <cell r="K1138" t="str">
            <v>defsi</v>
          </cell>
        </row>
        <row r="1139">
          <cell r="B1139" t="b">
            <v>1</v>
          </cell>
          <cell r="E1139" t="str">
            <v>Boquilla</v>
          </cell>
          <cell r="H1139" t="str">
            <v>salud_oral</v>
          </cell>
          <cell r="J1139" t="str">
            <v>muybueno</v>
          </cell>
          <cell r="K1139" t="str">
            <v>defsi</v>
          </cell>
        </row>
        <row r="1140">
          <cell r="B1140" t="b">
            <v>1</v>
          </cell>
          <cell r="E1140" t="str">
            <v>Boquilla</v>
          </cell>
          <cell r="H1140" t="str">
            <v>consulta_externa</v>
          </cell>
          <cell r="J1140" t="str">
            <v>bueno</v>
          </cell>
          <cell r="K1140" t="str">
            <v>defsi</v>
          </cell>
        </row>
        <row r="1141">
          <cell r="B1141" t="b">
            <v>0</v>
          </cell>
          <cell r="E1141" t="str">
            <v>Boquilla</v>
          </cell>
          <cell r="H1141" t="str">
            <v>urgencia</v>
          </cell>
          <cell r="J1141" t="str">
            <v>regular</v>
          </cell>
          <cell r="K1141" t="str">
            <v>probsi</v>
          </cell>
        </row>
        <row r="1142">
          <cell r="B1142" t="b">
            <v>1</v>
          </cell>
          <cell r="E1142" t="str">
            <v>Candelaria</v>
          </cell>
          <cell r="H1142" t="str">
            <v>consulta_externa</v>
          </cell>
          <cell r="J1142" t="str">
            <v>bueno</v>
          </cell>
          <cell r="K1142" t="str">
            <v>defsi</v>
          </cell>
        </row>
        <row r="1143">
          <cell r="B1143" t="b">
            <v>1</v>
          </cell>
          <cell r="E1143" t="str">
            <v>Candelaria</v>
          </cell>
          <cell r="H1143" t="str">
            <v>laboratorio</v>
          </cell>
          <cell r="J1143" t="str">
            <v>bueno</v>
          </cell>
          <cell r="K1143" t="str">
            <v>defsi</v>
          </cell>
        </row>
        <row r="1144">
          <cell r="B1144" t="b">
            <v>1</v>
          </cell>
          <cell r="E1144" t="str">
            <v>Candelaria</v>
          </cell>
          <cell r="H1144" t="str">
            <v>urgencia</v>
          </cell>
          <cell r="J1144" t="str">
            <v>bueno</v>
          </cell>
          <cell r="K1144" t="str">
            <v>defsi</v>
          </cell>
        </row>
        <row r="1145">
          <cell r="B1145" t="b">
            <v>1</v>
          </cell>
          <cell r="E1145" t="str">
            <v>Candelaria</v>
          </cell>
          <cell r="H1145" t="str">
            <v>electros</v>
          </cell>
          <cell r="J1145" t="str">
            <v>bueno</v>
          </cell>
          <cell r="K1145" t="str">
            <v>defsi</v>
          </cell>
        </row>
        <row r="1146">
          <cell r="B1146" t="b">
            <v>1</v>
          </cell>
          <cell r="E1146" t="str">
            <v>Candelaria</v>
          </cell>
          <cell r="H1146" t="str">
            <v>consulta_externa</v>
          </cell>
          <cell r="J1146" t="str">
            <v>bueno</v>
          </cell>
          <cell r="K1146" t="str">
            <v>defsi</v>
          </cell>
        </row>
        <row r="1147">
          <cell r="B1147" t="b">
            <v>1</v>
          </cell>
          <cell r="E1147" t="str">
            <v>Candelaria</v>
          </cell>
          <cell r="H1147" t="str">
            <v>salud_oral</v>
          </cell>
          <cell r="J1147" t="str">
            <v>bueno</v>
          </cell>
          <cell r="K1147" t="str">
            <v>defsi</v>
          </cell>
        </row>
        <row r="1148">
          <cell r="B1148" t="b">
            <v>1</v>
          </cell>
          <cell r="E1148" t="str">
            <v>Candelaria</v>
          </cell>
          <cell r="H1148" t="str">
            <v>laboratorio</v>
          </cell>
          <cell r="J1148" t="str">
            <v>bueno</v>
          </cell>
          <cell r="K1148" t="str">
            <v>defsi</v>
          </cell>
        </row>
        <row r="1149">
          <cell r="B1149" t="b">
            <v>1</v>
          </cell>
          <cell r="E1149" t="str">
            <v>Candelaria</v>
          </cell>
          <cell r="H1149" t="str">
            <v>urgencia</v>
          </cell>
          <cell r="J1149" t="str">
            <v>bueno</v>
          </cell>
          <cell r="K1149" t="str">
            <v>defsi</v>
          </cell>
        </row>
        <row r="1150">
          <cell r="B1150" t="b">
            <v>1</v>
          </cell>
          <cell r="E1150" t="str">
            <v>Candelaria</v>
          </cell>
          <cell r="H1150" t="str">
            <v>electros</v>
          </cell>
          <cell r="J1150" t="str">
            <v>bueno</v>
          </cell>
          <cell r="K1150" t="str">
            <v>defsi</v>
          </cell>
        </row>
        <row r="1151">
          <cell r="B1151" t="b">
            <v>1</v>
          </cell>
          <cell r="E1151" t="str">
            <v>Candelaria</v>
          </cell>
          <cell r="H1151" t="str">
            <v>consulta_externa</v>
          </cell>
          <cell r="J1151" t="str">
            <v>bueno</v>
          </cell>
          <cell r="K1151" t="str">
            <v>defsi</v>
          </cell>
        </row>
        <row r="1152">
          <cell r="B1152" t="b">
            <v>1</v>
          </cell>
          <cell r="E1152" t="str">
            <v>Candelaria</v>
          </cell>
          <cell r="H1152" t="str">
            <v>salud_oral</v>
          </cell>
          <cell r="J1152" t="str">
            <v>bueno</v>
          </cell>
          <cell r="K1152" t="str">
            <v>defsi</v>
          </cell>
        </row>
        <row r="1153">
          <cell r="B1153" t="b">
            <v>1</v>
          </cell>
          <cell r="E1153" t="str">
            <v>Candelaria</v>
          </cell>
          <cell r="H1153" t="str">
            <v>laboratorio</v>
          </cell>
          <cell r="J1153" t="str">
            <v>bueno</v>
          </cell>
          <cell r="K1153" t="str">
            <v>defsi</v>
          </cell>
        </row>
        <row r="1154">
          <cell r="B1154" t="b">
            <v>1</v>
          </cell>
          <cell r="E1154" t="str">
            <v>Candelaria</v>
          </cell>
          <cell r="H1154" t="str">
            <v>urgencia</v>
          </cell>
          <cell r="J1154" t="str">
            <v>bueno</v>
          </cell>
          <cell r="K1154" t="str">
            <v>defsi</v>
          </cell>
        </row>
        <row r="1155">
          <cell r="B1155" t="b">
            <v>1</v>
          </cell>
          <cell r="E1155" t="str">
            <v>Candelaria</v>
          </cell>
          <cell r="H1155" t="str">
            <v>electros</v>
          </cell>
          <cell r="J1155" t="str">
            <v>bueno</v>
          </cell>
          <cell r="K1155" t="str">
            <v>defsi</v>
          </cell>
        </row>
        <row r="1156">
          <cell r="B1156" t="b">
            <v>1</v>
          </cell>
          <cell r="E1156" t="str">
            <v>Candelaria</v>
          </cell>
          <cell r="H1156" t="str">
            <v>consulta_externa</v>
          </cell>
          <cell r="J1156" t="str">
            <v>bueno</v>
          </cell>
          <cell r="K1156" t="str">
            <v>defsi</v>
          </cell>
        </row>
        <row r="1157">
          <cell r="B1157" t="b">
            <v>1</v>
          </cell>
          <cell r="E1157" t="str">
            <v>Candelaria</v>
          </cell>
          <cell r="H1157" t="str">
            <v>salud_oral</v>
          </cell>
          <cell r="J1157" t="str">
            <v>bueno</v>
          </cell>
          <cell r="K1157" t="str">
            <v>defsi</v>
          </cell>
        </row>
        <row r="1158">
          <cell r="B1158" t="b">
            <v>1</v>
          </cell>
          <cell r="E1158" t="str">
            <v>Candelaria</v>
          </cell>
          <cell r="H1158" t="str">
            <v>laboratorio</v>
          </cell>
          <cell r="J1158" t="str">
            <v>bueno</v>
          </cell>
          <cell r="K1158" t="str">
            <v>defsi</v>
          </cell>
        </row>
        <row r="1159">
          <cell r="B1159" t="b">
            <v>1</v>
          </cell>
          <cell r="E1159" t="str">
            <v>Candelaria</v>
          </cell>
          <cell r="H1159" t="str">
            <v>urgencia</v>
          </cell>
          <cell r="J1159" t="str">
            <v>bueno</v>
          </cell>
          <cell r="K1159" t="str">
            <v>defsi</v>
          </cell>
        </row>
        <row r="1160">
          <cell r="B1160" t="b">
            <v>1</v>
          </cell>
          <cell r="E1160" t="str">
            <v>Candelaria</v>
          </cell>
          <cell r="H1160" t="str">
            <v>electros</v>
          </cell>
          <cell r="J1160" t="str">
            <v>bueno</v>
          </cell>
          <cell r="K1160" t="str">
            <v>defsi</v>
          </cell>
        </row>
        <row r="1161">
          <cell r="B1161" t="b">
            <v>1</v>
          </cell>
          <cell r="E1161" t="str">
            <v>Candelaria</v>
          </cell>
          <cell r="H1161" t="str">
            <v>consulta_externa</v>
          </cell>
          <cell r="J1161" t="str">
            <v>bueno</v>
          </cell>
          <cell r="K1161" t="str">
            <v>defsi</v>
          </cell>
        </row>
        <row r="1162">
          <cell r="B1162" t="b">
            <v>0</v>
          </cell>
          <cell r="E1162" t="str">
            <v>Pasacaballos</v>
          </cell>
          <cell r="H1162" t="str">
            <v>urgencia</v>
          </cell>
          <cell r="J1162" t="str">
            <v>regular</v>
          </cell>
          <cell r="K1162" t="str">
            <v>probsi</v>
          </cell>
        </row>
        <row r="1163">
          <cell r="B1163" t="b">
            <v>0</v>
          </cell>
          <cell r="E1163" t="str">
            <v>Pasacaballos</v>
          </cell>
          <cell r="H1163" t="str">
            <v>urgencia</v>
          </cell>
          <cell r="J1163" t="str">
            <v>regular</v>
          </cell>
          <cell r="K1163" t="str">
            <v>probsi</v>
          </cell>
        </row>
        <row r="1164">
          <cell r="B1164" t="b">
            <v>1</v>
          </cell>
          <cell r="E1164" t="str">
            <v>Pasacaballos</v>
          </cell>
          <cell r="H1164" t="str">
            <v>urgencia</v>
          </cell>
          <cell r="J1164" t="str">
            <v>bueno</v>
          </cell>
          <cell r="K1164" t="str">
            <v>probsi</v>
          </cell>
        </row>
        <row r="1165">
          <cell r="B1165" t="b">
            <v>0</v>
          </cell>
          <cell r="E1165" t="str">
            <v>Pasacaballos</v>
          </cell>
          <cell r="H1165" t="str">
            <v>urgencia</v>
          </cell>
          <cell r="J1165" t="str">
            <v>regular</v>
          </cell>
          <cell r="K1165" t="str">
            <v>probsi</v>
          </cell>
        </row>
        <row r="1166">
          <cell r="B1166" t="b">
            <v>0</v>
          </cell>
          <cell r="E1166" t="str">
            <v>Pasacaballos</v>
          </cell>
          <cell r="H1166" t="str">
            <v>laboratorio</v>
          </cell>
          <cell r="J1166" t="str">
            <v>regular</v>
          </cell>
          <cell r="K1166" t="str">
            <v>probsi</v>
          </cell>
        </row>
        <row r="1167">
          <cell r="B1167" t="b">
            <v>0</v>
          </cell>
          <cell r="E1167" t="str">
            <v>Pasacaballos</v>
          </cell>
          <cell r="H1167" t="str">
            <v>laboratorio</v>
          </cell>
          <cell r="J1167" t="str">
            <v>regular</v>
          </cell>
          <cell r="K1167" t="str">
            <v>probsi</v>
          </cell>
        </row>
        <row r="1168">
          <cell r="B1168" t="b">
            <v>1</v>
          </cell>
          <cell r="E1168" t="str">
            <v>Pasacaballos</v>
          </cell>
          <cell r="H1168" t="str">
            <v>laboratorio</v>
          </cell>
          <cell r="J1168" t="str">
            <v>bueno</v>
          </cell>
          <cell r="K1168" t="str">
            <v>probsi</v>
          </cell>
        </row>
        <row r="1169">
          <cell r="B1169" t="b">
            <v>1</v>
          </cell>
          <cell r="E1169" t="str">
            <v>Pasacaballos</v>
          </cell>
          <cell r="H1169" t="str">
            <v>salud_oral</v>
          </cell>
          <cell r="J1169" t="str">
            <v>bueno</v>
          </cell>
          <cell r="K1169" t="str">
            <v>probsi</v>
          </cell>
        </row>
        <row r="1170">
          <cell r="B1170" t="b">
            <v>1</v>
          </cell>
          <cell r="E1170" t="str">
            <v>Pasacaballos</v>
          </cell>
          <cell r="H1170" t="str">
            <v>salud_oral</v>
          </cell>
          <cell r="J1170" t="str">
            <v>bueno</v>
          </cell>
          <cell r="K1170" t="str">
            <v>probsi</v>
          </cell>
        </row>
        <row r="1171">
          <cell r="B1171" t="b">
            <v>0</v>
          </cell>
          <cell r="E1171" t="str">
            <v>Pasacaballos</v>
          </cell>
          <cell r="H1171" t="str">
            <v>urgencia</v>
          </cell>
          <cell r="J1171" t="str">
            <v>regular</v>
          </cell>
          <cell r="K1171" t="str">
            <v>probsi</v>
          </cell>
        </row>
        <row r="1172">
          <cell r="B1172" t="b">
            <v>0</v>
          </cell>
          <cell r="E1172" t="str">
            <v>Pasacaballos</v>
          </cell>
          <cell r="H1172" t="str">
            <v>urgencia</v>
          </cell>
          <cell r="J1172" t="str">
            <v>regular</v>
          </cell>
          <cell r="K1172" t="str">
            <v>probsi</v>
          </cell>
        </row>
        <row r="1173">
          <cell r="B1173" t="b">
            <v>0</v>
          </cell>
          <cell r="E1173" t="str">
            <v>Bicentenario</v>
          </cell>
          <cell r="H1173" t="str">
            <v>consulta_externa</v>
          </cell>
          <cell r="J1173" t="str">
            <v>regular</v>
          </cell>
          <cell r="K1173" t="str">
            <v>probsi</v>
          </cell>
        </row>
        <row r="1174">
          <cell r="B1174" t="b">
            <v>0</v>
          </cell>
          <cell r="E1174" t="str">
            <v>Bicentenario</v>
          </cell>
          <cell r="H1174" t="str">
            <v>laboratorio</v>
          </cell>
          <cell r="J1174" t="str">
            <v>regular</v>
          </cell>
          <cell r="K1174" t="str">
            <v>probsi</v>
          </cell>
        </row>
        <row r="1175">
          <cell r="B1175" t="b">
            <v>1</v>
          </cell>
          <cell r="E1175" t="str">
            <v>Bicentenario</v>
          </cell>
          <cell r="H1175" t="str">
            <v>laboratorio</v>
          </cell>
          <cell r="J1175" t="str">
            <v>bueno</v>
          </cell>
          <cell r="K1175" t="str">
            <v>defsi</v>
          </cell>
        </row>
        <row r="1176">
          <cell r="B1176" t="b">
            <v>0</v>
          </cell>
          <cell r="E1176" t="str">
            <v>Bicentenario</v>
          </cell>
          <cell r="H1176" t="str">
            <v>laboratorio</v>
          </cell>
          <cell r="J1176" t="str">
            <v>regular</v>
          </cell>
          <cell r="K1176" t="str">
            <v>defsi</v>
          </cell>
        </row>
        <row r="1177">
          <cell r="B1177" t="b">
            <v>1</v>
          </cell>
          <cell r="E1177" t="str">
            <v>Bicentenario</v>
          </cell>
          <cell r="H1177" t="str">
            <v>consulta_externa</v>
          </cell>
          <cell r="J1177" t="str">
            <v>bueno</v>
          </cell>
          <cell r="K1177" t="str">
            <v>defsi</v>
          </cell>
        </row>
        <row r="1178">
          <cell r="B1178" t="b">
            <v>1</v>
          </cell>
          <cell r="E1178" t="str">
            <v>Bicentenario</v>
          </cell>
          <cell r="H1178" t="str">
            <v>salud_oral</v>
          </cell>
          <cell r="J1178" t="str">
            <v>bueno</v>
          </cell>
          <cell r="K1178" t="str">
            <v>defsi</v>
          </cell>
        </row>
        <row r="1179">
          <cell r="B1179" t="b">
            <v>1</v>
          </cell>
          <cell r="E1179" t="str">
            <v>Bicentenario</v>
          </cell>
          <cell r="H1179" t="str">
            <v>salud_oral</v>
          </cell>
          <cell r="J1179" t="str">
            <v>bueno</v>
          </cell>
          <cell r="K1179" t="str">
            <v>defsi</v>
          </cell>
        </row>
        <row r="1180">
          <cell r="B1180" t="b">
            <v>1</v>
          </cell>
          <cell r="E1180" t="str">
            <v>Bicentenario</v>
          </cell>
          <cell r="H1180" t="str">
            <v>consulta_externa</v>
          </cell>
          <cell r="J1180" t="str">
            <v>bueno</v>
          </cell>
          <cell r="K1180" t="str">
            <v>defsi</v>
          </cell>
        </row>
        <row r="1181">
          <cell r="B1181" t="b">
            <v>1</v>
          </cell>
          <cell r="E1181" t="str">
            <v>Bicentenario</v>
          </cell>
          <cell r="H1181" t="str">
            <v>consulta_externa</v>
          </cell>
          <cell r="J1181" t="str">
            <v>bueno</v>
          </cell>
          <cell r="K1181" t="str">
            <v>defsi</v>
          </cell>
        </row>
        <row r="1182">
          <cell r="B1182" t="b">
            <v>0</v>
          </cell>
          <cell r="E1182" t="str">
            <v>Bicentenario</v>
          </cell>
          <cell r="H1182" t="str">
            <v>salud_oral</v>
          </cell>
          <cell r="J1182" t="str">
            <v>regular</v>
          </cell>
          <cell r="K1182" t="str">
            <v>defsi</v>
          </cell>
        </row>
        <row r="1183">
          <cell r="B1183" t="b">
            <v>1</v>
          </cell>
          <cell r="E1183" t="str">
            <v>Bicentenario</v>
          </cell>
          <cell r="H1183" t="str">
            <v>salud_oral</v>
          </cell>
          <cell r="J1183" t="str">
            <v>bueno</v>
          </cell>
          <cell r="K1183" t="str">
            <v>defsi</v>
          </cell>
        </row>
        <row r="1184">
          <cell r="B1184" t="b">
            <v>1</v>
          </cell>
          <cell r="E1184" t="str">
            <v>Bicentenario</v>
          </cell>
          <cell r="H1184" t="str">
            <v>salud_oral</v>
          </cell>
          <cell r="J1184" t="str">
            <v>bueno</v>
          </cell>
          <cell r="K1184" t="str">
            <v>defsi</v>
          </cell>
        </row>
        <row r="1185">
          <cell r="B1185" t="b">
            <v>1</v>
          </cell>
          <cell r="E1185" t="str">
            <v>Bicentenario</v>
          </cell>
          <cell r="H1185" t="str">
            <v>consulta_externa</v>
          </cell>
          <cell r="J1185" t="str">
            <v>bueno</v>
          </cell>
          <cell r="K1185" t="str">
            <v>defsi</v>
          </cell>
        </row>
        <row r="1186">
          <cell r="B1186" t="b">
            <v>1</v>
          </cell>
          <cell r="E1186" t="str">
            <v>Bicentenario</v>
          </cell>
          <cell r="H1186" t="str">
            <v>laboratorio</v>
          </cell>
          <cell r="J1186" t="str">
            <v>bueno</v>
          </cell>
          <cell r="K1186" t="str">
            <v>defsi</v>
          </cell>
        </row>
        <row r="1187">
          <cell r="B1187" t="b">
            <v>1</v>
          </cell>
          <cell r="E1187" t="str">
            <v>Bicentenario</v>
          </cell>
          <cell r="H1187" t="str">
            <v>rx</v>
          </cell>
          <cell r="J1187" t="str">
            <v>bueno</v>
          </cell>
          <cell r="K1187" t="str">
            <v>defsi</v>
          </cell>
        </row>
        <row r="1188">
          <cell r="B1188" t="b">
            <v>1</v>
          </cell>
          <cell r="E1188" t="str">
            <v>Bicentenario</v>
          </cell>
          <cell r="H1188" t="str">
            <v>rx</v>
          </cell>
          <cell r="J1188" t="str">
            <v>bueno</v>
          </cell>
          <cell r="K1188" t="str">
            <v>defsi</v>
          </cell>
        </row>
        <row r="1189">
          <cell r="B1189" t="b">
            <v>1</v>
          </cell>
          <cell r="E1189" t="str">
            <v>Bicentenario</v>
          </cell>
          <cell r="H1189" t="str">
            <v>rx</v>
          </cell>
          <cell r="J1189" t="str">
            <v>bueno</v>
          </cell>
          <cell r="K1189" t="str">
            <v>defsi</v>
          </cell>
        </row>
        <row r="1190">
          <cell r="B1190" t="b">
            <v>1</v>
          </cell>
          <cell r="E1190" t="str">
            <v>Bicentenario</v>
          </cell>
          <cell r="H1190" t="str">
            <v>rx</v>
          </cell>
          <cell r="J1190" t="str">
            <v>bueno</v>
          </cell>
          <cell r="K1190" t="str">
            <v>defsi</v>
          </cell>
        </row>
        <row r="1191">
          <cell r="B1191" t="b">
            <v>1</v>
          </cell>
          <cell r="E1191" t="str">
            <v>Bicentenario</v>
          </cell>
          <cell r="H1191" t="str">
            <v>rx</v>
          </cell>
          <cell r="J1191" t="str">
            <v>bueno</v>
          </cell>
          <cell r="K1191" t="str">
            <v>defsi</v>
          </cell>
        </row>
        <row r="1192">
          <cell r="B1192" t="b">
            <v>1</v>
          </cell>
          <cell r="E1192" t="str">
            <v>Bicentenario</v>
          </cell>
          <cell r="H1192" t="str">
            <v>consulta_externa</v>
          </cell>
          <cell r="J1192" t="str">
            <v>bueno</v>
          </cell>
          <cell r="K1192" t="str">
            <v>defsi</v>
          </cell>
        </row>
        <row r="1193">
          <cell r="B1193" t="b">
            <v>1</v>
          </cell>
          <cell r="E1193" t="str">
            <v>Bicentenario</v>
          </cell>
          <cell r="H1193" t="str">
            <v>consulta_externa</v>
          </cell>
          <cell r="J1193" t="str">
            <v>bueno</v>
          </cell>
          <cell r="K1193" t="str">
            <v>defsi</v>
          </cell>
        </row>
        <row r="1194">
          <cell r="B1194" t="b">
            <v>1</v>
          </cell>
          <cell r="E1194" t="str">
            <v>Bicentenario</v>
          </cell>
          <cell r="H1194" t="str">
            <v>consulta_externa</v>
          </cell>
          <cell r="J1194" t="str">
            <v>bueno</v>
          </cell>
          <cell r="K1194" t="str">
            <v>defsi</v>
          </cell>
        </row>
        <row r="1195">
          <cell r="B1195" t="b">
            <v>1</v>
          </cell>
          <cell r="E1195" t="str">
            <v>Bicentenario</v>
          </cell>
          <cell r="H1195" t="str">
            <v>salud_oral</v>
          </cell>
          <cell r="J1195" t="str">
            <v>bueno</v>
          </cell>
          <cell r="K1195" t="str">
            <v>defsi</v>
          </cell>
        </row>
        <row r="1196">
          <cell r="B1196" t="b">
            <v>1</v>
          </cell>
          <cell r="E1196" t="str">
            <v>Bicentenario</v>
          </cell>
          <cell r="H1196" t="str">
            <v>consulta_externa</v>
          </cell>
          <cell r="J1196" t="str">
            <v>bueno</v>
          </cell>
          <cell r="K1196" t="str">
            <v>defsi</v>
          </cell>
        </row>
        <row r="1197">
          <cell r="B1197" t="b">
            <v>1</v>
          </cell>
          <cell r="E1197" t="str">
            <v>Bicentenario</v>
          </cell>
          <cell r="H1197" t="str">
            <v>salud_oral</v>
          </cell>
          <cell r="J1197" t="str">
            <v>bueno</v>
          </cell>
          <cell r="K1197" t="str">
            <v>defsi</v>
          </cell>
        </row>
        <row r="1198">
          <cell r="B1198" t="b">
            <v>1</v>
          </cell>
          <cell r="E1198" t="str">
            <v>Bicentenario</v>
          </cell>
          <cell r="H1198" t="str">
            <v>salud_oral</v>
          </cell>
          <cell r="J1198" t="str">
            <v>bueno</v>
          </cell>
          <cell r="K1198" t="str">
            <v>defsi</v>
          </cell>
        </row>
        <row r="1199">
          <cell r="B1199" t="b">
            <v>0</v>
          </cell>
          <cell r="E1199" t="str">
            <v>Bicentenario</v>
          </cell>
          <cell r="H1199" t="str">
            <v>salud_oral</v>
          </cell>
          <cell r="J1199" t="str">
            <v>regular</v>
          </cell>
          <cell r="K1199" t="str">
            <v>probsi</v>
          </cell>
        </row>
        <row r="1200">
          <cell r="B1200" t="b">
            <v>1</v>
          </cell>
          <cell r="E1200" t="str">
            <v>Bicentenario</v>
          </cell>
          <cell r="H1200" t="str">
            <v>salud_oral</v>
          </cell>
          <cell r="J1200" t="str">
            <v>bueno</v>
          </cell>
          <cell r="K1200" t="str">
            <v>defsi</v>
          </cell>
        </row>
        <row r="1201">
          <cell r="B1201" t="b">
            <v>1</v>
          </cell>
          <cell r="E1201" t="str">
            <v>Bicentenario</v>
          </cell>
          <cell r="H1201" t="str">
            <v>salud_oral</v>
          </cell>
          <cell r="J1201" t="str">
            <v>bueno</v>
          </cell>
          <cell r="K1201" t="str">
            <v>defsi</v>
          </cell>
        </row>
        <row r="1202">
          <cell r="B1202" t="b">
            <v>1</v>
          </cell>
          <cell r="E1202" t="str">
            <v>Bicentenario</v>
          </cell>
          <cell r="H1202" t="str">
            <v>salud_oral</v>
          </cell>
          <cell r="J1202" t="str">
            <v>bueno</v>
          </cell>
          <cell r="K1202" t="str">
            <v>defsi</v>
          </cell>
        </row>
        <row r="1203">
          <cell r="B1203" t="b">
            <v>1</v>
          </cell>
          <cell r="E1203" t="str">
            <v>Islote de San Bernardo</v>
          </cell>
          <cell r="H1203" t="str">
            <v>consulta_externa</v>
          </cell>
          <cell r="J1203" t="str">
            <v>muybueno</v>
          </cell>
          <cell r="K1203" t="str">
            <v>defsi</v>
          </cell>
        </row>
        <row r="1204">
          <cell r="B1204" t="b">
            <v>1</v>
          </cell>
          <cell r="E1204" t="str">
            <v>Islote de San Bernardo</v>
          </cell>
          <cell r="H1204" t="str">
            <v>salud_oral</v>
          </cell>
          <cell r="J1204" t="str">
            <v>muybueno</v>
          </cell>
          <cell r="K1204" t="str">
            <v>defsi</v>
          </cell>
        </row>
        <row r="1205">
          <cell r="B1205" t="b">
            <v>1</v>
          </cell>
          <cell r="E1205" t="str">
            <v>Punta Canoa</v>
          </cell>
          <cell r="H1205" t="str">
            <v>consulta_externa</v>
          </cell>
          <cell r="J1205" t="str">
            <v>bueno</v>
          </cell>
          <cell r="K1205" t="str">
            <v>probsi</v>
          </cell>
        </row>
        <row r="1206">
          <cell r="B1206" t="b">
            <v>1</v>
          </cell>
          <cell r="E1206" t="str">
            <v>Punta Canoa</v>
          </cell>
          <cell r="H1206" t="str">
            <v>laboratorio</v>
          </cell>
          <cell r="J1206" t="str">
            <v>bueno</v>
          </cell>
          <cell r="K1206" t="str">
            <v>probsi</v>
          </cell>
        </row>
        <row r="1207">
          <cell r="B1207" t="b">
            <v>1</v>
          </cell>
          <cell r="E1207" t="str">
            <v>Punta Canoa</v>
          </cell>
          <cell r="H1207" t="str">
            <v>salud_oral</v>
          </cell>
          <cell r="J1207" t="str">
            <v>bueno</v>
          </cell>
          <cell r="K1207" t="str">
            <v>probsi</v>
          </cell>
        </row>
        <row r="1208">
          <cell r="B1208" t="b">
            <v>1</v>
          </cell>
          <cell r="E1208" t="str">
            <v>Punta Canoa</v>
          </cell>
          <cell r="H1208" t="str">
            <v>salud_oral</v>
          </cell>
          <cell r="J1208" t="str">
            <v>bueno</v>
          </cell>
          <cell r="K1208" t="str">
            <v>probsi</v>
          </cell>
        </row>
        <row r="1209">
          <cell r="B1209" t="b">
            <v>1</v>
          </cell>
          <cell r="E1209" t="str">
            <v>Punta Canoa</v>
          </cell>
          <cell r="H1209" t="str">
            <v>consulta_externa</v>
          </cell>
          <cell r="J1209" t="str">
            <v>bueno</v>
          </cell>
          <cell r="K1209" t="str">
            <v>probsi</v>
          </cell>
        </row>
        <row r="1210">
          <cell r="B1210" t="b">
            <v>1</v>
          </cell>
          <cell r="E1210" t="str">
            <v>Punta Canoa</v>
          </cell>
          <cell r="H1210" t="str">
            <v>laboratorio</v>
          </cell>
          <cell r="J1210" t="str">
            <v>bueno</v>
          </cell>
          <cell r="K1210" t="str">
            <v>probsi</v>
          </cell>
        </row>
        <row r="1211">
          <cell r="B1211" t="b">
            <v>1</v>
          </cell>
          <cell r="E1211" t="str">
            <v>Punta Canoa</v>
          </cell>
          <cell r="H1211" t="str">
            <v>consulta_externa</v>
          </cell>
          <cell r="J1211" t="str">
            <v>muybueno</v>
          </cell>
          <cell r="K1211" t="str">
            <v>probsi</v>
          </cell>
        </row>
        <row r="1212">
          <cell r="B1212" t="b">
            <v>1</v>
          </cell>
          <cell r="E1212" t="str">
            <v>Punta Canoa</v>
          </cell>
          <cell r="H1212" t="str">
            <v>salud_oral</v>
          </cell>
          <cell r="J1212" t="str">
            <v>muybueno</v>
          </cell>
          <cell r="K1212" t="str">
            <v>probsi</v>
          </cell>
        </row>
        <row r="1213">
          <cell r="B1213" t="b">
            <v>1</v>
          </cell>
          <cell r="E1213" t="str">
            <v>Punta Canoa</v>
          </cell>
          <cell r="H1213" t="str">
            <v>laboratorio</v>
          </cell>
          <cell r="J1213" t="str">
            <v>bueno</v>
          </cell>
          <cell r="K1213" t="str">
            <v>probsi</v>
          </cell>
        </row>
        <row r="1214">
          <cell r="B1214" t="b">
            <v>1</v>
          </cell>
          <cell r="E1214" t="str">
            <v>Punta Canoa</v>
          </cell>
          <cell r="H1214" t="str">
            <v>consulta_externa</v>
          </cell>
          <cell r="J1214" t="str">
            <v>muybueno</v>
          </cell>
          <cell r="K1214" t="str">
            <v>probsi</v>
          </cell>
        </row>
        <row r="1215">
          <cell r="B1215" t="b">
            <v>1</v>
          </cell>
          <cell r="E1215" t="str">
            <v>Punta Canoa</v>
          </cell>
          <cell r="H1215" t="str">
            <v>salud_oral</v>
          </cell>
          <cell r="J1215" t="str">
            <v>muybueno</v>
          </cell>
          <cell r="K1215" t="str">
            <v>probsi</v>
          </cell>
        </row>
        <row r="1216">
          <cell r="B1216" t="b">
            <v>1</v>
          </cell>
          <cell r="E1216" t="str">
            <v>Punta Canoa</v>
          </cell>
          <cell r="H1216" t="str">
            <v>laboratorio</v>
          </cell>
          <cell r="J1216" t="str">
            <v>bueno</v>
          </cell>
          <cell r="K1216" t="str">
            <v>probsi</v>
          </cell>
        </row>
        <row r="1217">
          <cell r="B1217" t="b">
            <v>1</v>
          </cell>
          <cell r="E1217" t="str">
            <v>Punta Canoa</v>
          </cell>
          <cell r="H1217" t="str">
            <v>consulta_externa</v>
          </cell>
          <cell r="J1217" t="str">
            <v>bueno</v>
          </cell>
          <cell r="K1217" t="str">
            <v>probsi</v>
          </cell>
        </row>
        <row r="1218">
          <cell r="B1218" t="b">
            <v>1</v>
          </cell>
          <cell r="E1218" t="str">
            <v>Punta Canoa</v>
          </cell>
          <cell r="H1218" t="str">
            <v>laboratorio</v>
          </cell>
          <cell r="J1218" t="str">
            <v>bueno</v>
          </cell>
          <cell r="K1218" t="str">
            <v>probsi</v>
          </cell>
        </row>
        <row r="1219">
          <cell r="B1219" t="b">
            <v>1</v>
          </cell>
          <cell r="E1219" t="str">
            <v>Punta Canoa</v>
          </cell>
          <cell r="H1219" t="str">
            <v>consulta_externa</v>
          </cell>
          <cell r="J1219" t="str">
            <v>bueno</v>
          </cell>
          <cell r="K1219" t="str">
            <v>probsi</v>
          </cell>
        </row>
        <row r="1220">
          <cell r="B1220" t="b">
            <v>1</v>
          </cell>
          <cell r="E1220" t="str">
            <v>Punta Canoa</v>
          </cell>
          <cell r="H1220" t="str">
            <v>salud_oral</v>
          </cell>
          <cell r="J1220" t="str">
            <v>bueno</v>
          </cell>
          <cell r="K1220" t="str">
            <v>probsi</v>
          </cell>
        </row>
        <row r="1221">
          <cell r="B1221" t="b">
            <v>1</v>
          </cell>
          <cell r="E1221" t="str">
            <v>Punta Canoa</v>
          </cell>
          <cell r="H1221" t="str">
            <v>salud_oral</v>
          </cell>
          <cell r="J1221" t="str">
            <v>bueno</v>
          </cell>
          <cell r="K1221" t="str">
            <v>probsi</v>
          </cell>
        </row>
        <row r="1222">
          <cell r="B1222" t="b">
            <v>1</v>
          </cell>
          <cell r="E1222" t="str">
            <v>Punta Canoa</v>
          </cell>
          <cell r="H1222" t="str">
            <v>consulta_externa</v>
          </cell>
          <cell r="J1222" t="str">
            <v>bueno</v>
          </cell>
          <cell r="K1222" t="str">
            <v>probsi</v>
          </cell>
        </row>
        <row r="1223">
          <cell r="B1223" t="b">
            <v>0</v>
          </cell>
          <cell r="E1223" t="str">
            <v>Islote de San Bernardo</v>
          </cell>
          <cell r="H1223" t="str">
            <v>consulta_externa</v>
          </cell>
          <cell r="J1223" t="str">
            <v>regular</v>
          </cell>
          <cell r="K1223" t="str">
            <v>defsi</v>
          </cell>
        </row>
        <row r="1224">
          <cell r="B1224" t="b">
            <v>0</v>
          </cell>
          <cell r="E1224" t="str">
            <v>Islote de San Bernardo</v>
          </cell>
          <cell r="H1224" t="str">
            <v>salud_oral</v>
          </cell>
          <cell r="J1224" t="str">
            <v>regular</v>
          </cell>
          <cell r="K1224" t="str">
            <v>defsi</v>
          </cell>
        </row>
        <row r="1225">
          <cell r="B1225" t="b">
            <v>1</v>
          </cell>
          <cell r="E1225" t="str">
            <v>Bicentenario</v>
          </cell>
          <cell r="H1225" t="str">
            <v>consulta_externa</v>
          </cell>
          <cell r="J1225" t="str">
            <v>bueno</v>
          </cell>
          <cell r="K1225" t="str">
            <v>defsi</v>
          </cell>
        </row>
        <row r="1226">
          <cell r="B1226" t="b">
            <v>1</v>
          </cell>
          <cell r="E1226" t="str">
            <v>Islote de San Bernardo</v>
          </cell>
          <cell r="H1226" t="str">
            <v>consulta_externa</v>
          </cell>
          <cell r="J1226" t="str">
            <v>muybueno</v>
          </cell>
          <cell r="K1226" t="str">
            <v>defsi</v>
          </cell>
        </row>
        <row r="1227">
          <cell r="B1227" t="b">
            <v>1</v>
          </cell>
          <cell r="E1227" t="str">
            <v>Islote de San Bernardo</v>
          </cell>
          <cell r="H1227" t="str">
            <v>salud_oral</v>
          </cell>
          <cell r="J1227" t="str">
            <v>muybueno</v>
          </cell>
          <cell r="K1227" t="str">
            <v>defsi</v>
          </cell>
        </row>
        <row r="1228">
          <cell r="B1228" t="b">
            <v>1</v>
          </cell>
          <cell r="E1228" t="str">
            <v>Las Reinas</v>
          </cell>
          <cell r="H1228" t="str">
            <v>consulta_externa</v>
          </cell>
          <cell r="J1228" t="str">
            <v>bueno</v>
          </cell>
          <cell r="K1228" t="str">
            <v>defsi</v>
          </cell>
        </row>
        <row r="1229">
          <cell r="B1229" t="b">
            <v>1</v>
          </cell>
          <cell r="E1229" t="str">
            <v>Las Reinas</v>
          </cell>
          <cell r="H1229" t="str">
            <v>salud_oral</v>
          </cell>
          <cell r="J1229" t="str">
            <v>bueno</v>
          </cell>
          <cell r="K1229" t="str">
            <v>defsi</v>
          </cell>
        </row>
        <row r="1230">
          <cell r="B1230" t="b">
            <v>1</v>
          </cell>
          <cell r="E1230" t="str">
            <v>Las Reinas</v>
          </cell>
          <cell r="H1230" t="str">
            <v>laboratorio</v>
          </cell>
          <cell r="J1230" t="str">
            <v>bueno</v>
          </cell>
          <cell r="K1230" t="str">
            <v>defsi</v>
          </cell>
        </row>
        <row r="1231">
          <cell r="B1231" t="b">
            <v>1</v>
          </cell>
          <cell r="E1231" t="str">
            <v>Las Reinas</v>
          </cell>
          <cell r="H1231" t="str">
            <v>consulta_externa</v>
          </cell>
          <cell r="J1231" t="str">
            <v>bueno</v>
          </cell>
          <cell r="K1231" t="str">
            <v>defsi</v>
          </cell>
        </row>
        <row r="1232">
          <cell r="B1232" t="b">
            <v>1</v>
          </cell>
          <cell r="E1232" t="str">
            <v>Las Reinas</v>
          </cell>
          <cell r="H1232" t="str">
            <v>salud_oral</v>
          </cell>
          <cell r="J1232" t="str">
            <v>bueno</v>
          </cell>
          <cell r="K1232" t="str">
            <v>defsi</v>
          </cell>
        </row>
        <row r="1233">
          <cell r="B1233" t="b">
            <v>1</v>
          </cell>
          <cell r="E1233" t="str">
            <v>Las Reinas</v>
          </cell>
          <cell r="H1233" t="str">
            <v>laboratorio</v>
          </cell>
          <cell r="J1233" t="str">
            <v>bueno</v>
          </cell>
          <cell r="K1233" t="str">
            <v>defsi</v>
          </cell>
        </row>
        <row r="1234">
          <cell r="B1234" t="b">
            <v>1</v>
          </cell>
          <cell r="E1234" t="str">
            <v>Las Reinas</v>
          </cell>
          <cell r="H1234" t="str">
            <v>consulta_externa</v>
          </cell>
          <cell r="J1234" t="str">
            <v>bueno</v>
          </cell>
          <cell r="K1234" t="str">
            <v>defsi</v>
          </cell>
        </row>
        <row r="1235">
          <cell r="B1235" t="b">
            <v>1</v>
          </cell>
          <cell r="E1235" t="str">
            <v>Las Reinas</v>
          </cell>
          <cell r="H1235" t="str">
            <v>salud_oral</v>
          </cell>
          <cell r="J1235" t="str">
            <v>bueno</v>
          </cell>
          <cell r="K1235" t="str">
            <v>defsi</v>
          </cell>
        </row>
        <row r="1236">
          <cell r="B1236" t="b">
            <v>1</v>
          </cell>
          <cell r="E1236" t="str">
            <v>Las Reinas</v>
          </cell>
          <cell r="H1236" t="str">
            <v>laboratorio</v>
          </cell>
          <cell r="J1236" t="str">
            <v>bueno</v>
          </cell>
          <cell r="K1236" t="str">
            <v>defsi</v>
          </cell>
        </row>
        <row r="1237">
          <cell r="B1237" t="b">
            <v>1</v>
          </cell>
          <cell r="E1237" t="str">
            <v>Las Reinas</v>
          </cell>
          <cell r="H1237" t="str">
            <v>consulta_externa</v>
          </cell>
          <cell r="J1237" t="str">
            <v>bueno</v>
          </cell>
          <cell r="K1237" t="str">
            <v>defsi</v>
          </cell>
        </row>
        <row r="1238">
          <cell r="B1238" t="b">
            <v>1</v>
          </cell>
          <cell r="E1238" t="str">
            <v>Las Reinas</v>
          </cell>
          <cell r="H1238" t="str">
            <v>salud_oral</v>
          </cell>
          <cell r="J1238" t="str">
            <v>bueno</v>
          </cell>
          <cell r="K1238" t="str">
            <v>defsi</v>
          </cell>
        </row>
        <row r="1239">
          <cell r="B1239" t="b">
            <v>1</v>
          </cell>
          <cell r="E1239" t="str">
            <v>Las Reinas</v>
          </cell>
          <cell r="H1239" t="str">
            <v>laboratorio</v>
          </cell>
          <cell r="J1239" t="str">
            <v>bueno</v>
          </cell>
          <cell r="K1239" t="str">
            <v>defsi</v>
          </cell>
        </row>
        <row r="1240">
          <cell r="B1240" t="b">
            <v>1</v>
          </cell>
          <cell r="E1240" t="str">
            <v>Punta Canoa</v>
          </cell>
          <cell r="H1240" t="str">
            <v>salud_oral</v>
          </cell>
          <cell r="J1240" t="str">
            <v>bueno</v>
          </cell>
          <cell r="K1240" t="str">
            <v>probsi</v>
          </cell>
        </row>
        <row r="1241">
          <cell r="B1241" t="b">
            <v>1</v>
          </cell>
          <cell r="E1241" t="str">
            <v>Las Reinas</v>
          </cell>
          <cell r="H1241" t="str">
            <v>consulta_externa</v>
          </cell>
          <cell r="J1241" t="str">
            <v>bueno</v>
          </cell>
          <cell r="K1241" t="str">
            <v>defsi</v>
          </cell>
        </row>
        <row r="1242">
          <cell r="B1242" t="b">
            <v>1</v>
          </cell>
          <cell r="E1242" t="str">
            <v>Punta Canoa</v>
          </cell>
          <cell r="H1242" t="str">
            <v>consulta_externa</v>
          </cell>
          <cell r="J1242" t="str">
            <v>muybueno</v>
          </cell>
          <cell r="K1242" t="str">
            <v>probsi</v>
          </cell>
        </row>
        <row r="1243">
          <cell r="B1243" t="b">
            <v>1</v>
          </cell>
          <cell r="E1243" t="str">
            <v>Las Reinas</v>
          </cell>
          <cell r="H1243" t="str">
            <v>salud_oral</v>
          </cell>
          <cell r="J1243" t="str">
            <v>bueno</v>
          </cell>
          <cell r="K1243" t="str">
            <v>defsi</v>
          </cell>
        </row>
        <row r="1244">
          <cell r="B1244" t="b">
            <v>1</v>
          </cell>
          <cell r="E1244" t="str">
            <v>Las Reinas</v>
          </cell>
          <cell r="H1244" t="str">
            <v>laboratorio</v>
          </cell>
          <cell r="J1244" t="str">
            <v>bueno</v>
          </cell>
          <cell r="K1244" t="str">
            <v>defsi</v>
          </cell>
        </row>
        <row r="1245">
          <cell r="B1245" t="b">
            <v>0</v>
          </cell>
          <cell r="E1245" t="str">
            <v>Bicentenario</v>
          </cell>
          <cell r="H1245" t="str">
            <v>consulta_externa</v>
          </cell>
          <cell r="J1245" t="str">
            <v>regular</v>
          </cell>
          <cell r="K1245" t="str">
            <v>defsi</v>
          </cell>
        </row>
        <row r="1246">
          <cell r="B1246" t="b">
            <v>1</v>
          </cell>
          <cell r="E1246" t="str">
            <v>Punta Canoa</v>
          </cell>
          <cell r="H1246" t="str">
            <v>consulta_externa</v>
          </cell>
          <cell r="J1246" t="str">
            <v>bueno</v>
          </cell>
          <cell r="K1246" t="str">
            <v>probsi</v>
          </cell>
        </row>
        <row r="1247">
          <cell r="B1247" t="b">
            <v>1</v>
          </cell>
          <cell r="E1247" t="str">
            <v>Punta Canoa</v>
          </cell>
          <cell r="H1247" t="str">
            <v>laboratorio</v>
          </cell>
          <cell r="J1247" t="str">
            <v>bueno</v>
          </cell>
          <cell r="K1247" t="str">
            <v>probsi</v>
          </cell>
        </row>
        <row r="1248">
          <cell r="B1248" t="b">
            <v>0</v>
          </cell>
          <cell r="E1248" t="str">
            <v>Bicentenario</v>
          </cell>
          <cell r="H1248" t="str">
            <v>consulta_externa</v>
          </cell>
          <cell r="J1248" t="str">
            <v>regular</v>
          </cell>
          <cell r="K1248" t="str">
            <v>defsi</v>
          </cell>
        </row>
        <row r="1249">
          <cell r="B1249" t="b">
            <v>0</v>
          </cell>
          <cell r="E1249" t="str">
            <v>Bicentenario</v>
          </cell>
          <cell r="H1249" t="str">
            <v>consulta_externa</v>
          </cell>
          <cell r="J1249" t="str">
            <v>regular</v>
          </cell>
          <cell r="K1249" t="str">
            <v>probno</v>
          </cell>
        </row>
        <row r="1250">
          <cell r="B1250" t="b">
            <v>0</v>
          </cell>
          <cell r="E1250" t="str">
            <v>Bicentenario</v>
          </cell>
          <cell r="H1250" t="str">
            <v>laboratorio</v>
          </cell>
          <cell r="J1250" t="str">
            <v>regular</v>
          </cell>
          <cell r="K1250" t="str">
            <v>probno</v>
          </cell>
        </row>
        <row r="1251">
          <cell r="B1251" t="b">
            <v>1</v>
          </cell>
          <cell r="E1251" t="str">
            <v>Bicentenario</v>
          </cell>
          <cell r="H1251" t="str">
            <v>consulta_externa</v>
          </cell>
          <cell r="J1251" t="str">
            <v>bueno</v>
          </cell>
          <cell r="K1251" t="str">
            <v>defsi</v>
          </cell>
        </row>
        <row r="1252">
          <cell r="B1252" t="b">
            <v>1</v>
          </cell>
          <cell r="E1252" t="str">
            <v>Bicentenario</v>
          </cell>
          <cell r="H1252" t="str">
            <v>salud_oral</v>
          </cell>
          <cell r="J1252" t="str">
            <v>bueno</v>
          </cell>
          <cell r="K1252" t="str">
            <v>defsi</v>
          </cell>
        </row>
        <row r="1253">
          <cell r="B1253" t="b">
            <v>1</v>
          </cell>
          <cell r="E1253" t="str">
            <v>Bicentenario</v>
          </cell>
          <cell r="H1253" t="str">
            <v>salud_oral</v>
          </cell>
          <cell r="J1253" t="str">
            <v>bueno</v>
          </cell>
          <cell r="K1253" t="str">
            <v>defsi</v>
          </cell>
        </row>
        <row r="1254">
          <cell r="B1254" t="b">
            <v>1</v>
          </cell>
          <cell r="E1254" t="str">
            <v>Punta Canoa</v>
          </cell>
          <cell r="H1254" t="str">
            <v>laboratorio</v>
          </cell>
          <cell r="J1254" t="str">
            <v>bueno</v>
          </cell>
          <cell r="K1254" t="str">
            <v>probsi</v>
          </cell>
        </row>
        <row r="1255">
          <cell r="B1255" t="b">
            <v>1</v>
          </cell>
          <cell r="E1255" t="str">
            <v>Punta Canoa</v>
          </cell>
          <cell r="H1255" t="str">
            <v>laboratorio</v>
          </cell>
          <cell r="J1255" t="str">
            <v>bueno</v>
          </cell>
          <cell r="K1255" t="str">
            <v>probsi</v>
          </cell>
        </row>
        <row r="1256">
          <cell r="B1256" t="b">
            <v>1</v>
          </cell>
          <cell r="E1256" t="str">
            <v>Punta Canoa</v>
          </cell>
          <cell r="H1256" t="str">
            <v>laboratorio</v>
          </cell>
          <cell r="J1256" t="str">
            <v>bueno</v>
          </cell>
          <cell r="K1256" t="str">
            <v>probsi</v>
          </cell>
        </row>
        <row r="1257">
          <cell r="B1257" t="b">
            <v>1</v>
          </cell>
          <cell r="E1257" t="str">
            <v>Bicentenario</v>
          </cell>
          <cell r="H1257" t="str">
            <v>consulta_externa</v>
          </cell>
          <cell r="J1257" t="str">
            <v>bueno</v>
          </cell>
          <cell r="K1257" t="str">
            <v>defsi</v>
          </cell>
        </row>
        <row r="1258">
          <cell r="B1258" t="b">
            <v>1</v>
          </cell>
          <cell r="E1258" t="str">
            <v>Islote de San Bernardo</v>
          </cell>
          <cell r="H1258" t="str">
            <v>salud_oral</v>
          </cell>
          <cell r="J1258" t="str">
            <v>muybueno</v>
          </cell>
          <cell r="K1258" t="str">
            <v>defsi</v>
          </cell>
        </row>
        <row r="1259">
          <cell r="B1259" t="b">
            <v>1</v>
          </cell>
          <cell r="E1259" t="str">
            <v>Bicentenario</v>
          </cell>
          <cell r="H1259" t="str">
            <v>laboratorio</v>
          </cell>
          <cell r="J1259" t="str">
            <v>bueno</v>
          </cell>
          <cell r="K1259" t="str">
            <v>defsi</v>
          </cell>
        </row>
        <row r="1260">
          <cell r="B1260" t="b">
            <v>1</v>
          </cell>
          <cell r="E1260" t="str">
            <v>Islote de San Bernardo</v>
          </cell>
          <cell r="H1260" t="str">
            <v>consulta_externa</v>
          </cell>
          <cell r="J1260" t="str">
            <v>muybueno</v>
          </cell>
          <cell r="K1260" t="str">
            <v>defsi</v>
          </cell>
        </row>
        <row r="1261">
          <cell r="B1261" t="b">
            <v>0</v>
          </cell>
          <cell r="E1261" t="str">
            <v>Bicentenario</v>
          </cell>
          <cell r="H1261" t="str">
            <v>consulta_externa</v>
          </cell>
          <cell r="J1261" t="str">
            <v>regular</v>
          </cell>
          <cell r="K1261" t="str">
            <v>probsi</v>
          </cell>
        </row>
        <row r="1262">
          <cell r="B1262" t="b">
            <v>1</v>
          </cell>
          <cell r="E1262" t="str">
            <v>Islote de San Bernardo</v>
          </cell>
          <cell r="H1262" t="str">
            <v>salud_oral</v>
          </cell>
          <cell r="J1262" t="str">
            <v>muybueno</v>
          </cell>
          <cell r="K1262" t="str">
            <v>defsi</v>
          </cell>
        </row>
        <row r="1263">
          <cell r="B1263" t="b">
            <v>1</v>
          </cell>
          <cell r="E1263" t="str">
            <v>Bicentenario</v>
          </cell>
          <cell r="H1263" t="str">
            <v>laboratorio</v>
          </cell>
          <cell r="J1263" t="str">
            <v>bueno</v>
          </cell>
          <cell r="K1263" t="str">
            <v>defsi</v>
          </cell>
        </row>
        <row r="1264">
          <cell r="B1264" t="b">
            <v>1</v>
          </cell>
          <cell r="E1264" t="str">
            <v>Bicentenario</v>
          </cell>
          <cell r="H1264" t="str">
            <v>laboratorio</v>
          </cell>
          <cell r="J1264" t="str">
            <v>bueno</v>
          </cell>
          <cell r="K1264" t="str">
            <v>defsi</v>
          </cell>
        </row>
        <row r="1265">
          <cell r="B1265" t="b">
            <v>1</v>
          </cell>
          <cell r="E1265" t="str">
            <v>Bicentenario</v>
          </cell>
          <cell r="H1265" t="str">
            <v>salud_oral</v>
          </cell>
          <cell r="J1265" t="str">
            <v>bueno</v>
          </cell>
          <cell r="K1265" t="str">
            <v>defsi</v>
          </cell>
        </row>
        <row r="1266">
          <cell r="B1266" t="b">
            <v>0</v>
          </cell>
          <cell r="E1266" t="str">
            <v>Bicentenario</v>
          </cell>
          <cell r="H1266" t="str">
            <v>consulta_externa</v>
          </cell>
          <cell r="J1266" t="str">
            <v>regular</v>
          </cell>
          <cell r="K1266" t="str">
            <v>probsi</v>
          </cell>
        </row>
        <row r="1267">
          <cell r="B1267" t="b">
            <v>0</v>
          </cell>
          <cell r="E1267" t="str">
            <v>Bicentenario</v>
          </cell>
          <cell r="H1267" t="str">
            <v>laboratorio</v>
          </cell>
          <cell r="J1267" t="str">
            <v>regular</v>
          </cell>
          <cell r="K1267" t="str">
            <v>probsi</v>
          </cell>
        </row>
        <row r="1268">
          <cell r="B1268" t="b">
            <v>1</v>
          </cell>
          <cell r="E1268" t="str">
            <v>Bicentenario</v>
          </cell>
          <cell r="H1268" t="str">
            <v>laboratorio</v>
          </cell>
          <cell r="J1268" t="str">
            <v>bueno</v>
          </cell>
          <cell r="K1268" t="str">
            <v>defsi</v>
          </cell>
        </row>
        <row r="1269">
          <cell r="B1269" t="b">
            <v>1</v>
          </cell>
          <cell r="E1269" t="str">
            <v>Las Reinas</v>
          </cell>
          <cell r="H1269" t="str">
            <v>consulta_externa</v>
          </cell>
          <cell r="J1269" t="str">
            <v>bueno</v>
          </cell>
          <cell r="K1269" t="str">
            <v>defsi</v>
          </cell>
        </row>
        <row r="1270">
          <cell r="B1270" t="b">
            <v>1</v>
          </cell>
          <cell r="E1270" t="str">
            <v>Las Reinas</v>
          </cell>
          <cell r="H1270" t="str">
            <v>salud_oral</v>
          </cell>
          <cell r="J1270" t="str">
            <v>bueno</v>
          </cell>
          <cell r="K1270" t="str">
            <v>defsi</v>
          </cell>
        </row>
        <row r="1271">
          <cell r="B1271" t="b">
            <v>1</v>
          </cell>
          <cell r="E1271" t="str">
            <v>Las Reinas</v>
          </cell>
          <cell r="H1271" t="str">
            <v>laboratorio</v>
          </cell>
          <cell r="J1271" t="str">
            <v>bueno</v>
          </cell>
          <cell r="K1271" t="str">
            <v>defsi</v>
          </cell>
        </row>
        <row r="1272">
          <cell r="B1272" t="b">
            <v>0</v>
          </cell>
          <cell r="E1272" t="str">
            <v>Bicentenario</v>
          </cell>
          <cell r="H1272" t="str">
            <v>consulta_externa</v>
          </cell>
          <cell r="J1272" t="str">
            <v>regular</v>
          </cell>
          <cell r="K1272" t="str">
            <v>probno</v>
          </cell>
        </row>
        <row r="1273">
          <cell r="B1273" t="b">
            <v>0</v>
          </cell>
          <cell r="E1273" t="str">
            <v>Bicentenario</v>
          </cell>
          <cell r="H1273" t="str">
            <v>laboratorio</v>
          </cell>
          <cell r="J1273" t="str">
            <v>regular</v>
          </cell>
          <cell r="K1273" t="str">
            <v>probsi</v>
          </cell>
        </row>
        <row r="1274">
          <cell r="B1274" t="b">
            <v>1</v>
          </cell>
          <cell r="E1274" t="str">
            <v>Bicentenario</v>
          </cell>
          <cell r="H1274" t="str">
            <v>salud_oral</v>
          </cell>
          <cell r="J1274" t="str">
            <v>bueno</v>
          </cell>
          <cell r="K1274" t="str">
            <v>defsi</v>
          </cell>
        </row>
        <row r="1275">
          <cell r="B1275" t="b">
            <v>0</v>
          </cell>
          <cell r="E1275" t="str">
            <v>Bicentenario</v>
          </cell>
          <cell r="H1275" t="str">
            <v>consulta_externa</v>
          </cell>
          <cell r="J1275" t="str">
            <v>regular</v>
          </cell>
          <cell r="K1275" t="str">
            <v>defsi</v>
          </cell>
        </row>
        <row r="1276">
          <cell r="B1276" t="b">
            <v>0</v>
          </cell>
          <cell r="E1276" t="str">
            <v>Bicentenario</v>
          </cell>
          <cell r="H1276" t="str">
            <v>laboratorio</v>
          </cell>
          <cell r="J1276" t="str">
            <v>regular</v>
          </cell>
          <cell r="K1276" t="str">
            <v>defsi</v>
          </cell>
        </row>
        <row r="1277">
          <cell r="B1277" t="b">
            <v>0</v>
          </cell>
          <cell r="E1277" t="str">
            <v>Bicentenario</v>
          </cell>
          <cell r="H1277" t="str">
            <v>laboratorio</v>
          </cell>
          <cell r="J1277" t="str">
            <v>regular</v>
          </cell>
          <cell r="K1277" t="str">
            <v>probsi</v>
          </cell>
        </row>
        <row r="1278">
          <cell r="B1278" t="b">
            <v>1</v>
          </cell>
          <cell r="E1278" t="str">
            <v>Islote de San Bernardo</v>
          </cell>
          <cell r="H1278" t="str">
            <v>salud_oral</v>
          </cell>
          <cell r="J1278" t="str">
            <v>muybueno</v>
          </cell>
          <cell r="K1278" t="str">
            <v>defsi</v>
          </cell>
        </row>
        <row r="1279">
          <cell r="B1279" t="b">
            <v>0</v>
          </cell>
          <cell r="E1279" t="str">
            <v>Bicentenario</v>
          </cell>
          <cell r="H1279" t="str">
            <v>laboratorio</v>
          </cell>
          <cell r="J1279" t="str">
            <v>regular</v>
          </cell>
          <cell r="K1279" t="str">
            <v>probsi</v>
          </cell>
        </row>
        <row r="1280">
          <cell r="B1280" t="b">
            <v>1</v>
          </cell>
          <cell r="E1280" t="str">
            <v>Islote de San Bernardo</v>
          </cell>
          <cell r="H1280" t="str">
            <v>consulta_externa</v>
          </cell>
          <cell r="J1280" t="str">
            <v>muybueno</v>
          </cell>
          <cell r="K1280" t="str">
            <v>defsi</v>
          </cell>
        </row>
        <row r="1281">
          <cell r="B1281" t="b">
            <v>0</v>
          </cell>
          <cell r="E1281" t="str">
            <v>Bicentenario</v>
          </cell>
          <cell r="H1281" t="str">
            <v>laboratorio</v>
          </cell>
          <cell r="J1281" t="str">
            <v>regular</v>
          </cell>
          <cell r="K1281" t="str">
            <v>defsi</v>
          </cell>
        </row>
        <row r="1282">
          <cell r="B1282" t="b">
            <v>0</v>
          </cell>
          <cell r="E1282" t="str">
            <v>Bicentenario</v>
          </cell>
          <cell r="H1282" t="str">
            <v>laboratorio</v>
          </cell>
          <cell r="J1282" t="str">
            <v>regular</v>
          </cell>
          <cell r="K1282" t="str">
            <v>defsi</v>
          </cell>
        </row>
        <row r="1283">
          <cell r="B1283" t="b">
            <v>1</v>
          </cell>
          <cell r="E1283" t="str">
            <v>Bicentenario</v>
          </cell>
          <cell r="H1283" t="str">
            <v>consulta_externa</v>
          </cell>
          <cell r="J1283" t="str">
            <v>bueno</v>
          </cell>
          <cell r="K1283" t="str">
            <v>defsi</v>
          </cell>
        </row>
        <row r="1284">
          <cell r="B1284" t="b">
            <v>1</v>
          </cell>
          <cell r="E1284" t="str">
            <v>Bicentenario</v>
          </cell>
          <cell r="H1284" t="str">
            <v>laboratorio</v>
          </cell>
          <cell r="J1284" t="str">
            <v>bueno</v>
          </cell>
          <cell r="K1284" t="str">
            <v>defsi</v>
          </cell>
        </row>
        <row r="1285">
          <cell r="B1285" t="b">
            <v>1</v>
          </cell>
          <cell r="E1285" t="str">
            <v>Bicentenario</v>
          </cell>
          <cell r="H1285" t="str">
            <v>salud_oral</v>
          </cell>
          <cell r="J1285" t="str">
            <v>bueno</v>
          </cell>
          <cell r="K1285" t="str">
            <v>defsi</v>
          </cell>
        </row>
        <row r="1286">
          <cell r="B1286" t="b">
            <v>1</v>
          </cell>
          <cell r="E1286" t="str">
            <v>Bicentenario</v>
          </cell>
          <cell r="H1286" t="str">
            <v>urgencia</v>
          </cell>
          <cell r="J1286" t="str">
            <v>bueno</v>
          </cell>
          <cell r="K1286" t="str">
            <v>defsi</v>
          </cell>
        </row>
        <row r="1287">
          <cell r="B1287" t="b">
            <v>1</v>
          </cell>
          <cell r="E1287" t="str">
            <v>Las Reinas</v>
          </cell>
          <cell r="H1287" t="str">
            <v>consulta_externa</v>
          </cell>
          <cell r="J1287" t="str">
            <v>bueno</v>
          </cell>
          <cell r="K1287" t="str">
            <v>defsi</v>
          </cell>
        </row>
        <row r="1288">
          <cell r="B1288" t="b">
            <v>1</v>
          </cell>
          <cell r="E1288" t="str">
            <v>Las Reinas</v>
          </cell>
          <cell r="H1288" t="str">
            <v>salud_oral</v>
          </cell>
          <cell r="J1288" t="str">
            <v>bueno</v>
          </cell>
          <cell r="K1288" t="str">
            <v>defsi</v>
          </cell>
        </row>
        <row r="1289">
          <cell r="B1289" t="b">
            <v>1</v>
          </cell>
          <cell r="E1289" t="str">
            <v>Las Reinas</v>
          </cell>
          <cell r="H1289" t="str">
            <v>laboratorio</v>
          </cell>
          <cell r="J1289" t="str">
            <v>bueno</v>
          </cell>
          <cell r="K1289" t="str">
            <v>defsi</v>
          </cell>
        </row>
        <row r="1290">
          <cell r="B1290" t="b">
            <v>1</v>
          </cell>
          <cell r="E1290" t="str">
            <v>Punta Canoa</v>
          </cell>
          <cell r="H1290" t="str">
            <v>salud_oral</v>
          </cell>
          <cell r="J1290" t="str">
            <v>bueno</v>
          </cell>
          <cell r="K1290" t="str">
            <v>probsi</v>
          </cell>
        </row>
        <row r="1291">
          <cell r="B1291" t="b">
            <v>1</v>
          </cell>
          <cell r="E1291" t="str">
            <v>Islote de San Bernardo</v>
          </cell>
          <cell r="H1291" t="str">
            <v>consulta_externa</v>
          </cell>
          <cell r="J1291" t="str">
            <v>muybueno</v>
          </cell>
          <cell r="K1291" t="str">
            <v>defsi</v>
          </cell>
        </row>
        <row r="1292">
          <cell r="B1292" t="b">
            <v>1</v>
          </cell>
          <cell r="E1292" t="str">
            <v>Punta Canoa</v>
          </cell>
          <cell r="H1292" t="str">
            <v>salud_oral</v>
          </cell>
          <cell r="J1292" t="str">
            <v>bueno</v>
          </cell>
          <cell r="K1292" t="str">
            <v>probsi</v>
          </cell>
        </row>
        <row r="1293">
          <cell r="B1293" t="b">
            <v>1</v>
          </cell>
          <cell r="E1293" t="str">
            <v>Islote de San Bernardo</v>
          </cell>
          <cell r="H1293" t="str">
            <v>salud_oral</v>
          </cell>
          <cell r="J1293" t="str">
            <v>muybueno</v>
          </cell>
          <cell r="K1293" t="str">
            <v>defsi</v>
          </cell>
        </row>
        <row r="1294">
          <cell r="B1294" t="b">
            <v>1</v>
          </cell>
          <cell r="E1294" t="str">
            <v>Punta Canoa</v>
          </cell>
          <cell r="H1294" t="str">
            <v>salud_oral</v>
          </cell>
          <cell r="J1294" t="str">
            <v>bueno</v>
          </cell>
          <cell r="K1294" t="str">
            <v>probsi</v>
          </cell>
        </row>
        <row r="1295">
          <cell r="B1295" t="b">
            <v>1</v>
          </cell>
          <cell r="E1295" t="str">
            <v>Punta Canoa</v>
          </cell>
          <cell r="H1295" t="str">
            <v>laboratorio</v>
          </cell>
          <cell r="J1295" t="str">
            <v>bueno</v>
          </cell>
          <cell r="K1295" t="str">
            <v>probsi</v>
          </cell>
        </row>
        <row r="1296">
          <cell r="B1296" t="b">
            <v>1</v>
          </cell>
          <cell r="E1296" t="str">
            <v>Punta Canoa</v>
          </cell>
          <cell r="H1296" t="str">
            <v>laboratorio</v>
          </cell>
          <cell r="J1296" t="str">
            <v>bueno</v>
          </cell>
          <cell r="K1296" t="str">
            <v>probsi</v>
          </cell>
        </row>
        <row r="1297">
          <cell r="B1297" t="b">
            <v>1</v>
          </cell>
          <cell r="E1297" t="str">
            <v>Punta Canoa</v>
          </cell>
          <cell r="H1297" t="str">
            <v>consulta_externa</v>
          </cell>
          <cell r="J1297" t="str">
            <v>bueno</v>
          </cell>
          <cell r="K1297" t="str">
            <v>probsi</v>
          </cell>
        </row>
        <row r="1298">
          <cell r="B1298" t="b">
            <v>1</v>
          </cell>
          <cell r="E1298" t="str">
            <v>Punta Canoa</v>
          </cell>
          <cell r="H1298" t="str">
            <v>consulta_externa</v>
          </cell>
          <cell r="J1298" t="str">
            <v>bueno</v>
          </cell>
          <cell r="K1298" t="str">
            <v>probsi</v>
          </cell>
        </row>
        <row r="1299">
          <cell r="B1299" t="b">
            <v>1</v>
          </cell>
          <cell r="E1299" t="str">
            <v>Punta Canoa</v>
          </cell>
          <cell r="H1299" t="str">
            <v>salud_oral</v>
          </cell>
          <cell r="J1299" t="str">
            <v>bueno</v>
          </cell>
          <cell r="K1299" t="str">
            <v>probsi</v>
          </cell>
        </row>
        <row r="1300">
          <cell r="B1300" t="b">
            <v>1</v>
          </cell>
          <cell r="E1300" t="str">
            <v>Punta Canoa</v>
          </cell>
          <cell r="H1300" t="str">
            <v>laboratorio</v>
          </cell>
          <cell r="J1300" t="str">
            <v>bueno</v>
          </cell>
          <cell r="K1300" t="str">
            <v>probsi</v>
          </cell>
        </row>
        <row r="1301">
          <cell r="B1301" t="b">
            <v>1</v>
          </cell>
          <cell r="E1301" t="str">
            <v>Punta Canoa</v>
          </cell>
          <cell r="H1301" t="str">
            <v>laboratorio</v>
          </cell>
          <cell r="J1301" t="str">
            <v>bueno</v>
          </cell>
          <cell r="K1301" t="str">
            <v>probsi</v>
          </cell>
        </row>
        <row r="1302">
          <cell r="B1302" t="b">
            <v>1</v>
          </cell>
          <cell r="E1302" t="str">
            <v>Punta Canoa</v>
          </cell>
          <cell r="H1302" t="str">
            <v>consulta_externa</v>
          </cell>
          <cell r="J1302" t="str">
            <v>bueno</v>
          </cell>
          <cell r="K1302" t="str">
            <v>probsi</v>
          </cell>
        </row>
        <row r="1303">
          <cell r="B1303" t="b">
            <v>1</v>
          </cell>
          <cell r="E1303" t="str">
            <v>Punta Canoa</v>
          </cell>
          <cell r="H1303" t="str">
            <v>consulta_externa</v>
          </cell>
          <cell r="J1303" t="str">
            <v>bueno</v>
          </cell>
          <cell r="K1303" t="str">
            <v>probsi</v>
          </cell>
        </row>
        <row r="1304">
          <cell r="B1304" t="b">
            <v>1</v>
          </cell>
          <cell r="E1304" t="str">
            <v>Punta Canoa</v>
          </cell>
          <cell r="H1304" t="str">
            <v>salud_oral</v>
          </cell>
          <cell r="J1304" t="str">
            <v>bueno</v>
          </cell>
          <cell r="K1304" t="str">
            <v>probsi</v>
          </cell>
        </row>
        <row r="1305">
          <cell r="B1305" t="b">
            <v>1</v>
          </cell>
          <cell r="E1305" t="str">
            <v>Punta Canoa</v>
          </cell>
          <cell r="H1305" t="str">
            <v>salud_oral</v>
          </cell>
          <cell r="J1305" t="str">
            <v>bueno</v>
          </cell>
          <cell r="K1305" t="str">
            <v>probsi</v>
          </cell>
        </row>
        <row r="1306">
          <cell r="B1306" t="b">
            <v>1</v>
          </cell>
          <cell r="E1306" t="str">
            <v>Punta Canoa</v>
          </cell>
          <cell r="H1306" t="str">
            <v>laboratorio</v>
          </cell>
          <cell r="J1306" t="str">
            <v>bueno</v>
          </cell>
          <cell r="K1306" t="str">
            <v>probsi</v>
          </cell>
        </row>
        <row r="1307">
          <cell r="B1307" t="b">
            <v>1</v>
          </cell>
          <cell r="E1307" t="str">
            <v>Las Reinas</v>
          </cell>
          <cell r="H1307" t="str">
            <v>consulta_externa</v>
          </cell>
          <cell r="J1307" t="str">
            <v>bueno</v>
          </cell>
          <cell r="K1307" t="str">
            <v>defsi</v>
          </cell>
        </row>
        <row r="1308">
          <cell r="B1308" t="b">
            <v>1</v>
          </cell>
          <cell r="E1308" t="str">
            <v>Las Reinas</v>
          </cell>
          <cell r="H1308" t="str">
            <v>salud_oral</v>
          </cell>
          <cell r="J1308" t="str">
            <v>bueno</v>
          </cell>
          <cell r="K1308" t="str">
            <v>defsi</v>
          </cell>
        </row>
        <row r="1309">
          <cell r="B1309" t="b">
            <v>1</v>
          </cell>
          <cell r="E1309" t="str">
            <v>Las Reinas</v>
          </cell>
          <cell r="H1309" t="str">
            <v>laboratorio</v>
          </cell>
          <cell r="J1309" t="str">
            <v>bueno</v>
          </cell>
          <cell r="K1309" t="str">
            <v>defsi</v>
          </cell>
        </row>
        <row r="1310">
          <cell r="B1310" t="b">
            <v>1</v>
          </cell>
          <cell r="E1310" t="str">
            <v>Las Reinas</v>
          </cell>
          <cell r="H1310" t="str">
            <v>consulta_externa</v>
          </cell>
          <cell r="J1310" t="str">
            <v>bueno</v>
          </cell>
          <cell r="K1310" t="str">
            <v>defsi</v>
          </cell>
        </row>
        <row r="1311">
          <cell r="B1311" t="b">
            <v>1</v>
          </cell>
          <cell r="E1311" t="str">
            <v>Las Reinas</v>
          </cell>
          <cell r="H1311" t="str">
            <v>salud_oral</v>
          </cell>
          <cell r="J1311" t="str">
            <v>bueno</v>
          </cell>
          <cell r="K1311" t="str">
            <v>defsi</v>
          </cell>
        </row>
        <row r="1312">
          <cell r="B1312" t="b">
            <v>1</v>
          </cell>
          <cell r="E1312" t="str">
            <v>Las Reinas</v>
          </cell>
          <cell r="H1312" t="str">
            <v>laboratorio</v>
          </cell>
          <cell r="J1312" t="str">
            <v>bueno</v>
          </cell>
          <cell r="K1312" t="str">
            <v>defsi</v>
          </cell>
        </row>
        <row r="1313">
          <cell r="B1313" t="b">
            <v>1</v>
          </cell>
          <cell r="E1313" t="str">
            <v>Las Reinas</v>
          </cell>
          <cell r="H1313" t="str">
            <v>consulta_externa</v>
          </cell>
          <cell r="J1313" t="str">
            <v>bueno</v>
          </cell>
          <cell r="K1313" t="str">
            <v>defsi</v>
          </cell>
        </row>
        <row r="1314">
          <cell r="B1314" t="b">
            <v>1</v>
          </cell>
          <cell r="E1314" t="str">
            <v>Las Reinas</v>
          </cell>
          <cell r="H1314" t="str">
            <v>salud_oral</v>
          </cell>
          <cell r="J1314" t="str">
            <v>bueno</v>
          </cell>
          <cell r="K1314" t="str">
            <v>defsi</v>
          </cell>
        </row>
        <row r="1315">
          <cell r="B1315" t="b">
            <v>1</v>
          </cell>
          <cell r="E1315" t="str">
            <v>Las Reinas</v>
          </cell>
          <cell r="H1315" t="str">
            <v>laboratorio</v>
          </cell>
          <cell r="J1315" t="str">
            <v>bueno</v>
          </cell>
          <cell r="K1315" t="str">
            <v>defsi</v>
          </cell>
        </row>
        <row r="1316">
          <cell r="B1316" t="b">
            <v>1</v>
          </cell>
          <cell r="E1316" t="str">
            <v>Las Reinas</v>
          </cell>
          <cell r="H1316" t="str">
            <v>consulta_externa</v>
          </cell>
          <cell r="J1316" t="str">
            <v>bueno</v>
          </cell>
          <cell r="K1316" t="str">
            <v>defsi</v>
          </cell>
        </row>
        <row r="1317">
          <cell r="B1317" t="b">
            <v>1</v>
          </cell>
          <cell r="E1317" t="str">
            <v>Las Reinas</v>
          </cell>
          <cell r="H1317" t="str">
            <v>salud_oral</v>
          </cell>
          <cell r="J1317" t="str">
            <v>bueno</v>
          </cell>
          <cell r="K1317" t="str">
            <v>defsi</v>
          </cell>
        </row>
        <row r="1318">
          <cell r="B1318" t="b">
            <v>1</v>
          </cell>
          <cell r="E1318" t="str">
            <v>Las Reinas</v>
          </cell>
          <cell r="H1318" t="str">
            <v>laboratorio</v>
          </cell>
          <cell r="J1318" t="str">
            <v>bueno</v>
          </cell>
          <cell r="K1318" t="str">
            <v>defsi</v>
          </cell>
        </row>
        <row r="1319">
          <cell r="B1319" t="b">
            <v>1</v>
          </cell>
          <cell r="E1319" t="str">
            <v>Las Reinas</v>
          </cell>
          <cell r="H1319" t="str">
            <v>consulta_externa</v>
          </cell>
          <cell r="J1319" t="str">
            <v>bueno</v>
          </cell>
          <cell r="K1319" t="str">
            <v>defsi</v>
          </cell>
        </row>
        <row r="1320">
          <cell r="B1320" t="b">
            <v>1</v>
          </cell>
          <cell r="E1320" t="str">
            <v>Las Reinas</v>
          </cell>
          <cell r="H1320" t="str">
            <v>salud_oral</v>
          </cell>
          <cell r="J1320" t="str">
            <v>bueno</v>
          </cell>
          <cell r="K1320" t="str">
            <v>defsi</v>
          </cell>
        </row>
        <row r="1321">
          <cell r="B1321" t="b">
            <v>1</v>
          </cell>
          <cell r="E1321" t="str">
            <v>Bicentenario</v>
          </cell>
          <cell r="H1321" t="str">
            <v>rx</v>
          </cell>
          <cell r="J1321" t="str">
            <v>bueno</v>
          </cell>
          <cell r="K1321" t="str">
            <v>defsi</v>
          </cell>
        </row>
        <row r="1322">
          <cell r="B1322" t="b">
            <v>1</v>
          </cell>
          <cell r="E1322" t="str">
            <v>Bicentenario</v>
          </cell>
          <cell r="H1322" t="str">
            <v>rx</v>
          </cell>
          <cell r="J1322" t="str">
            <v>bueno</v>
          </cell>
          <cell r="K1322" t="str">
            <v>defsi</v>
          </cell>
        </row>
        <row r="1323">
          <cell r="B1323" t="b">
            <v>1</v>
          </cell>
          <cell r="E1323" t="str">
            <v>Bicentenario</v>
          </cell>
          <cell r="H1323" t="str">
            <v>rx</v>
          </cell>
          <cell r="J1323" t="str">
            <v>bueno</v>
          </cell>
          <cell r="K1323" t="str">
            <v>defsi</v>
          </cell>
        </row>
        <row r="1324">
          <cell r="B1324" t="b">
            <v>1</v>
          </cell>
          <cell r="E1324" t="str">
            <v>Bicentenario</v>
          </cell>
          <cell r="H1324" t="str">
            <v>salud_oral</v>
          </cell>
          <cell r="J1324" t="str">
            <v>bueno</v>
          </cell>
          <cell r="K1324" t="str">
            <v>defsi</v>
          </cell>
        </row>
        <row r="1325">
          <cell r="B1325" t="b">
            <v>1</v>
          </cell>
          <cell r="E1325" t="str">
            <v>Bicentenario</v>
          </cell>
          <cell r="H1325" t="str">
            <v>salud_oral</v>
          </cell>
          <cell r="J1325" t="str">
            <v>bueno</v>
          </cell>
          <cell r="K1325" t="str">
            <v>defsi</v>
          </cell>
        </row>
        <row r="1326">
          <cell r="B1326" t="b">
            <v>1</v>
          </cell>
          <cell r="E1326" t="str">
            <v>Bicentenario</v>
          </cell>
          <cell r="H1326" t="str">
            <v>rx</v>
          </cell>
          <cell r="J1326" t="str">
            <v>bueno</v>
          </cell>
          <cell r="K1326" t="str">
            <v>defsi</v>
          </cell>
        </row>
        <row r="1327">
          <cell r="B1327" t="b">
            <v>0</v>
          </cell>
          <cell r="E1327" t="str">
            <v>Bicentenario</v>
          </cell>
          <cell r="H1327" t="str">
            <v>rx</v>
          </cell>
          <cell r="J1327" t="str">
            <v>regular</v>
          </cell>
          <cell r="K1327" t="str">
            <v>defsi</v>
          </cell>
        </row>
        <row r="1328">
          <cell r="B1328" t="b">
            <v>1</v>
          </cell>
          <cell r="E1328" t="str">
            <v>Bicentenario</v>
          </cell>
          <cell r="H1328" t="str">
            <v>rx</v>
          </cell>
          <cell r="J1328" t="str">
            <v>bueno</v>
          </cell>
          <cell r="K1328" t="str">
            <v>defsi</v>
          </cell>
        </row>
        <row r="1329">
          <cell r="B1329" t="b">
            <v>1</v>
          </cell>
          <cell r="E1329" t="str">
            <v>Nelson Mandela UPA</v>
          </cell>
          <cell r="H1329" t="str">
            <v>consulta_externa</v>
          </cell>
          <cell r="J1329" t="str">
            <v>bueno</v>
          </cell>
          <cell r="K1329" t="str">
            <v>defsi</v>
          </cell>
        </row>
        <row r="1330">
          <cell r="B1330" t="b">
            <v>1</v>
          </cell>
          <cell r="E1330" t="str">
            <v>Nelson Mandela UPA</v>
          </cell>
          <cell r="H1330" t="str">
            <v>salud_oral</v>
          </cell>
          <cell r="J1330" t="str">
            <v>bueno</v>
          </cell>
          <cell r="K1330" t="str">
            <v>defsi</v>
          </cell>
        </row>
        <row r="1331">
          <cell r="B1331" t="b">
            <v>1</v>
          </cell>
          <cell r="E1331" t="str">
            <v>Nelson Mandela UPA</v>
          </cell>
          <cell r="H1331" t="str">
            <v>laboratorio</v>
          </cell>
          <cell r="J1331" t="str">
            <v>bueno</v>
          </cell>
          <cell r="K1331" t="str">
            <v>defsi</v>
          </cell>
        </row>
        <row r="1332">
          <cell r="B1332" t="b">
            <v>1</v>
          </cell>
          <cell r="E1332" t="str">
            <v>Nelson Mandela UPA</v>
          </cell>
          <cell r="H1332" t="str">
            <v>urgencia</v>
          </cell>
          <cell r="J1332" t="str">
            <v>bueno</v>
          </cell>
          <cell r="K1332" t="str">
            <v>defsi</v>
          </cell>
        </row>
        <row r="1333">
          <cell r="B1333" t="b">
            <v>1</v>
          </cell>
          <cell r="E1333" t="str">
            <v>Nelson Mandela UPA</v>
          </cell>
          <cell r="H1333" t="str">
            <v>consulta_externa</v>
          </cell>
          <cell r="J1333" t="str">
            <v>bueno</v>
          </cell>
          <cell r="K1333" t="str">
            <v>defsi</v>
          </cell>
        </row>
        <row r="1334">
          <cell r="B1334" t="b">
            <v>1</v>
          </cell>
          <cell r="E1334" t="str">
            <v>Nelson Mandela UPA</v>
          </cell>
          <cell r="H1334" t="str">
            <v>salud_oral</v>
          </cell>
          <cell r="J1334" t="str">
            <v>bueno</v>
          </cell>
          <cell r="K1334" t="str">
            <v>defsi</v>
          </cell>
        </row>
        <row r="1335">
          <cell r="B1335" t="b">
            <v>1</v>
          </cell>
          <cell r="E1335" t="str">
            <v>Nelson Mandela UPA</v>
          </cell>
          <cell r="H1335" t="str">
            <v>laboratorio</v>
          </cell>
          <cell r="J1335" t="str">
            <v>bueno</v>
          </cell>
          <cell r="K1335" t="str">
            <v>defsi</v>
          </cell>
        </row>
        <row r="1336">
          <cell r="B1336" t="b">
            <v>1</v>
          </cell>
          <cell r="E1336" t="str">
            <v>Nelson Mandela UPA</v>
          </cell>
          <cell r="H1336" t="str">
            <v>urgencia</v>
          </cell>
          <cell r="J1336" t="str">
            <v>bueno</v>
          </cell>
          <cell r="K1336" t="str">
            <v>defsi</v>
          </cell>
        </row>
        <row r="1337">
          <cell r="B1337" t="b">
            <v>1</v>
          </cell>
          <cell r="E1337" t="str">
            <v>Hospital Pozon</v>
          </cell>
          <cell r="H1337" t="str">
            <v>urgencia</v>
          </cell>
          <cell r="J1337" t="str">
            <v>bueno</v>
          </cell>
          <cell r="K1337" t="str">
            <v>defsi</v>
          </cell>
        </row>
        <row r="1338">
          <cell r="B1338" t="b">
            <v>1</v>
          </cell>
          <cell r="E1338" t="str">
            <v>Hospital Pozon</v>
          </cell>
          <cell r="H1338" t="str">
            <v>urgencia</v>
          </cell>
          <cell r="J1338" t="str">
            <v>bueno</v>
          </cell>
          <cell r="K1338" t="str">
            <v>defsi</v>
          </cell>
        </row>
        <row r="1339">
          <cell r="B1339" t="b">
            <v>0</v>
          </cell>
          <cell r="E1339" t="str">
            <v>Hospital Pozon</v>
          </cell>
          <cell r="H1339" t="str">
            <v>urgencia</v>
          </cell>
          <cell r="J1339" t="str">
            <v>regular</v>
          </cell>
          <cell r="K1339" t="str">
            <v>probsi</v>
          </cell>
        </row>
        <row r="1340">
          <cell r="B1340" t="b">
            <v>1</v>
          </cell>
          <cell r="E1340" t="str">
            <v>Hospital Pozon</v>
          </cell>
          <cell r="H1340" t="str">
            <v>urgencia</v>
          </cell>
          <cell r="J1340" t="str">
            <v>bueno</v>
          </cell>
          <cell r="K1340" t="str">
            <v>defsi</v>
          </cell>
        </row>
        <row r="1341">
          <cell r="B1341" t="b">
            <v>0</v>
          </cell>
          <cell r="E1341" t="str">
            <v>Hospital Pozon</v>
          </cell>
          <cell r="H1341" t="str">
            <v>urgencia</v>
          </cell>
          <cell r="J1341" t="str">
            <v>regular</v>
          </cell>
          <cell r="K1341" t="str">
            <v>probsi</v>
          </cell>
        </row>
        <row r="1342">
          <cell r="B1342" t="b">
            <v>1</v>
          </cell>
          <cell r="E1342" t="str">
            <v>Hospital Pozon</v>
          </cell>
          <cell r="H1342" t="str">
            <v>urgencia</v>
          </cell>
          <cell r="J1342" t="str">
            <v>bueno</v>
          </cell>
          <cell r="K1342" t="str">
            <v>defsi</v>
          </cell>
        </row>
        <row r="1343">
          <cell r="B1343" t="b">
            <v>1</v>
          </cell>
          <cell r="E1343" t="str">
            <v>Hospital Pozon</v>
          </cell>
          <cell r="H1343" t="str">
            <v>urgencia</v>
          </cell>
          <cell r="J1343" t="str">
            <v>bueno</v>
          </cell>
          <cell r="K1343" t="str">
            <v>defsi</v>
          </cell>
        </row>
        <row r="1344">
          <cell r="B1344" t="b">
            <v>1</v>
          </cell>
          <cell r="E1344" t="str">
            <v>Hospital Pozon</v>
          </cell>
          <cell r="H1344" t="str">
            <v>urgencia</v>
          </cell>
          <cell r="J1344" t="str">
            <v>bueno</v>
          </cell>
          <cell r="K1344" t="str">
            <v>defsi</v>
          </cell>
        </row>
        <row r="1345">
          <cell r="B1345" t="b">
            <v>1</v>
          </cell>
          <cell r="E1345" t="str">
            <v>Nelson Mandela UPA</v>
          </cell>
          <cell r="H1345" t="str">
            <v>consulta_externa</v>
          </cell>
          <cell r="J1345" t="str">
            <v>bueno</v>
          </cell>
          <cell r="K1345" t="str">
            <v>defsi</v>
          </cell>
        </row>
        <row r="1346">
          <cell r="B1346" t="b">
            <v>1</v>
          </cell>
          <cell r="E1346" t="str">
            <v>Hospital Pozon</v>
          </cell>
          <cell r="H1346" t="str">
            <v>urgencia</v>
          </cell>
          <cell r="J1346" t="str">
            <v>bueno</v>
          </cell>
          <cell r="K1346" t="str">
            <v>defsi</v>
          </cell>
        </row>
        <row r="1347">
          <cell r="B1347" t="b">
            <v>1</v>
          </cell>
          <cell r="E1347" t="str">
            <v>Nelson Mandela UPA</v>
          </cell>
          <cell r="H1347" t="str">
            <v>salud_oral</v>
          </cell>
          <cell r="J1347" t="str">
            <v>bueno</v>
          </cell>
          <cell r="K1347" t="str">
            <v>defsi</v>
          </cell>
        </row>
        <row r="1348">
          <cell r="B1348" t="b">
            <v>1</v>
          </cell>
          <cell r="E1348" t="str">
            <v>Nelson Mandela UPA</v>
          </cell>
          <cell r="H1348" t="str">
            <v>laboratorio</v>
          </cell>
          <cell r="J1348" t="str">
            <v>bueno</v>
          </cell>
          <cell r="K1348" t="str">
            <v>defsi</v>
          </cell>
        </row>
        <row r="1349">
          <cell r="B1349" t="b">
            <v>1</v>
          </cell>
          <cell r="E1349" t="str">
            <v>Nelson Mandela UPA</v>
          </cell>
          <cell r="H1349" t="str">
            <v>urgencia</v>
          </cell>
          <cell r="J1349" t="str">
            <v>bueno</v>
          </cell>
          <cell r="K1349" t="str">
            <v>defsi</v>
          </cell>
        </row>
        <row r="1350">
          <cell r="B1350" t="b">
            <v>1</v>
          </cell>
          <cell r="E1350" t="str">
            <v>Nelson Mandela UPA</v>
          </cell>
          <cell r="H1350" t="str">
            <v>consulta_externa</v>
          </cell>
          <cell r="J1350" t="str">
            <v>bueno</v>
          </cell>
          <cell r="K1350" t="str">
            <v>defsi</v>
          </cell>
        </row>
        <row r="1351">
          <cell r="B1351" t="b">
            <v>1</v>
          </cell>
          <cell r="E1351" t="str">
            <v>Nelson Mandela UPA</v>
          </cell>
          <cell r="H1351" t="str">
            <v>salud_oral</v>
          </cell>
          <cell r="J1351" t="str">
            <v>bueno</v>
          </cell>
          <cell r="K1351" t="str">
            <v>defsi</v>
          </cell>
        </row>
        <row r="1352">
          <cell r="B1352" t="b">
            <v>1</v>
          </cell>
          <cell r="E1352" t="str">
            <v>Nelson Mandela UPA</v>
          </cell>
          <cell r="H1352" t="str">
            <v>laboratorio</v>
          </cell>
          <cell r="J1352" t="str">
            <v>bueno</v>
          </cell>
          <cell r="K1352" t="str">
            <v>defsi</v>
          </cell>
        </row>
        <row r="1353">
          <cell r="B1353" t="b">
            <v>1</v>
          </cell>
          <cell r="E1353" t="str">
            <v>Nelson Mandela UPA</v>
          </cell>
          <cell r="H1353" t="str">
            <v>urgencia</v>
          </cell>
          <cell r="J1353" t="str">
            <v>bueno</v>
          </cell>
          <cell r="K1353" t="str">
            <v>defsi</v>
          </cell>
        </row>
        <row r="1354">
          <cell r="B1354" t="b">
            <v>1</v>
          </cell>
          <cell r="E1354" t="str">
            <v>Hospital Pozon</v>
          </cell>
          <cell r="H1354" t="str">
            <v>ginecologia</v>
          </cell>
          <cell r="J1354" t="str">
            <v>bueno</v>
          </cell>
          <cell r="K1354" t="str">
            <v>defsi</v>
          </cell>
        </row>
        <row r="1355">
          <cell r="B1355" t="b">
            <v>1</v>
          </cell>
          <cell r="E1355" t="str">
            <v>Hospital Pozon</v>
          </cell>
          <cell r="H1355" t="str">
            <v>ginecologia</v>
          </cell>
          <cell r="J1355" t="str">
            <v>bueno</v>
          </cell>
          <cell r="K1355" t="str">
            <v>defsi</v>
          </cell>
        </row>
        <row r="1356">
          <cell r="B1356" t="b">
            <v>1</v>
          </cell>
          <cell r="E1356" t="str">
            <v>Hospital Pozon</v>
          </cell>
          <cell r="H1356" t="str">
            <v>salud_oral</v>
          </cell>
          <cell r="J1356" t="str">
            <v>bueno</v>
          </cell>
          <cell r="K1356" t="str">
            <v>defsi</v>
          </cell>
        </row>
        <row r="1357">
          <cell r="B1357" t="b">
            <v>1</v>
          </cell>
          <cell r="E1357" t="str">
            <v>Hospital Pozon</v>
          </cell>
          <cell r="H1357" t="str">
            <v>laboratorio</v>
          </cell>
          <cell r="J1357" t="str">
            <v>bueno</v>
          </cell>
          <cell r="K1357" t="str">
            <v>defsi</v>
          </cell>
        </row>
        <row r="1358">
          <cell r="B1358" t="b">
            <v>1</v>
          </cell>
          <cell r="E1358" t="str">
            <v>Hospital Pozon</v>
          </cell>
          <cell r="H1358" t="str">
            <v>ginecologia</v>
          </cell>
          <cell r="J1358" t="str">
            <v>bueno</v>
          </cell>
          <cell r="K1358" t="str">
            <v>defsi</v>
          </cell>
        </row>
        <row r="1359">
          <cell r="B1359" t="b">
            <v>1</v>
          </cell>
          <cell r="E1359" t="str">
            <v>Hospital Pozon</v>
          </cell>
          <cell r="H1359" t="str">
            <v>laboratorio</v>
          </cell>
          <cell r="J1359" t="str">
            <v>bueno</v>
          </cell>
          <cell r="K1359" t="str">
            <v>defsi</v>
          </cell>
        </row>
        <row r="1360">
          <cell r="B1360" t="b">
            <v>1</v>
          </cell>
          <cell r="E1360" t="str">
            <v>Hospital Pozon</v>
          </cell>
          <cell r="H1360" t="str">
            <v>ginecologia</v>
          </cell>
          <cell r="J1360" t="str">
            <v>bueno</v>
          </cell>
          <cell r="K1360" t="str">
            <v>defsi</v>
          </cell>
        </row>
        <row r="1361">
          <cell r="B1361" t="b">
            <v>1</v>
          </cell>
          <cell r="E1361" t="str">
            <v>Hospital Pozon</v>
          </cell>
          <cell r="H1361" t="str">
            <v>laboratorio</v>
          </cell>
          <cell r="J1361" t="str">
            <v>bueno</v>
          </cell>
          <cell r="K1361" t="str">
            <v>defsi</v>
          </cell>
        </row>
        <row r="1362">
          <cell r="B1362" t="b">
            <v>1</v>
          </cell>
          <cell r="E1362" t="str">
            <v>Hospital Pozon</v>
          </cell>
          <cell r="H1362" t="str">
            <v>rx</v>
          </cell>
          <cell r="J1362" t="str">
            <v>bueno</v>
          </cell>
          <cell r="K1362" t="str">
            <v>defsi</v>
          </cell>
        </row>
        <row r="1363">
          <cell r="B1363" t="b">
            <v>1</v>
          </cell>
          <cell r="E1363" t="str">
            <v>Hospital Pozon</v>
          </cell>
          <cell r="H1363" t="str">
            <v>rx</v>
          </cell>
          <cell r="J1363" t="str">
            <v>bueno</v>
          </cell>
          <cell r="K1363" t="str">
            <v>defsi</v>
          </cell>
        </row>
        <row r="1364">
          <cell r="B1364" t="b">
            <v>1</v>
          </cell>
          <cell r="E1364" t="str">
            <v>Hospital Pozon</v>
          </cell>
          <cell r="H1364" t="str">
            <v>rx</v>
          </cell>
          <cell r="J1364" t="str">
            <v>bueno</v>
          </cell>
          <cell r="K1364" t="str">
            <v>defsi</v>
          </cell>
        </row>
        <row r="1365">
          <cell r="B1365" t="b">
            <v>1</v>
          </cell>
          <cell r="E1365" t="str">
            <v>Hospital Pozon</v>
          </cell>
          <cell r="H1365" t="str">
            <v>ginecologia</v>
          </cell>
          <cell r="J1365" t="str">
            <v>bueno</v>
          </cell>
          <cell r="K1365" t="str">
            <v>defsi</v>
          </cell>
        </row>
        <row r="1366">
          <cell r="B1366" t="b">
            <v>1</v>
          </cell>
          <cell r="E1366" t="str">
            <v>Hospital Pozon</v>
          </cell>
          <cell r="H1366" t="str">
            <v>ginecologia</v>
          </cell>
          <cell r="J1366" t="str">
            <v>bueno</v>
          </cell>
          <cell r="K1366" t="str">
            <v>defsi</v>
          </cell>
        </row>
        <row r="1367">
          <cell r="B1367" t="b">
            <v>1</v>
          </cell>
          <cell r="E1367" t="str">
            <v>Hospital Pozon</v>
          </cell>
          <cell r="H1367" t="str">
            <v>ginecologia</v>
          </cell>
          <cell r="J1367" t="str">
            <v>bueno</v>
          </cell>
          <cell r="K1367" t="str">
            <v>defsi</v>
          </cell>
        </row>
        <row r="1368">
          <cell r="B1368" t="b">
            <v>1</v>
          </cell>
          <cell r="E1368" t="str">
            <v>Hospital Pozon</v>
          </cell>
          <cell r="H1368" t="str">
            <v>ginecologia</v>
          </cell>
          <cell r="J1368" t="str">
            <v>bueno</v>
          </cell>
          <cell r="K1368" t="str">
            <v>defsi</v>
          </cell>
        </row>
        <row r="1369">
          <cell r="B1369" t="b">
            <v>1</v>
          </cell>
          <cell r="E1369" t="str">
            <v>Hospital Pozon</v>
          </cell>
          <cell r="H1369" t="str">
            <v>rx</v>
          </cell>
          <cell r="J1369" t="str">
            <v>bueno</v>
          </cell>
          <cell r="K1369" t="str">
            <v>defsi</v>
          </cell>
        </row>
        <row r="1370">
          <cell r="B1370" t="b">
            <v>1</v>
          </cell>
          <cell r="E1370" t="str">
            <v>Hospital Pozon</v>
          </cell>
          <cell r="H1370" t="str">
            <v>rx</v>
          </cell>
          <cell r="J1370" t="str">
            <v>bueno</v>
          </cell>
          <cell r="K1370" t="str">
            <v>defsi</v>
          </cell>
        </row>
        <row r="1371">
          <cell r="B1371" t="b">
            <v>1</v>
          </cell>
          <cell r="E1371" t="str">
            <v>Hospital Pozon</v>
          </cell>
          <cell r="H1371" t="str">
            <v>salud_oral</v>
          </cell>
          <cell r="J1371" t="str">
            <v>bueno</v>
          </cell>
          <cell r="K1371" t="str">
            <v>defsi</v>
          </cell>
        </row>
        <row r="1372">
          <cell r="B1372" t="b">
            <v>0</v>
          </cell>
          <cell r="E1372" t="str">
            <v>Hospital Pozon</v>
          </cell>
          <cell r="H1372" t="str">
            <v>rx</v>
          </cell>
          <cell r="J1372" t="str">
            <v>regular</v>
          </cell>
          <cell r="K1372" t="str">
            <v>defsi</v>
          </cell>
        </row>
        <row r="1373">
          <cell r="B1373" t="b">
            <v>1</v>
          </cell>
          <cell r="E1373" t="str">
            <v>Hospital Pozon</v>
          </cell>
          <cell r="H1373" t="str">
            <v>consulta_externa</v>
          </cell>
          <cell r="J1373" t="str">
            <v>bueno</v>
          </cell>
          <cell r="K1373" t="str">
            <v>defsi</v>
          </cell>
        </row>
        <row r="1374">
          <cell r="B1374" t="b">
            <v>1</v>
          </cell>
          <cell r="E1374" t="str">
            <v>Hospital Pozon</v>
          </cell>
          <cell r="H1374" t="str">
            <v>ginecologia</v>
          </cell>
          <cell r="J1374" t="str">
            <v>bueno</v>
          </cell>
          <cell r="K1374" t="str">
            <v>defsi</v>
          </cell>
        </row>
        <row r="1375">
          <cell r="B1375" t="b">
            <v>1</v>
          </cell>
          <cell r="E1375" t="str">
            <v>Hospital Pozon</v>
          </cell>
          <cell r="H1375" t="str">
            <v>salud_oral</v>
          </cell>
          <cell r="J1375" t="str">
            <v>bueno</v>
          </cell>
          <cell r="K1375" t="str">
            <v>defsi</v>
          </cell>
        </row>
        <row r="1376">
          <cell r="B1376" t="b">
            <v>1</v>
          </cell>
          <cell r="E1376" t="str">
            <v>Hospital Pozon</v>
          </cell>
          <cell r="H1376" t="str">
            <v>ginecologia</v>
          </cell>
          <cell r="J1376" t="str">
            <v>bueno</v>
          </cell>
          <cell r="K1376" t="str">
            <v>defsi</v>
          </cell>
        </row>
        <row r="1377">
          <cell r="B1377" t="b">
            <v>1</v>
          </cell>
          <cell r="E1377" t="str">
            <v>Hospital Pozon</v>
          </cell>
          <cell r="H1377" t="str">
            <v>consulta_externa</v>
          </cell>
          <cell r="J1377" t="str">
            <v>bueno</v>
          </cell>
          <cell r="K1377" t="str">
            <v>defsi</v>
          </cell>
        </row>
        <row r="1378">
          <cell r="B1378" t="b">
            <v>1</v>
          </cell>
          <cell r="E1378" t="str">
            <v>Hospital Pozon</v>
          </cell>
          <cell r="H1378" t="str">
            <v>laboratorio</v>
          </cell>
          <cell r="J1378" t="str">
            <v>bueno</v>
          </cell>
          <cell r="K1378" t="str">
            <v>defsi</v>
          </cell>
        </row>
        <row r="1379">
          <cell r="B1379" t="b">
            <v>1</v>
          </cell>
          <cell r="E1379" t="str">
            <v>Hospital Pozon</v>
          </cell>
          <cell r="H1379" t="str">
            <v>ginecologia</v>
          </cell>
          <cell r="J1379" t="str">
            <v>bueno</v>
          </cell>
          <cell r="K1379" t="str">
            <v>defsi</v>
          </cell>
        </row>
        <row r="1380">
          <cell r="B1380" t="b">
            <v>1</v>
          </cell>
          <cell r="E1380" t="str">
            <v>Hospital Pozon</v>
          </cell>
          <cell r="H1380" t="str">
            <v>salud_oral</v>
          </cell>
          <cell r="J1380" t="str">
            <v>bueno</v>
          </cell>
          <cell r="K1380" t="str">
            <v>defsi</v>
          </cell>
        </row>
        <row r="1381">
          <cell r="B1381" t="b">
            <v>1</v>
          </cell>
          <cell r="E1381" t="str">
            <v>Hospital Pozon</v>
          </cell>
          <cell r="H1381" t="str">
            <v>salud_oral</v>
          </cell>
          <cell r="J1381" t="str">
            <v>bueno</v>
          </cell>
          <cell r="K1381" t="str">
            <v>defsi</v>
          </cell>
        </row>
        <row r="1382">
          <cell r="B1382" t="b">
            <v>1</v>
          </cell>
          <cell r="E1382" t="str">
            <v>Hospital Pozon</v>
          </cell>
          <cell r="H1382" t="str">
            <v>consulta_externa</v>
          </cell>
          <cell r="J1382" t="str">
            <v>bueno</v>
          </cell>
          <cell r="K1382" t="str">
            <v>defsi</v>
          </cell>
        </row>
        <row r="1383">
          <cell r="B1383" t="b">
            <v>1</v>
          </cell>
          <cell r="E1383" t="str">
            <v>Hospital Pozon</v>
          </cell>
          <cell r="H1383" t="str">
            <v>pediatria</v>
          </cell>
          <cell r="J1383" t="str">
            <v>bueno</v>
          </cell>
          <cell r="K1383" t="str">
            <v>defsi</v>
          </cell>
        </row>
        <row r="1384">
          <cell r="B1384" t="b">
            <v>1</v>
          </cell>
          <cell r="E1384" t="str">
            <v>Hospital Pozon</v>
          </cell>
          <cell r="H1384" t="str">
            <v>pediatria</v>
          </cell>
          <cell r="J1384" t="str">
            <v>bueno</v>
          </cell>
          <cell r="K1384" t="str">
            <v>defsi</v>
          </cell>
        </row>
        <row r="1385">
          <cell r="B1385" t="b">
            <v>1</v>
          </cell>
          <cell r="E1385" t="str">
            <v>Hospital Pozon</v>
          </cell>
          <cell r="H1385" t="str">
            <v>consulta_externa</v>
          </cell>
          <cell r="J1385" t="str">
            <v>bueno</v>
          </cell>
          <cell r="K1385" t="str">
            <v>defsi</v>
          </cell>
        </row>
        <row r="1386">
          <cell r="B1386" t="b">
            <v>1</v>
          </cell>
          <cell r="E1386" t="str">
            <v>Hospital Pozon</v>
          </cell>
          <cell r="H1386" t="str">
            <v>pediatria</v>
          </cell>
          <cell r="J1386" t="str">
            <v>bueno</v>
          </cell>
          <cell r="K1386" t="str">
            <v>defsi</v>
          </cell>
        </row>
        <row r="1387">
          <cell r="B1387" t="b">
            <v>1</v>
          </cell>
          <cell r="E1387" t="str">
            <v>Nelson Mandela UPA</v>
          </cell>
          <cell r="H1387" t="str">
            <v>consulta_externa</v>
          </cell>
          <cell r="J1387" t="str">
            <v>bueno</v>
          </cell>
          <cell r="K1387" t="str">
            <v>defsi</v>
          </cell>
        </row>
        <row r="1388">
          <cell r="B1388" t="b">
            <v>1</v>
          </cell>
          <cell r="E1388" t="str">
            <v>Nelson Mandela UPA</v>
          </cell>
          <cell r="H1388" t="str">
            <v>salud_oral</v>
          </cell>
          <cell r="J1388" t="str">
            <v>bueno</v>
          </cell>
          <cell r="K1388" t="str">
            <v>defsi</v>
          </cell>
        </row>
        <row r="1389">
          <cell r="B1389" t="b">
            <v>1</v>
          </cell>
          <cell r="E1389" t="str">
            <v>Nelson Mandela UPA</v>
          </cell>
          <cell r="H1389" t="str">
            <v>laboratorio</v>
          </cell>
          <cell r="J1389" t="str">
            <v>bueno</v>
          </cell>
          <cell r="K1389" t="str">
            <v>defsi</v>
          </cell>
        </row>
        <row r="1390">
          <cell r="B1390" t="b">
            <v>1</v>
          </cell>
          <cell r="E1390" t="str">
            <v>Nelson Mandela UPA</v>
          </cell>
          <cell r="H1390" t="str">
            <v>urgencia</v>
          </cell>
          <cell r="J1390" t="str">
            <v>bueno</v>
          </cell>
          <cell r="K1390" t="str">
            <v>defsi</v>
          </cell>
        </row>
        <row r="1391">
          <cell r="B1391" t="b">
            <v>1</v>
          </cell>
          <cell r="E1391" t="str">
            <v>Pozon</v>
          </cell>
          <cell r="H1391" t="str">
            <v>consulta_externa</v>
          </cell>
          <cell r="J1391" t="str">
            <v>bueno</v>
          </cell>
          <cell r="K1391" t="str">
            <v>defsi</v>
          </cell>
        </row>
        <row r="1392">
          <cell r="B1392" t="b">
            <v>1</v>
          </cell>
          <cell r="E1392" t="str">
            <v>Pozon</v>
          </cell>
          <cell r="H1392" t="str">
            <v>salud_oral</v>
          </cell>
          <cell r="J1392" t="str">
            <v>bueno</v>
          </cell>
          <cell r="K1392" t="str">
            <v>defsi</v>
          </cell>
        </row>
        <row r="1393">
          <cell r="B1393" t="b">
            <v>1</v>
          </cell>
          <cell r="E1393" t="str">
            <v>Pozon</v>
          </cell>
          <cell r="H1393" t="str">
            <v>consulta_externa</v>
          </cell>
          <cell r="J1393" t="str">
            <v>bueno</v>
          </cell>
          <cell r="K1393" t="str">
            <v>defsi</v>
          </cell>
        </row>
        <row r="1394">
          <cell r="B1394" t="b">
            <v>1</v>
          </cell>
          <cell r="E1394" t="str">
            <v>Pozon</v>
          </cell>
          <cell r="H1394" t="str">
            <v>salud_oral</v>
          </cell>
          <cell r="J1394" t="str">
            <v>bueno</v>
          </cell>
          <cell r="K1394" t="str">
            <v>defsi</v>
          </cell>
        </row>
        <row r="1395">
          <cell r="B1395" t="b">
            <v>1</v>
          </cell>
          <cell r="E1395" t="str">
            <v>Pozon</v>
          </cell>
          <cell r="H1395" t="str">
            <v>consulta_externa</v>
          </cell>
          <cell r="J1395" t="str">
            <v>bueno</v>
          </cell>
          <cell r="K1395" t="str">
            <v>defsi</v>
          </cell>
        </row>
        <row r="1396">
          <cell r="B1396" t="b">
            <v>1</v>
          </cell>
          <cell r="E1396" t="str">
            <v>Pozon</v>
          </cell>
          <cell r="H1396" t="str">
            <v>consulta_externa</v>
          </cell>
          <cell r="J1396" t="str">
            <v>bueno</v>
          </cell>
          <cell r="K1396" t="str">
            <v>defsi</v>
          </cell>
        </row>
        <row r="1397">
          <cell r="B1397" t="b">
            <v>1</v>
          </cell>
          <cell r="E1397" t="str">
            <v>Pozon</v>
          </cell>
          <cell r="H1397" t="str">
            <v>laboratorio</v>
          </cell>
          <cell r="J1397" t="str">
            <v>bueno</v>
          </cell>
          <cell r="K1397" t="str">
            <v>defsi</v>
          </cell>
        </row>
        <row r="1398">
          <cell r="B1398" t="b">
            <v>1</v>
          </cell>
          <cell r="E1398" t="str">
            <v>Pozon</v>
          </cell>
          <cell r="H1398" t="str">
            <v>laboratorio</v>
          </cell>
          <cell r="J1398" t="str">
            <v>bueno</v>
          </cell>
          <cell r="K1398" t="str">
            <v>defsi</v>
          </cell>
        </row>
        <row r="1399">
          <cell r="B1399" t="b">
            <v>1</v>
          </cell>
          <cell r="E1399" t="str">
            <v>Pozon</v>
          </cell>
          <cell r="H1399" t="str">
            <v>consulta_externa</v>
          </cell>
          <cell r="J1399" t="str">
            <v>bueno</v>
          </cell>
          <cell r="K1399" t="str">
            <v>defsi</v>
          </cell>
        </row>
        <row r="1400">
          <cell r="B1400" t="b">
            <v>1</v>
          </cell>
          <cell r="E1400" t="str">
            <v>Pozon</v>
          </cell>
          <cell r="H1400" t="str">
            <v>laboratorio</v>
          </cell>
          <cell r="J1400" t="str">
            <v>bueno</v>
          </cell>
          <cell r="K1400" t="str">
            <v>defsi</v>
          </cell>
        </row>
        <row r="1401">
          <cell r="B1401" t="b">
            <v>1</v>
          </cell>
          <cell r="E1401" t="str">
            <v>Pozon</v>
          </cell>
          <cell r="H1401" t="str">
            <v>laboratorio</v>
          </cell>
          <cell r="J1401" t="str">
            <v>bueno</v>
          </cell>
          <cell r="K1401" t="str">
            <v>defsi</v>
          </cell>
        </row>
        <row r="1402">
          <cell r="B1402" t="b">
            <v>1</v>
          </cell>
          <cell r="E1402" t="str">
            <v>Pozon</v>
          </cell>
          <cell r="H1402" t="str">
            <v>consulta_externa</v>
          </cell>
          <cell r="J1402" t="str">
            <v>bueno</v>
          </cell>
          <cell r="K1402" t="str">
            <v>defsi</v>
          </cell>
        </row>
        <row r="1403">
          <cell r="B1403" t="b">
            <v>1</v>
          </cell>
          <cell r="E1403" t="str">
            <v>Pozon</v>
          </cell>
          <cell r="H1403" t="str">
            <v>consulta_externa</v>
          </cell>
          <cell r="J1403" t="str">
            <v>bueno</v>
          </cell>
          <cell r="K1403" t="str">
            <v>defsi</v>
          </cell>
        </row>
        <row r="1404">
          <cell r="B1404" t="b">
            <v>1</v>
          </cell>
          <cell r="E1404" t="str">
            <v>Pozon</v>
          </cell>
          <cell r="H1404" t="str">
            <v>salud_oral</v>
          </cell>
          <cell r="J1404" t="str">
            <v>bueno</v>
          </cell>
          <cell r="K1404" t="str">
            <v>defsi</v>
          </cell>
        </row>
        <row r="1405">
          <cell r="B1405" t="b">
            <v>1</v>
          </cell>
          <cell r="E1405" t="str">
            <v>Pozon</v>
          </cell>
          <cell r="H1405" t="str">
            <v>consulta_externa</v>
          </cell>
          <cell r="J1405" t="str">
            <v>bueno</v>
          </cell>
          <cell r="K1405" t="str">
            <v>defsi</v>
          </cell>
        </row>
        <row r="1406">
          <cell r="B1406" t="b">
            <v>1</v>
          </cell>
          <cell r="E1406" t="str">
            <v>Pozon</v>
          </cell>
          <cell r="H1406" t="str">
            <v>laboratorio</v>
          </cell>
          <cell r="J1406" t="str">
            <v>bueno</v>
          </cell>
          <cell r="K1406" t="str">
            <v>defsi</v>
          </cell>
        </row>
        <row r="1407">
          <cell r="B1407" t="b">
            <v>0</v>
          </cell>
          <cell r="E1407" t="str">
            <v>Pozon</v>
          </cell>
          <cell r="H1407" t="str">
            <v>laboratorio</v>
          </cell>
          <cell r="J1407" t="str">
            <v>regular</v>
          </cell>
          <cell r="K1407" t="str">
            <v>probsi</v>
          </cell>
        </row>
        <row r="1408">
          <cell r="B1408" t="b">
            <v>0</v>
          </cell>
          <cell r="E1408" t="str">
            <v>Pozon</v>
          </cell>
          <cell r="H1408" t="str">
            <v>consulta_externa</v>
          </cell>
          <cell r="J1408" t="str">
            <v>regular</v>
          </cell>
          <cell r="K1408" t="str">
            <v>probsi</v>
          </cell>
        </row>
        <row r="1409">
          <cell r="B1409" t="b">
            <v>1</v>
          </cell>
          <cell r="E1409" t="str">
            <v>Punta Canoa</v>
          </cell>
          <cell r="H1409" t="str">
            <v>consulta_externa</v>
          </cell>
          <cell r="J1409" t="str">
            <v>bueno</v>
          </cell>
          <cell r="K1409" t="str">
            <v>probsi</v>
          </cell>
        </row>
        <row r="1410">
          <cell r="B1410" t="b">
            <v>1</v>
          </cell>
          <cell r="E1410" t="str">
            <v>Punta Canoa</v>
          </cell>
          <cell r="H1410" t="str">
            <v>consulta_externa</v>
          </cell>
          <cell r="J1410" t="str">
            <v>bueno</v>
          </cell>
          <cell r="K1410" t="str">
            <v>probsi</v>
          </cell>
        </row>
        <row r="1411">
          <cell r="B1411" t="b">
            <v>1</v>
          </cell>
          <cell r="E1411" t="str">
            <v>Punta Canoa</v>
          </cell>
          <cell r="H1411" t="str">
            <v>consulta_externa</v>
          </cell>
          <cell r="J1411" t="str">
            <v>bueno</v>
          </cell>
          <cell r="K1411" t="str">
            <v>probsi</v>
          </cell>
        </row>
        <row r="1412">
          <cell r="B1412" t="b">
            <v>1</v>
          </cell>
          <cell r="E1412" t="str">
            <v>Punta Canoa</v>
          </cell>
          <cell r="H1412" t="str">
            <v>consulta_externa</v>
          </cell>
          <cell r="J1412" t="str">
            <v>bueno</v>
          </cell>
          <cell r="K1412" t="str">
            <v>probsi</v>
          </cell>
        </row>
        <row r="1413">
          <cell r="B1413" t="b">
            <v>1</v>
          </cell>
          <cell r="E1413" t="str">
            <v>Punta Canoa</v>
          </cell>
          <cell r="H1413" t="str">
            <v>consulta_externa</v>
          </cell>
          <cell r="J1413" t="str">
            <v>bueno</v>
          </cell>
          <cell r="K1413" t="str">
            <v>probsi</v>
          </cell>
        </row>
        <row r="1414">
          <cell r="B1414" t="b">
            <v>1</v>
          </cell>
          <cell r="E1414" t="str">
            <v>Punta Canoa</v>
          </cell>
          <cell r="H1414" t="str">
            <v>laboratorio</v>
          </cell>
          <cell r="J1414" t="str">
            <v>bueno</v>
          </cell>
          <cell r="K1414" t="str">
            <v>probsi</v>
          </cell>
        </row>
        <row r="1415">
          <cell r="B1415" t="b">
            <v>1</v>
          </cell>
          <cell r="E1415" t="str">
            <v>Punta Canoa</v>
          </cell>
          <cell r="H1415" t="str">
            <v>laboratorio</v>
          </cell>
          <cell r="J1415" t="str">
            <v>bueno</v>
          </cell>
          <cell r="K1415" t="str">
            <v>probsi</v>
          </cell>
        </row>
        <row r="1416">
          <cell r="B1416" t="b">
            <v>1</v>
          </cell>
          <cell r="E1416" t="str">
            <v>Punta Canoa</v>
          </cell>
          <cell r="H1416" t="str">
            <v>laboratorio</v>
          </cell>
          <cell r="J1416" t="str">
            <v>bueno</v>
          </cell>
          <cell r="K1416" t="str">
            <v>probsi</v>
          </cell>
        </row>
        <row r="1417">
          <cell r="B1417" t="b">
            <v>1</v>
          </cell>
          <cell r="E1417" t="str">
            <v>Punta Canoa</v>
          </cell>
          <cell r="H1417" t="str">
            <v>laboratorio</v>
          </cell>
          <cell r="J1417" t="str">
            <v>bueno</v>
          </cell>
          <cell r="K1417" t="str">
            <v>probsi</v>
          </cell>
        </row>
        <row r="1418">
          <cell r="B1418" t="b">
            <v>1</v>
          </cell>
          <cell r="E1418" t="str">
            <v>Punta Canoa</v>
          </cell>
          <cell r="H1418" t="str">
            <v>salud_oral</v>
          </cell>
          <cell r="J1418" t="str">
            <v>bueno</v>
          </cell>
          <cell r="K1418" t="str">
            <v>probsi</v>
          </cell>
        </row>
        <row r="1419">
          <cell r="B1419" t="b">
            <v>1</v>
          </cell>
          <cell r="E1419" t="str">
            <v>Punta Canoa</v>
          </cell>
          <cell r="H1419" t="str">
            <v>salud_oral</v>
          </cell>
          <cell r="J1419" t="str">
            <v>muybueno</v>
          </cell>
          <cell r="K1419" t="str">
            <v>probsi</v>
          </cell>
        </row>
        <row r="1420">
          <cell r="B1420" t="b">
            <v>1</v>
          </cell>
          <cell r="E1420" t="str">
            <v>Punta Canoa</v>
          </cell>
          <cell r="H1420" t="str">
            <v>salud_oral</v>
          </cell>
          <cell r="J1420" t="str">
            <v>bueno</v>
          </cell>
          <cell r="K1420" t="str">
            <v>probsi</v>
          </cell>
        </row>
        <row r="1421">
          <cell r="B1421" t="b">
            <v>1</v>
          </cell>
          <cell r="E1421" t="str">
            <v>Punta Canoa</v>
          </cell>
          <cell r="H1421" t="str">
            <v>salud_oral</v>
          </cell>
          <cell r="J1421" t="str">
            <v>bueno</v>
          </cell>
          <cell r="K1421" t="str">
            <v>probsi</v>
          </cell>
        </row>
        <row r="1422">
          <cell r="B1422" t="b">
            <v>1</v>
          </cell>
          <cell r="E1422" t="str">
            <v>Punta Canoa</v>
          </cell>
          <cell r="H1422" t="str">
            <v>salud_oral</v>
          </cell>
          <cell r="J1422" t="str">
            <v>bueno</v>
          </cell>
          <cell r="K1422" t="str">
            <v>probsi</v>
          </cell>
        </row>
        <row r="1423">
          <cell r="B1423" t="b">
            <v>1</v>
          </cell>
          <cell r="E1423" t="str">
            <v>Pozon</v>
          </cell>
          <cell r="H1423" t="str">
            <v>consulta_externa</v>
          </cell>
          <cell r="J1423" t="str">
            <v>bueno</v>
          </cell>
          <cell r="K1423" t="str">
            <v>defsi</v>
          </cell>
        </row>
        <row r="1424">
          <cell r="B1424" t="b">
            <v>1</v>
          </cell>
          <cell r="E1424" t="str">
            <v>Pozon</v>
          </cell>
          <cell r="H1424" t="str">
            <v>salud_oral</v>
          </cell>
          <cell r="J1424" t="str">
            <v>bueno</v>
          </cell>
          <cell r="K1424" t="str">
            <v>defsi</v>
          </cell>
        </row>
        <row r="1425">
          <cell r="B1425" t="b">
            <v>1</v>
          </cell>
          <cell r="E1425" t="str">
            <v>Pozon</v>
          </cell>
          <cell r="H1425" t="str">
            <v>salud_oral</v>
          </cell>
          <cell r="J1425" t="str">
            <v>bueno</v>
          </cell>
          <cell r="K1425" t="str">
            <v>defsi</v>
          </cell>
        </row>
        <row r="1426">
          <cell r="B1426" t="b">
            <v>1</v>
          </cell>
          <cell r="E1426" t="str">
            <v>Pozon</v>
          </cell>
          <cell r="H1426" t="str">
            <v>consulta_externa</v>
          </cell>
          <cell r="J1426" t="str">
            <v>bueno</v>
          </cell>
          <cell r="K1426" t="str">
            <v>defsi</v>
          </cell>
        </row>
        <row r="1427">
          <cell r="B1427" t="b">
            <v>1</v>
          </cell>
          <cell r="E1427" t="str">
            <v>Pozon</v>
          </cell>
          <cell r="H1427" t="str">
            <v>salud_oral</v>
          </cell>
          <cell r="J1427" t="str">
            <v>muybueno</v>
          </cell>
          <cell r="K1427" t="str">
            <v>defsi</v>
          </cell>
        </row>
        <row r="1428">
          <cell r="B1428" t="b">
            <v>1</v>
          </cell>
          <cell r="E1428" t="str">
            <v>Pozon</v>
          </cell>
          <cell r="H1428" t="str">
            <v>salud_oral</v>
          </cell>
          <cell r="J1428" t="str">
            <v>bueno</v>
          </cell>
          <cell r="K1428" t="str">
            <v>defsi</v>
          </cell>
        </row>
        <row r="1429">
          <cell r="B1429" t="b">
            <v>0</v>
          </cell>
          <cell r="E1429" t="str">
            <v>Pozon</v>
          </cell>
          <cell r="H1429" t="str">
            <v>salud_oral</v>
          </cell>
          <cell r="J1429" t="str">
            <v>regular</v>
          </cell>
          <cell r="K1429" t="str">
            <v>defsi</v>
          </cell>
        </row>
        <row r="1430">
          <cell r="B1430" t="b">
            <v>1</v>
          </cell>
          <cell r="E1430" t="str">
            <v>Nelson Mandela UPA</v>
          </cell>
          <cell r="H1430" t="str">
            <v>consulta_externa</v>
          </cell>
          <cell r="J1430" t="str">
            <v>bueno</v>
          </cell>
          <cell r="K1430" t="str">
            <v>defsi</v>
          </cell>
        </row>
        <row r="1431">
          <cell r="B1431" t="b">
            <v>1</v>
          </cell>
          <cell r="E1431" t="str">
            <v>Nelson Mandela UPA</v>
          </cell>
          <cell r="H1431" t="str">
            <v>salud_oral</v>
          </cell>
          <cell r="J1431" t="str">
            <v>bueno</v>
          </cell>
          <cell r="K1431" t="str">
            <v>defsi</v>
          </cell>
        </row>
        <row r="1432">
          <cell r="B1432" t="b">
            <v>1</v>
          </cell>
          <cell r="E1432" t="str">
            <v>Nelson Mandela UPA</v>
          </cell>
          <cell r="H1432" t="str">
            <v>laboratorio</v>
          </cell>
          <cell r="J1432" t="str">
            <v>bueno</v>
          </cell>
          <cell r="K1432" t="str">
            <v>defsi</v>
          </cell>
        </row>
        <row r="1433">
          <cell r="B1433" t="b">
            <v>1</v>
          </cell>
          <cell r="E1433" t="str">
            <v>Nelson Mandela UPA</v>
          </cell>
          <cell r="H1433" t="str">
            <v>urgencia</v>
          </cell>
          <cell r="J1433" t="str">
            <v>bueno</v>
          </cell>
          <cell r="K1433" t="str">
            <v>defsi</v>
          </cell>
        </row>
        <row r="1434">
          <cell r="B1434" t="b">
            <v>1</v>
          </cell>
          <cell r="E1434" t="str">
            <v>Pozon</v>
          </cell>
          <cell r="H1434" t="str">
            <v>consulta_externa</v>
          </cell>
          <cell r="J1434" t="str">
            <v>bueno</v>
          </cell>
          <cell r="K1434" t="str">
            <v>defsi</v>
          </cell>
        </row>
        <row r="1435">
          <cell r="B1435" t="b">
            <v>1</v>
          </cell>
          <cell r="E1435" t="str">
            <v>Pozon</v>
          </cell>
          <cell r="H1435" t="str">
            <v>laboratorio</v>
          </cell>
          <cell r="J1435" t="str">
            <v>bueno</v>
          </cell>
          <cell r="K1435" t="str">
            <v>defsi</v>
          </cell>
        </row>
        <row r="1436">
          <cell r="B1436" t="b">
            <v>1</v>
          </cell>
          <cell r="E1436" t="str">
            <v>Pozon</v>
          </cell>
          <cell r="H1436" t="str">
            <v>consulta_externa</v>
          </cell>
          <cell r="J1436" t="str">
            <v>bueno</v>
          </cell>
          <cell r="K1436" t="str">
            <v>defsi</v>
          </cell>
        </row>
        <row r="1437">
          <cell r="B1437" t="b">
            <v>1</v>
          </cell>
          <cell r="E1437" t="str">
            <v>Pozon</v>
          </cell>
          <cell r="H1437" t="str">
            <v>consulta_externa</v>
          </cell>
          <cell r="J1437" t="str">
            <v>bueno</v>
          </cell>
          <cell r="K1437" t="str">
            <v>defsi</v>
          </cell>
        </row>
        <row r="1438">
          <cell r="B1438" t="b">
            <v>1</v>
          </cell>
          <cell r="E1438" t="str">
            <v>Pozon</v>
          </cell>
          <cell r="H1438" t="str">
            <v>salud_oral</v>
          </cell>
          <cell r="J1438" t="str">
            <v>bueno</v>
          </cell>
          <cell r="K1438" t="str">
            <v>defsi</v>
          </cell>
        </row>
        <row r="1439">
          <cell r="B1439" t="b">
            <v>1</v>
          </cell>
          <cell r="E1439" t="str">
            <v>Pozon</v>
          </cell>
          <cell r="H1439" t="str">
            <v>salud_oral</v>
          </cell>
          <cell r="J1439" t="str">
            <v>bueno</v>
          </cell>
          <cell r="K1439" t="str">
            <v>defsi</v>
          </cell>
        </row>
        <row r="1440">
          <cell r="B1440" t="b">
            <v>1</v>
          </cell>
          <cell r="E1440" t="str">
            <v>Pozon</v>
          </cell>
          <cell r="H1440" t="str">
            <v>consulta_externa</v>
          </cell>
          <cell r="J1440" t="str">
            <v>bueno</v>
          </cell>
          <cell r="K1440" t="str">
            <v>defsi</v>
          </cell>
        </row>
        <row r="1441">
          <cell r="B1441" t="b">
            <v>1</v>
          </cell>
          <cell r="E1441" t="str">
            <v>Pozon</v>
          </cell>
          <cell r="H1441" t="str">
            <v>laboratorio</v>
          </cell>
          <cell r="J1441" t="str">
            <v>bueno</v>
          </cell>
          <cell r="K1441" t="str">
            <v>defsi</v>
          </cell>
        </row>
        <row r="1442">
          <cell r="B1442" t="b">
            <v>0</v>
          </cell>
          <cell r="E1442" t="str">
            <v>Pozon</v>
          </cell>
          <cell r="H1442" t="str">
            <v>laboratorio</v>
          </cell>
          <cell r="J1442" t="str">
            <v>regular</v>
          </cell>
          <cell r="K1442" t="str">
            <v>defsi</v>
          </cell>
        </row>
        <row r="1443">
          <cell r="B1443" t="b">
            <v>1</v>
          </cell>
          <cell r="E1443" t="str">
            <v>Pozon</v>
          </cell>
          <cell r="H1443" t="str">
            <v>consulta_externa</v>
          </cell>
          <cell r="J1443" t="str">
            <v>bueno</v>
          </cell>
          <cell r="K1443" t="str">
            <v>defsi</v>
          </cell>
        </row>
        <row r="1444">
          <cell r="B1444" t="b">
            <v>1</v>
          </cell>
          <cell r="E1444" t="str">
            <v>Pozon</v>
          </cell>
          <cell r="H1444" t="str">
            <v>consulta_externa</v>
          </cell>
          <cell r="J1444" t="str">
            <v>bueno</v>
          </cell>
          <cell r="K1444" t="str">
            <v>defsi</v>
          </cell>
        </row>
        <row r="1445">
          <cell r="B1445" t="b">
            <v>1</v>
          </cell>
          <cell r="E1445" t="str">
            <v>Pozon</v>
          </cell>
          <cell r="H1445" t="str">
            <v>salud_oral</v>
          </cell>
          <cell r="J1445" t="str">
            <v>bueno</v>
          </cell>
          <cell r="K1445" t="str">
            <v>defsi</v>
          </cell>
        </row>
        <row r="1446">
          <cell r="B1446" t="b">
            <v>1</v>
          </cell>
          <cell r="E1446" t="str">
            <v>Pozon</v>
          </cell>
          <cell r="H1446" t="str">
            <v>salud_oral</v>
          </cell>
          <cell r="J1446" t="str">
            <v>bueno</v>
          </cell>
          <cell r="K1446" t="str">
            <v>defsi</v>
          </cell>
        </row>
        <row r="1447">
          <cell r="B1447" t="b">
            <v>1</v>
          </cell>
          <cell r="E1447" t="str">
            <v>Pozon</v>
          </cell>
          <cell r="H1447" t="str">
            <v>consulta_externa</v>
          </cell>
          <cell r="J1447" t="str">
            <v>bueno</v>
          </cell>
          <cell r="K1447" t="str">
            <v>defsi</v>
          </cell>
        </row>
        <row r="1448">
          <cell r="B1448" t="b">
            <v>1</v>
          </cell>
          <cell r="E1448" t="str">
            <v>Pozon</v>
          </cell>
          <cell r="H1448" t="str">
            <v>salud_oral</v>
          </cell>
          <cell r="J1448" t="str">
            <v>bueno</v>
          </cell>
          <cell r="K1448" t="str">
            <v>defsi</v>
          </cell>
        </row>
        <row r="1449">
          <cell r="B1449" t="b">
            <v>1</v>
          </cell>
          <cell r="E1449" t="str">
            <v>Pozon</v>
          </cell>
          <cell r="H1449" t="str">
            <v>consulta_externa</v>
          </cell>
          <cell r="J1449" t="str">
            <v>bueno</v>
          </cell>
          <cell r="K1449" t="str">
            <v>defsi</v>
          </cell>
        </row>
        <row r="1450">
          <cell r="B1450" t="b">
            <v>1</v>
          </cell>
          <cell r="E1450" t="str">
            <v>Pozon</v>
          </cell>
          <cell r="H1450" t="str">
            <v>laboratorio</v>
          </cell>
          <cell r="J1450" t="str">
            <v>bueno</v>
          </cell>
          <cell r="K1450" t="str">
            <v>defsi</v>
          </cell>
        </row>
        <row r="1451">
          <cell r="B1451" t="b">
            <v>1</v>
          </cell>
          <cell r="E1451" t="str">
            <v>Pozon</v>
          </cell>
          <cell r="H1451" t="str">
            <v>salud_oral</v>
          </cell>
          <cell r="J1451" t="str">
            <v>bueno</v>
          </cell>
          <cell r="K1451" t="str">
            <v>defsi</v>
          </cell>
        </row>
        <row r="1452">
          <cell r="B1452" t="b">
            <v>1</v>
          </cell>
          <cell r="E1452" t="str">
            <v>Pozon</v>
          </cell>
          <cell r="H1452" t="str">
            <v>salud_oral</v>
          </cell>
          <cell r="J1452" t="str">
            <v>bueno</v>
          </cell>
          <cell r="K1452" t="str">
            <v>defsi</v>
          </cell>
        </row>
        <row r="1453">
          <cell r="B1453" t="b">
            <v>1</v>
          </cell>
          <cell r="E1453" t="str">
            <v>Nelson Mandela UPA</v>
          </cell>
          <cell r="H1453" t="str">
            <v>consulta_externa</v>
          </cell>
          <cell r="J1453" t="str">
            <v>bueno</v>
          </cell>
          <cell r="K1453" t="str">
            <v>defsi</v>
          </cell>
        </row>
        <row r="1454">
          <cell r="B1454" t="b">
            <v>1</v>
          </cell>
          <cell r="E1454" t="str">
            <v>Nelson Mandela UPA</v>
          </cell>
          <cell r="H1454" t="str">
            <v>salud_oral</v>
          </cell>
          <cell r="J1454" t="str">
            <v>bueno</v>
          </cell>
          <cell r="K1454" t="str">
            <v>defsi</v>
          </cell>
        </row>
        <row r="1455">
          <cell r="B1455" t="b">
            <v>1</v>
          </cell>
          <cell r="E1455" t="str">
            <v>Nelson Mandela UPA</v>
          </cell>
          <cell r="H1455" t="str">
            <v>laboratorio</v>
          </cell>
          <cell r="J1455" t="str">
            <v>bueno</v>
          </cell>
          <cell r="K1455" t="str">
            <v>defsi</v>
          </cell>
        </row>
        <row r="1456">
          <cell r="B1456" t="b">
            <v>1</v>
          </cell>
          <cell r="E1456" t="str">
            <v>Pozon</v>
          </cell>
          <cell r="H1456" t="str">
            <v>consulta_externa</v>
          </cell>
          <cell r="J1456" t="str">
            <v>bueno</v>
          </cell>
          <cell r="K1456" t="str">
            <v>defsi</v>
          </cell>
        </row>
        <row r="1457">
          <cell r="B1457" t="b">
            <v>0</v>
          </cell>
          <cell r="E1457" t="str">
            <v>Pozon</v>
          </cell>
          <cell r="H1457" t="str">
            <v>laboratorio</v>
          </cell>
          <cell r="J1457" t="str">
            <v>regular</v>
          </cell>
          <cell r="K1457" t="str">
            <v>defsi</v>
          </cell>
        </row>
        <row r="1458">
          <cell r="B1458" t="b">
            <v>1</v>
          </cell>
          <cell r="E1458" t="str">
            <v>Nelson Mandela UPA</v>
          </cell>
          <cell r="H1458" t="str">
            <v>urgencia</v>
          </cell>
          <cell r="J1458" t="str">
            <v>bueno</v>
          </cell>
          <cell r="K1458" t="str">
            <v>defsi</v>
          </cell>
        </row>
        <row r="1459">
          <cell r="B1459" t="b">
            <v>1</v>
          </cell>
          <cell r="E1459" t="str">
            <v>Nelson Mandela UPA</v>
          </cell>
          <cell r="H1459" t="str">
            <v>consulta_externa</v>
          </cell>
          <cell r="J1459" t="str">
            <v>bueno</v>
          </cell>
          <cell r="K1459" t="str">
            <v>defsi</v>
          </cell>
        </row>
        <row r="1460">
          <cell r="B1460" t="b">
            <v>1</v>
          </cell>
          <cell r="E1460" t="str">
            <v>Nelson Mandela UPA</v>
          </cell>
          <cell r="H1460" t="str">
            <v>salud_oral</v>
          </cell>
          <cell r="J1460" t="str">
            <v>bueno</v>
          </cell>
          <cell r="K1460" t="str">
            <v>defsi</v>
          </cell>
        </row>
        <row r="1461">
          <cell r="B1461" t="b">
            <v>1</v>
          </cell>
          <cell r="E1461" t="str">
            <v>Nelson Mandela UPA</v>
          </cell>
          <cell r="H1461" t="str">
            <v>laboratorio</v>
          </cell>
          <cell r="J1461" t="str">
            <v>bueno</v>
          </cell>
          <cell r="K1461" t="str">
            <v>defsi</v>
          </cell>
        </row>
        <row r="1462">
          <cell r="B1462" t="b">
            <v>1</v>
          </cell>
          <cell r="E1462" t="str">
            <v>Nelson Mandela UPA</v>
          </cell>
          <cell r="H1462" t="str">
            <v>urgencia</v>
          </cell>
          <cell r="J1462" t="str">
            <v>bueno</v>
          </cell>
          <cell r="K1462" t="str">
            <v>defsi</v>
          </cell>
        </row>
        <row r="1463">
          <cell r="B1463" t="b">
            <v>1</v>
          </cell>
          <cell r="E1463" t="str">
            <v>Nelson Mandela UPA</v>
          </cell>
          <cell r="H1463" t="str">
            <v>consulta_externa</v>
          </cell>
          <cell r="J1463" t="str">
            <v>bueno</v>
          </cell>
          <cell r="K1463" t="str">
            <v>defsi</v>
          </cell>
        </row>
        <row r="1464">
          <cell r="B1464" t="b">
            <v>1</v>
          </cell>
          <cell r="E1464" t="str">
            <v>Nelson Mandela UPA</v>
          </cell>
          <cell r="H1464" t="str">
            <v>salud_oral</v>
          </cell>
          <cell r="J1464" t="str">
            <v>bueno</v>
          </cell>
          <cell r="K1464" t="str">
            <v>defsi</v>
          </cell>
        </row>
        <row r="1465">
          <cell r="B1465" t="b">
            <v>1</v>
          </cell>
          <cell r="E1465" t="str">
            <v>Nelson Mandela UPA</v>
          </cell>
          <cell r="H1465" t="str">
            <v>laboratorio</v>
          </cell>
          <cell r="J1465" t="str">
            <v>bueno</v>
          </cell>
          <cell r="K1465" t="str">
            <v>defsi</v>
          </cell>
        </row>
        <row r="1466">
          <cell r="B1466" t="b">
            <v>1</v>
          </cell>
          <cell r="E1466" t="str">
            <v>Nelson Mandela UPA</v>
          </cell>
          <cell r="H1466" t="str">
            <v>urgencia</v>
          </cell>
          <cell r="J1466" t="str">
            <v>bueno</v>
          </cell>
          <cell r="K1466" t="str">
            <v>defsi</v>
          </cell>
        </row>
        <row r="1467">
          <cell r="B1467" t="b">
            <v>1</v>
          </cell>
          <cell r="E1467" t="str">
            <v>Nelson Mandela UPA</v>
          </cell>
          <cell r="H1467" t="str">
            <v>consulta_externa</v>
          </cell>
          <cell r="J1467" t="str">
            <v>bueno</v>
          </cell>
          <cell r="K1467" t="str">
            <v>defsi</v>
          </cell>
        </row>
        <row r="1468">
          <cell r="B1468" t="b">
            <v>1</v>
          </cell>
          <cell r="E1468" t="str">
            <v>Nelson Mandela UPA</v>
          </cell>
          <cell r="H1468" t="str">
            <v>salud_oral</v>
          </cell>
          <cell r="J1468" t="str">
            <v>bueno</v>
          </cell>
          <cell r="K1468" t="str">
            <v>defsi</v>
          </cell>
        </row>
        <row r="1469">
          <cell r="B1469" t="b">
            <v>1</v>
          </cell>
          <cell r="E1469" t="str">
            <v>Nelson Mandela UPA</v>
          </cell>
          <cell r="H1469" t="str">
            <v>laboratorio</v>
          </cell>
          <cell r="J1469" t="str">
            <v>bueno</v>
          </cell>
          <cell r="K1469" t="str">
            <v>defsi</v>
          </cell>
        </row>
        <row r="1470">
          <cell r="B1470" t="b">
            <v>1</v>
          </cell>
          <cell r="E1470" t="str">
            <v>Nelson Mandela UPA</v>
          </cell>
          <cell r="H1470" t="str">
            <v>urgencia</v>
          </cell>
          <cell r="J1470" t="str">
            <v>bueno</v>
          </cell>
          <cell r="K1470" t="str">
            <v>defsi</v>
          </cell>
        </row>
        <row r="1471">
          <cell r="B1471" t="b">
            <v>1</v>
          </cell>
          <cell r="E1471" t="str">
            <v>Nelson Mandela UPA</v>
          </cell>
          <cell r="H1471" t="str">
            <v>consulta_externa</v>
          </cell>
          <cell r="J1471" t="str">
            <v>bueno</v>
          </cell>
          <cell r="K1471" t="str">
            <v>defsi</v>
          </cell>
        </row>
        <row r="1472">
          <cell r="B1472" t="b">
            <v>1</v>
          </cell>
          <cell r="E1472" t="str">
            <v>Nelson Mandela UPA</v>
          </cell>
          <cell r="H1472" t="str">
            <v>salud_oral</v>
          </cell>
          <cell r="J1472" t="str">
            <v>bueno</v>
          </cell>
          <cell r="K1472" t="str">
            <v>defsi</v>
          </cell>
        </row>
        <row r="1473">
          <cell r="B1473" t="b">
            <v>1</v>
          </cell>
          <cell r="E1473" t="str">
            <v>Nelson Mandela UPA</v>
          </cell>
          <cell r="H1473" t="str">
            <v>laboratorio</v>
          </cell>
          <cell r="J1473" t="str">
            <v>bueno</v>
          </cell>
          <cell r="K1473" t="str">
            <v>defsi</v>
          </cell>
        </row>
        <row r="1474">
          <cell r="B1474" t="b">
            <v>1</v>
          </cell>
          <cell r="E1474" t="str">
            <v>Nelson Mandela UPA</v>
          </cell>
          <cell r="H1474" t="str">
            <v>urgencia</v>
          </cell>
          <cell r="J1474" t="str">
            <v>bueno</v>
          </cell>
          <cell r="K1474" t="str">
            <v>defsi</v>
          </cell>
        </row>
        <row r="1475">
          <cell r="B1475" t="b">
            <v>1</v>
          </cell>
          <cell r="E1475" t="str">
            <v>Nelson Mandela UPA</v>
          </cell>
          <cell r="H1475" t="str">
            <v>consulta_externa</v>
          </cell>
          <cell r="J1475" t="str">
            <v>bueno</v>
          </cell>
          <cell r="K1475" t="str">
            <v>defsi</v>
          </cell>
        </row>
        <row r="1476">
          <cell r="B1476" t="b">
            <v>1</v>
          </cell>
          <cell r="E1476" t="str">
            <v>Nelson Mandela UPA</v>
          </cell>
          <cell r="H1476" t="str">
            <v>salud_oral</v>
          </cell>
          <cell r="J1476" t="str">
            <v>bueno</v>
          </cell>
          <cell r="K1476" t="str">
            <v>defsi</v>
          </cell>
        </row>
        <row r="1477">
          <cell r="B1477" t="b">
            <v>1</v>
          </cell>
          <cell r="E1477" t="str">
            <v>Nelson Mandela UPA</v>
          </cell>
          <cell r="H1477" t="str">
            <v>laboratorio</v>
          </cell>
          <cell r="J1477" t="str">
            <v>bueno</v>
          </cell>
          <cell r="K1477" t="str">
            <v>defsi</v>
          </cell>
        </row>
        <row r="1478">
          <cell r="B1478" t="b">
            <v>1</v>
          </cell>
          <cell r="E1478" t="str">
            <v>San Vicente de Paul</v>
          </cell>
          <cell r="H1478" t="str">
            <v>consulta_externa</v>
          </cell>
          <cell r="J1478" t="str">
            <v>bueno</v>
          </cell>
          <cell r="K1478" t="str">
            <v>probsi</v>
          </cell>
        </row>
        <row r="1479">
          <cell r="B1479" t="b">
            <v>1</v>
          </cell>
          <cell r="E1479" t="str">
            <v>Bayunca</v>
          </cell>
          <cell r="H1479" t="str">
            <v>consulta_externa</v>
          </cell>
          <cell r="J1479" t="str">
            <v>bueno</v>
          </cell>
          <cell r="K1479" t="str">
            <v>defsi</v>
          </cell>
        </row>
        <row r="1480">
          <cell r="B1480" t="b">
            <v>1</v>
          </cell>
          <cell r="E1480" t="str">
            <v>San Vicente de Paul</v>
          </cell>
          <cell r="H1480" t="str">
            <v>salud_oral</v>
          </cell>
          <cell r="J1480" t="str">
            <v>muybueno</v>
          </cell>
          <cell r="K1480" t="str">
            <v>probsi</v>
          </cell>
        </row>
        <row r="1481">
          <cell r="B1481" t="b">
            <v>1</v>
          </cell>
          <cell r="E1481" t="str">
            <v>San Vicente de Paul</v>
          </cell>
          <cell r="H1481" t="str">
            <v>consulta_externa</v>
          </cell>
          <cell r="J1481" t="str">
            <v>muybueno</v>
          </cell>
          <cell r="K1481" t="str">
            <v>probsi</v>
          </cell>
        </row>
        <row r="1482">
          <cell r="B1482" t="b">
            <v>1</v>
          </cell>
          <cell r="E1482" t="str">
            <v>Bayunca</v>
          </cell>
          <cell r="H1482" t="str">
            <v>salud_oral</v>
          </cell>
          <cell r="J1482" t="str">
            <v>bueno</v>
          </cell>
          <cell r="K1482" t="str">
            <v>defsi</v>
          </cell>
        </row>
        <row r="1483">
          <cell r="B1483" t="b">
            <v>1</v>
          </cell>
          <cell r="E1483" t="str">
            <v>San Vicente de Paul</v>
          </cell>
          <cell r="H1483" t="str">
            <v>consulta_externa</v>
          </cell>
          <cell r="J1483" t="str">
            <v>bueno</v>
          </cell>
          <cell r="K1483" t="str">
            <v>probsi</v>
          </cell>
        </row>
        <row r="1484">
          <cell r="B1484" t="b">
            <v>1</v>
          </cell>
          <cell r="E1484" t="str">
            <v>San Vicente de Paul</v>
          </cell>
          <cell r="H1484" t="str">
            <v>salud_oral</v>
          </cell>
          <cell r="J1484" t="str">
            <v>bueno</v>
          </cell>
          <cell r="K1484" t="str">
            <v>probsi</v>
          </cell>
        </row>
        <row r="1485">
          <cell r="B1485" t="b">
            <v>1</v>
          </cell>
          <cell r="E1485" t="str">
            <v>Bayunca</v>
          </cell>
          <cell r="H1485" t="str">
            <v>laboratorio</v>
          </cell>
          <cell r="J1485" t="str">
            <v>bueno</v>
          </cell>
          <cell r="K1485" t="str">
            <v>defsi</v>
          </cell>
        </row>
        <row r="1486">
          <cell r="B1486" t="b">
            <v>1</v>
          </cell>
          <cell r="E1486" t="str">
            <v>Bayunca</v>
          </cell>
          <cell r="H1486" t="str">
            <v>urgencia</v>
          </cell>
          <cell r="J1486" t="str">
            <v>bueno</v>
          </cell>
          <cell r="K1486" t="str">
            <v>defsi</v>
          </cell>
        </row>
        <row r="1487">
          <cell r="B1487" t="b">
            <v>1</v>
          </cell>
          <cell r="E1487" t="str">
            <v>Isla Fuerte</v>
          </cell>
          <cell r="H1487" t="str">
            <v>consulta_externa</v>
          </cell>
          <cell r="J1487" t="str">
            <v>muybueno</v>
          </cell>
          <cell r="K1487" t="str">
            <v>defsi</v>
          </cell>
        </row>
        <row r="1488">
          <cell r="B1488" t="b">
            <v>1</v>
          </cell>
          <cell r="E1488" t="str">
            <v>Isla Fuerte</v>
          </cell>
          <cell r="H1488" t="str">
            <v>salud_oral</v>
          </cell>
          <cell r="J1488" t="str">
            <v>muybueno</v>
          </cell>
          <cell r="K1488" t="str">
            <v>defsi</v>
          </cell>
        </row>
        <row r="1489">
          <cell r="B1489" t="b">
            <v>1</v>
          </cell>
          <cell r="E1489" t="str">
            <v>Bayunca</v>
          </cell>
          <cell r="H1489" t="str">
            <v>consulta_externa</v>
          </cell>
          <cell r="J1489" t="str">
            <v>bueno</v>
          </cell>
          <cell r="K1489" t="str">
            <v>defsi</v>
          </cell>
        </row>
        <row r="1490">
          <cell r="B1490" t="b">
            <v>1</v>
          </cell>
          <cell r="E1490" t="str">
            <v>Isla Fuerte</v>
          </cell>
          <cell r="H1490" t="str">
            <v>salud_oral</v>
          </cell>
          <cell r="J1490" t="str">
            <v>muybueno</v>
          </cell>
          <cell r="K1490" t="str">
            <v>defsi</v>
          </cell>
        </row>
        <row r="1491">
          <cell r="B1491" t="b">
            <v>1</v>
          </cell>
          <cell r="E1491" t="str">
            <v>Bayunca</v>
          </cell>
          <cell r="H1491" t="str">
            <v>salud_oral</v>
          </cell>
          <cell r="J1491" t="str">
            <v>bueno</v>
          </cell>
          <cell r="K1491" t="str">
            <v>defsi</v>
          </cell>
        </row>
        <row r="1492">
          <cell r="B1492" t="b">
            <v>1</v>
          </cell>
          <cell r="E1492" t="str">
            <v>Bayunca</v>
          </cell>
          <cell r="H1492" t="str">
            <v>laboratorio</v>
          </cell>
          <cell r="J1492" t="str">
            <v>bueno</v>
          </cell>
          <cell r="K1492" t="str">
            <v>defsi</v>
          </cell>
        </row>
        <row r="1493">
          <cell r="B1493" t="b">
            <v>1</v>
          </cell>
          <cell r="E1493" t="str">
            <v>Bayunca</v>
          </cell>
          <cell r="H1493" t="str">
            <v>urgencia</v>
          </cell>
          <cell r="J1493" t="str">
            <v>bueno</v>
          </cell>
          <cell r="K1493" t="str">
            <v>defsi</v>
          </cell>
        </row>
        <row r="1494">
          <cell r="B1494" t="b">
            <v>1</v>
          </cell>
          <cell r="E1494" t="str">
            <v>San Vicente de Paul</v>
          </cell>
          <cell r="H1494" t="str">
            <v>consulta_externa</v>
          </cell>
          <cell r="J1494" t="str">
            <v>muybueno</v>
          </cell>
          <cell r="K1494" t="str">
            <v>probsi</v>
          </cell>
        </row>
        <row r="1495">
          <cell r="B1495" t="b">
            <v>1</v>
          </cell>
          <cell r="E1495" t="str">
            <v>San Vicente de Paul</v>
          </cell>
          <cell r="H1495" t="str">
            <v>salud_oral</v>
          </cell>
          <cell r="J1495" t="str">
            <v>muybueno</v>
          </cell>
          <cell r="K1495" t="str">
            <v>probsi</v>
          </cell>
        </row>
        <row r="1496">
          <cell r="B1496" t="b">
            <v>1</v>
          </cell>
          <cell r="E1496" t="str">
            <v>San Vicente de Paul</v>
          </cell>
          <cell r="H1496" t="str">
            <v>consulta_externa</v>
          </cell>
          <cell r="J1496" t="str">
            <v>muybueno</v>
          </cell>
          <cell r="K1496" t="str">
            <v>probsi</v>
          </cell>
        </row>
        <row r="1497">
          <cell r="B1497" t="b">
            <v>1</v>
          </cell>
          <cell r="E1497" t="str">
            <v>San Vicente de Paul</v>
          </cell>
          <cell r="H1497" t="str">
            <v>laboratorio</v>
          </cell>
          <cell r="J1497" t="str">
            <v>muybueno</v>
          </cell>
          <cell r="K1497" t="str">
            <v>probsi</v>
          </cell>
        </row>
        <row r="1498">
          <cell r="B1498" t="b">
            <v>1</v>
          </cell>
          <cell r="E1498" t="str">
            <v>Bayunca</v>
          </cell>
          <cell r="H1498" t="str">
            <v>consulta_externa</v>
          </cell>
          <cell r="J1498" t="str">
            <v>bueno</v>
          </cell>
          <cell r="K1498" t="str">
            <v>defsi</v>
          </cell>
        </row>
        <row r="1499">
          <cell r="B1499" t="b">
            <v>1</v>
          </cell>
          <cell r="E1499" t="str">
            <v>Bayunca</v>
          </cell>
          <cell r="H1499" t="str">
            <v>salud_oral</v>
          </cell>
          <cell r="J1499" t="str">
            <v>bueno</v>
          </cell>
          <cell r="K1499" t="str">
            <v>defsi</v>
          </cell>
        </row>
        <row r="1500">
          <cell r="B1500" t="b">
            <v>1</v>
          </cell>
          <cell r="E1500" t="str">
            <v>Bayunca</v>
          </cell>
          <cell r="H1500" t="str">
            <v>laboratorio</v>
          </cell>
          <cell r="J1500" t="str">
            <v>bueno</v>
          </cell>
          <cell r="K1500" t="str">
            <v>defsi</v>
          </cell>
        </row>
        <row r="1501">
          <cell r="B1501" t="b">
            <v>1</v>
          </cell>
          <cell r="E1501" t="str">
            <v>Bayunca</v>
          </cell>
          <cell r="H1501" t="str">
            <v>urgencia</v>
          </cell>
          <cell r="J1501" t="str">
            <v>bueno</v>
          </cell>
          <cell r="K1501" t="str">
            <v>defsi</v>
          </cell>
        </row>
        <row r="1502">
          <cell r="B1502" t="b">
            <v>1</v>
          </cell>
          <cell r="E1502" t="str">
            <v>San Vicente de Paul</v>
          </cell>
          <cell r="H1502" t="str">
            <v>salud_oral</v>
          </cell>
          <cell r="J1502" t="str">
            <v>bueno</v>
          </cell>
          <cell r="K1502" t="str">
            <v>probsi</v>
          </cell>
        </row>
        <row r="1503">
          <cell r="B1503" t="b">
            <v>0</v>
          </cell>
          <cell r="E1503" t="str">
            <v>Isla Fuerte</v>
          </cell>
          <cell r="H1503" t="str">
            <v>consulta_externa</v>
          </cell>
          <cell r="J1503" t="str">
            <v>malo</v>
          </cell>
          <cell r="K1503" t="str">
            <v>defsi</v>
          </cell>
        </row>
        <row r="1504">
          <cell r="B1504" t="b">
            <v>1</v>
          </cell>
          <cell r="E1504" t="str">
            <v>Bayunca</v>
          </cell>
          <cell r="H1504" t="str">
            <v>consulta_externa</v>
          </cell>
          <cell r="J1504" t="str">
            <v>bueno</v>
          </cell>
          <cell r="K1504" t="str">
            <v>defsi</v>
          </cell>
        </row>
        <row r="1505">
          <cell r="B1505" t="b">
            <v>1</v>
          </cell>
          <cell r="E1505" t="str">
            <v>Bayunca</v>
          </cell>
          <cell r="H1505" t="str">
            <v>salud_oral</v>
          </cell>
          <cell r="J1505" t="str">
            <v>bueno</v>
          </cell>
          <cell r="K1505" t="str">
            <v>defsi</v>
          </cell>
        </row>
        <row r="1506">
          <cell r="B1506" t="b">
            <v>1</v>
          </cell>
          <cell r="E1506" t="str">
            <v>Bayunca</v>
          </cell>
          <cell r="H1506" t="str">
            <v>laboratorio</v>
          </cell>
          <cell r="J1506" t="str">
            <v>bueno</v>
          </cell>
          <cell r="K1506" t="str">
            <v>defsi</v>
          </cell>
        </row>
        <row r="1507">
          <cell r="B1507" t="b">
            <v>1</v>
          </cell>
          <cell r="E1507" t="str">
            <v>Bayunca</v>
          </cell>
          <cell r="H1507" t="str">
            <v>urgencia</v>
          </cell>
          <cell r="J1507" t="str">
            <v>bueno</v>
          </cell>
          <cell r="K1507" t="str">
            <v>defsi</v>
          </cell>
        </row>
        <row r="1508">
          <cell r="B1508" t="b">
            <v>1</v>
          </cell>
          <cell r="E1508" t="str">
            <v>Bayunca</v>
          </cell>
          <cell r="H1508" t="str">
            <v>consulta_externa</v>
          </cell>
          <cell r="J1508" t="str">
            <v>bueno</v>
          </cell>
          <cell r="K1508" t="str">
            <v>defsi</v>
          </cell>
        </row>
        <row r="1509">
          <cell r="B1509" t="b">
            <v>1</v>
          </cell>
          <cell r="E1509" t="str">
            <v>Bayunca</v>
          </cell>
          <cell r="H1509" t="str">
            <v>salud_oral</v>
          </cell>
          <cell r="J1509" t="str">
            <v>bueno</v>
          </cell>
          <cell r="K1509" t="str">
            <v>defsi</v>
          </cell>
        </row>
        <row r="1510">
          <cell r="B1510" t="b">
            <v>1</v>
          </cell>
          <cell r="E1510" t="str">
            <v>Bayunca</v>
          </cell>
          <cell r="H1510" t="str">
            <v>laboratorio</v>
          </cell>
          <cell r="J1510" t="str">
            <v>bueno</v>
          </cell>
          <cell r="K1510" t="str">
            <v>defsi</v>
          </cell>
        </row>
        <row r="1511">
          <cell r="B1511" t="b">
            <v>1</v>
          </cell>
          <cell r="E1511" t="str">
            <v>Bayunca</v>
          </cell>
          <cell r="H1511" t="str">
            <v>urgencia</v>
          </cell>
          <cell r="J1511" t="str">
            <v>bueno</v>
          </cell>
          <cell r="K1511" t="str">
            <v>defsi</v>
          </cell>
        </row>
        <row r="1512">
          <cell r="B1512" t="b">
            <v>1</v>
          </cell>
          <cell r="E1512" t="str">
            <v>Isla Fuerte</v>
          </cell>
          <cell r="H1512" t="str">
            <v>salud_oral</v>
          </cell>
          <cell r="J1512" t="str">
            <v>muybueno</v>
          </cell>
          <cell r="K1512" t="str">
            <v>defsi</v>
          </cell>
        </row>
        <row r="1513">
          <cell r="B1513" t="b">
            <v>1</v>
          </cell>
          <cell r="E1513" t="str">
            <v>Bayunca</v>
          </cell>
          <cell r="H1513" t="str">
            <v>consulta_externa</v>
          </cell>
          <cell r="J1513" t="str">
            <v>bueno</v>
          </cell>
          <cell r="K1513" t="str">
            <v>defsi</v>
          </cell>
        </row>
        <row r="1514">
          <cell r="B1514" t="b">
            <v>1</v>
          </cell>
          <cell r="E1514" t="str">
            <v>Isla Fuerte</v>
          </cell>
          <cell r="H1514" t="str">
            <v>consulta_externa</v>
          </cell>
          <cell r="J1514" t="str">
            <v>muybueno</v>
          </cell>
          <cell r="K1514" t="str">
            <v>defsi</v>
          </cell>
        </row>
        <row r="1515">
          <cell r="B1515" t="b">
            <v>1</v>
          </cell>
          <cell r="E1515" t="str">
            <v>Bayunca</v>
          </cell>
          <cell r="H1515" t="str">
            <v>salud_oral</v>
          </cell>
          <cell r="J1515" t="str">
            <v>bueno</v>
          </cell>
          <cell r="K1515" t="str">
            <v>defsi</v>
          </cell>
        </row>
        <row r="1516">
          <cell r="B1516" t="b">
            <v>1</v>
          </cell>
          <cell r="E1516" t="str">
            <v>Isla Fuerte</v>
          </cell>
          <cell r="H1516" t="str">
            <v>consulta_externa</v>
          </cell>
          <cell r="J1516" t="str">
            <v>muybueno</v>
          </cell>
          <cell r="K1516" t="str">
            <v>defsi</v>
          </cell>
        </row>
        <row r="1517">
          <cell r="B1517" t="b">
            <v>1</v>
          </cell>
          <cell r="E1517" t="str">
            <v>San Vicente de Paul</v>
          </cell>
          <cell r="H1517" t="str">
            <v>consulta_externa</v>
          </cell>
          <cell r="J1517" t="str">
            <v>bueno</v>
          </cell>
          <cell r="K1517" t="str">
            <v>probsi</v>
          </cell>
        </row>
        <row r="1518">
          <cell r="B1518" t="b">
            <v>1</v>
          </cell>
          <cell r="E1518" t="str">
            <v>San Vicente de Paul</v>
          </cell>
          <cell r="H1518" t="str">
            <v>salud_oral</v>
          </cell>
          <cell r="J1518" t="str">
            <v>muybueno</v>
          </cell>
          <cell r="K1518" t="str">
            <v>probsi</v>
          </cell>
        </row>
        <row r="1519">
          <cell r="B1519" t="b">
            <v>1</v>
          </cell>
          <cell r="E1519" t="str">
            <v>San Vicente de Paul</v>
          </cell>
          <cell r="H1519" t="str">
            <v>laboratorio</v>
          </cell>
          <cell r="J1519" t="str">
            <v>bueno</v>
          </cell>
          <cell r="K1519" t="str">
            <v>probsi</v>
          </cell>
        </row>
        <row r="1520">
          <cell r="B1520" t="b">
            <v>1</v>
          </cell>
          <cell r="E1520" t="str">
            <v>Socorro</v>
          </cell>
          <cell r="H1520" t="str">
            <v>consulta_externa</v>
          </cell>
          <cell r="J1520" t="str">
            <v>bueno</v>
          </cell>
          <cell r="K1520" t="str">
            <v>defsi</v>
          </cell>
        </row>
        <row r="1521">
          <cell r="B1521" t="b">
            <v>1</v>
          </cell>
          <cell r="E1521" t="str">
            <v>San Vicente de Paul</v>
          </cell>
          <cell r="H1521" t="str">
            <v>laboratorio</v>
          </cell>
          <cell r="J1521" t="str">
            <v>bueno</v>
          </cell>
          <cell r="K1521" t="str">
            <v>probsi</v>
          </cell>
        </row>
        <row r="1522">
          <cell r="B1522" t="b">
            <v>1</v>
          </cell>
          <cell r="E1522" t="str">
            <v>Socorro</v>
          </cell>
          <cell r="H1522" t="str">
            <v>consulta_externa</v>
          </cell>
          <cell r="J1522" t="str">
            <v>bueno</v>
          </cell>
          <cell r="K1522" t="str">
            <v>defsi</v>
          </cell>
        </row>
        <row r="1523">
          <cell r="B1523" t="b">
            <v>1</v>
          </cell>
          <cell r="E1523" t="str">
            <v>Socorro</v>
          </cell>
          <cell r="H1523" t="str">
            <v>salud_oral</v>
          </cell>
          <cell r="J1523" t="str">
            <v>bueno</v>
          </cell>
          <cell r="K1523" t="str">
            <v>defsi</v>
          </cell>
        </row>
        <row r="1524">
          <cell r="B1524" t="b">
            <v>1</v>
          </cell>
          <cell r="E1524" t="str">
            <v>Socorro</v>
          </cell>
          <cell r="H1524" t="str">
            <v>laboratorio</v>
          </cell>
          <cell r="J1524" t="str">
            <v>bueno</v>
          </cell>
          <cell r="K1524" t="str">
            <v>defsi</v>
          </cell>
        </row>
        <row r="1525">
          <cell r="B1525" t="b">
            <v>1</v>
          </cell>
          <cell r="E1525" t="str">
            <v>Isla Fuerte</v>
          </cell>
          <cell r="H1525" t="str">
            <v>consulta_externa</v>
          </cell>
          <cell r="J1525" t="str">
            <v>muybueno</v>
          </cell>
          <cell r="K1525" t="str">
            <v>defsi</v>
          </cell>
        </row>
        <row r="1526">
          <cell r="B1526" t="b">
            <v>1</v>
          </cell>
          <cell r="E1526" t="str">
            <v>Isla Fuerte</v>
          </cell>
          <cell r="H1526" t="str">
            <v>salud_oral</v>
          </cell>
          <cell r="J1526" t="str">
            <v>muybueno</v>
          </cell>
          <cell r="K1526" t="str">
            <v>defsi</v>
          </cell>
        </row>
        <row r="1527">
          <cell r="B1527" t="b">
            <v>1</v>
          </cell>
          <cell r="E1527" t="str">
            <v>San Vicente de Paul</v>
          </cell>
          <cell r="H1527" t="str">
            <v>consulta_externa</v>
          </cell>
          <cell r="J1527" t="str">
            <v>bueno</v>
          </cell>
          <cell r="K1527" t="str">
            <v>probsi</v>
          </cell>
        </row>
        <row r="1528">
          <cell r="B1528" t="b">
            <v>1</v>
          </cell>
          <cell r="E1528" t="str">
            <v>Socorro</v>
          </cell>
          <cell r="H1528" t="str">
            <v>consulta_externa</v>
          </cell>
          <cell r="J1528" t="str">
            <v>bueno</v>
          </cell>
          <cell r="K1528" t="str">
            <v>defsi</v>
          </cell>
        </row>
        <row r="1529">
          <cell r="B1529" t="b">
            <v>1</v>
          </cell>
          <cell r="E1529" t="str">
            <v>San Vicente de Paul</v>
          </cell>
          <cell r="H1529" t="str">
            <v>consulta_externa</v>
          </cell>
          <cell r="J1529" t="str">
            <v>bueno</v>
          </cell>
          <cell r="K1529" t="str">
            <v>probsi</v>
          </cell>
        </row>
        <row r="1530">
          <cell r="B1530" t="b">
            <v>1</v>
          </cell>
          <cell r="E1530" t="str">
            <v>San Vicente de Paul</v>
          </cell>
          <cell r="H1530" t="str">
            <v>salud_oral</v>
          </cell>
          <cell r="J1530" t="str">
            <v>bueno</v>
          </cell>
          <cell r="K1530" t="str">
            <v>probsi</v>
          </cell>
        </row>
        <row r="1531">
          <cell r="B1531" t="b">
            <v>1</v>
          </cell>
          <cell r="E1531" t="str">
            <v>San Vicente de Paul</v>
          </cell>
          <cell r="H1531" t="str">
            <v>salud_oral</v>
          </cell>
          <cell r="J1531" t="str">
            <v>bueno</v>
          </cell>
          <cell r="K1531" t="str">
            <v>probsi</v>
          </cell>
        </row>
        <row r="1532">
          <cell r="B1532" t="b">
            <v>1</v>
          </cell>
          <cell r="E1532" t="str">
            <v>Socorro</v>
          </cell>
          <cell r="H1532" t="str">
            <v>salud_oral</v>
          </cell>
          <cell r="J1532" t="str">
            <v>bueno</v>
          </cell>
          <cell r="K1532" t="str">
            <v>defsi</v>
          </cell>
        </row>
        <row r="1533">
          <cell r="B1533" t="b">
            <v>1</v>
          </cell>
          <cell r="E1533" t="str">
            <v>San Vicente de Paul</v>
          </cell>
          <cell r="H1533" t="str">
            <v>laboratorio</v>
          </cell>
          <cell r="J1533" t="str">
            <v>bueno</v>
          </cell>
          <cell r="K1533" t="str">
            <v>probsi</v>
          </cell>
        </row>
        <row r="1534">
          <cell r="B1534" t="b">
            <v>1</v>
          </cell>
          <cell r="E1534" t="str">
            <v>San Vicente de Paul</v>
          </cell>
          <cell r="H1534" t="str">
            <v>laboratorio</v>
          </cell>
          <cell r="J1534" t="str">
            <v>bueno</v>
          </cell>
          <cell r="K1534" t="str">
            <v>probsi</v>
          </cell>
        </row>
        <row r="1535">
          <cell r="B1535" t="b">
            <v>1</v>
          </cell>
          <cell r="E1535" t="str">
            <v>Socorro</v>
          </cell>
          <cell r="H1535" t="str">
            <v>salud_oral</v>
          </cell>
          <cell r="J1535" t="str">
            <v>bueno</v>
          </cell>
          <cell r="K1535" t="str">
            <v>defsi</v>
          </cell>
        </row>
        <row r="1536">
          <cell r="B1536" t="b">
            <v>1</v>
          </cell>
          <cell r="E1536" t="str">
            <v>San Vicente de Paul</v>
          </cell>
          <cell r="H1536" t="str">
            <v>laboratorio</v>
          </cell>
          <cell r="J1536" t="str">
            <v>bueno</v>
          </cell>
          <cell r="K1536" t="str">
            <v>probsi</v>
          </cell>
        </row>
        <row r="1537">
          <cell r="B1537" t="b">
            <v>1</v>
          </cell>
          <cell r="E1537" t="str">
            <v>San Vicente de Paul</v>
          </cell>
          <cell r="H1537" t="str">
            <v>laboratorio</v>
          </cell>
          <cell r="J1537" t="str">
            <v>bueno</v>
          </cell>
          <cell r="K1537" t="str">
            <v>probsi</v>
          </cell>
        </row>
        <row r="1538">
          <cell r="B1538" t="b">
            <v>1</v>
          </cell>
          <cell r="E1538" t="str">
            <v>Socorro</v>
          </cell>
          <cell r="H1538" t="str">
            <v>salud_oral</v>
          </cell>
          <cell r="J1538" t="str">
            <v>bueno</v>
          </cell>
          <cell r="K1538" t="str">
            <v>defsi</v>
          </cell>
        </row>
        <row r="1539">
          <cell r="B1539" t="b">
            <v>1</v>
          </cell>
          <cell r="E1539" t="str">
            <v>Socorro</v>
          </cell>
          <cell r="H1539" t="str">
            <v>salud_oral</v>
          </cell>
          <cell r="J1539" t="str">
            <v>bueno</v>
          </cell>
          <cell r="K1539" t="str">
            <v>defsi</v>
          </cell>
        </row>
        <row r="1540">
          <cell r="B1540" t="b">
            <v>1</v>
          </cell>
          <cell r="E1540" t="str">
            <v>Socorro</v>
          </cell>
          <cell r="H1540" t="str">
            <v>consulta_externa</v>
          </cell>
          <cell r="J1540" t="str">
            <v>bueno</v>
          </cell>
          <cell r="K1540" t="str">
            <v>defsi</v>
          </cell>
        </row>
        <row r="1541">
          <cell r="B1541" t="b">
            <v>1</v>
          </cell>
          <cell r="E1541" t="str">
            <v>Socorro</v>
          </cell>
          <cell r="H1541" t="str">
            <v>consulta_externa</v>
          </cell>
          <cell r="J1541" t="str">
            <v>bueno</v>
          </cell>
          <cell r="K1541" t="str">
            <v>defsi</v>
          </cell>
        </row>
        <row r="1542">
          <cell r="B1542" t="b">
            <v>1</v>
          </cell>
          <cell r="E1542" t="str">
            <v>Socorro</v>
          </cell>
          <cell r="H1542" t="str">
            <v>laboratorio</v>
          </cell>
          <cell r="J1542" t="str">
            <v>bueno</v>
          </cell>
          <cell r="K1542" t="str">
            <v>defsi</v>
          </cell>
        </row>
        <row r="1543">
          <cell r="B1543" t="b">
            <v>1</v>
          </cell>
          <cell r="E1543" t="str">
            <v>Socorro</v>
          </cell>
          <cell r="H1543" t="str">
            <v>laboratorio</v>
          </cell>
          <cell r="J1543" t="str">
            <v>bueno</v>
          </cell>
          <cell r="K1543" t="str">
            <v>defsi</v>
          </cell>
        </row>
        <row r="1544">
          <cell r="B1544" t="b">
            <v>1</v>
          </cell>
          <cell r="E1544" t="str">
            <v>Socorro</v>
          </cell>
          <cell r="H1544" t="str">
            <v>consulta_externa</v>
          </cell>
          <cell r="J1544" t="str">
            <v>bueno</v>
          </cell>
          <cell r="K1544" t="str">
            <v>defsi</v>
          </cell>
        </row>
        <row r="1545">
          <cell r="B1545" t="b">
            <v>1</v>
          </cell>
          <cell r="E1545" t="str">
            <v>Socorro</v>
          </cell>
          <cell r="H1545" t="str">
            <v>salud_oral</v>
          </cell>
          <cell r="J1545" t="str">
            <v>bueno</v>
          </cell>
          <cell r="K1545" t="str">
            <v>defsi</v>
          </cell>
        </row>
        <row r="1546">
          <cell r="B1546" t="b">
            <v>1</v>
          </cell>
          <cell r="E1546" t="str">
            <v>Socorro</v>
          </cell>
          <cell r="H1546" t="str">
            <v>salud_oral</v>
          </cell>
          <cell r="J1546" t="str">
            <v>bueno</v>
          </cell>
          <cell r="K1546" t="str">
            <v>defsi</v>
          </cell>
        </row>
        <row r="1547">
          <cell r="B1547" t="b">
            <v>1</v>
          </cell>
          <cell r="E1547" t="str">
            <v>San Vicente de Paul</v>
          </cell>
          <cell r="H1547" t="str">
            <v>consulta_externa</v>
          </cell>
          <cell r="J1547" t="str">
            <v>bueno</v>
          </cell>
          <cell r="K1547" t="str">
            <v>probsi</v>
          </cell>
        </row>
        <row r="1548">
          <cell r="B1548" t="b">
            <v>1</v>
          </cell>
          <cell r="E1548" t="str">
            <v>Socorro</v>
          </cell>
          <cell r="H1548" t="str">
            <v>consulta_externa</v>
          </cell>
          <cell r="J1548" t="str">
            <v>bueno</v>
          </cell>
          <cell r="K1548" t="str">
            <v>defsi</v>
          </cell>
        </row>
        <row r="1549">
          <cell r="B1549" t="b">
            <v>1</v>
          </cell>
          <cell r="E1549" t="str">
            <v>Socorro</v>
          </cell>
          <cell r="H1549" t="str">
            <v>consulta_externa</v>
          </cell>
          <cell r="J1549" t="str">
            <v>bueno</v>
          </cell>
          <cell r="K1549" t="str">
            <v>defsi</v>
          </cell>
        </row>
        <row r="1550">
          <cell r="B1550" t="b">
            <v>1</v>
          </cell>
          <cell r="E1550" t="str">
            <v>Socorro</v>
          </cell>
          <cell r="H1550" t="str">
            <v>salud_oral</v>
          </cell>
          <cell r="J1550" t="str">
            <v>bueno</v>
          </cell>
          <cell r="K1550" t="str">
            <v>defsi</v>
          </cell>
        </row>
        <row r="1551">
          <cell r="B1551" t="b">
            <v>1</v>
          </cell>
          <cell r="E1551" t="str">
            <v>Socorro</v>
          </cell>
          <cell r="H1551" t="str">
            <v>laboratorio</v>
          </cell>
          <cell r="J1551" t="str">
            <v>bueno</v>
          </cell>
          <cell r="K1551" t="str">
            <v>defsi</v>
          </cell>
        </row>
        <row r="1552">
          <cell r="B1552" t="b">
            <v>1</v>
          </cell>
          <cell r="E1552" t="str">
            <v>Socorro</v>
          </cell>
          <cell r="H1552" t="str">
            <v>laboratorio</v>
          </cell>
          <cell r="J1552" t="str">
            <v>bueno</v>
          </cell>
          <cell r="K1552" t="str">
            <v>defsi</v>
          </cell>
        </row>
        <row r="1553">
          <cell r="B1553" t="b">
            <v>1</v>
          </cell>
          <cell r="E1553" t="str">
            <v>San Vicente de Paul</v>
          </cell>
          <cell r="H1553" t="str">
            <v>salud_oral</v>
          </cell>
          <cell r="J1553" t="str">
            <v>bueno</v>
          </cell>
          <cell r="K1553" t="str">
            <v>probsi</v>
          </cell>
        </row>
        <row r="1554">
          <cell r="B1554" t="b">
            <v>1</v>
          </cell>
          <cell r="E1554" t="str">
            <v>San Vicente de Paul</v>
          </cell>
          <cell r="H1554" t="str">
            <v>consulta_externa</v>
          </cell>
          <cell r="J1554" t="str">
            <v>bueno</v>
          </cell>
          <cell r="K1554" t="str">
            <v>probsi</v>
          </cell>
        </row>
        <row r="1555">
          <cell r="B1555" t="b">
            <v>1</v>
          </cell>
          <cell r="E1555" t="str">
            <v>San Vicente de Paul</v>
          </cell>
          <cell r="H1555" t="str">
            <v>laboratorio</v>
          </cell>
          <cell r="J1555" t="str">
            <v>bueno</v>
          </cell>
          <cell r="K1555" t="str">
            <v>probsi</v>
          </cell>
        </row>
        <row r="1556">
          <cell r="B1556" t="b">
            <v>1</v>
          </cell>
          <cell r="E1556" t="str">
            <v>Socorro</v>
          </cell>
          <cell r="H1556" t="str">
            <v>consulta_externa</v>
          </cell>
          <cell r="J1556" t="str">
            <v>bueno</v>
          </cell>
          <cell r="K1556" t="str">
            <v>defsi</v>
          </cell>
        </row>
        <row r="1557">
          <cell r="B1557" t="b">
            <v>1</v>
          </cell>
          <cell r="E1557" t="str">
            <v>Socorro</v>
          </cell>
          <cell r="H1557" t="str">
            <v>salud_oral</v>
          </cell>
          <cell r="J1557" t="str">
            <v>bueno</v>
          </cell>
          <cell r="K1557" t="str">
            <v>defsi</v>
          </cell>
        </row>
        <row r="1558">
          <cell r="B1558" t="b">
            <v>1</v>
          </cell>
          <cell r="E1558" t="str">
            <v>Socorro</v>
          </cell>
          <cell r="H1558" t="str">
            <v>laboratorio</v>
          </cell>
          <cell r="J1558" t="str">
            <v>bueno</v>
          </cell>
          <cell r="K1558" t="str">
            <v>defsi</v>
          </cell>
        </row>
        <row r="1559">
          <cell r="B1559" t="b">
            <v>1</v>
          </cell>
          <cell r="E1559" t="str">
            <v>Socorro</v>
          </cell>
          <cell r="H1559" t="str">
            <v>consulta_externa</v>
          </cell>
          <cell r="J1559" t="str">
            <v>bueno</v>
          </cell>
          <cell r="K1559" t="str">
            <v>defsi</v>
          </cell>
        </row>
        <row r="1560">
          <cell r="B1560" t="b">
            <v>1</v>
          </cell>
          <cell r="E1560" t="str">
            <v>Socorro</v>
          </cell>
          <cell r="H1560" t="str">
            <v>laboratorio</v>
          </cell>
          <cell r="J1560" t="str">
            <v>bueno</v>
          </cell>
          <cell r="K1560" t="str">
            <v>defsi</v>
          </cell>
        </row>
        <row r="1561">
          <cell r="B1561" t="b">
            <v>1</v>
          </cell>
          <cell r="E1561" t="str">
            <v>Socorro</v>
          </cell>
          <cell r="H1561" t="str">
            <v>consulta_externa</v>
          </cell>
          <cell r="J1561" t="str">
            <v>bueno</v>
          </cell>
          <cell r="K1561" t="str">
            <v>defsi</v>
          </cell>
        </row>
        <row r="1562">
          <cell r="B1562" t="b">
            <v>1</v>
          </cell>
          <cell r="E1562" t="str">
            <v>Bayunca</v>
          </cell>
          <cell r="H1562" t="str">
            <v>laboratorio</v>
          </cell>
          <cell r="J1562" t="str">
            <v>bueno</v>
          </cell>
          <cell r="K1562" t="str">
            <v>defsi</v>
          </cell>
        </row>
        <row r="1563">
          <cell r="B1563" t="b">
            <v>1</v>
          </cell>
          <cell r="E1563" t="str">
            <v>Bayunca</v>
          </cell>
          <cell r="H1563" t="str">
            <v>urgencia</v>
          </cell>
          <cell r="J1563" t="str">
            <v>bueno</v>
          </cell>
          <cell r="K1563" t="str">
            <v>defsi</v>
          </cell>
        </row>
        <row r="1564">
          <cell r="B1564" t="b">
            <v>1</v>
          </cell>
          <cell r="E1564" t="str">
            <v>Socorro</v>
          </cell>
          <cell r="H1564" t="str">
            <v>consulta_externa</v>
          </cell>
          <cell r="J1564" t="str">
            <v>bueno</v>
          </cell>
          <cell r="K1564" t="str">
            <v>defsi</v>
          </cell>
        </row>
        <row r="1565">
          <cell r="B1565" t="b">
            <v>1</v>
          </cell>
          <cell r="E1565" t="str">
            <v>Isla Fuerte</v>
          </cell>
          <cell r="H1565" t="str">
            <v>consulta_externa</v>
          </cell>
          <cell r="J1565" t="str">
            <v>muybueno</v>
          </cell>
          <cell r="K1565" t="str">
            <v>defsi</v>
          </cell>
        </row>
        <row r="1566">
          <cell r="B1566" t="b">
            <v>1</v>
          </cell>
          <cell r="E1566" t="str">
            <v>Isla Fuerte</v>
          </cell>
          <cell r="H1566" t="str">
            <v>salud_oral</v>
          </cell>
          <cell r="J1566" t="str">
            <v>muybueno</v>
          </cell>
          <cell r="K1566" t="str">
            <v>defsi</v>
          </cell>
        </row>
        <row r="1567">
          <cell r="B1567" t="b">
            <v>1</v>
          </cell>
          <cell r="E1567" t="str">
            <v>Isla Fuerte</v>
          </cell>
          <cell r="H1567" t="str">
            <v>salud_oral</v>
          </cell>
          <cell r="J1567" t="str">
            <v>muybueno</v>
          </cell>
          <cell r="K1567" t="str">
            <v>defsi</v>
          </cell>
        </row>
        <row r="1568">
          <cell r="B1568" t="b">
            <v>1</v>
          </cell>
          <cell r="E1568" t="str">
            <v>Isla Fuerte</v>
          </cell>
          <cell r="H1568" t="str">
            <v>consulta_externa</v>
          </cell>
          <cell r="J1568" t="str">
            <v>muybueno</v>
          </cell>
          <cell r="K1568" t="str">
            <v>defsi</v>
          </cell>
        </row>
        <row r="1569">
          <cell r="B1569" t="b">
            <v>1</v>
          </cell>
          <cell r="E1569" t="str">
            <v>Isla Fuerte</v>
          </cell>
          <cell r="H1569" t="str">
            <v>salud_oral</v>
          </cell>
          <cell r="J1569" t="str">
            <v>muybueno</v>
          </cell>
          <cell r="K1569" t="str">
            <v>defsi</v>
          </cell>
        </row>
        <row r="1570">
          <cell r="B1570" t="b">
            <v>1</v>
          </cell>
          <cell r="E1570" t="str">
            <v>Isla Fuerte</v>
          </cell>
          <cell r="H1570" t="str">
            <v>laboratorio</v>
          </cell>
          <cell r="J1570" t="str">
            <v>muybueno</v>
          </cell>
          <cell r="K1570" t="str">
            <v>defsi</v>
          </cell>
        </row>
        <row r="1571">
          <cell r="B1571" t="b">
            <v>1</v>
          </cell>
          <cell r="E1571" t="str">
            <v>Bayunca</v>
          </cell>
          <cell r="H1571" t="str">
            <v>consulta_externa</v>
          </cell>
          <cell r="J1571" t="str">
            <v>bueno</v>
          </cell>
          <cell r="K1571" t="str">
            <v>defsi</v>
          </cell>
        </row>
        <row r="1572">
          <cell r="B1572" t="b">
            <v>1</v>
          </cell>
          <cell r="E1572" t="str">
            <v>Libano</v>
          </cell>
          <cell r="H1572" t="str">
            <v>consulta_externa</v>
          </cell>
          <cell r="J1572" t="str">
            <v>bueno</v>
          </cell>
          <cell r="K1572" t="str">
            <v>probsi</v>
          </cell>
        </row>
        <row r="1573">
          <cell r="B1573" t="b">
            <v>1</v>
          </cell>
          <cell r="E1573" t="str">
            <v>Libano</v>
          </cell>
          <cell r="H1573" t="str">
            <v>salud_oral</v>
          </cell>
          <cell r="J1573" t="str">
            <v>bueno</v>
          </cell>
          <cell r="K1573" t="str">
            <v>probsi</v>
          </cell>
        </row>
        <row r="1574">
          <cell r="B1574" t="b">
            <v>1</v>
          </cell>
          <cell r="E1574" t="str">
            <v>Libano</v>
          </cell>
          <cell r="H1574" t="str">
            <v>laboratorio</v>
          </cell>
          <cell r="J1574" t="str">
            <v>bueno</v>
          </cell>
          <cell r="K1574" t="str">
            <v>probsi</v>
          </cell>
        </row>
        <row r="1575">
          <cell r="B1575" t="b">
            <v>1</v>
          </cell>
          <cell r="E1575" t="str">
            <v>Libano</v>
          </cell>
          <cell r="H1575" t="str">
            <v>pediatria</v>
          </cell>
          <cell r="J1575" t="str">
            <v>bueno</v>
          </cell>
          <cell r="K1575" t="str">
            <v>probsi</v>
          </cell>
        </row>
        <row r="1576">
          <cell r="B1576" t="b">
            <v>1</v>
          </cell>
          <cell r="E1576" t="str">
            <v>Libano</v>
          </cell>
          <cell r="H1576" t="str">
            <v>consulta_externa</v>
          </cell>
          <cell r="J1576" t="str">
            <v>bueno</v>
          </cell>
          <cell r="K1576" t="str">
            <v>probsi</v>
          </cell>
        </row>
        <row r="1577">
          <cell r="B1577" t="b">
            <v>1</v>
          </cell>
          <cell r="E1577" t="str">
            <v>Libano</v>
          </cell>
          <cell r="H1577" t="str">
            <v>salud_oral</v>
          </cell>
          <cell r="J1577" t="str">
            <v>bueno</v>
          </cell>
          <cell r="K1577" t="str">
            <v>probsi</v>
          </cell>
        </row>
        <row r="1578">
          <cell r="B1578" t="b">
            <v>1</v>
          </cell>
          <cell r="E1578" t="str">
            <v>Libano</v>
          </cell>
          <cell r="H1578" t="str">
            <v>pediatria</v>
          </cell>
          <cell r="J1578" t="str">
            <v>bueno</v>
          </cell>
          <cell r="K1578" t="str">
            <v>probsi</v>
          </cell>
        </row>
        <row r="1579">
          <cell r="B1579" t="b">
            <v>1</v>
          </cell>
          <cell r="E1579" t="str">
            <v>Bayunca</v>
          </cell>
          <cell r="H1579" t="str">
            <v>salud_oral</v>
          </cell>
          <cell r="J1579" t="str">
            <v>bueno</v>
          </cell>
          <cell r="K1579" t="str">
            <v>defsi</v>
          </cell>
        </row>
        <row r="1580">
          <cell r="B1580" t="b">
            <v>1</v>
          </cell>
          <cell r="E1580" t="str">
            <v>Bayunca</v>
          </cell>
          <cell r="H1580" t="str">
            <v>laboratorio</v>
          </cell>
          <cell r="J1580" t="str">
            <v>bueno</v>
          </cell>
          <cell r="K1580" t="str">
            <v>defsi</v>
          </cell>
        </row>
        <row r="1581">
          <cell r="B1581" t="b">
            <v>1</v>
          </cell>
          <cell r="E1581" t="str">
            <v>Libano</v>
          </cell>
          <cell r="H1581" t="str">
            <v>consulta_externa</v>
          </cell>
          <cell r="J1581" t="str">
            <v>bueno</v>
          </cell>
          <cell r="K1581" t="str">
            <v>probsi</v>
          </cell>
        </row>
        <row r="1582">
          <cell r="B1582" t="b">
            <v>1</v>
          </cell>
          <cell r="E1582" t="str">
            <v>Libano</v>
          </cell>
          <cell r="H1582" t="str">
            <v>consulta_externa</v>
          </cell>
          <cell r="J1582" t="str">
            <v>bueno</v>
          </cell>
          <cell r="K1582" t="str">
            <v>probsi</v>
          </cell>
        </row>
        <row r="1583">
          <cell r="B1583" t="b">
            <v>1</v>
          </cell>
          <cell r="E1583" t="str">
            <v>Bayunca</v>
          </cell>
          <cell r="H1583" t="str">
            <v>urgencia</v>
          </cell>
          <cell r="J1583" t="str">
            <v>bueno</v>
          </cell>
          <cell r="K1583" t="str">
            <v>defsi</v>
          </cell>
        </row>
        <row r="1584">
          <cell r="B1584" t="b">
            <v>1</v>
          </cell>
          <cell r="E1584" t="str">
            <v>Bayunca</v>
          </cell>
          <cell r="H1584" t="str">
            <v>consulta_externa</v>
          </cell>
          <cell r="J1584" t="str">
            <v>bueno</v>
          </cell>
          <cell r="K1584" t="str">
            <v>defsi</v>
          </cell>
        </row>
        <row r="1585">
          <cell r="B1585" t="b">
            <v>1</v>
          </cell>
          <cell r="E1585" t="str">
            <v>Bayunca</v>
          </cell>
          <cell r="H1585" t="str">
            <v>salud_oral</v>
          </cell>
          <cell r="J1585" t="str">
            <v>bueno</v>
          </cell>
          <cell r="K1585" t="str">
            <v>defsi</v>
          </cell>
        </row>
        <row r="1586">
          <cell r="B1586" t="b">
            <v>1</v>
          </cell>
          <cell r="E1586" t="str">
            <v>Bayunca</v>
          </cell>
          <cell r="H1586" t="str">
            <v>laboratorio</v>
          </cell>
          <cell r="J1586" t="str">
            <v>bueno</v>
          </cell>
          <cell r="K1586" t="str">
            <v>defsi</v>
          </cell>
        </row>
        <row r="1587">
          <cell r="B1587" t="b">
            <v>1</v>
          </cell>
          <cell r="E1587" t="str">
            <v>Bayunca</v>
          </cell>
          <cell r="H1587" t="str">
            <v>urgencia</v>
          </cell>
          <cell r="J1587" t="str">
            <v>bueno</v>
          </cell>
          <cell r="K1587" t="str">
            <v>defsi</v>
          </cell>
        </row>
        <row r="1588">
          <cell r="B1588" t="b">
            <v>1</v>
          </cell>
          <cell r="E1588" t="str">
            <v>Isla Fuerte</v>
          </cell>
          <cell r="H1588" t="str">
            <v>consulta_externa</v>
          </cell>
          <cell r="J1588" t="str">
            <v>muybueno</v>
          </cell>
          <cell r="K1588" t="str">
            <v>defsi</v>
          </cell>
        </row>
        <row r="1589">
          <cell r="B1589" t="b">
            <v>1</v>
          </cell>
          <cell r="E1589" t="str">
            <v>Isla Fuerte</v>
          </cell>
          <cell r="H1589" t="str">
            <v>salud_oral</v>
          </cell>
          <cell r="J1589" t="str">
            <v>muybueno</v>
          </cell>
          <cell r="K1589" t="str">
            <v>defsi</v>
          </cell>
        </row>
        <row r="1590">
          <cell r="B1590" t="b">
            <v>1</v>
          </cell>
          <cell r="E1590" t="str">
            <v>Isla Fuerte</v>
          </cell>
          <cell r="H1590" t="str">
            <v>laboratorio</v>
          </cell>
          <cell r="J1590" t="str">
            <v>muybueno</v>
          </cell>
          <cell r="K1590" t="str">
            <v>defsi</v>
          </cell>
        </row>
        <row r="1591">
          <cell r="B1591" t="b">
            <v>1</v>
          </cell>
          <cell r="E1591" t="str">
            <v>Libano</v>
          </cell>
          <cell r="H1591" t="str">
            <v>ginecologia</v>
          </cell>
          <cell r="J1591" t="str">
            <v>bueno</v>
          </cell>
          <cell r="K1591" t="str">
            <v>probsi</v>
          </cell>
        </row>
        <row r="1592">
          <cell r="B1592" t="b">
            <v>1</v>
          </cell>
          <cell r="E1592" t="str">
            <v>Libano</v>
          </cell>
          <cell r="H1592" t="str">
            <v>ginecologia</v>
          </cell>
          <cell r="J1592" t="str">
            <v>bueno</v>
          </cell>
          <cell r="K1592" t="str">
            <v>probsi</v>
          </cell>
        </row>
        <row r="1593">
          <cell r="B1593" t="b">
            <v>1</v>
          </cell>
          <cell r="E1593" t="str">
            <v>Libano</v>
          </cell>
          <cell r="H1593" t="str">
            <v>consulta_externa</v>
          </cell>
          <cell r="J1593" t="str">
            <v>bueno</v>
          </cell>
          <cell r="K1593" t="str">
            <v>probsi</v>
          </cell>
        </row>
        <row r="1594">
          <cell r="B1594" t="b">
            <v>1</v>
          </cell>
          <cell r="E1594" t="str">
            <v>Libano</v>
          </cell>
          <cell r="H1594" t="str">
            <v>consulta_externa</v>
          </cell>
          <cell r="J1594" t="str">
            <v>bueno</v>
          </cell>
          <cell r="K1594" t="str">
            <v>probsi</v>
          </cell>
        </row>
        <row r="1595">
          <cell r="B1595" t="b">
            <v>1</v>
          </cell>
          <cell r="E1595" t="str">
            <v>Libano</v>
          </cell>
          <cell r="H1595" t="str">
            <v>consulta_externa</v>
          </cell>
          <cell r="J1595" t="str">
            <v>bueno</v>
          </cell>
          <cell r="K1595" t="str">
            <v>probsi</v>
          </cell>
        </row>
        <row r="1596">
          <cell r="B1596" t="b">
            <v>1</v>
          </cell>
          <cell r="E1596" t="str">
            <v>Isla Fuerte</v>
          </cell>
          <cell r="H1596" t="str">
            <v>consulta_externa</v>
          </cell>
          <cell r="J1596" t="str">
            <v>muybueno</v>
          </cell>
          <cell r="K1596" t="str">
            <v>defsi</v>
          </cell>
        </row>
        <row r="1597">
          <cell r="B1597" t="b">
            <v>1</v>
          </cell>
          <cell r="E1597" t="str">
            <v>Libano</v>
          </cell>
          <cell r="H1597" t="str">
            <v>ginecologia</v>
          </cell>
          <cell r="J1597" t="str">
            <v>bueno</v>
          </cell>
          <cell r="K1597" t="str">
            <v>probsi</v>
          </cell>
        </row>
        <row r="1598">
          <cell r="B1598" t="b">
            <v>1</v>
          </cell>
          <cell r="E1598" t="str">
            <v>Isla Fuerte</v>
          </cell>
          <cell r="H1598" t="str">
            <v>salud_oral</v>
          </cell>
          <cell r="J1598" t="str">
            <v>muybueno</v>
          </cell>
          <cell r="K1598" t="str">
            <v>defsi</v>
          </cell>
        </row>
        <row r="1599">
          <cell r="B1599" t="b">
            <v>1</v>
          </cell>
          <cell r="E1599" t="str">
            <v>Isla Fuerte</v>
          </cell>
          <cell r="H1599" t="str">
            <v>laboratorio</v>
          </cell>
          <cell r="J1599" t="str">
            <v>muybueno</v>
          </cell>
          <cell r="K1599" t="str">
            <v>defsi</v>
          </cell>
        </row>
        <row r="1600">
          <cell r="B1600" t="b">
            <v>1</v>
          </cell>
          <cell r="E1600" t="str">
            <v>Libano</v>
          </cell>
          <cell r="H1600" t="str">
            <v>ginecologia</v>
          </cell>
          <cell r="J1600" t="str">
            <v>bueno</v>
          </cell>
          <cell r="K1600" t="str">
            <v>probsi</v>
          </cell>
        </row>
        <row r="1601">
          <cell r="B1601" t="b">
            <v>1</v>
          </cell>
          <cell r="E1601" t="str">
            <v>Libano</v>
          </cell>
          <cell r="H1601" t="str">
            <v>ginecologia</v>
          </cell>
          <cell r="J1601" t="str">
            <v>bueno</v>
          </cell>
          <cell r="K1601" t="str">
            <v>probsi</v>
          </cell>
        </row>
        <row r="1602">
          <cell r="B1602" t="b">
            <v>1</v>
          </cell>
          <cell r="E1602" t="str">
            <v>Isla Fuerte</v>
          </cell>
          <cell r="H1602" t="str">
            <v>consulta_externa</v>
          </cell>
          <cell r="J1602" t="str">
            <v>muybueno</v>
          </cell>
          <cell r="K1602" t="str">
            <v>defsi</v>
          </cell>
        </row>
        <row r="1603">
          <cell r="B1603" t="b">
            <v>1</v>
          </cell>
          <cell r="E1603" t="str">
            <v>Libano</v>
          </cell>
          <cell r="H1603" t="str">
            <v>ginecologia</v>
          </cell>
          <cell r="J1603" t="str">
            <v>bueno</v>
          </cell>
          <cell r="K1603" t="str">
            <v>probsi</v>
          </cell>
        </row>
        <row r="1604">
          <cell r="B1604" t="b">
            <v>1</v>
          </cell>
          <cell r="E1604" t="str">
            <v>Isla Fuerte</v>
          </cell>
          <cell r="H1604" t="str">
            <v>salud_oral</v>
          </cell>
          <cell r="J1604" t="str">
            <v>muybueno</v>
          </cell>
          <cell r="K1604" t="str">
            <v>defsi</v>
          </cell>
        </row>
        <row r="1605">
          <cell r="B1605" t="b">
            <v>1</v>
          </cell>
          <cell r="E1605" t="str">
            <v>Isla Fuerte</v>
          </cell>
          <cell r="H1605" t="str">
            <v>salud_oral</v>
          </cell>
          <cell r="J1605" t="str">
            <v>muybueno</v>
          </cell>
          <cell r="K1605" t="str">
            <v>defsi</v>
          </cell>
        </row>
        <row r="1606">
          <cell r="B1606" t="b">
            <v>1</v>
          </cell>
          <cell r="E1606" t="str">
            <v>Isla Fuerte</v>
          </cell>
          <cell r="H1606" t="str">
            <v>consulta_externa</v>
          </cell>
          <cell r="J1606" t="str">
            <v>muybueno</v>
          </cell>
          <cell r="K1606" t="str">
            <v>defsi</v>
          </cell>
        </row>
        <row r="1607">
          <cell r="B1607" t="b">
            <v>1</v>
          </cell>
          <cell r="E1607" t="str">
            <v>Isla Fuerte</v>
          </cell>
          <cell r="H1607" t="str">
            <v>laboratorio</v>
          </cell>
          <cell r="J1607" t="str">
            <v>muybueno</v>
          </cell>
          <cell r="K1607" t="str">
            <v>defsi</v>
          </cell>
        </row>
        <row r="1608">
          <cell r="B1608" t="b">
            <v>1</v>
          </cell>
          <cell r="E1608" t="str">
            <v>Ternera</v>
          </cell>
          <cell r="H1608" t="str">
            <v>consulta_externa</v>
          </cell>
          <cell r="J1608" t="str">
            <v>bueno</v>
          </cell>
          <cell r="K1608" t="str">
            <v>defsi</v>
          </cell>
        </row>
        <row r="1609">
          <cell r="B1609" t="b">
            <v>1</v>
          </cell>
          <cell r="E1609" t="str">
            <v>Bayunca</v>
          </cell>
          <cell r="H1609" t="str">
            <v>consulta_externa</v>
          </cell>
          <cell r="J1609" t="str">
            <v>bueno</v>
          </cell>
          <cell r="K1609" t="str">
            <v>defsi</v>
          </cell>
        </row>
        <row r="1610">
          <cell r="B1610" t="b">
            <v>1</v>
          </cell>
          <cell r="E1610" t="str">
            <v>Bayunca</v>
          </cell>
          <cell r="H1610" t="str">
            <v>salud_oral</v>
          </cell>
          <cell r="J1610" t="str">
            <v>bueno</v>
          </cell>
          <cell r="K1610" t="str">
            <v>defsi</v>
          </cell>
        </row>
        <row r="1611">
          <cell r="B1611" t="b">
            <v>1</v>
          </cell>
          <cell r="E1611" t="str">
            <v>Libano</v>
          </cell>
          <cell r="H1611" t="str">
            <v>consulta_externa</v>
          </cell>
          <cell r="J1611" t="str">
            <v>bueno</v>
          </cell>
          <cell r="K1611" t="str">
            <v>probsi</v>
          </cell>
        </row>
        <row r="1612">
          <cell r="B1612" t="b">
            <v>1</v>
          </cell>
          <cell r="E1612" t="str">
            <v>Bayunca</v>
          </cell>
          <cell r="H1612" t="str">
            <v>laboratorio</v>
          </cell>
          <cell r="J1612" t="str">
            <v>bueno</v>
          </cell>
          <cell r="K1612" t="str">
            <v>defsi</v>
          </cell>
        </row>
        <row r="1613">
          <cell r="B1613" t="b">
            <v>0</v>
          </cell>
          <cell r="E1613" t="str">
            <v>Ternera</v>
          </cell>
          <cell r="H1613" t="str">
            <v>consulta_externa</v>
          </cell>
          <cell r="J1613" t="str">
            <v>regular</v>
          </cell>
          <cell r="K1613" t="str">
            <v>probsi</v>
          </cell>
        </row>
        <row r="1614">
          <cell r="B1614" t="b">
            <v>1</v>
          </cell>
          <cell r="E1614" t="str">
            <v>Libano</v>
          </cell>
          <cell r="H1614" t="str">
            <v>salud_oral</v>
          </cell>
          <cell r="J1614" t="str">
            <v>bueno</v>
          </cell>
          <cell r="K1614" t="str">
            <v>probsi</v>
          </cell>
        </row>
        <row r="1615">
          <cell r="B1615" t="b">
            <v>0</v>
          </cell>
          <cell r="E1615" t="str">
            <v>Ternera</v>
          </cell>
          <cell r="H1615" t="str">
            <v>laboratorio</v>
          </cell>
          <cell r="J1615" t="str">
            <v>regular</v>
          </cell>
          <cell r="K1615" t="str">
            <v>probsi</v>
          </cell>
        </row>
        <row r="1616">
          <cell r="B1616" t="b">
            <v>1</v>
          </cell>
          <cell r="E1616" t="str">
            <v>Bayunca</v>
          </cell>
          <cell r="H1616" t="str">
            <v>urgencia</v>
          </cell>
          <cell r="J1616" t="str">
            <v>bueno</v>
          </cell>
          <cell r="K1616" t="str">
            <v>defsi</v>
          </cell>
        </row>
        <row r="1617">
          <cell r="B1617" t="b">
            <v>0</v>
          </cell>
          <cell r="E1617" t="str">
            <v>Libano</v>
          </cell>
          <cell r="H1617" t="str">
            <v>laboratorio</v>
          </cell>
          <cell r="J1617" t="str">
            <v>regular</v>
          </cell>
          <cell r="K1617" t="str">
            <v>probsi</v>
          </cell>
        </row>
        <row r="1618">
          <cell r="B1618" t="b">
            <v>0</v>
          </cell>
          <cell r="E1618" t="str">
            <v>Ternera</v>
          </cell>
          <cell r="H1618" t="str">
            <v>laboratorio</v>
          </cell>
          <cell r="J1618" t="str">
            <v>regular</v>
          </cell>
          <cell r="K1618" t="str">
            <v>probsi</v>
          </cell>
        </row>
        <row r="1619">
          <cell r="B1619" t="b">
            <v>1</v>
          </cell>
          <cell r="E1619" t="str">
            <v>Libano</v>
          </cell>
          <cell r="H1619" t="str">
            <v>laboratorio</v>
          </cell>
          <cell r="J1619" t="str">
            <v>bueno</v>
          </cell>
          <cell r="K1619" t="str">
            <v>probsi</v>
          </cell>
        </row>
        <row r="1620">
          <cell r="B1620" t="b">
            <v>1</v>
          </cell>
          <cell r="E1620" t="str">
            <v>Libano</v>
          </cell>
          <cell r="H1620" t="str">
            <v>laboratorio</v>
          </cell>
          <cell r="J1620" t="str">
            <v>bueno</v>
          </cell>
          <cell r="K1620" t="str">
            <v>probsi</v>
          </cell>
        </row>
        <row r="1621">
          <cell r="B1621" t="b">
            <v>1</v>
          </cell>
          <cell r="E1621" t="str">
            <v>Ternera</v>
          </cell>
          <cell r="H1621" t="str">
            <v>salud_oral</v>
          </cell>
          <cell r="J1621" t="str">
            <v>bueno</v>
          </cell>
          <cell r="K1621" t="str">
            <v>defsi</v>
          </cell>
        </row>
        <row r="1622">
          <cell r="B1622" t="b">
            <v>1</v>
          </cell>
          <cell r="E1622" t="str">
            <v>Ternera</v>
          </cell>
          <cell r="H1622" t="str">
            <v>salud_oral</v>
          </cell>
          <cell r="J1622" t="str">
            <v>bueno</v>
          </cell>
          <cell r="K1622" t="str">
            <v>defsi</v>
          </cell>
        </row>
        <row r="1623">
          <cell r="B1623" t="b">
            <v>1</v>
          </cell>
          <cell r="E1623" t="str">
            <v>Ternera</v>
          </cell>
          <cell r="H1623" t="str">
            <v>laboratorio</v>
          </cell>
          <cell r="J1623" t="str">
            <v>bueno</v>
          </cell>
          <cell r="K1623" t="str">
            <v>defsi</v>
          </cell>
        </row>
        <row r="1624">
          <cell r="B1624" t="b">
            <v>1</v>
          </cell>
          <cell r="E1624" t="str">
            <v>Ternera</v>
          </cell>
          <cell r="H1624" t="str">
            <v>consulta_externa</v>
          </cell>
          <cell r="J1624" t="str">
            <v>bueno</v>
          </cell>
          <cell r="K1624" t="str">
            <v>defsi</v>
          </cell>
        </row>
        <row r="1625">
          <cell r="B1625" t="b">
            <v>1</v>
          </cell>
          <cell r="E1625" t="str">
            <v>Ternera</v>
          </cell>
          <cell r="H1625" t="str">
            <v>consulta_externa</v>
          </cell>
          <cell r="J1625" t="str">
            <v>bueno</v>
          </cell>
          <cell r="K1625" t="str">
            <v>defsi</v>
          </cell>
        </row>
        <row r="1626">
          <cell r="B1626" t="b">
            <v>1</v>
          </cell>
          <cell r="E1626" t="str">
            <v>Ternera</v>
          </cell>
          <cell r="H1626" t="str">
            <v>consulta_externa</v>
          </cell>
          <cell r="J1626" t="str">
            <v>bueno</v>
          </cell>
          <cell r="K1626" t="str">
            <v>defsi</v>
          </cell>
        </row>
        <row r="1627">
          <cell r="B1627" t="b">
            <v>1</v>
          </cell>
          <cell r="E1627" t="str">
            <v>Ternera</v>
          </cell>
          <cell r="H1627" t="str">
            <v>laboratorio</v>
          </cell>
          <cell r="J1627" t="str">
            <v>bueno</v>
          </cell>
          <cell r="K1627" t="str">
            <v>defsi</v>
          </cell>
        </row>
        <row r="1628">
          <cell r="B1628" t="b">
            <v>0</v>
          </cell>
          <cell r="E1628" t="str">
            <v>Libano</v>
          </cell>
          <cell r="H1628" t="str">
            <v>laboratorio</v>
          </cell>
          <cell r="J1628" t="str">
            <v>regular</v>
          </cell>
          <cell r="K1628" t="str">
            <v>probsi</v>
          </cell>
        </row>
        <row r="1629">
          <cell r="B1629" t="b">
            <v>1</v>
          </cell>
          <cell r="E1629" t="str">
            <v>Ternera</v>
          </cell>
          <cell r="H1629" t="str">
            <v>laboratorio</v>
          </cell>
          <cell r="J1629" t="str">
            <v>bueno</v>
          </cell>
          <cell r="K1629" t="str">
            <v>defsi</v>
          </cell>
        </row>
        <row r="1630">
          <cell r="B1630" t="b">
            <v>1</v>
          </cell>
          <cell r="E1630" t="str">
            <v>Ternera</v>
          </cell>
          <cell r="H1630" t="str">
            <v>laboratorio</v>
          </cell>
          <cell r="J1630" t="str">
            <v>bueno</v>
          </cell>
          <cell r="K1630" t="str">
            <v>defsi</v>
          </cell>
        </row>
        <row r="1631">
          <cell r="B1631" t="b">
            <v>1</v>
          </cell>
          <cell r="E1631" t="str">
            <v>Libano</v>
          </cell>
          <cell r="H1631" t="str">
            <v>salud_oral</v>
          </cell>
          <cell r="J1631" t="str">
            <v>bueno</v>
          </cell>
          <cell r="K1631" t="str">
            <v>probsi</v>
          </cell>
        </row>
        <row r="1632">
          <cell r="B1632" t="b">
            <v>1</v>
          </cell>
          <cell r="E1632" t="str">
            <v>Libano</v>
          </cell>
          <cell r="H1632" t="str">
            <v>salud_oral</v>
          </cell>
          <cell r="J1632" t="str">
            <v>bueno</v>
          </cell>
          <cell r="K1632" t="str">
            <v>probsi</v>
          </cell>
        </row>
        <row r="1633">
          <cell r="B1633" t="b">
            <v>1</v>
          </cell>
          <cell r="E1633" t="str">
            <v>Libano</v>
          </cell>
          <cell r="H1633" t="str">
            <v>salud_oral</v>
          </cell>
          <cell r="J1633" t="str">
            <v>bueno</v>
          </cell>
          <cell r="K1633" t="str">
            <v>probsi</v>
          </cell>
        </row>
        <row r="1634">
          <cell r="B1634" t="b">
            <v>1</v>
          </cell>
          <cell r="E1634" t="str">
            <v>Libano</v>
          </cell>
          <cell r="H1634" t="str">
            <v>salud_oral</v>
          </cell>
          <cell r="J1634" t="str">
            <v>bueno</v>
          </cell>
          <cell r="K1634" t="str">
            <v>probsi</v>
          </cell>
        </row>
        <row r="1635">
          <cell r="B1635" t="b">
            <v>1</v>
          </cell>
          <cell r="E1635" t="str">
            <v>Libano</v>
          </cell>
          <cell r="H1635" t="str">
            <v>laboratorio</v>
          </cell>
          <cell r="J1635" t="str">
            <v>bueno</v>
          </cell>
          <cell r="K1635" t="str">
            <v>probsi</v>
          </cell>
        </row>
        <row r="1636">
          <cell r="B1636" t="b">
            <v>0</v>
          </cell>
          <cell r="E1636" t="str">
            <v>Libano</v>
          </cell>
          <cell r="H1636" t="str">
            <v>laboratorio</v>
          </cell>
          <cell r="J1636" t="str">
            <v>regular</v>
          </cell>
          <cell r="K1636" t="str">
            <v>probsi</v>
          </cell>
        </row>
        <row r="1637">
          <cell r="B1637" t="b">
            <v>0</v>
          </cell>
          <cell r="E1637" t="str">
            <v>Libano</v>
          </cell>
          <cell r="H1637" t="str">
            <v>laboratorio</v>
          </cell>
          <cell r="J1637" t="str">
            <v>regular</v>
          </cell>
          <cell r="K1637" t="str">
            <v>probsi</v>
          </cell>
        </row>
        <row r="1638">
          <cell r="B1638" t="b">
            <v>0</v>
          </cell>
          <cell r="E1638" t="str">
            <v>Libano</v>
          </cell>
          <cell r="H1638" t="str">
            <v>laboratorio</v>
          </cell>
          <cell r="J1638" t="str">
            <v>regular</v>
          </cell>
          <cell r="K1638" t="str">
            <v>probsi</v>
          </cell>
        </row>
        <row r="1639">
          <cell r="B1639" t="b">
            <v>1</v>
          </cell>
          <cell r="E1639" t="str">
            <v>Libano</v>
          </cell>
          <cell r="H1639" t="str">
            <v>salud_oral</v>
          </cell>
          <cell r="J1639" t="str">
            <v>bueno</v>
          </cell>
          <cell r="K1639" t="str">
            <v>probsi</v>
          </cell>
        </row>
        <row r="1640">
          <cell r="B1640" t="b">
            <v>1</v>
          </cell>
          <cell r="E1640" t="str">
            <v>Isla Fuerte</v>
          </cell>
          <cell r="H1640" t="str">
            <v>consulta_externa</v>
          </cell>
          <cell r="J1640" t="str">
            <v>muybueno</v>
          </cell>
          <cell r="K1640" t="str">
            <v>defsi</v>
          </cell>
        </row>
        <row r="1641">
          <cell r="B1641" t="b">
            <v>1</v>
          </cell>
          <cell r="E1641" t="str">
            <v>Isla Fuerte</v>
          </cell>
          <cell r="H1641" t="str">
            <v>salud_oral</v>
          </cell>
          <cell r="J1641" t="str">
            <v>muybueno</v>
          </cell>
          <cell r="K1641" t="str">
            <v>defsi</v>
          </cell>
        </row>
        <row r="1642">
          <cell r="B1642" t="b">
            <v>1</v>
          </cell>
          <cell r="E1642" t="str">
            <v>Ternera</v>
          </cell>
          <cell r="H1642" t="str">
            <v>salud_oral</v>
          </cell>
          <cell r="J1642" t="str">
            <v>bueno</v>
          </cell>
          <cell r="K1642" t="str">
            <v>defsi</v>
          </cell>
        </row>
        <row r="1643">
          <cell r="B1643" t="b">
            <v>1</v>
          </cell>
          <cell r="E1643" t="str">
            <v>Isla Fuerte</v>
          </cell>
          <cell r="H1643" t="str">
            <v>laboratorio</v>
          </cell>
          <cell r="J1643" t="str">
            <v>muybueno</v>
          </cell>
          <cell r="K1643" t="str">
            <v>defsi</v>
          </cell>
        </row>
        <row r="1644">
          <cell r="B1644" t="b">
            <v>1</v>
          </cell>
          <cell r="E1644" t="str">
            <v>Ternera</v>
          </cell>
          <cell r="H1644" t="str">
            <v>consulta_externa</v>
          </cell>
          <cell r="J1644" t="str">
            <v>bueno</v>
          </cell>
          <cell r="K1644" t="str">
            <v>defsi</v>
          </cell>
        </row>
        <row r="1645">
          <cell r="B1645" t="b">
            <v>1</v>
          </cell>
          <cell r="E1645" t="str">
            <v>Ternera</v>
          </cell>
          <cell r="H1645" t="str">
            <v>consulta_externa</v>
          </cell>
          <cell r="J1645" t="str">
            <v>bueno</v>
          </cell>
          <cell r="K1645" t="str">
            <v>defsi</v>
          </cell>
        </row>
        <row r="1646">
          <cell r="B1646" t="b">
            <v>1</v>
          </cell>
          <cell r="E1646" t="str">
            <v>Ternera</v>
          </cell>
          <cell r="H1646" t="str">
            <v>salud_oral</v>
          </cell>
          <cell r="J1646" t="str">
            <v>bueno</v>
          </cell>
          <cell r="K1646" t="str">
            <v>defsi</v>
          </cell>
        </row>
        <row r="1647">
          <cell r="B1647" t="b">
            <v>1</v>
          </cell>
          <cell r="E1647" t="str">
            <v>Ternera</v>
          </cell>
          <cell r="H1647" t="str">
            <v>salud_oral</v>
          </cell>
          <cell r="J1647" t="str">
            <v>bueno</v>
          </cell>
          <cell r="K1647" t="str">
            <v>defsi</v>
          </cell>
        </row>
        <row r="1648">
          <cell r="B1648" t="b">
            <v>1</v>
          </cell>
          <cell r="E1648" t="str">
            <v>Ternera</v>
          </cell>
          <cell r="H1648" t="str">
            <v>consulta_externa</v>
          </cell>
          <cell r="J1648" t="str">
            <v>bueno</v>
          </cell>
          <cell r="K1648" t="str">
            <v>defsi</v>
          </cell>
        </row>
        <row r="1649">
          <cell r="B1649" t="b">
            <v>1</v>
          </cell>
          <cell r="E1649" t="str">
            <v>Ternera</v>
          </cell>
          <cell r="H1649" t="str">
            <v>consulta_externa</v>
          </cell>
          <cell r="J1649" t="str">
            <v>bueno</v>
          </cell>
          <cell r="K1649" t="str">
            <v>defsi</v>
          </cell>
        </row>
        <row r="1650">
          <cell r="B1650" t="b">
            <v>1</v>
          </cell>
          <cell r="E1650" t="str">
            <v>Ternera</v>
          </cell>
          <cell r="H1650" t="str">
            <v>salud_oral</v>
          </cell>
          <cell r="J1650" t="str">
            <v>bueno</v>
          </cell>
          <cell r="K1650" t="str">
            <v>defsi</v>
          </cell>
        </row>
        <row r="1651">
          <cell r="B1651" t="b">
            <v>1</v>
          </cell>
          <cell r="E1651" t="str">
            <v>Ternera</v>
          </cell>
          <cell r="H1651" t="str">
            <v>salud_oral</v>
          </cell>
          <cell r="J1651" t="str">
            <v>bueno</v>
          </cell>
          <cell r="K1651" t="str">
            <v>defsi</v>
          </cell>
        </row>
        <row r="1652">
          <cell r="B1652" t="b">
            <v>1</v>
          </cell>
          <cell r="E1652" t="str">
            <v>Ternera</v>
          </cell>
          <cell r="H1652" t="str">
            <v>laboratorio</v>
          </cell>
          <cell r="J1652" t="str">
            <v>bueno</v>
          </cell>
          <cell r="K1652" t="str">
            <v>defsi</v>
          </cell>
        </row>
        <row r="1653">
          <cell r="B1653" t="b">
            <v>1</v>
          </cell>
          <cell r="E1653" t="str">
            <v>Bayunca</v>
          </cell>
          <cell r="H1653" t="str">
            <v>consulta_externa</v>
          </cell>
          <cell r="J1653" t="str">
            <v>bueno</v>
          </cell>
          <cell r="K1653" t="str">
            <v>defsi</v>
          </cell>
        </row>
        <row r="1654">
          <cell r="B1654" t="b">
            <v>1</v>
          </cell>
          <cell r="E1654" t="str">
            <v>Bayunca</v>
          </cell>
          <cell r="H1654" t="str">
            <v>salud_oral</v>
          </cell>
          <cell r="J1654" t="str">
            <v>bueno</v>
          </cell>
          <cell r="K1654" t="str">
            <v>defsi</v>
          </cell>
        </row>
        <row r="1655">
          <cell r="B1655" t="b">
            <v>1</v>
          </cell>
          <cell r="E1655" t="str">
            <v>Libano</v>
          </cell>
          <cell r="H1655" t="str">
            <v>consulta_externa</v>
          </cell>
          <cell r="J1655" t="str">
            <v>bueno</v>
          </cell>
          <cell r="K1655" t="str">
            <v>probsi</v>
          </cell>
        </row>
        <row r="1656">
          <cell r="B1656" t="b">
            <v>1</v>
          </cell>
          <cell r="E1656" t="str">
            <v>Libano</v>
          </cell>
          <cell r="H1656" t="str">
            <v>laboratorio</v>
          </cell>
          <cell r="J1656" t="str">
            <v>bueno</v>
          </cell>
          <cell r="K1656" t="str">
            <v>probsi</v>
          </cell>
        </row>
        <row r="1657">
          <cell r="B1657" t="b">
            <v>1</v>
          </cell>
          <cell r="E1657" t="str">
            <v>Bayunca</v>
          </cell>
          <cell r="H1657" t="str">
            <v>laboratorio</v>
          </cell>
          <cell r="J1657" t="str">
            <v>bueno</v>
          </cell>
          <cell r="K1657" t="str">
            <v>defsi</v>
          </cell>
        </row>
        <row r="1658">
          <cell r="B1658" t="b">
            <v>1</v>
          </cell>
          <cell r="E1658" t="str">
            <v>Bayunca</v>
          </cell>
          <cell r="H1658" t="str">
            <v>urgencia</v>
          </cell>
          <cell r="J1658" t="str">
            <v>bueno</v>
          </cell>
          <cell r="K1658" t="str">
            <v>defsi</v>
          </cell>
        </row>
        <row r="1659">
          <cell r="B1659" t="b">
            <v>1</v>
          </cell>
          <cell r="E1659" t="str">
            <v>Bayunca</v>
          </cell>
          <cell r="H1659" t="str">
            <v>consulta_externa</v>
          </cell>
          <cell r="J1659" t="str">
            <v>bueno</v>
          </cell>
          <cell r="K1659" t="str">
            <v>defsi</v>
          </cell>
        </row>
        <row r="1660">
          <cell r="B1660" t="b">
            <v>1</v>
          </cell>
          <cell r="E1660" t="str">
            <v>Bayunca</v>
          </cell>
          <cell r="H1660" t="str">
            <v>salud_oral</v>
          </cell>
          <cell r="J1660" t="str">
            <v>bueno</v>
          </cell>
          <cell r="K1660" t="str">
            <v>defsi</v>
          </cell>
        </row>
        <row r="1661">
          <cell r="B1661" t="b">
            <v>1</v>
          </cell>
          <cell r="E1661" t="str">
            <v>Bayunca</v>
          </cell>
          <cell r="H1661" t="str">
            <v>laboratorio</v>
          </cell>
          <cell r="J1661" t="str">
            <v>bueno</v>
          </cell>
          <cell r="K1661" t="str">
            <v>defsi</v>
          </cell>
        </row>
        <row r="1662">
          <cell r="B1662" t="b">
            <v>1</v>
          </cell>
          <cell r="E1662" t="str">
            <v>Bayunca</v>
          </cell>
          <cell r="H1662" t="str">
            <v>urgencia</v>
          </cell>
          <cell r="J1662" t="str">
            <v>bueno</v>
          </cell>
          <cell r="K1662" t="str">
            <v>defsi</v>
          </cell>
        </row>
        <row r="1663">
          <cell r="B1663" t="b">
            <v>1</v>
          </cell>
          <cell r="E1663" t="str">
            <v>Isla Fuerte</v>
          </cell>
          <cell r="H1663" t="str">
            <v>consulta_externa</v>
          </cell>
          <cell r="J1663" t="str">
            <v>muybueno</v>
          </cell>
          <cell r="K1663" t="str">
            <v>defsi</v>
          </cell>
        </row>
        <row r="1664">
          <cell r="B1664" t="b">
            <v>1</v>
          </cell>
          <cell r="E1664" t="str">
            <v>Isla Fuerte</v>
          </cell>
          <cell r="H1664" t="str">
            <v>salud_oral</v>
          </cell>
          <cell r="J1664" t="str">
            <v>muybueno</v>
          </cell>
          <cell r="K1664" t="str">
            <v>defsi</v>
          </cell>
        </row>
        <row r="1665">
          <cell r="B1665" t="b">
            <v>1</v>
          </cell>
          <cell r="E1665" t="str">
            <v>Isla Fuerte</v>
          </cell>
          <cell r="H1665" t="str">
            <v>laboratorio</v>
          </cell>
          <cell r="J1665" t="str">
            <v>muybueno</v>
          </cell>
          <cell r="K1665" t="str">
            <v>defsi</v>
          </cell>
        </row>
        <row r="1666">
          <cell r="B1666" t="b">
            <v>1</v>
          </cell>
          <cell r="E1666" t="str">
            <v>Ternera</v>
          </cell>
          <cell r="H1666" t="str">
            <v>consulta_externa</v>
          </cell>
          <cell r="J1666" t="str">
            <v>bueno</v>
          </cell>
          <cell r="K1666" t="str">
            <v>defsi</v>
          </cell>
        </row>
        <row r="1667">
          <cell r="B1667" t="b">
            <v>1</v>
          </cell>
          <cell r="E1667" t="str">
            <v>Ternera</v>
          </cell>
          <cell r="H1667" t="str">
            <v>laboratorio</v>
          </cell>
          <cell r="J1667" t="str">
            <v>bueno</v>
          </cell>
          <cell r="K1667" t="str">
            <v>defsi</v>
          </cell>
        </row>
        <row r="1668">
          <cell r="B1668" t="b">
            <v>0</v>
          </cell>
          <cell r="E1668" t="str">
            <v>Ternera</v>
          </cell>
          <cell r="H1668" t="str">
            <v>salud_oral</v>
          </cell>
          <cell r="J1668" t="str">
            <v>regular</v>
          </cell>
          <cell r="K1668" t="str">
            <v>probsi</v>
          </cell>
        </row>
        <row r="1669">
          <cell r="B1669" t="b">
            <v>1</v>
          </cell>
          <cell r="E1669" t="str">
            <v>Ternera</v>
          </cell>
          <cell r="H1669" t="str">
            <v>salud_oral</v>
          </cell>
          <cell r="J1669" t="str">
            <v>bueno</v>
          </cell>
          <cell r="K1669" t="str">
            <v>defsi</v>
          </cell>
        </row>
        <row r="1670">
          <cell r="B1670" t="b">
            <v>1</v>
          </cell>
          <cell r="E1670" t="str">
            <v>Ternera</v>
          </cell>
          <cell r="H1670" t="str">
            <v>consulta_externa</v>
          </cell>
          <cell r="J1670" t="str">
            <v>bueno</v>
          </cell>
          <cell r="K1670" t="str">
            <v>defsi</v>
          </cell>
        </row>
        <row r="1671">
          <cell r="B1671" t="b">
            <v>1</v>
          </cell>
          <cell r="E1671" t="str">
            <v>Isla Fuerte</v>
          </cell>
          <cell r="H1671" t="str">
            <v>consulta_externa</v>
          </cell>
          <cell r="J1671" t="str">
            <v>muybueno</v>
          </cell>
          <cell r="K1671" t="str">
            <v>defsi</v>
          </cell>
        </row>
        <row r="1672">
          <cell r="B1672" t="b">
            <v>1</v>
          </cell>
          <cell r="E1672" t="str">
            <v>Isla Fuerte</v>
          </cell>
          <cell r="H1672" t="str">
            <v>laboratorio</v>
          </cell>
          <cell r="J1672" t="str">
            <v>muybueno</v>
          </cell>
          <cell r="K1672" t="str">
            <v>defsi</v>
          </cell>
        </row>
        <row r="1673">
          <cell r="B1673" t="b">
            <v>1</v>
          </cell>
          <cell r="E1673" t="str">
            <v>Ternera</v>
          </cell>
          <cell r="H1673" t="str">
            <v>salud_oral</v>
          </cell>
          <cell r="J1673" t="str">
            <v>bueno</v>
          </cell>
          <cell r="K1673" t="str">
            <v>defsi</v>
          </cell>
        </row>
        <row r="1674">
          <cell r="B1674" t="b">
            <v>1</v>
          </cell>
          <cell r="E1674" t="str">
            <v>Ternera</v>
          </cell>
          <cell r="H1674" t="str">
            <v>salud_oral</v>
          </cell>
          <cell r="J1674" t="str">
            <v>bueno</v>
          </cell>
          <cell r="K1674" t="str">
            <v>defsi</v>
          </cell>
        </row>
        <row r="1675">
          <cell r="B1675" t="b">
            <v>0</v>
          </cell>
          <cell r="E1675" t="str">
            <v>Ternera</v>
          </cell>
          <cell r="H1675" t="str">
            <v>consulta_externa</v>
          </cell>
          <cell r="J1675" t="str">
            <v>regular</v>
          </cell>
          <cell r="K1675" t="str">
            <v>defsi</v>
          </cell>
        </row>
        <row r="1676">
          <cell r="B1676" t="b">
            <v>0</v>
          </cell>
          <cell r="E1676" t="str">
            <v>Ternera</v>
          </cell>
          <cell r="H1676" t="str">
            <v>laboratorio</v>
          </cell>
          <cell r="J1676" t="str">
            <v>regular</v>
          </cell>
          <cell r="K1676" t="str">
            <v>probsi</v>
          </cell>
        </row>
        <row r="1677">
          <cell r="B1677" t="b">
            <v>1</v>
          </cell>
          <cell r="E1677" t="str">
            <v>Ternera</v>
          </cell>
          <cell r="H1677" t="str">
            <v>laboratorio</v>
          </cell>
          <cell r="J1677" t="str">
            <v>bueno</v>
          </cell>
          <cell r="K1677" t="str">
            <v>defsi</v>
          </cell>
        </row>
        <row r="1678">
          <cell r="B1678" t="b">
            <v>1</v>
          </cell>
          <cell r="E1678" t="str">
            <v>Ternera</v>
          </cell>
          <cell r="H1678" t="str">
            <v>salud_oral</v>
          </cell>
          <cell r="J1678" t="str">
            <v>bueno</v>
          </cell>
          <cell r="K1678" t="str">
            <v>defsi</v>
          </cell>
        </row>
        <row r="1679">
          <cell r="B1679" t="b">
            <v>0</v>
          </cell>
          <cell r="E1679" t="str">
            <v>Ternera</v>
          </cell>
          <cell r="H1679" t="str">
            <v>laboratorio</v>
          </cell>
          <cell r="J1679" t="str">
            <v>regular</v>
          </cell>
          <cell r="K1679" t="str">
            <v>probsi</v>
          </cell>
        </row>
        <row r="1680">
          <cell r="B1680" t="b">
            <v>1</v>
          </cell>
          <cell r="E1680" t="str">
            <v>Ternera</v>
          </cell>
          <cell r="H1680" t="str">
            <v>laboratorio</v>
          </cell>
          <cell r="J1680" t="str">
            <v>bueno</v>
          </cell>
          <cell r="K1680" t="str">
            <v>probsi</v>
          </cell>
        </row>
        <row r="1681">
          <cell r="B1681" t="b">
            <v>1</v>
          </cell>
          <cell r="E1681" t="str">
            <v>Isla Fuerte</v>
          </cell>
          <cell r="H1681" t="str">
            <v>consulta_externa</v>
          </cell>
          <cell r="J1681" t="str">
            <v>muybueno</v>
          </cell>
          <cell r="K1681" t="str">
            <v>defsi</v>
          </cell>
        </row>
        <row r="1682">
          <cell r="B1682" t="b">
            <v>1</v>
          </cell>
          <cell r="E1682" t="str">
            <v>Isla Fuerte</v>
          </cell>
          <cell r="H1682" t="str">
            <v>laboratorio</v>
          </cell>
          <cell r="J1682" t="str">
            <v>muybueno</v>
          </cell>
          <cell r="K1682" t="str">
            <v>defsi</v>
          </cell>
        </row>
        <row r="1683">
          <cell r="B1683" t="b">
            <v>1</v>
          </cell>
          <cell r="E1683" t="str">
            <v>Isla Fuerte</v>
          </cell>
          <cell r="H1683" t="str">
            <v>laboratorio</v>
          </cell>
          <cell r="J1683" t="str">
            <v>muybueno</v>
          </cell>
          <cell r="K1683" t="str">
            <v>defsi</v>
          </cell>
        </row>
        <row r="1684">
          <cell r="B1684" t="b">
            <v>1</v>
          </cell>
          <cell r="E1684" t="str">
            <v>Isla Fuerte</v>
          </cell>
          <cell r="H1684" t="str">
            <v>consulta_externa</v>
          </cell>
          <cell r="J1684" t="str">
            <v>muybueno</v>
          </cell>
          <cell r="K1684" t="str">
            <v>defsi</v>
          </cell>
        </row>
        <row r="1685">
          <cell r="B1685" t="b">
            <v>1</v>
          </cell>
          <cell r="E1685" t="str">
            <v>Isla Fuerte</v>
          </cell>
          <cell r="H1685" t="str">
            <v>consulta_externa</v>
          </cell>
          <cell r="J1685" t="str">
            <v>muybueno</v>
          </cell>
          <cell r="K1685" t="str">
            <v>defsi</v>
          </cell>
        </row>
        <row r="1686">
          <cell r="B1686" t="b">
            <v>1</v>
          </cell>
          <cell r="E1686" t="str">
            <v>Bayunca</v>
          </cell>
          <cell r="H1686" t="str">
            <v>consulta_externa</v>
          </cell>
          <cell r="J1686" t="str">
            <v>bueno</v>
          </cell>
          <cell r="K1686" t="str">
            <v>defsi</v>
          </cell>
        </row>
        <row r="1687">
          <cell r="B1687" t="b">
            <v>1</v>
          </cell>
          <cell r="E1687" t="str">
            <v>Bayunca</v>
          </cell>
          <cell r="H1687" t="str">
            <v>salud_oral</v>
          </cell>
          <cell r="J1687" t="str">
            <v>bueno</v>
          </cell>
          <cell r="K1687" t="str">
            <v>defsi</v>
          </cell>
        </row>
        <row r="1688">
          <cell r="B1688" t="b">
            <v>1</v>
          </cell>
          <cell r="E1688" t="str">
            <v>Bayunca</v>
          </cell>
          <cell r="H1688" t="str">
            <v>laboratorio</v>
          </cell>
          <cell r="J1688" t="str">
            <v>bueno</v>
          </cell>
          <cell r="K1688" t="str">
            <v>defsi</v>
          </cell>
        </row>
        <row r="1689">
          <cell r="B1689" t="b">
            <v>1</v>
          </cell>
          <cell r="E1689" t="str">
            <v>Pontezuela</v>
          </cell>
          <cell r="H1689" t="str">
            <v>consulta_externa</v>
          </cell>
          <cell r="J1689" t="str">
            <v>bueno</v>
          </cell>
          <cell r="K1689" t="str">
            <v>defsi</v>
          </cell>
        </row>
        <row r="1690">
          <cell r="B1690" t="b">
            <v>1</v>
          </cell>
          <cell r="E1690" t="str">
            <v>Pontezuela</v>
          </cell>
          <cell r="H1690" t="str">
            <v>salud_oral</v>
          </cell>
          <cell r="J1690" t="str">
            <v>bueno</v>
          </cell>
          <cell r="K1690" t="str">
            <v>defsi</v>
          </cell>
        </row>
        <row r="1691">
          <cell r="B1691" t="b">
            <v>1</v>
          </cell>
          <cell r="E1691" t="str">
            <v>Pontezuela</v>
          </cell>
          <cell r="H1691" t="str">
            <v>consulta_externa</v>
          </cell>
          <cell r="J1691" t="str">
            <v>bueno</v>
          </cell>
          <cell r="K1691" t="str">
            <v>defsi</v>
          </cell>
        </row>
        <row r="1692">
          <cell r="B1692" t="b">
            <v>1</v>
          </cell>
          <cell r="E1692" t="str">
            <v>Pontezuela</v>
          </cell>
          <cell r="H1692" t="str">
            <v>salud_oral</v>
          </cell>
          <cell r="J1692" t="str">
            <v>bueno</v>
          </cell>
          <cell r="K1692" t="str">
            <v>defsi</v>
          </cell>
        </row>
        <row r="1693">
          <cell r="B1693" t="b">
            <v>1</v>
          </cell>
          <cell r="E1693" t="str">
            <v>Pontezuela</v>
          </cell>
          <cell r="H1693" t="str">
            <v>consulta_externa</v>
          </cell>
          <cell r="J1693" t="str">
            <v>bueno</v>
          </cell>
          <cell r="K1693" t="str">
            <v>defsi</v>
          </cell>
        </row>
        <row r="1694">
          <cell r="B1694" t="b">
            <v>1</v>
          </cell>
          <cell r="E1694" t="str">
            <v>Pontezuela</v>
          </cell>
          <cell r="H1694" t="str">
            <v>salud_oral</v>
          </cell>
          <cell r="J1694" t="str">
            <v>bueno</v>
          </cell>
          <cell r="K1694" t="str">
            <v>defsi</v>
          </cell>
        </row>
        <row r="1695">
          <cell r="B1695" t="b">
            <v>1</v>
          </cell>
          <cell r="E1695" t="str">
            <v>Pontezuela</v>
          </cell>
          <cell r="H1695" t="str">
            <v>consulta_externa</v>
          </cell>
          <cell r="J1695" t="str">
            <v>bueno</v>
          </cell>
          <cell r="K1695" t="str">
            <v>defsi</v>
          </cell>
        </row>
        <row r="1696">
          <cell r="B1696" t="b">
            <v>1</v>
          </cell>
          <cell r="E1696" t="str">
            <v>Pontezuela</v>
          </cell>
          <cell r="H1696" t="str">
            <v>salud_oral</v>
          </cell>
          <cell r="J1696" t="str">
            <v>bueno</v>
          </cell>
          <cell r="K1696" t="str">
            <v>defsi</v>
          </cell>
        </row>
        <row r="1697">
          <cell r="B1697" t="b">
            <v>1</v>
          </cell>
          <cell r="E1697" t="str">
            <v>Pontezuela</v>
          </cell>
          <cell r="H1697" t="str">
            <v>consulta_externa</v>
          </cell>
          <cell r="J1697" t="str">
            <v>bueno</v>
          </cell>
          <cell r="K1697" t="str">
            <v>defsi</v>
          </cell>
        </row>
        <row r="1698">
          <cell r="B1698" t="b">
            <v>1</v>
          </cell>
          <cell r="E1698" t="str">
            <v>Pontezuela</v>
          </cell>
          <cell r="H1698" t="str">
            <v>salud_oral</v>
          </cell>
          <cell r="J1698" t="str">
            <v>bueno</v>
          </cell>
          <cell r="K1698" t="str">
            <v>defsi</v>
          </cell>
        </row>
        <row r="1699">
          <cell r="B1699" t="b">
            <v>1</v>
          </cell>
          <cell r="E1699" t="str">
            <v>Pontezuela</v>
          </cell>
          <cell r="H1699" t="str">
            <v>consulta_externa</v>
          </cell>
          <cell r="J1699" t="str">
            <v>bueno</v>
          </cell>
          <cell r="K1699" t="str">
            <v>defsi</v>
          </cell>
        </row>
        <row r="1700">
          <cell r="B1700" t="b">
            <v>1</v>
          </cell>
          <cell r="E1700" t="str">
            <v>Pontezuela</v>
          </cell>
          <cell r="H1700" t="str">
            <v>salud_oral</v>
          </cell>
          <cell r="J1700" t="str">
            <v>bueno</v>
          </cell>
          <cell r="K1700" t="str">
            <v>defsi</v>
          </cell>
        </row>
        <row r="1701">
          <cell r="B1701" t="b">
            <v>1</v>
          </cell>
          <cell r="E1701" t="str">
            <v>Pontezuela</v>
          </cell>
          <cell r="H1701" t="str">
            <v>consulta_externa</v>
          </cell>
          <cell r="J1701" t="str">
            <v>bueno</v>
          </cell>
          <cell r="K1701" t="str">
            <v>defsi</v>
          </cell>
        </row>
        <row r="1702">
          <cell r="B1702" t="b">
            <v>1</v>
          </cell>
          <cell r="E1702" t="str">
            <v>Pontezuela</v>
          </cell>
          <cell r="H1702" t="str">
            <v>salud_oral</v>
          </cell>
          <cell r="J1702" t="str">
            <v>bueno</v>
          </cell>
          <cell r="K1702" t="str">
            <v>defsi</v>
          </cell>
        </row>
        <row r="1703">
          <cell r="B1703" t="b">
            <v>1</v>
          </cell>
          <cell r="E1703" t="str">
            <v>Pontezuela</v>
          </cell>
          <cell r="H1703" t="str">
            <v>consulta_externa</v>
          </cell>
          <cell r="J1703" t="str">
            <v>bueno</v>
          </cell>
          <cell r="K1703" t="str">
            <v>defsi</v>
          </cell>
        </row>
        <row r="1704">
          <cell r="B1704" t="b">
            <v>1</v>
          </cell>
          <cell r="E1704" t="str">
            <v>Pontezuela</v>
          </cell>
          <cell r="H1704" t="str">
            <v>salud_oral</v>
          </cell>
          <cell r="J1704" t="str">
            <v>bueno</v>
          </cell>
          <cell r="K1704" t="str">
            <v>defsi</v>
          </cell>
        </row>
        <row r="1705">
          <cell r="B1705" t="b">
            <v>1</v>
          </cell>
          <cell r="E1705" t="str">
            <v>Pontezuela</v>
          </cell>
          <cell r="H1705" t="str">
            <v>consulta_externa</v>
          </cell>
          <cell r="J1705" t="str">
            <v>bueno</v>
          </cell>
          <cell r="K1705" t="str">
            <v>defsi</v>
          </cell>
        </row>
        <row r="1706">
          <cell r="B1706" t="b">
            <v>1</v>
          </cell>
          <cell r="E1706" t="str">
            <v>Pontezuela</v>
          </cell>
          <cell r="H1706" t="str">
            <v>consulta_externa</v>
          </cell>
          <cell r="J1706" t="str">
            <v>bueno</v>
          </cell>
          <cell r="K1706" t="str">
            <v>defsi</v>
          </cell>
        </row>
        <row r="1707">
          <cell r="B1707" t="b">
            <v>1</v>
          </cell>
          <cell r="E1707" t="str">
            <v>Pontezuela</v>
          </cell>
          <cell r="H1707" t="str">
            <v>consulta_externa</v>
          </cell>
          <cell r="J1707" t="str">
            <v>bueno</v>
          </cell>
          <cell r="K1707" t="str">
            <v>defsi</v>
          </cell>
        </row>
        <row r="1708">
          <cell r="B1708" t="b">
            <v>1</v>
          </cell>
          <cell r="E1708" t="str">
            <v>Pontezuela</v>
          </cell>
          <cell r="H1708" t="str">
            <v>consulta_externa</v>
          </cell>
          <cell r="J1708" t="str">
            <v>bueno</v>
          </cell>
          <cell r="K1708" t="str">
            <v>defsi</v>
          </cell>
        </row>
        <row r="1709">
          <cell r="B1709" t="b">
            <v>1</v>
          </cell>
          <cell r="E1709" t="str">
            <v>Socorro</v>
          </cell>
          <cell r="H1709" t="str">
            <v>consulta_externa</v>
          </cell>
          <cell r="J1709" t="str">
            <v>bueno</v>
          </cell>
          <cell r="K1709" t="str">
            <v>defsi</v>
          </cell>
        </row>
        <row r="1710">
          <cell r="B1710" t="b">
            <v>1</v>
          </cell>
          <cell r="E1710" t="str">
            <v>Socorro</v>
          </cell>
          <cell r="H1710" t="str">
            <v>laboratorio</v>
          </cell>
          <cell r="J1710" t="str">
            <v>bueno</v>
          </cell>
          <cell r="K1710" t="str">
            <v>defsi</v>
          </cell>
        </row>
        <row r="1711">
          <cell r="B1711" t="b">
            <v>1</v>
          </cell>
          <cell r="E1711" t="str">
            <v>Socorro</v>
          </cell>
          <cell r="H1711" t="str">
            <v>laboratorio</v>
          </cell>
          <cell r="J1711" t="str">
            <v>bueno</v>
          </cell>
          <cell r="K1711" t="str">
            <v>defsi</v>
          </cell>
        </row>
        <row r="1712">
          <cell r="B1712" t="b">
            <v>1</v>
          </cell>
          <cell r="E1712" t="str">
            <v>Socorro</v>
          </cell>
          <cell r="H1712" t="str">
            <v>ecografias</v>
          </cell>
          <cell r="J1712" t="str">
            <v>bueno</v>
          </cell>
          <cell r="K1712" t="str">
            <v>defsi</v>
          </cell>
        </row>
        <row r="1713">
          <cell r="B1713" t="b">
            <v>1</v>
          </cell>
          <cell r="E1713" t="str">
            <v>Socorro</v>
          </cell>
          <cell r="H1713" t="str">
            <v>ecografias</v>
          </cell>
          <cell r="J1713" t="str">
            <v>bueno</v>
          </cell>
          <cell r="K1713" t="str">
            <v>defsi</v>
          </cell>
        </row>
        <row r="1714">
          <cell r="B1714" t="b">
            <v>1</v>
          </cell>
          <cell r="E1714" t="str">
            <v>Socorro</v>
          </cell>
          <cell r="H1714" t="str">
            <v>ecografias</v>
          </cell>
          <cell r="J1714" t="str">
            <v>bueno</v>
          </cell>
          <cell r="K1714" t="str">
            <v>defsi</v>
          </cell>
        </row>
        <row r="1715">
          <cell r="B1715" t="b">
            <v>1</v>
          </cell>
          <cell r="E1715" t="str">
            <v>Socorro</v>
          </cell>
          <cell r="H1715" t="str">
            <v>ecografias</v>
          </cell>
          <cell r="J1715" t="str">
            <v>bueno</v>
          </cell>
          <cell r="K1715" t="str">
            <v>defsi</v>
          </cell>
        </row>
        <row r="1716">
          <cell r="B1716" t="b">
            <v>1</v>
          </cell>
          <cell r="E1716" t="str">
            <v>Socorro</v>
          </cell>
          <cell r="H1716" t="str">
            <v>laboratorio</v>
          </cell>
          <cell r="J1716" t="str">
            <v>bueno</v>
          </cell>
          <cell r="K1716" t="str">
            <v>defsi</v>
          </cell>
        </row>
        <row r="1717">
          <cell r="B1717" t="b">
            <v>1</v>
          </cell>
          <cell r="E1717" t="str">
            <v>Socorro</v>
          </cell>
          <cell r="H1717" t="str">
            <v>ecografias</v>
          </cell>
          <cell r="J1717" t="str">
            <v>bueno</v>
          </cell>
          <cell r="K1717" t="str">
            <v>defsi</v>
          </cell>
        </row>
        <row r="1718">
          <cell r="B1718" t="b">
            <v>1</v>
          </cell>
          <cell r="E1718" t="str">
            <v>Socorro</v>
          </cell>
          <cell r="H1718" t="str">
            <v>ecografias</v>
          </cell>
          <cell r="J1718" t="str">
            <v>bueno</v>
          </cell>
          <cell r="K1718" t="str">
            <v>defsi</v>
          </cell>
        </row>
        <row r="1719">
          <cell r="B1719" t="b">
            <v>1</v>
          </cell>
          <cell r="E1719" t="str">
            <v>Foco Rojo</v>
          </cell>
          <cell r="H1719" t="str">
            <v>consulta_externa</v>
          </cell>
          <cell r="J1719" t="str">
            <v>bueno</v>
          </cell>
          <cell r="K1719" t="str">
            <v>defsi</v>
          </cell>
        </row>
        <row r="1720">
          <cell r="B1720" t="b">
            <v>1</v>
          </cell>
          <cell r="E1720" t="str">
            <v>Foco Rojo</v>
          </cell>
          <cell r="H1720" t="str">
            <v>salud_oral</v>
          </cell>
          <cell r="J1720" t="str">
            <v>bueno</v>
          </cell>
          <cell r="K1720" t="str">
            <v>defsi</v>
          </cell>
        </row>
        <row r="1721">
          <cell r="B1721" t="b">
            <v>1</v>
          </cell>
          <cell r="E1721" t="str">
            <v>Foco Rojo</v>
          </cell>
          <cell r="H1721" t="str">
            <v>laboratorio</v>
          </cell>
          <cell r="J1721" t="str">
            <v>bueno</v>
          </cell>
          <cell r="K1721" t="str">
            <v>defsi</v>
          </cell>
        </row>
        <row r="1722">
          <cell r="B1722" t="b">
            <v>1</v>
          </cell>
          <cell r="E1722" t="str">
            <v>Foco Rojo</v>
          </cell>
          <cell r="H1722" t="str">
            <v>consulta_externa</v>
          </cell>
          <cell r="J1722" t="str">
            <v>bueno</v>
          </cell>
          <cell r="K1722" t="str">
            <v>defsi</v>
          </cell>
        </row>
        <row r="1723">
          <cell r="B1723" t="b">
            <v>1</v>
          </cell>
          <cell r="E1723" t="str">
            <v>Foco Rojo</v>
          </cell>
          <cell r="H1723" t="str">
            <v>salud_oral</v>
          </cell>
          <cell r="J1723" t="str">
            <v>bueno</v>
          </cell>
          <cell r="K1723" t="str">
            <v>defsi</v>
          </cell>
        </row>
        <row r="1724">
          <cell r="B1724" t="b">
            <v>1</v>
          </cell>
          <cell r="E1724" t="str">
            <v>San Pedro y Libertad</v>
          </cell>
          <cell r="H1724" t="str">
            <v>consulta_externa</v>
          </cell>
          <cell r="J1724" t="str">
            <v>muybueno</v>
          </cell>
          <cell r="K1724" t="str">
            <v>defsi</v>
          </cell>
        </row>
        <row r="1725">
          <cell r="B1725" t="b">
            <v>1</v>
          </cell>
          <cell r="E1725" t="str">
            <v>San Pedro y Libertad</v>
          </cell>
          <cell r="H1725" t="str">
            <v>laboratorio</v>
          </cell>
          <cell r="J1725" t="str">
            <v>muybueno</v>
          </cell>
          <cell r="K1725" t="str">
            <v>defsi</v>
          </cell>
        </row>
        <row r="1726">
          <cell r="B1726" t="b">
            <v>1</v>
          </cell>
          <cell r="E1726" t="str">
            <v>San Pedro y Libertad</v>
          </cell>
          <cell r="H1726" t="str">
            <v>consulta_externa</v>
          </cell>
          <cell r="J1726" t="str">
            <v>bueno</v>
          </cell>
          <cell r="K1726" t="str">
            <v>defsi</v>
          </cell>
        </row>
        <row r="1727">
          <cell r="B1727" t="b">
            <v>1</v>
          </cell>
          <cell r="E1727" t="str">
            <v>San Pedro y Libertad</v>
          </cell>
          <cell r="H1727" t="str">
            <v>salud_oral</v>
          </cell>
          <cell r="J1727" t="str">
            <v>bueno</v>
          </cell>
          <cell r="K1727" t="str">
            <v>defsi</v>
          </cell>
        </row>
        <row r="1728">
          <cell r="B1728" t="b">
            <v>1</v>
          </cell>
          <cell r="E1728" t="str">
            <v>San Pedro y Libertad</v>
          </cell>
          <cell r="H1728" t="str">
            <v>consulta_externa</v>
          </cell>
          <cell r="J1728" t="str">
            <v>bueno</v>
          </cell>
          <cell r="K1728" t="str">
            <v>defsi</v>
          </cell>
        </row>
        <row r="1729">
          <cell r="B1729" t="b">
            <v>1</v>
          </cell>
          <cell r="E1729" t="str">
            <v>San Pedro y Libertad</v>
          </cell>
          <cell r="H1729" t="str">
            <v>salud_oral</v>
          </cell>
          <cell r="J1729" t="str">
            <v>bueno</v>
          </cell>
          <cell r="K1729" t="str">
            <v>defsi</v>
          </cell>
        </row>
        <row r="1730">
          <cell r="B1730" t="b">
            <v>1</v>
          </cell>
          <cell r="E1730" t="str">
            <v>San Pedro y Libertad</v>
          </cell>
          <cell r="H1730" t="str">
            <v>salud_oral</v>
          </cell>
          <cell r="J1730" t="str">
            <v>bueno</v>
          </cell>
          <cell r="K1730" t="str">
            <v>defsi</v>
          </cell>
        </row>
        <row r="1731">
          <cell r="B1731" t="b">
            <v>1</v>
          </cell>
          <cell r="E1731" t="str">
            <v>San Pedro y Libertad</v>
          </cell>
          <cell r="H1731" t="str">
            <v>consulta_externa</v>
          </cell>
          <cell r="J1731" t="str">
            <v>bueno</v>
          </cell>
          <cell r="K1731" t="str">
            <v>defsi</v>
          </cell>
        </row>
        <row r="1732">
          <cell r="B1732" t="b">
            <v>1</v>
          </cell>
          <cell r="E1732" t="str">
            <v>San Pedro y Libertad</v>
          </cell>
          <cell r="H1732" t="str">
            <v>consulta_externa</v>
          </cell>
          <cell r="J1732" t="str">
            <v>bueno</v>
          </cell>
          <cell r="K1732" t="str">
            <v>defsi</v>
          </cell>
        </row>
        <row r="1733">
          <cell r="B1733" t="b">
            <v>1</v>
          </cell>
          <cell r="E1733" t="str">
            <v>San Pedro y Libertad</v>
          </cell>
          <cell r="H1733" t="str">
            <v>laboratorio</v>
          </cell>
          <cell r="J1733" t="str">
            <v>bueno</v>
          </cell>
          <cell r="K1733" t="str">
            <v>defsi</v>
          </cell>
        </row>
        <row r="1734">
          <cell r="B1734" t="b">
            <v>1</v>
          </cell>
          <cell r="E1734" t="str">
            <v>Foco Rojo</v>
          </cell>
          <cell r="H1734" t="str">
            <v>laboratorio</v>
          </cell>
          <cell r="J1734" t="str">
            <v>bueno</v>
          </cell>
          <cell r="K1734" t="str">
            <v>defsi</v>
          </cell>
        </row>
        <row r="1735">
          <cell r="B1735" t="b">
            <v>1</v>
          </cell>
          <cell r="E1735" t="str">
            <v>Foco Rojo</v>
          </cell>
          <cell r="H1735" t="str">
            <v>consulta_externa</v>
          </cell>
          <cell r="J1735" t="str">
            <v>bueno</v>
          </cell>
          <cell r="K1735" t="str">
            <v>defsi</v>
          </cell>
        </row>
        <row r="1736">
          <cell r="B1736" t="b">
            <v>1</v>
          </cell>
          <cell r="E1736" t="str">
            <v>San Pedro y Libertad</v>
          </cell>
          <cell r="H1736" t="str">
            <v>consulta_externa</v>
          </cell>
          <cell r="J1736" t="str">
            <v>bueno</v>
          </cell>
          <cell r="K1736" t="str">
            <v>defsi</v>
          </cell>
        </row>
        <row r="1737">
          <cell r="B1737" t="b">
            <v>1</v>
          </cell>
          <cell r="E1737" t="str">
            <v>Foco Rojo</v>
          </cell>
          <cell r="H1737" t="str">
            <v>salud_oral</v>
          </cell>
          <cell r="J1737" t="str">
            <v>bueno</v>
          </cell>
          <cell r="K1737" t="str">
            <v>defsi</v>
          </cell>
        </row>
        <row r="1738">
          <cell r="B1738" t="b">
            <v>1</v>
          </cell>
          <cell r="E1738" t="str">
            <v>San Pedro y Libertad</v>
          </cell>
          <cell r="H1738" t="str">
            <v>consulta_externa</v>
          </cell>
          <cell r="J1738" t="str">
            <v>bueno</v>
          </cell>
          <cell r="K1738" t="str">
            <v>defsi</v>
          </cell>
        </row>
        <row r="1739">
          <cell r="B1739" t="b">
            <v>1</v>
          </cell>
          <cell r="E1739" t="str">
            <v>San Pedro y Libertad</v>
          </cell>
          <cell r="H1739" t="str">
            <v>consulta_externa</v>
          </cell>
          <cell r="J1739" t="str">
            <v>bueno</v>
          </cell>
          <cell r="K1739" t="str">
            <v>defsi</v>
          </cell>
        </row>
        <row r="1740">
          <cell r="B1740" t="b">
            <v>1</v>
          </cell>
          <cell r="E1740" t="str">
            <v>Foco Rojo</v>
          </cell>
          <cell r="H1740" t="str">
            <v>laboratorio</v>
          </cell>
          <cell r="J1740" t="str">
            <v>bueno</v>
          </cell>
          <cell r="K1740" t="str">
            <v>defsi</v>
          </cell>
        </row>
        <row r="1741">
          <cell r="B1741" t="b">
            <v>1</v>
          </cell>
          <cell r="E1741" t="str">
            <v>San Pedro y Libertad</v>
          </cell>
          <cell r="H1741" t="str">
            <v>consulta_externa</v>
          </cell>
          <cell r="J1741" t="str">
            <v>bueno</v>
          </cell>
          <cell r="K1741" t="str">
            <v>defsi</v>
          </cell>
        </row>
        <row r="1742">
          <cell r="B1742" t="b">
            <v>1</v>
          </cell>
          <cell r="E1742" t="str">
            <v>Foco Rojo</v>
          </cell>
          <cell r="H1742" t="str">
            <v>consulta_externa</v>
          </cell>
          <cell r="J1742" t="str">
            <v>bueno</v>
          </cell>
          <cell r="K1742" t="str">
            <v>defsi</v>
          </cell>
        </row>
        <row r="1743">
          <cell r="B1743" t="b">
            <v>1</v>
          </cell>
          <cell r="E1743" t="str">
            <v>Foco Rojo</v>
          </cell>
          <cell r="H1743" t="str">
            <v>salud_oral</v>
          </cell>
          <cell r="J1743" t="str">
            <v>bueno</v>
          </cell>
          <cell r="K1743" t="str">
            <v>defsi</v>
          </cell>
        </row>
        <row r="1744">
          <cell r="B1744" t="b">
            <v>1</v>
          </cell>
          <cell r="E1744" t="str">
            <v>Foco Rojo</v>
          </cell>
          <cell r="H1744" t="str">
            <v>laboratorio</v>
          </cell>
          <cell r="J1744" t="str">
            <v>bueno</v>
          </cell>
          <cell r="K1744" t="str">
            <v>defsi</v>
          </cell>
        </row>
        <row r="1745">
          <cell r="B1745" t="b">
            <v>1</v>
          </cell>
          <cell r="E1745" t="str">
            <v>Foco Rojo</v>
          </cell>
          <cell r="H1745" t="str">
            <v>consulta_externa</v>
          </cell>
          <cell r="J1745" t="str">
            <v>bueno</v>
          </cell>
          <cell r="K1745" t="str">
            <v>defsi</v>
          </cell>
        </row>
        <row r="1746">
          <cell r="B1746" t="b">
            <v>1</v>
          </cell>
          <cell r="E1746" t="str">
            <v>Foco Rojo</v>
          </cell>
          <cell r="H1746" t="str">
            <v>salud_oral</v>
          </cell>
          <cell r="J1746" t="str">
            <v>bueno</v>
          </cell>
          <cell r="K1746" t="str">
            <v>defsi</v>
          </cell>
        </row>
        <row r="1747">
          <cell r="B1747" t="b">
            <v>1</v>
          </cell>
          <cell r="E1747" t="str">
            <v>Foco Rojo</v>
          </cell>
          <cell r="H1747" t="str">
            <v>laboratorio</v>
          </cell>
          <cell r="J1747" t="str">
            <v>bueno</v>
          </cell>
          <cell r="K1747" t="str">
            <v>defsi</v>
          </cell>
        </row>
        <row r="1748">
          <cell r="B1748" t="b">
            <v>1</v>
          </cell>
          <cell r="E1748" t="str">
            <v>Foco Rojo</v>
          </cell>
          <cell r="H1748" t="str">
            <v>consulta_externa</v>
          </cell>
          <cell r="J1748" t="str">
            <v>bueno</v>
          </cell>
          <cell r="K1748" t="str">
            <v>defsi</v>
          </cell>
        </row>
        <row r="1749">
          <cell r="B1749" t="b">
            <v>1</v>
          </cell>
          <cell r="E1749" t="str">
            <v>Foco Rojo</v>
          </cell>
          <cell r="H1749" t="str">
            <v>salud_oral</v>
          </cell>
          <cell r="J1749" t="str">
            <v>bueno</v>
          </cell>
          <cell r="K1749" t="str">
            <v>defsi</v>
          </cell>
        </row>
        <row r="1750">
          <cell r="B1750" t="b">
            <v>1</v>
          </cell>
          <cell r="E1750" t="str">
            <v>Foco Rojo</v>
          </cell>
          <cell r="H1750" t="str">
            <v>laboratorio</v>
          </cell>
          <cell r="J1750" t="str">
            <v>bueno</v>
          </cell>
          <cell r="K1750" t="str">
            <v>defsi</v>
          </cell>
        </row>
        <row r="1751">
          <cell r="B1751" t="b">
            <v>1</v>
          </cell>
          <cell r="E1751" t="str">
            <v>San Pedro y Libertad</v>
          </cell>
          <cell r="H1751" t="str">
            <v>consulta_externa</v>
          </cell>
          <cell r="J1751" t="str">
            <v>bueno</v>
          </cell>
          <cell r="K1751" t="str">
            <v>defsi</v>
          </cell>
        </row>
        <row r="1752">
          <cell r="B1752" t="b">
            <v>1</v>
          </cell>
          <cell r="E1752" t="str">
            <v>Foco Rojo</v>
          </cell>
          <cell r="H1752" t="str">
            <v>consulta_externa</v>
          </cell>
          <cell r="J1752" t="str">
            <v>bueno</v>
          </cell>
          <cell r="K1752" t="str">
            <v>defsi</v>
          </cell>
        </row>
        <row r="1753">
          <cell r="B1753" t="b">
            <v>1</v>
          </cell>
          <cell r="E1753" t="str">
            <v>Foco Rojo</v>
          </cell>
          <cell r="H1753" t="str">
            <v>salud_oral</v>
          </cell>
          <cell r="J1753" t="str">
            <v>bueno</v>
          </cell>
          <cell r="K1753" t="str">
            <v>defsi</v>
          </cell>
        </row>
        <row r="1754">
          <cell r="B1754" t="b">
            <v>1</v>
          </cell>
          <cell r="E1754" t="str">
            <v>Foco Rojo</v>
          </cell>
          <cell r="H1754" t="str">
            <v>laboratorio</v>
          </cell>
          <cell r="J1754" t="str">
            <v>bueno</v>
          </cell>
          <cell r="K1754" t="str">
            <v>defsi</v>
          </cell>
        </row>
        <row r="1755">
          <cell r="B1755" t="b">
            <v>1</v>
          </cell>
          <cell r="E1755" t="str">
            <v>San Pedro y Libertad</v>
          </cell>
          <cell r="H1755" t="str">
            <v>laboratorio</v>
          </cell>
          <cell r="J1755" t="str">
            <v>muybueno</v>
          </cell>
          <cell r="K1755" t="str">
            <v>defsi</v>
          </cell>
        </row>
        <row r="1756">
          <cell r="B1756" t="b">
            <v>1</v>
          </cell>
          <cell r="E1756" t="str">
            <v>San Pedro y Libertad</v>
          </cell>
          <cell r="H1756" t="str">
            <v>consulta_externa</v>
          </cell>
          <cell r="J1756" t="str">
            <v>muybueno</v>
          </cell>
          <cell r="K1756" t="str">
            <v>defsi</v>
          </cell>
        </row>
        <row r="1757">
          <cell r="B1757" t="b">
            <v>1</v>
          </cell>
          <cell r="E1757" t="str">
            <v>Foco Rojo</v>
          </cell>
          <cell r="H1757" t="str">
            <v>consulta_externa</v>
          </cell>
          <cell r="J1757" t="str">
            <v>bueno</v>
          </cell>
          <cell r="K1757" t="str">
            <v>defsi</v>
          </cell>
        </row>
        <row r="1758">
          <cell r="B1758" t="b">
            <v>1</v>
          </cell>
          <cell r="E1758" t="str">
            <v>Foco Rojo</v>
          </cell>
          <cell r="H1758" t="str">
            <v>salud_oral</v>
          </cell>
          <cell r="J1758" t="str">
            <v>bueno</v>
          </cell>
          <cell r="K1758" t="str">
            <v>defsi</v>
          </cell>
        </row>
        <row r="1759">
          <cell r="B1759" t="b">
            <v>1</v>
          </cell>
          <cell r="E1759" t="str">
            <v>Foco Rojo</v>
          </cell>
          <cell r="H1759" t="str">
            <v>laboratorio</v>
          </cell>
          <cell r="J1759" t="str">
            <v>bueno</v>
          </cell>
          <cell r="K1759" t="str">
            <v>defsi</v>
          </cell>
        </row>
        <row r="1760">
          <cell r="B1760" t="b">
            <v>1</v>
          </cell>
          <cell r="E1760" t="str">
            <v>San Pedro y Libertad</v>
          </cell>
          <cell r="H1760" t="str">
            <v>laboratorio</v>
          </cell>
          <cell r="J1760" t="str">
            <v>bueno</v>
          </cell>
          <cell r="K1760" t="str">
            <v>defsi</v>
          </cell>
        </row>
        <row r="1761">
          <cell r="B1761" t="b">
            <v>1</v>
          </cell>
          <cell r="E1761" t="str">
            <v>San Pedro y Libertad</v>
          </cell>
          <cell r="H1761" t="str">
            <v>laboratorio</v>
          </cell>
          <cell r="J1761" t="str">
            <v>bueno</v>
          </cell>
          <cell r="K1761" t="str">
            <v>defsi</v>
          </cell>
        </row>
        <row r="1762">
          <cell r="B1762" t="b">
            <v>1</v>
          </cell>
          <cell r="E1762" t="str">
            <v>San Pedro y Libertad</v>
          </cell>
          <cell r="H1762" t="str">
            <v>laboratorio</v>
          </cell>
          <cell r="J1762" t="str">
            <v>bueno</v>
          </cell>
          <cell r="K1762" t="str">
            <v>defsi</v>
          </cell>
        </row>
        <row r="1763">
          <cell r="B1763" t="b">
            <v>1</v>
          </cell>
          <cell r="E1763" t="str">
            <v>San Pedro y Libertad</v>
          </cell>
          <cell r="H1763" t="str">
            <v>laboratorio</v>
          </cell>
          <cell r="J1763" t="str">
            <v>bueno</v>
          </cell>
          <cell r="K1763" t="str">
            <v>defsi</v>
          </cell>
        </row>
        <row r="1764">
          <cell r="B1764" t="b">
            <v>1</v>
          </cell>
          <cell r="E1764" t="str">
            <v>San Pedro y Libertad</v>
          </cell>
          <cell r="H1764" t="str">
            <v>laboratorio</v>
          </cell>
          <cell r="J1764" t="str">
            <v>bueno</v>
          </cell>
          <cell r="K1764" t="str">
            <v>defsi</v>
          </cell>
        </row>
        <row r="1765">
          <cell r="B1765" t="b">
            <v>1</v>
          </cell>
          <cell r="E1765" t="str">
            <v>San Pedro y Libertad</v>
          </cell>
          <cell r="H1765" t="str">
            <v>salud_oral</v>
          </cell>
          <cell r="J1765" t="str">
            <v>bueno</v>
          </cell>
          <cell r="K1765" t="str">
            <v>defsi</v>
          </cell>
        </row>
        <row r="1766">
          <cell r="B1766" t="b">
            <v>1</v>
          </cell>
          <cell r="E1766" t="str">
            <v>San Pedro y Libertad</v>
          </cell>
          <cell r="H1766" t="str">
            <v>salud_oral</v>
          </cell>
          <cell r="J1766" t="str">
            <v>bueno</v>
          </cell>
          <cell r="K1766" t="str">
            <v>defsi</v>
          </cell>
        </row>
        <row r="1767">
          <cell r="B1767" t="b">
            <v>1</v>
          </cell>
          <cell r="E1767" t="str">
            <v>San Pedro y Libertad</v>
          </cell>
          <cell r="H1767" t="str">
            <v>salud_oral</v>
          </cell>
          <cell r="J1767" t="str">
            <v>bueno</v>
          </cell>
          <cell r="K1767" t="str">
            <v>defsi</v>
          </cell>
        </row>
        <row r="1768">
          <cell r="B1768" t="b">
            <v>1</v>
          </cell>
          <cell r="E1768" t="str">
            <v>San Pedro y Libertad</v>
          </cell>
          <cell r="H1768" t="str">
            <v>salud_oral</v>
          </cell>
          <cell r="J1768" t="str">
            <v>muybueno</v>
          </cell>
          <cell r="K1768" t="str">
            <v>defsi</v>
          </cell>
        </row>
        <row r="1769">
          <cell r="B1769" t="b">
            <v>1</v>
          </cell>
          <cell r="E1769" t="str">
            <v>San Pedro y Libertad</v>
          </cell>
          <cell r="H1769" t="str">
            <v>salud_oral</v>
          </cell>
          <cell r="J1769" t="str">
            <v>bueno</v>
          </cell>
          <cell r="K1769" t="str">
            <v>defsi</v>
          </cell>
        </row>
        <row r="1770">
          <cell r="B1770" t="b">
            <v>1</v>
          </cell>
          <cell r="E1770" t="str">
            <v>San Pedro y Libertad</v>
          </cell>
          <cell r="H1770" t="str">
            <v>salud_oral</v>
          </cell>
          <cell r="J1770" t="str">
            <v>bueno</v>
          </cell>
          <cell r="K1770" t="str">
            <v>defsi</v>
          </cell>
        </row>
        <row r="1771">
          <cell r="B1771" t="b">
            <v>1</v>
          </cell>
          <cell r="E1771" t="str">
            <v>San Pedro y Libertad</v>
          </cell>
          <cell r="H1771" t="str">
            <v>salud_oral</v>
          </cell>
          <cell r="J1771" t="str">
            <v>muybueno</v>
          </cell>
          <cell r="K1771" t="str">
            <v>defsi</v>
          </cell>
        </row>
        <row r="1772">
          <cell r="B1772" t="b">
            <v>1</v>
          </cell>
          <cell r="E1772" t="str">
            <v>San Pedro y Libertad</v>
          </cell>
          <cell r="H1772" t="str">
            <v>salud_oral</v>
          </cell>
          <cell r="J1772" t="str">
            <v>bueno</v>
          </cell>
          <cell r="K1772" t="str">
            <v>defsi</v>
          </cell>
        </row>
        <row r="1773">
          <cell r="B1773" t="b">
            <v>1</v>
          </cell>
          <cell r="E1773" t="str">
            <v>San Pedro y Libertad</v>
          </cell>
          <cell r="H1773" t="str">
            <v>salud_oral</v>
          </cell>
          <cell r="J1773" t="str">
            <v>bueno</v>
          </cell>
          <cell r="K1773" t="str">
            <v>defsi</v>
          </cell>
        </row>
        <row r="1774">
          <cell r="B1774" t="b">
            <v>1</v>
          </cell>
          <cell r="E1774" t="str">
            <v>San Pedro y Libertad</v>
          </cell>
          <cell r="H1774" t="str">
            <v>salud_oral</v>
          </cell>
          <cell r="J1774" t="str">
            <v>bueno</v>
          </cell>
          <cell r="K1774" t="str">
            <v>defsi</v>
          </cell>
        </row>
        <row r="1775">
          <cell r="B1775" t="b">
            <v>1</v>
          </cell>
          <cell r="E1775" t="str">
            <v>San Pedro y Libertad</v>
          </cell>
          <cell r="H1775" t="str">
            <v>laboratorio</v>
          </cell>
          <cell r="J1775" t="str">
            <v>bueno</v>
          </cell>
          <cell r="K1775" t="str">
            <v>defsi</v>
          </cell>
        </row>
        <row r="1776">
          <cell r="B1776" t="b">
            <v>1</v>
          </cell>
          <cell r="E1776" t="str">
            <v>San Pedro y Libertad</v>
          </cell>
          <cell r="H1776" t="str">
            <v>laboratorio</v>
          </cell>
          <cell r="J1776" t="str">
            <v>bueno</v>
          </cell>
          <cell r="K1776" t="str">
            <v>defsi</v>
          </cell>
        </row>
        <row r="1777">
          <cell r="B1777" t="b">
            <v>1</v>
          </cell>
          <cell r="E1777" t="str">
            <v>San Pedro y Libertad</v>
          </cell>
          <cell r="H1777" t="str">
            <v>laboratorio</v>
          </cell>
          <cell r="J1777" t="str">
            <v>bueno</v>
          </cell>
          <cell r="K1777" t="str">
            <v>defsi</v>
          </cell>
        </row>
        <row r="1778">
          <cell r="B1778" t="b">
            <v>1</v>
          </cell>
          <cell r="E1778" t="str">
            <v>San Pedro y Libertad</v>
          </cell>
          <cell r="H1778" t="str">
            <v>laboratorio</v>
          </cell>
          <cell r="J1778" t="str">
            <v>bueno</v>
          </cell>
          <cell r="K1778" t="str">
            <v>defsi</v>
          </cell>
        </row>
        <row r="1779">
          <cell r="B1779" t="b">
            <v>1</v>
          </cell>
          <cell r="E1779" t="str">
            <v>San Pedro y Libertad</v>
          </cell>
          <cell r="H1779" t="str">
            <v>laboratorio</v>
          </cell>
          <cell r="J1779" t="str">
            <v>bueno</v>
          </cell>
          <cell r="K1779" t="str">
            <v>defsi</v>
          </cell>
        </row>
        <row r="1780">
          <cell r="B1780" t="b">
            <v>1</v>
          </cell>
          <cell r="E1780" t="str">
            <v>Foco Rojo</v>
          </cell>
          <cell r="H1780" t="str">
            <v>consulta_externa</v>
          </cell>
          <cell r="J1780" t="str">
            <v>bueno</v>
          </cell>
          <cell r="K1780" t="str">
            <v>defsi</v>
          </cell>
        </row>
        <row r="1781">
          <cell r="B1781" t="b">
            <v>1</v>
          </cell>
          <cell r="E1781" t="str">
            <v>Foco Rojo</v>
          </cell>
          <cell r="H1781" t="str">
            <v>salud_oral</v>
          </cell>
          <cell r="J1781" t="str">
            <v>bueno</v>
          </cell>
          <cell r="K1781" t="str">
            <v>defsi</v>
          </cell>
        </row>
        <row r="1782">
          <cell r="B1782" t="b">
            <v>1</v>
          </cell>
          <cell r="E1782" t="str">
            <v>Foco Rojo</v>
          </cell>
          <cell r="H1782" t="str">
            <v>laboratorio</v>
          </cell>
          <cell r="J1782" t="str">
            <v>bueno</v>
          </cell>
          <cell r="K1782" t="str">
            <v>defsi</v>
          </cell>
        </row>
        <row r="1783">
          <cell r="B1783" t="b">
            <v>1</v>
          </cell>
          <cell r="E1783" t="str">
            <v>Foco Rojo</v>
          </cell>
          <cell r="H1783" t="str">
            <v>consulta_externa</v>
          </cell>
          <cell r="J1783" t="str">
            <v>bueno</v>
          </cell>
          <cell r="K1783" t="str">
            <v>defsi</v>
          </cell>
        </row>
        <row r="1784">
          <cell r="B1784" t="b">
            <v>1</v>
          </cell>
          <cell r="E1784" t="str">
            <v>Foco Rojo</v>
          </cell>
          <cell r="H1784" t="str">
            <v>salud_oral</v>
          </cell>
          <cell r="J1784" t="str">
            <v>bueno</v>
          </cell>
          <cell r="K1784" t="str">
            <v>defsi</v>
          </cell>
        </row>
        <row r="1785">
          <cell r="B1785" t="b">
            <v>1</v>
          </cell>
          <cell r="E1785" t="str">
            <v>Foco Rojo</v>
          </cell>
          <cell r="H1785" t="str">
            <v>laboratorio</v>
          </cell>
          <cell r="J1785" t="str">
            <v>bueno</v>
          </cell>
          <cell r="K1785" t="str">
            <v>defsi</v>
          </cell>
        </row>
        <row r="1786">
          <cell r="B1786" t="b">
            <v>1</v>
          </cell>
          <cell r="E1786" t="str">
            <v>Foco Rojo</v>
          </cell>
          <cell r="H1786" t="str">
            <v>consulta_externa</v>
          </cell>
          <cell r="J1786" t="str">
            <v>bueno</v>
          </cell>
          <cell r="K1786" t="str">
            <v>defsi</v>
          </cell>
        </row>
        <row r="1787">
          <cell r="B1787" t="b">
            <v>1</v>
          </cell>
          <cell r="E1787" t="str">
            <v>Foco Rojo</v>
          </cell>
          <cell r="H1787" t="str">
            <v>salud_oral</v>
          </cell>
          <cell r="J1787" t="str">
            <v>bueno</v>
          </cell>
          <cell r="K1787" t="str">
            <v>defsi</v>
          </cell>
        </row>
        <row r="1788">
          <cell r="B1788" t="b">
            <v>1</v>
          </cell>
          <cell r="E1788" t="str">
            <v>Foco Rojo</v>
          </cell>
          <cell r="H1788" t="str">
            <v>laboratorio</v>
          </cell>
          <cell r="J1788" t="str">
            <v>bueno</v>
          </cell>
          <cell r="K1788" t="str">
            <v>defsi</v>
          </cell>
        </row>
        <row r="1789">
          <cell r="B1789" t="b">
            <v>1</v>
          </cell>
          <cell r="E1789" t="str">
            <v>Foco Rojo</v>
          </cell>
          <cell r="H1789" t="str">
            <v>consulta_externa</v>
          </cell>
          <cell r="J1789" t="str">
            <v>bueno</v>
          </cell>
          <cell r="K1789" t="str">
            <v>defsi</v>
          </cell>
        </row>
        <row r="1790">
          <cell r="B1790" t="b">
            <v>1</v>
          </cell>
          <cell r="E1790" t="str">
            <v>Foco Rojo</v>
          </cell>
          <cell r="H1790" t="str">
            <v>salud_oral</v>
          </cell>
          <cell r="J1790" t="str">
            <v>bueno</v>
          </cell>
          <cell r="K1790" t="str">
            <v>defsi</v>
          </cell>
        </row>
        <row r="1791">
          <cell r="B1791" t="b">
            <v>1</v>
          </cell>
          <cell r="E1791" t="str">
            <v>Esperanza</v>
          </cell>
          <cell r="H1791" t="str">
            <v>consulta_externa</v>
          </cell>
          <cell r="J1791" t="str">
            <v>bueno</v>
          </cell>
          <cell r="K1791" t="str">
            <v>defsi</v>
          </cell>
        </row>
        <row r="1792">
          <cell r="B1792" t="b">
            <v>1</v>
          </cell>
          <cell r="E1792" t="str">
            <v>Esperanza</v>
          </cell>
          <cell r="H1792" t="str">
            <v>consulta_externa</v>
          </cell>
          <cell r="J1792" t="str">
            <v>bueno</v>
          </cell>
          <cell r="K1792" t="str">
            <v>defsi</v>
          </cell>
        </row>
        <row r="1793">
          <cell r="B1793" t="b">
            <v>1</v>
          </cell>
          <cell r="E1793" t="str">
            <v>Esperanza</v>
          </cell>
          <cell r="H1793" t="str">
            <v>laboratorio</v>
          </cell>
          <cell r="J1793" t="str">
            <v>bueno</v>
          </cell>
          <cell r="K1793" t="str">
            <v>defsi</v>
          </cell>
        </row>
        <row r="1794">
          <cell r="B1794" t="b">
            <v>1</v>
          </cell>
          <cell r="E1794" t="str">
            <v>Esperanza</v>
          </cell>
          <cell r="H1794" t="str">
            <v>laboratorio</v>
          </cell>
          <cell r="J1794" t="str">
            <v>bueno</v>
          </cell>
          <cell r="K1794" t="str">
            <v>defsi</v>
          </cell>
        </row>
        <row r="1795">
          <cell r="B1795" t="b">
            <v>0</v>
          </cell>
          <cell r="E1795" t="str">
            <v>Esperanza</v>
          </cell>
          <cell r="H1795" t="str">
            <v>consulta_externa</v>
          </cell>
          <cell r="J1795" t="str">
            <v>malo</v>
          </cell>
          <cell r="K1795" t="str">
            <v>probsi</v>
          </cell>
        </row>
        <row r="1796">
          <cell r="B1796" t="b">
            <v>1</v>
          </cell>
          <cell r="E1796" t="str">
            <v>Esperanza</v>
          </cell>
          <cell r="H1796" t="str">
            <v>electros</v>
          </cell>
          <cell r="J1796" t="str">
            <v>bueno</v>
          </cell>
          <cell r="K1796" t="str">
            <v>defsi</v>
          </cell>
        </row>
        <row r="1797">
          <cell r="B1797" t="b">
            <v>1</v>
          </cell>
          <cell r="E1797" t="str">
            <v>Esperanza</v>
          </cell>
          <cell r="H1797" t="str">
            <v>consulta_externa</v>
          </cell>
          <cell r="J1797" t="str">
            <v>bueno</v>
          </cell>
          <cell r="K1797" t="str">
            <v>defsi</v>
          </cell>
        </row>
        <row r="1798">
          <cell r="B1798" t="b">
            <v>1</v>
          </cell>
          <cell r="E1798" t="str">
            <v>Esperanza</v>
          </cell>
          <cell r="H1798" t="str">
            <v>consulta_externa</v>
          </cell>
          <cell r="J1798" t="str">
            <v>bueno</v>
          </cell>
          <cell r="K1798" t="str">
            <v>defsi</v>
          </cell>
        </row>
        <row r="1799">
          <cell r="B1799" t="b">
            <v>1</v>
          </cell>
          <cell r="E1799" t="str">
            <v>Esperanza</v>
          </cell>
          <cell r="H1799" t="str">
            <v>salud_oral</v>
          </cell>
          <cell r="J1799" t="str">
            <v>bueno</v>
          </cell>
          <cell r="K1799" t="str">
            <v>defsi</v>
          </cell>
        </row>
        <row r="1800">
          <cell r="B1800" t="b">
            <v>1</v>
          </cell>
          <cell r="E1800" t="str">
            <v>Esperanza</v>
          </cell>
          <cell r="H1800" t="str">
            <v>consulta_externa</v>
          </cell>
          <cell r="J1800" t="str">
            <v>bueno</v>
          </cell>
          <cell r="K1800" t="str">
            <v>defsi</v>
          </cell>
        </row>
        <row r="1801">
          <cell r="B1801" t="b">
            <v>1</v>
          </cell>
          <cell r="E1801" t="str">
            <v>Esperanza</v>
          </cell>
          <cell r="H1801" t="str">
            <v>consulta_externa</v>
          </cell>
          <cell r="J1801" t="str">
            <v>bueno</v>
          </cell>
          <cell r="K1801" t="str">
            <v>defsi</v>
          </cell>
        </row>
        <row r="1802">
          <cell r="B1802" t="b">
            <v>1</v>
          </cell>
          <cell r="E1802" t="str">
            <v>Esperanza</v>
          </cell>
          <cell r="H1802" t="str">
            <v>salud_oral</v>
          </cell>
          <cell r="J1802" t="str">
            <v>bueno</v>
          </cell>
          <cell r="K1802" t="str">
            <v>defsi</v>
          </cell>
        </row>
        <row r="1803">
          <cell r="B1803" t="b">
            <v>1</v>
          </cell>
          <cell r="E1803" t="str">
            <v>Esperanza</v>
          </cell>
          <cell r="H1803" t="str">
            <v>consulta_externa</v>
          </cell>
          <cell r="J1803" t="str">
            <v>bueno</v>
          </cell>
          <cell r="K1803" t="str">
            <v>defsi</v>
          </cell>
        </row>
        <row r="1804">
          <cell r="B1804" t="b">
            <v>1</v>
          </cell>
          <cell r="E1804" t="str">
            <v>Esperanza</v>
          </cell>
          <cell r="H1804" t="str">
            <v>laboratorio</v>
          </cell>
          <cell r="J1804" t="str">
            <v>bueno</v>
          </cell>
          <cell r="K1804" t="str">
            <v>defsi</v>
          </cell>
        </row>
        <row r="1805">
          <cell r="B1805" t="b">
            <v>1</v>
          </cell>
          <cell r="E1805" t="str">
            <v>Esperanza</v>
          </cell>
          <cell r="H1805" t="str">
            <v>salud_oral</v>
          </cell>
          <cell r="J1805" t="str">
            <v>bueno</v>
          </cell>
          <cell r="K1805" t="str">
            <v>defsi</v>
          </cell>
        </row>
        <row r="1806">
          <cell r="B1806" t="b">
            <v>1</v>
          </cell>
          <cell r="E1806" t="str">
            <v>Esperanza</v>
          </cell>
          <cell r="H1806" t="str">
            <v>consulta_externa</v>
          </cell>
          <cell r="J1806" t="str">
            <v>bueno</v>
          </cell>
          <cell r="K1806" t="str">
            <v>defsi</v>
          </cell>
        </row>
        <row r="1807">
          <cell r="B1807" t="b">
            <v>1</v>
          </cell>
          <cell r="E1807" t="str">
            <v>Esperanza</v>
          </cell>
          <cell r="H1807" t="str">
            <v>electros</v>
          </cell>
          <cell r="J1807" t="str">
            <v>bueno</v>
          </cell>
          <cell r="K1807" t="str">
            <v>defsi</v>
          </cell>
        </row>
        <row r="1808">
          <cell r="B1808" t="b">
            <v>1</v>
          </cell>
          <cell r="E1808" t="str">
            <v>Esperanza</v>
          </cell>
          <cell r="H1808" t="str">
            <v>electros</v>
          </cell>
          <cell r="J1808" t="str">
            <v>bueno</v>
          </cell>
          <cell r="K1808" t="str">
            <v>defsi</v>
          </cell>
        </row>
        <row r="1809">
          <cell r="B1809" t="b">
            <v>1</v>
          </cell>
          <cell r="E1809" t="str">
            <v>Esperanza</v>
          </cell>
          <cell r="H1809" t="str">
            <v>laboratorio</v>
          </cell>
          <cell r="J1809" t="str">
            <v>bueno</v>
          </cell>
          <cell r="K1809" t="str">
            <v>defsi</v>
          </cell>
        </row>
        <row r="1810">
          <cell r="B1810" t="b">
            <v>1</v>
          </cell>
          <cell r="E1810" t="str">
            <v>Esperanza</v>
          </cell>
          <cell r="H1810" t="str">
            <v>laboratorio</v>
          </cell>
          <cell r="J1810" t="str">
            <v>bueno</v>
          </cell>
          <cell r="K1810" t="str">
            <v>defsi</v>
          </cell>
        </row>
        <row r="1811">
          <cell r="B1811" t="b">
            <v>1</v>
          </cell>
          <cell r="E1811" t="str">
            <v>Esperanza</v>
          </cell>
          <cell r="H1811" t="str">
            <v>laboratorio</v>
          </cell>
          <cell r="J1811" t="str">
            <v>bueno</v>
          </cell>
          <cell r="K1811" t="str">
            <v>defsi</v>
          </cell>
        </row>
        <row r="1812">
          <cell r="B1812" t="b">
            <v>1</v>
          </cell>
          <cell r="E1812" t="str">
            <v>Esperanza</v>
          </cell>
          <cell r="H1812" t="str">
            <v>urgencia</v>
          </cell>
          <cell r="J1812" t="str">
            <v>bueno</v>
          </cell>
          <cell r="K1812" t="str">
            <v>defsi</v>
          </cell>
        </row>
        <row r="1813">
          <cell r="B1813" t="b">
            <v>1</v>
          </cell>
          <cell r="E1813" t="str">
            <v>Esperanza</v>
          </cell>
          <cell r="H1813" t="str">
            <v>laboratorio</v>
          </cell>
          <cell r="J1813" t="str">
            <v>bueno</v>
          </cell>
          <cell r="K1813" t="str">
            <v>defsi</v>
          </cell>
        </row>
        <row r="1814">
          <cell r="B1814" t="b">
            <v>1</v>
          </cell>
          <cell r="E1814" t="str">
            <v>Esperanza</v>
          </cell>
          <cell r="H1814" t="str">
            <v>urgencia</v>
          </cell>
          <cell r="J1814" t="str">
            <v>bueno</v>
          </cell>
          <cell r="K1814" t="str">
            <v>defsi</v>
          </cell>
        </row>
        <row r="1815">
          <cell r="B1815" t="b">
            <v>1</v>
          </cell>
          <cell r="E1815" t="str">
            <v>Esperanza</v>
          </cell>
          <cell r="H1815" t="str">
            <v>urgencia</v>
          </cell>
          <cell r="J1815" t="str">
            <v>bueno</v>
          </cell>
          <cell r="K1815" t="str">
            <v>defsi</v>
          </cell>
        </row>
        <row r="1816">
          <cell r="B1816" t="b">
            <v>1</v>
          </cell>
          <cell r="E1816" t="str">
            <v>Esperanza</v>
          </cell>
          <cell r="H1816" t="str">
            <v>laboratorio</v>
          </cell>
          <cell r="J1816" t="str">
            <v>bueno</v>
          </cell>
          <cell r="K1816" t="str">
            <v>defsi</v>
          </cell>
        </row>
        <row r="1817">
          <cell r="B1817" t="b">
            <v>1</v>
          </cell>
          <cell r="E1817" t="str">
            <v>Esperanza</v>
          </cell>
          <cell r="H1817" t="str">
            <v>urgencia</v>
          </cell>
          <cell r="J1817" t="str">
            <v>bueno</v>
          </cell>
          <cell r="K1817" t="str">
            <v>defsi</v>
          </cell>
        </row>
        <row r="1818">
          <cell r="B1818" t="b">
            <v>1</v>
          </cell>
          <cell r="E1818" t="str">
            <v>Esperanza</v>
          </cell>
          <cell r="H1818" t="str">
            <v>consulta_externa</v>
          </cell>
          <cell r="J1818" t="str">
            <v>bueno</v>
          </cell>
          <cell r="K1818" t="str">
            <v>defsi</v>
          </cell>
        </row>
        <row r="1819">
          <cell r="B1819" t="b">
            <v>1</v>
          </cell>
          <cell r="E1819" t="str">
            <v>Esperanza</v>
          </cell>
          <cell r="H1819" t="str">
            <v>laboratorio</v>
          </cell>
          <cell r="J1819" t="str">
            <v>bueno</v>
          </cell>
          <cell r="K1819" t="str">
            <v>defsi</v>
          </cell>
        </row>
        <row r="1820">
          <cell r="B1820" t="b">
            <v>1</v>
          </cell>
          <cell r="E1820" t="str">
            <v>Gaviotas</v>
          </cell>
          <cell r="H1820" t="str">
            <v>consulta_externa</v>
          </cell>
          <cell r="J1820" t="str">
            <v>bueno</v>
          </cell>
          <cell r="K1820" t="str">
            <v>defsi</v>
          </cell>
        </row>
        <row r="1821">
          <cell r="B1821" t="b">
            <v>1</v>
          </cell>
          <cell r="E1821" t="str">
            <v>Gaviotas</v>
          </cell>
          <cell r="H1821" t="str">
            <v>salud_oral</v>
          </cell>
          <cell r="J1821" t="str">
            <v>bueno</v>
          </cell>
          <cell r="K1821" t="str">
            <v>defsi</v>
          </cell>
        </row>
        <row r="1822">
          <cell r="B1822" t="b">
            <v>1</v>
          </cell>
          <cell r="E1822" t="str">
            <v>Gaviotas</v>
          </cell>
          <cell r="H1822" t="str">
            <v>laboratorio</v>
          </cell>
          <cell r="J1822" t="str">
            <v>bueno</v>
          </cell>
          <cell r="K1822" t="str">
            <v>defsi</v>
          </cell>
        </row>
        <row r="1823">
          <cell r="B1823" t="b">
            <v>1</v>
          </cell>
          <cell r="E1823" t="str">
            <v>Gaviotas</v>
          </cell>
          <cell r="H1823" t="str">
            <v>consulta_externa</v>
          </cell>
          <cell r="J1823" t="str">
            <v>bueno</v>
          </cell>
          <cell r="K1823" t="str">
            <v>defsi</v>
          </cell>
        </row>
        <row r="1824">
          <cell r="B1824" t="b">
            <v>1</v>
          </cell>
          <cell r="E1824" t="str">
            <v>Gaviotas</v>
          </cell>
          <cell r="H1824" t="str">
            <v>salud_oral</v>
          </cell>
          <cell r="J1824" t="str">
            <v>bueno</v>
          </cell>
          <cell r="K1824" t="str">
            <v>defsi</v>
          </cell>
        </row>
        <row r="1825">
          <cell r="B1825" t="b">
            <v>1</v>
          </cell>
          <cell r="E1825" t="str">
            <v>Gaviotas</v>
          </cell>
          <cell r="H1825" t="str">
            <v>laboratorio</v>
          </cell>
          <cell r="J1825" t="str">
            <v>bueno</v>
          </cell>
          <cell r="K1825" t="str">
            <v>defsi</v>
          </cell>
        </row>
        <row r="1826">
          <cell r="B1826" t="b">
            <v>1</v>
          </cell>
          <cell r="E1826" t="str">
            <v>Gaviotas</v>
          </cell>
          <cell r="H1826" t="str">
            <v>consulta_externa</v>
          </cell>
          <cell r="J1826" t="str">
            <v>bueno</v>
          </cell>
          <cell r="K1826" t="str">
            <v>defsi</v>
          </cell>
        </row>
        <row r="1827">
          <cell r="B1827" t="b">
            <v>1</v>
          </cell>
          <cell r="E1827" t="str">
            <v>Gaviotas</v>
          </cell>
          <cell r="H1827" t="str">
            <v>salud_oral</v>
          </cell>
          <cell r="J1827" t="str">
            <v>bueno</v>
          </cell>
          <cell r="K1827" t="str">
            <v>defsi</v>
          </cell>
        </row>
        <row r="1828">
          <cell r="B1828" t="b">
            <v>1</v>
          </cell>
          <cell r="E1828" t="str">
            <v>Gaviotas</v>
          </cell>
          <cell r="H1828" t="str">
            <v>laboratorio</v>
          </cell>
          <cell r="J1828" t="str">
            <v>bueno</v>
          </cell>
          <cell r="K1828" t="str">
            <v>defsi</v>
          </cell>
        </row>
        <row r="1829">
          <cell r="B1829" t="b">
            <v>1</v>
          </cell>
          <cell r="E1829" t="str">
            <v>Gaviotas</v>
          </cell>
          <cell r="H1829" t="str">
            <v>consulta_externa</v>
          </cell>
          <cell r="J1829" t="str">
            <v>bueno</v>
          </cell>
          <cell r="K1829" t="str">
            <v>defsi</v>
          </cell>
        </row>
        <row r="1830">
          <cell r="B1830" t="b">
            <v>1</v>
          </cell>
          <cell r="E1830" t="str">
            <v>Gaviotas</v>
          </cell>
          <cell r="H1830" t="str">
            <v>consulta_externa</v>
          </cell>
          <cell r="J1830" t="str">
            <v>bueno</v>
          </cell>
          <cell r="K1830" t="str">
            <v>defsi</v>
          </cell>
        </row>
        <row r="1831">
          <cell r="B1831" t="b">
            <v>1</v>
          </cell>
          <cell r="E1831" t="str">
            <v>Gaviotas</v>
          </cell>
          <cell r="H1831" t="str">
            <v>salud_oral</v>
          </cell>
          <cell r="J1831" t="str">
            <v>bueno</v>
          </cell>
          <cell r="K1831" t="str">
            <v>defsi</v>
          </cell>
        </row>
        <row r="1832">
          <cell r="B1832" t="b">
            <v>1</v>
          </cell>
          <cell r="E1832" t="str">
            <v>Gaviotas</v>
          </cell>
          <cell r="H1832" t="str">
            <v>laboratorio</v>
          </cell>
          <cell r="J1832" t="str">
            <v>bueno</v>
          </cell>
          <cell r="K1832" t="str">
            <v>defsi</v>
          </cell>
        </row>
        <row r="1833">
          <cell r="B1833" t="b">
            <v>1</v>
          </cell>
          <cell r="E1833" t="str">
            <v>Gaviotas</v>
          </cell>
          <cell r="H1833" t="str">
            <v>consulta_externa</v>
          </cell>
          <cell r="J1833" t="str">
            <v>bueno</v>
          </cell>
          <cell r="K1833" t="str">
            <v>defsi</v>
          </cell>
        </row>
        <row r="1834">
          <cell r="B1834" t="b">
            <v>1</v>
          </cell>
          <cell r="E1834" t="str">
            <v>Gaviotas</v>
          </cell>
          <cell r="H1834" t="str">
            <v>salud_oral</v>
          </cell>
          <cell r="J1834" t="str">
            <v>bueno</v>
          </cell>
          <cell r="K1834" t="str">
            <v>defsi</v>
          </cell>
        </row>
        <row r="1835">
          <cell r="B1835" t="b">
            <v>1</v>
          </cell>
          <cell r="E1835" t="str">
            <v>Gaviotas</v>
          </cell>
          <cell r="H1835" t="str">
            <v>laboratorio</v>
          </cell>
          <cell r="J1835" t="str">
            <v>bueno</v>
          </cell>
          <cell r="K1835" t="str">
            <v>defsi</v>
          </cell>
        </row>
        <row r="1836">
          <cell r="B1836" t="b">
            <v>1</v>
          </cell>
          <cell r="E1836" t="str">
            <v>Gaviotas</v>
          </cell>
          <cell r="H1836" t="str">
            <v>consulta_externa</v>
          </cell>
          <cell r="J1836" t="str">
            <v>bueno</v>
          </cell>
          <cell r="K1836" t="str">
            <v>defsi</v>
          </cell>
        </row>
        <row r="1837">
          <cell r="B1837" t="b">
            <v>1</v>
          </cell>
          <cell r="E1837" t="str">
            <v>Gaviotas</v>
          </cell>
          <cell r="H1837" t="str">
            <v>salud_oral</v>
          </cell>
          <cell r="J1837" t="str">
            <v>bueno</v>
          </cell>
          <cell r="K1837" t="str">
            <v>defsi</v>
          </cell>
        </row>
        <row r="1838">
          <cell r="B1838" t="b">
            <v>1</v>
          </cell>
          <cell r="E1838" t="str">
            <v>Gaviotas</v>
          </cell>
          <cell r="H1838" t="str">
            <v>laboratorio</v>
          </cell>
          <cell r="J1838" t="str">
            <v>bueno</v>
          </cell>
          <cell r="K1838" t="str">
            <v>defsi</v>
          </cell>
        </row>
        <row r="1839">
          <cell r="B1839" t="b">
            <v>1</v>
          </cell>
          <cell r="E1839" t="str">
            <v>Gaviotas</v>
          </cell>
          <cell r="H1839" t="str">
            <v>consulta_externa</v>
          </cell>
          <cell r="J1839" t="str">
            <v>bueno</v>
          </cell>
          <cell r="K1839" t="str">
            <v>defsi</v>
          </cell>
        </row>
        <row r="1840">
          <cell r="B1840" t="b">
            <v>1</v>
          </cell>
          <cell r="E1840" t="str">
            <v>Gaviotas</v>
          </cell>
          <cell r="H1840" t="str">
            <v>salud_oral</v>
          </cell>
          <cell r="J1840" t="str">
            <v>bueno</v>
          </cell>
          <cell r="K1840" t="str">
            <v>defsi</v>
          </cell>
        </row>
        <row r="1841">
          <cell r="B1841" t="b">
            <v>1</v>
          </cell>
          <cell r="E1841" t="str">
            <v>Gaviotas</v>
          </cell>
          <cell r="H1841" t="str">
            <v>laboratorio</v>
          </cell>
          <cell r="J1841" t="str">
            <v>bueno</v>
          </cell>
          <cell r="K1841" t="str">
            <v>defsi</v>
          </cell>
        </row>
        <row r="1842">
          <cell r="B1842" t="b">
            <v>1</v>
          </cell>
          <cell r="E1842" t="str">
            <v>Gaviotas</v>
          </cell>
          <cell r="H1842" t="str">
            <v>consulta_externa</v>
          </cell>
          <cell r="J1842" t="str">
            <v>bueno</v>
          </cell>
          <cell r="K1842" t="str">
            <v>defsi</v>
          </cell>
        </row>
        <row r="1843">
          <cell r="B1843" t="b">
            <v>1</v>
          </cell>
          <cell r="E1843" t="str">
            <v>Gaviotas</v>
          </cell>
          <cell r="H1843" t="str">
            <v>salud_oral</v>
          </cell>
          <cell r="J1843" t="str">
            <v>bueno</v>
          </cell>
          <cell r="K1843" t="str">
            <v>defsi</v>
          </cell>
        </row>
        <row r="1844">
          <cell r="B1844" t="b">
            <v>1</v>
          </cell>
          <cell r="E1844" t="str">
            <v>Gaviotas</v>
          </cell>
          <cell r="H1844" t="str">
            <v>laboratorio</v>
          </cell>
          <cell r="J1844" t="str">
            <v>bueno</v>
          </cell>
          <cell r="K1844" t="str">
            <v>defsi</v>
          </cell>
        </row>
        <row r="1845">
          <cell r="B1845" t="b">
            <v>1</v>
          </cell>
          <cell r="E1845" t="str">
            <v>Gaviotas</v>
          </cell>
          <cell r="H1845" t="str">
            <v>consulta_externa</v>
          </cell>
          <cell r="J1845" t="str">
            <v>bueno</v>
          </cell>
          <cell r="K1845" t="str">
            <v>defsi</v>
          </cell>
        </row>
        <row r="1846">
          <cell r="B1846" t="b">
            <v>1</v>
          </cell>
          <cell r="E1846" t="str">
            <v>Gaviotas</v>
          </cell>
          <cell r="H1846" t="str">
            <v>salud_oral</v>
          </cell>
          <cell r="J1846" t="str">
            <v>bueno</v>
          </cell>
          <cell r="K1846" t="str">
            <v>defsi</v>
          </cell>
        </row>
        <row r="1847">
          <cell r="B1847" t="b">
            <v>1</v>
          </cell>
          <cell r="E1847" t="str">
            <v>Gaviotas</v>
          </cell>
          <cell r="H1847" t="str">
            <v>laboratorio</v>
          </cell>
          <cell r="J1847" t="str">
            <v>bueno</v>
          </cell>
          <cell r="K1847" t="str">
            <v>defsi</v>
          </cell>
        </row>
        <row r="1848">
          <cell r="B1848" t="b">
            <v>1</v>
          </cell>
          <cell r="E1848" t="str">
            <v>Gaviotas</v>
          </cell>
          <cell r="H1848" t="str">
            <v>laboratorio</v>
          </cell>
          <cell r="J1848" t="str">
            <v>bueno</v>
          </cell>
          <cell r="K1848" t="str">
            <v>defsi</v>
          </cell>
        </row>
        <row r="1849">
          <cell r="B1849" t="b">
            <v>1</v>
          </cell>
          <cell r="E1849" t="str">
            <v>Gaviotas</v>
          </cell>
          <cell r="H1849" t="str">
            <v>consulta_externa</v>
          </cell>
          <cell r="J1849" t="str">
            <v>bueno</v>
          </cell>
          <cell r="K1849" t="str">
            <v>defsi</v>
          </cell>
        </row>
        <row r="1850">
          <cell r="B1850" t="b">
            <v>1</v>
          </cell>
          <cell r="E1850" t="str">
            <v>Gaviotas</v>
          </cell>
          <cell r="H1850" t="str">
            <v>salud_oral</v>
          </cell>
          <cell r="J1850" t="str">
            <v>bueno</v>
          </cell>
          <cell r="K1850" t="str">
            <v>defsi</v>
          </cell>
        </row>
        <row r="1851">
          <cell r="B1851" t="b">
            <v>1</v>
          </cell>
          <cell r="E1851" t="str">
            <v>Gaviotas</v>
          </cell>
          <cell r="H1851" t="str">
            <v>laboratorio</v>
          </cell>
          <cell r="J1851" t="str">
            <v>bueno</v>
          </cell>
          <cell r="K1851" t="str">
            <v>defsi</v>
          </cell>
        </row>
        <row r="1852">
          <cell r="B1852" t="b">
            <v>1</v>
          </cell>
          <cell r="E1852" t="str">
            <v>Gaviotas</v>
          </cell>
          <cell r="H1852" t="str">
            <v>consulta_externa</v>
          </cell>
          <cell r="J1852" t="str">
            <v>bueno</v>
          </cell>
          <cell r="K1852" t="str">
            <v>defsi</v>
          </cell>
        </row>
        <row r="1853">
          <cell r="B1853" t="b">
            <v>1</v>
          </cell>
          <cell r="E1853" t="str">
            <v>Gaviotas</v>
          </cell>
          <cell r="H1853" t="str">
            <v>salud_oral</v>
          </cell>
          <cell r="J1853" t="str">
            <v>bueno</v>
          </cell>
          <cell r="K1853" t="str">
            <v>defsi</v>
          </cell>
        </row>
        <row r="1854">
          <cell r="B1854" t="b">
            <v>1</v>
          </cell>
          <cell r="E1854" t="str">
            <v>Gaviotas</v>
          </cell>
          <cell r="H1854" t="str">
            <v>laboratorio</v>
          </cell>
          <cell r="J1854" t="str">
            <v>bueno</v>
          </cell>
          <cell r="K1854" t="str">
            <v>defsi</v>
          </cell>
        </row>
        <row r="1855">
          <cell r="B1855" t="b">
            <v>1</v>
          </cell>
          <cell r="E1855" t="str">
            <v>Esperanza</v>
          </cell>
          <cell r="H1855" t="str">
            <v>consulta_externa</v>
          </cell>
          <cell r="J1855" t="str">
            <v>bueno</v>
          </cell>
          <cell r="K1855" t="str">
            <v>defsi</v>
          </cell>
        </row>
        <row r="1856">
          <cell r="B1856" t="b">
            <v>1</v>
          </cell>
          <cell r="E1856" t="str">
            <v>Esperanza</v>
          </cell>
          <cell r="H1856" t="str">
            <v>salud_oral</v>
          </cell>
          <cell r="J1856" t="str">
            <v>bueno</v>
          </cell>
          <cell r="K1856" t="str">
            <v>defsi</v>
          </cell>
        </row>
        <row r="1857">
          <cell r="B1857" t="b">
            <v>1</v>
          </cell>
          <cell r="E1857" t="str">
            <v>Esperanza</v>
          </cell>
          <cell r="H1857" t="str">
            <v>salud_oral</v>
          </cell>
          <cell r="J1857" t="str">
            <v>bueno</v>
          </cell>
          <cell r="K1857" t="str">
            <v>defsi</v>
          </cell>
        </row>
        <row r="1858">
          <cell r="B1858" t="b">
            <v>1</v>
          </cell>
          <cell r="E1858" t="str">
            <v>Esperanza</v>
          </cell>
          <cell r="H1858" t="str">
            <v>salud_oral</v>
          </cell>
          <cell r="J1858" t="str">
            <v>bueno</v>
          </cell>
          <cell r="K1858" t="str">
            <v>defsi</v>
          </cell>
        </row>
        <row r="1859">
          <cell r="B1859" t="b">
            <v>1</v>
          </cell>
          <cell r="E1859" t="str">
            <v>Esperanza</v>
          </cell>
          <cell r="H1859" t="str">
            <v>electros</v>
          </cell>
          <cell r="J1859" t="str">
            <v>bueno</v>
          </cell>
          <cell r="K1859" t="str">
            <v>defsi</v>
          </cell>
        </row>
        <row r="1860">
          <cell r="B1860" t="b">
            <v>1</v>
          </cell>
          <cell r="E1860" t="str">
            <v>Esperanza</v>
          </cell>
          <cell r="H1860" t="str">
            <v>electros</v>
          </cell>
          <cell r="J1860" t="str">
            <v>bueno</v>
          </cell>
          <cell r="K1860" t="str">
            <v>defsi</v>
          </cell>
        </row>
        <row r="1861">
          <cell r="B1861" t="b">
            <v>1</v>
          </cell>
          <cell r="E1861" t="str">
            <v>Esperanza</v>
          </cell>
          <cell r="H1861" t="str">
            <v>electros</v>
          </cell>
          <cell r="J1861" t="str">
            <v>bueno</v>
          </cell>
          <cell r="K1861" t="str">
            <v>defsi</v>
          </cell>
        </row>
        <row r="1862">
          <cell r="B1862" t="b">
            <v>0</v>
          </cell>
          <cell r="E1862" t="str">
            <v>Esperanza</v>
          </cell>
          <cell r="H1862" t="str">
            <v>electros</v>
          </cell>
          <cell r="J1862" t="str">
            <v>regular</v>
          </cell>
          <cell r="K1862" t="str">
            <v>defsi</v>
          </cell>
        </row>
        <row r="1863">
          <cell r="B1863" t="b">
            <v>1</v>
          </cell>
          <cell r="E1863" t="str">
            <v>Esperanza</v>
          </cell>
          <cell r="H1863" t="str">
            <v>electros</v>
          </cell>
          <cell r="J1863" t="str">
            <v>bueno</v>
          </cell>
          <cell r="K1863" t="str">
            <v>defsi</v>
          </cell>
        </row>
        <row r="1864">
          <cell r="B1864" t="b">
            <v>1</v>
          </cell>
          <cell r="E1864" t="str">
            <v>Esperanza</v>
          </cell>
          <cell r="H1864" t="str">
            <v>laboratorio</v>
          </cell>
          <cell r="J1864" t="str">
            <v>bueno</v>
          </cell>
          <cell r="K1864" t="str">
            <v>defsi</v>
          </cell>
        </row>
        <row r="1865">
          <cell r="B1865" t="b">
            <v>1</v>
          </cell>
          <cell r="E1865" t="str">
            <v>Esperanza</v>
          </cell>
          <cell r="H1865" t="str">
            <v>salud_oral</v>
          </cell>
          <cell r="J1865" t="str">
            <v>bueno</v>
          </cell>
          <cell r="K1865" t="str">
            <v>defsi</v>
          </cell>
        </row>
        <row r="1866">
          <cell r="B1866" t="b">
            <v>1</v>
          </cell>
          <cell r="E1866" t="str">
            <v>Cano de Oro</v>
          </cell>
          <cell r="H1866" t="str">
            <v>consulta_externa</v>
          </cell>
          <cell r="J1866" t="str">
            <v>muybueno</v>
          </cell>
          <cell r="K1866" t="str">
            <v>defsi</v>
          </cell>
        </row>
        <row r="1867">
          <cell r="B1867" t="b">
            <v>1</v>
          </cell>
          <cell r="E1867" t="str">
            <v>Cano de Oro</v>
          </cell>
          <cell r="H1867" t="str">
            <v>salud_oral</v>
          </cell>
          <cell r="J1867" t="str">
            <v>muybueno</v>
          </cell>
          <cell r="K1867" t="str">
            <v>defsi</v>
          </cell>
        </row>
        <row r="1868">
          <cell r="B1868" t="b">
            <v>1</v>
          </cell>
          <cell r="E1868" t="str">
            <v>Cano de Oro</v>
          </cell>
          <cell r="H1868" t="str">
            <v>laboratorio</v>
          </cell>
          <cell r="J1868" t="str">
            <v>muybueno</v>
          </cell>
          <cell r="K1868" t="str">
            <v>defsi</v>
          </cell>
        </row>
        <row r="1869">
          <cell r="B1869" t="b">
            <v>1</v>
          </cell>
          <cell r="E1869" t="str">
            <v>Cano de Oro</v>
          </cell>
          <cell r="H1869" t="str">
            <v>laboratorio</v>
          </cell>
          <cell r="J1869" t="str">
            <v>muybueno</v>
          </cell>
          <cell r="K1869" t="str">
            <v>defsi</v>
          </cell>
        </row>
        <row r="1870">
          <cell r="B1870" t="b">
            <v>1</v>
          </cell>
          <cell r="E1870" t="str">
            <v>Cano de Oro</v>
          </cell>
          <cell r="H1870" t="str">
            <v>consulta_externa</v>
          </cell>
          <cell r="J1870" t="str">
            <v>muybueno</v>
          </cell>
          <cell r="K1870" t="str">
            <v>defsi</v>
          </cell>
        </row>
        <row r="1871">
          <cell r="B1871" t="b">
            <v>1</v>
          </cell>
          <cell r="E1871" t="str">
            <v>Cano de Oro</v>
          </cell>
          <cell r="H1871" t="str">
            <v>consulta_externa</v>
          </cell>
          <cell r="J1871" t="str">
            <v>muybueno</v>
          </cell>
          <cell r="K1871" t="str">
            <v>defsi</v>
          </cell>
        </row>
        <row r="1872">
          <cell r="B1872" t="b">
            <v>1</v>
          </cell>
          <cell r="E1872" t="str">
            <v>Cano de Oro</v>
          </cell>
          <cell r="H1872" t="str">
            <v>laboratorio</v>
          </cell>
          <cell r="J1872" t="str">
            <v>muybueno</v>
          </cell>
          <cell r="K1872" t="str">
            <v>defsi</v>
          </cell>
        </row>
        <row r="1873">
          <cell r="B1873" t="b">
            <v>1</v>
          </cell>
          <cell r="E1873" t="str">
            <v>Arroz Barato</v>
          </cell>
          <cell r="H1873" t="str">
            <v>consulta_externa</v>
          </cell>
          <cell r="J1873" t="str">
            <v>bueno</v>
          </cell>
          <cell r="K1873" t="str">
            <v>probsi</v>
          </cell>
        </row>
        <row r="1874">
          <cell r="B1874" t="b">
            <v>1</v>
          </cell>
          <cell r="E1874" t="str">
            <v>Arroz Barato</v>
          </cell>
          <cell r="H1874" t="str">
            <v>salud_oral</v>
          </cell>
          <cell r="J1874" t="str">
            <v>bueno</v>
          </cell>
          <cell r="K1874" t="str">
            <v>probsi</v>
          </cell>
        </row>
        <row r="1875">
          <cell r="B1875" t="b">
            <v>1</v>
          </cell>
          <cell r="E1875" t="str">
            <v>Arroz Barato</v>
          </cell>
          <cell r="H1875" t="str">
            <v>laboratorio</v>
          </cell>
          <cell r="J1875" t="str">
            <v>bueno</v>
          </cell>
          <cell r="K1875" t="str">
            <v>probsi</v>
          </cell>
        </row>
        <row r="1876">
          <cell r="B1876" t="b">
            <v>1</v>
          </cell>
          <cell r="E1876" t="str">
            <v>Arroz Barato</v>
          </cell>
          <cell r="H1876" t="str">
            <v>consulta_externa</v>
          </cell>
          <cell r="J1876" t="str">
            <v>bueno</v>
          </cell>
          <cell r="K1876" t="str">
            <v>probsi</v>
          </cell>
        </row>
        <row r="1877">
          <cell r="B1877" t="b">
            <v>1</v>
          </cell>
          <cell r="E1877" t="str">
            <v>Arroz Barato</v>
          </cell>
          <cell r="H1877" t="str">
            <v>consulta_externa</v>
          </cell>
          <cell r="J1877" t="str">
            <v>bueno</v>
          </cell>
          <cell r="K1877" t="str">
            <v>probsi</v>
          </cell>
        </row>
        <row r="1878">
          <cell r="B1878" t="b">
            <v>1</v>
          </cell>
          <cell r="E1878" t="str">
            <v>Arroz Barato</v>
          </cell>
          <cell r="H1878" t="str">
            <v>consulta_externa</v>
          </cell>
          <cell r="J1878" t="str">
            <v>bueno</v>
          </cell>
          <cell r="K1878" t="str">
            <v>probsi</v>
          </cell>
        </row>
        <row r="1879">
          <cell r="B1879" t="b">
            <v>0</v>
          </cell>
          <cell r="E1879" t="str">
            <v>Cano de Oro</v>
          </cell>
          <cell r="H1879" t="str">
            <v>urgencia</v>
          </cell>
          <cell r="J1879" t="str">
            <v>regular</v>
          </cell>
          <cell r="K1879" t="str">
            <v>defsi</v>
          </cell>
        </row>
        <row r="1880">
          <cell r="B1880" t="b">
            <v>0</v>
          </cell>
          <cell r="E1880" t="str">
            <v>Cano de Oro</v>
          </cell>
          <cell r="H1880" t="str">
            <v>consulta_externa</v>
          </cell>
          <cell r="J1880" t="str">
            <v>regular</v>
          </cell>
          <cell r="K1880" t="str">
            <v>defsi</v>
          </cell>
        </row>
        <row r="1881">
          <cell r="B1881" t="b">
            <v>0</v>
          </cell>
          <cell r="E1881" t="str">
            <v>Cano de Oro</v>
          </cell>
          <cell r="H1881" t="str">
            <v>laboratorio</v>
          </cell>
          <cell r="J1881" t="str">
            <v>regular</v>
          </cell>
          <cell r="K1881" t="str">
            <v>defsi</v>
          </cell>
        </row>
        <row r="1882">
          <cell r="B1882" t="b">
            <v>1</v>
          </cell>
          <cell r="E1882" t="str">
            <v>Arroz Barato</v>
          </cell>
          <cell r="H1882" t="str">
            <v>laboratorio</v>
          </cell>
          <cell r="J1882" t="str">
            <v>bueno</v>
          </cell>
          <cell r="K1882" t="str">
            <v>probsi</v>
          </cell>
        </row>
        <row r="1883">
          <cell r="B1883" t="b">
            <v>1</v>
          </cell>
          <cell r="E1883" t="str">
            <v>Arroz Barato</v>
          </cell>
          <cell r="H1883" t="str">
            <v>laboratorio</v>
          </cell>
          <cell r="J1883" t="str">
            <v>bueno</v>
          </cell>
          <cell r="K1883" t="str">
            <v>probsi</v>
          </cell>
        </row>
        <row r="1884">
          <cell r="B1884" t="b">
            <v>1</v>
          </cell>
          <cell r="E1884" t="str">
            <v>Arroz Barato</v>
          </cell>
          <cell r="H1884" t="str">
            <v>consulta_externa</v>
          </cell>
          <cell r="J1884" t="str">
            <v>bueno</v>
          </cell>
          <cell r="K1884" t="str">
            <v>probsi</v>
          </cell>
        </row>
        <row r="1885">
          <cell r="B1885" t="b">
            <v>1</v>
          </cell>
          <cell r="E1885" t="str">
            <v>Cano de Oro</v>
          </cell>
          <cell r="H1885" t="str">
            <v>laboratorio</v>
          </cell>
          <cell r="J1885" t="str">
            <v>muybueno</v>
          </cell>
          <cell r="K1885" t="str">
            <v>defsi</v>
          </cell>
        </row>
        <row r="1886">
          <cell r="B1886" t="b">
            <v>1</v>
          </cell>
          <cell r="E1886" t="str">
            <v>Cano de Oro</v>
          </cell>
          <cell r="H1886" t="str">
            <v>consulta_externa</v>
          </cell>
          <cell r="J1886" t="str">
            <v>muybueno</v>
          </cell>
          <cell r="K1886" t="str">
            <v>defsi</v>
          </cell>
        </row>
        <row r="1887">
          <cell r="B1887" t="b">
            <v>0</v>
          </cell>
          <cell r="E1887" t="str">
            <v>Arroz Barato</v>
          </cell>
          <cell r="H1887" t="str">
            <v>urgencia</v>
          </cell>
          <cell r="J1887" t="str">
            <v>regular</v>
          </cell>
          <cell r="K1887" t="str">
            <v>probsi</v>
          </cell>
        </row>
        <row r="1888">
          <cell r="B1888" t="b">
            <v>0</v>
          </cell>
          <cell r="E1888" t="str">
            <v>Arroz Barato</v>
          </cell>
          <cell r="H1888" t="str">
            <v>consulta_externa</v>
          </cell>
          <cell r="J1888" t="str">
            <v>regular</v>
          </cell>
          <cell r="K1888" t="str">
            <v>probsi</v>
          </cell>
        </row>
        <row r="1889">
          <cell r="B1889" t="b">
            <v>0</v>
          </cell>
          <cell r="E1889" t="str">
            <v>Arroz Barato</v>
          </cell>
          <cell r="H1889" t="str">
            <v>consulta_externa</v>
          </cell>
          <cell r="J1889" t="str">
            <v>regular</v>
          </cell>
          <cell r="K1889" t="str">
            <v>probsi</v>
          </cell>
        </row>
        <row r="1890">
          <cell r="B1890" t="b">
            <v>1</v>
          </cell>
          <cell r="E1890" t="str">
            <v>Arroz Barato</v>
          </cell>
          <cell r="H1890" t="str">
            <v>salud_oral</v>
          </cell>
          <cell r="J1890" t="str">
            <v>bueno</v>
          </cell>
          <cell r="K1890" t="str">
            <v>probsi</v>
          </cell>
        </row>
        <row r="1891">
          <cell r="B1891" t="b">
            <v>1</v>
          </cell>
          <cell r="E1891" t="str">
            <v>Arroz Barato</v>
          </cell>
          <cell r="H1891" t="str">
            <v>salud_oral</v>
          </cell>
          <cell r="J1891" t="str">
            <v>bueno</v>
          </cell>
          <cell r="K1891" t="str">
            <v>probsi</v>
          </cell>
        </row>
        <row r="1892">
          <cell r="B1892" t="b">
            <v>1</v>
          </cell>
          <cell r="E1892" t="str">
            <v>Cano de Oro</v>
          </cell>
          <cell r="H1892" t="str">
            <v>laboratorio</v>
          </cell>
          <cell r="J1892" t="str">
            <v>muybueno</v>
          </cell>
          <cell r="K1892" t="str">
            <v>defsi</v>
          </cell>
        </row>
        <row r="1893">
          <cell r="B1893" t="b">
            <v>1</v>
          </cell>
          <cell r="E1893" t="str">
            <v>Cano de Oro</v>
          </cell>
          <cell r="H1893" t="str">
            <v>consulta_externa</v>
          </cell>
          <cell r="J1893" t="str">
            <v>muybueno</v>
          </cell>
          <cell r="K1893" t="str">
            <v>defsi</v>
          </cell>
        </row>
        <row r="1894">
          <cell r="B1894" t="b">
            <v>0</v>
          </cell>
          <cell r="E1894" t="str">
            <v>Arroz Barato</v>
          </cell>
          <cell r="H1894" t="str">
            <v>consulta_externa</v>
          </cell>
          <cell r="J1894" t="str">
            <v>regular</v>
          </cell>
          <cell r="K1894" t="str">
            <v>probsi</v>
          </cell>
        </row>
        <row r="1895">
          <cell r="B1895" t="b">
            <v>0</v>
          </cell>
          <cell r="E1895" t="str">
            <v>Arroz Barato</v>
          </cell>
          <cell r="H1895" t="str">
            <v>urgencia</v>
          </cell>
          <cell r="J1895" t="str">
            <v>regular</v>
          </cell>
          <cell r="K1895" t="str">
            <v>probsi</v>
          </cell>
        </row>
        <row r="1896">
          <cell r="B1896" t="b">
            <v>1</v>
          </cell>
          <cell r="E1896" t="str">
            <v>Cano de Oro</v>
          </cell>
          <cell r="H1896" t="str">
            <v>laboratorio</v>
          </cell>
          <cell r="J1896" t="str">
            <v>muybueno</v>
          </cell>
          <cell r="K1896" t="str">
            <v>defsi</v>
          </cell>
        </row>
        <row r="1897">
          <cell r="B1897" t="b">
            <v>1</v>
          </cell>
          <cell r="E1897" t="str">
            <v>Arroz Barato</v>
          </cell>
          <cell r="H1897" t="str">
            <v>rx</v>
          </cell>
          <cell r="J1897" t="str">
            <v>bueno</v>
          </cell>
          <cell r="K1897" t="str">
            <v>probsi</v>
          </cell>
        </row>
        <row r="1898">
          <cell r="B1898" t="b">
            <v>1</v>
          </cell>
          <cell r="E1898" t="str">
            <v>Arroz Barato</v>
          </cell>
          <cell r="H1898" t="str">
            <v>rx</v>
          </cell>
          <cell r="J1898" t="str">
            <v>bueno</v>
          </cell>
          <cell r="K1898" t="str">
            <v>probsi</v>
          </cell>
        </row>
        <row r="1899">
          <cell r="B1899" t="b">
            <v>1</v>
          </cell>
          <cell r="E1899" t="str">
            <v>Arroz Barato</v>
          </cell>
          <cell r="H1899" t="str">
            <v>rx</v>
          </cell>
          <cell r="J1899" t="str">
            <v>bueno</v>
          </cell>
          <cell r="K1899" t="str">
            <v>probsi</v>
          </cell>
        </row>
        <row r="1900">
          <cell r="B1900" t="b">
            <v>1</v>
          </cell>
          <cell r="E1900" t="str">
            <v>Cano de Oro</v>
          </cell>
          <cell r="H1900" t="str">
            <v>consulta_externa</v>
          </cell>
          <cell r="J1900" t="str">
            <v>muybueno</v>
          </cell>
          <cell r="K1900" t="str">
            <v>defsi</v>
          </cell>
        </row>
        <row r="1901">
          <cell r="B1901" t="b">
            <v>1</v>
          </cell>
          <cell r="E1901" t="str">
            <v>Arroz Barato</v>
          </cell>
          <cell r="H1901" t="str">
            <v>rx</v>
          </cell>
          <cell r="J1901" t="str">
            <v>bueno</v>
          </cell>
          <cell r="K1901" t="str">
            <v>probsi</v>
          </cell>
        </row>
        <row r="1902">
          <cell r="B1902" t="b">
            <v>1</v>
          </cell>
          <cell r="E1902" t="str">
            <v>Cano de Oro</v>
          </cell>
          <cell r="H1902" t="str">
            <v>laboratorio</v>
          </cell>
          <cell r="J1902" t="str">
            <v>muybueno</v>
          </cell>
          <cell r="K1902" t="str">
            <v>defsi</v>
          </cell>
        </row>
        <row r="1903">
          <cell r="B1903" t="b">
            <v>1</v>
          </cell>
          <cell r="E1903" t="str">
            <v>Cano de Oro</v>
          </cell>
          <cell r="H1903" t="str">
            <v>consulta_externa</v>
          </cell>
          <cell r="J1903" t="str">
            <v>muybueno</v>
          </cell>
          <cell r="K1903" t="str">
            <v>defsi</v>
          </cell>
        </row>
        <row r="1904">
          <cell r="B1904" t="b">
            <v>1</v>
          </cell>
          <cell r="E1904" t="str">
            <v>Arroz Barato</v>
          </cell>
          <cell r="H1904" t="str">
            <v>consulta_externa</v>
          </cell>
          <cell r="J1904" t="str">
            <v>bueno</v>
          </cell>
          <cell r="K1904" t="str">
            <v>probsi</v>
          </cell>
        </row>
        <row r="1905">
          <cell r="B1905" t="b">
            <v>1</v>
          </cell>
          <cell r="E1905" t="str">
            <v>Arroz Barato</v>
          </cell>
          <cell r="H1905" t="str">
            <v>salud_oral</v>
          </cell>
          <cell r="J1905" t="str">
            <v>bueno</v>
          </cell>
          <cell r="K1905" t="str">
            <v>probsi</v>
          </cell>
        </row>
        <row r="1906">
          <cell r="B1906" t="b">
            <v>1</v>
          </cell>
          <cell r="E1906" t="str">
            <v>Arroz Barato</v>
          </cell>
          <cell r="H1906" t="str">
            <v>laboratorio</v>
          </cell>
          <cell r="J1906" t="str">
            <v>bueno</v>
          </cell>
          <cell r="K1906" t="str">
            <v>probsi</v>
          </cell>
        </row>
        <row r="1907">
          <cell r="B1907" t="b">
            <v>1</v>
          </cell>
          <cell r="E1907" t="str">
            <v>Arroz Barato</v>
          </cell>
          <cell r="H1907" t="str">
            <v>consulta_externa</v>
          </cell>
          <cell r="J1907" t="str">
            <v>bueno</v>
          </cell>
          <cell r="K1907" t="str">
            <v>probsi</v>
          </cell>
        </row>
        <row r="1908">
          <cell r="B1908" t="b">
            <v>1</v>
          </cell>
          <cell r="E1908" t="str">
            <v>Arroz Barato</v>
          </cell>
          <cell r="H1908" t="str">
            <v>laboratorio</v>
          </cell>
          <cell r="J1908" t="str">
            <v>bueno</v>
          </cell>
          <cell r="K1908" t="str">
            <v>probsi</v>
          </cell>
        </row>
        <row r="1909">
          <cell r="B1909" t="b">
            <v>1</v>
          </cell>
          <cell r="E1909" t="str">
            <v>Cano de Oro</v>
          </cell>
          <cell r="H1909" t="str">
            <v>laboratorio</v>
          </cell>
          <cell r="J1909" t="str">
            <v>muybueno</v>
          </cell>
          <cell r="K1909" t="str">
            <v>defsi</v>
          </cell>
        </row>
        <row r="1910">
          <cell r="B1910" t="b">
            <v>1</v>
          </cell>
          <cell r="E1910" t="str">
            <v>Cano de Oro</v>
          </cell>
          <cell r="H1910" t="str">
            <v>consulta_externa</v>
          </cell>
          <cell r="J1910" t="str">
            <v>muybueno</v>
          </cell>
          <cell r="K1910" t="str">
            <v>defsi</v>
          </cell>
        </row>
        <row r="1911">
          <cell r="B1911" t="b">
            <v>0</v>
          </cell>
          <cell r="E1911" t="str">
            <v>Arroz Barato</v>
          </cell>
          <cell r="H1911" t="str">
            <v>consulta_externa</v>
          </cell>
          <cell r="J1911" t="str">
            <v>regular</v>
          </cell>
          <cell r="K1911" t="str">
            <v>probsi</v>
          </cell>
        </row>
        <row r="1912">
          <cell r="B1912" t="b">
            <v>0</v>
          </cell>
          <cell r="E1912" t="str">
            <v>Arroz Barato</v>
          </cell>
          <cell r="H1912" t="str">
            <v>salud_oral</v>
          </cell>
          <cell r="J1912" t="str">
            <v>regular</v>
          </cell>
          <cell r="K1912" t="str">
            <v>probsi</v>
          </cell>
        </row>
        <row r="1913">
          <cell r="B1913" t="b">
            <v>0</v>
          </cell>
          <cell r="E1913" t="str">
            <v>Arroz Barato</v>
          </cell>
          <cell r="H1913" t="str">
            <v>urgencia</v>
          </cell>
          <cell r="J1913" t="str">
            <v>malo</v>
          </cell>
          <cell r="K1913" t="str">
            <v>probno</v>
          </cell>
        </row>
        <row r="1914">
          <cell r="B1914" t="b">
            <v>1</v>
          </cell>
          <cell r="E1914" t="str">
            <v>Arroz Barato</v>
          </cell>
          <cell r="H1914" t="str">
            <v>consulta_externa</v>
          </cell>
          <cell r="J1914" t="str">
            <v>bueno</v>
          </cell>
          <cell r="K1914" t="str">
            <v>probsi</v>
          </cell>
        </row>
        <row r="1915">
          <cell r="B1915" t="b">
            <v>1</v>
          </cell>
          <cell r="E1915" t="str">
            <v>Cano de Oro</v>
          </cell>
          <cell r="H1915" t="str">
            <v>salud_oral</v>
          </cell>
          <cell r="J1915" t="str">
            <v>muybueno</v>
          </cell>
          <cell r="K1915" t="str">
            <v>defsi</v>
          </cell>
        </row>
        <row r="1916">
          <cell r="B1916" t="b">
            <v>1</v>
          </cell>
          <cell r="E1916" t="str">
            <v>Cano de Oro</v>
          </cell>
          <cell r="H1916" t="str">
            <v>consulta_externa</v>
          </cell>
          <cell r="J1916" t="str">
            <v>muybueno</v>
          </cell>
          <cell r="K1916" t="str">
            <v>defsi</v>
          </cell>
        </row>
        <row r="1917">
          <cell r="B1917" t="b">
            <v>1</v>
          </cell>
          <cell r="E1917" t="str">
            <v>Cano de Oro</v>
          </cell>
          <cell r="H1917" t="str">
            <v>laboratorio</v>
          </cell>
          <cell r="J1917" t="str">
            <v>muybueno</v>
          </cell>
          <cell r="K1917" t="str">
            <v>defsi</v>
          </cell>
        </row>
        <row r="1918">
          <cell r="B1918" t="b">
            <v>1</v>
          </cell>
          <cell r="E1918" t="str">
            <v>Arroz Barato</v>
          </cell>
          <cell r="H1918" t="str">
            <v>consulta_externa</v>
          </cell>
          <cell r="J1918" t="str">
            <v>bueno</v>
          </cell>
          <cell r="K1918" t="str">
            <v>probsi</v>
          </cell>
        </row>
        <row r="1919">
          <cell r="B1919" t="b">
            <v>1</v>
          </cell>
          <cell r="E1919" t="str">
            <v>Arroz Barato</v>
          </cell>
          <cell r="H1919" t="str">
            <v>laboratorio</v>
          </cell>
          <cell r="J1919" t="str">
            <v>bueno</v>
          </cell>
          <cell r="K1919" t="str">
            <v>probsi</v>
          </cell>
        </row>
        <row r="1920">
          <cell r="B1920" t="b">
            <v>0</v>
          </cell>
          <cell r="E1920" t="str">
            <v>Arroz Barato</v>
          </cell>
          <cell r="H1920" t="str">
            <v>salud_oral</v>
          </cell>
          <cell r="J1920" t="str">
            <v>regular</v>
          </cell>
          <cell r="K1920" t="str">
            <v>probsi</v>
          </cell>
        </row>
        <row r="1921">
          <cell r="B1921" t="b">
            <v>1</v>
          </cell>
          <cell r="E1921" t="str">
            <v>Arroz Barato</v>
          </cell>
          <cell r="H1921" t="str">
            <v>consulta_externa</v>
          </cell>
          <cell r="J1921" t="str">
            <v>bueno</v>
          </cell>
          <cell r="K1921" t="str">
            <v>probsi</v>
          </cell>
        </row>
        <row r="1922">
          <cell r="B1922" t="b">
            <v>1</v>
          </cell>
          <cell r="E1922" t="str">
            <v>Cano de Oro</v>
          </cell>
          <cell r="H1922" t="str">
            <v>consulta_externa</v>
          </cell>
          <cell r="J1922" t="str">
            <v>muybueno</v>
          </cell>
          <cell r="K1922" t="str">
            <v>defsi</v>
          </cell>
        </row>
        <row r="1923">
          <cell r="B1923" t="b">
            <v>1</v>
          </cell>
          <cell r="E1923" t="str">
            <v>Cano de Oro</v>
          </cell>
          <cell r="H1923" t="str">
            <v>salud_oral</v>
          </cell>
          <cell r="J1923" t="str">
            <v>muybueno</v>
          </cell>
          <cell r="K1923" t="str">
            <v>defsi</v>
          </cell>
        </row>
        <row r="1924">
          <cell r="B1924" t="b">
            <v>1</v>
          </cell>
          <cell r="E1924" t="str">
            <v>Cano de Oro</v>
          </cell>
          <cell r="H1924" t="str">
            <v>consulta_externa</v>
          </cell>
          <cell r="J1924" t="str">
            <v>muybueno</v>
          </cell>
          <cell r="K1924" t="str">
            <v>defsi</v>
          </cell>
        </row>
        <row r="1925">
          <cell r="B1925" t="b">
            <v>1</v>
          </cell>
          <cell r="E1925" t="str">
            <v>Cano de Oro</v>
          </cell>
          <cell r="H1925" t="str">
            <v>laboratorio</v>
          </cell>
          <cell r="J1925" t="str">
            <v>muybueno</v>
          </cell>
          <cell r="K1925" t="str">
            <v>defsi</v>
          </cell>
        </row>
        <row r="1926">
          <cell r="B1926" t="b">
            <v>1</v>
          </cell>
          <cell r="E1926" t="str">
            <v>Arroz Barato</v>
          </cell>
          <cell r="H1926" t="str">
            <v>rx</v>
          </cell>
          <cell r="J1926" t="str">
            <v>bueno</v>
          </cell>
          <cell r="K1926" t="str">
            <v>probsi</v>
          </cell>
        </row>
        <row r="1927">
          <cell r="B1927" t="b">
            <v>1</v>
          </cell>
          <cell r="E1927" t="str">
            <v>Arroz Barato</v>
          </cell>
          <cell r="H1927" t="str">
            <v>rx</v>
          </cell>
          <cell r="J1927" t="str">
            <v>bueno</v>
          </cell>
          <cell r="K1927" t="str">
            <v>probsi</v>
          </cell>
        </row>
        <row r="1928">
          <cell r="B1928" t="b">
            <v>1</v>
          </cell>
          <cell r="E1928" t="str">
            <v>Arroz Barato</v>
          </cell>
          <cell r="H1928" t="str">
            <v>rx</v>
          </cell>
          <cell r="J1928" t="str">
            <v>bueno</v>
          </cell>
          <cell r="K1928" t="str">
            <v>probsi</v>
          </cell>
        </row>
        <row r="1929">
          <cell r="B1929" t="b">
            <v>1</v>
          </cell>
          <cell r="E1929" t="str">
            <v>Arroz Barato</v>
          </cell>
          <cell r="H1929" t="str">
            <v>rx</v>
          </cell>
          <cell r="J1929" t="str">
            <v>bueno</v>
          </cell>
          <cell r="K1929" t="str">
            <v>probsi</v>
          </cell>
        </row>
        <row r="1930">
          <cell r="B1930" t="b">
            <v>1</v>
          </cell>
          <cell r="E1930" t="str">
            <v>Arroz Barato</v>
          </cell>
          <cell r="H1930" t="str">
            <v>rx</v>
          </cell>
          <cell r="J1930" t="str">
            <v>bueno</v>
          </cell>
          <cell r="K1930" t="str">
            <v>probsi</v>
          </cell>
        </row>
        <row r="1931">
          <cell r="B1931" t="b">
            <v>1</v>
          </cell>
          <cell r="E1931" t="str">
            <v>Arroz Barato</v>
          </cell>
          <cell r="H1931" t="str">
            <v>consulta_externa</v>
          </cell>
          <cell r="J1931" t="str">
            <v>bueno</v>
          </cell>
          <cell r="K1931" t="str">
            <v>probsi</v>
          </cell>
        </row>
        <row r="1932">
          <cell r="B1932" t="b">
            <v>1</v>
          </cell>
          <cell r="E1932" t="str">
            <v>Arroz Barato</v>
          </cell>
          <cell r="H1932" t="str">
            <v>salud_oral</v>
          </cell>
          <cell r="J1932" t="str">
            <v>bueno</v>
          </cell>
          <cell r="K1932" t="str">
            <v>probsi</v>
          </cell>
        </row>
        <row r="1933">
          <cell r="B1933" t="b">
            <v>1</v>
          </cell>
          <cell r="E1933" t="str">
            <v>Arroz Barato</v>
          </cell>
          <cell r="H1933" t="str">
            <v>laboratorio</v>
          </cell>
          <cell r="J1933" t="str">
            <v>bueno</v>
          </cell>
          <cell r="K1933" t="str">
            <v>probsi</v>
          </cell>
        </row>
        <row r="1934">
          <cell r="B1934" t="b">
            <v>1</v>
          </cell>
          <cell r="E1934" t="str">
            <v>Arroyo Grande</v>
          </cell>
          <cell r="H1934" t="str">
            <v>consulta_externa</v>
          </cell>
          <cell r="J1934" t="str">
            <v>bueno</v>
          </cell>
          <cell r="K1934" t="str">
            <v>defsi</v>
          </cell>
        </row>
        <row r="1935">
          <cell r="B1935" t="b">
            <v>1</v>
          </cell>
          <cell r="E1935" t="str">
            <v>Arroyo Grande</v>
          </cell>
          <cell r="H1935" t="str">
            <v>salud_oral</v>
          </cell>
          <cell r="J1935" t="str">
            <v>bueno</v>
          </cell>
          <cell r="K1935" t="str">
            <v>defsi</v>
          </cell>
        </row>
        <row r="1936">
          <cell r="B1936" t="b">
            <v>1</v>
          </cell>
          <cell r="E1936" t="str">
            <v>Arroyo Grande</v>
          </cell>
          <cell r="H1936" t="str">
            <v>laboratorio</v>
          </cell>
          <cell r="J1936" t="str">
            <v>bueno</v>
          </cell>
          <cell r="K1936" t="str">
            <v>defsi</v>
          </cell>
        </row>
        <row r="1937">
          <cell r="B1937" t="b">
            <v>1</v>
          </cell>
          <cell r="E1937" t="str">
            <v>Arroyo Grande</v>
          </cell>
          <cell r="H1937" t="str">
            <v>consulta_externa</v>
          </cell>
          <cell r="J1937" t="str">
            <v>bueno</v>
          </cell>
          <cell r="K1937" t="str">
            <v>defsi</v>
          </cell>
        </row>
        <row r="1938">
          <cell r="B1938" t="b">
            <v>1</v>
          </cell>
          <cell r="E1938" t="str">
            <v>Arroyo Grande</v>
          </cell>
          <cell r="H1938" t="str">
            <v>salud_oral</v>
          </cell>
          <cell r="J1938" t="str">
            <v>bueno</v>
          </cell>
          <cell r="K1938" t="str">
            <v>defsi</v>
          </cell>
        </row>
        <row r="1939">
          <cell r="B1939" t="b">
            <v>1</v>
          </cell>
          <cell r="E1939" t="str">
            <v>Cano de Oro</v>
          </cell>
          <cell r="H1939" t="str">
            <v>consulta_externa</v>
          </cell>
          <cell r="J1939" t="str">
            <v>muybueno</v>
          </cell>
          <cell r="K1939" t="str">
            <v>defsi</v>
          </cell>
        </row>
        <row r="1940">
          <cell r="B1940" t="b">
            <v>1</v>
          </cell>
          <cell r="E1940" t="str">
            <v>Arroyo Grande</v>
          </cell>
          <cell r="H1940" t="str">
            <v>laboratorio</v>
          </cell>
          <cell r="J1940" t="str">
            <v>bueno</v>
          </cell>
          <cell r="K1940" t="str">
            <v>defsi</v>
          </cell>
        </row>
        <row r="1941">
          <cell r="B1941" t="b">
            <v>1</v>
          </cell>
          <cell r="E1941" t="str">
            <v>Cano de Oro</v>
          </cell>
          <cell r="H1941" t="str">
            <v>salud_oral</v>
          </cell>
          <cell r="J1941" t="str">
            <v>muybueno</v>
          </cell>
          <cell r="K1941" t="str">
            <v>defsi</v>
          </cell>
        </row>
        <row r="1942">
          <cell r="B1942" t="b">
            <v>1</v>
          </cell>
          <cell r="E1942" t="str">
            <v>Arroyo Grande</v>
          </cell>
          <cell r="H1942" t="str">
            <v>consulta_externa</v>
          </cell>
          <cell r="J1942" t="str">
            <v>bueno</v>
          </cell>
          <cell r="K1942" t="str">
            <v>defsi</v>
          </cell>
        </row>
        <row r="1943">
          <cell r="B1943" t="b">
            <v>1</v>
          </cell>
          <cell r="E1943" t="str">
            <v>Cano de Oro</v>
          </cell>
          <cell r="H1943" t="str">
            <v>laboratorio</v>
          </cell>
          <cell r="J1943" t="str">
            <v>muybueno</v>
          </cell>
          <cell r="K1943" t="str">
            <v>defsi</v>
          </cell>
        </row>
        <row r="1944">
          <cell r="B1944" t="b">
            <v>1</v>
          </cell>
          <cell r="E1944" t="str">
            <v>Arroyo Grande</v>
          </cell>
          <cell r="H1944" t="str">
            <v>salud_oral</v>
          </cell>
          <cell r="J1944" t="str">
            <v>bueno</v>
          </cell>
          <cell r="K1944" t="str">
            <v>defsi</v>
          </cell>
        </row>
        <row r="1945">
          <cell r="B1945" t="b">
            <v>1</v>
          </cell>
          <cell r="E1945" t="str">
            <v>Arroyo Grande</v>
          </cell>
          <cell r="H1945" t="str">
            <v>laboratorio</v>
          </cell>
          <cell r="J1945" t="str">
            <v>bueno</v>
          </cell>
          <cell r="K1945" t="str">
            <v>defsi</v>
          </cell>
        </row>
        <row r="1946">
          <cell r="B1946" t="b">
            <v>1</v>
          </cell>
          <cell r="E1946" t="str">
            <v>Arroyo Grande</v>
          </cell>
          <cell r="H1946" t="str">
            <v>consulta_externa</v>
          </cell>
          <cell r="J1946" t="str">
            <v>bueno</v>
          </cell>
          <cell r="K1946" t="str">
            <v>defsi</v>
          </cell>
        </row>
        <row r="1947">
          <cell r="B1947" t="b">
            <v>1</v>
          </cell>
          <cell r="E1947" t="str">
            <v>Arroyo Grande</v>
          </cell>
          <cell r="H1947" t="str">
            <v>salud_oral</v>
          </cell>
          <cell r="J1947" t="str">
            <v>bueno</v>
          </cell>
          <cell r="K1947" t="str">
            <v>defsi</v>
          </cell>
        </row>
        <row r="1948">
          <cell r="B1948" t="b">
            <v>1</v>
          </cell>
          <cell r="E1948" t="str">
            <v>Arroyo Grande</v>
          </cell>
          <cell r="H1948" t="str">
            <v>laboratorio</v>
          </cell>
          <cell r="J1948" t="str">
            <v>bueno</v>
          </cell>
          <cell r="K1948" t="str">
            <v>defsi</v>
          </cell>
        </row>
        <row r="1949">
          <cell r="B1949" t="b">
            <v>1</v>
          </cell>
          <cell r="E1949" t="str">
            <v>Arroyo Grande</v>
          </cell>
          <cell r="H1949" t="str">
            <v>consulta_externa</v>
          </cell>
          <cell r="J1949" t="str">
            <v>bueno</v>
          </cell>
          <cell r="K1949" t="str">
            <v>defsi</v>
          </cell>
        </row>
        <row r="1950">
          <cell r="B1950" t="b">
            <v>1</v>
          </cell>
          <cell r="E1950" t="str">
            <v>Arroyo Grande</v>
          </cell>
          <cell r="H1950" t="str">
            <v>salud_oral</v>
          </cell>
          <cell r="J1950" t="str">
            <v>bueno</v>
          </cell>
          <cell r="K1950" t="str">
            <v>defsi</v>
          </cell>
        </row>
        <row r="1951">
          <cell r="B1951" t="b">
            <v>1</v>
          </cell>
          <cell r="E1951" t="str">
            <v>Arroyo Grande</v>
          </cell>
          <cell r="H1951" t="str">
            <v>laboratorio</v>
          </cell>
          <cell r="J1951" t="str">
            <v>bueno</v>
          </cell>
          <cell r="K1951" t="str">
            <v>defsi</v>
          </cell>
        </row>
        <row r="1952">
          <cell r="B1952" t="b">
            <v>1</v>
          </cell>
          <cell r="E1952" t="str">
            <v>Arroyo Grande</v>
          </cell>
          <cell r="H1952" t="str">
            <v>consulta_externa</v>
          </cell>
          <cell r="J1952" t="str">
            <v>bueno</v>
          </cell>
          <cell r="K1952" t="str">
            <v>defsi</v>
          </cell>
        </row>
        <row r="1953">
          <cell r="B1953" t="b">
            <v>1</v>
          </cell>
          <cell r="E1953" t="str">
            <v>Arroyo Grande</v>
          </cell>
          <cell r="H1953" t="str">
            <v>salud_oral</v>
          </cell>
          <cell r="J1953" t="str">
            <v>bueno</v>
          </cell>
          <cell r="K1953" t="str">
            <v>defsi</v>
          </cell>
        </row>
        <row r="1954">
          <cell r="B1954" t="b">
            <v>1</v>
          </cell>
          <cell r="E1954" t="str">
            <v>Arroyo de Piedra</v>
          </cell>
          <cell r="H1954" t="str">
            <v>laboratorio</v>
          </cell>
          <cell r="J1954" t="str">
            <v>bueno</v>
          </cell>
          <cell r="K1954" t="str">
            <v>defsi</v>
          </cell>
        </row>
        <row r="1955">
          <cell r="B1955" t="b">
            <v>1</v>
          </cell>
          <cell r="E1955" t="str">
            <v>Cano de Oro</v>
          </cell>
          <cell r="H1955" t="str">
            <v>consulta_externa</v>
          </cell>
          <cell r="J1955" t="str">
            <v>muybueno</v>
          </cell>
          <cell r="K1955" t="str">
            <v>defsi</v>
          </cell>
        </row>
        <row r="1956">
          <cell r="B1956" t="b">
            <v>1</v>
          </cell>
          <cell r="E1956" t="str">
            <v>Cano de Oro</v>
          </cell>
          <cell r="H1956" t="str">
            <v>salud_oral</v>
          </cell>
          <cell r="J1956" t="str">
            <v>muybueno</v>
          </cell>
          <cell r="K1956" t="str">
            <v>defsi</v>
          </cell>
        </row>
        <row r="1957">
          <cell r="B1957" t="b">
            <v>1</v>
          </cell>
          <cell r="E1957" t="str">
            <v>Boquilla</v>
          </cell>
          <cell r="H1957" t="str">
            <v>consulta_externa</v>
          </cell>
          <cell r="J1957" t="str">
            <v>bueno</v>
          </cell>
          <cell r="K1957" t="str">
            <v>defsi</v>
          </cell>
        </row>
        <row r="1958">
          <cell r="B1958" t="b">
            <v>1</v>
          </cell>
          <cell r="E1958" t="str">
            <v>Boquilla</v>
          </cell>
          <cell r="H1958" t="str">
            <v>laboratorio</v>
          </cell>
          <cell r="J1958" t="str">
            <v>bueno</v>
          </cell>
          <cell r="K1958" t="str">
            <v>defsi</v>
          </cell>
        </row>
        <row r="1959">
          <cell r="B1959" t="b">
            <v>1</v>
          </cell>
          <cell r="E1959" t="str">
            <v>Arroyo Grande</v>
          </cell>
          <cell r="H1959" t="str">
            <v>consulta_externa</v>
          </cell>
          <cell r="J1959" t="str">
            <v>bueno</v>
          </cell>
          <cell r="K1959" t="str">
            <v>defsi</v>
          </cell>
        </row>
        <row r="1960">
          <cell r="B1960" t="b">
            <v>1</v>
          </cell>
          <cell r="E1960" t="str">
            <v>Boquilla</v>
          </cell>
          <cell r="H1960" t="str">
            <v>consulta_externa</v>
          </cell>
          <cell r="J1960" t="str">
            <v>bueno</v>
          </cell>
          <cell r="K1960" t="str">
            <v>defsi</v>
          </cell>
        </row>
        <row r="1961">
          <cell r="B1961" t="b">
            <v>1</v>
          </cell>
          <cell r="E1961" t="str">
            <v>Arroyo Grande</v>
          </cell>
          <cell r="H1961" t="str">
            <v>salud_oral</v>
          </cell>
          <cell r="J1961" t="str">
            <v>bueno</v>
          </cell>
          <cell r="K1961" t="str">
            <v>defsi</v>
          </cell>
        </row>
        <row r="1962">
          <cell r="B1962" t="b">
            <v>1</v>
          </cell>
          <cell r="E1962" t="str">
            <v>Boquilla</v>
          </cell>
          <cell r="H1962" t="str">
            <v>laboratorio</v>
          </cell>
          <cell r="J1962" t="str">
            <v>bueno</v>
          </cell>
          <cell r="K1962" t="str">
            <v>defsi</v>
          </cell>
        </row>
        <row r="1963">
          <cell r="B1963" t="b">
            <v>1</v>
          </cell>
          <cell r="E1963" t="str">
            <v>Boquilla</v>
          </cell>
          <cell r="H1963" t="str">
            <v>consulta_externa</v>
          </cell>
          <cell r="J1963" t="str">
            <v>bueno</v>
          </cell>
          <cell r="K1963" t="str">
            <v>defsi</v>
          </cell>
        </row>
        <row r="1964">
          <cell r="B1964" t="b">
            <v>1</v>
          </cell>
          <cell r="E1964" t="str">
            <v>Boquilla</v>
          </cell>
          <cell r="H1964" t="str">
            <v>laboratorio</v>
          </cell>
          <cell r="J1964" t="str">
            <v>bueno</v>
          </cell>
          <cell r="K1964" t="str">
            <v>defsi</v>
          </cell>
        </row>
        <row r="1965">
          <cell r="B1965" t="b">
            <v>1</v>
          </cell>
          <cell r="E1965" t="str">
            <v>Arroyo Grande</v>
          </cell>
          <cell r="H1965" t="str">
            <v>laboratorio</v>
          </cell>
          <cell r="J1965" t="str">
            <v>bueno</v>
          </cell>
          <cell r="K1965" t="str">
            <v>defsi</v>
          </cell>
        </row>
        <row r="1966">
          <cell r="B1966" t="b">
            <v>0</v>
          </cell>
          <cell r="E1966" t="str">
            <v>Boquilla</v>
          </cell>
          <cell r="H1966" t="str">
            <v>laboratorio</v>
          </cell>
          <cell r="J1966" t="str">
            <v>regular</v>
          </cell>
          <cell r="K1966" t="str">
            <v>probsi</v>
          </cell>
        </row>
        <row r="1967">
          <cell r="B1967" t="b">
            <v>1</v>
          </cell>
          <cell r="E1967" t="str">
            <v>Boquilla</v>
          </cell>
          <cell r="H1967" t="str">
            <v>laboratorio</v>
          </cell>
          <cell r="J1967" t="str">
            <v>bueno</v>
          </cell>
          <cell r="K1967" t="str">
            <v>defsi</v>
          </cell>
        </row>
        <row r="1968">
          <cell r="B1968" t="b">
            <v>1</v>
          </cell>
          <cell r="E1968" t="str">
            <v>Boquilla</v>
          </cell>
          <cell r="H1968" t="str">
            <v>laboratorio</v>
          </cell>
          <cell r="J1968" t="str">
            <v>bueno</v>
          </cell>
          <cell r="K1968" t="str">
            <v>defsi</v>
          </cell>
        </row>
        <row r="1969">
          <cell r="B1969" t="b">
            <v>1</v>
          </cell>
          <cell r="E1969" t="str">
            <v>Boquilla</v>
          </cell>
          <cell r="H1969" t="str">
            <v>consulta_externa</v>
          </cell>
          <cell r="J1969" t="str">
            <v>bueno</v>
          </cell>
          <cell r="K1969" t="str">
            <v>defsi</v>
          </cell>
        </row>
        <row r="1970">
          <cell r="B1970" t="b">
            <v>0</v>
          </cell>
          <cell r="E1970" t="str">
            <v>Boquilla</v>
          </cell>
          <cell r="H1970" t="str">
            <v>salud_oral</v>
          </cell>
          <cell r="J1970" t="str">
            <v>regular</v>
          </cell>
          <cell r="K1970" t="str">
            <v>probsi</v>
          </cell>
        </row>
        <row r="1971">
          <cell r="B1971" t="b">
            <v>0</v>
          </cell>
          <cell r="E1971" t="str">
            <v>Boquilla</v>
          </cell>
          <cell r="H1971" t="str">
            <v>laboratorio</v>
          </cell>
          <cell r="J1971" t="str">
            <v>regular</v>
          </cell>
          <cell r="K1971" t="str">
            <v>probsi</v>
          </cell>
        </row>
        <row r="1972">
          <cell r="B1972" t="b">
            <v>1</v>
          </cell>
          <cell r="E1972" t="str">
            <v>Arroyo Grande</v>
          </cell>
          <cell r="H1972" t="str">
            <v>consulta_externa</v>
          </cell>
          <cell r="J1972" t="str">
            <v>bueno</v>
          </cell>
          <cell r="K1972" t="str">
            <v>defsi</v>
          </cell>
        </row>
        <row r="1973">
          <cell r="B1973" t="b">
            <v>1</v>
          </cell>
          <cell r="E1973" t="str">
            <v>Cano de Oro</v>
          </cell>
          <cell r="H1973" t="str">
            <v>consulta_externa</v>
          </cell>
          <cell r="J1973" t="str">
            <v>muybueno</v>
          </cell>
          <cell r="K1973" t="str">
            <v>defsi</v>
          </cell>
        </row>
        <row r="1974">
          <cell r="B1974" t="b">
            <v>1</v>
          </cell>
          <cell r="E1974" t="str">
            <v>Cano de Oro</v>
          </cell>
          <cell r="H1974" t="str">
            <v>salud_oral</v>
          </cell>
          <cell r="J1974" t="str">
            <v>muybueno</v>
          </cell>
          <cell r="K1974" t="str">
            <v>defsi</v>
          </cell>
        </row>
        <row r="1975">
          <cell r="B1975" t="b">
            <v>1</v>
          </cell>
          <cell r="E1975" t="str">
            <v>Cano de Oro</v>
          </cell>
          <cell r="H1975" t="str">
            <v>consulta_externa</v>
          </cell>
          <cell r="J1975" t="str">
            <v>muybueno</v>
          </cell>
          <cell r="K1975" t="str">
            <v>defsi</v>
          </cell>
        </row>
        <row r="1976">
          <cell r="B1976" t="b">
            <v>1</v>
          </cell>
          <cell r="E1976" t="str">
            <v>Arroyo Grande</v>
          </cell>
          <cell r="H1976" t="str">
            <v>salud_oral</v>
          </cell>
          <cell r="J1976" t="str">
            <v>bueno</v>
          </cell>
          <cell r="K1976" t="str">
            <v>defsi</v>
          </cell>
        </row>
        <row r="1977">
          <cell r="B1977" t="b">
            <v>1</v>
          </cell>
          <cell r="E1977" t="str">
            <v>Arroyo Grande</v>
          </cell>
          <cell r="H1977" t="str">
            <v>laboratorio</v>
          </cell>
          <cell r="J1977" t="str">
            <v>bueno</v>
          </cell>
          <cell r="K1977" t="str">
            <v>defsi</v>
          </cell>
        </row>
        <row r="1978">
          <cell r="B1978" t="b">
            <v>0</v>
          </cell>
          <cell r="E1978" t="str">
            <v>Pasacaballos</v>
          </cell>
          <cell r="H1978" t="str">
            <v>laboratorio</v>
          </cell>
          <cell r="J1978" t="str">
            <v>regular</v>
          </cell>
          <cell r="K1978" t="str">
            <v>probsi</v>
          </cell>
        </row>
        <row r="1979">
          <cell r="B1979" t="b">
            <v>1</v>
          </cell>
          <cell r="E1979" t="str">
            <v>Pasacaballos</v>
          </cell>
          <cell r="H1979" t="str">
            <v>laboratorio</v>
          </cell>
          <cell r="J1979" t="str">
            <v>bueno</v>
          </cell>
          <cell r="K1979" t="str">
            <v>probsi</v>
          </cell>
        </row>
        <row r="1980">
          <cell r="B1980" t="b">
            <v>1</v>
          </cell>
          <cell r="E1980" t="str">
            <v>Pasacaballos</v>
          </cell>
          <cell r="H1980" t="str">
            <v>laboratorio</v>
          </cell>
          <cell r="J1980" t="str">
            <v>bueno</v>
          </cell>
          <cell r="K1980" t="str">
            <v>probsi</v>
          </cell>
        </row>
        <row r="1981">
          <cell r="B1981" t="b">
            <v>1</v>
          </cell>
          <cell r="E1981" t="str">
            <v>Arroyo Grande</v>
          </cell>
          <cell r="H1981" t="str">
            <v>consulta_externa</v>
          </cell>
          <cell r="J1981" t="str">
            <v>bueno</v>
          </cell>
          <cell r="K1981" t="str">
            <v>defsi</v>
          </cell>
        </row>
        <row r="1982">
          <cell r="B1982" t="b">
            <v>1</v>
          </cell>
          <cell r="E1982" t="str">
            <v>Pasacaballos</v>
          </cell>
          <cell r="H1982" t="str">
            <v>laboratorio</v>
          </cell>
          <cell r="J1982" t="str">
            <v>bueno</v>
          </cell>
          <cell r="K1982" t="str">
            <v>probsi</v>
          </cell>
        </row>
        <row r="1983">
          <cell r="B1983" t="b">
            <v>1</v>
          </cell>
          <cell r="E1983" t="str">
            <v>Pasacaballos</v>
          </cell>
          <cell r="H1983" t="str">
            <v>salud_oral</v>
          </cell>
          <cell r="J1983" t="str">
            <v>bueno</v>
          </cell>
          <cell r="K1983" t="str">
            <v>probsi</v>
          </cell>
        </row>
        <row r="1984">
          <cell r="B1984" t="b">
            <v>1</v>
          </cell>
          <cell r="E1984" t="str">
            <v>Pasacaballos</v>
          </cell>
          <cell r="H1984" t="str">
            <v>salud_oral</v>
          </cell>
          <cell r="J1984" t="str">
            <v>bueno</v>
          </cell>
          <cell r="K1984" t="str">
            <v>probsi</v>
          </cell>
        </row>
        <row r="1985">
          <cell r="B1985" t="b">
            <v>1</v>
          </cell>
          <cell r="E1985" t="str">
            <v>Pasacaballos</v>
          </cell>
          <cell r="H1985" t="str">
            <v>salud_oral</v>
          </cell>
          <cell r="J1985" t="str">
            <v>bueno</v>
          </cell>
          <cell r="K1985" t="str">
            <v>probsi</v>
          </cell>
        </row>
        <row r="1986">
          <cell r="B1986" t="b">
            <v>1</v>
          </cell>
          <cell r="E1986" t="str">
            <v>Arroyo Grande</v>
          </cell>
          <cell r="H1986" t="str">
            <v>salud_oral</v>
          </cell>
          <cell r="J1986" t="str">
            <v>bueno</v>
          </cell>
          <cell r="K1986" t="str">
            <v>defsi</v>
          </cell>
        </row>
        <row r="1987">
          <cell r="B1987" t="b">
            <v>1</v>
          </cell>
          <cell r="E1987" t="str">
            <v>Arroyo Grande</v>
          </cell>
          <cell r="H1987" t="str">
            <v>laboratorio</v>
          </cell>
          <cell r="J1987" t="str">
            <v>bueno</v>
          </cell>
          <cell r="K1987" t="str">
            <v>defsi</v>
          </cell>
        </row>
        <row r="1988">
          <cell r="B1988" t="b">
            <v>1</v>
          </cell>
          <cell r="E1988" t="str">
            <v>Boquilla</v>
          </cell>
          <cell r="H1988" t="str">
            <v>consulta_externa</v>
          </cell>
          <cell r="J1988" t="str">
            <v>bueno</v>
          </cell>
          <cell r="K1988" t="str">
            <v>defsi</v>
          </cell>
        </row>
        <row r="1989">
          <cell r="B1989" t="b">
            <v>1</v>
          </cell>
          <cell r="E1989" t="str">
            <v>Arroyo Grande</v>
          </cell>
          <cell r="H1989" t="str">
            <v>consulta_externa</v>
          </cell>
          <cell r="J1989" t="str">
            <v>bueno</v>
          </cell>
          <cell r="K1989" t="str">
            <v>defsi</v>
          </cell>
        </row>
        <row r="1990">
          <cell r="B1990" t="b">
            <v>1</v>
          </cell>
          <cell r="E1990" t="str">
            <v>Boquilla</v>
          </cell>
          <cell r="H1990" t="str">
            <v>consulta_externa</v>
          </cell>
          <cell r="J1990" t="str">
            <v>bueno</v>
          </cell>
          <cell r="K1990" t="str">
            <v>defsi</v>
          </cell>
        </row>
        <row r="1991">
          <cell r="B1991" t="b">
            <v>1</v>
          </cell>
          <cell r="E1991" t="str">
            <v>Boquilla</v>
          </cell>
          <cell r="H1991" t="str">
            <v>laboratorio</v>
          </cell>
          <cell r="J1991" t="str">
            <v>bueno</v>
          </cell>
          <cell r="K1991" t="str">
            <v>defsi</v>
          </cell>
        </row>
        <row r="1992">
          <cell r="B1992" t="b">
            <v>1</v>
          </cell>
          <cell r="E1992" t="str">
            <v>Arroyo Grande</v>
          </cell>
          <cell r="H1992" t="str">
            <v>salud_oral</v>
          </cell>
          <cell r="J1992" t="str">
            <v>bueno</v>
          </cell>
          <cell r="K1992" t="str">
            <v>defsi</v>
          </cell>
        </row>
        <row r="1993">
          <cell r="B1993" t="b">
            <v>1</v>
          </cell>
          <cell r="E1993" t="str">
            <v>Arroyo Grande</v>
          </cell>
          <cell r="H1993" t="str">
            <v>laboratorio</v>
          </cell>
          <cell r="J1993" t="str">
            <v>bueno</v>
          </cell>
          <cell r="K1993" t="str">
            <v>defsi</v>
          </cell>
        </row>
        <row r="1994">
          <cell r="B1994" t="b">
            <v>1</v>
          </cell>
          <cell r="E1994" t="str">
            <v>Boquilla</v>
          </cell>
          <cell r="H1994" t="str">
            <v>consulta_externa</v>
          </cell>
          <cell r="J1994" t="str">
            <v>bueno</v>
          </cell>
          <cell r="K1994" t="str">
            <v>defsi</v>
          </cell>
        </row>
        <row r="1995">
          <cell r="B1995" t="b">
            <v>1</v>
          </cell>
          <cell r="E1995" t="str">
            <v>Boquilla</v>
          </cell>
          <cell r="H1995" t="str">
            <v>salud_oral</v>
          </cell>
          <cell r="J1995" t="str">
            <v>bueno</v>
          </cell>
          <cell r="K1995" t="str">
            <v>defsi</v>
          </cell>
        </row>
        <row r="1996">
          <cell r="B1996" t="b">
            <v>1</v>
          </cell>
          <cell r="E1996" t="str">
            <v>Boquilla</v>
          </cell>
          <cell r="H1996" t="str">
            <v>consulta_externa</v>
          </cell>
          <cell r="J1996" t="str">
            <v>bueno</v>
          </cell>
          <cell r="K1996" t="str">
            <v>defsi</v>
          </cell>
        </row>
        <row r="1997">
          <cell r="B1997" t="b">
            <v>1</v>
          </cell>
          <cell r="E1997" t="str">
            <v>Boquilla</v>
          </cell>
          <cell r="H1997" t="str">
            <v>laboratorio</v>
          </cell>
          <cell r="J1997" t="str">
            <v>bueno</v>
          </cell>
          <cell r="K1997" t="str">
            <v>defsi</v>
          </cell>
        </row>
        <row r="1998">
          <cell r="B1998" t="b">
            <v>0</v>
          </cell>
          <cell r="E1998" t="str">
            <v>Boquilla</v>
          </cell>
          <cell r="H1998" t="str">
            <v>salud_oral</v>
          </cell>
          <cell r="J1998" t="str">
            <v>malo</v>
          </cell>
          <cell r="K1998" t="str">
            <v>probno</v>
          </cell>
        </row>
        <row r="1999">
          <cell r="B1999" t="b">
            <v>1</v>
          </cell>
          <cell r="E1999" t="str">
            <v>Boquilla</v>
          </cell>
          <cell r="H1999" t="str">
            <v>consulta_externa</v>
          </cell>
          <cell r="J1999" t="str">
            <v>bueno</v>
          </cell>
          <cell r="K1999" t="str">
            <v>defsi</v>
          </cell>
        </row>
        <row r="2000">
          <cell r="B2000" t="b">
            <v>1</v>
          </cell>
          <cell r="E2000" t="str">
            <v>Boquilla</v>
          </cell>
          <cell r="H2000" t="str">
            <v>salud_oral</v>
          </cell>
          <cell r="J2000" t="str">
            <v>muybueno</v>
          </cell>
          <cell r="K2000" t="str">
            <v>defsi</v>
          </cell>
        </row>
        <row r="2001">
          <cell r="B2001" t="b">
            <v>1</v>
          </cell>
          <cell r="E2001" t="str">
            <v>Boquilla</v>
          </cell>
          <cell r="H2001" t="str">
            <v>consulta_externa</v>
          </cell>
          <cell r="J2001" t="str">
            <v>bueno</v>
          </cell>
          <cell r="K2001" t="str">
            <v>defsi</v>
          </cell>
        </row>
        <row r="2002">
          <cell r="B2002" t="b">
            <v>1</v>
          </cell>
          <cell r="E2002" t="str">
            <v>Boquilla</v>
          </cell>
          <cell r="H2002" t="str">
            <v>laboratorio</v>
          </cell>
          <cell r="J2002" t="str">
            <v>bueno</v>
          </cell>
          <cell r="K2002" t="str">
            <v>defsi</v>
          </cell>
        </row>
        <row r="2003">
          <cell r="B2003" t="b">
            <v>1</v>
          </cell>
          <cell r="E2003" t="str">
            <v>Arroyo Grande</v>
          </cell>
          <cell r="H2003" t="str">
            <v>consulta_externa</v>
          </cell>
          <cell r="J2003" t="str">
            <v>bueno</v>
          </cell>
          <cell r="K2003" t="str">
            <v>defsi</v>
          </cell>
        </row>
        <row r="2004">
          <cell r="B2004" t="b">
            <v>1</v>
          </cell>
          <cell r="E2004" t="str">
            <v>Arroyo Grande</v>
          </cell>
          <cell r="H2004" t="str">
            <v>salud_oral</v>
          </cell>
          <cell r="J2004" t="str">
            <v>bueno</v>
          </cell>
          <cell r="K2004" t="str">
            <v>defsi</v>
          </cell>
        </row>
        <row r="2005">
          <cell r="B2005" t="b">
            <v>0</v>
          </cell>
          <cell r="E2005" t="str">
            <v>Pasacaballos</v>
          </cell>
          <cell r="H2005" t="str">
            <v>consulta_externa</v>
          </cell>
          <cell r="J2005" t="str">
            <v>regular</v>
          </cell>
          <cell r="K2005" t="str">
            <v>probsi</v>
          </cell>
        </row>
        <row r="2006">
          <cell r="B2006" t="b">
            <v>0</v>
          </cell>
          <cell r="E2006" t="str">
            <v>Pasacaballos</v>
          </cell>
          <cell r="H2006" t="str">
            <v>salud_oral</v>
          </cell>
          <cell r="J2006" t="str">
            <v>regular</v>
          </cell>
          <cell r="K2006" t="str">
            <v>probsi</v>
          </cell>
        </row>
        <row r="2007">
          <cell r="B2007" t="b">
            <v>0</v>
          </cell>
          <cell r="E2007" t="str">
            <v>Pasacaballos</v>
          </cell>
          <cell r="H2007" t="str">
            <v>salud_oral</v>
          </cell>
          <cell r="J2007" t="str">
            <v>regular</v>
          </cell>
          <cell r="K2007" t="str">
            <v>probsi</v>
          </cell>
        </row>
        <row r="2008">
          <cell r="B2008" t="b">
            <v>1</v>
          </cell>
          <cell r="E2008" t="str">
            <v>Pasacaballos</v>
          </cell>
          <cell r="H2008" t="str">
            <v>salud_oral</v>
          </cell>
          <cell r="J2008" t="str">
            <v>bueno</v>
          </cell>
          <cell r="K2008" t="str">
            <v>probsi</v>
          </cell>
        </row>
        <row r="2009">
          <cell r="B2009" t="b">
            <v>1</v>
          </cell>
          <cell r="E2009" t="str">
            <v>Pasacaballos</v>
          </cell>
          <cell r="H2009" t="str">
            <v>salud_oral</v>
          </cell>
          <cell r="J2009" t="str">
            <v>bueno</v>
          </cell>
          <cell r="K2009" t="str">
            <v>probsi</v>
          </cell>
        </row>
        <row r="2010">
          <cell r="B2010" t="b">
            <v>1</v>
          </cell>
          <cell r="E2010" t="str">
            <v>Pasacaballos</v>
          </cell>
          <cell r="H2010" t="str">
            <v>salud_oral</v>
          </cell>
          <cell r="J2010" t="str">
            <v>bueno</v>
          </cell>
          <cell r="K2010" t="str">
            <v>probsi</v>
          </cell>
        </row>
        <row r="2011">
          <cell r="B2011" t="b">
            <v>0</v>
          </cell>
          <cell r="E2011" t="str">
            <v>Pasacaballos</v>
          </cell>
          <cell r="H2011" t="str">
            <v>consulta_externa</v>
          </cell>
          <cell r="J2011" t="str">
            <v>regular</v>
          </cell>
          <cell r="K2011" t="str">
            <v>probsi</v>
          </cell>
        </row>
        <row r="2012">
          <cell r="B2012" t="b">
            <v>0</v>
          </cell>
          <cell r="E2012" t="str">
            <v>Pasacaballos</v>
          </cell>
          <cell r="H2012" t="str">
            <v>salud_oral</v>
          </cell>
          <cell r="J2012" t="str">
            <v>regular</v>
          </cell>
          <cell r="K2012" t="str">
            <v>probsi</v>
          </cell>
        </row>
        <row r="2013">
          <cell r="B2013" t="b">
            <v>1</v>
          </cell>
          <cell r="E2013" t="str">
            <v>Pasacaballos</v>
          </cell>
          <cell r="H2013" t="str">
            <v>consulta_externa</v>
          </cell>
          <cell r="J2013" t="str">
            <v>bueno</v>
          </cell>
          <cell r="K2013" t="str">
            <v>probsi</v>
          </cell>
        </row>
        <row r="2014">
          <cell r="B2014" t="b">
            <v>1</v>
          </cell>
          <cell r="E2014" t="str">
            <v>Pasacaballos</v>
          </cell>
          <cell r="H2014" t="str">
            <v>salud_oral</v>
          </cell>
          <cell r="J2014" t="str">
            <v>bueno</v>
          </cell>
          <cell r="K2014" t="str">
            <v>probsi</v>
          </cell>
        </row>
        <row r="2015">
          <cell r="B2015" t="b">
            <v>1</v>
          </cell>
          <cell r="E2015" t="str">
            <v>Pasacaballos</v>
          </cell>
          <cell r="H2015" t="str">
            <v>consulta_externa</v>
          </cell>
          <cell r="J2015" t="str">
            <v>bueno</v>
          </cell>
          <cell r="K2015" t="str">
            <v>probsi</v>
          </cell>
        </row>
        <row r="2016">
          <cell r="B2016" t="b">
            <v>1</v>
          </cell>
          <cell r="E2016" t="str">
            <v>Pasacaballos</v>
          </cell>
          <cell r="H2016" t="str">
            <v>salud_oral</v>
          </cell>
          <cell r="J2016" t="str">
            <v>bueno</v>
          </cell>
          <cell r="K2016" t="str">
            <v>probsi</v>
          </cell>
        </row>
        <row r="2017">
          <cell r="B2017" t="b">
            <v>1</v>
          </cell>
          <cell r="E2017" t="str">
            <v>Arroyo Grande</v>
          </cell>
          <cell r="H2017" t="str">
            <v>consulta_externa</v>
          </cell>
          <cell r="J2017" t="str">
            <v>bueno</v>
          </cell>
          <cell r="K2017" t="str">
            <v>defsi</v>
          </cell>
        </row>
        <row r="2018">
          <cell r="B2018" t="b">
            <v>1</v>
          </cell>
          <cell r="E2018" t="str">
            <v>Arroyo Grande</v>
          </cell>
          <cell r="H2018" t="str">
            <v>salud_oral</v>
          </cell>
          <cell r="J2018" t="str">
            <v>bueno</v>
          </cell>
          <cell r="K2018" t="str">
            <v>defsi</v>
          </cell>
        </row>
        <row r="2019">
          <cell r="B2019" t="b">
            <v>1</v>
          </cell>
          <cell r="E2019" t="str">
            <v>Arroyo Grande</v>
          </cell>
          <cell r="H2019" t="str">
            <v>laboratorio</v>
          </cell>
          <cell r="J2019" t="str">
            <v>bueno</v>
          </cell>
          <cell r="K2019" t="str">
            <v>defsi</v>
          </cell>
        </row>
        <row r="2020">
          <cell r="B2020" t="b">
            <v>0</v>
          </cell>
          <cell r="E2020" t="str">
            <v>Boquilla</v>
          </cell>
          <cell r="H2020" t="str">
            <v>consulta_externa</v>
          </cell>
          <cell r="J2020" t="str">
            <v>malo</v>
          </cell>
          <cell r="K2020" t="str">
            <v>probno</v>
          </cell>
        </row>
        <row r="2021">
          <cell r="B2021" t="b">
            <v>1</v>
          </cell>
          <cell r="E2021" t="str">
            <v>Arroyo Grande</v>
          </cell>
          <cell r="H2021" t="str">
            <v>consulta_externa</v>
          </cell>
          <cell r="J2021" t="str">
            <v>bueno</v>
          </cell>
          <cell r="K2021" t="str">
            <v>defsi</v>
          </cell>
        </row>
        <row r="2022">
          <cell r="B2022" t="b">
            <v>1</v>
          </cell>
          <cell r="E2022" t="str">
            <v>Arroyo Grande</v>
          </cell>
          <cell r="H2022" t="str">
            <v>salud_oral</v>
          </cell>
          <cell r="J2022" t="str">
            <v>bueno</v>
          </cell>
          <cell r="K2022" t="str">
            <v>defsi</v>
          </cell>
        </row>
        <row r="2023">
          <cell r="B2023" t="b">
            <v>1</v>
          </cell>
          <cell r="E2023" t="str">
            <v>Arroyo Grande</v>
          </cell>
          <cell r="H2023" t="str">
            <v>laboratorio</v>
          </cell>
          <cell r="J2023" t="str">
            <v>bueno</v>
          </cell>
          <cell r="K2023" t="str">
            <v>defsi</v>
          </cell>
        </row>
        <row r="2024">
          <cell r="B2024" t="b">
            <v>1</v>
          </cell>
          <cell r="E2024" t="str">
            <v>Boquilla</v>
          </cell>
          <cell r="H2024" t="str">
            <v>urgencia</v>
          </cell>
          <cell r="J2024" t="str">
            <v>bueno</v>
          </cell>
          <cell r="K2024" t="str">
            <v>defsi</v>
          </cell>
        </row>
        <row r="2025">
          <cell r="B2025" t="b">
            <v>0</v>
          </cell>
          <cell r="E2025" t="str">
            <v>Boquilla</v>
          </cell>
          <cell r="H2025" t="str">
            <v>urgencia</v>
          </cell>
          <cell r="J2025" t="str">
            <v>regular</v>
          </cell>
          <cell r="K2025" t="str">
            <v>defsi</v>
          </cell>
        </row>
        <row r="2026">
          <cell r="B2026" t="b">
            <v>1</v>
          </cell>
          <cell r="E2026" t="str">
            <v>Boquilla</v>
          </cell>
          <cell r="H2026" t="str">
            <v>urgencia</v>
          </cell>
          <cell r="J2026" t="str">
            <v>bueno</v>
          </cell>
          <cell r="K2026" t="str">
            <v>defsi</v>
          </cell>
        </row>
        <row r="2027">
          <cell r="B2027" t="b">
            <v>1</v>
          </cell>
          <cell r="E2027" t="str">
            <v>Boquilla</v>
          </cell>
          <cell r="H2027" t="str">
            <v>urgencia</v>
          </cell>
          <cell r="J2027" t="str">
            <v>bueno</v>
          </cell>
          <cell r="K2027" t="str">
            <v>defsi</v>
          </cell>
        </row>
        <row r="2028">
          <cell r="B2028" t="b">
            <v>0</v>
          </cell>
          <cell r="E2028" t="str">
            <v>Pasacaballos</v>
          </cell>
          <cell r="H2028" t="str">
            <v>consulta_externa</v>
          </cell>
          <cell r="J2028" t="str">
            <v>regular</v>
          </cell>
          <cell r="K2028" t="str">
            <v>probsi</v>
          </cell>
        </row>
        <row r="2029">
          <cell r="B2029" t="b">
            <v>0</v>
          </cell>
          <cell r="E2029" t="str">
            <v>Pasacaballos</v>
          </cell>
          <cell r="H2029" t="str">
            <v>salud_oral</v>
          </cell>
          <cell r="J2029" t="str">
            <v>regular</v>
          </cell>
          <cell r="K2029" t="str">
            <v>probsi</v>
          </cell>
        </row>
        <row r="2030">
          <cell r="B2030" t="b">
            <v>0</v>
          </cell>
          <cell r="E2030" t="str">
            <v>Pasacaballos</v>
          </cell>
          <cell r="H2030" t="str">
            <v>laboratorio</v>
          </cell>
          <cell r="J2030" t="str">
            <v>regular</v>
          </cell>
          <cell r="K2030" t="str">
            <v>probno</v>
          </cell>
        </row>
        <row r="2031">
          <cell r="B2031" t="b">
            <v>1</v>
          </cell>
          <cell r="E2031" t="str">
            <v>Pasacaballos</v>
          </cell>
          <cell r="H2031" t="str">
            <v>consulta_externa</v>
          </cell>
          <cell r="J2031" t="str">
            <v>bueno</v>
          </cell>
          <cell r="K2031" t="str">
            <v>probsi</v>
          </cell>
        </row>
        <row r="2032">
          <cell r="B2032" t="b">
            <v>1</v>
          </cell>
          <cell r="E2032" t="str">
            <v>Pasacaballos</v>
          </cell>
          <cell r="H2032" t="str">
            <v>laboratorio</v>
          </cell>
          <cell r="J2032" t="str">
            <v>bueno</v>
          </cell>
          <cell r="K2032" t="str">
            <v>probsi</v>
          </cell>
        </row>
        <row r="2033">
          <cell r="B2033" t="b">
            <v>1</v>
          </cell>
          <cell r="E2033" t="str">
            <v>Arroyo Grande</v>
          </cell>
          <cell r="H2033" t="str">
            <v>consulta_externa</v>
          </cell>
          <cell r="J2033" t="str">
            <v>bueno</v>
          </cell>
          <cell r="K2033" t="str">
            <v>defsi</v>
          </cell>
        </row>
        <row r="2034">
          <cell r="B2034" t="b">
            <v>1</v>
          </cell>
          <cell r="E2034" t="str">
            <v>Arroyo Grande</v>
          </cell>
          <cell r="H2034" t="str">
            <v>salud_oral</v>
          </cell>
          <cell r="J2034" t="str">
            <v>bueno</v>
          </cell>
          <cell r="K2034" t="str">
            <v>defsi</v>
          </cell>
        </row>
        <row r="2035">
          <cell r="B2035" t="b">
            <v>1</v>
          </cell>
          <cell r="E2035" t="str">
            <v>Pasacaballos</v>
          </cell>
          <cell r="H2035" t="str">
            <v>consulta_externa</v>
          </cell>
          <cell r="J2035" t="str">
            <v>bueno</v>
          </cell>
          <cell r="K2035" t="str">
            <v>probsi</v>
          </cell>
        </row>
        <row r="2036">
          <cell r="B2036" t="b">
            <v>1</v>
          </cell>
          <cell r="E2036" t="str">
            <v>Pasacaballos</v>
          </cell>
          <cell r="H2036" t="str">
            <v>salud_oral</v>
          </cell>
          <cell r="J2036" t="str">
            <v>bueno</v>
          </cell>
          <cell r="K2036" t="str">
            <v>probsi</v>
          </cell>
        </row>
        <row r="2037">
          <cell r="B2037" t="b">
            <v>1</v>
          </cell>
          <cell r="E2037" t="str">
            <v>Pasacaballos</v>
          </cell>
          <cell r="H2037" t="str">
            <v>laboratorio</v>
          </cell>
          <cell r="J2037" t="str">
            <v>bueno</v>
          </cell>
          <cell r="K2037" t="str">
            <v>probsi</v>
          </cell>
        </row>
        <row r="2038">
          <cell r="B2038" t="b">
            <v>1</v>
          </cell>
          <cell r="E2038" t="str">
            <v>Pasacaballos</v>
          </cell>
          <cell r="H2038" t="str">
            <v>urgencia</v>
          </cell>
          <cell r="J2038" t="str">
            <v>bueno</v>
          </cell>
          <cell r="K2038" t="str">
            <v>probsi</v>
          </cell>
        </row>
        <row r="2039">
          <cell r="B2039" t="b">
            <v>1</v>
          </cell>
          <cell r="E2039" t="str">
            <v>Arroyo Grande</v>
          </cell>
          <cell r="H2039" t="str">
            <v>laboratorio</v>
          </cell>
          <cell r="J2039" t="str">
            <v>bueno</v>
          </cell>
          <cell r="K2039" t="str">
            <v>defsi</v>
          </cell>
        </row>
        <row r="2040">
          <cell r="B2040" t="b">
            <v>1</v>
          </cell>
          <cell r="E2040" t="str">
            <v>Pasacaballos</v>
          </cell>
          <cell r="H2040" t="str">
            <v>salud_oral</v>
          </cell>
          <cell r="J2040" t="str">
            <v>bueno</v>
          </cell>
          <cell r="K2040" t="str">
            <v>probsi</v>
          </cell>
        </row>
        <row r="2041">
          <cell r="B2041" t="b">
            <v>1</v>
          </cell>
          <cell r="E2041" t="str">
            <v>Pasacaballos</v>
          </cell>
          <cell r="H2041" t="str">
            <v>laboratorio</v>
          </cell>
          <cell r="J2041" t="str">
            <v>bueno</v>
          </cell>
          <cell r="K2041" t="str">
            <v>probsi</v>
          </cell>
        </row>
        <row r="2042">
          <cell r="B2042" t="b">
            <v>1</v>
          </cell>
          <cell r="E2042" t="str">
            <v>Pasacaballos</v>
          </cell>
          <cell r="H2042" t="str">
            <v>salud_oral</v>
          </cell>
          <cell r="J2042" t="str">
            <v>bueno</v>
          </cell>
          <cell r="K2042" t="str">
            <v>probsi</v>
          </cell>
        </row>
        <row r="2043">
          <cell r="B2043" t="b">
            <v>1</v>
          </cell>
          <cell r="E2043" t="str">
            <v>Pasacaballos</v>
          </cell>
          <cell r="H2043" t="str">
            <v>laboratorio</v>
          </cell>
          <cell r="J2043" t="str">
            <v>bueno</v>
          </cell>
          <cell r="K2043" t="str">
            <v>probsi</v>
          </cell>
        </row>
        <row r="2044">
          <cell r="B2044" t="b">
            <v>0</v>
          </cell>
          <cell r="E2044" t="str">
            <v>Pasacaballos</v>
          </cell>
          <cell r="H2044" t="str">
            <v>consulta_externa</v>
          </cell>
          <cell r="J2044" t="str">
            <v>regular</v>
          </cell>
          <cell r="K2044" t="str">
            <v>probsi</v>
          </cell>
        </row>
        <row r="2045">
          <cell r="B2045" t="b">
            <v>1</v>
          </cell>
          <cell r="E2045" t="str">
            <v>Pasacaballos</v>
          </cell>
          <cell r="H2045" t="str">
            <v>consulta_externa</v>
          </cell>
          <cell r="J2045" t="str">
            <v>bueno</v>
          </cell>
          <cell r="K2045" t="str">
            <v>probsi</v>
          </cell>
        </row>
        <row r="2046">
          <cell r="B2046" t="b">
            <v>1</v>
          </cell>
          <cell r="E2046" t="str">
            <v>Pasacaballos</v>
          </cell>
          <cell r="H2046" t="str">
            <v>salud_oral</v>
          </cell>
          <cell r="J2046" t="str">
            <v>bueno</v>
          </cell>
          <cell r="K2046" t="str">
            <v>probsi</v>
          </cell>
        </row>
        <row r="2047">
          <cell r="B2047" t="b">
            <v>0</v>
          </cell>
          <cell r="E2047" t="str">
            <v>Pasacaballos</v>
          </cell>
          <cell r="H2047" t="str">
            <v>urgencia</v>
          </cell>
          <cell r="J2047" t="str">
            <v>regular</v>
          </cell>
          <cell r="K2047" t="str">
            <v>probsi</v>
          </cell>
        </row>
        <row r="2048">
          <cell r="B2048" t="b">
            <v>1</v>
          </cell>
          <cell r="E2048" t="str">
            <v>Arroyo Grande</v>
          </cell>
          <cell r="H2048" t="str">
            <v>consulta_externa</v>
          </cell>
          <cell r="J2048" t="str">
            <v>bueno</v>
          </cell>
          <cell r="K2048" t="str">
            <v>defsi</v>
          </cell>
        </row>
        <row r="2049">
          <cell r="B2049" t="b">
            <v>1</v>
          </cell>
          <cell r="E2049" t="str">
            <v>Arroyo Grande</v>
          </cell>
          <cell r="H2049" t="str">
            <v>salud_oral</v>
          </cell>
          <cell r="J2049" t="str">
            <v>bueno</v>
          </cell>
          <cell r="K2049" t="str">
            <v>defsi</v>
          </cell>
        </row>
        <row r="2050">
          <cell r="B2050" t="b">
            <v>1</v>
          </cell>
          <cell r="E2050" t="str">
            <v>Arroyo Grande</v>
          </cell>
          <cell r="H2050" t="str">
            <v>laboratorio</v>
          </cell>
          <cell r="J2050" t="str">
            <v>bueno</v>
          </cell>
          <cell r="K2050" t="str">
            <v>defsi</v>
          </cell>
        </row>
        <row r="2051">
          <cell r="B2051" t="b">
            <v>1</v>
          </cell>
          <cell r="E2051" t="str">
            <v>Arroyo Grande</v>
          </cell>
          <cell r="H2051" t="str">
            <v>consulta_externa</v>
          </cell>
          <cell r="J2051" t="str">
            <v>bueno</v>
          </cell>
          <cell r="K2051" t="str">
            <v>defsi</v>
          </cell>
        </row>
        <row r="2052">
          <cell r="B2052" t="b">
            <v>1</v>
          </cell>
          <cell r="E2052" t="str">
            <v>Arroyo Grande</v>
          </cell>
          <cell r="H2052" t="str">
            <v>salud_oral</v>
          </cell>
          <cell r="J2052" t="str">
            <v>bueno</v>
          </cell>
          <cell r="K2052" t="str">
            <v>defsi</v>
          </cell>
        </row>
        <row r="2053">
          <cell r="B2053" t="b">
            <v>1</v>
          </cell>
          <cell r="E2053" t="str">
            <v>Arroyo Grande</v>
          </cell>
          <cell r="H2053" t="str">
            <v>laboratorio</v>
          </cell>
          <cell r="J2053" t="str">
            <v>bueno</v>
          </cell>
          <cell r="K2053" t="str">
            <v>defsi</v>
          </cell>
        </row>
        <row r="2054">
          <cell r="B2054" t="b">
            <v>1</v>
          </cell>
          <cell r="E2054" t="str">
            <v>Arroyo Grande</v>
          </cell>
          <cell r="H2054" t="str">
            <v>consulta_externa</v>
          </cell>
          <cell r="J2054" t="str">
            <v>bueno</v>
          </cell>
          <cell r="K2054" t="str">
            <v>defsi</v>
          </cell>
        </row>
        <row r="2055">
          <cell r="B2055" t="b">
            <v>1</v>
          </cell>
          <cell r="E2055" t="str">
            <v>Arroyo Grande</v>
          </cell>
          <cell r="H2055" t="str">
            <v>salud_oral</v>
          </cell>
          <cell r="J2055" t="str">
            <v>bueno</v>
          </cell>
          <cell r="K2055" t="str">
            <v>defsi</v>
          </cell>
        </row>
        <row r="2056">
          <cell r="B2056" t="b">
            <v>1</v>
          </cell>
          <cell r="E2056" t="str">
            <v>Arroyo Grande</v>
          </cell>
          <cell r="H2056" t="str">
            <v>laboratorio</v>
          </cell>
          <cell r="J2056" t="str">
            <v>bueno</v>
          </cell>
          <cell r="K2056" t="str">
            <v>defsi</v>
          </cell>
        </row>
        <row r="2057">
          <cell r="B2057" t="b">
            <v>1</v>
          </cell>
          <cell r="E2057" t="str">
            <v>Boquilla</v>
          </cell>
          <cell r="H2057" t="str">
            <v>salud_oral</v>
          </cell>
          <cell r="J2057" t="str">
            <v>bueno</v>
          </cell>
          <cell r="K2057" t="str">
            <v>defsi</v>
          </cell>
        </row>
        <row r="2058">
          <cell r="B2058" t="b">
            <v>1</v>
          </cell>
          <cell r="E2058" t="str">
            <v>Boquilla</v>
          </cell>
          <cell r="H2058" t="str">
            <v>salud_oral</v>
          </cell>
          <cell r="J2058" t="str">
            <v>bueno</v>
          </cell>
          <cell r="K2058" t="str">
            <v>defsi</v>
          </cell>
        </row>
        <row r="2059">
          <cell r="B2059" t="b">
            <v>1</v>
          </cell>
          <cell r="E2059" t="str">
            <v>Pasacaballos</v>
          </cell>
          <cell r="H2059" t="str">
            <v>consulta_externa</v>
          </cell>
          <cell r="J2059" t="str">
            <v>bueno</v>
          </cell>
          <cell r="K2059" t="str">
            <v>probsi</v>
          </cell>
        </row>
        <row r="2060">
          <cell r="B2060" t="b">
            <v>1</v>
          </cell>
          <cell r="E2060" t="str">
            <v>Pasacaballos</v>
          </cell>
          <cell r="H2060" t="str">
            <v>consulta_externa</v>
          </cell>
          <cell r="J2060" t="str">
            <v>bueno</v>
          </cell>
          <cell r="K2060" t="str">
            <v>probsi</v>
          </cell>
        </row>
        <row r="2061">
          <cell r="B2061" t="b">
            <v>0</v>
          </cell>
          <cell r="E2061" t="str">
            <v>Pasacaballos</v>
          </cell>
          <cell r="H2061" t="str">
            <v>laboratorio</v>
          </cell>
          <cell r="J2061" t="str">
            <v>regular</v>
          </cell>
          <cell r="K2061" t="str">
            <v>probsi</v>
          </cell>
        </row>
        <row r="2062">
          <cell r="B2062" t="b">
            <v>1</v>
          </cell>
          <cell r="E2062" t="str">
            <v>Boquilla</v>
          </cell>
          <cell r="H2062" t="str">
            <v>urgencia</v>
          </cell>
          <cell r="J2062" t="str">
            <v>bueno</v>
          </cell>
          <cell r="K2062" t="str">
            <v>defsi</v>
          </cell>
        </row>
        <row r="2063">
          <cell r="B2063" t="b">
            <v>0</v>
          </cell>
          <cell r="E2063" t="str">
            <v>Boquilla</v>
          </cell>
          <cell r="H2063" t="str">
            <v>urgencia</v>
          </cell>
          <cell r="J2063" t="str">
            <v>regular</v>
          </cell>
          <cell r="K2063" t="str">
            <v>defsi</v>
          </cell>
        </row>
        <row r="2064">
          <cell r="B2064" t="b">
            <v>1</v>
          </cell>
          <cell r="E2064" t="str">
            <v>Boquilla</v>
          </cell>
          <cell r="H2064" t="str">
            <v>urgencia</v>
          </cell>
          <cell r="J2064" t="str">
            <v>bueno</v>
          </cell>
          <cell r="K2064" t="str">
            <v>defsi</v>
          </cell>
        </row>
        <row r="2065">
          <cell r="B2065" t="b">
            <v>1</v>
          </cell>
          <cell r="E2065" t="str">
            <v>Boquilla</v>
          </cell>
          <cell r="H2065" t="str">
            <v>urgencia</v>
          </cell>
          <cell r="J2065" t="str">
            <v>bueno</v>
          </cell>
          <cell r="K2065" t="str">
            <v>defsi</v>
          </cell>
        </row>
        <row r="2066">
          <cell r="B2066" t="b">
            <v>0</v>
          </cell>
          <cell r="E2066" t="str">
            <v>Boquilla</v>
          </cell>
          <cell r="H2066" t="str">
            <v>urgencia</v>
          </cell>
          <cell r="J2066" t="str">
            <v>regular</v>
          </cell>
          <cell r="K2066" t="str">
            <v>defsi</v>
          </cell>
        </row>
        <row r="2067">
          <cell r="B2067" t="b">
            <v>0</v>
          </cell>
          <cell r="E2067" t="str">
            <v>Boquilla</v>
          </cell>
          <cell r="H2067" t="str">
            <v>urgencia</v>
          </cell>
          <cell r="J2067" t="str">
            <v>regular</v>
          </cell>
          <cell r="K2067" t="str">
            <v>defsi</v>
          </cell>
        </row>
        <row r="2068">
          <cell r="B2068" t="b">
            <v>1</v>
          </cell>
          <cell r="E2068" t="str">
            <v>Boquilla</v>
          </cell>
          <cell r="H2068" t="str">
            <v>consulta_externa</v>
          </cell>
          <cell r="J2068" t="str">
            <v>bueno</v>
          </cell>
          <cell r="K2068" t="str">
            <v>defsi</v>
          </cell>
        </row>
        <row r="2069">
          <cell r="B2069" t="b">
            <v>1</v>
          </cell>
          <cell r="E2069" t="str">
            <v>Boquilla</v>
          </cell>
          <cell r="H2069" t="str">
            <v>salud_oral</v>
          </cell>
          <cell r="J2069" t="str">
            <v>bueno</v>
          </cell>
          <cell r="K2069" t="str">
            <v>defsi</v>
          </cell>
        </row>
        <row r="2070">
          <cell r="B2070" t="b">
            <v>1</v>
          </cell>
          <cell r="E2070" t="str">
            <v>Boquilla</v>
          </cell>
          <cell r="H2070" t="str">
            <v>salud_oral</v>
          </cell>
          <cell r="J2070" t="str">
            <v>bueno</v>
          </cell>
          <cell r="K2070" t="str">
            <v>defsi</v>
          </cell>
        </row>
        <row r="2071">
          <cell r="B2071" t="b">
            <v>1</v>
          </cell>
          <cell r="E2071" t="str">
            <v>Boquilla</v>
          </cell>
          <cell r="H2071" t="str">
            <v>salud_oral</v>
          </cell>
          <cell r="J2071" t="str">
            <v>bueno</v>
          </cell>
          <cell r="K2071" t="str">
            <v>defsi</v>
          </cell>
        </row>
        <row r="2072">
          <cell r="B2072" t="b">
            <v>1</v>
          </cell>
          <cell r="E2072" t="str">
            <v>Boquilla</v>
          </cell>
          <cell r="H2072" t="str">
            <v>salud_oral</v>
          </cell>
          <cell r="J2072" t="str">
            <v>bueno</v>
          </cell>
          <cell r="K2072" t="str">
            <v>defsi</v>
          </cell>
        </row>
        <row r="2073">
          <cell r="B2073" t="b">
            <v>1</v>
          </cell>
          <cell r="E2073" t="str">
            <v>Boquilla</v>
          </cell>
          <cell r="H2073" t="str">
            <v>consulta_externa</v>
          </cell>
          <cell r="J2073" t="str">
            <v>bueno</v>
          </cell>
          <cell r="K2073" t="str">
            <v>defsi</v>
          </cell>
        </row>
        <row r="2074">
          <cell r="B2074" t="b">
            <v>1</v>
          </cell>
          <cell r="E2074" t="str">
            <v>Boquilla</v>
          </cell>
          <cell r="H2074" t="str">
            <v>salud_oral</v>
          </cell>
          <cell r="J2074" t="str">
            <v>bueno</v>
          </cell>
          <cell r="K2074" t="str">
            <v>defsi</v>
          </cell>
        </row>
        <row r="2075">
          <cell r="B2075" t="b">
            <v>1</v>
          </cell>
          <cell r="E2075" t="str">
            <v>Boquilla</v>
          </cell>
          <cell r="H2075" t="str">
            <v>urgencia</v>
          </cell>
          <cell r="J2075" t="str">
            <v>bueno</v>
          </cell>
          <cell r="K2075" t="str">
            <v>defsi</v>
          </cell>
        </row>
        <row r="2076">
          <cell r="B2076" t="b">
            <v>1</v>
          </cell>
          <cell r="E2076" t="str">
            <v>Arroyo de las Canoas</v>
          </cell>
          <cell r="H2076" t="str">
            <v>consulta_externa</v>
          </cell>
          <cell r="J2076" t="str">
            <v>bueno</v>
          </cell>
          <cell r="K2076" t="str">
            <v>defsi</v>
          </cell>
        </row>
        <row r="2077">
          <cell r="B2077" t="b">
            <v>1</v>
          </cell>
          <cell r="E2077" t="str">
            <v>Pasacaballos</v>
          </cell>
          <cell r="H2077" t="str">
            <v>urgencia</v>
          </cell>
          <cell r="J2077" t="str">
            <v>bueno</v>
          </cell>
          <cell r="K2077" t="str">
            <v>probsi</v>
          </cell>
        </row>
        <row r="2078">
          <cell r="B2078" t="b">
            <v>0</v>
          </cell>
          <cell r="E2078" t="str">
            <v>Pasacaballos</v>
          </cell>
          <cell r="H2078" t="str">
            <v>urgencia</v>
          </cell>
          <cell r="J2078" t="str">
            <v>regular</v>
          </cell>
          <cell r="K2078" t="str">
            <v>probsi</v>
          </cell>
        </row>
        <row r="2079">
          <cell r="B2079" t="b">
            <v>0</v>
          </cell>
          <cell r="E2079" t="str">
            <v>Pasacaballos</v>
          </cell>
          <cell r="H2079" t="str">
            <v>urgencia</v>
          </cell>
          <cell r="J2079" t="str">
            <v>regular</v>
          </cell>
          <cell r="K2079" t="str">
            <v>probsi</v>
          </cell>
        </row>
        <row r="2080">
          <cell r="B2080" t="b">
            <v>0</v>
          </cell>
          <cell r="E2080" t="str">
            <v>Pasacaballos</v>
          </cell>
          <cell r="H2080" t="str">
            <v>urgencia</v>
          </cell>
          <cell r="J2080" t="str">
            <v>regular</v>
          </cell>
          <cell r="K2080" t="str">
            <v>probsi</v>
          </cell>
        </row>
        <row r="2081">
          <cell r="B2081" t="b">
            <v>1</v>
          </cell>
          <cell r="E2081" t="str">
            <v>Pasacaballos</v>
          </cell>
          <cell r="H2081" t="str">
            <v>urgencia</v>
          </cell>
          <cell r="J2081" t="str">
            <v>bueno</v>
          </cell>
          <cell r="K2081" t="str">
            <v>probsi</v>
          </cell>
        </row>
        <row r="2082">
          <cell r="B2082" t="b">
            <v>1</v>
          </cell>
          <cell r="E2082" t="str">
            <v>Pasacaballos</v>
          </cell>
          <cell r="H2082" t="str">
            <v>urgencia</v>
          </cell>
          <cell r="J2082" t="str">
            <v>bueno</v>
          </cell>
          <cell r="K2082" t="str">
            <v>probsi</v>
          </cell>
        </row>
        <row r="2083">
          <cell r="B2083" t="b">
            <v>1</v>
          </cell>
          <cell r="E2083" t="str">
            <v>Arroyo de las Canoas</v>
          </cell>
          <cell r="H2083" t="str">
            <v>salud_oral</v>
          </cell>
          <cell r="J2083" t="str">
            <v>bueno</v>
          </cell>
          <cell r="K2083" t="str">
            <v>defsi</v>
          </cell>
        </row>
        <row r="2084">
          <cell r="B2084" t="b">
            <v>1</v>
          </cell>
          <cell r="E2084" t="str">
            <v>Arroyo de las Canoas</v>
          </cell>
          <cell r="H2084" t="str">
            <v>laboratorio</v>
          </cell>
          <cell r="J2084" t="str">
            <v>bueno</v>
          </cell>
          <cell r="K2084" t="str">
            <v>defsi</v>
          </cell>
        </row>
        <row r="2085">
          <cell r="B2085" t="b">
            <v>1</v>
          </cell>
          <cell r="E2085" t="str">
            <v>Arroyo de las Canoas</v>
          </cell>
          <cell r="H2085" t="str">
            <v>consulta_externa</v>
          </cell>
          <cell r="J2085" t="str">
            <v>bueno</v>
          </cell>
          <cell r="K2085" t="str">
            <v>defsi</v>
          </cell>
        </row>
        <row r="2086">
          <cell r="B2086" t="b">
            <v>1</v>
          </cell>
          <cell r="E2086" t="str">
            <v>Arroyo de las Canoas</v>
          </cell>
          <cell r="H2086" t="str">
            <v>salud_oral</v>
          </cell>
          <cell r="J2086" t="str">
            <v>bueno</v>
          </cell>
          <cell r="K2086" t="str">
            <v>defsi</v>
          </cell>
        </row>
        <row r="2087">
          <cell r="B2087" t="b">
            <v>1</v>
          </cell>
          <cell r="E2087" t="str">
            <v>Arroyo de las Canoas</v>
          </cell>
          <cell r="H2087" t="str">
            <v>laboratorio</v>
          </cell>
          <cell r="J2087" t="str">
            <v>bueno</v>
          </cell>
          <cell r="K2087" t="str">
            <v>defsi</v>
          </cell>
        </row>
        <row r="2088">
          <cell r="B2088" t="b">
            <v>1</v>
          </cell>
          <cell r="E2088" t="str">
            <v>Arroyo de las Canoas</v>
          </cell>
          <cell r="H2088" t="str">
            <v>salud_oral</v>
          </cell>
          <cell r="J2088" t="str">
            <v>bueno</v>
          </cell>
          <cell r="K2088" t="str">
            <v>defsi</v>
          </cell>
        </row>
        <row r="2089">
          <cell r="B2089" t="b">
            <v>1</v>
          </cell>
          <cell r="E2089" t="str">
            <v>Arroyo de las Canoas</v>
          </cell>
          <cell r="H2089" t="str">
            <v>consulta_externa</v>
          </cell>
          <cell r="J2089" t="str">
            <v>bueno</v>
          </cell>
          <cell r="K2089" t="str">
            <v>defsi</v>
          </cell>
        </row>
        <row r="2090">
          <cell r="B2090" t="b">
            <v>1</v>
          </cell>
          <cell r="E2090" t="str">
            <v>Arroyo de las Canoas</v>
          </cell>
          <cell r="H2090" t="str">
            <v>laboratorio</v>
          </cell>
          <cell r="J2090" t="str">
            <v>bueno</v>
          </cell>
          <cell r="K2090" t="str">
            <v>defsi</v>
          </cell>
        </row>
        <row r="2091">
          <cell r="B2091" t="b">
            <v>1</v>
          </cell>
          <cell r="E2091" t="str">
            <v>Arroyo de las Canoas</v>
          </cell>
          <cell r="H2091" t="str">
            <v>consulta_externa</v>
          </cell>
          <cell r="J2091" t="str">
            <v>bueno</v>
          </cell>
          <cell r="K2091" t="str">
            <v>defsi</v>
          </cell>
        </row>
        <row r="2092">
          <cell r="B2092" t="b">
            <v>1</v>
          </cell>
          <cell r="E2092" t="str">
            <v>Arroyo de las Canoas</v>
          </cell>
          <cell r="H2092" t="str">
            <v>salud_oral</v>
          </cell>
          <cell r="J2092" t="str">
            <v>bueno</v>
          </cell>
          <cell r="K2092" t="str">
            <v>defsi</v>
          </cell>
        </row>
        <row r="2093">
          <cell r="B2093" t="b">
            <v>0</v>
          </cell>
          <cell r="E2093" t="str">
            <v>Arroz Barato</v>
          </cell>
          <cell r="H2093" t="str">
            <v>salud_oral</v>
          </cell>
          <cell r="J2093" t="str">
            <v>regular</v>
          </cell>
          <cell r="K2093" t="str">
            <v>probsi</v>
          </cell>
        </row>
        <row r="2094">
          <cell r="B2094" t="b">
            <v>1</v>
          </cell>
          <cell r="E2094" t="str">
            <v>Arroz Barato</v>
          </cell>
          <cell r="H2094" t="str">
            <v>salud_oral</v>
          </cell>
          <cell r="J2094" t="str">
            <v>bueno</v>
          </cell>
          <cell r="K2094" t="str">
            <v>probsi</v>
          </cell>
        </row>
        <row r="2095">
          <cell r="B2095" t="b">
            <v>1</v>
          </cell>
          <cell r="E2095" t="str">
            <v>Arroz Barato</v>
          </cell>
          <cell r="H2095" t="str">
            <v>salud_oral</v>
          </cell>
          <cell r="J2095" t="str">
            <v>bueno</v>
          </cell>
          <cell r="K2095" t="str">
            <v>probsi</v>
          </cell>
        </row>
        <row r="2096">
          <cell r="B2096" t="b">
            <v>1</v>
          </cell>
          <cell r="E2096" t="str">
            <v>Arroz Barato</v>
          </cell>
          <cell r="H2096" t="str">
            <v>laboratorio</v>
          </cell>
          <cell r="J2096" t="str">
            <v>bueno</v>
          </cell>
          <cell r="K2096" t="str">
            <v>probsi</v>
          </cell>
        </row>
        <row r="2097">
          <cell r="B2097" t="b">
            <v>1</v>
          </cell>
          <cell r="E2097" t="str">
            <v>Arroz Barato</v>
          </cell>
          <cell r="H2097" t="str">
            <v>laboratorio</v>
          </cell>
          <cell r="J2097" t="str">
            <v>bueno</v>
          </cell>
          <cell r="K2097" t="str">
            <v>probsi</v>
          </cell>
        </row>
        <row r="2098">
          <cell r="B2098" t="b">
            <v>1</v>
          </cell>
          <cell r="E2098" t="str">
            <v>Arroz Barato</v>
          </cell>
          <cell r="H2098" t="str">
            <v>laboratorio</v>
          </cell>
          <cell r="J2098" t="str">
            <v>bueno</v>
          </cell>
          <cell r="K2098" t="str">
            <v>probsi</v>
          </cell>
        </row>
        <row r="2099">
          <cell r="B2099" t="b">
            <v>1</v>
          </cell>
          <cell r="E2099" t="str">
            <v>Arroz Barato</v>
          </cell>
          <cell r="H2099" t="str">
            <v>laboratorio</v>
          </cell>
          <cell r="J2099" t="str">
            <v>bueno</v>
          </cell>
          <cell r="K2099" t="str">
            <v>probsi</v>
          </cell>
        </row>
        <row r="2100">
          <cell r="B2100" t="b">
            <v>1</v>
          </cell>
          <cell r="E2100" t="str">
            <v>Arroz Barato</v>
          </cell>
          <cell r="H2100" t="str">
            <v>rx</v>
          </cell>
          <cell r="J2100" t="str">
            <v>bueno</v>
          </cell>
          <cell r="K2100" t="str">
            <v>probsi</v>
          </cell>
        </row>
        <row r="2101">
          <cell r="B2101" t="b">
            <v>1</v>
          </cell>
          <cell r="E2101" t="str">
            <v>Arroz Barato</v>
          </cell>
          <cell r="H2101" t="str">
            <v>urgencia</v>
          </cell>
          <cell r="J2101" t="str">
            <v>bueno</v>
          </cell>
          <cell r="K2101" t="str">
            <v>probsi</v>
          </cell>
        </row>
        <row r="2102">
          <cell r="B2102" t="b">
            <v>1</v>
          </cell>
          <cell r="E2102" t="str">
            <v>Arroz Barato</v>
          </cell>
          <cell r="H2102" t="str">
            <v>urgencia</v>
          </cell>
          <cell r="J2102" t="str">
            <v>bueno</v>
          </cell>
          <cell r="K2102" t="str">
            <v>probsi</v>
          </cell>
        </row>
        <row r="2103">
          <cell r="B2103" t="b">
            <v>1</v>
          </cell>
          <cell r="E2103" t="str">
            <v>Arroz Barato</v>
          </cell>
          <cell r="H2103" t="str">
            <v>urgencia</v>
          </cell>
          <cell r="J2103" t="str">
            <v>bueno</v>
          </cell>
          <cell r="K2103" t="str">
            <v>probsi</v>
          </cell>
        </row>
        <row r="2104">
          <cell r="B2104" t="b">
            <v>1</v>
          </cell>
          <cell r="E2104" t="str">
            <v>Arroz Barato</v>
          </cell>
          <cell r="H2104" t="str">
            <v>urgencia</v>
          </cell>
          <cell r="J2104" t="str">
            <v>bueno</v>
          </cell>
          <cell r="K2104" t="str">
            <v>probsi</v>
          </cell>
        </row>
        <row r="2105">
          <cell r="B2105" t="b">
            <v>0</v>
          </cell>
          <cell r="E2105" t="str">
            <v>Arroz Barato</v>
          </cell>
          <cell r="H2105" t="str">
            <v>urgencia</v>
          </cell>
          <cell r="J2105" t="str">
            <v>regular</v>
          </cell>
          <cell r="K2105" t="str">
            <v>probsi</v>
          </cell>
        </row>
        <row r="2106">
          <cell r="B2106" t="b">
            <v>0</v>
          </cell>
          <cell r="E2106" t="str">
            <v>Arroz Barato</v>
          </cell>
          <cell r="H2106" t="str">
            <v>urgencia</v>
          </cell>
          <cell r="J2106" t="str">
            <v>regular</v>
          </cell>
          <cell r="K2106" t="str">
            <v>probsi</v>
          </cell>
        </row>
        <row r="2107">
          <cell r="B2107" t="b">
            <v>1</v>
          </cell>
          <cell r="E2107" t="str">
            <v>Arroz Barato</v>
          </cell>
          <cell r="H2107" t="str">
            <v>urgencia</v>
          </cell>
          <cell r="J2107" t="str">
            <v>bueno</v>
          </cell>
          <cell r="K2107" t="str">
            <v>probsi</v>
          </cell>
        </row>
        <row r="2108">
          <cell r="B2108" t="b">
            <v>1</v>
          </cell>
          <cell r="E2108" t="str">
            <v>Arroz Barato</v>
          </cell>
          <cell r="H2108" t="str">
            <v>urgencia</v>
          </cell>
          <cell r="J2108" t="str">
            <v>bueno</v>
          </cell>
          <cell r="K2108" t="str">
            <v>probsi</v>
          </cell>
        </row>
        <row r="2109">
          <cell r="B2109" t="b">
            <v>1</v>
          </cell>
          <cell r="E2109" t="str">
            <v>Arroz Barato</v>
          </cell>
          <cell r="H2109" t="str">
            <v>urgencia</v>
          </cell>
          <cell r="J2109" t="str">
            <v>bueno</v>
          </cell>
          <cell r="K2109" t="str">
            <v>probsi</v>
          </cell>
        </row>
        <row r="2110">
          <cell r="B2110" t="b">
            <v>1</v>
          </cell>
          <cell r="E2110" t="str">
            <v>Arroz Barato</v>
          </cell>
          <cell r="H2110" t="str">
            <v>urgencia</v>
          </cell>
          <cell r="J2110" t="str">
            <v>bueno</v>
          </cell>
          <cell r="K2110" t="str">
            <v>probsi</v>
          </cell>
        </row>
        <row r="2111">
          <cell r="B2111" t="b">
            <v>1</v>
          </cell>
          <cell r="E2111" t="str">
            <v>Arroz Barato</v>
          </cell>
          <cell r="H2111" t="str">
            <v>urgencia</v>
          </cell>
          <cell r="J2111" t="str">
            <v>bueno</v>
          </cell>
          <cell r="K2111" t="str">
            <v>probsi</v>
          </cell>
        </row>
        <row r="2112">
          <cell r="B2112" t="b">
            <v>1</v>
          </cell>
          <cell r="E2112" t="str">
            <v>Arroz Barato</v>
          </cell>
          <cell r="H2112" t="str">
            <v>urgencia</v>
          </cell>
          <cell r="J2112" t="str">
            <v>bueno</v>
          </cell>
          <cell r="K2112" t="str">
            <v>probsi</v>
          </cell>
        </row>
        <row r="2113">
          <cell r="B2113" t="b">
            <v>1</v>
          </cell>
          <cell r="E2113" t="str">
            <v>Arroyo de las Canoas</v>
          </cell>
          <cell r="H2113" t="str">
            <v>laboratorio</v>
          </cell>
          <cell r="J2113" t="str">
            <v>bueno</v>
          </cell>
          <cell r="K2113" t="str">
            <v>defsi</v>
          </cell>
        </row>
        <row r="2114">
          <cell r="B2114" t="b">
            <v>1</v>
          </cell>
          <cell r="E2114" t="str">
            <v>Arroyo de las Canoas</v>
          </cell>
          <cell r="H2114" t="str">
            <v>consulta_externa</v>
          </cell>
          <cell r="J2114" t="str">
            <v>bueno</v>
          </cell>
          <cell r="K2114" t="str">
            <v>defsi</v>
          </cell>
        </row>
        <row r="2115">
          <cell r="B2115" t="b">
            <v>1</v>
          </cell>
          <cell r="E2115" t="str">
            <v>Arroyo de las Canoas</v>
          </cell>
          <cell r="H2115" t="str">
            <v>salud_oral</v>
          </cell>
          <cell r="J2115" t="str">
            <v>bueno</v>
          </cell>
          <cell r="K2115" t="str">
            <v>defsi</v>
          </cell>
        </row>
        <row r="2116">
          <cell r="B2116" t="b">
            <v>1</v>
          </cell>
          <cell r="E2116" t="str">
            <v>Arroyo de las Canoas</v>
          </cell>
          <cell r="H2116" t="str">
            <v>laboratorio</v>
          </cell>
          <cell r="J2116" t="str">
            <v>bueno</v>
          </cell>
          <cell r="K2116" t="str">
            <v>defsi</v>
          </cell>
        </row>
        <row r="2117">
          <cell r="B2117" t="b">
            <v>1</v>
          </cell>
          <cell r="E2117" t="str">
            <v>Arroyo de las Canoas</v>
          </cell>
          <cell r="H2117" t="str">
            <v>consulta_externa</v>
          </cell>
          <cell r="J2117" t="str">
            <v>bueno</v>
          </cell>
          <cell r="K2117" t="str">
            <v>defsi</v>
          </cell>
        </row>
        <row r="2118">
          <cell r="B2118" t="b">
            <v>1</v>
          </cell>
          <cell r="E2118" t="str">
            <v>Arroyo de las Canoas</v>
          </cell>
          <cell r="H2118" t="str">
            <v>salud_oral</v>
          </cell>
          <cell r="J2118" t="str">
            <v>bueno</v>
          </cell>
          <cell r="K2118" t="str">
            <v>defsi</v>
          </cell>
        </row>
        <row r="2119">
          <cell r="B2119" t="b">
            <v>1</v>
          </cell>
          <cell r="E2119" t="str">
            <v>Isla del Rosario</v>
          </cell>
          <cell r="H2119" t="str">
            <v>consulta_externa</v>
          </cell>
          <cell r="J2119" t="str">
            <v>muybueno</v>
          </cell>
          <cell r="K2119" t="str">
            <v>defsi</v>
          </cell>
        </row>
        <row r="2120">
          <cell r="B2120" t="b">
            <v>1</v>
          </cell>
          <cell r="E2120" t="str">
            <v>Arroyo de las Canoas</v>
          </cell>
          <cell r="H2120" t="str">
            <v>laboratorio</v>
          </cell>
          <cell r="J2120" t="str">
            <v>bueno</v>
          </cell>
          <cell r="K2120" t="str">
            <v>defsi</v>
          </cell>
        </row>
        <row r="2121">
          <cell r="B2121" t="b">
            <v>1</v>
          </cell>
          <cell r="E2121" t="str">
            <v>Isla del Rosario</v>
          </cell>
          <cell r="H2121" t="str">
            <v>laboratorio</v>
          </cell>
          <cell r="J2121" t="str">
            <v>muybueno</v>
          </cell>
          <cell r="K2121" t="str">
            <v>defsi</v>
          </cell>
        </row>
        <row r="2122">
          <cell r="B2122" t="b">
            <v>1</v>
          </cell>
          <cell r="E2122" t="str">
            <v>Isla del Rosario</v>
          </cell>
          <cell r="H2122" t="str">
            <v>salud_oral</v>
          </cell>
          <cell r="J2122" t="str">
            <v>muybueno</v>
          </cell>
          <cell r="K2122" t="str">
            <v>defsi</v>
          </cell>
        </row>
        <row r="2123">
          <cell r="B2123" t="b">
            <v>1</v>
          </cell>
          <cell r="E2123" t="str">
            <v>Arroyo de las Canoas</v>
          </cell>
          <cell r="H2123" t="str">
            <v>consulta_externa</v>
          </cell>
          <cell r="J2123" t="str">
            <v>bueno</v>
          </cell>
          <cell r="K2123" t="str">
            <v>defsi</v>
          </cell>
        </row>
        <row r="2124">
          <cell r="B2124" t="b">
            <v>1</v>
          </cell>
          <cell r="E2124" t="str">
            <v>Arroyo de las Canoas</v>
          </cell>
          <cell r="H2124" t="str">
            <v>salud_oral</v>
          </cell>
          <cell r="J2124" t="str">
            <v>bueno</v>
          </cell>
          <cell r="K2124" t="str">
            <v>defsi</v>
          </cell>
        </row>
        <row r="2125">
          <cell r="B2125" t="b">
            <v>1</v>
          </cell>
          <cell r="E2125" t="str">
            <v>Arroyo de las Canoas</v>
          </cell>
          <cell r="H2125" t="str">
            <v>laboratorio</v>
          </cell>
          <cell r="J2125" t="str">
            <v>bueno</v>
          </cell>
          <cell r="K2125" t="str">
            <v>defsi</v>
          </cell>
        </row>
        <row r="2126">
          <cell r="B2126" t="b">
            <v>1</v>
          </cell>
          <cell r="E2126" t="str">
            <v>Arroyo de las Canoas</v>
          </cell>
          <cell r="H2126" t="str">
            <v>consulta_externa</v>
          </cell>
          <cell r="J2126" t="str">
            <v>bueno</v>
          </cell>
          <cell r="K2126" t="str">
            <v>defsi</v>
          </cell>
        </row>
        <row r="2127">
          <cell r="B2127" t="b">
            <v>1</v>
          </cell>
          <cell r="E2127" t="str">
            <v>Arroyo de las Canoas</v>
          </cell>
          <cell r="H2127" t="str">
            <v>salud_oral</v>
          </cell>
          <cell r="J2127" t="str">
            <v>bueno</v>
          </cell>
          <cell r="K2127" t="str">
            <v>defsi</v>
          </cell>
        </row>
        <row r="2128">
          <cell r="B2128" t="b">
            <v>1</v>
          </cell>
          <cell r="E2128" t="str">
            <v>Arroyo de las Canoas</v>
          </cell>
          <cell r="H2128" t="str">
            <v>laboratorio</v>
          </cell>
          <cell r="J2128" t="str">
            <v>bueno</v>
          </cell>
          <cell r="K2128" t="str">
            <v>defsi</v>
          </cell>
        </row>
        <row r="2129">
          <cell r="B2129" t="b">
            <v>1</v>
          </cell>
          <cell r="E2129" t="str">
            <v>Arroyo de las Canoas</v>
          </cell>
          <cell r="H2129" t="str">
            <v>consulta_externa</v>
          </cell>
          <cell r="J2129" t="str">
            <v>bueno</v>
          </cell>
          <cell r="K2129" t="str">
            <v>defsi</v>
          </cell>
        </row>
        <row r="2130">
          <cell r="B2130" t="b">
            <v>1</v>
          </cell>
          <cell r="E2130" t="str">
            <v>Isla del Rosario</v>
          </cell>
          <cell r="H2130" t="str">
            <v>consulta_externa</v>
          </cell>
          <cell r="J2130" t="str">
            <v>muybueno</v>
          </cell>
          <cell r="K2130" t="str">
            <v>defsi</v>
          </cell>
        </row>
        <row r="2131">
          <cell r="B2131" t="b">
            <v>1</v>
          </cell>
          <cell r="E2131" t="str">
            <v>Isla del Rosario</v>
          </cell>
          <cell r="H2131" t="str">
            <v>salud_oral</v>
          </cell>
          <cell r="J2131" t="str">
            <v>muybueno</v>
          </cell>
          <cell r="K2131" t="str">
            <v>defsi</v>
          </cell>
        </row>
        <row r="2132">
          <cell r="B2132" t="b">
            <v>1</v>
          </cell>
          <cell r="E2132" t="str">
            <v>Isla del Rosario</v>
          </cell>
          <cell r="H2132" t="str">
            <v>laboratorio</v>
          </cell>
          <cell r="J2132" t="str">
            <v>muybueno</v>
          </cell>
          <cell r="K2132" t="str">
            <v>defsi</v>
          </cell>
        </row>
        <row r="2133">
          <cell r="B2133" t="b">
            <v>1</v>
          </cell>
          <cell r="E2133" t="str">
            <v>Isla del Rosario</v>
          </cell>
          <cell r="H2133" t="str">
            <v>consulta_externa</v>
          </cell>
          <cell r="J2133" t="str">
            <v>muybueno</v>
          </cell>
          <cell r="K2133" t="str">
            <v>defsi</v>
          </cell>
        </row>
        <row r="2134">
          <cell r="B2134" t="b">
            <v>1</v>
          </cell>
          <cell r="E2134" t="str">
            <v>Isla del Rosario</v>
          </cell>
          <cell r="H2134" t="str">
            <v>laboratorio</v>
          </cell>
          <cell r="J2134" t="str">
            <v>muybueno</v>
          </cell>
          <cell r="K2134" t="str">
            <v>defsi</v>
          </cell>
        </row>
        <row r="2135">
          <cell r="B2135" t="b">
            <v>1</v>
          </cell>
          <cell r="E2135" t="str">
            <v>Isla del Rosario</v>
          </cell>
          <cell r="H2135" t="str">
            <v>salud_oral</v>
          </cell>
          <cell r="J2135" t="str">
            <v>muybueno</v>
          </cell>
          <cell r="K2135" t="str">
            <v>defsi</v>
          </cell>
        </row>
        <row r="2136">
          <cell r="B2136" t="b">
            <v>1</v>
          </cell>
          <cell r="E2136" t="str">
            <v>Isla del Rosario</v>
          </cell>
          <cell r="H2136" t="str">
            <v>consulta_externa</v>
          </cell>
          <cell r="J2136" t="str">
            <v>muybueno</v>
          </cell>
          <cell r="K2136" t="str">
            <v>defsi</v>
          </cell>
        </row>
        <row r="2137">
          <cell r="B2137" t="b">
            <v>1</v>
          </cell>
          <cell r="E2137" t="str">
            <v>Arroz Barato</v>
          </cell>
          <cell r="H2137" t="str">
            <v>rx</v>
          </cell>
          <cell r="J2137" t="str">
            <v>bueno</v>
          </cell>
          <cell r="K2137" t="str">
            <v>probsi</v>
          </cell>
        </row>
        <row r="2138">
          <cell r="B2138" t="b">
            <v>1</v>
          </cell>
          <cell r="E2138" t="str">
            <v>Arroz Barato</v>
          </cell>
          <cell r="H2138" t="str">
            <v>rx</v>
          </cell>
          <cell r="J2138" t="str">
            <v>bueno</v>
          </cell>
          <cell r="K2138" t="str">
            <v>probsi</v>
          </cell>
        </row>
        <row r="2139">
          <cell r="B2139" t="b">
            <v>1</v>
          </cell>
          <cell r="E2139" t="str">
            <v>Arroz Barato</v>
          </cell>
          <cell r="H2139" t="str">
            <v>rx</v>
          </cell>
          <cell r="J2139" t="str">
            <v>bueno</v>
          </cell>
          <cell r="K2139" t="str">
            <v>probsi</v>
          </cell>
        </row>
        <row r="2140">
          <cell r="B2140" t="b">
            <v>1</v>
          </cell>
          <cell r="E2140" t="str">
            <v>Isla del Rosario</v>
          </cell>
          <cell r="H2140" t="str">
            <v>consulta_externa</v>
          </cell>
          <cell r="J2140" t="str">
            <v>muybueno</v>
          </cell>
          <cell r="K2140" t="str">
            <v>defsi</v>
          </cell>
        </row>
        <row r="2141">
          <cell r="B2141" t="b">
            <v>1</v>
          </cell>
          <cell r="E2141" t="str">
            <v>Arroz Barato</v>
          </cell>
          <cell r="H2141" t="str">
            <v>rx</v>
          </cell>
          <cell r="J2141" t="str">
            <v>bueno</v>
          </cell>
          <cell r="K2141" t="str">
            <v>probsi</v>
          </cell>
        </row>
        <row r="2142">
          <cell r="B2142" t="b">
            <v>1</v>
          </cell>
          <cell r="E2142" t="str">
            <v>Arroz Barato</v>
          </cell>
          <cell r="H2142" t="str">
            <v>rx</v>
          </cell>
          <cell r="J2142" t="str">
            <v>bueno</v>
          </cell>
          <cell r="K2142" t="str">
            <v>probsi</v>
          </cell>
        </row>
        <row r="2143">
          <cell r="B2143" t="b">
            <v>1</v>
          </cell>
          <cell r="E2143" t="str">
            <v>Isla del Rosario</v>
          </cell>
          <cell r="H2143" t="str">
            <v>laboratorio</v>
          </cell>
          <cell r="J2143" t="str">
            <v>muybueno</v>
          </cell>
          <cell r="K2143" t="str">
            <v>defsi</v>
          </cell>
        </row>
        <row r="2144">
          <cell r="B2144" t="b">
            <v>1</v>
          </cell>
          <cell r="E2144" t="str">
            <v>Isla del Rosario</v>
          </cell>
          <cell r="H2144" t="str">
            <v>salud_oral</v>
          </cell>
          <cell r="J2144" t="str">
            <v>muybueno</v>
          </cell>
          <cell r="K2144" t="str">
            <v>defsi</v>
          </cell>
        </row>
        <row r="2145">
          <cell r="B2145" t="b">
            <v>1</v>
          </cell>
          <cell r="E2145" t="str">
            <v>Isla del Rosario</v>
          </cell>
          <cell r="H2145" t="str">
            <v>consulta_externa</v>
          </cell>
          <cell r="J2145" t="str">
            <v>muybueno</v>
          </cell>
          <cell r="K2145" t="str">
            <v>defsi</v>
          </cell>
        </row>
        <row r="2146">
          <cell r="B2146" t="b">
            <v>1</v>
          </cell>
          <cell r="E2146" t="str">
            <v>Isla del Rosario</v>
          </cell>
          <cell r="H2146" t="str">
            <v>salud_oral</v>
          </cell>
          <cell r="J2146" t="str">
            <v>muybueno</v>
          </cell>
          <cell r="K2146" t="str">
            <v>defsi</v>
          </cell>
        </row>
        <row r="2147">
          <cell r="B2147" t="b">
            <v>1</v>
          </cell>
          <cell r="E2147" t="str">
            <v>Isla del Rosario</v>
          </cell>
          <cell r="H2147" t="str">
            <v>laboratorio</v>
          </cell>
          <cell r="J2147" t="str">
            <v>muybueno</v>
          </cell>
          <cell r="K2147" t="str">
            <v>defsi</v>
          </cell>
        </row>
        <row r="2148">
          <cell r="B2148" t="b">
            <v>1</v>
          </cell>
          <cell r="E2148" t="str">
            <v>Isla del Rosario</v>
          </cell>
          <cell r="H2148" t="str">
            <v>consulta_externa</v>
          </cell>
          <cell r="J2148" t="str">
            <v>muybueno</v>
          </cell>
          <cell r="K2148" t="str">
            <v>defsi</v>
          </cell>
        </row>
        <row r="2149">
          <cell r="B2149" t="b">
            <v>1</v>
          </cell>
          <cell r="E2149" t="str">
            <v>Isla del Rosario</v>
          </cell>
          <cell r="H2149" t="str">
            <v>laboratorio</v>
          </cell>
          <cell r="J2149" t="str">
            <v>muybueno</v>
          </cell>
          <cell r="K2149" t="str">
            <v>defsi</v>
          </cell>
        </row>
        <row r="2150">
          <cell r="B2150" t="b">
            <v>1</v>
          </cell>
          <cell r="E2150" t="str">
            <v>Isla del Rosario</v>
          </cell>
          <cell r="H2150" t="str">
            <v>salud_oral</v>
          </cell>
          <cell r="J2150" t="str">
            <v>muybueno</v>
          </cell>
          <cell r="K2150" t="str">
            <v>defsi</v>
          </cell>
        </row>
        <row r="2151">
          <cell r="B2151" t="b">
            <v>1</v>
          </cell>
          <cell r="E2151" t="str">
            <v>Isla del Rosario</v>
          </cell>
          <cell r="H2151" t="str">
            <v>consulta_externa</v>
          </cell>
          <cell r="J2151" t="str">
            <v>muybueno</v>
          </cell>
          <cell r="K2151" t="str">
            <v>defsi</v>
          </cell>
        </row>
        <row r="2152">
          <cell r="B2152" t="b">
            <v>1</v>
          </cell>
          <cell r="E2152" t="str">
            <v>Isla del Rosario</v>
          </cell>
          <cell r="H2152" t="str">
            <v>laboratorio</v>
          </cell>
          <cell r="J2152" t="str">
            <v>muybueno</v>
          </cell>
          <cell r="K2152" t="str">
            <v>defsi</v>
          </cell>
        </row>
        <row r="2153">
          <cell r="B2153" t="b">
            <v>1</v>
          </cell>
          <cell r="E2153" t="str">
            <v>Isla del Rosario</v>
          </cell>
          <cell r="H2153" t="str">
            <v>consulta_externa</v>
          </cell>
          <cell r="J2153" t="str">
            <v>muybueno</v>
          </cell>
          <cell r="K2153" t="str">
            <v>defsi</v>
          </cell>
        </row>
        <row r="2154">
          <cell r="B2154" t="b">
            <v>1</v>
          </cell>
          <cell r="E2154" t="str">
            <v>Isla del Rosario</v>
          </cell>
          <cell r="H2154" t="str">
            <v>salud_oral</v>
          </cell>
          <cell r="J2154" t="str">
            <v>muybueno</v>
          </cell>
          <cell r="K2154" t="str">
            <v>defsi</v>
          </cell>
        </row>
        <row r="2155">
          <cell r="B2155" t="b">
            <v>1</v>
          </cell>
          <cell r="E2155" t="str">
            <v>Isla del Rosario</v>
          </cell>
          <cell r="H2155" t="str">
            <v>consulta_externa</v>
          </cell>
          <cell r="J2155" t="str">
            <v>muybueno</v>
          </cell>
          <cell r="K2155" t="str">
            <v>defsi</v>
          </cell>
        </row>
        <row r="2156">
          <cell r="B2156" t="b">
            <v>1</v>
          </cell>
          <cell r="E2156" t="str">
            <v>Isla del Rosario</v>
          </cell>
          <cell r="H2156" t="str">
            <v>salud_oral</v>
          </cell>
          <cell r="J2156" t="str">
            <v>muybueno</v>
          </cell>
          <cell r="K2156" t="str">
            <v>defsi</v>
          </cell>
        </row>
        <row r="2157">
          <cell r="B2157" t="b">
            <v>1</v>
          </cell>
          <cell r="E2157" t="str">
            <v>Arroyo de las Canoas</v>
          </cell>
          <cell r="H2157" t="str">
            <v>consulta_externa</v>
          </cell>
          <cell r="J2157" t="str">
            <v>bueno</v>
          </cell>
          <cell r="K2157" t="str">
            <v>defsi</v>
          </cell>
        </row>
        <row r="2158">
          <cell r="B2158" t="b">
            <v>1</v>
          </cell>
          <cell r="E2158" t="str">
            <v>Arroyo de las Canoas</v>
          </cell>
          <cell r="H2158" t="str">
            <v>salud_oral</v>
          </cell>
          <cell r="J2158" t="str">
            <v>bueno</v>
          </cell>
          <cell r="K2158" t="str">
            <v>defsi</v>
          </cell>
        </row>
        <row r="2159">
          <cell r="B2159" t="b">
            <v>1</v>
          </cell>
          <cell r="E2159" t="str">
            <v>Arroyo de las Canoas</v>
          </cell>
          <cell r="H2159" t="str">
            <v>laboratorio</v>
          </cell>
          <cell r="J2159" t="str">
            <v>bueno</v>
          </cell>
          <cell r="K2159" t="str">
            <v>defsi</v>
          </cell>
        </row>
        <row r="2160">
          <cell r="B2160" t="b">
            <v>1</v>
          </cell>
          <cell r="E2160" t="str">
            <v>Arroyo de las Canoas</v>
          </cell>
          <cell r="H2160" t="str">
            <v>consulta_externa</v>
          </cell>
          <cell r="J2160" t="str">
            <v>bueno</v>
          </cell>
          <cell r="K2160" t="str">
            <v>defsi</v>
          </cell>
        </row>
        <row r="2161">
          <cell r="B2161" t="b">
            <v>1</v>
          </cell>
          <cell r="E2161" t="str">
            <v>Arroyo de las Canoas</v>
          </cell>
          <cell r="H2161" t="str">
            <v>salud_oral</v>
          </cell>
          <cell r="J2161" t="str">
            <v>bueno</v>
          </cell>
          <cell r="K2161" t="str">
            <v>defsi</v>
          </cell>
        </row>
        <row r="2162">
          <cell r="B2162" t="b">
            <v>1</v>
          </cell>
          <cell r="E2162" t="str">
            <v>Arroyo de las Canoas</v>
          </cell>
          <cell r="H2162" t="str">
            <v>laboratorio</v>
          </cell>
          <cell r="J2162" t="str">
            <v>bueno</v>
          </cell>
          <cell r="K2162" t="str">
            <v>defsi</v>
          </cell>
        </row>
        <row r="2163">
          <cell r="B2163" t="b">
            <v>1</v>
          </cell>
          <cell r="E2163" t="str">
            <v>Arroyo de las Canoas</v>
          </cell>
          <cell r="H2163" t="str">
            <v>consulta_externa</v>
          </cell>
          <cell r="J2163" t="str">
            <v>bueno</v>
          </cell>
          <cell r="K2163" t="str">
            <v>defsi</v>
          </cell>
        </row>
        <row r="2164">
          <cell r="B2164" t="b">
            <v>1</v>
          </cell>
          <cell r="E2164" t="str">
            <v>Arroyo de las Canoas</v>
          </cell>
          <cell r="H2164" t="str">
            <v>salud_oral</v>
          </cell>
          <cell r="J2164" t="str">
            <v>bueno</v>
          </cell>
          <cell r="K2164" t="str">
            <v>defsi</v>
          </cell>
        </row>
        <row r="2165">
          <cell r="B2165" t="b">
            <v>1</v>
          </cell>
          <cell r="E2165" t="str">
            <v>Arroyo de las Canoas</v>
          </cell>
          <cell r="H2165" t="str">
            <v>laboratorio</v>
          </cell>
          <cell r="J2165" t="str">
            <v>bueno</v>
          </cell>
          <cell r="K2165" t="str">
            <v>defsi</v>
          </cell>
        </row>
        <row r="2166">
          <cell r="B2166" t="b">
            <v>1</v>
          </cell>
          <cell r="E2166" t="str">
            <v>Arroyo de las Canoas</v>
          </cell>
          <cell r="H2166" t="str">
            <v>consulta_externa</v>
          </cell>
          <cell r="J2166" t="str">
            <v>bueno</v>
          </cell>
          <cell r="K2166" t="str">
            <v>defsi</v>
          </cell>
        </row>
        <row r="2167">
          <cell r="B2167" t="b">
            <v>1</v>
          </cell>
          <cell r="E2167" t="str">
            <v>Arroyo de las Canoas</v>
          </cell>
          <cell r="H2167" t="str">
            <v>salud_oral</v>
          </cell>
          <cell r="J2167" t="str">
            <v>bueno</v>
          </cell>
          <cell r="K2167" t="str">
            <v>defsi</v>
          </cell>
        </row>
        <row r="2168">
          <cell r="B2168" t="b">
            <v>1</v>
          </cell>
          <cell r="E2168" t="str">
            <v>Arroyo de las Canoas</v>
          </cell>
          <cell r="H2168" t="str">
            <v>laboratorio</v>
          </cell>
          <cell r="J2168" t="str">
            <v>bueno</v>
          </cell>
          <cell r="K2168" t="str">
            <v>defsi</v>
          </cell>
        </row>
        <row r="2169">
          <cell r="B2169" t="b">
            <v>1</v>
          </cell>
          <cell r="E2169" t="str">
            <v>Arroyo de las Canoas</v>
          </cell>
          <cell r="H2169" t="str">
            <v>consulta_externa</v>
          </cell>
          <cell r="J2169" t="str">
            <v>bueno</v>
          </cell>
          <cell r="K2169" t="str">
            <v>defsi</v>
          </cell>
        </row>
        <row r="2170">
          <cell r="B2170" t="b">
            <v>1</v>
          </cell>
          <cell r="E2170" t="str">
            <v>Arroyo de las Canoas</v>
          </cell>
          <cell r="H2170" t="str">
            <v>salud_oral</v>
          </cell>
          <cell r="J2170" t="str">
            <v>bueno</v>
          </cell>
          <cell r="K2170" t="str">
            <v>defsi</v>
          </cell>
        </row>
        <row r="2171">
          <cell r="B2171" t="b">
            <v>1</v>
          </cell>
          <cell r="E2171" t="str">
            <v>Arroyo de las Canoas</v>
          </cell>
          <cell r="H2171" t="str">
            <v>laboratorio</v>
          </cell>
          <cell r="J2171" t="str">
            <v>bueno</v>
          </cell>
          <cell r="K2171" t="str">
            <v>defsi</v>
          </cell>
        </row>
        <row r="2172">
          <cell r="B2172" t="b">
            <v>1</v>
          </cell>
          <cell r="E2172" t="str">
            <v>Arroyo de las Canoas</v>
          </cell>
          <cell r="H2172" t="str">
            <v>consulta_externa</v>
          </cell>
          <cell r="J2172" t="str">
            <v>bueno</v>
          </cell>
          <cell r="K2172" t="str">
            <v>defsi</v>
          </cell>
        </row>
        <row r="2173">
          <cell r="B2173" t="b">
            <v>1</v>
          </cell>
          <cell r="E2173" t="str">
            <v>Arroyo de las Canoas</v>
          </cell>
          <cell r="H2173" t="str">
            <v>salud_oral</v>
          </cell>
          <cell r="J2173" t="str">
            <v>bueno</v>
          </cell>
          <cell r="K2173" t="str">
            <v>defsi</v>
          </cell>
        </row>
        <row r="2174">
          <cell r="B2174" t="b">
            <v>1</v>
          </cell>
          <cell r="E2174" t="str">
            <v>Arroyo de las Canoas</v>
          </cell>
          <cell r="H2174" t="str">
            <v>laboratorio</v>
          </cell>
          <cell r="J2174" t="str">
            <v>bueno</v>
          </cell>
          <cell r="K2174" t="str">
            <v>defsi</v>
          </cell>
        </row>
        <row r="2175">
          <cell r="B2175" t="b">
            <v>1</v>
          </cell>
          <cell r="E2175" t="str">
            <v>Arroyo de las Canoas</v>
          </cell>
          <cell r="H2175" t="str">
            <v>consulta_externa</v>
          </cell>
          <cell r="J2175" t="str">
            <v>bueno</v>
          </cell>
          <cell r="K2175" t="str">
            <v>defsi</v>
          </cell>
        </row>
        <row r="2176">
          <cell r="B2176" t="b">
            <v>1</v>
          </cell>
          <cell r="E2176" t="str">
            <v>Arroyo de las Canoas</v>
          </cell>
          <cell r="H2176" t="str">
            <v>salud_oral</v>
          </cell>
          <cell r="J2176" t="str">
            <v>bueno</v>
          </cell>
          <cell r="K2176" t="str">
            <v>defsi</v>
          </cell>
        </row>
        <row r="2177">
          <cell r="B2177" t="b">
            <v>1</v>
          </cell>
          <cell r="E2177" t="str">
            <v>Arroyo de las Canoas</v>
          </cell>
          <cell r="H2177" t="str">
            <v>laboratorio</v>
          </cell>
          <cell r="J2177" t="str">
            <v>bueno</v>
          </cell>
          <cell r="K2177" t="str">
            <v>defsi</v>
          </cell>
        </row>
        <row r="2178">
          <cell r="B2178" t="b">
            <v>1</v>
          </cell>
          <cell r="E2178" t="str">
            <v>Puerto Rey</v>
          </cell>
          <cell r="H2178" t="str">
            <v>consulta_externa</v>
          </cell>
          <cell r="J2178" t="str">
            <v>bueno</v>
          </cell>
          <cell r="K2178" t="str">
            <v>probsi</v>
          </cell>
        </row>
        <row r="2179">
          <cell r="B2179" t="b">
            <v>1</v>
          </cell>
          <cell r="E2179" t="str">
            <v>Puerto Rey</v>
          </cell>
          <cell r="H2179" t="str">
            <v>consulta_externa</v>
          </cell>
          <cell r="J2179" t="str">
            <v>bueno</v>
          </cell>
          <cell r="K2179" t="str">
            <v>probsi</v>
          </cell>
        </row>
        <row r="2180">
          <cell r="B2180" t="b">
            <v>1</v>
          </cell>
          <cell r="E2180" t="str">
            <v>Puerto Rey</v>
          </cell>
          <cell r="H2180" t="str">
            <v>consulta_externa</v>
          </cell>
          <cell r="J2180" t="str">
            <v>bueno</v>
          </cell>
          <cell r="K2180" t="str">
            <v>probsi</v>
          </cell>
        </row>
        <row r="2181">
          <cell r="B2181" t="b">
            <v>1</v>
          </cell>
          <cell r="E2181" t="str">
            <v>Puerto Rey</v>
          </cell>
          <cell r="H2181" t="str">
            <v>salud_oral</v>
          </cell>
          <cell r="J2181" t="str">
            <v>bueno</v>
          </cell>
          <cell r="K2181" t="str">
            <v>probsi</v>
          </cell>
        </row>
        <row r="2182">
          <cell r="B2182" t="b">
            <v>1</v>
          </cell>
          <cell r="E2182" t="str">
            <v>Puerto Rey</v>
          </cell>
          <cell r="H2182" t="str">
            <v>salud_oral</v>
          </cell>
          <cell r="J2182" t="str">
            <v>bueno</v>
          </cell>
          <cell r="K2182" t="str">
            <v>probsi</v>
          </cell>
        </row>
        <row r="2183">
          <cell r="B2183" t="b">
            <v>1</v>
          </cell>
          <cell r="E2183" t="str">
            <v>Puerto Rey</v>
          </cell>
          <cell r="H2183" t="str">
            <v>laboratorio</v>
          </cell>
          <cell r="J2183" t="str">
            <v>bueno</v>
          </cell>
          <cell r="K2183" t="str">
            <v>probsi</v>
          </cell>
        </row>
        <row r="2184">
          <cell r="B2184" t="b">
            <v>1</v>
          </cell>
          <cell r="E2184" t="str">
            <v>Puerto Rey</v>
          </cell>
          <cell r="H2184" t="str">
            <v>laboratorio</v>
          </cell>
          <cell r="J2184" t="str">
            <v>bueno</v>
          </cell>
          <cell r="K2184" t="str">
            <v>probsi</v>
          </cell>
        </row>
        <row r="2185">
          <cell r="B2185" t="b">
            <v>1</v>
          </cell>
          <cell r="E2185" t="str">
            <v>Puerto Rey</v>
          </cell>
          <cell r="H2185" t="str">
            <v>laboratorio</v>
          </cell>
          <cell r="J2185" t="str">
            <v>bueno</v>
          </cell>
          <cell r="K2185" t="str">
            <v>probsi</v>
          </cell>
        </row>
        <row r="2186">
          <cell r="B2186" t="b">
            <v>1</v>
          </cell>
          <cell r="E2186" t="str">
            <v>Puerto Rey</v>
          </cell>
          <cell r="H2186" t="str">
            <v>consulta_externa</v>
          </cell>
          <cell r="J2186" t="str">
            <v>muybueno</v>
          </cell>
          <cell r="K2186" t="str">
            <v>probsi</v>
          </cell>
        </row>
        <row r="2187">
          <cell r="B2187" t="b">
            <v>1</v>
          </cell>
          <cell r="E2187" t="str">
            <v>Puerto Rey</v>
          </cell>
          <cell r="H2187" t="str">
            <v>salud_oral</v>
          </cell>
          <cell r="J2187" t="str">
            <v>muybueno</v>
          </cell>
          <cell r="K2187" t="str">
            <v>probsi</v>
          </cell>
        </row>
        <row r="2188">
          <cell r="B2188" t="b">
            <v>1</v>
          </cell>
          <cell r="E2188" t="str">
            <v>Puerto Rey</v>
          </cell>
          <cell r="H2188" t="str">
            <v>laboratorio</v>
          </cell>
          <cell r="J2188" t="str">
            <v>bueno</v>
          </cell>
          <cell r="K2188" t="str">
            <v>probsi</v>
          </cell>
        </row>
        <row r="2189">
          <cell r="B2189" t="b">
            <v>1</v>
          </cell>
          <cell r="E2189" t="str">
            <v>Candelaria</v>
          </cell>
          <cell r="H2189" t="str">
            <v>consulta_externa</v>
          </cell>
          <cell r="J2189" t="str">
            <v>bueno</v>
          </cell>
          <cell r="K2189" t="str">
            <v>defsi</v>
          </cell>
        </row>
        <row r="2190">
          <cell r="B2190" t="b">
            <v>1</v>
          </cell>
          <cell r="E2190" t="str">
            <v>Puerto Rey</v>
          </cell>
          <cell r="H2190" t="str">
            <v>laboratorio</v>
          </cell>
          <cell r="J2190" t="str">
            <v>bueno</v>
          </cell>
          <cell r="K2190" t="str">
            <v>probsi</v>
          </cell>
        </row>
        <row r="2191">
          <cell r="B2191" t="b">
            <v>1</v>
          </cell>
          <cell r="E2191" t="str">
            <v>Puerto Rey</v>
          </cell>
          <cell r="H2191" t="str">
            <v>consulta_externa</v>
          </cell>
          <cell r="J2191" t="str">
            <v>muybueno</v>
          </cell>
          <cell r="K2191" t="str">
            <v>probsi</v>
          </cell>
        </row>
        <row r="2192">
          <cell r="B2192" t="b">
            <v>1</v>
          </cell>
          <cell r="E2192" t="str">
            <v>Puerto Rey</v>
          </cell>
          <cell r="H2192" t="str">
            <v>salud_oral</v>
          </cell>
          <cell r="J2192" t="str">
            <v>muybueno</v>
          </cell>
          <cell r="K2192" t="str">
            <v>probsi</v>
          </cell>
        </row>
        <row r="2193">
          <cell r="B2193" t="b">
            <v>1</v>
          </cell>
          <cell r="E2193" t="str">
            <v>Candelaria</v>
          </cell>
          <cell r="H2193" t="str">
            <v>salud_oral</v>
          </cell>
          <cell r="J2193" t="str">
            <v>bueno</v>
          </cell>
          <cell r="K2193" t="str">
            <v>defsi</v>
          </cell>
        </row>
        <row r="2194">
          <cell r="B2194" t="b">
            <v>1</v>
          </cell>
          <cell r="E2194" t="str">
            <v>Candelaria</v>
          </cell>
          <cell r="H2194" t="str">
            <v>laboratorio</v>
          </cell>
          <cell r="J2194" t="str">
            <v>bueno</v>
          </cell>
          <cell r="K2194" t="str">
            <v>defsi</v>
          </cell>
        </row>
        <row r="2195">
          <cell r="B2195" t="b">
            <v>1</v>
          </cell>
          <cell r="E2195" t="str">
            <v>Candelaria</v>
          </cell>
          <cell r="H2195" t="str">
            <v>urgencia</v>
          </cell>
          <cell r="J2195" t="str">
            <v>bueno</v>
          </cell>
          <cell r="K2195" t="str">
            <v>defsi</v>
          </cell>
        </row>
        <row r="2196">
          <cell r="B2196" t="b">
            <v>1</v>
          </cell>
          <cell r="E2196" t="str">
            <v>Candelaria</v>
          </cell>
          <cell r="H2196" t="str">
            <v>electros</v>
          </cell>
          <cell r="J2196" t="str">
            <v>bueno</v>
          </cell>
          <cell r="K2196" t="str">
            <v>defsi</v>
          </cell>
        </row>
        <row r="2197">
          <cell r="B2197" t="b">
            <v>1</v>
          </cell>
          <cell r="E2197" t="str">
            <v>Candelaria</v>
          </cell>
          <cell r="H2197" t="str">
            <v>pediatria</v>
          </cell>
          <cell r="J2197" t="str">
            <v>bueno</v>
          </cell>
          <cell r="K2197" t="str">
            <v>defsi</v>
          </cell>
        </row>
        <row r="2198">
          <cell r="B2198" t="b">
            <v>1</v>
          </cell>
          <cell r="E2198" t="str">
            <v>Candelaria</v>
          </cell>
          <cell r="H2198" t="str">
            <v>consulta_externa</v>
          </cell>
          <cell r="J2198" t="str">
            <v>bueno</v>
          </cell>
          <cell r="K2198" t="str">
            <v>defsi</v>
          </cell>
        </row>
        <row r="2199">
          <cell r="B2199" t="b">
            <v>1</v>
          </cell>
          <cell r="E2199" t="str">
            <v>Candelaria</v>
          </cell>
          <cell r="H2199" t="str">
            <v>salud_oral</v>
          </cell>
          <cell r="J2199" t="str">
            <v>bueno</v>
          </cell>
          <cell r="K2199" t="str">
            <v>defsi</v>
          </cell>
        </row>
        <row r="2200">
          <cell r="B2200" t="b">
            <v>1</v>
          </cell>
          <cell r="E2200" t="str">
            <v>Candelaria</v>
          </cell>
          <cell r="H2200" t="str">
            <v>laboratorio</v>
          </cell>
          <cell r="J2200" t="str">
            <v>bueno</v>
          </cell>
          <cell r="K2200" t="str">
            <v>defsi</v>
          </cell>
        </row>
        <row r="2201">
          <cell r="B2201" t="b">
            <v>1</v>
          </cell>
          <cell r="E2201" t="str">
            <v>Candelaria</v>
          </cell>
          <cell r="H2201" t="str">
            <v>urgencia</v>
          </cell>
          <cell r="J2201" t="str">
            <v>bueno</v>
          </cell>
          <cell r="K2201" t="str">
            <v>defsi</v>
          </cell>
        </row>
        <row r="2202">
          <cell r="B2202" t="b">
            <v>1</v>
          </cell>
          <cell r="E2202" t="str">
            <v>Candelaria</v>
          </cell>
          <cell r="H2202" t="str">
            <v>electros</v>
          </cell>
          <cell r="J2202" t="str">
            <v>bueno</v>
          </cell>
          <cell r="K2202" t="str">
            <v>defsi</v>
          </cell>
        </row>
        <row r="2203">
          <cell r="B2203" t="b">
            <v>1</v>
          </cell>
          <cell r="E2203" t="str">
            <v>Candelaria</v>
          </cell>
          <cell r="H2203" t="str">
            <v>pediatria</v>
          </cell>
          <cell r="J2203" t="str">
            <v>bueno</v>
          </cell>
          <cell r="K2203" t="str">
            <v>defsi</v>
          </cell>
        </row>
        <row r="2204">
          <cell r="B2204" t="b">
            <v>1</v>
          </cell>
          <cell r="E2204" t="str">
            <v>Candelaria</v>
          </cell>
          <cell r="H2204" t="str">
            <v>pediatria</v>
          </cell>
          <cell r="J2204" t="str">
            <v>bueno</v>
          </cell>
          <cell r="K2204" t="str">
            <v>defsi</v>
          </cell>
        </row>
        <row r="2205">
          <cell r="B2205" t="b">
            <v>1</v>
          </cell>
          <cell r="E2205" t="str">
            <v>Candelaria</v>
          </cell>
          <cell r="H2205" t="str">
            <v>medicina_interna</v>
          </cell>
          <cell r="J2205" t="str">
            <v>bueno</v>
          </cell>
          <cell r="K2205" t="str">
            <v>defsi</v>
          </cell>
        </row>
        <row r="2206">
          <cell r="B2206" t="b">
            <v>1</v>
          </cell>
          <cell r="E2206" t="str">
            <v>Puerto Rey</v>
          </cell>
          <cell r="H2206" t="str">
            <v>consulta_externa</v>
          </cell>
          <cell r="J2206" t="str">
            <v>bueno</v>
          </cell>
          <cell r="K2206" t="str">
            <v>probsi</v>
          </cell>
        </row>
        <row r="2207">
          <cell r="B2207" t="b">
            <v>1</v>
          </cell>
          <cell r="E2207" t="str">
            <v>Puerto Rey</v>
          </cell>
          <cell r="H2207" t="str">
            <v>salud_oral</v>
          </cell>
          <cell r="J2207" t="str">
            <v>bueno</v>
          </cell>
          <cell r="K2207" t="str">
            <v>probsi</v>
          </cell>
        </row>
        <row r="2208">
          <cell r="B2208" t="b">
            <v>1</v>
          </cell>
          <cell r="E2208" t="str">
            <v>Puerto Rey</v>
          </cell>
          <cell r="H2208" t="str">
            <v>laboratorio</v>
          </cell>
          <cell r="J2208" t="str">
            <v>bueno</v>
          </cell>
          <cell r="K2208" t="str">
            <v>probsi</v>
          </cell>
        </row>
        <row r="2209">
          <cell r="B2209" t="b">
            <v>1</v>
          </cell>
          <cell r="E2209" t="str">
            <v>Puerto Rey</v>
          </cell>
          <cell r="H2209" t="str">
            <v>laboratorio</v>
          </cell>
          <cell r="J2209" t="str">
            <v>bueno</v>
          </cell>
          <cell r="K2209" t="str">
            <v>probsi</v>
          </cell>
        </row>
        <row r="2210">
          <cell r="B2210" t="b">
            <v>1</v>
          </cell>
          <cell r="E2210" t="str">
            <v>Puerto Rey</v>
          </cell>
          <cell r="H2210" t="str">
            <v>consulta_externa</v>
          </cell>
          <cell r="J2210" t="str">
            <v>bueno</v>
          </cell>
          <cell r="K2210" t="str">
            <v>probsi</v>
          </cell>
        </row>
        <row r="2211">
          <cell r="B2211" t="b">
            <v>1</v>
          </cell>
          <cell r="E2211" t="str">
            <v>Candelaria</v>
          </cell>
          <cell r="H2211" t="str">
            <v>consulta_externa</v>
          </cell>
          <cell r="J2211" t="str">
            <v>bueno</v>
          </cell>
          <cell r="K2211" t="str">
            <v>defsi</v>
          </cell>
        </row>
        <row r="2212">
          <cell r="B2212" t="b">
            <v>1</v>
          </cell>
          <cell r="E2212" t="str">
            <v>Candelaria</v>
          </cell>
          <cell r="H2212" t="str">
            <v>salud_oral</v>
          </cell>
          <cell r="J2212" t="str">
            <v>bueno</v>
          </cell>
          <cell r="K2212" t="str">
            <v>defsi</v>
          </cell>
        </row>
        <row r="2213">
          <cell r="B2213" t="b">
            <v>1</v>
          </cell>
          <cell r="E2213" t="str">
            <v>Candelaria</v>
          </cell>
          <cell r="H2213" t="str">
            <v>laboratorio</v>
          </cell>
          <cell r="J2213" t="str">
            <v>bueno</v>
          </cell>
          <cell r="K2213" t="str">
            <v>defsi</v>
          </cell>
        </row>
        <row r="2214">
          <cell r="B2214" t="b">
            <v>1</v>
          </cell>
          <cell r="E2214" t="str">
            <v>Candelaria</v>
          </cell>
          <cell r="H2214" t="str">
            <v>urgencia</v>
          </cell>
          <cell r="J2214" t="str">
            <v>bueno</v>
          </cell>
          <cell r="K2214" t="str">
            <v>defsi</v>
          </cell>
        </row>
        <row r="2215">
          <cell r="B2215" t="b">
            <v>1</v>
          </cell>
          <cell r="E2215" t="str">
            <v>Bicentenario</v>
          </cell>
          <cell r="H2215" t="str">
            <v>consulta_externa</v>
          </cell>
          <cell r="J2215" t="str">
            <v>bueno</v>
          </cell>
          <cell r="K2215" t="str">
            <v>defsi</v>
          </cell>
        </row>
        <row r="2216">
          <cell r="B2216" t="b">
            <v>1</v>
          </cell>
          <cell r="E2216" t="str">
            <v>Candelaria</v>
          </cell>
          <cell r="H2216" t="str">
            <v>electros</v>
          </cell>
          <cell r="J2216" t="str">
            <v>bueno</v>
          </cell>
          <cell r="K2216" t="str">
            <v>defsi</v>
          </cell>
        </row>
        <row r="2217">
          <cell r="B2217" t="b">
            <v>1</v>
          </cell>
          <cell r="E2217" t="str">
            <v>Puerto Rey</v>
          </cell>
          <cell r="H2217" t="str">
            <v>salud_oral</v>
          </cell>
          <cell r="J2217" t="str">
            <v>bueno</v>
          </cell>
          <cell r="K2217" t="str">
            <v>probsi</v>
          </cell>
        </row>
        <row r="2218">
          <cell r="B2218" t="b">
            <v>1</v>
          </cell>
          <cell r="E2218" t="str">
            <v>Bicentenario</v>
          </cell>
          <cell r="H2218" t="str">
            <v>laboratorio</v>
          </cell>
          <cell r="J2218" t="str">
            <v>bueno</v>
          </cell>
          <cell r="K2218" t="str">
            <v>defsi</v>
          </cell>
        </row>
        <row r="2219">
          <cell r="B2219" t="b">
            <v>1</v>
          </cell>
          <cell r="E2219" t="str">
            <v>Puerto Rey</v>
          </cell>
          <cell r="H2219" t="str">
            <v>salud_oral</v>
          </cell>
          <cell r="J2219" t="str">
            <v>bueno</v>
          </cell>
          <cell r="K2219" t="str">
            <v>probsi</v>
          </cell>
        </row>
        <row r="2220">
          <cell r="B2220" t="b">
            <v>1</v>
          </cell>
          <cell r="E2220" t="str">
            <v>Puerto Rey</v>
          </cell>
          <cell r="H2220" t="str">
            <v>salud_oral</v>
          </cell>
          <cell r="J2220" t="str">
            <v>bueno</v>
          </cell>
          <cell r="K2220" t="str">
            <v>probsi</v>
          </cell>
        </row>
        <row r="2221">
          <cell r="B2221" t="b">
            <v>1</v>
          </cell>
          <cell r="E2221" t="str">
            <v>Candelaria</v>
          </cell>
          <cell r="H2221" t="str">
            <v>pediatria</v>
          </cell>
          <cell r="J2221" t="str">
            <v>bueno</v>
          </cell>
          <cell r="K2221" t="str">
            <v>defsi</v>
          </cell>
        </row>
        <row r="2222">
          <cell r="B2222" t="b">
            <v>1</v>
          </cell>
          <cell r="E2222" t="str">
            <v>Puerto Rey</v>
          </cell>
          <cell r="H2222" t="str">
            <v>salud_oral</v>
          </cell>
          <cell r="J2222" t="str">
            <v>bueno</v>
          </cell>
          <cell r="K2222" t="str">
            <v>probsi</v>
          </cell>
        </row>
        <row r="2223">
          <cell r="B2223" t="b">
            <v>1</v>
          </cell>
          <cell r="E2223" t="str">
            <v>Puerto Rey</v>
          </cell>
          <cell r="H2223" t="str">
            <v>salud_oral</v>
          </cell>
          <cell r="J2223" t="str">
            <v>bueno</v>
          </cell>
          <cell r="K2223" t="str">
            <v>probsi</v>
          </cell>
        </row>
        <row r="2224">
          <cell r="B2224" t="b">
            <v>1</v>
          </cell>
          <cell r="E2224" t="str">
            <v>Candelaria</v>
          </cell>
          <cell r="H2224" t="str">
            <v>medicina_interna</v>
          </cell>
          <cell r="J2224" t="str">
            <v>bueno</v>
          </cell>
          <cell r="K2224" t="str">
            <v>defsi</v>
          </cell>
        </row>
        <row r="2225">
          <cell r="B2225" t="b">
            <v>1</v>
          </cell>
          <cell r="E2225" t="str">
            <v>Bicentenario</v>
          </cell>
          <cell r="H2225" t="str">
            <v>consulta_externa</v>
          </cell>
          <cell r="J2225" t="str">
            <v>bueno</v>
          </cell>
          <cell r="K2225" t="str">
            <v>defsi</v>
          </cell>
        </row>
        <row r="2226">
          <cell r="B2226" t="b">
            <v>1</v>
          </cell>
          <cell r="E2226" t="str">
            <v>Bicentenario</v>
          </cell>
          <cell r="H2226" t="str">
            <v>laboratorio</v>
          </cell>
          <cell r="J2226" t="str">
            <v>bueno</v>
          </cell>
          <cell r="K2226" t="str">
            <v>defsi</v>
          </cell>
        </row>
        <row r="2227">
          <cell r="B2227" t="b">
            <v>1</v>
          </cell>
          <cell r="E2227" t="str">
            <v>Puerto Rey</v>
          </cell>
          <cell r="H2227" t="str">
            <v>salud_oral</v>
          </cell>
          <cell r="J2227" t="str">
            <v>bueno</v>
          </cell>
          <cell r="K2227" t="str">
            <v>probsi</v>
          </cell>
        </row>
        <row r="2228">
          <cell r="B2228" t="b">
            <v>1</v>
          </cell>
          <cell r="E2228" t="str">
            <v>Puerto Rey</v>
          </cell>
          <cell r="H2228" t="str">
            <v>laboratorio</v>
          </cell>
          <cell r="J2228" t="str">
            <v>bueno</v>
          </cell>
          <cell r="K2228" t="str">
            <v>probsi</v>
          </cell>
        </row>
        <row r="2229">
          <cell r="B2229" t="b">
            <v>1</v>
          </cell>
          <cell r="E2229" t="str">
            <v>Puerto Rey</v>
          </cell>
          <cell r="H2229" t="str">
            <v>laboratorio</v>
          </cell>
          <cell r="J2229" t="str">
            <v>bueno</v>
          </cell>
          <cell r="K2229" t="str">
            <v>probsi</v>
          </cell>
        </row>
        <row r="2230">
          <cell r="B2230" t="b">
            <v>1</v>
          </cell>
          <cell r="E2230" t="str">
            <v>Puerto Rey</v>
          </cell>
          <cell r="H2230" t="str">
            <v>consulta_externa</v>
          </cell>
          <cell r="J2230" t="str">
            <v>bueno</v>
          </cell>
          <cell r="K2230" t="str">
            <v>probsi</v>
          </cell>
        </row>
        <row r="2231">
          <cell r="B2231" t="b">
            <v>1</v>
          </cell>
          <cell r="E2231" t="str">
            <v>Puerto Rey</v>
          </cell>
          <cell r="H2231" t="str">
            <v>consulta_externa</v>
          </cell>
          <cell r="J2231" t="str">
            <v>bueno</v>
          </cell>
          <cell r="K2231" t="str">
            <v>probsi</v>
          </cell>
        </row>
        <row r="2232">
          <cell r="B2232" t="b">
            <v>1</v>
          </cell>
          <cell r="E2232" t="str">
            <v>Puerto Rey</v>
          </cell>
          <cell r="H2232" t="str">
            <v>consulta_externa</v>
          </cell>
          <cell r="J2232" t="str">
            <v>bueno</v>
          </cell>
          <cell r="K2232" t="str">
            <v>probsi</v>
          </cell>
        </row>
        <row r="2233">
          <cell r="B2233" t="b">
            <v>1</v>
          </cell>
          <cell r="E2233" t="str">
            <v>Puerto Rey</v>
          </cell>
          <cell r="H2233" t="str">
            <v>consulta_externa</v>
          </cell>
          <cell r="J2233" t="str">
            <v>bueno</v>
          </cell>
          <cell r="K2233" t="str">
            <v>probsi</v>
          </cell>
        </row>
        <row r="2234">
          <cell r="B2234" t="b">
            <v>1</v>
          </cell>
          <cell r="E2234" t="str">
            <v>Puerto Rey</v>
          </cell>
          <cell r="H2234" t="str">
            <v>consulta_externa</v>
          </cell>
          <cell r="J2234" t="str">
            <v>bueno</v>
          </cell>
          <cell r="K2234" t="str">
            <v>probsi</v>
          </cell>
        </row>
        <row r="2235">
          <cell r="B2235" t="b">
            <v>1</v>
          </cell>
          <cell r="E2235" t="str">
            <v>Puerto Rey</v>
          </cell>
          <cell r="H2235" t="str">
            <v>salud_oral</v>
          </cell>
          <cell r="J2235" t="str">
            <v>bueno</v>
          </cell>
          <cell r="K2235" t="str">
            <v>probsi</v>
          </cell>
        </row>
        <row r="2236">
          <cell r="B2236" t="b">
            <v>1</v>
          </cell>
          <cell r="E2236" t="str">
            <v>Puerto Rey</v>
          </cell>
          <cell r="H2236" t="str">
            <v>salud_oral</v>
          </cell>
          <cell r="J2236" t="str">
            <v>bueno</v>
          </cell>
          <cell r="K2236" t="str">
            <v>probsi</v>
          </cell>
        </row>
        <row r="2237">
          <cell r="B2237" t="b">
            <v>1</v>
          </cell>
          <cell r="E2237" t="str">
            <v>Bicentenario</v>
          </cell>
          <cell r="H2237" t="str">
            <v>laboratorio</v>
          </cell>
          <cell r="J2237" t="str">
            <v>bueno</v>
          </cell>
          <cell r="K2237" t="str">
            <v>defsi</v>
          </cell>
        </row>
        <row r="2238">
          <cell r="B2238" t="b">
            <v>1</v>
          </cell>
          <cell r="E2238" t="str">
            <v>Puerto Rey</v>
          </cell>
          <cell r="H2238" t="str">
            <v>laboratorio</v>
          </cell>
          <cell r="J2238" t="str">
            <v>bueno</v>
          </cell>
          <cell r="K2238" t="str">
            <v>probsi</v>
          </cell>
        </row>
        <row r="2239">
          <cell r="B2239" t="b">
            <v>1</v>
          </cell>
          <cell r="E2239" t="str">
            <v>Puerto Rey</v>
          </cell>
          <cell r="H2239" t="str">
            <v>laboratorio</v>
          </cell>
          <cell r="J2239" t="str">
            <v>bueno</v>
          </cell>
          <cell r="K2239" t="str">
            <v>probsi</v>
          </cell>
        </row>
        <row r="2240">
          <cell r="B2240" t="b">
            <v>1</v>
          </cell>
          <cell r="E2240" t="str">
            <v>Tierra Baja</v>
          </cell>
          <cell r="H2240" t="str">
            <v>consulta_externa</v>
          </cell>
          <cell r="J2240" t="str">
            <v>bueno</v>
          </cell>
          <cell r="K2240" t="str">
            <v>probsi</v>
          </cell>
        </row>
        <row r="2241">
          <cell r="B2241" t="b">
            <v>1</v>
          </cell>
          <cell r="E2241" t="str">
            <v>Tierra Baja</v>
          </cell>
          <cell r="H2241" t="str">
            <v>salud_oral</v>
          </cell>
          <cell r="J2241" t="str">
            <v>bueno</v>
          </cell>
          <cell r="K2241" t="str">
            <v>probsi</v>
          </cell>
        </row>
        <row r="2242">
          <cell r="B2242" t="b">
            <v>1</v>
          </cell>
          <cell r="E2242" t="str">
            <v>Tierra Baja</v>
          </cell>
          <cell r="H2242" t="str">
            <v>salud_oral</v>
          </cell>
          <cell r="J2242" t="str">
            <v>bueno</v>
          </cell>
          <cell r="K2242" t="str">
            <v>probsi</v>
          </cell>
        </row>
        <row r="2243">
          <cell r="B2243" t="b">
            <v>1</v>
          </cell>
          <cell r="E2243" t="str">
            <v>Tierra Baja</v>
          </cell>
          <cell r="H2243" t="str">
            <v>salud_oral</v>
          </cell>
          <cell r="J2243" t="str">
            <v>bueno</v>
          </cell>
          <cell r="K2243" t="str">
            <v>probsi</v>
          </cell>
        </row>
        <row r="2244">
          <cell r="B2244" t="b">
            <v>1</v>
          </cell>
          <cell r="E2244" t="str">
            <v>Tierra Baja</v>
          </cell>
          <cell r="H2244" t="str">
            <v>consulta_externa</v>
          </cell>
          <cell r="J2244" t="str">
            <v>bueno</v>
          </cell>
          <cell r="K2244" t="str">
            <v>probsi</v>
          </cell>
        </row>
        <row r="2245">
          <cell r="B2245" t="b">
            <v>1</v>
          </cell>
          <cell r="E2245" t="str">
            <v>Tierra Baja</v>
          </cell>
          <cell r="H2245" t="str">
            <v>consulta_externa</v>
          </cell>
          <cell r="J2245" t="str">
            <v>bueno</v>
          </cell>
          <cell r="K2245" t="str">
            <v>probsi</v>
          </cell>
        </row>
        <row r="2246">
          <cell r="B2246" t="b">
            <v>1</v>
          </cell>
          <cell r="E2246" t="str">
            <v>Tierra Baja</v>
          </cell>
          <cell r="H2246" t="str">
            <v>consulta_externa</v>
          </cell>
          <cell r="J2246" t="str">
            <v>bueno</v>
          </cell>
          <cell r="K2246" t="str">
            <v>probsi</v>
          </cell>
        </row>
        <row r="2247">
          <cell r="B2247" t="b">
            <v>1</v>
          </cell>
          <cell r="E2247" t="str">
            <v>Tierra Baja</v>
          </cell>
          <cell r="H2247" t="str">
            <v>consulta_externa</v>
          </cell>
          <cell r="J2247" t="str">
            <v>bueno</v>
          </cell>
          <cell r="K2247" t="str">
            <v>probsi</v>
          </cell>
        </row>
        <row r="2248">
          <cell r="B2248" t="b">
            <v>1</v>
          </cell>
          <cell r="E2248" t="str">
            <v>Tierra Baja</v>
          </cell>
          <cell r="H2248" t="str">
            <v>consulta_externa</v>
          </cell>
          <cell r="J2248" t="str">
            <v>bueno</v>
          </cell>
          <cell r="K2248" t="str">
            <v>probsi</v>
          </cell>
        </row>
        <row r="2249">
          <cell r="B2249" t="b">
            <v>1</v>
          </cell>
          <cell r="E2249" t="str">
            <v>Bicentenario</v>
          </cell>
          <cell r="H2249" t="str">
            <v>consulta_externa</v>
          </cell>
          <cell r="J2249" t="str">
            <v>bueno</v>
          </cell>
          <cell r="K2249" t="str">
            <v>defsi</v>
          </cell>
        </row>
        <row r="2250">
          <cell r="B2250" t="b">
            <v>1</v>
          </cell>
          <cell r="E2250" t="str">
            <v>Bicentenario</v>
          </cell>
          <cell r="H2250" t="str">
            <v>laboratorio</v>
          </cell>
          <cell r="J2250" t="str">
            <v>bueno</v>
          </cell>
          <cell r="K2250" t="str">
            <v>defsi</v>
          </cell>
        </row>
        <row r="2251">
          <cell r="B2251" t="b">
            <v>1</v>
          </cell>
          <cell r="E2251" t="str">
            <v>Islote de San Bernardo</v>
          </cell>
          <cell r="H2251" t="str">
            <v>consulta_externa</v>
          </cell>
          <cell r="J2251" t="str">
            <v>muybueno</v>
          </cell>
          <cell r="K2251" t="str">
            <v>defsi</v>
          </cell>
        </row>
        <row r="2252">
          <cell r="B2252" t="b">
            <v>1</v>
          </cell>
          <cell r="E2252" t="str">
            <v>Bicentenario</v>
          </cell>
          <cell r="H2252" t="str">
            <v>laboratorio</v>
          </cell>
          <cell r="J2252" t="str">
            <v>bueno</v>
          </cell>
          <cell r="K2252" t="str">
            <v>defsi</v>
          </cell>
        </row>
        <row r="2253">
          <cell r="B2253" t="b">
            <v>1</v>
          </cell>
          <cell r="E2253" t="str">
            <v>Bicentenario</v>
          </cell>
          <cell r="H2253" t="str">
            <v>laboratorio</v>
          </cell>
          <cell r="J2253" t="str">
            <v>bueno</v>
          </cell>
          <cell r="K2253" t="str">
            <v>defsi</v>
          </cell>
        </row>
        <row r="2254">
          <cell r="B2254" t="b">
            <v>1</v>
          </cell>
          <cell r="E2254" t="str">
            <v>Islote de San Bernardo</v>
          </cell>
          <cell r="H2254" t="str">
            <v>salud_oral</v>
          </cell>
          <cell r="J2254" t="str">
            <v>muybueno</v>
          </cell>
          <cell r="K2254" t="str">
            <v>defsi</v>
          </cell>
        </row>
        <row r="2255">
          <cell r="B2255" t="b">
            <v>1</v>
          </cell>
          <cell r="E2255" t="str">
            <v>Bicentenario</v>
          </cell>
          <cell r="H2255" t="str">
            <v>consulta_externa</v>
          </cell>
          <cell r="J2255" t="str">
            <v>bueno</v>
          </cell>
          <cell r="K2255" t="str">
            <v>defsi</v>
          </cell>
        </row>
        <row r="2256">
          <cell r="B2256" t="b">
            <v>1</v>
          </cell>
          <cell r="E2256" t="str">
            <v>Bicentenario</v>
          </cell>
          <cell r="H2256" t="str">
            <v>salud_oral</v>
          </cell>
          <cell r="J2256" t="str">
            <v>bueno</v>
          </cell>
          <cell r="K2256" t="str">
            <v>defsi</v>
          </cell>
        </row>
        <row r="2257">
          <cell r="B2257" t="b">
            <v>1</v>
          </cell>
          <cell r="E2257" t="str">
            <v>Bicentenario</v>
          </cell>
          <cell r="H2257" t="str">
            <v>salud_oral</v>
          </cell>
          <cell r="J2257" t="str">
            <v>bueno</v>
          </cell>
          <cell r="K2257" t="str">
            <v>defsi</v>
          </cell>
        </row>
        <row r="2258">
          <cell r="B2258" t="b">
            <v>1</v>
          </cell>
          <cell r="E2258" t="str">
            <v>Bicentenario</v>
          </cell>
          <cell r="H2258" t="str">
            <v>salud_oral</v>
          </cell>
          <cell r="J2258" t="str">
            <v>bueno</v>
          </cell>
          <cell r="K2258" t="str">
            <v>defsi</v>
          </cell>
        </row>
        <row r="2259">
          <cell r="B2259" t="b">
            <v>1</v>
          </cell>
          <cell r="E2259" t="str">
            <v>Bicentenario</v>
          </cell>
          <cell r="H2259" t="str">
            <v>salud_oral</v>
          </cell>
          <cell r="J2259" t="str">
            <v>bueno</v>
          </cell>
          <cell r="K2259" t="str">
            <v>defsi</v>
          </cell>
        </row>
        <row r="2260">
          <cell r="B2260" t="b">
            <v>1</v>
          </cell>
          <cell r="E2260" t="str">
            <v>Bicentenario</v>
          </cell>
          <cell r="H2260" t="str">
            <v>laboratorio</v>
          </cell>
          <cell r="J2260" t="str">
            <v>muybueno</v>
          </cell>
          <cell r="K2260" t="str">
            <v>defsi</v>
          </cell>
        </row>
        <row r="2261">
          <cell r="B2261" t="b">
            <v>1</v>
          </cell>
          <cell r="E2261" t="str">
            <v>Bicentenario</v>
          </cell>
          <cell r="H2261" t="str">
            <v>consulta_externa</v>
          </cell>
          <cell r="J2261" t="str">
            <v>bueno</v>
          </cell>
          <cell r="K2261" t="str">
            <v>defsi</v>
          </cell>
        </row>
        <row r="2262">
          <cell r="B2262" t="b">
            <v>1</v>
          </cell>
          <cell r="E2262" t="str">
            <v>Bicentenario</v>
          </cell>
          <cell r="H2262" t="str">
            <v>consulta_externa</v>
          </cell>
          <cell r="J2262" t="str">
            <v>muybueno</v>
          </cell>
          <cell r="K2262" t="str">
            <v>defsi</v>
          </cell>
        </row>
        <row r="2263">
          <cell r="B2263" t="b">
            <v>1</v>
          </cell>
          <cell r="E2263" t="str">
            <v>Bicentenario</v>
          </cell>
          <cell r="H2263" t="str">
            <v>consulta_externa</v>
          </cell>
          <cell r="J2263" t="str">
            <v>bueno</v>
          </cell>
          <cell r="K2263" t="str">
            <v>defsi</v>
          </cell>
        </row>
        <row r="2264">
          <cell r="B2264" t="b">
            <v>1</v>
          </cell>
          <cell r="E2264" t="str">
            <v>Bicentenario</v>
          </cell>
          <cell r="H2264" t="str">
            <v>salud_oral</v>
          </cell>
          <cell r="J2264" t="str">
            <v>bueno</v>
          </cell>
          <cell r="K2264" t="str">
            <v>defsi</v>
          </cell>
        </row>
        <row r="2265">
          <cell r="B2265" t="b">
            <v>1</v>
          </cell>
          <cell r="E2265" t="str">
            <v>Bicentenario</v>
          </cell>
          <cell r="H2265" t="str">
            <v>salud_oral</v>
          </cell>
          <cell r="J2265" t="str">
            <v>muybueno</v>
          </cell>
          <cell r="K2265" t="str">
            <v>defsi</v>
          </cell>
        </row>
        <row r="2266">
          <cell r="B2266" t="b">
            <v>1</v>
          </cell>
          <cell r="E2266" t="str">
            <v>Bicentenario</v>
          </cell>
          <cell r="H2266" t="str">
            <v>salud_oral</v>
          </cell>
          <cell r="J2266" t="str">
            <v>bueno</v>
          </cell>
          <cell r="K2266" t="str">
            <v>defsi</v>
          </cell>
        </row>
        <row r="2267">
          <cell r="B2267" t="b">
            <v>1</v>
          </cell>
          <cell r="E2267" t="str">
            <v>Bicentenario</v>
          </cell>
          <cell r="H2267" t="str">
            <v>consulta_externa</v>
          </cell>
          <cell r="J2267" t="str">
            <v>bueno</v>
          </cell>
          <cell r="K2267" t="str">
            <v>defsi</v>
          </cell>
        </row>
        <row r="2268">
          <cell r="B2268" t="b">
            <v>1</v>
          </cell>
          <cell r="E2268" t="str">
            <v>Bicentenario</v>
          </cell>
          <cell r="H2268" t="str">
            <v>salud_oral</v>
          </cell>
          <cell r="J2268" t="str">
            <v>bueno</v>
          </cell>
          <cell r="K2268" t="str">
            <v>defsi</v>
          </cell>
        </row>
        <row r="2269">
          <cell r="B2269" t="b">
            <v>1</v>
          </cell>
          <cell r="E2269" t="str">
            <v>Bicentenario</v>
          </cell>
          <cell r="H2269" t="str">
            <v>consulta_externa</v>
          </cell>
          <cell r="J2269" t="str">
            <v>bueno</v>
          </cell>
          <cell r="K2269" t="str">
            <v>defsi</v>
          </cell>
        </row>
        <row r="2270">
          <cell r="B2270" t="b">
            <v>1</v>
          </cell>
          <cell r="E2270" t="str">
            <v>Bicentenario</v>
          </cell>
          <cell r="H2270" t="str">
            <v>salud_oral</v>
          </cell>
          <cell r="J2270" t="str">
            <v>bueno</v>
          </cell>
          <cell r="K2270" t="str">
            <v>defsi</v>
          </cell>
        </row>
        <row r="2271">
          <cell r="B2271" t="b">
            <v>1</v>
          </cell>
          <cell r="E2271" t="str">
            <v>Tierra Baja</v>
          </cell>
          <cell r="H2271" t="str">
            <v>consulta_externa</v>
          </cell>
          <cell r="J2271" t="str">
            <v>bueno</v>
          </cell>
          <cell r="K2271" t="str">
            <v>probsi</v>
          </cell>
        </row>
        <row r="2272">
          <cell r="B2272" t="b">
            <v>1</v>
          </cell>
          <cell r="E2272" t="str">
            <v>Bicentenario</v>
          </cell>
          <cell r="H2272" t="str">
            <v>consulta_externa</v>
          </cell>
          <cell r="J2272" t="str">
            <v>bueno</v>
          </cell>
          <cell r="K2272" t="str">
            <v>defsi</v>
          </cell>
        </row>
        <row r="2273">
          <cell r="B2273" t="b">
            <v>1</v>
          </cell>
          <cell r="E2273" t="str">
            <v>Candelaria</v>
          </cell>
          <cell r="H2273" t="str">
            <v>consulta_externa</v>
          </cell>
          <cell r="J2273" t="str">
            <v>bueno</v>
          </cell>
          <cell r="K2273" t="str">
            <v>defsi</v>
          </cell>
        </row>
        <row r="2274">
          <cell r="B2274" t="b">
            <v>1</v>
          </cell>
          <cell r="E2274" t="str">
            <v>Candelaria</v>
          </cell>
          <cell r="H2274" t="str">
            <v>salud_oral</v>
          </cell>
          <cell r="J2274" t="str">
            <v>bueno</v>
          </cell>
          <cell r="K2274" t="str">
            <v>defsi</v>
          </cell>
        </row>
        <row r="2275">
          <cell r="B2275" t="b">
            <v>1</v>
          </cell>
          <cell r="E2275" t="str">
            <v>Candelaria</v>
          </cell>
          <cell r="H2275" t="str">
            <v>laboratorio</v>
          </cell>
          <cell r="J2275" t="str">
            <v>bueno</v>
          </cell>
          <cell r="K2275" t="str">
            <v>defsi</v>
          </cell>
        </row>
        <row r="2276">
          <cell r="B2276" t="b">
            <v>1</v>
          </cell>
          <cell r="E2276" t="str">
            <v>Islote de San Bernardo</v>
          </cell>
          <cell r="H2276" t="str">
            <v>consulta_externa</v>
          </cell>
          <cell r="J2276" t="str">
            <v>muybueno</v>
          </cell>
          <cell r="K2276" t="str">
            <v>defsi</v>
          </cell>
        </row>
        <row r="2277">
          <cell r="B2277" t="b">
            <v>1</v>
          </cell>
          <cell r="E2277" t="str">
            <v>Islote de San Bernardo</v>
          </cell>
          <cell r="H2277" t="str">
            <v>salud_oral</v>
          </cell>
          <cell r="J2277" t="str">
            <v>muybueno</v>
          </cell>
          <cell r="K2277" t="str">
            <v>defsi</v>
          </cell>
        </row>
        <row r="2278">
          <cell r="B2278" t="b">
            <v>1</v>
          </cell>
          <cell r="E2278" t="str">
            <v>Candelaria</v>
          </cell>
          <cell r="H2278" t="str">
            <v>urgencia</v>
          </cell>
          <cell r="J2278" t="str">
            <v>bueno</v>
          </cell>
          <cell r="K2278" t="str">
            <v>defsi</v>
          </cell>
        </row>
        <row r="2279">
          <cell r="B2279" t="b">
            <v>1</v>
          </cell>
          <cell r="E2279" t="str">
            <v>Candelaria</v>
          </cell>
          <cell r="H2279" t="str">
            <v>electros</v>
          </cell>
          <cell r="J2279" t="str">
            <v>bueno</v>
          </cell>
          <cell r="K2279" t="str">
            <v>defsi</v>
          </cell>
        </row>
        <row r="2280">
          <cell r="B2280" t="b">
            <v>1</v>
          </cell>
          <cell r="E2280" t="str">
            <v>Candelaria</v>
          </cell>
          <cell r="H2280" t="str">
            <v>medicina_interna</v>
          </cell>
          <cell r="J2280" t="str">
            <v>bueno</v>
          </cell>
          <cell r="K2280" t="str">
            <v>defsi</v>
          </cell>
        </row>
        <row r="2281">
          <cell r="B2281" t="b">
            <v>1</v>
          </cell>
          <cell r="E2281" t="str">
            <v>Candelaria</v>
          </cell>
          <cell r="H2281" t="str">
            <v>consulta_externa</v>
          </cell>
          <cell r="J2281" t="str">
            <v>bueno</v>
          </cell>
          <cell r="K2281" t="str">
            <v>defsi</v>
          </cell>
        </row>
        <row r="2282">
          <cell r="B2282" t="b">
            <v>1</v>
          </cell>
          <cell r="E2282" t="str">
            <v>Candelaria</v>
          </cell>
          <cell r="H2282" t="str">
            <v>salud_oral</v>
          </cell>
          <cell r="J2282" t="str">
            <v>bueno</v>
          </cell>
          <cell r="K2282" t="str">
            <v>defsi</v>
          </cell>
        </row>
        <row r="2283">
          <cell r="B2283" t="b">
            <v>1</v>
          </cell>
          <cell r="E2283" t="str">
            <v>Islote de San Bernardo</v>
          </cell>
          <cell r="H2283" t="str">
            <v>consulta_externa</v>
          </cell>
          <cell r="J2283" t="str">
            <v>muybueno</v>
          </cell>
          <cell r="K2283" t="str">
            <v>defsi</v>
          </cell>
        </row>
        <row r="2284">
          <cell r="B2284" t="b">
            <v>1</v>
          </cell>
          <cell r="E2284" t="str">
            <v>Candelaria</v>
          </cell>
          <cell r="H2284" t="str">
            <v>laboratorio</v>
          </cell>
          <cell r="J2284" t="str">
            <v>bueno</v>
          </cell>
          <cell r="K2284" t="str">
            <v>defsi</v>
          </cell>
        </row>
        <row r="2285">
          <cell r="B2285" t="b">
            <v>0</v>
          </cell>
          <cell r="E2285" t="str">
            <v>Bicentenario</v>
          </cell>
          <cell r="H2285" t="str">
            <v>urgencia</v>
          </cell>
          <cell r="J2285" t="str">
            <v>regular</v>
          </cell>
          <cell r="K2285" t="str">
            <v>defsi</v>
          </cell>
        </row>
        <row r="2286">
          <cell r="B2286" t="b">
            <v>0</v>
          </cell>
          <cell r="E2286" t="str">
            <v>Bicentenario</v>
          </cell>
          <cell r="H2286" t="str">
            <v>urgencia</v>
          </cell>
          <cell r="J2286" t="str">
            <v>regular</v>
          </cell>
          <cell r="K2286" t="str">
            <v>defsi</v>
          </cell>
        </row>
        <row r="2287">
          <cell r="B2287" t="b">
            <v>1</v>
          </cell>
          <cell r="E2287" t="str">
            <v>Candelaria</v>
          </cell>
          <cell r="H2287" t="str">
            <v>urgencia</v>
          </cell>
          <cell r="J2287" t="str">
            <v>bueno</v>
          </cell>
          <cell r="K2287" t="str">
            <v>defsi</v>
          </cell>
        </row>
        <row r="2288">
          <cell r="B2288" t="b">
            <v>1</v>
          </cell>
          <cell r="E2288" t="str">
            <v>Islote de San Bernardo</v>
          </cell>
          <cell r="H2288" t="str">
            <v>salud_oral</v>
          </cell>
          <cell r="J2288" t="str">
            <v>muybueno</v>
          </cell>
          <cell r="K2288" t="str">
            <v>defsi</v>
          </cell>
        </row>
        <row r="2289">
          <cell r="B2289" t="b">
            <v>1</v>
          </cell>
          <cell r="E2289" t="str">
            <v>Bicentenario</v>
          </cell>
          <cell r="H2289" t="str">
            <v>urgencia</v>
          </cell>
          <cell r="J2289" t="str">
            <v>bueno</v>
          </cell>
          <cell r="K2289" t="str">
            <v>probsi</v>
          </cell>
        </row>
        <row r="2290">
          <cell r="B2290" t="b">
            <v>1</v>
          </cell>
          <cell r="E2290" t="str">
            <v>Candelaria</v>
          </cell>
          <cell r="H2290" t="str">
            <v>electros</v>
          </cell>
          <cell r="J2290" t="str">
            <v>bueno</v>
          </cell>
          <cell r="K2290" t="str">
            <v>defsi</v>
          </cell>
        </row>
        <row r="2291">
          <cell r="B2291" t="b">
            <v>1</v>
          </cell>
          <cell r="E2291" t="str">
            <v>Bicentenario</v>
          </cell>
          <cell r="H2291" t="str">
            <v>rx</v>
          </cell>
          <cell r="J2291" t="str">
            <v>bueno</v>
          </cell>
          <cell r="K2291" t="str">
            <v>defsi</v>
          </cell>
        </row>
        <row r="2292">
          <cell r="B2292" t="b">
            <v>1</v>
          </cell>
          <cell r="E2292" t="str">
            <v>Candelaria</v>
          </cell>
          <cell r="H2292" t="str">
            <v>pediatria</v>
          </cell>
          <cell r="J2292" t="str">
            <v>bueno</v>
          </cell>
          <cell r="K2292" t="str">
            <v>defsi</v>
          </cell>
        </row>
        <row r="2293">
          <cell r="B2293" t="b">
            <v>1</v>
          </cell>
          <cell r="E2293" t="str">
            <v>Candelaria</v>
          </cell>
          <cell r="H2293" t="str">
            <v>pediatria</v>
          </cell>
          <cell r="J2293" t="str">
            <v>bueno</v>
          </cell>
          <cell r="K2293" t="str">
            <v>defsi</v>
          </cell>
        </row>
        <row r="2294">
          <cell r="B2294" t="b">
            <v>1</v>
          </cell>
          <cell r="E2294" t="str">
            <v>Candelaria</v>
          </cell>
          <cell r="H2294" t="str">
            <v>medicina_interna</v>
          </cell>
          <cell r="J2294" t="str">
            <v>bueno</v>
          </cell>
          <cell r="K2294" t="str">
            <v>defsi</v>
          </cell>
        </row>
        <row r="2295">
          <cell r="B2295" t="b">
            <v>1</v>
          </cell>
          <cell r="E2295" t="str">
            <v>Islote de San Bernardo</v>
          </cell>
          <cell r="H2295" t="str">
            <v>consulta_externa</v>
          </cell>
          <cell r="J2295" t="str">
            <v>muybueno</v>
          </cell>
          <cell r="K2295" t="str">
            <v>defsi</v>
          </cell>
        </row>
        <row r="2296">
          <cell r="B2296" t="b">
            <v>1</v>
          </cell>
          <cell r="E2296" t="str">
            <v>Islote de San Bernardo</v>
          </cell>
          <cell r="H2296" t="str">
            <v>consulta_externa</v>
          </cell>
          <cell r="J2296" t="str">
            <v>muybueno</v>
          </cell>
          <cell r="K2296" t="str">
            <v>defsi</v>
          </cell>
        </row>
        <row r="2297">
          <cell r="B2297" t="b">
            <v>1</v>
          </cell>
          <cell r="E2297" t="str">
            <v>Islote de San Bernardo</v>
          </cell>
          <cell r="H2297" t="str">
            <v>consulta_externa</v>
          </cell>
          <cell r="J2297" t="str">
            <v>muybueno</v>
          </cell>
          <cell r="K2297" t="str">
            <v>defsi</v>
          </cell>
        </row>
        <row r="2298">
          <cell r="B2298" t="b">
            <v>1</v>
          </cell>
          <cell r="E2298" t="str">
            <v>Islote de San Bernardo</v>
          </cell>
          <cell r="H2298" t="str">
            <v>consulta_externa</v>
          </cell>
          <cell r="J2298" t="str">
            <v>muybueno</v>
          </cell>
          <cell r="K2298" t="str">
            <v>defsi</v>
          </cell>
        </row>
        <row r="2299">
          <cell r="B2299" t="b">
            <v>1</v>
          </cell>
          <cell r="E2299" t="str">
            <v>Islote de San Bernardo</v>
          </cell>
          <cell r="H2299" t="str">
            <v>salud_oral</v>
          </cell>
          <cell r="J2299" t="str">
            <v>muybueno</v>
          </cell>
          <cell r="K2299" t="str">
            <v>defsi</v>
          </cell>
        </row>
        <row r="2300">
          <cell r="B2300" t="b">
            <v>1</v>
          </cell>
          <cell r="E2300" t="str">
            <v>Islote de San Bernardo</v>
          </cell>
          <cell r="H2300" t="str">
            <v>consulta_externa</v>
          </cell>
          <cell r="J2300" t="str">
            <v>muybueno</v>
          </cell>
          <cell r="K2300" t="str">
            <v>defsi</v>
          </cell>
        </row>
        <row r="2301">
          <cell r="B2301" t="b">
            <v>1</v>
          </cell>
          <cell r="E2301" t="str">
            <v>Islote de San Bernardo</v>
          </cell>
          <cell r="H2301" t="str">
            <v>consulta_externa</v>
          </cell>
          <cell r="J2301" t="str">
            <v>muybueno</v>
          </cell>
          <cell r="K2301" t="str">
            <v>defsi</v>
          </cell>
        </row>
        <row r="2302">
          <cell r="B2302" t="b">
            <v>1</v>
          </cell>
          <cell r="E2302" t="str">
            <v>Islote de San Bernardo</v>
          </cell>
          <cell r="H2302" t="str">
            <v>salud_oral</v>
          </cell>
          <cell r="J2302" t="str">
            <v>muybueno</v>
          </cell>
          <cell r="K2302" t="str">
            <v>defsi</v>
          </cell>
        </row>
        <row r="2303">
          <cell r="B2303" t="b">
            <v>1</v>
          </cell>
          <cell r="E2303" t="str">
            <v>Candelaria</v>
          </cell>
          <cell r="H2303" t="str">
            <v>consulta_externa</v>
          </cell>
          <cell r="J2303" t="str">
            <v>bueno</v>
          </cell>
          <cell r="K2303" t="str">
            <v>defsi</v>
          </cell>
        </row>
        <row r="2304">
          <cell r="B2304" t="b">
            <v>1</v>
          </cell>
          <cell r="E2304" t="str">
            <v>Candelaria</v>
          </cell>
          <cell r="H2304" t="str">
            <v>salud_oral</v>
          </cell>
          <cell r="J2304" t="str">
            <v>bueno</v>
          </cell>
          <cell r="K2304" t="str">
            <v>defsi</v>
          </cell>
        </row>
        <row r="2305">
          <cell r="B2305" t="b">
            <v>1</v>
          </cell>
          <cell r="E2305" t="str">
            <v>Candelaria</v>
          </cell>
          <cell r="H2305" t="str">
            <v>laboratorio</v>
          </cell>
          <cell r="J2305" t="str">
            <v>bueno</v>
          </cell>
          <cell r="K2305" t="str">
            <v>defsi</v>
          </cell>
        </row>
        <row r="2306">
          <cell r="B2306" t="b">
            <v>1</v>
          </cell>
          <cell r="E2306" t="str">
            <v>Candelaria</v>
          </cell>
          <cell r="H2306" t="str">
            <v>urgencia</v>
          </cell>
          <cell r="J2306" t="str">
            <v>bueno</v>
          </cell>
          <cell r="K2306" t="str">
            <v>defsi</v>
          </cell>
        </row>
        <row r="2307">
          <cell r="B2307" t="b">
            <v>1</v>
          </cell>
          <cell r="E2307" t="str">
            <v>Candelaria</v>
          </cell>
          <cell r="H2307" t="str">
            <v>pediatria</v>
          </cell>
          <cell r="J2307" t="str">
            <v>bueno</v>
          </cell>
          <cell r="K2307" t="str">
            <v>defsi</v>
          </cell>
        </row>
        <row r="2308">
          <cell r="B2308" t="b">
            <v>1</v>
          </cell>
          <cell r="E2308" t="str">
            <v>Candelaria</v>
          </cell>
          <cell r="H2308" t="str">
            <v>electros</v>
          </cell>
          <cell r="J2308" t="str">
            <v>bueno</v>
          </cell>
          <cell r="K2308" t="str">
            <v>defsi</v>
          </cell>
        </row>
        <row r="2309">
          <cell r="B2309" t="b">
            <v>1</v>
          </cell>
          <cell r="E2309" t="str">
            <v>Candelaria</v>
          </cell>
          <cell r="H2309" t="str">
            <v>medicina_interna</v>
          </cell>
          <cell r="J2309" t="str">
            <v>bueno</v>
          </cell>
          <cell r="K2309" t="str">
            <v>defsi</v>
          </cell>
        </row>
        <row r="2310">
          <cell r="B2310" t="b">
            <v>1</v>
          </cell>
          <cell r="E2310" t="str">
            <v>Candelaria</v>
          </cell>
          <cell r="H2310" t="str">
            <v>consulta_externa</v>
          </cell>
          <cell r="J2310" t="str">
            <v>bueno</v>
          </cell>
          <cell r="K2310" t="str">
            <v>defsi</v>
          </cell>
        </row>
        <row r="2311">
          <cell r="B2311" t="b">
            <v>1</v>
          </cell>
          <cell r="E2311" t="str">
            <v>Candelaria</v>
          </cell>
          <cell r="H2311" t="str">
            <v>salud_oral</v>
          </cell>
          <cell r="J2311" t="str">
            <v>bueno</v>
          </cell>
          <cell r="K2311" t="str">
            <v>defsi</v>
          </cell>
        </row>
        <row r="2312">
          <cell r="B2312" t="b">
            <v>1</v>
          </cell>
          <cell r="E2312" t="str">
            <v>Candelaria</v>
          </cell>
          <cell r="H2312" t="str">
            <v>laboratorio</v>
          </cell>
          <cell r="J2312" t="str">
            <v>bueno</v>
          </cell>
          <cell r="K2312" t="str">
            <v>defsi</v>
          </cell>
        </row>
        <row r="2313">
          <cell r="B2313" t="b">
            <v>1</v>
          </cell>
          <cell r="E2313" t="str">
            <v>Islote de San Bernardo</v>
          </cell>
          <cell r="H2313" t="str">
            <v>salud_oral</v>
          </cell>
          <cell r="J2313" t="str">
            <v>muybueno</v>
          </cell>
          <cell r="K2313" t="str">
            <v>defsi</v>
          </cell>
        </row>
        <row r="2314">
          <cell r="B2314" t="b">
            <v>1</v>
          </cell>
          <cell r="E2314" t="str">
            <v>Islote de San Bernardo</v>
          </cell>
          <cell r="H2314" t="str">
            <v>consulta_externa</v>
          </cell>
          <cell r="J2314" t="str">
            <v>muybueno</v>
          </cell>
          <cell r="K2314" t="str">
            <v>defsi</v>
          </cell>
        </row>
        <row r="2315">
          <cell r="B2315" t="b">
            <v>1</v>
          </cell>
          <cell r="E2315" t="str">
            <v>Candelaria</v>
          </cell>
          <cell r="H2315" t="str">
            <v>urgencia</v>
          </cell>
          <cell r="J2315" t="str">
            <v>bueno</v>
          </cell>
          <cell r="K2315" t="str">
            <v>defsi</v>
          </cell>
        </row>
        <row r="2316">
          <cell r="B2316" t="b">
            <v>1</v>
          </cell>
          <cell r="E2316" t="str">
            <v>Candelaria</v>
          </cell>
          <cell r="H2316" t="str">
            <v>electros</v>
          </cell>
          <cell r="J2316" t="str">
            <v>bueno</v>
          </cell>
          <cell r="K2316" t="str">
            <v>defsi</v>
          </cell>
        </row>
        <row r="2317">
          <cell r="B2317" t="b">
            <v>1</v>
          </cell>
          <cell r="E2317" t="str">
            <v>Candelaria</v>
          </cell>
          <cell r="H2317" t="str">
            <v>pediatria</v>
          </cell>
          <cell r="J2317" t="str">
            <v>bueno</v>
          </cell>
          <cell r="K2317" t="str">
            <v>defsi</v>
          </cell>
        </row>
        <row r="2318">
          <cell r="B2318" t="b">
            <v>1</v>
          </cell>
          <cell r="E2318" t="str">
            <v>Candelaria</v>
          </cell>
          <cell r="H2318" t="str">
            <v>medicina_interna</v>
          </cell>
          <cell r="J2318" t="str">
            <v>bueno</v>
          </cell>
          <cell r="K2318" t="str">
            <v>defsi</v>
          </cell>
        </row>
        <row r="2319">
          <cell r="B2319" t="b">
            <v>1</v>
          </cell>
          <cell r="E2319" t="str">
            <v>Islote de San Bernardo</v>
          </cell>
          <cell r="H2319" t="str">
            <v>consulta_externa</v>
          </cell>
          <cell r="J2319" t="str">
            <v>muybueno</v>
          </cell>
          <cell r="K2319" t="str">
            <v>defsi</v>
          </cell>
        </row>
        <row r="2320">
          <cell r="B2320" t="b">
            <v>1</v>
          </cell>
          <cell r="E2320" t="str">
            <v>Islote de San Bernardo</v>
          </cell>
          <cell r="H2320" t="str">
            <v>salud_oral</v>
          </cell>
          <cell r="J2320" t="str">
            <v>muybueno</v>
          </cell>
          <cell r="K2320" t="str">
            <v>defsi</v>
          </cell>
        </row>
        <row r="2321">
          <cell r="B2321" t="b">
            <v>1</v>
          </cell>
          <cell r="E2321" t="str">
            <v>Islote de San Bernardo</v>
          </cell>
          <cell r="H2321" t="str">
            <v>consulta_externa</v>
          </cell>
          <cell r="J2321" t="str">
            <v>muybueno</v>
          </cell>
          <cell r="K2321" t="str">
            <v>defsi</v>
          </cell>
        </row>
        <row r="2322">
          <cell r="B2322" t="b">
            <v>1</v>
          </cell>
          <cell r="E2322" t="str">
            <v>Hospital Pozon</v>
          </cell>
          <cell r="H2322" t="str">
            <v>ecografias</v>
          </cell>
          <cell r="J2322" t="str">
            <v>bueno</v>
          </cell>
          <cell r="K2322" t="str">
            <v>defsi</v>
          </cell>
        </row>
        <row r="2323">
          <cell r="B2323" t="b">
            <v>1</v>
          </cell>
          <cell r="E2323" t="str">
            <v>Hospital Pozon</v>
          </cell>
          <cell r="H2323" t="str">
            <v>ecografias</v>
          </cell>
          <cell r="J2323" t="str">
            <v>bueno</v>
          </cell>
          <cell r="K2323" t="str">
            <v>defsi</v>
          </cell>
        </row>
        <row r="2324">
          <cell r="B2324" t="b">
            <v>1</v>
          </cell>
          <cell r="E2324" t="str">
            <v>Candelaria</v>
          </cell>
          <cell r="H2324" t="str">
            <v>consulta_externa</v>
          </cell>
          <cell r="J2324" t="str">
            <v>bueno</v>
          </cell>
          <cell r="K2324" t="str">
            <v>defsi</v>
          </cell>
        </row>
        <row r="2325">
          <cell r="B2325" t="b">
            <v>1</v>
          </cell>
          <cell r="E2325" t="str">
            <v>Candelaria</v>
          </cell>
          <cell r="H2325" t="str">
            <v>salud_oral</v>
          </cell>
          <cell r="J2325" t="str">
            <v>bueno</v>
          </cell>
          <cell r="K2325" t="str">
            <v>defsi</v>
          </cell>
        </row>
        <row r="2326">
          <cell r="B2326" t="b">
            <v>1</v>
          </cell>
          <cell r="E2326" t="str">
            <v>Candelaria</v>
          </cell>
          <cell r="H2326" t="str">
            <v>laboratorio</v>
          </cell>
          <cell r="J2326" t="str">
            <v>bueno</v>
          </cell>
          <cell r="K2326" t="str">
            <v>defsi</v>
          </cell>
        </row>
        <row r="2327">
          <cell r="B2327" t="b">
            <v>1</v>
          </cell>
          <cell r="E2327" t="str">
            <v>Candelaria</v>
          </cell>
          <cell r="H2327" t="str">
            <v>urgencia</v>
          </cell>
          <cell r="J2327" t="str">
            <v>bueno</v>
          </cell>
          <cell r="K2327" t="str">
            <v>defsi</v>
          </cell>
        </row>
        <row r="2328">
          <cell r="B2328" t="b">
            <v>1</v>
          </cell>
          <cell r="E2328" t="str">
            <v>Candelaria</v>
          </cell>
          <cell r="H2328" t="str">
            <v>electros</v>
          </cell>
          <cell r="J2328" t="str">
            <v>bueno</v>
          </cell>
          <cell r="K2328" t="str">
            <v>defsi</v>
          </cell>
        </row>
        <row r="2329">
          <cell r="B2329" t="b">
            <v>1</v>
          </cell>
          <cell r="E2329" t="str">
            <v>Candelaria</v>
          </cell>
          <cell r="H2329" t="str">
            <v>pediatria</v>
          </cell>
          <cell r="J2329" t="str">
            <v>bueno</v>
          </cell>
          <cell r="K2329" t="str">
            <v>defsi</v>
          </cell>
        </row>
        <row r="2330">
          <cell r="B2330" t="b">
            <v>1</v>
          </cell>
          <cell r="E2330" t="str">
            <v>Candelaria</v>
          </cell>
          <cell r="H2330" t="str">
            <v>medicina_interna</v>
          </cell>
          <cell r="J2330" t="str">
            <v>bueno</v>
          </cell>
          <cell r="K2330" t="str">
            <v>defsi</v>
          </cell>
        </row>
        <row r="2331">
          <cell r="B2331" t="b">
            <v>1</v>
          </cell>
          <cell r="E2331" t="str">
            <v>Hospital Pozon</v>
          </cell>
          <cell r="H2331" t="str">
            <v>urgencia</v>
          </cell>
          <cell r="J2331" t="str">
            <v>bueno</v>
          </cell>
          <cell r="K2331" t="str">
            <v>defsi</v>
          </cell>
        </row>
        <row r="2332">
          <cell r="B2332" t="b">
            <v>1</v>
          </cell>
          <cell r="E2332" t="str">
            <v>Hospital Pozon</v>
          </cell>
          <cell r="H2332" t="str">
            <v>urgencia</v>
          </cell>
          <cell r="J2332" t="str">
            <v>bueno</v>
          </cell>
          <cell r="K2332" t="str">
            <v>probsi</v>
          </cell>
        </row>
        <row r="2333">
          <cell r="B2333" t="b">
            <v>1</v>
          </cell>
          <cell r="E2333" t="str">
            <v>Hospital Pozon</v>
          </cell>
          <cell r="H2333" t="str">
            <v>urgencia</v>
          </cell>
          <cell r="J2333" t="str">
            <v>bueno</v>
          </cell>
          <cell r="K2333" t="str">
            <v>defsi</v>
          </cell>
        </row>
        <row r="2334">
          <cell r="B2334" t="b">
            <v>0</v>
          </cell>
          <cell r="E2334" t="str">
            <v>Hospital Pozon</v>
          </cell>
          <cell r="H2334" t="str">
            <v>urgencia</v>
          </cell>
          <cell r="J2334" t="str">
            <v>regular</v>
          </cell>
          <cell r="K2334" t="str">
            <v>defsi</v>
          </cell>
        </row>
        <row r="2335">
          <cell r="B2335" t="b">
            <v>1</v>
          </cell>
          <cell r="E2335" t="str">
            <v>Hospital Pozon</v>
          </cell>
          <cell r="H2335" t="str">
            <v>urgencia</v>
          </cell>
          <cell r="J2335" t="str">
            <v>bueno</v>
          </cell>
          <cell r="K2335" t="str">
            <v>defsi</v>
          </cell>
        </row>
        <row r="2336">
          <cell r="B2336" t="b">
            <v>1</v>
          </cell>
          <cell r="E2336" t="str">
            <v>Hospital Pozon</v>
          </cell>
          <cell r="H2336" t="str">
            <v>urgencia</v>
          </cell>
          <cell r="J2336" t="str">
            <v>bueno</v>
          </cell>
          <cell r="K2336" t="str">
            <v>defsi</v>
          </cell>
        </row>
        <row r="2337">
          <cell r="B2337" t="b">
            <v>1</v>
          </cell>
          <cell r="E2337" t="str">
            <v>Hospital Pozon</v>
          </cell>
          <cell r="H2337" t="str">
            <v>urgencia</v>
          </cell>
          <cell r="J2337" t="str">
            <v>bueno</v>
          </cell>
          <cell r="K2337" t="str">
            <v>defsi</v>
          </cell>
        </row>
        <row r="2338">
          <cell r="B2338" t="b">
            <v>1</v>
          </cell>
          <cell r="E2338" t="str">
            <v>Hospital Pozon</v>
          </cell>
          <cell r="H2338" t="str">
            <v>urgencia</v>
          </cell>
          <cell r="J2338" t="str">
            <v>bueno</v>
          </cell>
          <cell r="K2338" t="str">
            <v>defsi</v>
          </cell>
        </row>
        <row r="2339">
          <cell r="B2339" t="b">
            <v>0</v>
          </cell>
          <cell r="E2339" t="str">
            <v>Hospital Pozon</v>
          </cell>
          <cell r="H2339" t="str">
            <v>urgencia</v>
          </cell>
          <cell r="J2339" t="str">
            <v>regular</v>
          </cell>
          <cell r="K2339" t="str">
            <v>probsi</v>
          </cell>
        </row>
        <row r="2340">
          <cell r="B2340" t="b">
            <v>1</v>
          </cell>
          <cell r="E2340" t="str">
            <v>Candelaria</v>
          </cell>
          <cell r="H2340" t="str">
            <v>consulta_externa</v>
          </cell>
          <cell r="J2340" t="str">
            <v>bueno</v>
          </cell>
          <cell r="K2340" t="str">
            <v>defsi</v>
          </cell>
        </row>
        <row r="2341">
          <cell r="B2341" t="b">
            <v>1</v>
          </cell>
          <cell r="E2341" t="str">
            <v>Candelaria</v>
          </cell>
          <cell r="H2341" t="str">
            <v>salud_oral</v>
          </cell>
          <cell r="J2341" t="str">
            <v>bueno</v>
          </cell>
          <cell r="K2341" t="str">
            <v>defsi</v>
          </cell>
        </row>
        <row r="2342">
          <cell r="B2342" t="b">
            <v>1</v>
          </cell>
          <cell r="E2342" t="str">
            <v>Candelaria</v>
          </cell>
          <cell r="H2342" t="str">
            <v>laboratorio</v>
          </cell>
          <cell r="J2342" t="str">
            <v>bueno</v>
          </cell>
          <cell r="K2342" t="str">
            <v>defsi</v>
          </cell>
        </row>
        <row r="2343">
          <cell r="B2343" t="b">
            <v>1</v>
          </cell>
          <cell r="E2343" t="str">
            <v>Candelaria</v>
          </cell>
          <cell r="H2343" t="str">
            <v>urgencia</v>
          </cell>
          <cell r="J2343" t="str">
            <v>bueno</v>
          </cell>
          <cell r="K2343" t="str">
            <v>defsi</v>
          </cell>
        </row>
        <row r="2344">
          <cell r="B2344" t="b">
            <v>1</v>
          </cell>
          <cell r="E2344" t="str">
            <v>Candelaria</v>
          </cell>
          <cell r="H2344" t="str">
            <v>electros</v>
          </cell>
          <cell r="J2344" t="str">
            <v>bueno</v>
          </cell>
          <cell r="K2344" t="str">
            <v>defsi</v>
          </cell>
        </row>
        <row r="2345">
          <cell r="B2345" t="b">
            <v>1</v>
          </cell>
          <cell r="E2345" t="str">
            <v>Candelaria</v>
          </cell>
          <cell r="H2345" t="str">
            <v>consulta_externa</v>
          </cell>
          <cell r="J2345" t="str">
            <v>bueno</v>
          </cell>
          <cell r="K2345" t="str">
            <v>defsi</v>
          </cell>
        </row>
        <row r="2346">
          <cell r="B2346" t="b">
            <v>1</v>
          </cell>
          <cell r="E2346" t="str">
            <v>Candelaria</v>
          </cell>
          <cell r="H2346" t="str">
            <v>salud_oral</v>
          </cell>
          <cell r="J2346" t="str">
            <v>bueno</v>
          </cell>
          <cell r="K2346" t="str">
            <v>defsi</v>
          </cell>
        </row>
        <row r="2347">
          <cell r="B2347" t="b">
            <v>1</v>
          </cell>
          <cell r="E2347" t="str">
            <v>Candelaria</v>
          </cell>
          <cell r="H2347" t="str">
            <v>laboratorio</v>
          </cell>
          <cell r="J2347" t="str">
            <v>bueno</v>
          </cell>
          <cell r="K2347" t="str">
            <v>defsi</v>
          </cell>
        </row>
        <row r="2348">
          <cell r="B2348" t="b">
            <v>1</v>
          </cell>
          <cell r="E2348" t="str">
            <v>Candelaria</v>
          </cell>
          <cell r="H2348" t="str">
            <v>urgencia</v>
          </cell>
          <cell r="J2348" t="str">
            <v>bueno</v>
          </cell>
          <cell r="K2348" t="str">
            <v>defsi</v>
          </cell>
        </row>
        <row r="2349">
          <cell r="B2349" t="b">
            <v>1</v>
          </cell>
          <cell r="E2349" t="str">
            <v>Candelaria</v>
          </cell>
          <cell r="H2349" t="str">
            <v>electros</v>
          </cell>
          <cell r="J2349" t="str">
            <v>bueno</v>
          </cell>
          <cell r="K2349" t="str">
            <v>defsi</v>
          </cell>
        </row>
        <row r="2350">
          <cell r="B2350" t="b">
            <v>1</v>
          </cell>
          <cell r="E2350" t="str">
            <v>Candelaria</v>
          </cell>
          <cell r="H2350" t="str">
            <v>consulta_externa</v>
          </cell>
          <cell r="J2350" t="str">
            <v>bueno</v>
          </cell>
          <cell r="K2350" t="str">
            <v>defsi</v>
          </cell>
        </row>
        <row r="2351">
          <cell r="B2351" t="b">
            <v>1</v>
          </cell>
          <cell r="E2351" t="str">
            <v>Candelaria</v>
          </cell>
          <cell r="H2351" t="str">
            <v>salud_oral</v>
          </cell>
          <cell r="J2351" t="str">
            <v>bueno</v>
          </cell>
          <cell r="K2351" t="str">
            <v>defsi</v>
          </cell>
        </row>
        <row r="2352">
          <cell r="B2352" t="b">
            <v>1</v>
          </cell>
          <cell r="E2352" t="str">
            <v>Candelaria</v>
          </cell>
          <cell r="H2352" t="str">
            <v>laboratorio</v>
          </cell>
          <cell r="J2352" t="str">
            <v>bueno</v>
          </cell>
          <cell r="K2352" t="str">
            <v>defsi</v>
          </cell>
        </row>
        <row r="2353">
          <cell r="B2353" t="b">
            <v>1</v>
          </cell>
          <cell r="E2353" t="str">
            <v>Candelaria</v>
          </cell>
          <cell r="H2353" t="str">
            <v>urgencia</v>
          </cell>
          <cell r="J2353" t="str">
            <v>bueno</v>
          </cell>
          <cell r="K2353" t="str">
            <v>defsi</v>
          </cell>
        </row>
        <row r="2354">
          <cell r="B2354" t="b">
            <v>1</v>
          </cell>
          <cell r="E2354" t="str">
            <v>Hospital Pozon</v>
          </cell>
          <cell r="H2354" t="str">
            <v>consulta_externa</v>
          </cell>
          <cell r="J2354" t="str">
            <v>bueno</v>
          </cell>
          <cell r="K2354" t="str">
            <v>defsi</v>
          </cell>
        </row>
        <row r="2355">
          <cell r="B2355" t="b">
            <v>1</v>
          </cell>
          <cell r="E2355" t="str">
            <v>Hospital Pozon</v>
          </cell>
          <cell r="H2355" t="str">
            <v>laboratorio</v>
          </cell>
          <cell r="J2355" t="str">
            <v>bueno</v>
          </cell>
          <cell r="K2355" t="str">
            <v>defsi</v>
          </cell>
        </row>
        <row r="2356">
          <cell r="B2356" t="b">
            <v>1</v>
          </cell>
          <cell r="E2356" t="str">
            <v>Hospital Pozon</v>
          </cell>
          <cell r="H2356" t="str">
            <v>laboratorio</v>
          </cell>
          <cell r="J2356" t="str">
            <v>bueno</v>
          </cell>
          <cell r="K2356" t="str">
            <v>defsi</v>
          </cell>
        </row>
        <row r="2357">
          <cell r="B2357" t="b">
            <v>0</v>
          </cell>
          <cell r="E2357" t="str">
            <v>Hospital Pozon</v>
          </cell>
          <cell r="H2357" t="str">
            <v>urgencia</v>
          </cell>
          <cell r="J2357" t="str">
            <v>regular</v>
          </cell>
          <cell r="K2357" t="str">
            <v>defsi</v>
          </cell>
        </row>
        <row r="2358">
          <cell r="B2358" t="b">
            <v>1</v>
          </cell>
          <cell r="E2358" t="str">
            <v>Hospital Pozon</v>
          </cell>
          <cell r="H2358" t="str">
            <v>urgencia</v>
          </cell>
          <cell r="J2358" t="str">
            <v>bueno</v>
          </cell>
          <cell r="K2358" t="str">
            <v>defsi</v>
          </cell>
        </row>
        <row r="2359">
          <cell r="B2359" t="b">
            <v>1</v>
          </cell>
          <cell r="E2359" t="str">
            <v>Hospital Pozon</v>
          </cell>
          <cell r="H2359" t="str">
            <v>urgencia</v>
          </cell>
          <cell r="J2359" t="str">
            <v>bueno</v>
          </cell>
          <cell r="K2359" t="str">
            <v>defsi</v>
          </cell>
        </row>
        <row r="2360">
          <cell r="B2360" t="b">
            <v>0</v>
          </cell>
          <cell r="E2360" t="str">
            <v>Hospital Pozon</v>
          </cell>
          <cell r="H2360" t="str">
            <v>urgencia</v>
          </cell>
          <cell r="J2360" t="str">
            <v>regular</v>
          </cell>
          <cell r="K2360" t="str">
            <v>probsi</v>
          </cell>
        </row>
        <row r="2361">
          <cell r="B2361" t="b">
            <v>1</v>
          </cell>
          <cell r="E2361" t="str">
            <v>Hospital Pozon</v>
          </cell>
          <cell r="H2361" t="str">
            <v>urgencia</v>
          </cell>
          <cell r="J2361" t="str">
            <v>bueno</v>
          </cell>
          <cell r="K2361" t="str">
            <v>defsi</v>
          </cell>
        </row>
        <row r="2362">
          <cell r="B2362" t="b">
            <v>1</v>
          </cell>
          <cell r="E2362" t="str">
            <v>Hospital Pozon</v>
          </cell>
          <cell r="H2362" t="str">
            <v>urgencia</v>
          </cell>
          <cell r="J2362" t="str">
            <v>bueno</v>
          </cell>
          <cell r="K2362" t="str">
            <v>defsi</v>
          </cell>
        </row>
        <row r="2363">
          <cell r="B2363" t="b">
            <v>1</v>
          </cell>
          <cell r="E2363" t="str">
            <v>Hospital Pozon</v>
          </cell>
          <cell r="H2363" t="str">
            <v>laboratorio</v>
          </cell>
          <cell r="J2363" t="str">
            <v>bueno</v>
          </cell>
          <cell r="K2363" t="str">
            <v>defsi</v>
          </cell>
        </row>
        <row r="2364">
          <cell r="B2364" t="b">
            <v>1</v>
          </cell>
          <cell r="E2364" t="str">
            <v>Tierra Baja</v>
          </cell>
          <cell r="H2364" t="str">
            <v>laboratorio</v>
          </cell>
          <cell r="J2364" t="str">
            <v>bueno</v>
          </cell>
          <cell r="K2364" t="str">
            <v>probsi</v>
          </cell>
        </row>
        <row r="2365">
          <cell r="B2365" t="b">
            <v>1</v>
          </cell>
          <cell r="E2365" t="str">
            <v>Tierra Baja</v>
          </cell>
          <cell r="H2365" t="str">
            <v>laboratorio</v>
          </cell>
          <cell r="J2365" t="str">
            <v>bueno</v>
          </cell>
          <cell r="K2365" t="str">
            <v>probsi</v>
          </cell>
        </row>
        <row r="2366">
          <cell r="B2366" t="b">
            <v>1</v>
          </cell>
          <cell r="E2366" t="str">
            <v>Tierra Baja</v>
          </cell>
          <cell r="H2366" t="str">
            <v>laboratorio</v>
          </cell>
          <cell r="J2366" t="str">
            <v>bueno</v>
          </cell>
          <cell r="K2366" t="str">
            <v>probsi</v>
          </cell>
        </row>
        <row r="2367">
          <cell r="B2367" t="b">
            <v>1</v>
          </cell>
          <cell r="E2367" t="str">
            <v>Tierra Baja</v>
          </cell>
          <cell r="H2367" t="str">
            <v>laboratorio</v>
          </cell>
          <cell r="J2367" t="str">
            <v>bueno</v>
          </cell>
          <cell r="K2367" t="str">
            <v>probsi</v>
          </cell>
        </row>
        <row r="2368">
          <cell r="B2368" t="b">
            <v>1</v>
          </cell>
          <cell r="E2368" t="str">
            <v>Tierra Baja</v>
          </cell>
          <cell r="H2368" t="str">
            <v>laboratorio</v>
          </cell>
          <cell r="J2368" t="str">
            <v>bueno</v>
          </cell>
          <cell r="K2368" t="str">
            <v>probsi</v>
          </cell>
        </row>
        <row r="2369">
          <cell r="B2369" t="b">
            <v>1</v>
          </cell>
          <cell r="E2369" t="str">
            <v>Tierra Baja</v>
          </cell>
          <cell r="H2369" t="str">
            <v>laboratorio</v>
          </cell>
          <cell r="J2369" t="str">
            <v>bueno</v>
          </cell>
          <cell r="K2369" t="str">
            <v>probsi</v>
          </cell>
        </row>
        <row r="2370">
          <cell r="B2370" t="b">
            <v>1</v>
          </cell>
          <cell r="E2370" t="str">
            <v>Tierra Baja</v>
          </cell>
          <cell r="H2370" t="str">
            <v>laboratorio</v>
          </cell>
          <cell r="J2370" t="str">
            <v>bueno</v>
          </cell>
          <cell r="K2370" t="str">
            <v>probsi</v>
          </cell>
        </row>
        <row r="2371">
          <cell r="B2371" t="b">
            <v>1</v>
          </cell>
          <cell r="E2371" t="str">
            <v>Tierra Baja</v>
          </cell>
          <cell r="H2371" t="str">
            <v>salud_oral</v>
          </cell>
          <cell r="J2371" t="str">
            <v>bueno</v>
          </cell>
          <cell r="K2371" t="str">
            <v>probsi</v>
          </cell>
        </row>
        <row r="2372">
          <cell r="B2372" t="b">
            <v>1</v>
          </cell>
          <cell r="E2372" t="str">
            <v>Hospital Pozon</v>
          </cell>
          <cell r="H2372" t="str">
            <v>consulta_externa</v>
          </cell>
          <cell r="J2372" t="str">
            <v>bueno</v>
          </cell>
          <cell r="K2372" t="str">
            <v>probno</v>
          </cell>
        </row>
        <row r="2373">
          <cell r="B2373" t="b">
            <v>1</v>
          </cell>
          <cell r="E2373" t="str">
            <v>Tierra Baja</v>
          </cell>
          <cell r="H2373" t="str">
            <v>salud_oral</v>
          </cell>
          <cell r="J2373" t="str">
            <v>bueno</v>
          </cell>
          <cell r="K2373" t="str">
            <v>probsi</v>
          </cell>
        </row>
        <row r="2374">
          <cell r="B2374" t="b">
            <v>1</v>
          </cell>
          <cell r="E2374" t="str">
            <v>Tierra Baja</v>
          </cell>
          <cell r="H2374" t="str">
            <v>consulta_externa</v>
          </cell>
          <cell r="J2374" t="str">
            <v>bueno</v>
          </cell>
          <cell r="K2374" t="str">
            <v>probsi</v>
          </cell>
        </row>
        <row r="2375">
          <cell r="B2375" t="b">
            <v>1</v>
          </cell>
          <cell r="E2375" t="str">
            <v>Hospital Pozon</v>
          </cell>
          <cell r="H2375" t="str">
            <v>laboratorio</v>
          </cell>
          <cell r="J2375" t="str">
            <v>bueno</v>
          </cell>
          <cell r="K2375" t="str">
            <v>probno</v>
          </cell>
        </row>
        <row r="2376">
          <cell r="B2376" t="b">
            <v>1</v>
          </cell>
          <cell r="E2376" t="str">
            <v>Tierra Baja</v>
          </cell>
          <cell r="H2376" t="str">
            <v>consulta_externa</v>
          </cell>
          <cell r="J2376" t="str">
            <v>bueno</v>
          </cell>
          <cell r="K2376" t="str">
            <v>probsi</v>
          </cell>
        </row>
        <row r="2377">
          <cell r="B2377" t="b">
            <v>1</v>
          </cell>
          <cell r="E2377" t="str">
            <v>Tierra Baja</v>
          </cell>
          <cell r="H2377" t="str">
            <v>consulta_externa</v>
          </cell>
          <cell r="J2377" t="str">
            <v>bueno</v>
          </cell>
          <cell r="K2377" t="str">
            <v>probsi</v>
          </cell>
        </row>
        <row r="2378">
          <cell r="B2378" t="b">
            <v>1</v>
          </cell>
          <cell r="E2378" t="str">
            <v>Tierra Baja</v>
          </cell>
          <cell r="H2378" t="str">
            <v>consulta_externa</v>
          </cell>
          <cell r="J2378" t="str">
            <v>bueno</v>
          </cell>
          <cell r="K2378" t="str">
            <v>probsi</v>
          </cell>
        </row>
        <row r="2379">
          <cell r="B2379" t="b">
            <v>1</v>
          </cell>
          <cell r="E2379" t="str">
            <v>Tierra Baja</v>
          </cell>
          <cell r="H2379" t="str">
            <v>consulta_externa</v>
          </cell>
          <cell r="J2379" t="str">
            <v>bueno</v>
          </cell>
          <cell r="K2379" t="str">
            <v>probsi</v>
          </cell>
        </row>
        <row r="2380">
          <cell r="B2380" t="b">
            <v>1</v>
          </cell>
          <cell r="E2380" t="str">
            <v>Tierra Baja</v>
          </cell>
          <cell r="H2380" t="str">
            <v>consulta_externa</v>
          </cell>
          <cell r="J2380" t="str">
            <v>bueno</v>
          </cell>
          <cell r="K2380" t="str">
            <v>probsi</v>
          </cell>
        </row>
        <row r="2381">
          <cell r="B2381" t="b">
            <v>1</v>
          </cell>
          <cell r="E2381" t="str">
            <v>Tierra Baja</v>
          </cell>
          <cell r="H2381" t="str">
            <v>consulta_externa</v>
          </cell>
          <cell r="J2381" t="str">
            <v>bueno</v>
          </cell>
          <cell r="K2381" t="str">
            <v>probsi</v>
          </cell>
        </row>
        <row r="2382">
          <cell r="B2382" t="b">
            <v>1</v>
          </cell>
          <cell r="E2382" t="str">
            <v>Hospital Pozon</v>
          </cell>
          <cell r="H2382" t="str">
            <v>rx</v>
          </cell>
          <cell r="J2382" t="str">
            <v>bueno</v>
          </cell>
          <cell r="K2382" t="str">
            <v>defsi</v>
          </cell>
        </row>
        <row r="2383">
          <cell r="B2383" t="b">
            <v>1</v>
          </cell>
          <cell r="E2383" t="str">
            <v>Hospital Pozon</v>
          </cell>
          <cell r="H2383" t="str">
            <v>rx</v>
          </cell>
          <cell r="J2383" t="str">
            <v>bueno</v>
          </cell>
          <cell r="K2383" t="str">
            <v>defsi</v>
          </cell>
        </row>
        <row r="2384">
          <cell r="B2384" t="b">
            <v>1</v>
          </cell>
          <cell r="E2384" t="str">
            <v>Hospital Pozon</v>
          </cell>
          <cell r="H2384" t="str">
            <v>rx</v>
          </cell>
          <cell r="J2384" t="str">
            <v>bueno</v>
          </cell>
          <cell r="K2384" t="str">
            <v>defsi</v>
          </cell>
        </row>
        <row r="2385">
          <cell r="B2385" t="b">
            <v>1</v>
          </cell>
          <cell r="E2385" t="str">
            <v>Hospital Pozon</v>
          </cell>
          <cell r="H2385" t="str">
            <v>rx</v>
          </cell>
          <cell r="J2385" t="str">
            <v>bueno</v>
          </cell>
          <cell r="K2385" t="str">
            <v>defsi</v>
          </cell>
        </row>
        <row r="2386">
          <cell r="B2386" t="b">
            <v>1</v>
          </cell>
          <cell r="E2386" t="str">
            <v>Hospital Pozon</v>
          </cell>
          <cell r="H2386" t="str">
            <v>rx</v>
          </cell>
          <cell r="J2386" t="str">
            <v>bueno</v>
          </cell>
          <cell r="K2386" t="str">
            <v>defsi</v>
          </cell>
        </row>
        <row r="2387">
          <cell r="B2387" t="b">
            <v>1</v>
          </cell>
          <cell r="E2387" t="str">
            <v>Tierra Baja</v>
          </cell>
          <cell r="H2387" t="str">
            <v>salud_oral</v>
          </cell>
          <cell r="J2387" t="str">
            <v>bueno</v>
          </cell>
          <cell r="K2387" t="str">
            <v>probsi</v>
          </cell>
        </row>
        <row r="2388">
          <cell r="B2388" t="b">
            <v>1</v>
          </cell>
          <cell r="E2388" t="str">
            <v>Tierra Baja</v>
          </cell>
          <cell r="H2388" t="str">
            <v>salud_oral</v>
          </cell>
          <cell r="J2388" t="str">
            <v>bueno</v>
          </cell>
          <cell r="K2388" t="str">
            <v>probsi</v>
          </cell>
        </row>
        <row r="2389">
          <cell r="B2389" t="b">
            <v>1</v>
          </cell>
          <cell r="E2389" t="str">
            <v>Tierra Baja</v>
          </cell>
          <cell r="H2389" t="str">
            <v>salud_oral</v>
          </cell>
          <cell r="J2389" t="str">
            <v>bueno</v>
          </cell>
          <cell r="K2389" t="str">
            <v>probsi</v>
          </cell>
        </row>
        <row r="2390">
          <cell r="B2390" t="b">
            <v>1</v>
          </cell>
          <cell r="E2390" t="str">
            <v>Tierra Baja</v>
          </cell>
          <cell r="H2390" t="str">
            <v>laboratorio</v>
          </cell>
          <cell r="J2390" t="str">
            <v>bueno</v>
          </cell>
          <cell r="K2390" t="str">
            <v>probsi</v>
          </cell>
        </row>
        <row r="2391">
          <cell r="B2391" t="b">
            <v>1</v>
          </cell>
          <cell r="E2391" t="str">
            <v>Tierra Baja</v>
          </cell>
          <cell r="H2391" t="str">
            <v>laboratorio</v>
          </cell>
          <cell r="J2391" t="str">
            <v>bueno</v>
          </cell>
          <cell r="K2391" t="str">
            <v>probsi</v>
          </cell>
        </row>
        <row r="2392">
          <cell r="B2392" t="b">
            <v>1</v>
          </cell>
          <cell r="E2392" t="str">
            <v>Tierra Baja</v>
          </cell>
          <cell r="H2392" t="str">
            <v>laboratorio</v>
          </cell>
          <cell r="J2392" t="str">
            <v>bueno</v>
          </cell>
          <cell r="K2392" t="str">
            <v>probsi</v>
          </cell>
        </row>
        <row r="2393">
          <cell r="B2393" t="b">
            <v>1</v>
          </cell>
          <cell r="E2393" t="str">
            <v>Tierra Baja</v>
          </cell>
          <cell r="H2393" t="str">
            <v>laboratorio</v>
          </cell>
          <cell r="J2393" t="str">
            <v>bueno</v>
          </cell>
          <cell r="K2393" t="str">
            <v>probsi</v>
          </cell>
        </row>
        <row r="2394">
          <cell r="B2394" t="b">
            <v>1</v>
          </cell>
          <cell r="E2394" t="str">
            <v>Tierra Baja</v>
          </cell>
          <cell r="H2394" t="str">
            <v>laboratorio</v>
          </cell>
          <cell r="J2394" t="str">
            <v>bueno</v>
          </cell>
          <cell r="K2394" t="str">
            <v>probsi</v>
          </cell>
        </row>
        <row r="2395">
          <cell r="B2395" t="b">
            <v>1</v>
          </cell>
          <cell r="E2395" t="str">
            <v>Hospital Pozon</v>
          </cell>
          <cell r="H2395" t="str">
            <v>rx</v>
          </cell>
          <cell r="J2395" t="str">
            <v>muybueno</v>
          </cell>
          <cell r="K2395" t="str">
            <v>defsi</v>
          </cell>
        </row>
        <row r="2396">
          <cell r="B2396" t="b">
            <v>1</v>
          </cell>
          <cell r="E2396" t="str">
            <v>Hospital Pozon</v>
          </cell>
          <cell r="H2396" t="str">
            <v>salud_oral</v>
          </cell>
          <cell r="J2396" t="str">
            <v>bueno</v>
          </cell>
          <cell r="K2396" t="str">
            <v>defsi</v>
          </cell>
        </row>
        <row r="2397">
          <cell r="B2397" t="b">
            <v>0</v>
          </cell>
          <cell r="E2397" t="str">
            <v>Hospital Pozon</v>
          </cell>
          <cell r="H2397" t="str">
            <v>salud_oral</v>
          </cell>
          <cell r="J2397" t="str">
            <v>regular</v>
          </cell>
          <cell r="K2397" t="str">
            <v>defsi</v>
          </cell>
        </row>
        <row r="2398">
          <cell r="B2398" t="b">
            <v>1</v>
          </cell>
          <cell r="E2398" t="str">
            <v>Hospital Pozon</v>
          </cell>
          <cell r="H2398" t="str">
            <v>salud_oral</v>
          </cell>
          <cell r="J2398" t="str">
            <v>bueno</v>
          </cell>
          <cell r="K2398" t="str">
            <v>defsi</v>
          </cell>
        </row>
        <row r="2399">
          <cell r="B2399" t="b">
            <v>0</v>
          </cell>
          <cell r="E2399" t="str">
            <v>Hospital Pozon</v>
          </cell>
          <cell r="H2399" t="str">
            <v>consulta_externa</v>
          </cell>
          <cell r="J2399" t="str">
            <v>regular</v>
          </cell>
          <cell r="K2399" t="str">
            <v>probsi</v>
          </cell>
        </row>
        <row r="2400">
          <cell r="B2400" t="b">
            <v>1</v>
          </cell>
          <cell r="E2400" t="str">
            <v>Hospital Pozon</v>
          </cell>
          <cell r="H2400" t="str">
            <v>salud_oral</v>
          </cell>
          <cell r="J2400" t="str">
            <v>bueno</v>
          </cell>
          <cell r="K2400" t="str">
            <v>defsi</v>
          </cell>
        </row>
        <row r="2401">
          <cell r="B2401" t="b">
            <v>0</v>
          </cell>
          <cell r="E2401" t="str">
            <v>Hospital Pozon</v>
          </cell>
          <cell r="H2401" t="str">
            <v>salud_oral</v>
          </cell>
          <cell r="J2401" t="str">
            <v>regular</v>
          </cell>
          <cell r="K2401" t="str">
            <v>probsi</v>
          </cell>
        </row>
        <row r="2402">
          <cell r="B2402" t="b">
            <v>1</v>
          </cell>
          <cell r="E2402" t="str">
            <v>Hospital Pozon</v>
          </cell>
          <cell r="H2402" t="str">
            <v>ginecologia</v>
          </cell>
          <cell r="J2402" t="str">
            <v>bueno</v>
          </cell>
          <cell r="K2402" t="str">
            <v>defsi</v>
          </cell>
        </row>
        <row r="2403">
          <cell r="B2403" t="b">
            <v>1</v>
          </cell>
          <cell r="E2403" t="str">
            <v>Hospital Pozon</v>
          </cell>
          <cell r="H2403" t="str">
            <v>ginecologia</v>
          </cell>
          <cell r="J2403" t="str">
            <v>bueno</v>
          </cell>
          <cell r="K2403" t="str">
            <v>defsi</v>
          </cell>
        </row>
        <row r="2404">
          <cell r="B2404" t="b">
            <v>1</v>
          </cell>
          <cell r="E2404" t="str">
            <v>Libano</v>
          </cell>
          <cell r="H2404" t="str">
            <v>salud_oral</v>
          </cell>
          <cell r="J2404" t="str">
            <v>bueno</v>
          </cell>
          <cell r="K2404" t="str">
            <v>probsi</v>
          </cell>
        </row>
        <row r="2405">
          <cell r="B2405" t="b">
            <v>1</v>
          </cell>
          <cell r="E2405" t="str">
            <v>Libano</v>
          </cell>
          <cell r="H2405" t="str">
            <v>salud_oral</v>
          </cell>
          <cell r="J2405" t="str">
            <v>bueno</v>
          </cell>
          <cell r="K2405" t="str">
            <v>probsi</v>
          </cell>
        </row>
        <row r="2406">
          <cell r="B2406" t="b">
            <v>1</v>
          </cell>
          <cell r="E2406" t="str">
            <v>Libano</v>
          </cell>
          <cell r="H2406" t="str">
            <v>salud_oral</v>
          </cell>
          <cell r="J2406" t="str">
            <v>bueno</v>
          </cell>
          <cell r="K2406" t="str">
            <v>probsi</v>
          </cell>
        </row>
        <row r="2407">
          <cell r="B2407" t="b">
            <v>1</v>
          </cell>
          <cell r="E2407" t="str">
            <v>Libano</v>
          </cell>
          <cell r="H2407" t="str">
            <v>salud_oral</v>
          </cell>
          <cell r="J2407" t="str">
            <v>bueno</v>
          </cell>
          <cell r="K2407" t="str">
            <v>probsi</v>
          </cell>
        </row>
        <row r="2408">
          <cell r="B2408" t="b">
            <v>1</v>
          </cell>
          <cell r="E2408" t="str">
            <v>Libano</v>
          </cell>
          <cell r="H2408" t="str">
            <v>salud_oral</v>
          </cell>
          <cell r="J2408" t="str">
            <v>bueno</v>
          </cell>
          <cell r="K2408" t="str">
            <v>probsi</v>
          </cell>
        </row>
        <row r="2409">
          <cell r="B2409" t="b">
            <v>1</v>
          </cell>
          <cell r="E2409" t="str">
            <v>Libano</v>
          </cell>
          <cell r="H2409" t="str">
            <v>laboratorio</v>
          </cell>
          <cell r="J2409" t="str">
            <v>bueno</v>
          </cell>
          <cell r="K2409" t="str">
            <v>probsi</v>
          </cell>
        </row>
        <row r="2410">
          <cell r="B2410" t="b">
            <v>1</v>
          </cell>
          <cell r="E2410" t="str">
            <v>Libano</v>
          </cell>
          <cell r="H2410" t="str">
            <v>laboratorio</v>
          </cell>
          <cell r="J2410" t="str">
            <v>bueno</v>
          </cell>
          <cell r="K2410" t="str">
            <v>probsi</v>
          </cell>
        </row>
        <row r="2411">
          <cell r="B2411" t="b">
            <v>1</v>
          </cell>
          <cell r="E2411" t="str">
            <v>Libano</v>
          </cell>
          <cell r="H2411" t="str">
            <v>laboratorio</v>
          </cell>
          <cell r="J2411" t="str">
            <v>bueno</v>
          </cell>
          <cell r="K2411" t="str">
            <v>probsi</v>
          </cell>
        </row>
        <row r="2412">
          <cell r="B2412" t="b">
            <v>1</v>
          </cell>
          <cell r="E2412" t="str">
            <v>Libano</v>
          </cell>
          <cell r="H2412" t="str">
            <v>laboratorio</v>
          </cell>
          <cell r="J2412" t="str">
            <v>bueno</v>
          </cell>
          <cell r="K2412" t="str">
            <v>probsi</v>
          </cell>
        </row>
        <row r="2413">
          <cell r="B2413" t="b">
            <v>1</v>
          </cell>
          <cell r="E2413" t="str">
            <v>Libano</v>
          </cell>
          <cell r="H2413" t="str">
            <v>laboratorio</v>
          </cell>
          <cell r="J2413" t="str">
            <v>bueno</v>
          </cell>
          <cell r="K2413" t="str">
            <v>probsi</v>
          </cell>
        </row>
        <row r="2414">
          <cell r="B2414" t="b">
            <v>1</v>
          </cell>
          <cell r="E2414" t="str">
            <v>Libano</v>
          </cell>
          <cell r="H2414" t="str">
            <v>pediatria</v>
          </cell>
          <cell r="J2414" t="str">
            <v>bueno</v>
          </cell>
          <cell r="K2414" t="str">
            <v>probsi</v>
          </cell>
        </row>
        <row r="2415">
          <cell r="B2415" t="b">
            <v>1</v>
          </cell>
          <cell r="E2415" t="str">
            <v>Libano</v>
          </cell>
          <cell r="H2415" t="str">
            <v>pediatria</v>
          </cell>
          <cell r="J2415" t="str">
            <v>bueno</v>
          </cell>
          <cell r="K2415" t="str">
            <v>probsi</v>
          </cell>
        </row>
        <row r="2416">
          <cell r="B2416" t="b">
            <v>1</v>
          </cell>
          <cell r="E2416" t="str">
            <v>Libano</v>
          </cell>
          <cell r="H2416" t="str">
            <v>pediatria</v>
          </cell>
          <cell r="J2416" t="str">
            <v>bueno</v>
          </cell>
          <cell r="K2416" t="str">
            <v>probsi</v>
          </cell>
        </row>
        <row r="2417">
          <cell r="B2417" t="b">
            <v>1</v>
          </cell>
          <cell r="E2417" t="str">
            <v>Libano</v>
          </cell>
          <cell r="H2417" t="str">
            <v>pediatria</v>
          </cell>
          <cell r="J2417" t="str">
            <v>bueno</v>
          </cell>
          <cell r="K2417" t="str">
            <v>probsi</v>
          </cell>
        </row>
        <row r="2418">
          <cell r="B2418" t="b">
            <v>1</v>
          </cell>
          <cell r="E2418" t="str">
            <v>Libano</v>
          </cell>
          <cell r="H2418" t="str">
            <v>pediatria</v>
          </cell>
          <cell r="J2418" t="str">
            <v>bueno</v>
          </cell>
          <cell r="K2418" t="str">
            <v>probsi</v>
          </cell>
        </row>
        <row r="2419">
          <cell r="B2419" t="b">
            <v>1</v>
          </cell>
          <cell r="E2419" t="str">
            <v>Bicentenario</v>
          </cell>
          <cell r="H2419" t="str">
            <v>consulta_externa</v>
          </cell>
          <cell r="J2419" t="str">
            <v>bueno</v>
          </cell>
          <cell r="K2419" t="str">
            <v>defsi</v>
          </cell>
        </row>
        <row r="2420">
          <cell r="B2420" t="b">
            <v>1</v>
          </cell>
          <cell r="E2420" t="str">
            <v>Bicentenario</v>
          </cell>
          <cell r="H2420" t="str">
            <v>laboratorio</v>
          </cell>
          <cell r="J2420" t="str">
            <v>bueno</v>
          </cell>
          <cell r="K2420" t="str">
            <v>defsi</v>
          </cell>
        </row>
        <row r="2421">
          <cell r="B2421" t="b">
            <v>1</v>
          </cell>
          <cell r="E2421" t="str">
            <v>Bicentenario</v>
          </cell>
          <cell r="H2421" t="str">
            <v>laboratorio</v>
          </cell>
          <cell r="J2421" t="str">
            <v>bueno</v>
          </cell>
          <cell r="K2421" t="str">
            <v>defsi</v>
          </cell>
        </row>
        <row r="2422">
          <cell r="B2422" t="b">
            <v>1</v>
          </cell>
          <cell r="E2422" t="str">
            <v>Bicentenario</v>
          </cell>
          <cell r="H2422" t="str">
            <v>laboratorio</v>
          </cell>
          <cell r="J2422" t="str">
            <v>bueno</v>
          </cell>
          <cell r="K2422" t="str">
            <v>defsi</v>
          </cell>
        </row>
        <row r="2423">
          <cell r="B2423" t="b">
            <v>1</v>
          </cell>
          <cell r="E2423" t="str">
            <v>Bicentenario</v>
          </cell>
          <cell r="H2423" t="str">
            <v>rx</v>
          </cell>
          <cell r="J2423" t="str">
            <v>bueno</v>
          </cell>
          <cell r="K2423" t="str">
            <v>defsi</v>
          </cell>
        </row>
        <row r="2424">
          <cell r="B2424" t="b">
            <v>1</v>
          </cell>
          <cell r="E2424" t="str">
            <v>Bicentenario</v>
          </cell>
          <cell r="H2424" t="str">
            <v>rx</v>
          </cell>
          <cell r="J2424" t="str">
            <v>bueno</v>
          </cell>
          <cell r="K2424" t="str">
            <v>defsi</v>
          </cell>
        </row>
        <row r="2425">
          <cell r="B2425" t="b">
            <v>0</v>
          </cell>
          <cell r="E2425" t="str">
            <v>Bicentenario</v>
          </cell>
          <cell r="H2425" t="str">
            <v>consulta_externa</v>
          </cell>
          <cell r="J2425" t="str">
            <v>regular</v>
          </cell>
          <cell r="K2425" t="str">
            <v>defsi</v>
          </cell>
        </row>
        <row r="2426">
          <cell r="B2426" t="b">
            <v>1</v>
          </cell>
          <cell r="E2426" t="str">
            <v>Bicentenario</v>
          </cell>
          <cell r="H2426" t="str">
            <v>salud_oral</v>
          </cell>
          <cell r="J2426" t="str">
            <v>bueno</v>
          </cell>
          <cell r="K2426" t="str">
            <v>defsi</v>
          </cell>
        </row>
        <row r="2427">
          <cell r="B2427" t="b">
            <v>1</v>
          </cell>
          <cell r="E2427" t="str">
            <v>Bicentenario</v>
          </cell>
          <cell r="H2427" t="str">
            <v>salud_oral</v>
          </cell>
          <cell r="J2427" t="str">
            <v>bueno</v>
          </cell>
          <cell r="K2427" t="str">
            <v>defsi</v>
          </cell>
        </row>
        <row r="2428">
          <cell r="B2428" t="b">
            <v>1</v>
          </cell>
          <cell r="E2428" t="str">
            <v>Bicentenario</v>
          </cell>
          <cell r="H2428" t="str">
            <v>consulta_externa</v>
          </cell>
          <cell r="J2428" t="str">
            <v>bueno</v>
          </cell>
          <cell r="K2428" t="str">
            <v>defsi</v>
          </cell>
        </row>
        <row r="2429">
          <cell r="B2429" t="b">
            <v>1</v>
          </cell>
          <cell r="E2429" t="str">
            <v>Bicentenario</v>
          </cell>
          <cell r="H2429" t="str">
            <v>rx</v>
          </cell>
          <cell r="J2429" t="str">
            <v>bueno</v>
          </cell>
          <cell r="K2429" t="str">
            <v>defsi</v>
          </cell>
        </row>
        <row r="2430">
          <cell r="B2430" t="b">
            <v>1</v>
          </cell>
          <cell r="E2430" t="str">
            <v>Bicentenario</v>
          </cell>
          <cell r="H2430" t="str">
            <v>rx</v>
          </cell>
          <cell r="J2430" t="str">
            <v>bueno</v>
          </cell>
          <cell r="K2430" t="str">
            <v>defsi</v>
          </cell>
        </row>
        <row r="2431">
          <cell r="B2431" t="b">
            <v>0</v>
          </cell>
          <cell r="E2431" t="str">
            <v>Bicentenario</v>
          </cell>
          <cell r="H2431" t="str">
            <v>rx</v>
          </cell>
          <cell r="J2431" t="str">
            <v>regular</v>
          </cell>
          <cell r="K2431" t="str">
            <v>defsi</v>
          </cell>
        </row>
        <row r="2432">
          <cell r="B2432" t="b">
            <v>0</v>
          </cell>
          <cell r="E2432" t="str">
            <v>Bicentenario</v>
          </cell>
          <cell r="H2432" t="str">
            <v>rx</v>
          </cell>
          <cell r="J2432" t="str">
            <v>regular</v>
          </cell>
          <cell r="K2432" t="str">
            <v>defsi</v>
          </cell>
        </row>
        <row r="2433">
          <cell r="B2433" t="b">
            <v>1</v>
          </cell>
          <cell r="E2433" t="str">
            <v>Bicentenario</v>
          </cell>
          <cell r="H2433" t="str">
            <v>urgencia</v>
          </cell>
          <cell r="J2433" t="str">
            <v>bueno</v>
          </cell>
          <cell r="K2433" t="str">
            <v>defsi</v>
          </cell>
        </row>
        <row r="2434">
          <cell r="B2434" t="b">
            <v>1</v>
          </cell>
          <cell r="E2434" t="str">
            <v>Bicentenario</v>
          </cell>
          <cell r="H2434" t="str">
            <v>urgencia</v>
          </cell>
          <cell r="J2434" t="str">
            <v>bueno</v>
          </cell>
          <cell r="K2434" t="str">
            <v>defsi</v>
          </cell>
        </row>
        <row r="2435">
          <cell r="B2435" t="b">
            <v>0</v>
          </cell>
          <cell r="E2435" t="str">
            <v>Bicentenario</v>
          </cell>
          <cell r="H2435" t="str">
            <v>consulta_externa</v>
          </cell>
          <cell r="J2435" t="str">
            <v>regular</v>
          </cell>
          <cell r="K2435" t="str">
            <v>defsi</v>
          </cell>
        </row>
        <row r="2436">
          <cell r="B2436" t="b">
            <v>1</v>
          </cell>
          <cell r="E2436" t="str">
            <v>Bicentenario</v>
          </cell>
          <cell r="H2436" t="str">
            <v>consulta_externa</v>
          </cell>
          <cell r="J2436" t="str">
            <v>bueno</v>
          </cell>
          <cell r="K2436" t="str">
            <v>defsi</v>
          </cell>
        </row>
        <row r="2437">
          <cell r="B2437" t="b">
            <v>1</v>
          </cell>
          <cell r="E2437" t="str">
            <v>Bicentenario</v>
          </cell>
          <cell r="H2437" t="str">
            <v>salud_oral</v>
          </cell>
          <cell r="J2437" t="str">
            <v>bueno</v>
          </cell>
          <cell r="K2437" t="str">
            <v>defsi</v>
          </cell>
        </row>
        <row r="2438">
          <cell r="B2438" t="b">
            <v>1</v>
          </cell>
          <cell r="E2438" t="str">
            <v>Bicentenario</v>
          </cell>
          <cell r="H2438" t="str">
            <v>consulta_externa</v>
          </cell>
          <cell r="J2438" t="str">
            <v>bueno</v>
          </cell>
          <cell r="K2438" t="str">
            <v>defsi</v>
          </cell>
        </row>
        <row r="2439">
          <cell r="B2439" t="b">
            <v>1</v>
          </cell>
          <cell r="E2439" t="str">
            <v>San Vicente de Paul</v>
          </cell>
          <cell r="H2439" t="str">
            <v>consulta_externa</v>
          </cell>
          <cell r="J2439" t="str">
            <v>bueno</v>
          </cell>
          <cell r="K2439" t="str">
            <v>probsi</v>
          </cell>
        </row>
        <row r="2440">
          <cell r="B2440" t="b">
            <v>1</v>
          </cell>
          <cell r="E2440" t="str">
            <v>San Vicente de Paul</v>
          </cell>
          <cell r="H2440" t="str">
            <v>consulta_externa</v>
          </cell>
          <cell r="J2440" t="str">
            <v>bueno</v>
          </cell>
          <cell r="K2440" t="str">
            <v>probsi</v>
          </cell>
        </row>
        <row r="2441">
          <cell r="B2441" t="b">
            <v>1</v>
          </cell>
          <cell r="E2441" t="str">
            <v>San Vicente de Paul</v>
          </cell>
          <cell r="H2441" t="str">
            <v>consulta_externa</v>
          </cell>
          <cell r="J2441" t="str">
            <v>bueno</v>
          </cell>
          <cell r="K2441" t="str">
            <v>probsi</v>
          </cell>
        </row>
        <row r="2442">
          <cell r="B2442" t="b">
            <v>1</v>
          </cell>
          <cell r="E2442" t="str">
            <v>San Vicente de Paul</v>
          </cell>
          <cell r="H2442" t="str">
            <v>laboratorio</v>
          </cell>
          <cell r="J2442" t="str">
            <v>bueno</v>
          </cell>
          <cell r="K2442" t="str">
            <v>probsi</v>
          </cell>
        </row>
        <row r="2443">
          <cell r="B2443" t="b">
            <v>1</v>
          </cell>
          <cell r="E2443" t="str">
            <v>San Vicente de Paul</v>
          </cell>
          <cell r="H2443" t="str">
            <v>laboratorio</v>
          </cell>
          <cell r="J2443" t="str">
            <v>bueno</v>
          </cell>
          <cell r="K2443" t="str">
            <v>probsi</v>
          </cell>
        </row>
        <row r="2444">
          <cell r="B2444" t="b">
            <v>1</v>
          </cell>
          <cell r="E2444" t="str">
            <v>San Vicente de Paul</v>
          </cell>
          <cell r="H2444" t="str">
            <v>laboratorio</v>
          </cell>
          <cell r="J2444" t="str">
            <v>bueno</v>
          </cell>
          <cell r="K2444" t="str">
            <v>probsi</v>
          </cell>
        </row>
        <row r="2445">
          <cell r="B2445" t="b">
            <v>1</v>
          </cell>
          <cell r="E2445" t="str">
            <v>San Vicente de Paul</v>
          </cell>
          <cell r="H2445" t="str">
            <v>laboratorio</v>
          </cell>
          <cell r="J2445" t="str">
            <v>bueno</v>
          </cell>
          <cell r="K2445" t="str">
            <v>probsi</v>
          </cell>
        </row>
        <row r="2446">
          <cell r="B2446" t="b">
            <v>1</v>
          </cell>
          <cell r="E2446" t="str">
            <v>San Vicente de Paul</v>
          </cell>
          <cell r="H2446" t="str">
            <v>salud_oral</v>
          </cell>
          <cell r="J2446" t="str">
            <v>bueno</v>
          </cell>
          <cell r="K2446" t="str">
            <v>probsi</v>
          </cell>
        </row>
        <row r="2447">
          <cell r="B2447" t="b">
            <v>1</v>
          </cell>
          <cell r="E2447" t="str">
            <v>San Vicente de Paul</v>
          </cell>
          <cell r="H2447" t="str">
            <v>salud_oral</v>
          </cell>
          <cell r="J2447" t="str">
            <v>bueno</v>
          </cell>
          <cell r="K2447" t="str">
            <v>probsi</v>
          </cell>
        </row>
        <row r="2448">
          <cell r="B2448" t="b">
            <v>1</v>
          </cell>
          <cell r="E2448" t="str">
            <v>San Vicente de Paul</v>
          </cell>
          <cell r="H2448" t="str">
            <v>laboratorio</v>
          </cell>
          <cell r="J2448" t="str">
            <v>bueno</v>
          </cell>
          <cell r="K2448" t="str">
            <v>probsi</v>
          </cell>
        </row>
        <row r="2449">
          <cell r="B2449" t="b">
            <v>1</v>
          </cell>
          <cell r="E2449" t="str">
            <v>San Vicente de Paul</v>
          </cell>
          <cell r="H2449" t="str">
            <v>consulta_externa</v>
          </cell>
          <cell r="J2449" t="str">
            <v>bueno</v>
          </cell>
          <cell r="K2449" t="str">
            <v>probsi</v>
          </cell>
        </row>
        <row r="2450">
          <cell r="B2450" t="b">
            <v>1</v>
          </cell>
          <cell r="E2450" t="str">
            <v>San Vicente de Paul</v>
          </cell>
          <cell r="H2450" t="str">
            <v>laboratorio</v>
          </cell>
          <cell r="J2450" t="str">
            <v>bueno</v>
          </cell>
          <cell r="K2450" t="str">
            <v>probsi</v>
          </cell>
        </row>
        <row r="2451">
          <cell r="B2451" t="b">
            <v>1</v>
          </cell>
          <cell r="E2451" t="str">
            <v>San Vicente de Paul</v>
          </cell>
          <cell r="H2451" t="str">
            <v>consulta_externa</v>
          </cell>
          <cell r="J2451" t="str">
            <v>bueno</v>
          </cell>
          <cell r="K2451" t="str">
            <v>probsi</v>
          </cell>
        </row>
        <row r="2452">
          <cell r="B2452" t="b">
            <v>1</v>
          </cell>
          <cell r="E2452" t="str">
            <v>San Vicente de Paul</v>
          </cell>
          <cell r="H2452" t="str">
            <v>consulta_externa</v>
          </cell>
          <cell r="J2452" t="str">
            <v>bueno</v>
          </cell>
          <cell r="K2452" t="str">
            <v>probsi</v>
          </cell>
        </row>
        <row r="2453">
          <cell r="B2453" t="b">
            <v>1</v>
          </cell>
          <cell r="E2453" t="str">
            <v>San Vicente de Paul</v>
          </cell>
          <cell r="H2453" t="str">
            <v>consulta_externa</v>
          </cell>
          <cell r="J2453" t="str">
            <v>bueno</v>
          </cell>
          <cell r="K2453" t="str">
            <v>probsi</v>
          </cell>
        </row>
        <row r="2454">
          <cell r="B2454" t="b">
            <v>1</v>
          </cell>
          <cell r="E2454" t="str">
            <v>Nuevo Porvenir</v>
          </cell>
          <cell r="H2454" t="str">
            <v>consulta_externa</v>
          </cell>
          <cell r="J2454" t="str">
            <v>bueno</v>
          </cell>
          <cell r="K2454" t="str">
            <v>defsi</v>
          </cell>
        </row>
        <row r="2455">
          <cell r="B2455" t="b">
            <v>0</v>
          </cell>
          <cell r="E2455" t="str">
            <v>San Vicente de Paul</v>
          </cell>
          <cell r="H2455" t="str">
            <v>consulta_externa</v>
          </cell>
          <cell r="J2455" t="str">
            <v>regular</v>
          </cell>
          <cell r="K2455" t="str">
            <v>probsi</v>
          </cell>
        </row>
        <row r="2456">
          <cell r="B2456" t="b">
            <v>1</v>
          </cell>
          <cell r="E2456" t="str">
            <v>San Vicente de Paul</v>
          </cell>
          <cell r="H2456" t="str">
            <v>salud_oral</v>
          </cell>
          <cell r="J2456" t="str">
            <v>bueno</v>
          </cell>
          <cell r="K2456" t="str">
            <v>probsi</v>
          </cell>
        </row>
        <row r="2457">
          <cell r="B2457" t="b">
            <v>1</v>
          </cell>
          <cell r="E2457" t="str">
            <v>San Vicente de Paul</v>
          </cell>
          <cell r="H2457" t="str">
            <v>consulta_externa</v>
          </cell>
          <cell r="J2457" t="str">
            <v>bueno</v>
          </cell>
          <cell r="K2457" t="str">
            <v>probsi</v>
          </cell>
        </row>
        <row r="2458">
          <cell r="B2458" t="b">
            <v>1</v>
          </cell>
          <cell r="E2458" t="str">
            <v>Nuevo Porvenir</v>
          </cell>
          <cell r="H2458" t="str">
            <v>salud_oral</v>
          </cell>
          <cell r="J2458" t="str">
            <v>bueno</v>
          </cell>
          <cell r="K2458" t="str">
            <v>defsi</v>
          </cell>
        </row>
        <row r="2459">
          <cell r="B2459" t="b">
            <v>1</v>
          </cell>
          <cell r="E2459" t="str">
            <v>Nuevo Porvenir</v>
          </cell>
          <cell r="H2459" t="str">
            <v>laboratorio</v>
          </cell>
          <cell r="J2459" t="str">
            <v>bueno</v>
          </cell>
          <cell r="K2459" t="str">
            <v>defsi</v>
          </cell>
        </row>
        <row r="2460">
          <cell r="B2460" t="b">
            <v>1</v>
          </cell>
          <cell r="E2460" t="str">
            <v>Nuevo Porvenir</v>
          </cell>
          <cell r="H2460" t="str">
            <v>consulta_externa</v>
          </cell>
          <cell r="J2460" t="str">
            <v>bueno</v>
          </cell>
          <cell r="K2460" t="str">
            <v>defsi</v>
          </cell>
        </row>
        <row r="2461">
          <cell r="B2461" t="b">
            <v>1</v>
          </cell>
          <cell r="E2461" t="str">
            <v>San Vicente de Paul</v>
          </cell>
          <cell r="H2461" t="str">
            <v>consulta_externa</v>
          </cell>
          <cell r="J2461" t="str">
            <v>bueno</v>
          </cell>
          <cell r="K2461" t="str">
            <v>probsi</v>
          </cell>
        </row>
        <row r="2462">
          <cell r="B2462" t="b">
            <v>1</v>
          </cell>
          <cell r="E2462" t="str">
            <v>San Vicente de Paul</v>
          </cell>
          <cell r="H2462" t="str">
            <v>consulta_externa</v>
          </cell>
          <cell r="J2462" t="str">
            <v>bueno</v>
          </cell>
          <cell r="K2462" t="str">
            <v>probsi</v>
          </cell>
        </row>
        <row r="2463">
          <cell r="B2463" t="b">
            <v>1</v>
          </cell>
          <cell r="E2463" t="str">
            <v>San Vicente de Paul</v>
          </cell>
          <cell r="H2463" t="str">
            <v>salud_oral</v>
          </cell>
          <cell r="J2463" t="str">
            <v>bueno</v>
          </cell>
          <cell r="K2463" t="str">
            <v>probsi</v>
          </cell>
        </row>
        <row r="2464">
          <cell r="B2464" t="b">
            <v>1</v>
          </cell>
          <cell r="E2464" t="str">
            <v>San Vicente de Paul</v>
          </cell>
          <cell r="H2464" t="str">
            <v>salud_oral</v>
          </cell>
          <cell r="J2464" t="str">
            <v>bueno</v>
          </cell>
          <cell r="K2464" t="str">
            <v>probsi</v>
          </cell>
        </row>
        <row r="2465">
          <cell r="B2465" t="b">
            <v>1</v>
          </cell>
          <cell r="E2465" t="str">
            <v>San Vicente de Paul</v>
          </cell>
          <cell r="H2465" t="str">
            <v>consulta_externa</v>
          </cell>
          <cell r="J2465" t="str">
            <v>bueno</v>
          </cell>
          <cell r="K2465" t="str">
            <v>probsi</v>
          </cell>
        </row>
        <row r="2466">
          <cell r="B2466" t="b">
            <v>1</v>
          </cell>
          <cell r="E2466" t="str">
            <v>San Vicente de Paul</v>
          </cell>
          <cell r="H2466" t="str">
            <v>salud_oral</v>
          </cell>
          <cell r="J2466" t="str">
            <v>bueno</v>
          </cell>
          <cell r="K2466" t="str">
            <v>probsi</v>
          </cell>
        </row>
        <row r="2467">
          <cell r="B2467" t="b">
            <v>1</v>
          </cell>
          <cell r="E2467" t="str">
            <v>Nuevo Porvenir</v>
          </cell>
          <cell r="H2467" t="str">
            <v>salud_oral</v>
          </cell>
          <cell r="J2467" t="str">
            <v>bueno</v>
          </cell>
          <cell r="K2467" t="str">
            <v>defsi</v>
          </cell>
        </row>
        <row r="2468">
          <cell r="B2468" t="b">
            <v>1</v>
          </cell>
          <cell r="E2468" t="str">
            <v>San Vicente de Paul</v>
          </cell>
          <cell r="H2468" t="str">
            <v>laboratorio</v>
          </cell>
          <cell r="J2468" t="str">
            <v>bueno</v>
          </cell>
          <cell r="K2468" t="str">
            <v>probsi</v>
          </cell>
        </row>
        <row r="2469">
          <cell r="B2469" t="b">
            <v>1</v>
          </cell>
          <cell r="E2469" t="str">
            <v>Nuevo Porvenir</v>
          </cell>
          <cell r="H2469" t="str">
            <v>laboratorio</v>
          </cell>
          <cell r="J2469" t="str">
            <v>bueno</v>
          </cell>
          <cell r="K2469" t="str">
            <v>defsi</v>
          </cell>
        </row>
        <row r="2470">
          <cell r="B2470" t="b">
            <v>1</v>
          </cell>
          <cell r="E2470" t="str">
            <v>Nuevo Porvenir</v>
          </cell>
          <cell r="H2470" t="str">
            <v>consulta_externa</v>
          </cell>
          <cell r="J2470" t="str">
            <v>bueno</v>
          </cell>
          <cell r="K2470" t="str">
            <v>defsi</v>
          </cell>
        </row>
        <row r="2471">
          <cell r="B2471" t="b">
            <v>1</v>
          </cell>
          <cell r="E2471" t="str">
            <v>Nuevo Porvenir</v>
          </cell>
          <cell r="H2471" t="str">
            <v>salud_oral</v>
          </cell>
          <cell r="J2471" t="str">
            <v>bueno</v>
          </cell>
          <cell r="K2471" t="str">
            <v>defsi</v>
          </cell>
        </row>
        <row r="2472">
          <cell r="B2472" t="b">
            <v>1</v>
          </cell>
          <cell r="E2472" t="str">
            <v>Nuevo Porvenir</v>
          </cell>
          <cell r="H2472" t="str">
            <v>laboratorio</v>
          </cell>
          <cell r="J2472" t="str">
            <v>bueno</v>
          </cell>
          <cell r="K2472" t="str">
            <v>defsi</v>
          </cell>
        </row>
        <row r="2473">
          <cell r="B2473" t="b">
            <v>1</v>
          </cell>
          <cell r="E2473" t="str">
            <v>Nuevo Porvenir</v>
          </cell>
          <cell r="H2473" t="str">
            <v>consulta_externa</v>
          </cell>
          <cell r="J2473" t="str">
            <v>bueno</v>
          </cell>
          <cell r="K2473" t="str">
            <v>defsi</v>
          </cell>
        </row>
        <row r="2474">
          <cell r="B2474" t="b">
            <v>1</v>
          </cell>
          <cell r="E2474" t="str">
            <v>Nuevo Porvenir</v>
          </cell>
          <cell r="H2474" t="str">
            <v>salud_oral</v>
          </cell>
          <cell r="J2474" t="str">
            <v>bueno</v>
          </cell>
          <cell r="K2474" t="str">
            <v>defsi</v>
          </cell>
        </row>
        <row r="2475">
          <cell r="B2475" t="b">
            <v>1</v>
          </cell>
          <cell r="E2475" t="str">
            <v>Nuevo Porvenir</v>
          </cell>
          <cell r="H2475" t="str">
            <v>laboratorio</v>
          </cell>
          <cell r="J2475" t="str">
            <v>bueno</v>
          </cell>
          <cell r="K2475" t="str">
            <v>defsi</v>
          </cell>
        </row>
        <row r="2476">
          <cell r="B2476" t="b">
            <v>0</v>
          </cell>
          <cell r="E2476" t="str">
            <v>San Vicente de Paul</v>
          </cell>
          <cell r="H2476" t="str">
            <v>consulta_externa</v>
          </cell>
          <cell r="J2476" t="str">
            <v>regular</v>
          </cell>
          <cell r="K2476" t="str">
            <v>probsi</v>
          </cell>
        </row>
        <row r="2477">
          <cell r="B2477" t="b">
            <v>1</v>
          </cell>
          <cell r="E2477" t="str">
            <v>San Vicente de Paul</v>
          </cell>
          <cell r="H2477" t="str">
            <v>salud_oral</v>
          </cell>
          <cell r="J2477" t="str">
            <v>bueno</v>
          </cell>
          <cell r="K2477" t="str">
            <v>probsi</v>
          </cell>
        </row>
        <row r="2478">
          <cell r="B2478" t="b">
            <v>0</v>
          </cell>
          <cell r="E2478" t="str">
            <v>San Vicente de Paul</v>
          </cell>
          <cell r="H2478" t="str">
            <v>laboratorio</v>
          </cell>
          <cell r="J2478" t="str">
            <v>regular</v>
          </cell>
          <cell r="K2478" t="str">
            <v>probsi</v>
          </cell>
        </row>
        <row r="2479">
          <cell r="B2479" t="b">
            <v>0</v>
          </cell>
          <cell r="E2479" t="str">
            <v>San Vicente de Paul</v>
          </cell>
          <cell r="H2479" t="str">
            <v>salud_oral</v>
          </cell>
          <cell r="J2479" t="str">
            <v>regular</v>
          </cell>
          <cell r="K2479" t="str">
            <v>probsi</v>
          </cell>
        </row>
        <row r="2480">
          <cell r="B2480" t="b">
            <v>1</v>
          </cell>
          <cell r="E2480" t="str">
            <v>San Vicente de Paul</v>
          </cell>
          <cell r="H2480" t="str">
            <v>salud_oral</v>
          </cell>
          <cell r="J2480" t="str">
            <v>bueno</v>
          </cell>
          <cell r="K2480" t="str">
            <v>probsi</v>
          </cell>
        </row>
        <row r="2481">
          <cell r="B2481" t="b">
            <v>1</v>
          </cell>
          <cell r="E2481" t="str">
            <v>San Vicente de Paul</v>
          </cell>
          <cell r="H2481" t="str">
            <v>laboratorio</v>
          </cell>
          <cell r="J2481" t="str">
            <v>bueno</v>
          </cell>
          <cell r="K2481" t="str">
            <v>probsi</v>
          </cell>
        </row>
        <row r="2482">
          <cell r="B2482" t="b">
            <v>1</v>
          </cell>
          <cell r="E2482" t="str">
            <v>San Vicente de Paul</v>
          </cell>
          <cell r="H2482" t="str">
            <v>consulta_externa</v>
          </cell>
          <cell r="J2482" t="str">
            <v>muybueno</v>
          </cell>
          <cell r="K2482" t="str">
            <v>probsi</v>
          </cell>
        </row>
        <row r="2483">
          <cell r="B2483" t="b">
            <v>1</v>
          </cell>
          <cell r="E2483" t="str">
            <v>Boston</v>
          </cell>
          <cell r="H2483" t="str">
            <v>consulta_externa</v>
          </cell>
          <cell r="J2483" t="str">
            <v>bueno</v>
          </cell>
          <cell r="K2483" t="str">
            <v>probsi</v>
          </cell>
        </row>
        <row r="2484">
          <cell r="B2484" t="b">
            <v>0</v>
          </cell>
          <cell r="E2484" t="str">
            <v>Boston</v>
          </cell>
          <cell r="H2484" t="str">
            <v>consulta_externa</v>
          </cell>
          <cell r="J2484" t="str">
            <v>regular</v>
          </cell>
          <cell r="K2484" t="str">
            <v>probsi</v>
          </cell>
        </row>
        <row r="2485">
          <cell r="B2485" t="b">
            <v>1</v>
          </cell>
          <cell r="E2485" t="str">
            <v>Boston</v>
          </cell>
          <cell r="H2485" t="str">
            <v>consulta_externa</v>
          </cell>
          <cell r="J2485" t="str">
            <v>bueno</v>
          </cell>
          <cell r="K2485" t="str">
            <v>probsi</v>
          </cell>
        </row>
        <row r="2486">
          <cell r="B2486" t="b">
            <v>1</v>
          </cell>
          <cell r="E2486" t="str">
            <v>Boston</v>
          </cell>
          <cell r="H2486" t="str">
            <v>consulta_externa</v>
          </cell>
          <cell r="J2486" t="str">
            <v>bueno</v>
          </cell>
          <cell r="K2486" t="str">
            <v>probsi</v>
          </cell>
        </row>
        <row r="2487">
          <cell r="B2487" t="b">
            <v>1</v>
          </cell>
          <cell r="E2487" t="str">
            <v>Boston</v>
          </cell>
          <cell r="H2487" t="str">
            <v>consulta_externa</v>
          </cell>
          <cell r="J2487" t="str">
            <v>bueno</v>
          </cell>
          <cell r="K2487" t="str">
            <v>probsi</v>
          </cell>
        </row>
        <row r="2488">
          <cell r="B2488" t="b">
            <v>1</v>
          </cell>
          <cell r="E2488" t="str">
            <v>Boston</v>
          </cell>
          <cell r="H2488" t="str">
            <v>consulta_externa</v>
          </cell>
          <cell r="J2488" t="str">
            <v>bueno</v>
          </cell>
          <cell r="K2488" t="str">
            <v>probsi</v>
          </cell>
        </row>
        <row r="2489">
          <cell r="B2489" t="b">
            <v>1</v>
          </cell>
          <cell r="E2489" t="str">
            <v>Boston</v>
          </cell>
          <cell r="H2489" t="str">
            <v>consulta_externa</v>
          </cell>
          <cell r="J2489" t="str">
            <v>bueno</v>
          </cell>
          <cell r="K2489" t="str">
            <v>probsi</v>
          </cell>
        </row>
        <row r="2490">
          <cell r="B2490" t="b">
            <v>1</v>
          </cell>
          <cell r="E2490" t="str">
            <v>Nuevo Porvenir</v>
          </cell>
          <cell r="H2490" t="str">
            <v>consulta_externa</v>
          </cell>
          <cell r="J2490" t="str">
            <v>bueno</v>
          </cell>
          <cell r="K2490" t="str">
            <v>defsi</v>
          </cell>
        </row>
        <row r="2491">
          <cell r="B2491" t="b">
            <v>1</v>
          </cell>
          <cell r="E2491" t="str">
            <v>Nuevo Porvenir</v>
          </cell>
          <cell r="H2491" t="str">
            <v>salud_oral</v>
          </cell>
          <cell r="J2491" t="str">
            <v>bueno</v>
          </cell>
          <cell r="K2491" t="str">
            <v>defsi</v>
          </cell>
        </row>
        <row r="2492">
          <cell r="B2492" t="b">
            <v>1</v>
          </cell>
          <cell r="E2492" t="str">
            <v>Nuevo Porvenir</v>
          </cell>
          <cell r="H2492" t="str">
            <v>laboratorio</v>
          </cell>
          <cell r="J2492" t="str">
            <v>bueno</v>
          </cell>
          <cell r="K2492" t="str">
            <v>defsi</v>
          </cell>
        </row>
        <row r="2493">
          <cell r="B2493" t="b">
            <v>1</v>
          </cell>
          <cell r="E2493" t="str">
            <v>Boston</v>
          </cell>
          <cell r="H2493" t="str">
            <v>consulta_externa</v>
          </cell>
          <cell r="J2493" t="str">
            <v>bueno</v>
          </cell>
          <cell r="K2493" t="str">
            <v>probsi</v>
          </cell>
        </row>
        <row r="2494">
          <cell r="B2494" t="b">
            <v>1</v>
          </cell>
          <cell r="E2494" t="str">
            <v>Boston</v>
          </cell>
          <cell r="H2494" t="str">
            <v>consulta_externa</v>
          </cell>
          <cell r="J2494" t="str">
            <v>bueno</v>
          </cell>
          <cell r="K2494" t="str">
            <v>probsi</v>
          </cell>
        </row>
        <row r="2495">
          <cell r="B2495" t="b">
            <v>1</v>
          </cell>
          <cell r="E2495" t="str">
            <v>Boston</v>
          </cell>
          <cell r="H2495" t="str">
            <v>consulta_externa</v>
          </cell>
          <cell r="J2495" t="str">
            <v>bueno</v>
          </cell>
          <cell r="K2495" t="str">
            <v>probsi</v>
          </cell>
        </row>
        <row r="2496">
          <cell r="B2496" t="b">
            <v>1</v>
          </cell>
          <cell r="E2496" t="str">
            <v>Boston</v>
          </cell>
          <cell r="H2496" t="str">
            <v>consulta_externa</v>
          </cell>
          <cell r="J2496" t="str">
            <v>bueno</v>
          </cell>
          <cell r="K2496" t="str">
            <v>probsi</v>
          </cell>
        </row>
        <row r="2497">
          <cell r="B2497" t="b">
            <v>1</v>
          </cell>
          <cell r="E2497" t="str">
            <v>Boston</v>
          </cell>
          <cell r="H2497" t="str">
            <v>consulta_externa</v>
          </cell>
          <cell r="J2497" t="str">
            <v>bueno</v>
          </cell>
          <cell r="K2497" t="str">
            <v>probsi</v>
          </cell>
        </row>
        <row r="2498">
          <cell r="B2498" t="b">
            <v>1</v>
          </cell>
          <cell r="E2498" t="str">
            <v>Boston</v>
          </cell>
          <cell r="H2498" t="str">
            <v>consulta_externa</v>
          </cell>
          <cell r="J2498" t="str">
            <v>bueno</v>
          </cell>
          <cell r="K2498" t="str">
            <v>probsi</v>
          </cell>
        </row>
        <row r="2499">
          <cell r="B2499" t="b">
            <v>1</v>
          </cell>
          <cell r="E2499" t="str">
            <v>Boston</v>
          </cell>
          <cell r="H2499" t="str">
            <v>consulta_externa</v>
          </cell>
          <cell r="J2499" t="str">
            <v>bueno</v>
          </cell>
          <cell r="K2499" t="str">
            <v>probsi</v>
          </cell>
        </row>
        <row r="2500">
          <cell r="B2500" t="b">
            <v>1</v>
          </cell>
          <cell r="E2500" t="str">
            <v>Boston</v>
          </cell>
          <cell r="H2500" t="str">
            <v>consulta_externa</v>
          </cell>
          <cell r="J2500" t="str">
            <v>bueno</v>
          </cell>
          <cell r="K2500" t="str">
            <v>probsi</v>
          </cell>
        </row>
        <row r="2501">
          <cell r="B2501" t="b">
            <v>1</v>
          </cell>
          <cell r="E2501" t="str">
            <v>Nuevo Porvenir</v>
          </cell>
          <cell r="H2501" t="str">
            <v>consulta_externa</v>
          </cell>
          <cell r="J2501" t="str">
            <v>bueno</v>
          </cell>
          <cell r="K2501" t="str">
            <v>defsi</v>
          </cell>
        </row>
        <row r="2502">
          <cell r="B2502" t="b">
            <v>1</v>
          </cell>
          <cell r="E2502" t="str">
            <v>Nuevo Porvenir</v>
          </cell>
          <cell r="H2502" t="str">
            <v>salud_oral</v>
          </cell>
          <cell r="J2502" t="str">
            <v>bueno</v>
          </cell>
          <cell r="K2502" t="str">
            <v>defsi</v>
          </cell>
        </row>
        <row r="2503">
          <cell r="B2503" t="b">
            <v>1</v>
          </cell>
          <cell r="E2503" t="str">
            <v>Nuevo Porvenir</v>
          </cell>
          <cell r="H2503" t="str">
            <v>laboratorio</v>
          </cell>
          <cell r="J2503" t="str">
            <v>bueno</v>
          </cell>
          <cell r="K2503" t="str">
            <v>defsi</v>
          </cell>
        </row>
        <row r="2504">
          <cell r="B2504" t="b">
            <v>1</v>
          </cell>
          <cell r="E2504" t="str">
            <v>Nuevo Porvenir</v>
          </cell>
          <cell r="H2504" t="str">
            <v>consulta_externa</v>
          </cell>
          <cell r="J2504" t="str">
            <v>bueno</v>
          </cell>
          <cell r="K2504" t="str">
            <v>defsi</v>
          </cell>
        </row>
        <row r="2505">
          <cell r="B2505" t="b">
            <v>1</v>
          </cell>
          <cell r="E2505" t="str">
            <v>Nuevo Porvenir</v>
          </cell>
          <cell r="H2505" t="str">
            <v>salud_oral</v>
          </cell>
          <cell r="J2505" t="str">
            <v>bueno</v>
          </cell>
          <cell r="K2505" t="str">
            <v>defsi</v>
          </cell>
        </row>
        <row r="2506">
          <cell r="B2506" t="b">
            <v>1</v>
          </cell>
          <cell r="E2506" t="str">
            <v>Nuevo Porvenir</v>
          </cell>
          <cell r="H2506" t="str">
            <v>laboratorio</v>
          </cell>
          <cell r="J2506" t="str">
            <v>bueno</v>
          </cell>
          <cell r="K2506" t="str">
            <v>defsi</v>
          </cell>
        </row>
        <row r="2507">
          <cell r="B2507" t="b">
            <v>1</v>
          </cell>
          <cell r="E2507" t="str">
            <v>Nuevo Porvenir</v>
          </cell>
          <cell r="H2507" t="str">
            <v>consulta_externa</v>
          </cell>
          <cell r="J2507" t="str">
            <v>bueno</v>
          </cell>
          <cell r="K2507" t="str">
            <v>defsi</v>
          </cell>
        </row>
        <row r="2508">
          <cell r="B2508" t="b">
            <v>1</v>
          </cell>
          <cell r="E2508" t="str">
            <v>Nuevo Porvenir</v>
          </cell>
          <cell r="H2508" t="str">
            <v>salud_oral</v>
          </cell>
          <cell r="J2508" t="str">
            <v>bueno</v>
          </cell>
          <cell r="K2508" t="str">
            <v>defsi</v>
          </cell>
        </row>
        <row r="2509">
          <cell r="B2509" t="b">
            <v>1</v>
          </cell>
          <cell r="E2509" t="str">
            <v>Nuevo Porvenir</v>
          </cell>
          <cell r="H2509" t="str">
            <v>laboratorio</v>
          </cell>
          <cell r="J2509" t="str">
            <v>bueno</v>
          </cell>
          <cell r="K2509" t="str">
            <v>defsi</v>
          </cell>
        </row>
        <row r="2510">
          <cell r="B2510" t="b">
            <v>1</v>
          </cell>
          <cell r="E2510" t="str">
            <v>Nuevo Porvenir</v>
          </cell>
          <cell r="H2510" t="str">
            <v>salud_oral</v>
          </cell>
          <cell r="J2510" t="str">
            <v>bueno</v>
          </cell>
          <cell r="K2510" t="str">
            <v>defsi</v>
          </cell>
        </row>
        <row r="2511">
          <cell r="B2511" t="b">
            <v>1</v>
          </cell>
          <cell r="E2511" t="str">
            <v>Nuevo Porvenir</v>
          </cell>
          <cell r="H2511" t="str">
            <v>salud_oral</v>
          </cell>
          <cell r="J2511" t="str">
            <v>bueno</v>
          </cell>
          <cell r="K2511" t="str">
            <v>defsi</v>
          </cell>
        </row>
        <row r="2512">
          <cell r="B2512" t="b">
            <v>1</v>
          </cell>
          <cell r="E2512" t="str">
            <v>Nuevo Porvenir</v>
          </cell>
          <cell r="H2512" t="str">
            <v>laboratorio</v>
          </cell>
          <cell r="J2512" t="str">
            <v>bueno</v>
          </cell>
          <cell r="K2512" t="str">
            <v>defsi</v>
          </cell>
        </row>
        <row r="2513">
          <cell r="B2513" t="b">
            <v>1</v>
          </cell>
          <cell r="E2513" t="str">
            <v>Nuevo Porvenir</v>
          </cell>
          <cell r="H2513" t="str">
            <v>consulta_externa</v>
          </cell>
          <cell r="J2513" t="str">
            <v>bueno</v>
          </cell>
          <cell r="K2513" t="str">
            <v>defsi</v>
          </cell>
        </row>
        <row r="2514">
          <cell r="B2514" t="b">
            <v>1</v>
          </cell>
          <cell r="E2514" t="str">
            <v>Nuevo Porvenir</v>
          </cell>
          <cell r="H2514" t="str">
            <v>salud_oral</v>
          </cell>
          <cell r="J2514" t="str">
            <v>bueno</v>
          </cell>
          <cell r="K2514" t="str">
            <v>defsi</v>
          </cell>
        </row>
        <row r="2515">
          <cell r="B2515" t="b">
            <v>1</v>
          </cell>
          <cell r="E2515" t="str">
            <v>Nuevo Porvenir</v>
          </cell>
          <cell r="H2515" t="str">
            <v>laboratorio</v>
          </cell>
          <cell r="J2515" t="str">
            <v>bueno</v>
          </cell>
          <cell r="K2515" t="str">
            <v>defsi</v>
          </cell>
        </row>
        <row r="2516">
          <cell r="B2516" t="b">
            <v>1</v>
          </cell>
          <cell r="E2516" t="str">
            <v>Nuevo Porvenir</v>
          </cell>
          <cell r="H2516" t="str">
            <v>consulta_externa</v>
          </cell>
          <cell r="J2516" t="str">
            <v>bueno</v>
          </cell>
          <cell r="K2516" t="str">
            <v>defsi</v>
          </cell>
        </row>
        <row r="2517">
          <cell r="B2517" t="b">
            <v>1</v>
          </cell>
          <cell r="E2517" t="str">
            <v>Nuevo Porvenir</v>
          </cell>
          <cell r="H2517" t="str">
            <v>salud_oral</v>
          </cell>
          <cell r="J2517" t="str">
            <v>bueno</v>
          </cell>
          <cell r="K2517" t="str">
            <v>defsi</v>
          </cell>
        </row>
        <row r="2518">
          <cell r="B2518" t="b">
            <v>1</v>
          </cell>
          <cell r="E2518" t="str">
            <v>Nuevo Porvenir</v>
          </cell>
          <cell r="H2518" t="str">
            <v>laboratorio</v>
          </cell>
          <cell r="J2518" t="str">
            <v>bueno</v>
          </cell>
          <cell r="K2518" t="str">
            <v>defsi</v>
          </cell>
        </row>
        <row r="2519">
          <cell r="B2519" t="b">
            <v>1</v>
          </cell>
          <cell r="E2519" t="str">
            <v>Nuevo Porvenir</v>
          </cell>
          <cell r="H2519" t="str">
            <v>consulta_externa</v>
          </cell>
          <cell r="J2519" t="str">
            <v>bueno</v>
          </cell>
          <cell r="K2519" t="str">
            <v>defsi</v>
          </cell>
        </row>
        <row r="2520">
          <cell r="B2520" t="b">
            <v>1</v>
          </cell>
          <cell r="E2520" t="str">
            <v>Nuevo Porvenir</v>
          </cell>
          <cell r="H2520" t="str">
            <v>laboratorio</v>
          </cell>
          <cell r="J2520" t="str">
            <v>bueno</v>
          </cell>
          <cell r="K2520" t="str">
            <v>defsi</v>
          </cell>
        </row>
        <row r="2521">
          <cell r="B2521" t="b">
            <v>1</v>
          </cell>
          <cell r="E2521" t="str">
            <v>Fredonia</v>
          </cell>
          <cell r="H2521" t="str">
            <v>consulta_externa</v>
          </cell>
          <cell r="J2521" t="str">
            <v>bueno</v>
          </cell>
          <cell r="K2521" t="str">
            <v>defsi</v>
          </cell>
        </row>
        <row r="2522">
          <cell r="B2522" t="b">
            <v>1</v>
          </cell>
          <cell r="E2522" t="str">
            <v>Boston</v>
          </cell>
          <cell r="H2522" t="str">
            <v>consulta_externa</v>
          </cell>
          <cell r="J2522" t="str">
            <v>bueno</v>
          </cell>
          <cell r="K2522" t="str">
            <v>probsi</v>
          </cell>
        </row>
        <row r="2523">
          <cell r="B2523" t="b">
            <v>1</v>
          </cell>
          <cell r="E2523" t="str">
            <v>Boston</v>
          </cell>
          <cell r="H2523" t="str">
            <v>consulta_externa</v>
          </cell>
          <cell r="J2523" t="str">
            <v>bueno</v>
          </cell>
          <cell r="K2523" t="str">
            <v>probsi</v>
          </cell>
        </row>
        <row r="2524">
          <cell r="B2524" t="b">
            <v>1</v>
          </cell>
          <cell r="E2524" t="str">
            <v>Boston</v>
          </cell>
          <cell r="H2524" t="str">
            <v>consulta_externa</v>
          </cell>
          <cell r="J2524" t="str">
            <v>bueno</v>
          </cell>
          <cell r="K2524" t="str">
            <v>probsi</v>
          </cell>
        </row>
        <row r="2525">
          <cell r="B2525" t="b">
            <v>1</v>
          </cell>
          <cell r="E2525" t="str">
            <v>Boston</v>
          </cell>
          <cell r="H2525" t="str">
            <v>consulta_externa</v>
          </cell>
          <cell r="J2525" t="str">
            <v>bueno</v>
          </cell>
          <cell r="K2525" t="str">
            <v>probsi</v>
          </cell>
        </row>
        <row r="2526">
          <cell r="B2526" t="b">
            <v>1</v>
          </cell>
          <cell r="E2526" t="str">
            <v>Boston</v>
          </cell>
          <cell r="H2526" t="str">
            <v>consulta_externa</v>
          </cell>
          <cell r="J2526" t="str">
            <v>bueno</v>
          </cell>
          <cell r="K2526" t="str">
            <v>probsi</v>
          </cell>
        </row>
        <row r="2527">
          <cell r="B2527" t="b">
            <v>1</v>
          </cell>
          <cell r="E2527" t="str">
            <v>Boston</v>
          </cell>
          <cell r="H2527" t="str">
            <v>consulta_externa</v>
          </cell>
          <cell r="J2527" t="str">
            <v>bueno</v>
          </cell>
          <cell r="K2527" t="str">
            <v>probsi</v>
          </cell>
        </row>
        <row r="2528">
          <cell r="B2528" t="b">
            <v>1</v>
          </cell>
          <cell r="E2528" t="str">
            <v>Boston</v>
          </cell>
          <cell r="H2528" t="str">
            <v>consulta_externa</v>
          </cell>
          <cell r="J2528" t="str">
            <v>bueno</v>
          </cell>
          <cell r="K2528" t="str">
            <v>probsi</v>
          </cell>
        </row>
        <row r="2529">
          <cell r="B2529" t="b">
            <v>1</v>
          </cell>
          <cell r="E2529" t="str">
            <v>Fredonia</v>
          </cell>
          <cell r="H2529" t="str">
            <v>salud_oral</v>
          </cell>
          <cell r="J2529" t="str">
            <v>bueno</v>
          </cell>
          <cell r="K2529" t="str">
            <v>defsi</v>
          </cell>
        </row>
        <row r="2530">
          <cell r="B2530" t="b">
            <v>1</v>
          </cell>
          <cell r="E2530" t="str">
            <v>Fredonia</v>
          </cell>
          <cell r="H2530" t="str">
            <v>laboratorio</v>
          </cell>
          <cell r="J2530" t="str">
            <v>bueno</v>
          </cell>
          <cell r="K2530" t="str">
            <v>defsi</v>
          </cell>
        </row>
        <row r="2531">
          <cell r="B2531" t="b">
            <v>1</v>
          </cell>
          <cell r="E2531" t="str">
            <v>Fredonia</v>
          </cell>
          <cell r="H2531" t="str">
            <v>consulta_externa</v>
          </cell>
          <cell r="J2531" t="str">
            <v>bueno</v>
          </cell>
          <cell r="K2531" t="str">
            <v>defsi</v>
          </cell>
        </row>
        <row r="2532">
          <cell r="B2532" t="b">
            <v>1</v>
          </cell>
          <cell r="E2532" t="str">
            <v>Fredonia</v>
          </cell>
          <cell r="H2532" t="str">
            <v>salud_oral</v>
          </cell>
          <cell r="J2532" t="str">
            <v>bueno</v>
          </cell>
          <cell r="K2532" t="str">
            <v>defsi</v>
          </cell>
        </row>
        <row r="2533">
          <cell r="B2533" t="b">
            <v>1</v>
          </cell>
          <cell r="E2533" t="str">
            <v>Fredonia</v>
          </cell>
          <cell r="H2533" t="str">
            <v>laboratorio</v>
          </cell>
          <cell r="J2533" t="str">
            <v>bueno</v>
          </cell>
          <cell r="K2533" t="str">
            <v>defsi</v>
          </cell>
        </row>
        <row r="2534">
          <cell r="B2534" t="b">
            <v>1</v>
          </cell>
          <cell r="E2534" t="str">
            <v>Fredonia</v>
          </cell>
          <cell r="H2534" t="str">
            <v>consulta_externa</v>
          </cell>
          <cell r="J2534" t="str">
            <v>bueno</v>
          </cell>
          <cell r="K2534" t="str">
            <v>defsi</v>
          </cell>
        </row>
        <row r="2535">
          <cell r="B2535" t="b">
            <v>1</v>
          </cell>
          <cell r="E2535" t="str">
            <v>Fredonia</v>
          </cell>
          <cell r="H2535" t="str">
            <v>salud_oral</v>
          </cell>
          <cell r="J2535" t="str">
            <v>bueno</v>
          </cell>
          <cell r="K2535" t="str">
            <v>defsi</v>
          </cell>
        </row>
        <row r="2536">
          <cell r="B2536" t="b">
            <v>1</v>
          </cell>
          <cell r="E2536" t="str">
            <v>Fredonia</v>
          </cell>
          <cell r="H2536" t="str">
            <v>laboratorio</v>
          </cell>
          <cell r="J2536" t="str">
            <v>bueno</v>
          </cell>
          <cell r="K2536" t="str">
            <v>defsi</v>
          </cell>
        </row>
        <row r="2537">
          <cell r="B2537" t="b">
            <v>1</v>
          </cell>
          <cell r="E2537" t="str">
            <v>Fredonia</v>
          </cell>
          <cell r="H2537" t="str">
            <v>consulta_externa</v>
          </cell>
          <cell r="J2537" t="str">
            <v>bueno</v>
          </cell>
          <cell r="K2537" t="str">
            <v>defsi</v>
          </cell>
        </row>
        <row r="2538">
          <cell r="B2538" t="b">
            <v>1</v>
          </cell>
          <cell r="E2538" t="str">
            <v>Fredonia</v>
          </cell>
          <cell r="H2538" t="str">
            <v>salud_oral</v>
          </cell>
          <cell r="J2538" t="str">
            <v>bueno</v>
          </cell>
          <cell r="K2538" t="str">
            <v>defsi</v>
          </cell>
        </row>
        <row r="2539">
          <cell r="B2539" t="b">
            <v>1</v>
          </cell>
          <cell r="E2539" t="str">
            <v>Fredonia</v>
          </cell>
          <cell r="H2539" t="str">
            <v>laboratorio</v>
          </cell>
          <cell r="J2539" t="str">
            <v>bueno</v>
          </cell>
          <cell r="K2539" t="str">
            <v>defsi</v>
          </cell>
        </row>
        <row r="2540">
          <cell r="B2540" t="b">
            <v>1</v>
          </cell>
          <cell r="E2540" t="str">
            <v>Fredonia</v>
          </cell>
          <cell r="H2540" t="str">
            <v>laboratorio</v>
          </cell>
          <cell r="J2540" t="str">
            <v>bueno</v>
          </cell>
          <cell r="K2540" t="str">
            <v>defsi</v>
          </cell>
        </row>
        <row r="2541">
          <cell r="B2541" t="b">
            <v>1</v>
          </cell>
          <cell r="E2541" t="str">
            <v>Fredonia</v>
          </cell>
          <cell r="H2541" t="str">
            <v>consulta_externa</v>
          </cell>
          <cell r="J2541" t="str">
            <v>bueno</v>
          </cell>
          <cell r="K2541" t="str">
            <v>defsi</v>
          </cell>
        </row>
        <row r="2542">
          <cell r="B2542" t="b">
            <v>1</v>
          </cell>
          <cell r="E2542" t="str">
            <v>Fredonia</v>
          </cell>
          <cell r="H2542" t="str">
            <v>consulta_externa</v>
          </cell>
          <cell r="J2542" t="str">
            <v>bueno</v>
          </cell>
          <cell r="K2542" t="str">
            <v>defsi</v>
          </cell>
        </row>
        <row r="2543">
          <cell r="B2543" t="b">
            <v>1</v>
          </cell>
          <cell r="E2543" t="str">
            <v>Fredonia</v>
          </cell>
          <cell r="H2543" t="str">
            <v>salud_oral</v>
          </cell>
          <cell r="J2543" t="str">
            <v>bueno</v>
          </cell>
          <cell r="K2543" t="str">
            <v>defsi</v>
          </cell>
        </row>
        <row r="2544">
          <cell r="B2544" t="b">
            <v>1</v>
          </cell>
          <cell r="E2544" t="str">
            <v>Fredonia</v>
          </cell>
          <cell r="H2544" t="str">
            <v>laboratorio</v>
          </cell>
          <cell r="J2544" t="str">
            <v>bueno</v>
          </cell>
          <cell r="K2544" t="str">
            <v>defsi</v>
          </cell>
        </row>
        <row r="2545">
          <cell r="B2545" t="b">
            <v>1</v>
          </cell>
          <cell r="E2545" t="str">
            <v>Fredonia</v>
          </cell>
          <cell r="H2545" t="str">
            <v>laboratorio</v>
          </cell>
          <cell r="J2545" t="str">
            <v>bueno</v>
          </cell>
          <cell r="K2545" t="str">
            <v>defsi</v>
          </cell>
        </row>
        <row r="2546">
          <cell r="B2546" t="b">
            <v>1</v>
          </cell>
          <cell r="E2546" t="str">
            <v>Fredonia</v>
          </cell>
          <cell r="H2546" t="str">
            <v>consulta_externa</v>
          </cell>
          <cell r="J2546" t="str">
            <v>bueno</v>
          </cell>
          <cell r="K2546" t="str">
            <v>defsi</v>
          </cell>
        </row>
        <row r="2547">
          <cell r="B2547" t="b">
            <v>1</v>
          </cell>
          <cell r="E2547" t="str">
            <v>Fredonia</v>
          </cell>
          <cell r="H2547" t="str">
            <v>salud_oral</v>
          </cell>
          <cell r="J2547" t="str">
            <v>bueno</v>
          </cell>
          <cell r="K2547" t="str">
            <v>defsi</v>
          </cell>
        </row>
        <row r="2548">
          <cell r="B2548" t="b">
            <v>1</v>
          </cell>
          <cell r="E2548" t="str">
            <v>Fredonia</v>
          </cell>
          <cell r="H2548" t="str">
            <v>laboratorio</v>
          </cell>
          <cell r="J2548" t="str">
            <v>bueno</v>
          </cell>
          <cell r="K2548" t="str">
            <v>defsi</v>
          </cell>
        </row>
        <row r="2549">
          <cell r="B2549" t="b">
            <v>1</v>
          </cell>
          <cell r="E2549" t="str">
            <v>Fredonia</v>
          </cell>
          <cell r="H2549" t="str">
            <v>laboratorio</v>
          </cell>
          <cell r="J2549" t="str">
            <v>bueno</v>
          </cell>
          <cell r="K2549" t="str">
            <v>defsi</v>
          </cell>
        </row>
        <row r="2550">
          <cell r="B2550" t="b">
            <v>1</v>
          </cell>
          <cell r="E2550" t="str">
            <v>Fredonia</v>
          </cell>
          <cell r="H2550" t="str">
            <v>consulta_externa</v>
          </cell>
          <cell r="J2550" t="str">
            <v>bueno</v>
          </cell>
          <cell r="K2550" t="str">
            <v>defsi</v>
          </cell>
        </row>
        <row r="2551">
          <cell r="B2551" t="b">
            <v>1</v>
          </cell>
          <cell r="E2551" t="str">
            <v>Fredonia</v>
          </cell>
          <cell r="H2551" t="str">
            <v>salud_oral</v>
          </cell>
          <cell r="J2551" t="str">
            <v>bueno</v>
          </cell>
          <cell r="K2551" t="str">
            <v>defsi</v>
          </cell>
        </row>
        <row r="2552">
          <cell r="B2552" t="b">
            <v>1</v>
          </cell>
          <cell r="E2552" t="str">
            <v>Fredonia</v>
          </cell>
          <cell r="H2552" t="str">
            <v>laboratorio</v>
          </cell>
          <cell r="J2552" t="str">
            <v>bueno</v>
          </cell>
          <cell r="K2552" t="str">
            <v>defsi</v>
          </cell>
        </row>
        <row r="2553">
          <cell r="B2553" t="b">
            <v>1</v>
          </cell>
          <cell r="E2553" t="str">
            <v>Fredonia</v>
          </cell>
          <cell r="H2553" t="str">
            <v>consulta_externa</v>
          </cell>
          <cell r="J2553" t="str">
            <v>bueno</v>
          </cell>
          <cell r="K2553" t="str">
            <v>defsi</v>
          </cell>
        </row>
        <row r="2554">
          <cell r="B2554" t="b">
            <v>1</v>
          </cell>
          <cell r="E2554" t="str">
            <v>Fredonia</v>
          </cell>
          <cell r="H2554" t="str">
            <v>salud_oral</v>
          </cell>
          <cell r="J2554" t="str">
            <v>bueno</v>
          </cell>
          <cell r="K2554" t="str">
            <v>defsi</v>
          </cell>
        </row>
        <row r="2555">
          <cell r="B2555" t="b">
            <v>1</v>
          </cell>
          <cell r="E2555" t="str">
            <v>Fredonia</v>
          </cell>
          <cell r="H2555" t="str">
            <v>laboratorio</v>
          </cell>
          <cell r="J2555" t="str">
            <v>bueno</v>
          </cell>
          <cell r="K2555" t="str">
            <v>defsi</v>
          </cell>
        </row>
        <row r="2556">
          <cell r="B2556" t="b">
            <v>1</v>
          </cell>
          <cell r="E2556" t="str">
            <v>Fredonia</v>
          </cell>
          <cell r="H2556" t="str">
            <v>consulta_externa</v>
          </cell>
          <cell r="J2556" t="str">
            <v>bueno</v>
          </cell>
          <cell r="K2556" t="str">
            <v>defsi</v>
          </cell>
        </row>
        <row r="2557">
          <cell r="B2557" t="b">
            <v>1</v>
          </cell>
          <cell r="E2557" t="str">
            <v>Fredonia</v>
          </cell>
          <cell r="H2557" t="str">
            <v>salud_oral</v>
          </cell>
          <cell r="J2557" t="str">
            <v>bueno</v>
          </cell>
          <cell r="K2557" t="str">
            <v>defsi</v>
          </cell>
        </row>
        <row r="2558">
          <cell r="B2558" t="b">
            <v>1</v>
          </cell>
          <cell r="E2558" t="str">
            <v>Fredonia</v>
          </cell>
          <cell r="H2558" t="str">
            <v>laboratorio</v>
          </cell>
          <cell r="J2558" t="str">
            <v>bueno</v>
          </cell>
          <cell r="K2558" t="str">
            <v>defsi</v>
          </cell>
        </row>
        <row r="2559">
          <cell r="B2559" t="b">
            <v>1</v>
          </cell>
          <cell r="E2559" t="str">
            <v>Fredonia</v>
          </cell>
          <cell r="H2559" t="str">
            <v>consulta_externa</v>
          </cell>
          <cell r="J2559" t="str">
            <v>bueno</v>
          </cell>
          <cell r="K2559" t="str">
            <v>defsi</v>
          </cell>
        </row>
        <row r="2560">
          <cell r="B2560" t="b">
            <v>1</v>
          </cell>
          <cell r="E2560" t="str">
            <v>Fredonia</v>
          </cell>
          <cell r="H2560" t="str">
            <v>salud_oral</v>
          </cell>
          <cell r="J2560" t="str">
            <v>bueno</v>
          </cell>
          <cell r="K2560" t="str">
            <v>defsi</v>
          </cell>
        </row>
        <row r="2561">
          <cell r="B2561" t="b">
            <v>1</v>
          </cell>
          <cell r="E2561" t="str">
            <v>Fredonia</v>
          </cell>
          <cell r="H2561" t="str">
            <v>laboratorio</v>
          </cell>
          <cell r="J2561" t="str">
            <v>bueno</v>
          </cell>
          <cell r="K2561" t="str">
            <v>defsi</v>
          </cell>
        </row>
        <row r="2562">
          <cell r="B2562" t="b">
            <v>1</v>
          </cell>
          <cell r="E2562" t="str">
            <v>Fredonia</v>
          </cell>
          <cell r="H2562" t="str">
            <v>consulta_externa</v>
          </cell>
          <cell r="J2562" t="str">
            <v>bueno</v>
          </cell>
          <cell r="K2562" t="str">
            <v>defsi</v>
          </cell>
        </row>
        <row r="2563">
          <cell r="B2563" t="b">
            <v>1</v>
          </cell>
          <cell r="E2563" t="str">
            <v>Bicentenario</v>
          </cell>
          <cell r="H2563" t="str">
            <v>rx</v>
          </cell>
          <cell r="J2563" t="str">
            <v>bueno</v>
          </cell>
          <cell r="K2563" t="str">
            <v>defsi</v>
          </cell>
        </row>
        <row r="2564">
          <cell r="B2564" t="b">
            <v>1</v>
          </cell>
          <cell r="E2564" t="str">
            <v>Bicentenario</v>
          </cell>
          <cell r="H2564" t="str">
            <v>rx</v>
          </cell>
          <cell r="J2564" t="str">
            <v>bueno</v>
          </cell>
          <cell r="K2564" t="str">
            <v>defsi</v>
          </cell>
        </row>
        <row r="2565">
          <cell r="B2565" t="b">
            <v>1</v>
          </cell>
          <cell r="E2565" t="str">
            <v>Bicentenario</v>
          </cell>
          <cell r="H2565" t="str">
            <v>urgencia</v>
          </cell>
          <cell r="J2565" t="str">
            <v>bueno</v>
          </cell>
          <cell r="K2565" t="str">
            <v>defsi</v>
          </cell>
        </row>
        <row r="2566">
          <cell r="B2566" t="b">
            <v>1</v>
          </cell>
          <cell r="E2566" t="str">
            <v>Bicentenario</v>
          </cell>
          <cell r="H2566" t="str">
            <v>rx</v>
          </cell>
          <cell r="J2566" t="str">
            <v>bueno</v>
          </cell>
          <cell r="K2566" t="str">
            <v>defsi</v>
          </cell>
        </row>
        <row r="2567">
          <cell r="B2567" t="b">
            <v>1</v>
          </cell>
          <cell r="E2567" t="str">
            <v>Bicentenario</v>
          </cell>
          <cell r="H2567" t="str">
            <v>rx</v>
          </cell>
          <cell r="J2567" t="str">
            <v>bueno</v>
          </cell>
          <cell r="K2567" t="str">
            <v>defsi</v>
          </cell>
        </row>
        <row r="2568">
          <cell r="B2568" t="b">
            <v>1</v>
          </cell>
          <cell r="E2568" t="str">
            <v>Bicentenario</v>
          </cell>
          <cell r="H2568" t="str">
            <v>rx</v>
          </cell>
          <cell r="J2568" t="str">
            <v>bueno</v>
          </cell>
          <cell r="K2568" t="str">
            <v>defsi</v>
          </cell>
        </row>
        <row r="2569">
          <cell r="B2569" t="b">
            <v>0</v>
          </cell>
          <cell r="E2569" t="str">
            <v>Bicentenario</v>
          </cell>
          <cell r="H2569" t="str">
            <v>rx</v>
          </cell>
          <cell r="J2569" t="str">
            <v>regular</v>
          </cell>
          <cell r="K2569" t="str">
            <v>defsi</v>
          </cell>
        </row>
        <row r="2570">
          <cell r="B2570" t="b">
            <v>0</v>
          </cell>
          <cell r="E2570" t="str">
            <v>Bicentenario</v>
          </cell>
          <cell r="H2570" t="str">
            <v>rx</v>
          </cell>
          <cell r="J2570" t="str">
            <v>regular</v>
          </cell>
          <cell r="K2570" t="str">
            <v>defsi</v>
          </cell>
        </row>
        <row r="2571">
          <cell r="B2571" t="b">
            <v>0</v>
          </cell>
          <cell r="E2571" t="str">
            <v>Bicentenario</v>
          </cell>
          <cell r="H2571" t="str">
            <v>urgencia</v>
          </cell>
          <cell r="J2571" t="str">
            <v>regular</v>
          </cell>
          <cell r="K2571" t="str">
            <v>probsi</v>
          </cell>
        </row>
        <row r="2572">
          <cell r="B2572" t="b">
            <v>1</v>
          </cell>
          <cell r="E2572" t="str">
            <v>Bicentenario</v>
          </cell>
          <cell r="H2572" t="str">
            <v>urgencia</v>
          </cell>
          <cell r="J2572" t="str">
            <v>bueno</v>
          </cell>
          <cell r="K2572" t="str">
            <v>defsi</v>
          </cell>
        </row>
        <row r="2573">
          <cell r="B2573" t="b">
            <v>1</v>
          </cell>
          <cell r="E2573" t="str">
            <v>Bicentenario</v>
          </cell>
          <cell r="H2573" t="str">
            <v>urgencia</v>
          </cell>
          <cell r="J2573" t="str">
            <v>bueno</v>
          </cell>
          <cell r="K2573" t="str">
            <v>defsi</v>
          </cell>
        </row>
        <row r="2574">
          <cell r="B2574" t="b">
            <v>0</v>
          </cell>
          <cell r="E2574" t="str">
            <v>Bicentenario</v>
          </cell>
          <cell r="H2574" t="str">
            <v>urgencia</v>
          </cell>
          <cell r="J2574" t="str">
            <v>regular</v>
          </cell>
          <cell r="K2574" t="str">
            <v>probsi</v>
          </cell>
        </row>
        <row r="2575">
          <cell r="B2575" t="b">
            <v>0</v>
          </cell>
          <cell r="E2575" t="str">
            <v>Bicentenario</v>
          </cell>
          <cell r="H2575" t="str">
            <v>urgencia</v>
          </cell>
          <cell r="J2575" t="str">
            <v>regular</v>
          </cell>
          <cell r="K2575" t="str">
            <v>probsi</v>
          </cell>
        </row>
        <row r="2576">
          <cell r="B2576" t="b">
            <v>1</v>
          </cell>
          <cell r="E2576" t="str">
            <v>Bicentenario</v>
          </cell>
          <cell r="H2576" t="str">
            <v>consulta_externa</v>
          </cell>
          <cell r="J2576" t="str">
            <v>bueno</v>
          </cell>
          <cell r="K2576" t="str">
            <v>defsi</v>
          </cell>
        </row>
        <row r="2577">
          <cell r="B2577" t="b">
            <v>1</v>
          </cell>
          <cell r="E2577" t="str">
            <v>Los Cerros</v>
          </cell>
          <cell r="H2577" t="str">
            <v>medicina_interna</v>
          </cell>
          <cell r="J2577" t="str">
            <v>bueno</v>
          </cell>
          <cell r="K2577" t="str">
            <v>probsi</v>
          </cell>
        </row>
        <row r="2578">
          <cell r="B2578" t="b">
            <v>0</v>
          </cell>
          <cell r="E2578" t="str">
            <v>Los Cerros</v>
          </cell>
          <cell r="H2578" t="str">
            <v>consulta_externa</v>
          </cell>
          <cell r="J2578" t="str">
            <v>regular</v>
          </cell>
          <cell r="K2578" t="str">
            <v>probsi</v>
          </cell>
        </row>
        <row r="2579">
          <cell r="B2579" t="b">
            <v>1</v>
          </cell>
          <cell r="E2579" t="str">
            <v>Los Cerros</v>
          </cell>
          <cell r="H2579" t="str">
            <v>salud_oral</v>
          </cell>
          <cell r="J2579" t="str">
            <v>bueno</v>
          </cell>
          <cell r="K2579" t="str">
            <v>probsi</v>
          </cell>
        </row>
        <row r="2580">
          <cell r="B2580" t="b">
            <v>1</v>
          </cell>
          <cell r="E2580" t="str">
            <v>Los Cerros</v>
          </cell>
          <cell r="H2580" t="str">
            <v>laboratorio</v>
          </cell>
          <cell r="J2580" t="str">
            <v>bueno</v>
          </cell>
          <cell r="K2580" t="str">
            <v>probsi</v>
          </cell>
        </row>
        <row r="2581">
          <cell r="B2581" t="b">
            <v>1</v>
          </cell>
          <cell r="E2581" t="str">
            <v>Los Cerros</v>
          </cell>
          <cell r="H2581" t="str">
            <v>consulta_externa</v>
          </cell>
          <cell r="J2581" t="str">
            <v>bueno</v>
          </cell>
          <cell r="K2581" t="str">
            <v>probsi</v>
          </cell>
        </row>
        <row r="2582">
          <cell r="B2582" t="b">
            <v>1</v>
          </cell>
          <cell r="E2582" t="str">
            <v>Los Cerros</v>
          </cell>
          <cell r="H2582" t="str">
            <v>consulta_externa</v>
          </cell>
          <cell r="J2582" t="str">
            <v>bueno</v>
          </cell>
          <cell r="K2582" t="str">
            <v>probsi</v>
          </cell>
        </row>
        <row r="2583">
          <cell r="B2583" t="b">
            <v>1</v>
          </cell>
          <cell r="E2583" t="str">
            <v>Bayunca</v>
          </cell>
          <cell r="H2583" t="str">
            <v>consulta_externa</v>
          </cell>
          <cell r="J2583" t="str">
            <v>bueno</v>
          </cell>
          <cell r="K2583" t="str">
            <v>defsi</v>
          </cell>
        </row>
        <row r="2584">
          <cell r="B2584" t="b">
            <v>1</v>
          </cell>
          <cell r="E2584" t="str">
            <v>Bayunca</v>
          </cell>
          <cell r="H2584" t="str">
            <v>salud_oral</v>
          </cell>
          <cell r="J2584" t="str">
            <v>bueno</v>
          </cell>
          <cell r="K2584" t="str">
            <v>defsi</v>
          </cell>
        </row>
        <row r="2585">
          <cell r="B2585" t="b">
            <v>1</v>
          </cell>
          <cell r="E2585" t="str">
            <v>Bayunca</v>
          </cell>
          <cell r="H2585" t="str">
            <v>laboratorio</v>
          </cell>
          <cell r="J2585" t="str">
            <v>bueno</v>
          </cell>
          <cell r="K2585" t="str">
            <v>defsi</v>
          </cell>
        </row>
        <row r="2586">
          <cell r="B2586" t="b">
            <v>1</v>
          </cell>
          <cell r="E2586" t="str">
            <v>Bayunca</v>
          </cell>
          <cell r="H2586" t="str">
            <v>urgencia</v>
          </cell>
          <cell r="J2586" t="str">
            <v>bueno</v>
          </cell>
          <cell r="K2586" t="str">
            <v>defsi</v>
          </cell>
        </row>
        <row r="2587">
          <cell r="B2587" t="b">
            <v>1</v>
          </cell>
          <cell r="E2587" t="str">
            <v>Los Cerros</v>
          </cell>
          <cell r="H2587" t="str">
            <v>consulta_externa</v>
          </cell>
          <cell r="J2587" t="str">
            <v>bueno</v>
          </cell>
          <cell r="K2587" t="str">
            <v>probsi</v>
          </cell>
        </row>
        <row r="2588">
          <cell r="B2588" t="b">
            <v>1</v>
          </cell>
          <cell r="E2588" t="str">
            <v>Los Cerros</v>
          </cell>
          <cell r="H2588" t="str">
            <v>consulta_externa</v>
          </cell>
          <cell r="J2588" t="str">
            <v>bueno</v>
          </cell>
          <cell r="K2588" t="str">
            <v>probsi</v>
          </cell>
        </row>
        <row r="2589">
          <cell r="B2589" t="b">
            <v>1</v>
          </cell>
          <cell r="E2589" t="str">
            <v>Bayunca</v>
          </cell>
          <cell r="H2589" t="str">
            <v>consulta_externa</v>
          </cell>
          <cell r="J2589" t="str">
            <v>bueno</v>
          </cell>
          <cell r="K2589" t="str">
            <v>defsi</v>
          </cell>
        </row>
        <row r="2590">
          <cell r="B2590" t="b">
            <v>1</v>
          </cell>
          <cell r="E2590" t="str">
            <v>Los Cerros</v>
          </cell>
          <cell r="H2590" t="str">
            <v>salud_oral</v>
          </cell>
          <cell r="J2590" t="str">
            <v>bueno</v>
          </cell>
          <cell r="K2590" t="str">
            <v>probsi</v>
          </cell>
        </row>
        <row r="2591">
          <cell r="B2591" t="b">
            <v>1</v>
          </cell>
          <cell r="E2591" t="str">
            <v>Los Cerros</v>
          </cell>
          <cell r="H2591" t="str">
            <v>laboratorio</v>
          </cell>
          <cell r="J2591" t="str">
            <v>bueno</v>
          </cell>
          <cell r="K2591" t="str">
            <v>probsi</v>
          </cell>
        </row>
        <row r="2592">
          <cell r="B2592" t="b">
            <v>1</v>
          </cell>
          <cell r="E2592" t="str">
            <v>Bayunca</v>
          </cell>
          <cell r="H2592" t="str">
            <v>salud_oral</v>
          </cell>
          <cell r="J2592" t="str">
            <v>bueno</v>
          </cell>
          <cell r="K2592" t="str">
            <v>defsi</v>
          </cell>
        </row>
        <row r="2593">
          <cell r="B2593" t="b">
            <v>1</v>
          </cell>
          <cell r="E2593" t="str">
            <v>Los Cerros</v>
          </cell>
          <cell r="H2593" t="str">
            <v>consulta_externa</v>
          </cell>
          <cell r="J2593" t="str">
            <v>bueno</v>
          </cell>
          <cell r="K2593" t="str">
            <v>probsi</v>
          </cell>
        </row>
        <row r="2594">
          <cell r="B2594" t="b">
            <v>1</v>
          </cell>
          <cell r="E2594" t="str">
            <v>Los Cerros</v>
          </cell>
          <cell r="H2594" t="str">
            <v>consulta_externa</v>
          </cell>
          <cell r="J2594" t="str">
            <v>bueno</v>
          </cell>
          <cell r="K2594" t="str">
            <v>probsi</v>
          </cell>
        </row>
        <row r="2595">
          <cell r="B2595" t="b">
            <v>1</v>
          </cell>
          <cell r="E2595" t="str">
            <v>Bayunca</v>
          </cell>
          <cell r="H2595" t="str">
            <v>laboratorio</v>
          </cell>
          <cell r="J2595" t="str">
            <v>bueno</v>
          </cell>
          <cell r="K2595" t="str">
            <v>defsi</v>
          </cell>
        </row>
        <row r="2596">
          <cell r="B2596" t="b">
            <v>1</v>
          </cell>
          <cell r="E2596" t="str">
            <v>Los Cerros</v>
          </cell>
          <cell r="H2596" t="str">
            <v>salud_oral</v>
          </cell>
          <cell r="J2596" t="str">
            <v>bueno</v>
          </cell>
          <cell r="K2596" t="str">
            <v>probsi</v>
          </cell>
        </row>
        <row r="2597">
          <cell r="B2597" t="b">
            <v>1</v>
          </cell>
          <cell r="E2597" t="str">
            <v>Los Cerros</v>
          </cell>
          <cell r="H2597" t="str">
            <v>salud_oral</v>
          </cell>
          <cell r="J2597" t="str">
            <v>bueno</v>
          </cell>
          <cell r="K2597" t="str">
            <v>probsi</v>
          </cell>
        </row>
        <row r="2598">
          <cell r="B2598" t="b">
            <v>1</v>
          </cell>
          <cell r="E2598" t="str">
            <v>Los Cerros</v>
          </cell>
          <cell r="H2598" t="str">
            <v>salud_oral</v>
          </cell>
          <cell r="J2598" t="str">
            <v>bueno</v>
          </cell>
          <cell r="K2598" t="str">
            <v>probsi</v>
          </cell>
        </row>
        <row r="2599">
          <cell r="B2599" t="b">
            <v>1</v>
          </cell>
          <cell r="E2599" t="str">
            <v>Bayunca</v>
          </cell>
          <cell r="H2599" t="str">
            <v>urgencia</v>
          </cell>
          <cell r="J2599" t="str">
            <v>bueno</v>
          </cell>
          <cell r="K2599" t="str">
            <v>defsi</v>
          </cell>
        </row>
        <row r="2600">
          <cell r="B2600" t="b">
            <v>0</v>
          </cell>
          <cell r="E2600" t="str">
            <v>Los Cerros</v>
          </cell>
          <cell r="H2600" t="str">
            <v>laboratorio</v>
          </cell>
          <cell r="J2600" t="str">
            <v>regular</v>
          </cell>
          <cell r="K2600" t="str">
            <v>probsi</v>
          </cell>
        </row>
        <row r="2601">
          <cell r="B2601" t="b">
            <v>1</v>
          </cell>
          <cell r="E2601" t="str">
            <v>Bayunca</v>
          </cell>
          <cell r="H2601" t="str">
            <v>consulta_externa</v>
          </cell>
          <cell r="J2601" t="str">
            <v>bueno</v>
          </cell>
          <cell r="K2601" t="str">
            <v>defsi</v>
          </cell>
        </row>
        <row r="2602">
          <cell r="B2602" t="b">
            <v>0</v>
          </cell>
          <cell r="E2602" t="str">
            <v>Los Cerros</v>
          </cell>
          <cell r="H2602" t="str">
            <v>consulta_externa</v>
          </cell>
          <cell r="J2602" t="str">
            <v>regular</v>
          </cell>
          <cell r="K2602" t="str">
            <v>probsi</v>
          </cell>
        </row>
        <row r="2603">
          <cell r="B2603" t="b">
            <v>1</v>
          </cell>
          <cell r="E2603" t="str">
            <v>Los Cerros</v>
          </cell>
          <cell r="H2603" t="str">
            <v>laboratorio</v>
          </cell>
          <cell r="J2603" t="str">
            <v>bueno</v>
          </cell>
          <cell r="K2603" t="str">
            <v>probsi</v>
          </cell>
        </row>
        <row r="2604">
          <cell r="B2604" t="b">
            <v>1</v>
          </cell>
          <cell r="E2604" t="str">
            <v>Los Cerros</v>
          </cell>
          <cell r="H2604" t="str">
            <v>pediatria</v>
          </cell>
          <cell r="J2604" t="str">
            <v>bueno</v>
          </cell>
          <cell r="K2604" t="str">
            <v>probsi</v>
          </cell>
        </row>
        <row r="2605">
          <cell r="B2605" t="b">
            <v>1</v>
          </cell>
          <cell r="E2605" t="str">
            <v>Los Cerros</v>
          </cell>
          <cell r="H2605" t="str">
            <v>pediatria</v>
          </cell>
          <cell r="J2605" t="str">
            <v>bueno</v>
          </cell>
          <cell r="K2605" t="str">
            <v>probsi</v>
          </cell>
        </row>
        <row r="2606">
          <cell r="B2606" t="b">
            <v>1</v>
          </cell>
          <cell r="E2606" t="str">
            <v>Los Cerros</v>
          </cell>
          <cell r="H2606" t="str">
            <v>pediatria</v>
          </cell>
          <cell r="J2606" t="str">
            <v>bueno</v>
          </cell>
          <cell r="K2606" t="str">
            <v>probsi</v>
          </cell>
        </row>
        <row r="2607">
          <cell r="B2607" t="b">
            <v>1</v>
          </cell>
          <cell r="E2607" t="str">
            <v>Los Cerros</v>
          </cell>
          <cell r="H2607" t="str">
            <v>pediatria</v>
          </cell>
          <cell r="J2607" t="str">
            <v>bueno</v>
          </cell>
          <cell r="K2607" t="str">
            <v>probsi</v>
          </cell>
        </row>
        <row r="2608">
          <cell r="B2608" t="b">
            <v>1</v>
          </cell>
          <cell r="E2608" t="str">
            <v>Bayunca</v>
          </cell>
          <cell r="H2608" t="str">
            <v>salud_oral</v>
          </cell>
          <cell r="J2608" t="str">
            <v>bueno</v>
          </cell>
          <cell r="K2608" t="str">
            <v>defsi</v>
          </cell>
        </row>
        <row r="2609">
          <cell r="B2609" t="b">
            <v>1</v>
          </cell>
          <cell r="E2609" t="str">
            <v>Los Cerros</v>
          </cell>
          <cell r="H2609" t="str">
            <v>consulta_externa</v>
          </cell>
          <cell r="J2609" t="str">
            <v>bueno</v>
          </cell>
          <cell r="K2609" t="str">
            <v>probsi</v>
          </cell>
        </row>
        <row r="2610">
          <cell r="B2610" t="b">
            <v>1</v>
          </cell>
          <cell r="E2610" t="str">
            <v>Bayunca</v>
          </cell>
          <cell r="H2610" t="str">
            <v>laboratorio</v>
          </cell>
          <cell r="J2610" t="str">
            <v>bueno</v>
          </cell>
          <cell r="K2610" t="str">
            <v>defsi</v>
          </cell>
        </row>
        <row r="2611">
          <cell r="B2611" t="b">
            <v>1</v>
          </cell>
          <cell r="E2611" t="str">
            <v>Los Cerros</v>
          </cell>
          <cell r="H2611" t="str">
            <v>salud_oral</v>
          </cell>
          <cell r="J2611" t="str">
            <v>bueno</v>
          </cell>
          <cell r="K2611" t="str">
            <v>probsi</v>
          </cell>
        </row>
        <row r="2612">
          <cell r="B2612" t="b">
            <v>0</v>
          </cell>
          <cell r="E2612" t="str">
            <v>Los Cerros</v>
          </cell>
          <cell r="H2612" t="str">
            <v>laboratorio</v>
          </cell>
          <cell r="J2612" t="str">
            <v>regular</v>
          </cell>
          <cell r="K2612" t="str">
            <v>probsi</v>
          </cell>
        </row>
        <row r="2613">
          <cell r="B2613" t="b">
            <v>1</v>
          </cell>
          <cell r="E2613" t="str">
            <v>Bayunca</v>
          </cell>
          <cell r="H2613" t="str">
            <v>urgencia</v>
          </cell>
          <cell r="J2613" t="str">
            <v>bueno</v>
          </cell>
          <cell r="K2613" t="str">
            <v>defsi</v>
          </cell>
        </row>
        <row r="2614">
          <cell r="B2614" t="b">
            <v>1</v>
          </cell>
          <cell r="E2614" t="str">
            <v>Bayunca</v>
          </cell>
          <cell r="H2614" t="str">
            <v>consulta_externa</v>
          </cell>
          <cell r="J2614" t="str">
            <v>bueno</v>
          </cell>
          <cell r="K2614" t="str">
            <v>defsi</v>
          </cell>
        </row>
        <row r="2615">
          <cell r="B2615" t="b">
            <v>1</v>
          </cell>
          <cell r="E2615" t="str">
            <v>Bayunca</v>
          </cell>
          <cell r="H2615" t="str">
            <v>salud_oral</v>
          </cell>
          <cell r="J2615" t="str">
            <v>bueno</v>
          </cell>
          <cell r="K2615" t="str">
            <v>defsi</v>
          </cell>
        </row>
        <row r="2616">
          <cell r="B2616" t="b">
            <v>0</v>
          </cell>
          <cell r="E2616" t="str">
            <v>Los Cerros</v>
          </cell>
          <cell r="H2616" t="str">
            <v>consulta_externa</v>
          </cell>
          <cell r="J2616" t="str">
            <v>regular</v>
          </cell>
          <cell r="K2616" t="str">
            <v>probsi</v>
          </cell>
        </row>
        <row r="2617">
          <cell r="B2617" t="b">
            <v>1</v>
          </cell>
          <cell r="E2617" t="str">
            <v>Bayunca</v>
          </cell>
          <cell r="H2617" t="str">
            <v>laboratorio</v>
          </cell>
          <cell r="J2617" t="str">
            <v>bueno</v>
          </cell>
          <cell r="K2617" t="str">
            <v>defsi</v>
          </cell>
        </row>
        <row r="2618">
          <cell r="B2618" t="b">
            <v>1</v>
          </cell>
          <cell r="E2618" t="str">
            <v>Bayunca</v>
          </cell>
          <cell r="H2618" t="str">
            <v>urgencia</v>
          </cell>
          <cell r="J2618" t="str">
            <v>bueno</v>
          </cell>
          <cell r="K2618" t="str">
            <v>defsi</v>
          </cell>
        </row>
        <row r="2619">
          <cell r="B2619" t="b">
            <v>1</v>
          </cell>
          <cell r="E2619" t="str">
            <v>Bayunca</v>
          </cell>
          <cell r="H2619" t="str">
            <v>consulta_externa</v>
          </cell>
          <cell r="J2619" t="str">
            <v>bueno</v>
          </cell>
          <cell r="K2619" t="str">
            <v>defsi</v>
          </cell>
        </row>
        <row r="2620">
          <cell r="B2620" t="b">
            <v>1</v>
          </cell>
          <cell r="E2620" t="str">
            <v>Bayunca</v>
          </cell>
          <cell r="H2620" t="str">
            <v>salud_oral</v>
          </cell>
          <cell r="J2620" t="str">
            <v>bueno</v>
          </cell>
          <cell r="K2620" t="str">
            <v>defsi</v>
          </cell>
        </row>
        <row r="2621">
          <cell r="B2621" t="b">
            <v>1</v>
          </cell>
          <cell r="E2621" t="str">
            <v>Bayunca</v>
          </cell>
          <cell r="H2621" t="str">
            <v>laboratorio</v>
          </cell>
          <cell r="J2621" t="str">
            <v>bueno</v>
          </cell>
          <cell r="K2621" t="str">
            <v>defsi</v>
          </cell>
        </row>
        <row r="2622">
          <cell r="B2622" t="b">
            <v>1</v>
          </cell>
          <cell r="E2622" t="str">
            <v>Bayunca</v>
          </cell>
          <cell r="H2622" t="str">
            <v>urgencia</v>
          </cell>
          <cell r="J2622" t="str">
            <v>bueno</v>
          </cell>
          <cell r="K2622" t="str">
            <v>defsi</v>
          </cell>
        </row>
        <row r="2623">
          <cell r="B2623" t="b">
            <v>1</v>
          </cell>
          <cell r="E2623" t="str">
            <v>Los Cerros</v>
          </cell>
          <cell r="H2623" t="str">
            <v>consulta_externa</v>
          </cell>
          <cell r="J2623" t="str">
            <v>bueno</v>
          </cell>
          <cell r="K2623" t="str">
            <v>probsi</v>
          </cell>
        </row>
        <row r="2624">
          <cell r="B2624" t="b">
            <v>1</v>
          </cell>
          <cell r="E2624" t="str">
            <v>Los Cerros</v>
          </cell>
          <cell r="H2624" t="str">
            <v>salud_oral</v>
          </cell>
          <cell r="J2624" t="str">
            <v>bueno</v>
          </cell>
          <cell r="K2624" t="str">
            <v>probsi</v>
          </cell>
        </row>
        <row r="2625">
          <cell r="B2625" t="b">
            <v>0</v>
          </cell>
          <cell r="E2625" t="str">
            <v>Los Cerros</v>
          </cell>
          <cell r="H2625" t="str">
            <v>laboratorio</v>
          </cell>
          <cell r="J2625" t="str">
            <v>regular</v>
          </cell>
          <cell r="K2625" t="str">
            <v>probsi</v>
          </cell>
        </row>
        <row r="2626">
          <cell r="B2626" t="b">
            <v>1</v>
          </cell>
          <cell r="E2626" t="str">
            <v>San Francisco I</v>
          </cell>
          <cell r="H2626" t="str">
            <v>consulta_externa</v>
          </cell>
          <cell r="J2626" t="str">
            <v>bueno</v>
          </cell>
          <cell r="K2626" t="str">
            <v>defsi</v>
          </cell>
        </row>
        <row r="2627">
          <cell r="B2627" t="b">
            <v>1</v>
          </cell>
          <cell r="E2627" t="str">
            <v>Los Cerros</v>
          </cell>
          <cell r="H2627" t="str">
            <v>consulta_externa</v>
          </cell>
          <cell r="J2627" t="str">
            <v>bueno</v>
          </cell>
          <cell r="K2627" t="str">
            <v>probsi</v>
          </cell>
        </row>
        <row r="2628">
          <cell r="B2628" t="b">
            <v>1</v>
          </cell>
          <cell r="E2628" t="str">
            <v>Los Cerros</v>
          </cell>
          <cell r="H2628" t="str">
            <v>salud_oral</v>
          </cell>
          <cell r="J2628" t="str">
            <v>bueno</v>
          </cell>
          <cell r="K2628" t="str">
            <v>probsi</v>
          </cell>
        </row>
        <row r="2629">
          <cell r="B2629" t="b">
            <v>1</v>
          </cell>
          <cell r="E2629" t="str">
            <v>Los Cerros</v>
          </cell>
          <cell r="H2629" t="str">
            <v>laboratorio</v>
          </cell>
          <cell r="J2629" t="str">
            <v>bueno</v>
          </cell>
          <cell r="K2629" t="str">
            <v>probsi</v>
          </cell>
        </row>
        <row r="2630">
          <cell r="B2630" t="b">
            <v>1</v>
          </cell>
          <cell r="E2630" t="str">
            <v>Bayunca</v>
          </cell>
          <cell r="H2630" t="str">
            <v>consulta_externa</v>
          </cell>
          <cell r="J2630" t="str">
            <v>bueno</v>
          </cell>
          <cell r="K2630" t="str">
            <v>defsi</v>
          </cell>
        </row>
        <row r="2631">
          <cell r="B2631" t="b">
            <v>1</v>
          </cell>
          <cell r="E2631" t="str">
            <v>Los Cerros</v>
          </cell>
          <cell r="H2631" t="str">
            <v>salud_oral</v>
          </cell>
          <cell r="J2631" t="str">
            <v>bueno</v>
          </cell>
          <cell r="K2631" t="str">
            <v>probsi</v>
          </cell>
        </row>
        <row r="2632">
          <cell r="B2632" t="b">
            <v>1</v>
          </cell>
          <cell r="E2632" t="str">
            <v>Bayunca</v>
          </cell>
          <cell r="H2632" t="str">
            <v>salud_oral</v>
          </cell>
          <cell r="J2632" t="str">
            <v>bueno</v>
          </cell>
          <cell r="K2632" t="str">
            <v>defsi</v>
          </cell>
        </row>
        <row r="2633">
          <cell r="B2633" t="b">
            <v>1</v>
          </cell>
          <cell r="E2633" t="str">
            <v>Los Cerros</v>
          </cell>
          <cell r="H2633" t="str">
            <v>laboratorio</v>
          </cell>
          <cell r="J2633" t="str">
            <v>bueno</v>
          </cell>
          <cell r="K2633" t="str">
            <v>probsi</v>
          </cell>
        </row>
        <row r="2634">
          <cell r="B2634" t="b">
            <v>1</v>
          </cell>
          <cell r="E2634" t="str">
            <v>San Francisco I</v>
          </cell>
          <cell r="H2634" t="str">
            <v>consulta_externa</v>
          </cell>
          <cell r="J2634" t="str">
            <v>bueno</v>
          </cell>
          <cell r="K2634" t="str">
            <v>defsi</v>
          </cell>
        </row>
        <row r="2635">
          <cell r="B2635" t="b">
            <v>1</v>
          </cell>
          <cell r="E2635" t="str">
            <v>Los Cerros</v>
          </cell>
          <cell r="H2635" t="str">
            <v>electros</v>
          </cell>
          <cell r="J2635" t="str">
            <v>bueno</v>
          </cell>
          <cell r="K2635" t="str">
            <v>probsi</v>
          </cell>
        </row>
        <row r="2636">
          <cell r="B2636" t="b">
            <v>1</v>
          </cell>
          <cell r="E2636" t="str">
            <v>Bayunca</v>
          </cell>
          <cell r="H2636" t="str">
            <v>laboratorio</v>
          </cell>
          <cell r="J2636" t="str">
            <v>bueno</v>
          </cell>
          <cell r="K2636" t="str">
            <v>defsi</v>
          </cell>
        </row>
        <row r="2637">
          <cell r="B2637" t="b">
            <v>0</v>
          </cell>
          <cell r="E2637" t="str">
            <v>Los Cerros</v>
          </cell>
          <cell r="H2637" t="str">
            <v>electros</v>
          </cell>
          <cell r="J2637" t="str">
            <v>regular</v>
          </cell>
          <cell r="K2637" t="str">
            <v>probsi</v>
          </cell>
        </row>
        <row r="2638">
          <cell r="B2638" t="b">
            <v>1</v>
          </cell>
          <cell r="E2638" t="str">
            <v>Los Cerros</v>
          </cell>
          <cell r="H2638" t="str">
            <v>electros</v>
          </cell>
          <cell r="J2638" t="str">
            <v>bueno</v>
          </cell>
          <cell r="K2638" t="str">
            <v>probsi</v>
          </cell>
        </row>
        <row r="2639">
          <cell r="B2639" t="b">
            <v>1</v>
          </cell>
          <cell r="E2639" t="str">
            <v>Los Cerros</v>
          </cell>
          <cell r="H2639" t="str">
            <v>electros</v>
          </cell>
          <cell r="J2639" t="str">
            <v>bueno</v>
          </cell>
          <cell r="K2639" t="str">
            <v>probsi</v>
          </cell>
        </row>
        <row r="2640">
          <cell r="B2640" t="b">
            <v>1</v>
          </cell>
          <cell r="E2640" t="str">
            <v>San Francisco I</v>
          </cell>
          <cell r="H2640" t="str">
            <v>consulta_externa</v>
          </cell>
          <cell r="J2640" t="str">
            <v>bueno</v>
          </cell>
          <cell r="K2640" t="str">
            <v>defsi</v>
          </cell>
        </row>
        <row r="2641">
          <cell r="B2641" t="b">
            <v>1</v>
          </cell>
          <cell r="E2641" t="str">
            <v>Los Cerros</v>
          </cell>
          <cell r="H2641" t="str">
            <v>electros</v>
          </cell>
          <cell r="J2641" t="str">
            <v>bueno</v>
          </cell>
          <cell r="K2641" t="str">
            <v>probsi</v>
          </cell>
        </row>
        <row r="2642">
          <cell r="B2642" t="b">
            <v>1</v>
          </cell>
          <cell r="E2642" t="str">
            <v>Los Cerros</v>
          </cell>
          <cell r="H2642" t="str">
            <v>electros</v>
          </cell>
          <cell r="J2642" t="str">
            <v>bueno</v>
          </cell>
          <cell r="K2642" t="str">
            <v>probsi</v>
          </cell>
        </row>
        <row r="2643">
          <cell r="B2643" t="b">
            <v>1</v>
          </cell>
          <cell r="E2643" t="str">
            <v>San Francisco I</v>
          </cell>
          <cell r="H2643" t="str">
            <v>salud_oral</v>
          </cell>
          <cell r="J2643" t="str">
            <v>bueno</v>
          </cell>
          <cell r="K2643" t="str">
            <v>defsi</v>
          </cell>
        </row>
        <row r="2644">
          <cell r="B2644" t="b">
            <v>1</v>
          </cell>
          <cell r="E2644" t="str">
            <v>Bayunca</v>
          </cell>
          <cell r="H2644" t="str">
            <v>urgencia</v>
          </cell>
          <cell r="J2644" t="str">
            <v>bueno</v>
          </cell>
          <cell r="K2644" t="str">
            <v>defsi</v>
          </cell>
        </row>
        <row r="2645">
          <cell r="B2645" t="b">
            <v>1</v>
          </cell>
          <cell r="E2645" t="str">
            <v>San Francisco I</v>
          </cell>
          <cell r="H2645" t="str">
            <v>laboratorio</v>
          </cell>
          <cell r="J2645" t="str">
            <v>bueno</v>
          </cell>
          <cell r="K2645" t="str">
            <v>defsi</v>
          </cell>
        </row>
        <row r="2646">
          <cell r="B2646" t="b">
            <v>0</v>
          </cell>
          <cell r="E2646" t="str">
            <v>Los Cerros</v>
          </cell>
          <cell r="H2646" t="str">
            <v>laboratorio</v>
          </cell>
          <cell r="J2646" t="str">
            <v>regular</v>
          </cell>
          <cell r="K2646" t="str">
            <v>probsi</v>
          </cell>
        </row>
        <row r="2647">
          <cell r="B2647" t="b">
            <v>1</v>
          </cell>
          <cell r="E2647" t="str">
            <v>Los Cerros</v>
          </cell>
          <cell r="H2647" t="str">
            <v>laboratorio</v>
          </cell>
          <cell r="J2647" t="str">
            <v>bueno</v>
          </cell>
          <cell r="K2647" t="str">
            <v>probsi</v>
          </cell>
        </row>
        <row r="2648">
          <cell r="B2648" t="b">
            <v>1</v>
          </cell>
          <cell r="E2648" t="str">
            <v>Los Cerros</v>
          </cell>
          <cell r="H2648" t="str">
            <v>salud_oral</v>
          </cell>
          <cell r="J2648" t="str">
            <v>bueno</v>
          </cell>
          <cell r="K2648" t="str">
            <v>probsi</v>
          </cell>
        </row>
        <row r="2649">
          <cell r="B2649" t="b">
            <v>1</v>
          </cell>
          <cell r="E2649" t="str">
            <v>San Francisco I</v>
          </cell>
          <cell r="H2649" t="str">
            <v>consulta_externa</v>
          </cell>
          <cell r="J2649" t="str">
            <v>bueno</v>
          </cell>
          <cell r="K2649" t="str">
            <v>defsi</v>
          </cell>
        </row>
        <row r="2650">
          <cell r="B2650" t="b">
            <v>1</v>
          </cell>
          <cell r="E2650" t="str">
            <v>San Francisco I</v>
          </cell>
          <cell r="H2650" t="str">
            <v>laboratorio</v>
          </cell>
          <cell r="J2650" t="str">
            <v>bueno</v>
          </cell>
          <cell r="K2650" t="str">
            <v>defsi</v>
          </cell>
        </row>
        <row r="2651">
          <cell r="B2651" t="b">
            <v>1</v>
          </cell>
          <cell r="E2651" t="str">
            <v>Los Cerros</v>
          </cell>
          <cell r="H2651" t="str">
            <v>pediatria</v>
          </cell>
          <cell r="J2651" t="str">
            <v>bueno</v>
          </cell>
          <cell r="K2651" t="str">
            <v>probsi</v>
          </cell>
        </row>
        <row r="2652">
          <cell r="B2652" t="b">
            <v>1</v>
          </cell>
          <cell r="E2652" t="str">
            <v>San Francisco I</v>
          </cell>
          <cell r="H2652" t="str">
            <v>consulta_externa</v>
          </cell>
          <cell r="J2652" t="str">
            <v>bueno</v>
          </cell>
          <cell r="K2652" t="str">
            <v>defsi</v>
          </cell>
        </row>
        <row r="2653">
          <cell r="B2653" t="b">
            <v>1</v>
          </cell>
          <cell r="E2653" t="str">
            <v>San Francisco I</v>
          </cell>
          <cell r="H2653" t="str">
            <v>salud_oral</v>
          </cell>
          <cell r="J2653" t="str">
            <v>bueno</v>
          </cell>
          <cell r="K2653" t="str">
            <v>defsi</v>
          </cell>
        </row>
        <row r="2654">
          <cell r="B2654" t="b">
            <v>1</v>
          </cell>
          <cell r="E2654" t="str">
            <v>San Francisco I</v>
          </cell>
          <cell r="H2654" t="str">
            <v>consulta_externa</v>
          </cell>
          <cell r="J2654" t="str">
            <v>bueno</v>
          </cell>
          <cell r="K2654" t="str">
            <v>defsi</v>
          </cell>
        </row>
        <row r="2655">
          <cell r="B2655" t="b">
            <v>1</v>
          </cell>
          <cell r="E2655" t="str">
            <v>San Francisco I</v>
          </cell>
          <cell r="H2655" t="str">
            <v>salud_oral</v>
          </cell>
          <cell r="J2655" t="str">
            <v>bueno</v>
          </cell>
          <cell r="K2655" t="str">
            <v>defsi</v>
          </cell>
        </row>
        <row r="2656">
          <cell r="B2656" t="b">
            <v>1</v>
          </cell>
          <cell r="E2656" t="str">
            <v>Bayunca</v>
          </cell>
          <cell r="H2656" t="str">
            <v>consulta_externa</v>
          </cell>
          <cell r="J2656" t="str">
            <v>bueno</v>
          </cell>
          <cell r="K2656" t="str">
            <v>defsi</v>
          </cell>
        </row>
        <row r="2657">
          <cell r="B2657" t="b">
            <v>1</v>
          </cell>
          <cell r="E2657" t="str">
            <v>Bayunca</v>
          </cell>
          <cell r="H2657" t="str">
            <v>salud_oral</v>
          </cell>
          <cell r="J2657" t="str">
            <v>bueno</v>
          </cell>
          <cell r="K2657" t="str">
            <v>defsi</v>
          </cell>
        </row>
        <row r="2658">
          <cell r="B2658" t="b">
            <v>1</v>
          </cell>
          <cell r="E2658" t="str">
            <v>San Francisco I</v>
          </cell>
          <cell r="H2658" t="str">
            <v>consulta_externa</v>
          </cell>
          <cell r="J2658" t="str">
            <v>muybueno</v>
          </cell>
          <cell r="K2658" t="str">
            <v>defsi</v>
          </cell>
        </row>
        <row r="2659">
          <cell r="B2659" t="b">
            <v>1</v>
          </cell>
          <cell r="E2659" t="str">
            <v>San Francisco I</v>
          </cell>
          <cell r="H2659" t="str">
            <v>laboratorio</v>
          </cell>
          <cell r="J2659" t="str">
            <v>muybueno</v>
          </cell>
          <cell r="K2659" t="str">
            <v>defsi</v>
          </cell>
        </row>
        <row r="2660">
          <cell r="B2660" t="b">
            <v>1</v>
          </cell>
          <cell r="E2660" t="str">
            <v>Bayunca</v>
          </cell>
          <cell r="H2660" t="str">
            <v>laboratorio</v>
          </cell>
          <cell r="J2660" t="str">
            <v>bueno</v>
          </cell>
          <cell r="K2660" t="str">
            <v>defsi</v>
          </cell>
        </row>
        <row r="2661">
          <cell r="B2661" t="b">
            <v>1</v>
          </cell>
          <cell r="E2661" t="str">
            <v>San Francisco I</v>
          </cell>
          <cell r="H2661" t="str">
            <v>consulta_externa</v>
          </cell>
          <cell r="J2661" t="str">
            <v>bueno</v>
          </cell>
          <cell r="K2661" t="str">
            <v>defsi</v>
          </cell>
        </row>
        <row r="2662">
          <cell r="B2662" t="b">
            <v>1</v>
          </cell>
          <cell r="E2662" t="str">
            <v>San Francisco I</v>
          </cell>
          <cell r="H2662" t="str">
            <v>salud_oral</v>
          </cell>
          <cell r="J2662" t="str">
            <v>bueno</v>
          </cell>
          <cell r="K2662" t="str">
            <v>defsi</v>
          </cell>
        </row>
        <row r="2663">
          <cell r="B2663" t="b">
            <v>1</v>
          </cell>
          <cell r="E2663" t="str">
            <v>Los Cerros</v>
          </cell>
          <cell r="H2663" t="str">
            <v>ginecologia</v>
          </cell>
          <cell r="J2663" t="str">
            <v>bueno</v>
          </cell>
          <cell r="K2663" t="str">
            <v>probsi</v>
          </cell>
        </row>
        <row r="2664">
          <cell r="B2664" t="b">
            <v>1</v>
          </cell>
          <cell r="E2664" t="str">
            <v>San Francisco I</v>
          </cell>
          <cell r="H2664" t="str">
            <v>laboratorio</v>
          </cell>
          <cell r="J2664" t="str">
            <v>bueno</v>
          </cell>
          <cell r="K2664" t="str">
            <v>defsi</v>
          </cell>
        </row>
        <row r="2665">
          <cell r="B2665" t="b">
            <v>1</v>
          </cell>
          <cell r="E2665" t="str">
            <v>Los Cerros</v>
          </cell>
          <cell r="H2665" t="str">
            <v>ginecologia</v>
          </cell>
          <cell r="J2665" t="str">
            <v>bueno</v>
          </cell>
          <cell r="K2665" t="str">
            <v>probsi</v>
          </cell>
        </row>
        <row r="2666">
          <cell r="B2666" t="b">
            <v>1</v>
          </cell>
          <cell r="E2666" t="str">
            <v>Los Cerros</v>
          </cell>
          <cell r="H2666" t="str">
            <v>ginecologia</v>
          </cell>
          <cell r="J2666" t="str">
            <v>bueno</v>
          </cell>
          <cell r="K2666" t="str">
            <v>probsi</v>
          </cell>
        </row>
        <row r="2667">
          <cell r="B2667" t="b">
            <v>1</v>
          </cell>
          <cell r="E2667" t="str">
            <v>Los Cerros</v>
          </cell>
          <cell r="H2667" t="str">
            <v>ginecologia</v>
          </cell>
          <cell r="J2667" t="str">
            <v>bueno</v>
          </cell>
          <cell r="K2667" t="str">
            <v>probsi</v>
          </cell>
        </row>
        <row r="2668">
          <cell r="B2668" t="b">
            <v>1</v>
          </cell>
          <cell r="E2668" t="str">
            <v>Los Cerros</v>
          </cell>
          <cell r="H2668" t="str">
            <v>ginecologia</v>
          </cell>
          <cell r="J2668" t="str">
            <v>bueno</v>
          </cell>
          <cell r="K2668" t="str">
            <v>probsi</v>
          </cell>
        </row>
        <row r="2669">
          <cell r="B2669" t="b">
            <v>1</v>
          </cell>
          <cell r="E2669" t="str">
            <v>San Francisco I</v>
          </cell>
          <cell r="H2669" t="str">
            <v>laboratorio</v>
          </cell>
          <cell r="J2669" t="str">
            <v>bueno</v>
          </cell>
          <cell r="K2669" t="str">
            <v>defsi</v>
          </cell>
        </row>
        <row r="2670">
          <cell r="B2670" t="b">
            <v>1</v>
          </cell>
          <cell r="E2670" t="str">
            <v>Los Cerros</v>
          </cell>
          <cell r="H2670" t="str">
            <v>pediatria</v>
          </cell>
          <cell r="J2670" t="str">
            <v>bueno</v>
          </cell>
          <cell r="K2670" t="str">
            <v>probsi</v>
          </cell>
        </row>
        <row r="2671">
          <cell r="B2671" t="b">
            <v>1</v>
          </cell>
          <cell r="E2671" t="str">
            <v>Los Cerros</v>
          </cell>
          <cell r="H2671" t="str">
            <v>pediatria</v>
          </cell>
          <cell r="J2671" t="str">
            <v>bueno</v>
          </cell>
          <cell r="K2671" t="str">
            <v>probsi</v>
          </cell>
        </row>
        <row r="2672">
          <cell r="B2672" t="b">
            <v>1</v>
          </cell>
          <cell r="E2672" t="str">
            <v>Los Cerros</v>
          </cell>
          <cell r="H2672" t="str">
            <v>salud_oral</v>
          </cell>
          <cell r="J2672" t="str">
            <v>bueno</v>
          </cell>
          <cell r="K2672" t="str">
            <v>probsi</v>
          </cell>
        </row>
        <row r="2673">
          <cell r="B2673" t="b">
            <v>1</v>
          </cell>
          <cell r="E2673" t="str">
            <v>San Francisco I</v>
          </cell>
          <cell r="H2673" t="str">
            <v>consulta_externa</v>
          </cell>
          <cell r="J2673" t="str">
            <v>bueno</v>
          </cell>
          <cell r="K2673" t="str">
            <v>defsi</v>
          </cell>
        </row>
        <row r="2674">
          <cell r="B2674" t="b">
            <v>1</v>
          </cell>
          <cell r="E2674" t="str">
            <v>San Francisco I</v>
          </cell>
          <cell r="H2674" t="str">
            <v>consulta_externa</v>
          </cell>
          <cell r="J2674" t="str">
            <v>bueno</v>
          </cell>
          <cell r="K2674" t="str">
            <v>defsi</v>
          </cell>
        </row>
        <row r="2675">
          <cell r="B2675" t="b">
            <v>1</v>
          </cell>
          <cell r="E2675" t="str">
            <v>San Francisco I</v>
          </cell>
          <cell r="H2675" t="str">
            <v>laboratorio</v>
          </cell>
          <cell r="J2675" t="str">
            <v>bueno</v>
          </cell>
          <cell r="K2675" t="str">
            <v>defsi</v>
          </cell>
        </row>
        <row r="2676">
          <cell r="B2676" t="b">
            <v>1</v>
          </cell>
          <cell r="E2676" t="str">
            <v>San Francisco I</v>
          </cell>
          <cell r="H2676" t="str">
            <v>laboratorio</v>
          </cell>
          <cell r="J2676" t="str">
            <v>bueno</v>
          </cell>
          <cell r="K2676" t="str">
            <v>defsi</v>
          </cell>
        </row>
        <row r="2677">
          <cell r="B2677" t="b">
            <v>1</v>
          </cell>
          <cell r="E2677" t="str">
            <v>San Francisco I</v>
          </cell>
          <cell r="H2677" t="str">
            <v>consulta_externa</v>
          </cell>
          <cell r="J2677" t="str">
            <v>bueno</v>
          </cell>
          <cell r="K2677" t="str">
            <v>defsi</v>
          </cell>
        </row>
        <row r="2678">
          <cell r="B2678" t="b">
            <v>1</v>
          </cell>
          <cell r="E2678" t="str">
            <v>San Francisco I</v>
          </cell>
          <cell r="H2678" t="str">
            <v>laboratorio</v>
          </cell>
          <cell r="J2678" t="str">
            <v>bueno</v>
          </cell>
          <cell r="K2678" t="str">
            <v>defsi</v>
          </cell>
        </row>
        <row r="2679">
          <cell r="B2679" t="b">
            <v>1</v>
          </cell>
          <cell r="E2679" t="str">
            <v>San Francisco I</v>
          </cell>
          <cell r="H2679" t="str">
            <v>salud_oral</v>
          </cell>
          <cell r="J2679" t="str">
            <v>bueno</v>
          </cell>
          <cell r="K2679" t="str">
            <v>defsi</v>
          </cell>
        </row>
        <row r="2680">
          <cell r="B2680" t="b">
            <v>1</v>
          </cell>
          <cell r="E2680" t="str">
            <v>San Francisco I</v>
          </cell>
          <cell r="H2680" t="str">
            <v>salud_oral</v>
          </cell>
          <cell r="J2680" t="str">
            <v>bueno</v>
          </cell>
          <cell r="K2680" t="str">
            <v>defsi</v>
          </cell>
        </row>
        <row r="2681">
          <cell r="B2681" t="b">
            <v>1</v>
          </cell>
          <cell r="E2681" t="str">
            <v>San Francisco I</v>
          </cell>
          <cell r="H2681" t="str">
            <v>salud_oral</v>
          </cell>
          <cell r="J2681" t="str">
            <v>bueno</v>
          </cell>
          <cell r="K2681" t="str">
            <v>defsi</v>
          </cell>
        </row>
        <row r="2682">
          <cell r="B2682" t="b">
            <v>1</v>
          </cell>
          <cell r="E2682" t="str">
            <v>Los Cerros</v>
          </cell>
          <cell r="H2682" t="str">
            <v>salud_oral</v>
          </cell>
          <cell r="J2682" t="str">
            <v>bueno</v>
          </cell>
          <cell r="K2682" t="str">
            <v>probsi</v>
          </cell>
        </row>
        <row r="2683">
          <cell r="B2683" t="b">
            <v>1</v>
          </cell>
          <cell r="E2683" t="str">
            <v>Los Cerros</v>
          </cell>
          <cell r="H2683" t="str">
            <v>laboratorio</v>
          </cell>
          <cell r="J2683" t="str">
            <v>bueno</v>
          </cell>
          <cell r="K2683" t="str">
            <v>probsi</v>
          </cell>
        </row>
        <row r="2684">
          <cell r="B2684" t="b">
            <v>1</v>
          </cell>
          <cell r="E2684" t="str">
            <v>Los Cerros</v>
          </cell>
          <cell r="H2684" t="str">
            <v>laboratorio</v>
          </cell>
          <cell r="J2684" t="str">
            <v>bueno</v>
          </cell>
          <cell r="K2684" t="str">
            <v>probsi</v>
          </cell>
        </row>
        <row r="2685">
          <cell r="B2685" t="b">
            <v>1</v>
          </cell>
          <cell r="E2685" t="str">
            <v>San Francisco I</v>
          </cell>
          <cell r="H2685" t="str">
            <v>salud_oral</v>
          </cell>
          <cell r="J2685" t="str">
            <v>bueno</v>
          </cell>
          <cell r="K2685" t="str">
            <v>defsi</v>
          </cell>
        </row>
        <row r="2686">
          <cell r="B2686" t="b">
            <v>1</v>
          </cell>
          <cell r="E2686" t="str">
            <v>San Francisco I</v>
          </cell>
          <cell r="H2686" t="str">
            <v>consulta_externa</v>
          </cell>
          <cell r="J2686" t="str">
            <v>muybueno</v>
          </cell>
          <cell r="K2686" t="str">
            <v>defsi</v>
          </cell>
        </row>
        <row r="2687">
          <cell r="B2687" t="b">
            <v>1</v>
          </cell>
          <cell r="E2687" t="str">
            <v>San Francisco I</v>
          </cell>
          <cell r="H2687" t="str">
            <v>salud_oral</v>
          </cell>
          <cell r="J2687" t="str">
            <v>bueno</v>
          </cell>
          <cell r="K2687" t="str">
            <v>defsi</v>
          </cell>
        </row>
        <row r="2688">
          <cell r="B2688" t="b">
            <v>1</v>
          </cell>
          <cell r="E2688" t="str">
            <v>San Francisco I</v>
          </cell>
          <cell r="H2688" t="str">
            <v>consulta_externa</v>
          </cell>
          <cell r="J2688" t="str">
            <v>bueno</v>
          </cell>
          <cell r="K2688" t="str">
            <v>defsi</v>
          </cell>
        </row>
        <row r="2689">
          <cell r="B2689" t="b">
            <v>1</v>
          </cell>
          <cell r="E2689" t="str">
            <v>San Francisco I</v>
          </cell>
          <cell r="H2689" t="str">
            <v>salud_oral</v>
          </cell>
          <cell r="J2689" t="str">
            <v>bueno</v>
          </cell>
          <cell r="K2689" t="str">
            <v>defsi</v>
          </cell>
        </row>
        <row r="2690">
          <cell r="B2690" t="b">
            <v>1</v>
          </cell>
          <cell r="E2690" t="str">
            <v>San Francisco I</v>
          </cell>
          <cell r="H2690" t="str">
            <v>salud_oral</v>
          </cell>
          <cell r="J2690" t="str">
            <v>bueno</v>
          </cell>
          <cell r="K2690" t="str">
            <v>defsi</v>
          </cell>
        </row>
        <row r="2691">
          <cell r="B2691" t="b">
            <v>1</v>
          </cell>
          <cell r="E2691" t="str">
            <v>San Francisco I</v>
          </cell>
          <cell r="H2691" t="str">
            <v>consulta_externa</v>
          </cell>
          <cell r="J2691" t="str">
            <v>bueno</v>
          </cell>
          <cell r="K2691" t="str">
            <v>defsi</v>
          </cell>
        </row>
        <row r="2692">
          <cell r="B2692" t="b">
            <v>1</v>
          </cell>
          <cell r="E2692" t="str">
            <v>San Francisco I</v>
          </cell>
          <cell r="H2692" t="str">
            <v>laboratorio</v>
          </cell>
          <cell r="J2692" t="str">
            <v>bueno</v>
          </cell>
          <cell r="K2692" t="str">
            <v>defsi</v>
          </cell>
        </row>
        <row r="2693">
          <cell r="B2693" t="b">
            <v>1</v>
          </cell>
          <cell r="E2693" t="str">
            <v>San Francisco I</v>
          </cell>
          <cell r="H2693" t="str">
            <v>salud_oral</v>
          </cell>
          <cell r="J2693" t="str">
            <v>bueno</v>
          </cell>
          <cell r="K2693" t="str">
            <v>defsi</v>
          </cell>
        </row>
        <row r="2694">
          <cell r="B2694" t="b">
            <v>1</v>
          </cell>
          <cell r="E2694" t="str">
            <v>San Francisco I</v>
          </cell>
          <cell r="H2694" t="str">
            <v>consulta_externa</v>
          </cell>
          <cell r="J2694" t="str">
            <v>bueno</v>
          </cell>
          <cell r="K2694" t="str">
            <v>defsi</v>
          </cell>
        </row>
        <row r="2695">
          <cell r="B2695" t="b">
            <v>1</v>
          </cell>
          <cell r="E2695" t="str">
            <v>San Francisco I</v>
          </cell>
          <cell r="H2695" t="str">
            <v>consulta_externa</v>
          </cell>
          <cell r="J2695" t="str">
            <v>bueno</v>
          </cell>
          <cell r="K2695" t="str">
            <v>defsi</v>
          </cell>
        </row>
        <row r="2696">
          <cell r="B2696" t="b">
            <v>1</v>
          </cell>
          <cell r="E2696" t="str">
            <v>San Francisco I</v>
          </cell>
          <cell r="H2696" t="str">
            <v>laboratorio</v>
          </cell>
          <cell r="J2696" t="str">
            <v>bueno</v>
          </cell>
          <cell r="K2696" t="str">
            <v>defsi</v>
          </cell>
        </row>
        <row r="2697">
          <cell r="B2697" t="b">
            <v>1</v>
          </cell>
          <cell r="E2697" t="str">
            <v>San Francisco I</v>
          </cell>
          <cell r="H2697" t="str">
            <v>laboratorio</v>
          </cell>
          <cell r="J2697" t="str">
            <v>bueno</v>
          </cell>
          <cell r="K2697" t="str">
            <v>defsi</v>
          </cell>
        </row>
        <row r="2698">
          <cell r="B2698" t="b">
            <v>1</v>
          </cell>
          <cell r="E2698" t="str">
            <v>San Francisco I</v>
          </cell>
          <cell r="H2698" t="str">
            <v>laboratorio</v>
          </cell>
          <cell r="J2698" t="str">
            <v>bueno</v>
          </cell>
          <cell r="K2698" t="str">
            <v>defsi</v>
          </cell>
        </row>
        <row r="2699">
          <cell r="B2699" t="b">
            <v>1</v>
          </cell>
          <cell r="E2699" t="str">
            <v>San Francisco I</v>
          </cell>
          <cell r="H2699" t="str">
            <v>salud_oral</v>
          </cell>
          <cell r="J2699" t="str">
            <v>bueno</v>
          </cell>
          <cell r="K2699" t="str">
            <v>defsi</v>
          </cell>
        </row>
        <row r="2700">
          <cell r="B2700" t="b">
            <v>1</v>
          </cell>
          <cell r="E2700" t="str">
            <v>San Francisco I</v>
          </cell>
          <cell r="H2700" t="str">
            <v>laboratorio</v>
          </cell>
          <cell r="J2700" t="str">
            <v>bueno</v>
          </cell>
          <cell r="K2700" t="str">
            <v>defsi</v>
          </cell>
        </row>
        <row r="2701">
          <cell r="B2701" t="b">
            <v>1</v>
          </cell>
          <cell r="E2701" t="str">
            <v>San Francisco I</v>
          </cell>
          <cell r="H2701" t="str">
            <v>laboratorio</v>
          </cell>
          <cell r="J2701" t="str">
            <v>bueno</v>
          </cell>
          <cell r="K2701" t="str">
            <v>defsi</v>
          </cell>
        </row>
        <row r="2702">
          <cell r="B2702" t="b">
            <v>0</v>
          </cell>
          <cell r="E2702" t="str">
            <v>San Francisco I</v>
          </cell>
          <cell r="H2702" t="str">
            <v>laboratorio</v>
          </cell>
          <cell r="J2702" t="str">
            <v>regular</v>
          </cell>
          <cell r="K2702" t="str">
            <v>defsi</v>
          </cell>
        </row>
        <row r="2703">
          <cell r="B2703" t="b">
            <v>1</v>
          </cell>
          <cell r="E2703" t="str">
            <v>San Francisco I</v>
          </cell>
          <cell r="H2703" t="str">
            <v>laboratorio</v>
          </cell>
          <cell r="J2703" t="str">
            <v>bueno</v>
          </cell>
          <cell r="K2703" t="str">
            <v>defsi</v>
          </cell>
        </row>
        <row r="2704">
          <cell r="B2704" t="b">
            <v>1</v>
          </cell>
          <cell r="E2704" t="str">
            <v>San Francisco I</v>
          </cell>
          <cell r="H2704" t="str">
            <v>consulta_externa</v>
          </cell>
          <cell r="J2704" t="str">
            <v>bueno</v>
          </cell>
          <cell r="K2704" t="str">
            <v>defsi</v>
          </cell>
        </row>
        <row r="2705">
          <cell r="B2705" t="b">
            <v>1</v>
          </cell>
          <cell r="E2705" t="str">
            <v>Bayunca</v>
          </cell>
          <cell r="H2705" t="str">
            <v>consulta_externa</v>
          </cell>
          <cell r="J2705" t="str">
            <v>bueno</v>
          </cell>
          <cell r="K2705" t="str">
            <v>defsi</v>
          </cell>
        </row>
        <row r="2706">
          <cell r="B2706" t="b">
            <v>1</v>
          </cell>
          <cell r="E2706" t="str">
            <v>San Francisco I</v>
          </cell>
          <cell r="H2706" t="str">
            <v>consulta_externa</v>
          </cell>
          <cell r="J2706" t="str">
            <v>bueno</v>
          </cell>
          <cell r="K2706" t="str">
            <v>defsi</v>
          </cell>
        </row>
        <row r="2707">
          <cell r="B2707" t="b">
            <v>1</v>
          </cell>
          <cell r="E2707" t="str">
            <v>Bayunca</v>
          </cell>
          <cell r="H2707" t="str">
            <v>urgencia</v>
          </cell>
          <cell r="J2707" t="str">
            <v>bueno</v>
          </cell>
          <cell r="K2707" t="str">
            <v>defsi</v>
          </cell>
        </row>
        <row r="2708">
          <cell r="B2708" t="b">
            <v>1</v>
          </cell>
          <cell r="E2708" t="str">
            <v>Bayunca</v>
          </cell>
          <cell r="H2708" t="str">
            <v>salud_oral</v>
          </cell>
          <cell r="J2708" t="str">
            <v>bueno</v>
          </cell>
          <cell r="K2708" t="str">
            <v>defsi</v>
          </cell>
        </row>
        <row r="2709">
          <cell r="B2709" t="b">
            <v>1</v>
          </cell>
          <cell r="E2709" t="str">
            <v>Bayunca</v>
          </cell>
          <cell r="H2709" t="str">
            <v>laboratorio</v>
          </cell>
          <cell r="J2709" t="str">
            <v>bueno</v>
          </cell>
          <cell r="K2709" t="str">
            <v>defsi</v>
          </cell>
        </row>
        <row r="2710">
          <cell r="B2710" t="b">
            <v>1</v>
          </cell>
          <cell r="E2710" t="str">
            <v>San Francisco I</v>
          </cell>
          <cell r="H2710" t="str">
            <v>consulta_externa</v>
          </cell>
          <cell r="J2710" t="str">
            <v>bueno</v>
          </cell>
          <cell r="K2710" t="str">
            <v>defsi</v>
          </cell>
        </row>
        <row r="2711">
          <cell r="B2711" t="b">
            <v>1</v>
          </cell>
          <cell r="E2711" t="str">
            <v>Bayunca</v>
          </cell>
          <cell r="H2711" t="str">
            <v>urgencia</v>
          </cell>
          <cell r="J2711" t="str">
            <v>bueno</v>
          </cell>
          <cell r="K2711" t="str">
            <v>defsi</v>
          </cell>
        </row>
        <row r="2712">
          <cell r="B2712" t="b">
            <v>1</v>
          </cell>
          <cell r="E2712" t="str">
            <v>San Francisco I</v>
          </cell>
          <cell r="H2712" t="str">
            <v>laboratorio</v>
          </cell>
          <cell r="J2712" t="str">
            <v>bueno</v>
          </cell>
          <cell r="K2712" t="str">
            <v>defsi</v>
          </cell>
        </row>
        <row r="2713">
          <cell r="B2713" t="b">
            <v>1</v>
          </cell>
          <cell r="E2713" t="str">
            <v>Bosque</v>
          </cell>
          <cell r="H2713" t="str">
            <v>consulta_externa</v>
          </cell>
          <cell r="J2713" t="str">
            <v>bueno</v>
          </cell>
          <cell r="K2713" t="str">
            <v>probsi</v>
          </cell>
        </row>
        <row r="2714">
          <cell r="B2714" t="b">
            <v>1</v>
          </cell>
          <cell r="E2714" t="str">
            <v>Bosque</v>
          </cell>
          <cell r="H2714" t="str">
            <v>laboratorio</v>
          </cell>
          <cell r="J2714" t="str">
            <v>bueno</v>
          </cell>
          <cell r="K2714" t="str">
            <v>probsi</v>
          </cell>
        </row>
        <row r="2715">
          <cell r="B2715" t="b">
            <v>1</v>
          </cell>
          <cell r="E2715" t="str">
            <v>Bayunca</v>
          </cell>
          <cell r="H2715" t="str">
            <v>consulta_externa</v>
          </cell>
          <cell r="J2715" t="str">
            <v>bueno</v>
          </cell>
          <cell r="K2715" t="str">
            <v>defsi</v>
          </cell>
        </row>
        <row r="2716">
          <cell r="B2716" t="b">
            <v>1</v>
          </cell>
          <cell r="E2716" t="str">
            <v>Bosque</v>
          </cell>
          <cell r="H2716" t="str">
            <v>consulta_externa</v>
          </cell>
          <cell r="J2716" t="str">
            <v>bueno</v>
          </cell>
          <cell r="K2716" t="str">
            <v>probsi</v>
          </cell>
        </row>
        <row r="2717">
          <cell r="B2717" t="b">
            <v>1</v>
          </cell>
          <cell r="E2717" t="str">
            <v>Bosque</v>
          </cell>
          <cell r="H2717" t="str">
            <v>salud_oral</v>
          </cell>
          <cell r="J2717" t="str">
            <v>bueno</v>
          </cell>
          <cell r="K2717" t="str">
            <v>probsi</v>
          </cell>
        </row>
        <row r="2718">
          <cell r="B2718" t="b">
            <v>1</v>
          </cell>
          <cell r="E2718" t="str">
            <v>Bosque</v>
          </cell>
          <cell r="H2718" t="str">
            <v>laboratorio</v>
          </cell>
          <cell r="J2718" t="str">
            <v>bueno</v>
          </cell>
          <cell r="K2718" t="str">
            <v>probsi</v>
          </cell>
        </row>
        <row r="2719">
          <cell r="B2719" t="b">
            <v>1</v>
          </cell>
          <cell r="E2719" t="str">
            <v>Bosque</v>
          </cell>
          <cell r="H2719" t="str">
            <v>laboratorio</v>
          </cell>
          <cell r="J2719" t="str">
            <v>bueno</v>
          </cell>
          <cell r="K2719" t="str">
            <v>probsi</v>
          </cell>
        </row>
        <row r="2720">
          <cell r="B2720" t="b">
            <v>1</v>
          </cell>
          <cell r="E2720" t="str">
            <v>Bosque</v>
          </cell>
          <cell r="H2720" t="str">
            <v>consulta_externa</v>
          </cell>
          <cell r="J2720" t="str">
            <v>bueno</v>
          </cell>
          <cell r="K2720" t="str">
            <v>probsi</v>
          </cell>
        </row>
        <row r="2721">
          <cell r="B2721" t="b">
            <v>1</v>
          </cell>
          <cell r="E2721" t="str">
            <v>Bosque</v>
          </cell>
          <cell r="H2721" t="str">
            <v>consulta_externa</v>
          </cell>
          <cell r="J2721" t="str">
            <v>bueno</v>
          </cell>
          <cell r="K2721" t="str">
            <v>probsi</v>
          </cell>
        </row>
        <row r="2722">
          <cell r="B2722" t="b">
            <v>1</v>
          </cell>
          <cell r="E2722" t="str">
            <v>Bosque</v>
          </cell>
          <cell r="H2722" t="str">
            <v>consulta_externa</v>
          </cell>
          <cell r="J2722" t="str">
            <v>bueno</v>
          </cell>
          <cell r="K2722" t="str">
            <v>probsi</v>
          </cell>
        </row>
        <row r="2723">
          <cell r="B2723" t="b">
            <v>1</v>
          </cell>
          <cell r="E2723" t="str">
            <v>Bosque</v>
          </cell>
          <cell r="H2723" t="str">
            <v>consulta_externa</v>
          </cell>
          <cell r="J2723" t="str">
            <v>bueno</v>
          </cell>
          <cell r="K2723" t="str">
            <v>probsi</v>
          </cell>
        </row>
        <row r="2724">
          <cell r="B2724" t="b">
            <v>1</v>
          </cell>
          <cell r="E2724" t="str">
            <v>Bosque</v>
          </cell>
          <cell r="H2724" t="str">
            <v>salud_oral</v>
          </cell>
          <cell r="J2724" t="str">
            <v>bueno</v>
          </cell>
          <cell r="K2724" t="str">
            <v>probsi</v>
          </cell>
        </row>
        <row r="2725">
          <cell r="B2725" t="b">
            <v>1</v>
          </cell>
          <cell r="E2725" t="str">
            <v>Bosque</v>
          </cell>
          <cell r="H2725" t="str">
            <v>laboratorio</v>
          </cell>
          <cell r="J2725" t="str">
            <v>bueno</v>
          </cell>
          <cell r="K2725" t="str">
            <v>probsi</v>
          </cell>
        </row>
        <row r="2726">
          <cell r="B2726" t="b">
            <v>1</v>
          </cell>
          <cell r="E2726" t="str">
            <v>Bosque</v>
          </cell>
          <cell r="H2726" t="str">
            <v>laboratorio</v>
          </cell>
          <cell r="J2726" t="str">
            <v>bueno</v>
          </cell>
          <cell r="K2726" t="str">
            <v>probsi</v>
          </cell>
        </row>
        <row r="2727">
          <cell r="B2727" t="b">
            <v>1</v>
          </cell>
          <cell r="E2727" t="str">
            <v>San Francisco I</v>
          </cell>
          <cell r="H2727" t="str">
            <v>laboratorio</v>
          </cell>
          <cell r="J2727" t="str">
            <v>bueno</v>
          </cell>
          <cell r="K2727" t="str">
            <v>defsi</v>
          </cell>
        </row>
        <row r="2728">
          <cell r="B2728" t="b">
            <v>1</v>
          </cell>
          <cell r="E2728" t="str">
            <v>San Francisco I</v>
          </cell>
          <cell r="H2728" t="str">
            <v>laboratorio</v>
          </cell>
          <cell r="J2728" t="str">
            <v>bueno</v>
          </cell>
          <cell r="K2728" t="str">
            <v>defsi</v>
          </cell>
        </row>
        <row r="2729">
          <cell r="B2729" t="b">
            <v>1</v>
          </cell>
          <cell r="E2729" t="str">
            <v>San Francisco I</v>
          </cell>
          <cell r="H2729" t="str">
            <v>salud_oral</v>
          </cell>
          <cell r="J2729" t="str">
            <v>bueno</v>
          </cell>
          <cell r="K2729" t="str">
            <v>defsi</v>
          </cell>
        </row>
        <row r="2730">
          <cell r="B2730" t="b">
            <v>1</v>
          </cell>
          <cell r="E2730" t="str">
            <v>Canapote</v>
          </cell>
          <cell r="H2730" t="str">
            <v>consulta_externa</v>
          </cell>
          <cell r="J2730" t="str">
            <v>bueno</v>
          </cell>
          <cell r="K2730" t="str">
            <v>defsi</v>
          </cell>
        </row>
        <row r="2731">
          <cell r="B2731" t="b">
            <v>1</v>
          </cell>
          <cell r="E2731" t="str">
            <v>Canapote</v>
          </cell>
          <cell r="H2731" t="str">
            <v>laboratorio</v>
          </cell>
          <cell r="J2731" t="str">
            <v>bueno</v>
          </cell>
          <cell r="K2731" t="str">
            <v>defsi</v>
          </cell>
        </row>
        <row r="2732">
          <cell r="B2732" t="b">
            <v>1</v>
          </cell>
          <cell r="E2732" t="str">
            <v>Canapote</v>
          </cell>
          <cell r="H2732" t="str">
            <v>consulta_externa</v>
          </cell>
          <cell r="J2732" t="str">
            <v>bueno</v>
          </cell>
          <cell r="K2732" t="str">
            <v>defsi</v>
          </cell>
        </row>
        <row r="2733">
          <cell r="B2733" t="b">
            <v>1</v>
          </cell>
          <cell r="E2733" t="str">
            <v>Bosque</v>
          </cell>
          <cell r="H2733" t="str">
            <v>salud_oral</v>
          </cell>
          <cell r="J2733" t="str">
            <v>bueno</v>
          </cell>
          <cell r="K2733" t="str">
            <v>probsi</v>
          </cell>
        </row>
        <row r="2734">
          <cell r="B2734" t="b">
            <v>1</v>
          </cell>
          <cell r="E2734" t="str">
            <v>Bosque</v>
          </cell>
          <cell r="H2734" t="str">
            <v>salud_oral</v>
          </cell>
          <cell r="J2734" t="str">
            <v>bueno</v>
          </cell>
          <cell r="K2734" t="str">
            <v>probsi</v>
          </cell>
        </row>
        <row r="2735">
          <cell r="B2735" t="b">
            <v>1</v>
          </cell>
          <cell r="E2735" t="str">
            <v>Bosque</v>
          </cell>
          <cell r="H2735" t="str">
            <v>salud_oral</v>
          </cell>
          <cell r="J2735" t="str">
            <v>bueno</v>
          </cell>
          <cell r="K2735" t="str">
            <v>probsi</v>
          </cell>
        </row>
        <row r="2736">
          <cell r="B2736" t="b">
            <v>1</v>
          </cell>
          <cell r="E2736" t="str">
            <v>Bosque</v>
          </cell>
          <cell r="H2736" t="str">
            <v>salud_oral</v>
          </cell>
          <cell r="J2736" t="str">
            <v>bueno</v>
          </cell>
          <cell r="K2736" t="str">
            <v>probsi</v>
          </cell>
        </row>
        <row r="2737">
          <cell r="B2737" t="b">
            <v>1</v>
          </cell>
          <cell r="E2737" t="str">
            <v>Canapote</v>
          </cell>
          <cell r="H2737" t="str">
            <v>consulta_externa</v>
          </cell>
          <cell r="J2737" t="str">
            <v>bueno</v>
          </cell>
          <cell r="K2737" t="str">
            <v>defsi</v>
          </cell>
        </row>
        <row r="2738">
          <cell r="B2738" t="b">
            <v>1</v>
          </cell>
          <cell r="E2738" t="str">
            <v>Canapote</v>
          </cell>
          <cell r="H2738" t="str">
            <v>laboratorio</v>
          </cell>
          <cell r="J2738" t="str">
            <v>bueno</v>
          </cell>
          <cell r="K2738" t="str">
            <v>defsi</v>
          </cell>
        </row>
        <row r="2739">
          <cell r="B2739" t="b">
            <v>1</v>
          </cell>
          <cell r="E2739" t="str">
            <v>Bosque</v>
          </cell>
          <cell r="H2739" t="str">
            <v>salud_oral</v>
          </cell>
          <cell r="J2739" t="str">
            <v>bueno</v>
          </cell>
          <cell r="K2739" t="str">
            <v>probsi</v>
          </cell>
        </row>
        <row r="2740">
          <cell r="B2740" t="b">
            <v>1</v>
          </cell>
          <cell r="E2740" t="str">
            <v>Bosque</v>
          </cell>
          <cell r="H2740" t="str">
            <v>salud_oral</v>
          </cell>
          <cell r="J2740" t="str">
            <v>bueno</v>
          </cell>
          <cell r="K2740" t="str">
            <v>probsi</v>
          </cell>
        </row>
        <row r="2741">
          <cell r="B2741" t="b">
            <v>1</v>
          </cell>
          <cell r="E2741" t="str">
            <v>Canapote</v>
          </cell>
          <cell r="H2741" t="str">
            <v>salud_oral</v>
          </cell>
          <cell r="J2741" t="str">
            <v>bueno</v>
          </cell>
          <cell r="K2741" t="str">
            <v>defsi</v>
          </cell>
        </row>
        <row r="2742">
          <cell r="B2742" t="b">
            <v>1</v>
          </cell>
          <cell r="E2742" t="str">
            <v>Bayunca</v>
          </cell>
          <cell r="H2742" t="str">
            <v>salud_oral</v>
          </cell>
          <cell r="J2742" t="str">
            <v>bueno</v>
          </cell>
          <cell r="K2742" t="str">
            <v>defsi</v>
          </cell>
        </row>
        <row r="2743">
          <cell r="B2743" t="b">
            <v>1</v>
          </cell>
          <cell r="E2743" t="str">
            <v>Canapote</v>
          </cell>
          <cell r="H2743" t="str">
            <v>consulta_externa</v>
          </cell>
          <cell r="J2743" t="str">
            <v>muybueno</v>
          </cell>
          <cell r="K2743" t="str">
            <v>defsi</v>
          </cell>
        </row>
        <row r="2744">
          <cell r="B2744" t="b">
            <v>1</v>
          </cell>
          <cell r="E2744" t="str">
            <v>Canapote</v>
          </cell>
          <cell r="H2744" t="str">
            <v>laboratorio</v>
          </cell>
          <cell r="J2744" t="str">
            <v>muybueno</v>
          </cell>
          <cell r="K2744" t="str">
            <v>defsi</v>
          </cell>
        </row>
        <row r="2745">
          <cell r="B2745" t="b">
            <v>1</v>
          </cell>
          <cell r="E2745" t="str">
            <v>Bayunca</v>
          </cell>
          <cell r="H2745" t="str">
            <v>laboratorio</v>
          </cell>
          <cell r="J2745" t="str">
            <v>bueno</v>
          </cell>
          <cell r="K2745" t="str">
            <v>defsi</v>
          </cell>
        </row>
        <row r="2746">
          <cell r="B2746" t="b">
            <v>1</v>
          </cell>
          <cell r="E2746" t="str">
            <v>Bayunca</v>
          </cell>
          <cell r="H2746" t="str">
            <v>urgencia</v>
          </cell>
          <cell r="J2746" t="str">
            <v>bueno</v>
          </cell>
          <cell r="K2746" t="str">
            <v>defsi</v>
          </cell>
        </row>
        <row r="2747">
          <cell r="B2747" t="b">
            <v>1</v>
          </cell>
          <cell r="E2747" t="str">
            <v>Bayunca</v>
          </cell>
          <cell r="H2747" t="str">
            <v>consulta_externa</v>
          </cell>
          <cell r="J2747" t="str">
            <v>bueno</v>
          </cell>
          <cell r="K2747" t="str">
            <v>defsi</v>
          </cell>
        </row>
        <row r="2748">
          <cell r="B2748" t="b">
            <v>1</v>
          </cell>
          <cell r="E2748" t="str">
            <v>Bayunca</v>
          </cell>
          <cell r="H2748" t="str">
            <v>salud_oral</v>
          </cell>
          <cell r="J2748" t="str">
            <v>bueno</v>
          </cell>
          <cell r="K2748" t="str">
            <v>defsi</v>
          </cell>
        </row>
        <row r="2749">
          <cell r="B2749" t="b">
            <v>1</v>
          </cell>
          <cell r="E2749" t="str">
            <v>Bayunca</v>
          </cell>
          <cell r="H2749" t="str">
            <v>laboratorio</v>
          </cell>
          <cell r="J2749" t="str">
            <v>bueno</v>
          </cell>
          <cell r="K2749" t="str">
            <v>defsi</v>
          </cell>
        </row>
        <row r="2750">
          <cell r="B2750" t="b">
            <v>1</v>
          </cell>
          <cell r="E2750" t="str">
            <v>Bayunca</v>
          </cell>
          <cell r="H2750" t="str">
            <v>urgencia</v>
          </cell>
          <cell r="J2750" t="str">
            <v>bueno</v>
          </cell>
          <cell r="K2750" t="str">
            <v>defsi</v>
          </cell>
        </row>
        <row r="2751">
          <cell r="B2751" t="b">
            <v>1</v>
          </cell>
          <cell r="E2751" t="str">
            <v>Bayunca</v>
          </cell>
          <cell r="H2751" t="str">
            <v>consulta_externa</v>
          </cell>
          <cell r="J2751" t="str">
            <v>bueno</v>
          </cell>
          <cell r="K2751" t="str">
            <v>defsi</v>
          </cell>
        </row>
        <row r="2752">
          <cell r="B2752" t="b">
            <v>1</v>
          </cell>
          <cell r="E2752" t="str">
            <v>Bayunca</v>
          </cell>
          <cell r="H2752" t="str">
            <v>salud_oral</v>
          </cell>
          <cell r="J2752" t="str">
            <v>bueno</v>
          </cell>
          <cell r="K2752" t="str">
            <v>defsi</v>
          </cell>
        </row>
        <row r="2753">
          <cell r="B2753" t="b">
            <v>1</v>
          </cell>
          <cell r="E2753" t="str">
            <v>Canapote</v>
          </cell>
          <cell r="H2753" t="str">
            <v>laboratorio</v>
          </cell>
          <cell r="J2753" t="str">
            <v>muybueno</v>
          </cell>
          <cell r="K2753" t="str">
            <v>defsi</v>
          </cell>
        </row>
        <row r="2754">
          <cell r="B2754" t="b">
            <v>1</v>
          </cell>
          <cell r="E2754" t="str">
            <v>Bayunca</v>
          </cell>
          <cell r="H2754" t="str">
            <v>laboratorio</v>
          </cell>
          <cell r="J2754" t="str">
            <v>bueno</v>
          </cell>
          <cell r="K2754" t="str">
            <v>defsi</v>
          </cell>
        </row>
        <row r="2755">
          <cell r="B2755" t="b">
            <v>1</v>
          </cell>
          <cell r="E2755" t="str">
            <v>Canapote</v>
          </cell>
          <cell r="H2755" t="str">
            <v>salud_oral</v>
          </cell>
          <cell r="J2755" t="str">
            <v>muybueno</v>
          </cell>
          <cell r="K2755" t="str">
            <v>defsi</v>
          </cell>
        </row>
        <row r="2756">
          <cell r="B2756" t="b">
            <v>1</v>
          </cell>
          <cell r="E2756" t="str">
            <v>Bayunca</v>
          </cell>
          <cell r="H2756" t="str">
            <v>urgencia</v>
          </cell>
          <cell r="J2756" t="str">
            <v>bueno</v>
          </cell>
          <cell r="K2756" t="str">
            <v>defsi</v>
          </cell>
        </row>
        <row r="2757">
          <cell r="B2757" t="b">
            <v>1</v>
          </cell>
          <cell r="E2757" t="str">
            <v>Bayunca</v>
          </cell>
          <cell r="H2757" t="str">
            <v>consulta_externa</v>
          </cell>
          <cell r="J2757" t="str">
            <v>bueno</v>
          </cell>
          <cell r="K2757" t="str">
            <v>defsi</v>
          </cell>
        </row>
        <row r="2758">
          <cell r="B2758" t="b">
            <v>1</v>
          </cell>
          <cell r="E2758" t="str">
            <v>Bayunca</v>
          </cell>
          <cell r="H2758" t="str">
            <v>salud_oral</v>
          </cell>
          <cell r="J2758" t="str">
            <v>bueno</v>
          </cell>
          <cell r="K2758" t="str">
            <v>defsi</v>
          </cell>
        </row>
        <row r="2759">
          <cell r="B2759" t="b">
            <v>1</v>
          </cell>
          <cell r="E2759" t="str">
            <v>Canapote</v>
          </cell>
          <cell r="H2759" t="str">
            <v>consulta_externa</v>
          </cell>
          <cell r="J2759" t="str">
            <v>bueno</v>
          </cell>
          <cell r="K2759" t="str">
            <v>defsi</v>
          </cell>
        </row>
        <row r="2760">
          <cell r="B2760" t="b">
            <v>1</v>
          </cell>
          <cell r="E2760" t="str">
            <v>Bayunca</v>
          </cell>
          <cell r="H2760" t="str">
            <v>laboratorio</v>
          </cell>
          <cell r="J2760" t="str">
            <v>bueno</v>
          </cell>
          <cell r="K2760" t="str">
            <v>defsi</v>
          </cell>
        </row>
        <row r="2761">
          <cell r="B2761" t="b">
            <v>0</v>
          </cell>
          <cell r="E2761" t="str">
            <v>Canapote</v>
          </cell>
          <cell r="H2761" t="str">
            <v>salud_oral</v>
          </cell>
          <cell r="J2761" t="str">
            <v>regular</v>
          </cell>
          <cell r="K2761" t="str">
            <v>probno</v>
          </cell>
        </row>
        <row r="2762">
          <cell r="B2762" t="b">
            <v>0</v>
          </cell>
          <cell r="E2762" t="str">
            <v>Canapote</v>
          </cell>
          <cell r="H2762" t="str">
            <v>salud_oral</v>
          </cell>
          <cell r="J2762" t="str">
            <v>regular</v>
          </cell>
          <cell r="K2762" t="str">
            <v>probno</v>
          </cell>
        </row>
        <row r="2763">
          <cell r="B2763" t="b">
            <v>1</v>
          </cell>
          <cell r="E2763" t="str">
            <v>Canapote</v>
          </cell>
          <cell r="H2763" t="str">
            <v>salud_oral</v>
          </cell>
          <cell r="J2763" t="str">
            <v>bueno</v>
          </cell>
          <cell r="K2763" t="str">
            <v>defsi</v>
          </cell>
        </row>
        <row r="2764">
          <cell r="B2764" t="b">
            <v>1</v>
          </cell>
          <cell r="E2764" t="str">
            <v>Bosque</v>
          </cell>
          <cell r="H2764" t="str">
            <v>laboratorio</v>
          </cell>
          <cell r="J2764" t="str">
            <v>bueno</v>
          </cell>
          <cell r="K2764" t="str">
            <v>probsi</v>
          </cell>
        </row>
        <row r="2765">
          <cell r="B2765" t="b">
            <v>1</v>
          </cell>
          <cell r="E2765" t="str">
            <v>Bosque</v>
          </cell>
          <cell r="H2765" t="str">
            <v>laboratorio</v>
          </cell>
          <cell r="J2765" t="str">
            <v>bueno</v>
          </cell>
          <cell r="K2765" t="str">
            <v>probsi</v>
          </cell>
        </row>
        <row r="2766">
          <cell r="B2766" t="b">
            <v>1</v>
          </cell>
          <cell r="E2766" t="str">
            <v>Bosque</v>
          </cell>
          <cell r="H2766" t="str">
            <v>laboratorio</v>
          </cell>
          <cell r="J2766" t="str">
            <v>bueno</v>
          </cell>
          <cell r="K2766" t="str">
            <v>probsi</v>
          </cell>
        </row>
        <row r="2767">
          <cell r="B2767" t="b">
            <v>1</v>
          </cell>
          <cell r="E2767" t="str">
            <v>Bosque</v>
          </cell>
          <cell r="H2767" t="str">
            <v>laboratorio</v>
          </cell>
          <cell r="J2767" t="str">
            <v>bueno</v>
          </cell>
          <cell r="K2767" t="str">
            <v>probsi</v>
          </cell>
        </row>
        <row r="2768">
          <cell r="B2768" t="b">
            <v>1</v>
          </cell>
          <cell r="E2768" t="str">
            <v>Bosque</v>
          </cell>
          <cell r="H2768" t="str">
            <v>laboratorio</v>
          </cell>
          <cell r="J2768" t="str">
            <v>bueno</v>
          </cell>
          <cell r="K2768" t="str">
            <v>probsi</v>
          </cell>
        </row>
        <row r="2769">
          <cell r="B2769" t="b">
            <v>1</v>
          </cell>
          <cell r="E2769" t="str">
            <v>Bosque</v>
          </cell>
          <cell r="H2769" t="str">
            <v>laboratorio</v>
          </cell>
          <cell r="J2769" t="str">
            <v>bueno</v>
          </cell>
          <cell r="K2769" t="str">
            <v>probsi</v>
          </cell>
        </row>
        <row r="2770">
          <cell r="B2770" t="b">
            <v>1</v>
          </cell>
          <cell r="E2770" t="str">
            <v>Bosque</v>
          </cell>
          <cell r="H2770" t="str">
            <v>laboratorio</v>
          </cell>
          <cell r="J2770" t="str">
            <v>bueno</v>
          </cell>
          <cell r="K2770" t="str">
            <v>probsi</v>
          </cell>
        </row>
        <row r="2771">
          <cell r="B2771" t="b">
            <v>1</v>
          </cell>
          <cell r="E2771" t="str">
            <v>Bosque</v>
          </cell>
          <cell r="H2771" t="str">
            <v>laboratorio</v>
          </cell>
          <cell r="J2771" t="str">
            <v>bueno</v>
          </cell>
          <cell r="K2771" t="str">
            <v>probsi</v>
          </cell>
        </row>
        <row r="2772">
          <cell r="B2772" t="b">
            <v>1</v>
          </cell>
          <cell r="E2772" t="str">
            <v>Bayunca</v>
          </cell>
          <cell r="H2772" t="str">
            <v>urgencia</v>
          </cell>
          <cell r="J2772" t="str">
            <v>bueno</v>
          </cell>
          <cell r="K2772" t="str">
            <v>defsi</v>
          </cell>
        </row>
        <row r="2773">
          <cell r="B2773" t="b">
            <v>1</v>
          </cell>
          <cell r="E2773" t="str">
            <v>Bayunca</v>
          </cell>
          <cell r="H2773" t="str">
            <v>consulta_externa</v>
          </cell>
          <cell r="J2773" t="str">
            <v>bueno</v>
          </cell>
          <cell r="K2773" t="str">
            <v>defsi</v>
          </cell>
        </row>
        <row r="2774">
          <cell r="B2774" t="b">
            <v>1</v>
          </cell>
          <cell r="E2774" t="str">
            <v>Bayunca</v>
          </cell>
          <cell r="H2774" t="str">
            <v>salud_oral</v>
          </cell>
          <cell r="J2774" t="str">
            <v>bueno</v>
          </cell>
          <cell r="K2774" t="str">
            <v>defsi</v>
          </cell>
        </row>
        <row r="2775">
          <cell r="B2775" t="b">
            <v>1</v>
          </cell>
          <cell r="E2775" t="str">
            <v>Bayunca</v>
          </cell>
          <cell r="H2775" t="str">
            <v>laboratorio</v>
          </cell>
          <cell r="J2775" t="str">
            <v>bueno</v>
          </cell>
          <cell r="K2775" t="str">
            <v>defsi</v>
          </cell>
        </row>
        <row r="2776">
          <cell r="B2776" t="b">
            <v>1</v>
          </cell>
          <cell r="E2776" t="str">
            <v>Bayunca</v>
          </cell>
          <cell r="H2776" t="str">
            <v>urgencia</v>
          </cell>
          <cell r="J2776" t="str">
            <v>bueno</v>
          </cell>
          <cell r="K2776" t="str">
            <v>defsi</v>
          </cell>
        </row>
        <row r="2777">
          <cell r="B2777" t="b">
            <v>1</v>
          </cell>
          <cell r="E2777" t="str">
            <v>Bayunca</v>
          </cell>
          <cell r="H2777" t="str">
            <v>consulta_externa</v>
          </cell>
          <cell r="J2777" t="str">
            <v>bueno</v>
          </cell>
          <cell r="K2777" t="str">
            <v>defsi</v>
          </cell>
        </row>
        <row r="2778">
          <cell r="B2778" t="b">
            <v>1</v>
          </cell>
          <cell r="E2778" t="str">
            <v>Bayunca</v>
          </cell>
          <cell r="H2778" t="str">
            <v>salud_oral</v>
          </cell>
          <cell r="J2778" t="str">
            <v>bueno</v>
          </cell>
          <cell r="K2778" t="str">
            <v>defsi</v>
          </cell>
        </row>
        <row r="2779">
          <cell r="B2779" t="b">
            <v>1</v>
          </cell>
          <cell r="E2779" t="str">
            <v>Bayunca</v>
          </cell>
          <cell r="H2779" t="str">
            <v>laboratorio</v>
          </cell>
          <cell r="J2779" t="str">
            <v>bueno</v>
          </cell>
          <cell r="K2779" t="str">
            <v>defsi</v>
          </cell>
        </row>
        <row r="2780">
          <cell r="B2780" t="b">
            <v>1</v>
          </cell>
          <cell r="E2780" t="str">
            <v>Bayunca</v>
          </cell>
          <cell r="H2780" t="str">
            <v>urgencia</v>
          </cell>
          <cell r="J2780" t="str">
            <v>bueno</v>
          </cell>
          <cell r="K2780" t="str">
            <v>defsi</v>
          </cell>
        </row>
        <row r="2781">
          <cell r="B2781" t="b">
            <v>1</v>
          </cell>
          <cell r="E2781" t="str">
            <v>Canapote</v>
          </cell>
          <cell r="H2781" t="str">
            <v>consulta_externa</v>
          </cell>
          <cell r="J2781" t="str">
            <v>bueno</v>
          </cell>
          <cell r="K2781" t="str">
            <v>defsi</v>
          </cell>
        </row>
        <row r="2782">
          <cell r="B2782" t="b">
            <v>0</v>
          </cell>
          <cell r="E2782" t="str">
            <v>Canapote</v>
          </cell>
          <cell r="H2782" t="str">
            <v>laboratorio</v>
          </cell>
          <cell r="J2782" t="str">
            <v>regular</v>
          </cell>
          <cell r="K2782" t="str">
            <v>defsi</v>
          </cell>
        </row>
        <row r="2783">
          <cell r="B2783" t="b">
            <v>1</v>
          </cell>
          <cell r="E2783" t="str">
            <v>Canapote</v>
          </cell>
          <cell r="H2783" t="str">
            <v>salud_oral</v>
          </cell>
          <cell r="J2783" t="str">
            <v>bueno</v>
          </cell>
          <cell r="K2783" t="str">
            <v>defsi</v>
          </cell>
        </row>
        <row r="2784">
          <cell r="B2784" t="b">
            <v>1</v>
          </cell>
          <cell r="E2784" t="str">
            <v>Canapote</v>
          </cell>
          <cell r="H2784" t="str">
            <v>salud_oral</v>
          </cell>
          <cell r="J2784" t="str">
            <v>bueno</v>
          </cell>
          <cell r="K2784" t="str">
            <v>defsi</v>
          </cell>
        </row>
        <row r="2785">
          <cell r="B2785" t="b">
            <v>1</v>
          </cell>
          <cell r="E2785" t="str">
            <v>Canapote</v>
          </cell>
          <cell r="H2785" t="str">
            <v>salud_oral</v>
          </cell>
          <cell r="J2785" t="str">
            <v>bueno</v>
          </cell>
          <cell r="K2785" t="str">
            <v>defsi</v>
          </cell>
        </row>
        <row r="2786">
          <cell r="B2786" t="b">
            <v>1</v>
          </cell>
          <cell r="E2786" t="str">
            <v>Canapote</v>
          </cell>
          <cell r="H2786" t="str">
            <v>salud_oral</v>
          </cell>
          <cell r="J2786" t="str">
            <v>bueno</v>
          </cell>
          <cell r="K2786" t="str">
            <v>defsi</v>
          </cell>
        </row>
        <row r="2787">
          <cell r="B2787" t="b">
            <v>0</v>
          </cell>
          <cell r="E2787" t="str">
            <v>Canapote</v>
          </cell>
          <cell r="H2787" t="str">
            <v>salud_oral</v>
          </cell>
          <cell r="J2787" t="str">
            <v>regular</v>
          </cell>
          <cell r="K2787" t="str">
            <v>defsi</v>
          </cell>
        </row>
        <row r="2788">
          <cell r="B2788" t="b">
            <v>0</v>
          </cell>
          <cell r="E2788" t="str">
            <v>Canapote</v>
          </cell>
          <cell r="H2788" t="str">
            <v>consulta_externa</v>
          </cell>
          <cell r="J2788" t="str">
            <v>regular</v>
          </cell>
          <cell r="K2788" t="str">
            <v>defsi</v>
          </cell>
        </row>
        <row r="2789">
          <cell r="B2789" t="b">
            <v>1</v>
          </cell>
          <cell r="E2789" t="str">
            <v>Canapote</v>
          </cell>
          <cell r="H2789" t="str">
            <v>consulta_externa</v>
          </cell>
          <cell r="J2789" t="str">
            <v>bueno</v>
          </cell>
          <cell r="K2789" t="str">
            <v>defsi</v>
          </cell>
        </row>
        <row r="2790">
          <cell r="B2790" t="b">
            <v>1</v>
          </cell>
          <cell r="E2790" t="str">
            <v>Canapote</v>
          </cell>
          <cell r="H2790" t="str">
            <v>consulta_externa</v>
          </cell>
          <cell r="J2790" t="str">
            <v>bueno</v>
          </cell>
          <cell r="K2790" t="str">
            <v>defsi</v>
          </cell>
        </row>
        <row r="2791">
          <cell r="B2791" t="b">
            <v>1</v>
          </cell>
          <cell r="E2791" t="str">
            <v>Canapote</v>
          </cell>
          <cell r="H2791" t="str">
            <v>laboratorio</v>
          </cell>
          <cell r="J2791" t="str">
            <v>bueno</v>
          </cell>
          <cell r="K2791" t="str">
            <v>defsi</v>
          </cell>
        </row>
        <row r="2792">
          <cell r="B2792" t="b">
            <v>1</v>
          </cell>
          <cell r="E2792" t="str">
            <v>Canapote</v>
          </cell>
          <cell r="H2792" t="str">
            <v>consulta_externa</v>
          </cell>
          <cell r="J2792" t="str">
            <v>bueno</v>
          </cell>
          <cell r="K2792" t="str">
            <v>defsi</v>
          </cell>
        </row>
        <row r="2793">
          <cell r="B2793" t="b">
            <v>1</v>
          </cell>
          <cell r="E2793" t="str">
            <v>Canapote</v>
          </cell>
          <cell r="H2793" t="str">
            <v>consulta_externa</v>
          </cell>
          <cell r="J2793" t="str">
            <v>bueno</v>
          </cell>
          <cell r="K2793" t="str">
            <v>defsi</v>
          </cell>
        </row>
        <row r="2794">
          <cell r="B2794" t="b">
            <v>1</v>
          </cell>
          <cell r="E2794" t="str">
            <v>Daniel Lemaitre</v>
          </cell>
          <cell r="H2794" t="str">
            <v>consulta_externa</v>
          </cell>
          <cell r="J2794" t="str">
            <v>bueno</v>
          </cell>
          <cell r="K2794" t="str">
            <v>defsi</v>
          </cell>
        </row>
        <row r="2795">
          <cell r="B2795" t="b">
            <v>0</v>
          </cell>
          <cell r="E2795" t="str">
            <v>Daniel Lemaitre</v>
          </cell>
          <cell r="H2795" t="str">
            <v>consulta_externa</v>
          </cell>
          <cell r="J2795" t="str">
            <v>regular</v>
          </cell>
          <cell r="K2795" t="str">
            <v>defsi</v>
          </cell>
        </row>
        <row r="2796">
          <cell r="B2796" t="b">
            <v>0</v>
          </cell>
          <cell r="E2796" t="str">
            <v>Daniel Lemaitre</v>
          </cell>
          <cell r="H2796" t="str">
            <v>consulta_externa</v>
          </cell>
          <cell r="J2796" t="str">
            <v>regular</v>
          </cell>
          <cell r="K2796" t="str">
            <v>defsi</v>
          </cell>
        </row>
        <row r="2797">
          <cell r="B2797" t="b">
            <v>0</v>
          </cell>
          <cell r="E2797" t="str">
            <v>Daniel Lemaitre</v>
          </cell>
          <cell r="H2797" t="str">
            <v>laboratorio</v>
          </cell>
          <cell r="J2797" t="str">
            <v>regular</v>
          </cell>
          <cell r="K2797" t="str">
            <v>defsi</v>
          </cell>
        </row>
        <row r="2798">
          <cell r="B2798" t="b">
            <v>1</v>
          </cell>
          <cell r="E2798" t="str">
            <v>Daniel Lemaitre</v>
          </cell>
          <cell r="H2798" t="str">
            <v>consulta_externa</v>
          </cell>
          <cell r="J2798" t="str">
            <v>bueno</v>
          </cell>
          <cell r="K2798" t="str">
            <v>defsi</v>
          </cell>
        </row>
        <row r="2799">
          <cell r="B2799" t="b">
            <v>1</v>
          </cell>
          <cell r="E2799" t="str">
            <v>Daniel Lemaitre</v>
          </cell>
          <cell r="H2799" t="str">
            <v>laboratorio</v>
          </cell>
          <cell r="J2799" t="str">
            <v>bueno</v>
          </cell>
          <cell r="K2799" t="str">
            <v>defsi</v>
          </cell>
        </row>
        <row r="2800">
          <cell r="B2800" t="b">
            <v>1</v>
          </cell>
          <cell r="E2800" t="str">
            <v>Daniel Lemaitre</v>
          </cell>
          <cell r="H2800" t="str">
            <v>laboratorio</v>
          </cell>
          <cell r="J2800" t="str">
            <v>muybueno</v>
          </cell>
          <cell r="K2800" t="str">
            <v>defsi</v>
          </cell>
        </row>
        <row r="2801">
          <cell r="B2801" t="b">
            <v>1</v>
          </cell>
          <cell r="E2801" t="str">
            <v>Daniel Lemaitre</v>
          </cell>
          <cell r="H2801" t="str">
            <v>laboratorio</v>
          </cell>
          <cell r="J2801" t="str">
            <v>muybueno</v>
          </cell>
          <cell r="K2801" t="str">
            <v>defsi</v>
          </cell>
        </row>
        <row r="2802">
          <cell r="B2802" t="b">
            <v>1</v>
          </cell>
          <cell r="E2802" t="str">
            <v>Daniel Lemaitre</v>
          </cell>
          <cell r="H2802" t="str">
            <v>consulta_externa</v>
          </cell>
          <cell r="J2802" t="str">
            <v>muybueno</v>
          </cell>
          <cell r="K2802" t="str">
            <v>defsi</v>
          </cell>
        </row>
        <row r="2803">
          <cell r="B2803" t="b">
            <v>1</v>
          </cell>
          <cell r="E2803" t="str">
            <v>Daniel Lemaitre</v>
          </cell>
          <cell r="H2803" t="str">
            <v>consulta_externa</v>
          </cell>
          <cell r="J2803" t="str">
            <v>bueno</v>
          </cell>
          <cell r="K2803" t="str">
            <v>probsi</v>
          </cell>
        </row>
        <row r="2804">
          <cell r="B2804" t="b">
            <v>1</v>
          </cell>
          <cell r="E2804" t="str">
            <v>Daniel Lemaitre</v>
          </cell>
          <cell r="H2804" t="str">
            <v>consulta_externa</v>
          </cell>
          <cell r="J2804" t="str">
            <v>bueno</v>
          </cell>
          <cell r="K2804" t="str">
            <v>defsi</v>
          </cell>
        </row>
        <row r="2805">
          <cell r="B2805" t="b">
            <v>1</v>
          </cell>
          <cell r="E2805" t="str">
            <v>Daniel Lemaitre</v>
          </cell>
          <cell r="H2805" t="str">
            <v>salud_oral</v>
          </cell>
          <cell r="J2805" t="str">
            <v>bueno</v>
          </cell>
          <cell r="K2805" t="str">
            <v>defsi</v>
          </cell>
        </row>
        <row r="2806">
          <cell r="B2806" t="b">
            <v>1</v>
          </cell>
          <cell r="E2806" t="str">
            <v>Bosque</v>
          </cell>
          <cell r="H2806" t="str">
            <v>salud_oral</v>
          </cell>
          <cell r="J2806" t="str">
            <v>bueno</v>
          </cell>
          <cell r="K2806" t="str">
            <v>probsi</v>
          </cell>
        </row>
        <row r="2807">
          <cell r="B2807" t="b">
            <v>1</v>
          </cell>
          <cell r="E2807" t="str">
            <v>Bosque</v>
          </cell>
          <cell r="H2807" t="str">
            <v>salud_oral</v>
          </cell>
          <cell r="J2807" t="str">
            <v>bueno</v>
          </cell>
          <cell r="K2807" t="str">
            <v>probsi</v>
          </cell>
        </row>
        <row r="2808">
          <cell r="B2808" t="b">
            <v>1</v>
          </cell>
          <cell r="E2808" t="str">
            <v>Bosque</v>
          </cell>
          <cell r="H2808" t="str">
            <v>salud_oral</v>
          </cell>
          <cell r="J2808" t="str">
            <v>bueno</v>
          </cell>
          <cell r="K2808" t="str">
            <v>probsi</v>
          </cell>
        </row>
        <row r="2809">
          <cell r="B2809" t="b">
            <v>1</v>
          </cell>
          <cell r="E2809" t="str">
            <v>Bosque</v>
          </cell>
          <cell r="H2809" t="str">
            <v>salud_oral</v>
          </cell>
          <cell r="J2809" t="str">
            <v>bueno</v>
          </cell>
          <cell r="K2809" t="str">
            <v>probsi</v>
          </cell>
        </row>
        <row r="2810">
          <cell r="B2810" t="b">
            <v>1</v>
          </cell>
          <cell r="E2810" t="str">
            <v>Bosque</v>
          </cell>
          <cell r="H2810" t="str">
            <v>salud_oral</v>
          </cell>
          <cell r="J2810" t="str">
            <v>bueno</v>
          </cell>
          <cell r="K2810" t="str">
            <v>probsi</v>
          </cell>
        </row>
        <row r="2811">
          <cell r="B2811" t="b">
            <v>1</v>
          </cell>
          <cell r="E2811" t="str">
            <v>Bosque</v>
          </cell>
          <cell r="H2811" t="str">
            <v>salud_oral</v>
          </cell>
          <cell r="J2811" t="str">
            <v>bueno</v>
          </cell>
          <cell r="K2811" t="str">
            <v>probsi</v>
          </cell>
        </row>
        <row r="2812">
          <cell r="B2812" t="b">
            <v>1</v>
          </cell>
          <cell r="E2812" t="str">
            <v>Bosque</v>
          </cell>
          <cell r="H2812" t="str">
            <v>laboratorio</v>
          </cell>
          <cell r="J2812" t="str">
            <v>bueno</v>
          </cell>
          <cell r="K2812" t="str">
            <v>probsi</v>
          </cell>
        </row>
        <row r="2813">
          <cell r="B2813" t="b">
            <v>1</v>
          </cell>
          <cell r="E2813" t="str">
            <v>Bosque</v>
          </cell>
          <cell r="H2813" t="str">
            <v>laboratorio</v>
          </cell>
          <cell r="J2813" t="str">
            <v>bueno</v>
          </cell>
          <cell r="K2813" t="str">
            <v>probsi</v>
          </cell>
        </row>
        <row r="2814">
          <cell r="B2814" t="b">
            <v>1</v>
          </cell>
          <cell r="E2814" t="str">
            <v>Bosque</v>
          </cell>
          <cell r="H2814" t="str">
            <v>consulta_externa</v>
          </cell>
          <cell r="J2814" t="str">
            <v>bueno</v>
          </cell>
          <cell r="K2814" t="str">
            <v>probsi</v>
          </cell>
        </row>
        <row r="2815">
          <cell r="B2815" t="b">
            <v>1</v>
          </cell>
          <cell r="E2815" t="str">
            <v>Bosque</v>
          </cell>
          <cell r="H2815" t="str">
            <v>consulta_externa</v>
          </cell>
          <cell r="J2815" t="str">
            <v>bueno</v>
          </cell>
          <cell r="K2815" t="str">
            <v>probsi</v>
          </cell>
        </row>
        <row r="2816">
          <cell r="B2816" t="b">
            <v>1</v>
          </cell>
          <cell r="E2816" t="str">
            <v>Los Cerros</v>
          </cell>
          <cell r="H2816" t="str">
            <v>consulta_externa</v>
          </cell>
          <cell r="J2816" t="str">
            <v>bueno</v>
          </cell>
          <cell r="K2816" t="str">
            <v>probsi</v>
          </cell>
        </row>
        <row r="2817">
          <cell r="B2817" t="b">
            <v>1</v>
          </cell>
          <cell r="E2817" t="str">
            <v>Los Cerros</v>
          </cell>
          <cell r="H2817" t="str">
            <v>consulta_externa</v>
          </cell>
          <cell r="J2817" t="str">
            <v>bueno</v>
          </cell>
          <cell r="K2817" t="str">
            <v>probsi</v>
          </cell>
        </row>
        <row r="2818">
          <cell r="B2818" t="b">
            <v>1</v>
          </cell>
          <cell r="E2818" t="str">
            <v>Los Cerros</v>
          </cell>
          <cell r="H2818" t="str">
            <v>consulta_externa</v>
          </cell>
          <cell r="J2818" t="str">
            <v>bueno</v>
          </cell>
          <cell r="K2818" t="str">
            <v>probsi</v>
          </cell>
        </row>
        <row r="2819">
          <cell r="B2819" t="b">
            <v>1</v>
          </cell>
          <cell r="E2819" t="str">
            <v>Los Cerros</v>
          </cell>
          <cell r="H2819" t="str">
            <v>consulta_externa</v>
          </cell>
          <cell r="J2819" t="str">
            <v>bueno</v>
          </cell>
          <cell r="K2819" t="str">
            <v>probsi</v>
          </cell>
        </row>
        <row r="2820">
          <cell r="B2820" t="b">
            <v>1</v>
          </cell>
          <cell r="E2820" t="str">
            <v>Los Cerros</v>
          </cell>
          <cell r="H2820" t="str">
            <v>consulta_externa</v>
          </cell>
          <cell r="J2820" t="str">
            <v>bueno</v>
          </cell>
          <cell r="K2820" t="str">
            <v>probsi</v>
          </cell>
        </row>
        <row r="2821">
          <cell r="B2821" t="b">
            <v>1</v>
          </cell>
          <cell r="E2821" t="str">
            <v>Los Cerros</v>
          </cell>
          <cell r="H2821" t="str">
            <v>consulta_externa</v>
          </cell>
          <cell r="J2821" t="str">
            <v>bueno</v>
          </cell>
          <cell r="K2821" t="str">
            <v>probsi</v>
          </cell>
        </row>
        <row r="2822">
          <cell r="B2822" t="b">
            <v>1</v>
          </cell>
          <cell r="E2822" t="str">
            <v>Los Cerros</v>
          </cell>
          <cell r="H2822" t="str">
            <v>consulta_externa</v>
          </cell>
          <cell r="J2822" t="str">
            <v>bueno</v>
          </cell>
          <cell r="K2822" t="str">
            <v>probsi</v>
          </cell>
        </row>
        <row r="2823">
          <cell r="B2823" t="b">
            <v>1</v>
          </cell>
          <cell r="E2823" t="str">
            <v>Los Cerros</v>
          </cell>
          <cell r="H2823" t="str">
            <v>salud_oral</v>
          </cell>
          <cell r="J2823" t="str">
            <v>bueno</v>
          </cell>
          <cell r="K2823" t="str">
            <v>probsi</v>
          </cell>
        </row>
        <row r="2824">
          <cell r="B2824" t="b">
            <v>1</v>
          </cell>
          <cell r="E2824" t="str">
            <v>Los Cerros</v>
          </cell>
          <cell r="H2824" t="str">
            <v>salud_oral</v>
          </cell>
          <cell r="J2824" t="str">
            <v>bueno</v>
          </cell>
          <cell r="K2824" t="str">
            <v>probsi</v>
          </cell>
        </row>
        <row r="2825">
          <cell r="B2825" t="b">
            <v>1</v>
          </cell>
          <cell r="E2825" t="str">
            <v>Los Cerros</v>
          </cell>
          <cell r="H2825" t="str">
            <v>salud_oral</v>
          </cell>
          <cell r="J2825" t="str">
            <v>bueno</v>
          </cell>
          <cell r="K2825" t="str">
            <v>probsi</v>
          </cell>
        </row>
        <row r="2826">
          <cell r="B2826" t="b">
            <v>1</v>
          </cell>
          <cell r="E2826" t="str">
            <v>Los Cerros</v>
          </cell>
          <cell r="H2826" t="str">
            <v>salud_oral</v>
          </cell>
          <cell r="J2826" t="str">
            <v>bueno</v>
          </cell>
          <cell r="K2826" t="str">
            <v>probsi</v>
          </cell>
        </row>
        <row r="2827">
          <cell r="B2827" t="b">
            <v>1</v>
          </cell>
          <cell r="E2827" t="str">
            <v>Los Cerros</v>
          </cell>
          <cell r="H2827" t="str">
            <v>salud_oral</v>
          </cell>
          <cell r="J2827" t="str">
            <v>bueno</v>
          </cell>
          <cell r="K2827" t="str">
            <v>probsi</v>
          </cell>
        </row>
        <row r="2828">
          <cell r="B2828" t="b">
            <v>1</v>
          </cell>
          <cell r="E2828" t="str">
            <v>Los Cerros</v>
          </cell>
          <cell r="H2828" t="str">
            <v>salud_oral</v>
          </cell>
          <cell r="J2828" t="str">
            <v>bueno</v>
          </cell>
          <cell r="K2828" t="str">
            <v>probsi</v>
          </cell>
        </row>
        <row r="2829">
          <cell r="B2829" t="b">
            <v>0</v>
          </cell>
          <cell r="E2829" t="str">
            <v>Los Cerros</v>
          </cell>
          <cell r="H2829" t="str">
            <v>laboratorio</v>
          </cell>
          <cell r="J2829" t="str">
            <v>regular</v>
          </cell>
          <cell r="K2829" t="str">
            <v>probsi</v>
          </cell>
        </row>
        <row r="2830">
          <cell r="B2830" t="b">
            <v>0</v>
          </cell>
          <cell r="E2830" t="str">
            <v>Los Cerros</v>
          </cell>
          <cell r="H2830" t="str">
            <v>laboratorio</v>
          </cell>
          <cell r="J2830" t="str">
            <v>regular</v>
          </cell>
          <cell r="K2830" t="str">
            <v>probsi</v>
          </cell>
        </row>
        <row r="2831">
          <cell r="B2831" t="b">
            <v>0</v>
          </cell>
          <cell r="E2831" t="str">
            <v>Los Cerros</v>
          </cell>
          <cell r="H2831" t="str">
            <v>laboratorio</v>
          </cell>
          <cell r="J2831" t="str">
            <v>regular</v>
          </cell>
          <cell r="K2831" t="str">
            <v>probsi</v>
          </cell>
        </row>
        <row r="2832">
          <cell r="B2832" t="b">
            <v>1</v>
          </cell>
          <cell r="E2832" t="str">
            <v>Los Cerros</v>
          </cell>
          <cell r="H2832" t="str">
            <v>laboratorio</v>
          </cell>
          <cell r="J2832" t="str">
            <v>bueno</v>
          </cell>
          <cell r="K2832" t="str">
            <v>probsi</v>
          </cell>
        </row>
        <row r="2833">
          <cell r="B2833" t="b">
            <v>1</v>
          </cell>
          <cell r="E2833" t="str">
            <v>Los Cerros</v>
          </cell>
          <cell r="H2833" t="str">
            <v>laboratorio</v>
          </cell>
          <cell r="J2833" t="str">
            <v>bueno</v>
          </cell>
          <cell r="K2833" t="str">
            <v>probsi</v>
          </cell>
        </row>
        <row r="2834">
          <cell r="B2834" t="b">
            <v>1</v>
          </cell>
          <cell r="E2834" t="str">
            <v>Los Cerros</v>
          </cell>
          <cell r="H2834" t="str">
            <v>laboratorio</v>
          </cell>
          <cell r="J2834" t="str">
            <v>bueno</v>
          </cell>
          <cell r="K2834" t="str">
            <v>probsi</v>
          </cell>
        </row>
        <row r="2835">
          <cell r="B2835" t="b">
            <v>1</v>
          </cell>
          <cell r="E2835" t="str">
            <v>Daniel Lemaitre</v>
          </cell>
          <cell r="H2835" t="str">
            <v>salud_oral</v>
          </cell>
          <cell r="J2835" t="str">
            <v>bueno</v>
          </cell>
          <cell r="K2835" t="str">
            <v>defsi</v>
          </cell>
        </row>
        <row r="2836">
          <cell r="B2836" t="b">
            <v>1</v>
          </cell>
          <cell r="E2836" t="str">
            <v>Daniel Lemaitre</v>
          </cell>
          <cell r="H2836" t="str">
            <v>salud_oral</v>
          </cell>
          <cell r="J2836" t="str">
            <v>bueno</v>
          </cell>
          <cell r="K2836" t="str">
            <v>defsi</v>
          </cell>
        </row>
        <row r="2837">
          <cell r="B2837" t="b">
            <v>1</v>
          </cell>
          <cell r="E2837" t="str">
            <v>Bayunca</v>
          </cell>
          <cell r="H2837" t="str">
            <v>consulta_externa</v>
          </cell>
          <cell r="J2837" t="str">
            <v>bueno</v>
          </cell>
          <cell r="K2837" t="str">
            <v>defsi</v>
          </cell>
        </row>
        <row r="2838">
          <cell r="B2838" t="b">
            <v>1</v>
          </cell>
          <cell r="E2838" t="str">
            <v>Daniel Lemaitre</v>
          </cell>
          <cell r="H2838" t="str">
            <v>consulta_externa</v>
          </cell>
          <cell r="J2838" t="str">
            <v>bueno</v>
          </cell>
          <cell r="K2838" t="str">
            <v>defsi</v>
          </cell>
        </row>
        <row r="2839">
          <cell r="B2839" t="b">
            <v>1</v>
          </cell>
          <cell r="E2839" t="str">
            <v>Daniel Lemaitre</v>
          </cell>
          <cell r="H2839" t="str">
            <v>laboratorio</v>
          </cell>
          <cell r="J2839" t="str">
            <v>bueno</v>
          </cell>
          <cell r="K2839" t="str">
            <v>defsi</v>
          </cell>
        </row>
        <row r="2840">
          <cell r="B2840" t="b">
            <v>1</v>
          </cell>
          <cell r="E2840" t="str">
            <v>Bayunca</v>
          </cell>
          <cell r="H2840" t="str">
            <v>salud_oral</v>
          </cell>
          <cell r="J2840" t="str">
            <v>bueno</v>
          </cell>
          <cell r="K2840" t="str">
            <v>defsi</v>
          </cell>
        </row>
        <row r="2841">
          <cell r="B2841" t="b">
            <v>1</v>
          </cell>
          <cell r="E2841" t="str">
            <v>Daniel Lemaitre</v>
          </cell>
          <cell r="H2841" t="str">
            <v>laboratorio</v>
          </cell>
          <cell r="J2841" t="str">
            <v>bueno</v>
          </cell>
          <cell r="K2841" t="str">
            <v>defsi</v>
          </cell>
        </row>
        <row r="2842">
          <cell r="B2842" t="b">
            <v>1</v>
          </cell>
          <cell r="E2842" t="str">
            <v>Bayunca</v>
          </cell>
          <cell r="H2842" t="str">
            <v>laboratorio</v>
          </cell>
          <cell r="J2842" t="str">
            <v>bueno</v>
          </cell>
          <cell r="K2842" t="str">
            <v>defsi</v>
          </cell>
        </row>
        <row r="2843">
          <cell r="B2843" t="b">
            <v>1</v>
          </cell>
          <cell r="E2843" t="str">
            <v>Bayunca</v>
          </cell>
          <cell r="H2843" t="str">
            <v>urgencia</v>
          </cell>
          <cell r="J2843" t="str">
            <v>bueno</v>
          </cell>
          <cell r="K2843" t="str">
            <v>defsi</v>
          </cell>
        </row>
        <row r="2844">
          <cell r="B2844" t="b">
            <v>1</v>
          </cell>
          <cell r="E2844" t="str">
            <v>Daniel Lemaitre</v>
          </cell>
          <cell r="H2844" t="str">
            <v>laboratorio</v>
          </cell>
          <cell r="J2844" t="str">
            <v>bueno</v>
          </cell>
          <cell r="K2844" t="str">
            <v>defsi</v>
          </cell>
        </row>
        <row r="2845">
          <cell r="B2845" t="b">
            <v>1</v>
          </cell>
          <cell r="E2845" t="str">
            <v>Daniel Lemaitre</v>
          </cell>
          <cell r="H2845" t="str">
            <v>laboratorio</v>
          </cell>
          <cell r="J2845" t="str">
            <v>bueno</v>
          </cell>
          <cell r="K2845" t="str">
            <v>defsi</v>
          </cell>
        </row>
        <row r="2846">
          <cell r="B2846" t="b">
            <v>1</v>
          </cell>
          <cell r="E2846" t="str">
            <v>Daniel Lemaitre</v>
          </cell>
          <cell r="H2846" t="str">
            <v>salud_oral</v>
          </cell>
          <cell r="J2846" t="str">
            <v>bueno</v>
          </cell>
          <cell r="K2846" t="str">
            <v>defsi</v>
          </cell>
        </row>
        <row r="2847">
          <cell r="B2847" t="b">
            <v>0</v>
          </cell>
          <cell r="E2847" t="str">
            <v>Daniel Lemaitre</v>
          </cell>
          <cell r="H2847" t="str">
            <v>salud_oral</v>
          </cell>
          <cell r="J2847" t="str">
            <v>regular</v>
          </cell>
          <cell r="K2847" t="str">
            <v>defsi</v>
          </cell>
        </row>
        <row r="2848">
          <cell r="B2848" t="b">
            <v>0</v>
          </cell>
          <cell r="E2848" t="str">
            <v>Daniel Lemaitre</v>
          </cell>
          <cell r="H2848" t="str">
            <v>salud_oral</v>
          </cell>
          <cell r="J2848" t="str">
            <v>regular</v>
          </cell>
          <cell r="K2848" t="str">
            <v>defsi</v>
          </cell>
        </row>
        <row r="2849">
          <cell r="B2849" t="b">
            <v>0</v>
          </cell>
          <cell r="E2849" t="str">
            <v>Daniel Lemaitre</v>
          </cell>
          <cell r="H2849" t="str">
            <v>consulta_externa</v>
          </cell>
          <cell r="J2849" t="str">
            <v>regular</v>
          </cell>
          <cell r="K2849" t="str">
            <v>defsi</v>
          </cell>
        </row>
        <row r="2850">
          <cell r="B2850" t="b">
            <v>0</v>
          </cell>
          <cell r="E2850" t="str">
            <v>Daniel Lemaitre</v>
          </cell>
          <cell r="H2850" t="str">
            <v>salud_oral</v>
          </cell>
          <cell r="J2850" t="str">
            <v>regular</v>
          </cell>
          <cell r="K2850" t="str">
            <v>probno</v>
          </cell>
        </row>
        <row r="2851">
          <cell r="B2851" t="b">
            <v>1</v>
          </cell>
          <cell r="E2851" t="str">
            <v>Daniel Lemaitre</v>
          </cell>
          <cell r="H2851" t="str">
            <v>salud_oral</v>
          </cell>
          <cell r="J2851" t="str">
            <v>bueno</v>
          </cell>
          <cell r="K2851" t="str">
            <v>defsi</v>
          </cell>
        </row>
        <row r="2852">
          <cell r="B2852" t="b">
            <v>1</v>
          </cell>
          <cell r="E2852" t="str">
            <v>Daniel Lemaitre</v>
          </cell>
          <cell r="H2852" t="str">
            <v>salud_oral</v>
          </cell>
          <cell r="J2852" t="str">
            <v>bueno</v>
          </cell>
          <cell r="K2852" t="str">
            <v>defsi</v>
          </cell>
        </row>
        <row r="2853">
          <cell r="B2853" t="b">
            <v>0</v>
          </cell>
          <cell r="E2853" t="str">
            <v>Daniel Lemaitre</v>
          </cell>
          <cell r="H2853" t="str">
            <v>salud_oral</v>
          </cell>
          <cell r="J2853" t="str">
            <v>regular</v>
          </cell>
          <cell r="K2853" t="str">
            <v>defsi</v>
          </cell>
        </row>
        <row r="2854">
          <cell r="B2854" t="b">
            <v>1</v>
          </cell>
          <cell r="E2854" t="str">
            <v>Daniel Lemaitre</v>
          </cell>
          <cell r="H2854" t="str">
            <v>salud_oral</v>
          </cell>
          <cell r="J2854" t="str">
            <v>bueno</v>
          </cell>
          <cell r="K2854" t="str">
            <v>defsi</v>
          </cell>
        </row>
        <row r="2855">
          <cell r="B2855" t="b">
            <v>1</v>
          </cell>
          <cell r="E2855" t="str">
            <v>Daniel Lemaitre</v>
          </cell>
          <cell r="H2855" t="str">
            <v>salud_oral</v>
          </cell>
          <cell r="J2855" t="str">
            <v>bueno</v>
          </cell>
          <cell r="K2855" t="str">
            <v>defsi</v>
          </cell>
        </row>
        <row r="2856">
          <cell r="B2856" t="b">
            <v>1</v>
          </cell>
          <cell r="E2856" t="str">
            <v>Daniel Lemaitre</v>
          </cell>
          <cell r="H2856" t="str">
            <v>salud_oral</v>
          </cell>
          <cell r="J2856" t="str">
            <v>bueno</v>
          </cell>
          <cell r="K2856" t="str">
            <v>defsi</v>
          </cell>
        </row>
        <row r="2857">
          <cell r="B2857" t="b">
            <v>1</v>
          </cell>
          <cell r="E2857" t="str">
            <v>Daniel Lemaitre</v>
          </cell>
          <cell r="H2857" t="str">
            <v>salud_oral</v>
          </cell>
          <cell r="J2857" t="str">
            <v>bueno</v>
          </cell>
          <cell r="K2857" t="str">
            <v>defsi</v>
          </cell>
        </row>
        <row r="2858">
          <cell r="B2858" t="b">
            <v>1</v>
          </cell>
          <cell r="E2858" t="str">
            <v>Daniel Lemaitre</v>
          </cell>
          <cell r="H2858" t="str">
            <v>consulta_externa</v>
          </cell>
          <cell r="J2858" t="str">
            <v>bueno</v>
          </cell>
          <cell r="K2858" t="str">
            <v>defsi</v>
          </cell>
        </row>
        <row r="2859">
          <cell r="B2859" t="b">
            <v>1</v>
          </cell>
          <cell r="E2859" t="str">
            <v>Daniel Lemaitre</v>
          </cell>
          <cell r="H2859" t="str">
            <v>laboratorio</v>
          </cell>
          <cell r="J2859" t="str">
            <v>bueno</v>
          </cell>
          <cell r="K2859" t="str">
            <v>defsi</v>
          </cell>
        </row>
        <row r="2860">
          <cell r="B2860" t="b">
            <v>1</v>
          </cell>
          <cell r="E2860" t="str">
            <v>Daniel Lemaitre</v>
          </cell>
          <cell r="H2860" t="str">
            <v>laboratorio</v>
          </cell>
          <cell r="J2860" t="str">
            <v>bueno</v>
          </cell>
          <cell r="K2860" t="str">
            <v>defsi</v>
          </cell>
        </row>
        <row r="2861">
          <cell r="B2861" t="b">
            <v>1</v>
          </cell>
          <cell r="E2861" t="str">
            <v>Daniel Lemaitre</v>
          </cell>
          <cell r="H2861" t="str">
            <v>laboratorio</v>
          </cell>
          <cell r="J2861" t="str">
            <v>muybueno</v>
          </cell>
          <cell r="K2861" t="str">
            <v>defsi</v>
          </cell>
        </row>
        <row r="2862">
          <cell r="B2862" t="b">
            <v>1</v>
          </cell>
          <cell r="E2862" t="str">
            <v>Daniel Lemaitre</v>
          </cell>
          <cell r="H2862" t="str">
            <v>laboratorio</v>
          </cell>
          <cell r="J2862" t="str">
            <v>bueno</v>
          </cell>
          <cell r="K2862" t="str">
            <v>defsi</v>
          </cell>
        </row>
        <row r="2863">
          <cell r="B2863" t="b">
            <v>1</v>
          </cell>
          <cell r="E2863" t="str">
            <v>Daniel Lemaitre</v>
          </cell>
          <cell r="H2863" t="str">
            <v>laboratorio</v>
          </cell>
          <cell r="J2863" t="str">
            <v>bueno</v>
          </cell>
          <cell r="K2863" t="str">
            <v>defsi</v>
          </cell>
        </row>
        <row r="2864">
          <cell r="B2864" t="b">
            <v>1</v>
          </cell>
          <cell r="E2864" t="str">
            <v>Daniel Lemaitre</v>
          </cell>
          <cell r="H2864" t="str">
            <v>laboratorio</v>
          </cell>
          <cell r="J2864" t="str">
            <v>bueno</v>
          </cell>
          <cell r="K2864" t="str">
            <v>defsi</v>
          </cell>
        </row>
        <row r="2865">
          <cell r="B2865" t="b">
            <v>1</v>
          </cell>
          <cell r="E2865" t="str">
            <v>Daniel Lemaitre</v>
          </cell>
          <cell r="H2865" t="str">
            <v>laboratorio</v>
          </cell>
          <cell r="J2865" t="str">
            <v>bueno</v>
          </cell>
          <cell r="K2865" t="str">
            <v>defsi</v>
          </cell>
        </row>
        <row r="2866">
          <cell r="B2866" t="b">
            <v>1</v>
          </cell>
          <cell r="E2866" t="str">
            <v>Daniel Lemaitre</v>
          </cell>
          <cell r="H2866" t="str">
            <v>consulta_externa</v>
          </cell>
          <cell r="J2866" t="str">
            <v>bueno</v>
          </cell>
          <cell r="K2866" t="str">
            <v>defsi</v>
          </cell>
        </row>
        <row r="2867">
          <cell r="B2867" t="b">
            <v>0</v>
          </cell>
          <cell r="E2867" t="str">
            <v>Daniel Lemaitre</v>
          </cell>
          <cell r="H2867" t="str">
            <v>salud_oral</v>
          </cell>
          <cell r="J2867" t="str">
            <v>regular</v>
          </cell>
          <cell r="K2867" t="str">
            <v>probsi</v>
          </cell>
        </row>
        <row r="2868">
          <cell r="B2868" t="b">
            <v>1</v>
          </cell>
          <cell r="E2868" t="str">
            <v>Bayunca</v>
          </cell>
          <cell r="H2868" t="str">
            <v>consulta_externa</v>
          </cell>
          <cell r="J2868" t="str">
            <v>bueno</v>
          </cell>
          <cell r="K2868" t="str">
            <v>defsi</v>
          </cell>
        </row>
        <row r="2869">
          <cell r="B2869" t="b">
            <v>1</v>
          </cell>
          <cell r="E2869" t="str">
            <v>Bayunca</v>
          </cell>
          <cell r="H2869" t="str">
            <v>salud_oral</v>
          </cell>
          <cell r="J2869" t="str">
            <v>bueno</v>
          </cell>
          <cell r="K2869" t="str">
            <v>defsi</v>
          </cell>
        </row>
        <row r="2870">
          <cell r="B2870" t="b">
            <v>1</v>
          </cell>
          <cell r="E2870" t="str">
            <v>Bayunca</v>
          </cell>
          <cell r="H2870" t="str">
            <v>laboratorio</v>
          </cell>
          <cell r="J2870" t="str">
            <v>bueno</v>
          </cell>
          <cell r="K2870" t="str">
            <v>defsi</v>
          </cell>
        </row>
        <row r="2871">
          <cell r="B2871" t="b">
            <v>1</v>
          </cell>
          <cell r="E2871" t="str">
            <v>Bayunca</v>
          </cell>
          <cell r="H2871" t="str">
            <v>urgencia</v>
          </cell>
          <cell r="J2871" t="str">
            <v>bueno</v>
          </cell>
          <cell r="K2871" t="str">
            <v>defsi</v>
          </cell>
        </row>
        <row r="2872">
          <cell r="B2872" t="b">
            <v>1</v>
          </cell>
          <cell r="E2872" t="str">
            <v>Bayunca</v>
          </cell>
          <cell r="H2872" t="str">
            <v>consulta_externa</v>
          </cell>
          <cell r="J2872" t="str">
            <v>bueno</v>
          </cell>
          <cell r="K2872" t="str">
            <v>defsi</v>
          </cell>
        </row>
        <row r="2873">
          <cell r="B2873" t="b">
            <v>1</v>
          </cell>
          <cell r="E2873" t="str">
            <v>Bayunca</v>
          </cell>
          <cell r="H2873" t="str">
            <v>salud_oral</v>
          </cell>
          <cell r="J2873" t="str">
            <v>bueno</v>
          </cell>
          <cell r="K2873" t="str">
            <v>defsi</v>
          </cell>
        </row>
        <row r="2874">
          <cell r="B2874" t="b">
            <v>1</v>
          </cell>
          <cell r="E2874" t="str">
            <v>Bayunca</v>
          </cell>
          <cell r="H2874" t="str">
            <v>laboratorio</v>
          </cell>
          <cell r="J2874" t="str">
            <v>bueno</v>
          </cell>
          <cell r="K2874" t="str">
            <v>defsi</v>
          </cell>
        </row>
        <row r="2875">
          <cell r="B2875" t="b">
            <v>1</v>
          </cell>
          <cell r="E2875" t="str">
            <v>Bayunca</v>
          </cell>
          <cell r="H2875" t="str">
            <v>urgencia</v>
          </cell>
          <cell r="J2875" t="str">
            <v>bueno</v>
          </cell>
          <cell r="K2875" t="str">
            <v>defsi</v>
          </cell>
        </row>
        <row r="2876">
          <cell r="B2876" t="b">
            <v>1</v>
          </cell>
          <cell r="E2876" t="str">
            <v>Bayunca</v>
          </cell>
          <cell r="H2876" t="str">
            <v>consulta_externa</v>
          </cell>
          <cell r="J2876" t="str">
            <v>bueno</v>
          </cell>
          <cell r="K2876" t="str">
            <v>defsi</v>
          </cell>
        </row>
        <row r="2877">
          <cell r="B2877" t="b">
            <v>1</v>
          </cell>
          <cell r="E2877" t="str">
            <v>Bayunca</v>
          </cell>
          <cell r="H2877" t="str">
            <v>salud_oral</v>
          </cell>
          <cell r="J2877" t="str">
            <v>bueno</v>
          </cell>
          <cell r="K2877" t="str">
            <v>defsi</v>
          </cell>
        </row>
        <row r="2878">
          <cell r="B2878" t="b">
            <v>1</v>
          </cell>
          <cell r="E2878" t="str">
            <v>Bayunca</v>
          </cell>
          <cell r="H2878" t="str">
            <v>laboratorio</v>
          </cell>
          <cell r="J2878" t="str">
            <v>bueno</v>
          </cell>
          <cell r="K2878" t="str">
            <v>defsi</v>
          </cell>
        </row>
        <row r="2879">
          <cell r="B2879" t="b">
            <v>1</v>
          </cell>
          <cell r="E2879" t="str">
            <v>Bayunca</v>
          </cell>
          <cell r="H2879" t="str">
            <v>urgencia</v>
          </cell>
          <cell r="J2879" t="str">
            <v>bueno</v>
          </cell>
          <cell r="K2879" t="str">
            <v>defsi</v>
          </cell>
        </row>
        <row r="2880">
          <cell r="B2880" t="b">
            <v>1</v>
          </cell>
          <cell r="E2880" t="str">
            <v>Pontezuela</v>
          </cell>
          <cell r="H2880" t="str">
            <v>consulta_externa</v>
          </cell>
          <cell r="J2880" t="str">
            <v>bueno</v>
          </cell>
          <cell r="K2880" t="str">
            <v>defsi</v>
          </cell>
        </row>
        <row r="2881">
          <cell r="B2881" t="b">
            <v>1</v>
          </cell>
          <cell r="E2881" t="str">
            <v>Pontezuela</v>
          </cell>
          <cell r="H2881" t="str">
            <v>salud_oral</v>
          </cell>
          <cell r="J2881" t="str">
            <v>bueno</v>
          </cell>
          <cell r="K2881" t="str">
            <v>defsi</v>
          </cell>
        </row>
        <row r="2882">
          <cell r="B2882" t="b">
            <v>1</v>
          </cell>
          <cell r="E2882" t="str">
            <v>Pontezuela</v>
          </cell>
          <cell r="H2882" t="str">
            <v>consulta_externa</v>
          </cell>
          <cell r="J2882" t="str">
            <v>bueno</v>
          </cell>
          <cell r="K2882" t="str">
            <v>defsi</v>
          </cell>
        </row>
        <row r="2883">
          <cell r="B2883" t="b">
            <v>1</v>
          </cell>
          <cell r="E2883" t="str">
            <v>Pontezuela</v>
          </cell>
          <cell r="H2883" t="str">
            <v>salud_oral</v>
          </cell>
          <cell r="J2883" t="str">
            <v>bueno</v>
          </cell>
          <cell r="K2883" t="str">
            <v>defsi</v>
          </cell>
        </row>
        <row r="2884">
          <cell r="B2884" t="b">
            <v>1</v>
          </cell>
          <cell r="E2884" t="str">
            <v>Pontezuela</v>
          </cell>
          <cell r="H2884" t="str">
            <v>consulta_externa</v>
          </cell>
          <cell r="J2884" t="str">
            <v>bueno</v>
          </cell>
          <cell r="K2884" t="str">
            <v>defsi</v>
          </cell>
        </row>
        <row r="2885">
          <cell r="B2885" t="b">
            <v>1</v>
          </cell>
          <cell r="E2885" t="str">
            <v>Pontezuela</v>
          </cell>
          <cell r="H2885" t="str">
            <v>salud_oral</v>
          </cell>
          <cell r="J2885" t="str">
            <v>bueno</v>
          </cell>
          <cell r="K2885" t="str">
            <v>defsi</v>
          </cell>
        </row>
        <row r="2886">
          <cell r="B2886" t="b">
            <v>1</v>
          </cell>
          <cell r="E2886" t="str">
            <v>Pontezuela</v>
          </cell>
          <cell r="H2886" t="str">
            <v>consulta_externa</v>
          </cell>
          <cell r="J2886" t="str">
            <v>bueno</v>
          </cell>
          <cell r="K2886" t="str">
            <v>defsi</v>
          </cell>
        </row>
        <row r="2887">
          <cell r="B2887" t="b">
            <v>1</v>
          </cell>
          <cell r="E2887" t="str">
            <v>Pontezuela</v>
          </cell>
          <cell r="H2887" t="str">
            <v>salud_oral</v>
          </cell>
          <cell r="J2887" t="str">
            <v>bueno</v>
          </cell>
          <cell r="K2887" t="str">
            <v>defsi</v>
          </cell>
        </row>
        <row r="2888">
          <cell r="B2888" t="b">
            <v>1</v>
          </cell>
          <cell r="E2888" t="str">
            <v>Pontezuela</v>
          </cell>
          <cell r="H2888" t="str">
            <v>consulta_externa</v>
          </cell>
          <cell r="J2888" t="str">
            <v>bueno</v>
          </cell>
          <cell r="K2888" t="str">
            <v>defsi</v>
          </cell>
        </row>
        <row r="2889">
          <cell r="B2889" t="b">
            <v>1</v>
          </cell>
          <cell r="E2889" t="str">
            <v>Pontezuela</v>
          </cell>
          <cell r="H2889" t="str">
            <v>salud_oral</v>
          </cell>
          <cell r="J2889" t="str">
            <v>bueno</v>
          </cell>
          <cell r="K2889" t="str">
            <v>defsi</v>
          </cell>
        </row>
        <row r="2890">
          <cell r="B2890" t="b">
            <v>1</v>
          </cell>
          <cell r="E2890" t="str">
            <v>Pontezuela</v>
          </cell>
          <cell r="H2890" t="str">
            <v>consulta_externa</v>
          </cell>
          <cell r="J2890" t="str">
            <v>bueno</v>
          </cell>
          <cell r="K2890" t="str">
            <v>defsi</v>
          </cell>
        </row>
        <row r="2891">
          <cell r="B2891" t="b">
            <v>1</v>
          </cell>
          <cell r="E2891" t="str">
            <v>Pontezuela</v>
          </cell>
          <cell r="H2891" t="str">
            <v>salud_oral</v>
          </cell>
          <cell r="J2891" t="str">
            <v>bueno</v>
          </cell>
          <cell r="K2891" t="str">
            <v>defsi</v>
          </cell>
        </row>
        <row r="2892">
          <cell r="B2892" t="b">
            <v>1</v>
          </cell>
          <cell r="E2892" t="str">
            <v>Pontezuela</v>
          </cell>
          <cell r="H2892" t="str">
            <v>consulta_externa</v>
          </cell>
          <cell r="J2892" t="str">
            <v>bueno</v>
          </cell>
          <cell r="K2892" t="str">
            <v>defsi</v>
          </cell>
        </row>
        <row r="2893">
          <cell r="B2893" t="b">
            <v>1</v>
          </cell>
          <cell r="E2893" t="str">
            <v>Pontezuela</v>
          </cell>
          <cell r="H2893" t="str">
            <v>salud_oral</v>
          </cell>
          <cell r="J2893" t="str">
            <v>bueno</v>
          </cell>
          <cell r="K2893" t="str">
            <v>defsi</v>
          </cell>
        </row>
        <row r="2894">
          <cell r="B2894" t="b">
            <v>1</v>
          </cell>
          <cell r="E2894" t="str">
            <v>Pontezuela</v>
          </cell>
          <cell r="H2894" t="str">
            <v>consulta_externa</v>
          </cell>
          <cell r="J2894" t="str">
            <v>bueno</v>
          </cell>
          <cell r="K2894" t="str">
            <v>defsi</v>
          </cell>
        </row>
        <row r="2895">
          <cell r="B2895" t="b">
            <v>1</v>
          </cell>
          <cell r="E2895" t="str">
            <v>Pontezuela</v>
          </cell>
          <cell r="H2895" t="str">
            <v>salud_oral</v>
          </cell>
          <cell r="J2895" t="str">
            <v>bueno</v>
          </cell>
          <cell r="K2895" t="str">
            <v>defsi</v>
          </cell>
        </row>
        <row r="2896">
          <cell r="B2896" t="b">
            <v>1</v>
          </cell>
          <cell r="E2896" t="str">
            <v>Pontezuela</v>
          </cell>
          <cell r="H2896" t="str">
            <v>consulta_externa</v>
          </cell>
          <cell r="J2896" t="str">
            <v>bueno</v>
          </cell>
          <cell r="K2896" t="str">
            <v>defsi</v>
          </cell>
        </row>
        <row r="2897">
          <cell r="B2897" t="b">
            <v>1</v>
          </cell>
          <cell r="E2897" t="str">
            <v>Pontezuela</v>
          </cell>
          <cell r="H2897" t="str">
            <v>salud_oral</v>
          </cell>
          <cell r="J2897" t="str">
            <v>bueno</v>
          </cell>
          <cell r="K2897" t="str">
            <v>defsi</v>
          </cell>
        </row>
        <row r="2898">
          <cell r="B2898" t="b">
            <v>1</v>
          </cell>
          <cell r="E2898" t="str">
            <v>Pontezuela</v>
          </cell>
          <cell r="H2898" t="str">
            <v>consulta_externa</v>
          </cell>
          <cell r="J2898" t="str">
            <v>bueno</v>
          </cell>
          <cell r="K2898" t="str">
            <v>defsi</v>
          </cell>
        </row>
        <row r="2899">
          <cell r="B2899" t="b">
            <v>1</v>
          </cell>
          <cell r="E2899" t="str">
            <v>Pontezuela</v>
          </cell>
          <cell r="H2899" t="str">
            <v>salud_oral</v>
          </cell>
          <cell r="J2899" t="str">
            <v>bueno</v>
          </cell>
          <cell r="K2899" t="str">
            <v>defsi</v>
          </cell>
        </row>
        <row r="2900">
          <cell r="B2900" t="b">
            <v>1</v>
          </cell>
          <cell r="E2900" t="str">
            <v>Pontezuela</v>
          </cell>
          <cell r="H2900" t="str">
            <v>consulta_externa</v>
          </cell>
          <cell r="J2900" t="str">
            <v>bueno</v>
          </cell>
          <cell r="K2900" t="str">
            <v>defsi</v>
          </cell>
        </row>
        <row r="2901">
          <cell r="B2901" t="b">
            <v>1</v>
          </cell>
          <cell r="E2901" t="str">
            <v>Pontezuela</v>
          </cell>
          <cell r="H2901" t="str">
            <v>salud_oral</v>
          </cell>
          <cell r="J2901" t="str">
            <v>bueno</v>
          </cell>
          <cell r="K2901" t="str">
            <v>defsi</v>
          </cell>
        </row>
        <row r="2902">
          <cell r="B2902" t="b">
            <v>1</v>
          </cell>
          <cell r="E2902" t="str">
            <v>Pontezuela</v>
          </cell>
          <cell r="H2902" t="str">
            <v>consulta_externa</v>
          </cell>
          <cell r="J2902" t="str">
            <v>bueno</v>
          </cell>
          <cell r="K2902" t="str">
            <v>defsi</v>
          </cell>
        </row>
        <row r="2903">
          <cell r="B2903" t="b">
            <v>1</v>
          </cell>
          <cell r="E2903" t="str">
            <v>Pontezuela</v>
          </cell>
          <cell r="H2903" t="str">
            <v>salud_oral</v>
          </cell>
          <cell r="J2903" t="str">
            <v>bueno</v>
          </cell>
          <cell r="K2903" t="str">
            <v>defsi</v>
          </cell>
        </row>
        <row r="2904">
          <cell r="B2904" t="b">
            <v>1</v>
          </cell>
          <cell r="E2904" t="str">
            <v>Pontezuela</v>
          </cell>
          <cell r="H2904" t="str">
            <v>consulta_externa</v>
          </cell>
          <cell r="J2904" t="str">
            <v>bueno</v>
          </cell>
          <cell r="K2904" t="str">
            <v>defsi</v>
          </cell>
        </row>
        <row r="2905">
          <cell r="B2905" t="b">
            <v>1</v>
          </cell>
          <cell r="E2905" t="str">
            <v>Pontezuela</v>
          </cell>
          <cell r="H2905" t="str">
            <v>salud_oral</v>
          </cell>
          <cell r="J2905" t="str">
            <v>bueno</v>
          </cell>
          <cell r="K2905" t="str">
            <v>defsi</v>
          </cell>
        </row>
        <row r="2906">
          <cell r="B2906" t="b">
            <v>1</v>
          </cell>
          <cell r="E2906" t="str">
            <v>Pontezuela</v>
          </cell>
          <cell r="H2906" t="str">
            <v>consulta_externa</v>
          </cell>
          <cell r="J2906" t="str">
            <v>bueno</v>
          </cell>
          <cell r="K2906" t="str">
            <v>defsi</v>
          </cell>
        </row>
        <row r="2907">
          <cell r="B2907" t="b">
            <v>1</v>
          </cell>
          <cell r="E2907" t="str">
            <v>Pontezuela</v>
          </cell>
          <cell r="H2907" t="str">
            <v>salud_oral</v>
          </cell>
          <cell r="J2907" t="str">
            <v>bueno</v>
          </cell>
          <cell r="K2907" t="str">
            <v>defsi</v>
          </cell>
        </row>
        <row r="2908">
          <cell r="B2908" t="b">
            <v>1</v>
          </cell>
          <cell r="E2908" t="str">
            <v>Pontezuela</v>
          </cell>
          <cell r="H2908" t="str">
            <v>consulta_externa</v>
          </cell>
          <cell r="J2908" t="str">
            <v>bueno</v>
          </cell>
          <cell r="K2908" t="str">
            <v>defsi</v>
          </cell>
        </row>
        <row r="2909">
          <cell r="B2909" t="b">
            <v>1</v>
          </cell>
          <cell r="E2909" t="str">
            <v>Los Cerros</v>
          </cell>
          <cell r="H2909" t="str">
            <v>salud_oral</v>
          </cell>
          <cell r="J2909" t="str">
            <v>bueno</v>
          </cell>
          <cell r="K2909" t="str">
            <v>probsi</v>
          </cell>
        </row>
        <row r="2910">
          <cell r="B2910" t="b">
            <v>1</v>
          </cell>
          <cell r="E2910" t="str">
            <v>Los Cerros</v>
          </cell>
          <cell r="H2910" t="str">
            <v>salud_oral</v>
          </cell>
          <cell r="J2910" t="str">
            <v>bueno</v>
          </cell>
          <cell r="K2910" t="str">
            <v>probsi</v>
          </cell>
        </row>
        <row r="2911">
          <cell r="B2911" t="b">
            <v>1</v>
          </cell>
          <cell r="E2911" t="str">
            <v>Pontezuela</v>
          </cell>
          <cell r="H2911" t="str">
            <v>salud_oral</v>
          </cell>
          <cell r="J2911" t="str">
            <v>bueno</v>
          </cell>
          <cell r="K2911" t="str">
            <v>defsi</v>
          </cell>
        </row>
        <row r="2912">
          <cell r="B2912" t="b">
            <v>1</v>
          </cell>
          <cell r="E2912" t="str">
            <v>Los Cerros</v>
          </cell>
          <cell r="H2912" t="str">
            <v>salud_oral</v>
          </cell>
          <cell r="J2912" t="str">
            <v>bueno</v>
          </cell>
          <cell r="K2912" t="str">
            <v>probsi</v>
          </cell>
        </row>
        <row r="2913">
          <cell r="B2913" t="b">
            <v>1</v>
          </cell>
          <cell r="E2913" t="str">
            <v>Los Cerros</v>
          </cell>
          <cell r="H2913" t="str">
            <v>salud_oral</v>
          </cell>
          <cell r="J2913" t="str">
            <v>bueno</v>
          </cell>
          <cell r="K2913" t="str">
            <v>probsi</v>
          </cell>
        </row>
        <row r="2914">
          <cell r="B2914" t="b">
            <v>1</v>
          </cell>
          <cell r="E2914" t="str">
            <v>Los Cerros</v>
          </cell>
          <cell r="H2914" t="str">
            <v>laboratorio</v>
          </cell>
          <cell r="J2914" t="str">
            <v>bueno</v>
          </cell>
          <cell r="K2914" t="str">
            <v>probsi</v>
          </cell>
        </row>
        <row r="2915">
          <cell r="B2915" t="b">
            <v>1</v>
          </cell>
          <cell r="E2915" t="str">
            <v>Los Cerros</v>
          </cell>
          <cell r="H2915" t="str">
            <v>laboratorio</v>
          </cell>
          <cell r="J2915" t="str">
            <v>bueno</v>
          </cell>
          <cell r="K2915" t="str">
            <v>probsi</v>
          </cell>
        </row>
        <row r="2916">
          <cell r="B2916" t="b">
            <v>1</v>
          </cell>
          <cell r="E2916" t="str">
            <v>Los Cerros</v>
          </cell>
          <cell r="H2916" t="str">
            <v>laboratorio</v>
          </cell>
          <cell r="J2916" t="str">
            <v>bueno</v>
          </cell>
          <cell r="K2916" t="str">
            <v>probsi</v>
          </cell>
        </row>
        <row r="2917">
          <cell r="B2917" t="b">
            <v>1</v>
          </cell>
          <cell r="E2917" t="str">
            <v>Los Cerros</v>
          </cell>
          <cell r="H2917" t="str">
            <v>laboratorio</v>
          </cell>
          <cell r="J2917" t="str">
            <v>bueno</v>
          </cell>
          <cell r="K2917" t="str">
            <v>probsi</v>
          </cell>
        </row>
        <row r="2918">
          <cell r="B2918" t="b">
            <v>1</v>
          </cell>
          <cell r="E2918" t="str">
            <v>Pontezuela</v>
          </cell>
          <cell r="H2918" t="str">
            <v>consulta_externa</v>
          </cell>
          <cell r="J2918" t="str">
            <v>bueno</v>
          </cell>
          <cell r="K2918" t="str">
            <v>defsi</v>
          </cell>
        </row>
        <row r="2919">
          <cell r="B2919" t="b">
            <v>1</v>
          </cell>
          <cell r="E2919" t="str">
            <v>Los Cerros</v>
          </cell>
          <cell r="H2919" t="str">
            <v>laboratorio</v>
          </cell>
          <cell r="J2919" t="str">
            <v>bueno</v>
          </cell>
          <cell r="K2919" t="str">
            <v>probsi</v>
          </cell>
        </row>
        <row r="2920">
          <cell r="B2920" t="b">
            <v>1</v>
          </cell>
          <cell r="E2920" t="str">
            <v>Los Cerros</v>
          </cell>
          <cell r="H2920" t="str">
            <v>electros</v>
          </cell>
          <cell r="J2920" t="str">
            <v>bueno</v>
          </cell>
          <cell r="K2920" t="str">
            <v>probsi</v>
          </cell>
        </row>
        <row r="2921">
          <cell r="B2921" t="b">
            <v>1</v>
          </cell>
          <cell r="E2921" t="str">
            <v>Pontezuela</v>
          </cell>
          <cell r="H2921" t="str">
            <v>salud_oral</v>
          </cell>
          <cell r="J2921" t="str">
            <v>bueno</v>
          </cell>
          <cell r="K2921" t="str">
            <v>defsi</v>
          </cell>
        </row>
        <row r="2922">
          <cell r="B2922" t="b">
            <v>1</v>
          </cell>
          <cell r="E2922" t="str">
            <v>Los Cerros</v>
          </cell>
          <cell r="H2922" t="str">
            <v>electros</v>
          </cell>
          <cell r="J2922" t="str">
            <v>bueno</v>
          </cell>
          <cell r="K2922" t="str">
            <v>probsi</v>
          </cell>
        </row>
        <row r="2923">
          <cell r="B2923" t="b">
            <v>1</v>
          </cell>
          <cell r="E2923" t="str">
            <v>Los Cerros</v>
          </cell>
          <cell r="H2923" t="str">
            <v>electros</v>
          </cell>
          <cell r="J2923" t="str">
            <v>bueno</v>
          </cell>
          <cell r="K2923" t="str">
            <v>probsi</v>
          </cell>
        </row>
        <row r="2924">
          <cell r="B2924" t="b">
            <v>1</v>
          </cell>
          <cell r="E2924" t="str">
            <v>Los Cerros</v>
          </cell>
          <cell r="H2924" t="str">
            <v>electros</v>
          </cell>
          <cell r="J2924" t="str">
            <v>bueno</v>
          </cell>
          <cell r="K2924" t="str">
            <v>probsi</v>
          </cell>
        </row>
        <row r="2925">
          <cell r="B2925" t="b">
            <v>1</v>
          </cell>
          <cell r="E2925" t="str">
            <v>Los Cerros</v>
          </cell>
          <cell r="H2925" t="str">
            <v>electros</v>
          </cell>
          <cell r="J2925" t="str">
            <v>bueno</v>
          </cell>
          <cell r="K2925" t="str">
            <v>probsi</v>
          </cell>
        </row>
        <row r="2926">
          <cell r="B2926" t="b">
            <v>1</v>
          </cell>
          <cell r="E2926" t="str">
            <v>Los Cerros</v>
          </cell>
          <cell r="H2926" t="str">
            <v>electros</v>
          </cell>
          <cell r="J2926" t="str">
            <v>bueno</v>
          </cell>
          <cell r="K2926" t="str">
            <v>probsi</v>
          </cell>
        </row>
        <row r="2927">
          <cell r="B2927" t="b">
            <v>1</v>
          </cell>
          <cell r="E2927" t="str">
            <v>Los Cerros</v>
          </cell>
          <cell r="H2927" t="str">
            <v>electros</v>
          </cell>
          <cell r="J2927" t="str">
            <v>bueno</v>
          </cell>
          <cell r="K2927" t="str">
            <v>probsi</v>
          </cell>
        </row>
        <row r="2928">
          <cell r="B2928" t="b">
            <v>1</v>
          </cell>
          <cell r="E2928" t="str">
            <v>Pontezuela</v>
          </cell>
          <cell r="H2928" t="str">
            <v>consulta_externa</v>
          </cell>
          <cell r="J2928" t="str">
            <v>bueno</v>
          </cell>
          <cell r="K2928" t="str">
            <v>defsi</v>
          </cell>
        </row>
        <row r="2929">
          <cell r="B2929" t="b">
            <v>1</v>
          </cell>
          <cell r="E2929" t="str">
            <v>Los Cerros</v>
          </cell>
          <cell r="H2929" t="str">
            <v>medicina_interna</v>
          </cell>
          <cell r="J2929" t="str">
            <v>bueno</v>
          </cell>
          <cell r="K2929" t="str">
            <v>probsi</v>
          </cell>
        </row>
        <row r="2930">
          <cell r="B2930" t="b">
            <v>1</v>
          </cell>
          <cell r="E2930" t="str">
            <v>Los Cerros</v>
          </cell>
          <cell r="H2930" t="str">
            <v>medicina_interna</v>
          </cell>
          <cell r="J2930" t="str">
            <v>bueno</v>
          </cell>
          <cell r="K2930" t="str">
            <v>probsi</v>
          </cell>
        </row>
        <row r="2931">
          <cell r="B2931" t="b">
            <v>1</v>
          </cell>
          <cell r="E2931" t="str">
            <v>Los Cerros</v>
          </cell>
          <cell r="H2931" t="str">
            <v>medicina_interna</v>
          </cell>
          <cell r="J2931" t="str">
            <v>bueno</v>
          </cell>
          <cell r="K2931" t="str">
            <v>probsi</v>
          </cell>
        </row>
        <row r="2932">
          <cell r="B2932" t="b">
            <v>1</v>
          </cell>
          <cell r="E2932" t="str">
            <v>Los Cerros</v>
          </cell>
          <cell r="H2932" t="str">
            <v>medicina_interna</v>
          </cell>
          <cell r="J2932" t="str">
            <v>bueno</v>
          </cell>
          <cell r="K2932" t="str">
            <v>probsi</v>
          </cell>
        </row>
        <row r="2933">
          <cell r="B2933" t="b">
            <v>1</v>
          </cell>
          <cell r="E2933" t="str">
            <v>Pontezuela</v>
          </cell>
          <cell r="H2933" t="str">
            <v>salud_oral</v>
          </cell>
          <cell r="J2933" t="str">
            <v>bueno</v>
          </cell>
          <cell r="K2933" t="str">
            <v>defsi</v>
          </cell>
        </row>
        <row r="2934">
          <cell r="B2934" t="b">
            <v>1</v>
          </cell>
          <cell r="E2934" t="str">
            <v>Bosque</v>
          </cell>
          <cell r="H2934" t="str">
            <v>consulta_externa</v>
          </cell>
          <cell r="J2934" t="str">
            <v>bueno</v>
          </cell>
          <cell r="K2934" t="str">
            <v>probsi</v>
          </cell>
        </row>
        <row r="2935">
          <cell r="B2935" t="b">
            <v>1</v>
          </cell>
          <cell r="E2935" t="str">
            <v>Bosque</v>
          </cell>
          <cell r="H2935" t="str">
            <v>consulta_externa</v>
          </cell>
          <cell r="J2935" t="str">
            <v>bueno</v>
          </cell>
          <cell r="K2935" t="str">
            <v>probsi</v>
          </cell>
        </row>
        <row r="2936">
          <cell r="B2936" t="b">
            <v>1</v>
          </cell>
          <cell r="E2936" t="str">
            <v>Bosque</v>
          </cell>
          <cell r="H2936" t="str">
            <v>consulta_externa</v>
          </cell>
          <cell r="J2936" t="str">
            <v>bueno</v>
          </cell>
          <cell r="K2936" t="str">
            <v>probsi</v>
          </cell>
        </row>
        <row r="2937">
          <cell r="B2937" t="b">
            <v>1</v>
          </cell>
          <cell r="E2937" t="str">
            <v>Bosque</v>
          </cell>
          <cell r="H2937" t="str">
            <v>consulta_externa</v>
          </cell>
          <cell r="J2937" t="str">
            <v>bueno</v>
          </cell>
          <cell r="K2937" t="str">
            <v>probsi</v>
          </cell>
        </row>
        <row r="2938">
          <cell r="B2938" t="b">
            <v>1</v>
          </cell>
          <cell r="E2938" t="str">
            <v>Bosque</v>
          </cell>
          <cell r="H2938" t="str">
            <v>consulta_externa</v>
          </cell>
          <cell r="J2938" t="str">
            <v>bueno</v>
          </cell>
          <cell r="K2938" t="str">
            <v>probsi</v>
          </cell>
        </row>
        <row r="2939">
          <cell r="B2939" t="b">
            <v>1</v>
          </cell>
          <cell r="E2939" t="str">
            <v>Bosque</v>
          </cell>
          <cell r="H2939" t="str">
            <v>consulta_externa</v>
          </cell>
          <cell r="J2939" t="str">
            <v>bueno</v>
          </cell>
          <cell r="K2939" t="str">
            <v>probsi</v>
          </cell>
        </row>
        <row r="2940">
          <cell r="B2940" t="b">
            <v>1</v>
          </cell>
          <cell r="E2940" t="str">
            <v>Bosque</v>
          </cell>
          <cell r="H2940" t="str">
            <v>consulta_externa</v>
          </cell>
          <cell r="J2940" t="str">
            <v>bueno</v>
          </cell>
          <cell r="K2940" t="str">
            <v>probsi</v>
          </cell>
        </row>
        <row r="2941">
          <cell r="B2941" t="b">
            <v>1</v>
          </cell>
          <cell r="E2941" t="str">
            <v>Bosque</v>
          </cell>
          <cell r="H2941" t="str">
            <v>consulta_externa</v>
          </cell>
          <cell r="J2941" t="str">
            <v>bueno</v>
          </cell>
          <cell r="K2941" t="str">
            <v>probsi</v>
          </cell>
        </row>
        <row r="2942">
          <cell r="B2942" t="b">
            <v>1</v>
          </cell>
          <cell r="E2942" t="str">
            <v>Bosque</v>
          </cell>
          <cell r="H2942" t="str">
            <v>salud_oral</v>
          </cell>
          <cell r="J2942" t="str">
            <v>bueno</v>
          </cell>
          <cell r="K2942" t="str">
            <v>probsi</v>
          </cell>
        </row>
        <row r="2943">
          <cell r="B2943" t="b">
            <v>1</v>
          </cell>
          <cell r="E2943" t="str">
            <v>Bosque</v>
          </cell>
          <cell r="H2943" t="str">
            <v>salud_oral</v>
          </cell>
          <cell r="J2943" t="str">
            <v>bueno</v>
          </cell>
          <cell r="K2943" t="str">
            <v>probsi</v>
          </cell>
        </row>
        <row r="2944">
          <cell r="B2944" t="b">
            <v>1</v>
          </cell>
          <cell r="E2944" t="str">
            <v>Bosque</v>
          </cell>
          <cell r="H2944" t="str">
            <v>salud_oral</v>
          </cell>
          <cell r="J2944" t="str">
            <v>bueno</v>
          </cell>
          <cell r="K2944" t="str">
            <v>probsi</v>
          </cell>
        </row>
        <row r="2945">
          <cell r="B2945" t="b">
            <v>1</v>
          </cell>
          <cell r="E2945" t="str">
            <v>Bosque</v>
          </cell>
          <cell r="H2945" t="str">
            <v>salud_oral</v>
          </cell>
          <cell r="J2945" t="str">
            <v>bueno</v>
          </cell>
          <cell r="K2945" t="str">
            <v>probsi</v>
          </cell>
        </row>
        <row r="2946">
          <cell r="B2946" t="b">
            <v>1</v>
          </cell>
          <cell r="E2946" t="str">
            <v>Bosque</v>
          </cell>
          <cell r="H2946" t="str">
            <v>salud_oral</v>
          </cell>
          <cell r="J2946" t="str">
            <v>bueno</v>
          </cell>
          <cell r="K2946" t="str">
            <v>probsi</v>
          </cell>
        </row>
        <row r="2947">
          <cell r="B2947" t="b">
            <v>1</v>
          </cell>
          <cell r="E2947" t="str">
            <v>Bosque</v>
          </cell>
          <cell r="H2947" t="str">
            <v>salud_oral</v>
          </cell>
          <cell r="J2947" t="str">
            <v>bueno</v>
          </cell>
          <cell r="K2947" t="str">
            <v>probsi</v>
          </cell>
        </row>
        <row r="2948">
          <cell r="B2948" t="b">
            <v>1</v>
          </cell>
          <cell r="E2948" t="str">
            <v>Bosque</v>
          </cell>
          <cell r="H2948" t="str">
            <v>salud_oral</v>
          </cell>
          <cell r="J2948" t="str">
            <v>bueno</v>
          </cell>
          <cell r="K2948" t="str">
            <v>probsi</v>
          </cell>
        </row>
        <row r="2949">
          <cell r="B2949" t="b">
            <v>1</v>
          </cell>
          <cell r="E2949" t="str">
            <v>Bosque</v>
          </cell>
          <cell r="H2949" t="str">
            <v>salud_oral</v>
          </cell>
          <cell r="J2949" t="str">
            <v>bueno</v>
          </cell>
          <cell r="K2949" t="str">
            <v>probsi</v>
          </cell>
        </row>
        <row r="2950">
          <cell r="B2950" t="b">
            <v>1</v>
          </cell>
          <cell r="E2950" t="str">
            <v>Bosque</v>
          </cell>
          <cell r="H2950" t="str">
            <v>laboratorio</v>
          </cell>
          <cell r="J2950" t="str">
            <v>bueno</v>
          </cell>
          <cell r="K2950" t="str">
            <v>probsi</v>
          </cell>
        </row>
        <row r="2951">
          <cell r="B2951" t="b">
            <v>1</v>
          </cell>
          <cell r="E2951" t="str">
            <v>Bosque</v>
          </cell>
          <cell r="H2951" t="str">
            <v>laboratorio</v>
          </cell>
          <cell r="J2951" t="str">
            <v>bueno</v>
          </cell>
          <cell r="K2951" t="str">
            <v>probsi</v>
          </cell>
        </row>
        <row r="2952">
          <cell r="B2952" t="b">
            <v>1</v>
          </cell>
          <cell r="E2952" t="str">
            <v>Bosque</v>
          </cell>
          <cell r="H2952" t="str">
            <v>laboratorio</v>
          </cell>
          <cell r="J2952" t="str">
            <v>bueno</v>
          </cell>
          <cell r="K2952" t="str">
            <v>probsi</v>
          </cell>
        </row>
        <row r="2953">
          <cell r="B2953" t="b">
            <v>1</v>
          </cell>
          <cell r="E2953" t="str">
            <v>Bosque</v>
          </cell>
          <cell r="H2953" t="str">
            <v>laboratorio</v>
          </cell>
          <cell r="J2953" t="str">
            <v>bueno</v>
          </cell>
          <cell r="K2953" t="str">
            <v>probsi</v>
          </cell>
        </row>
        <row r="2954">
          <cell r="B2954" t="b">
            <v>1</v>
          </cell>
          <cell r="E2954" t="str">
            <v>Bosque</v>
          </cell>
          <cell r="H2954" t="str">
            <v>laboratorio</v>
          </cell>
          <cell r="J2954" t="str">
            <v>bueno</v>
          </cell>
          <cell r="K2954" t="str">
            <v>probsi</v>
          </cell>
        </row>
        <row r="2955">
          <cell r="B2955" t="b">
            <v>1</v>
          </cell>
          <cell r="E2955" t="str">
            <v>Bosque</v>
          </cell>
          <cell r="H2955" t="str">
            <v>laboratorio</v>
          </cell>
          <cell r="J2955" t="str">
            <v>bueno</v>
          </cell>
          <cell r="K2955" t="str">
            <v>probsi</v>
          </cell>
        </row>
        <row r="2956">
          <cell r="B2956" t="b">
            <v>1</v>
          </cell>
          <cell r="E2956" t="str">
            <v>Pontezuela</v>
          </cell>
          <cell r="H2956" t="str">
            <v>consulta_externa</v>
          </cell>
          <cell r="J2956" t="str">
            <v>bueno</v>
          </cell>
          <cell r="K2956" t="str">
            <v>defsi</v>
          </cell>
        </row>
        <row r="2957">
          <cell r="B2957" t="b">
            <v>1</v>
          </cell>
          <cell r="E2957" t="str">
            <v>Pontezuela</v>
          </cell>
          <cell r="H2957" t="str">
            <v>salud_oral</v>
          </cell>
          <cell r="J2957" t="str">
            <v>bueno</v>
          </cell>
          <cell r="K2957" t="str">
            <v>defsi</v>
          </cell>
        </row>
        <row r="2958">
          <cell r="B2958" t="b">
            <v>1</v>
          </cell>
          <cell r="E2958" t="str">
            <v>Daniel Lemaitre</v>
          </cell>
          <cell r="H2958" t="str">
            <v>laboratorio</v>
          </cell>
          <cell r="J2958" t="str">
            <v>bueno</v>
          </cell>
          <cell r="K2958" t="str">
            <v>defsi</v>
          </cell>
        </row>
        <row r="2959">
          <cell r="B2959" t="b">
            <v>1</v>
          </cell>
          <cell r="E2959" t="str">
            <v>Daniel Lemaitre</v>
          </cell>
          <cell r="H2959" t="str">
            <v>consulta_externa</v>
          </cell>
          <cell r="J2959" t="str">
            <v>bueno</v>
          </cell>
          <cell r="K2959" t="str">
            <v>defsi</v>
          </cell>
        </row>
        <row r="2960">
          <cell r="B2960" t="b">
            <v>1</v>
          </cell>
          <cell r="E2960" t="str">
            <v>Daniel Lemaitre</v>
          </cell>
          <cell r="H2960" t="str">
            <v>laboratorio</v>
          </cell>
          <cell r="J2960" t="str">
            <v>bueno</v>
          </cell>
          <cell r="K2960" t="str">
            <v>defsi</v>
          </cell>
        </row>
        <row r="2961">
          <cell r="B2961" t="b">
            <v>1</v>
          </cell>
          <cell r="E2961" t="str">
            <v>Daniel Lemaitre</v>
          </cell>
          <cell r="H2961" t="str">
            <v>laboratorio</v>
          </cell>
          <cell r="J2961" t="str">
            <v>bueno</v>
          </cell>
          <cell r="K2961" t="str">
            <v>defsi</v>
          </cell>
        </row>
        <row r="2962">
          <cell r="B2962" t="b">
            <v>1</v>
          </cell>
          <cell r="E2962" t="str">
            <v>Daniel Lemaitre</v>
          </cell>
          <cell r="H2962" t="str">
            <v>laboratorio</v>
          </cell>
          <cell r="J2962" t="str">
            <v>muybueno</v>
          </cell>
          <cell r="K2962" t="str">
            <v>defsi</v>
          </cell>
        </row>
        <row r="2963">
          <cell r="B2963" t="b">
            <v>1</v>
          </cell>
          <cell r="E2963" t="str">
            <v>Daniel Lemaitre</v>
          </cell>
          <cell r="H2963" t="str">
            <v>salud_oral</v>
          </cell>
          <cell r="J2963" t="str">
            <v>bueno</v>
          </cell>
          <cell r="K2963" t="str">
            <v>defsi</v>
          </cell>
        </row>
        <row r="2964">
          <cell r="B2964" t="b">
            <v>1</v>
          </cell>
          <cell r="E2964" t="str">
            <v>Daniel Lemaitre</v>
          </cell>
          <cell r="H2964" t="str">
            <v>salud_oral</v>
          </cell>
          <cell r="J2964" t="str">
            <v>bueno</v>
          </cell>
          <cell r="K2964" t="str">
            <v>defsi</v>
          </cell>
        </row>
        <row r="2965">
          <cell r="B2965" t="b">
            <v>0</v>
          </cell>
          <cell r="E2965" t="str">
            <v>Daniel Lemaitre</v>
          </cell>
          <cell r="H2965" t="str">
            <v>salud_oral</v>
          </cell>
          <cell r="J2965" t="str">
            <v>regular</v>
          </cell>
          <cell r="K2965" t="str">
            <v>defsi</v>
          </cell>
        </row>
        <row r="2966">
          <cell r="B2966" t="b">
            <v>1</v>
          </cell>
          <cell r="E2966" t="str">
            <v>Daniel Lemaitre</v>
          </cell>
          <cell r="H2966" t="str">
            <v>salud_oral</v>
          </cell>
          <cell r="J2966" t="str">
            <v>bueno</v>
          </cell>
          <cell r="K2966" t="str">
            <v>defsi</v>
          </cell>
        </row>
        <row r="2967">
          <cell r="B2967" t="b">
            <v>0</v>
          </cell>
          <cell r="E2967" t="str">
            <v>Daniel Lemaitre</v>
          </cell>
          <cell r="H2967" t="str">
            <v>salud_oral</v>
          </cell>
          <cell r="J2967" t="str">
            <v>regular</v>
          </cell>
          <cell r="K2967" t="str">
            <v>probno</v>
          </cell>
        </row>
        <row r="2968">
          <cell r="B2968" t="b">
            <v>1</v>
          </cell>
          <cell r="E2968" t="str">
            <v>Candelaria</v>
          </cell>
          <cell r="H2968" t="str">
            <v>consulta_externa</v>
          </cell>
          <cell r="J2968" t="str">
            <v>bueno</v>
          </cell>
          <cell r="K2968" t="str">
            <v>defsi</v>
          </cell>
        </row>
        <row r="2969">
          <cell r="B2969" t="b">
            <v>1</v>
          </cell>
          <cell r="E2969" t="str">
            <v>Candelaria</v>
          </cell>
          <cell r="H2969" t="str">
            <v>salud_oral</v>
          </cell>
          <cell r="J2969" t="str">
            <v>bueno</v>
          </cell>
          <cell r="K2969" t="str">
            <v>defsi</v>
          </cell>
        </row>
        <row r="2970">
          <cell r="B2970" t="b">
            <v>1</v>
          </cell>
          <cell r="E2970" t="str">
            <v>Candelaria</v>
          </cell>
          <cell r="H2970" t="str">
            <v>laboratorio</v>
          </cell>
          <cell r="J2970" t="str">
            <v>bueno</v>
          </cell>
          <cell r="K2970" t="str">
            <v>defsi</v>
          </cell>
        </row>
        <row r="2971">
          <cell r="B2971" t="b">
            <v>1</v>
          </cell>
          <cell r="E2971" t="str">
            <v>Candelaria</v>
          </cell>
          <cell r="H2971" t="str">
            <v>urgencia</v>
          </cell>
          <cell r="J2971" t="str">
            <v>bueno</v>
          </cell>
          <cell r="K2971" t="str">
            <v>defsi</v>
          </cell>
        </row>
        <row r="2972">
          <cell r="B2972" t="b">
            <v>1</v>
          </cell>
          <cell r="E2972" t="str">
            <v>Candelaria</v>
          </cell>
          <cell r="H2972" t="str">
            <v>electros</v>
          </cell>
          <cell r="J2972" t="str">
            <v>bueno</v>
          </cell>
          <cell r="K2972" t="str">
            <v>defsi</v>
          </cell>
        </row>
        <row r="2973">
          <cell r="B2973" t="b">
            <v>1</v>
          </cell>
          <cell r="E2973" t="str">
            <v>Candelaria</v>
          </cell>
          <cell r="H2973" t="str">
            <v>pediatria</v>
          </cell>
          <cell r="J2973" t="str">
            <v>bueno</v>
          </cell>
          <cell r="K2973" t="str">
            <v>defsi</v>
          </cell>
        </row>
        <row r="2974">
          <cell r="B2974" t="b">
            <v>1</v>
          </cell>
          <cell r="E2974" t="str">
            <v>Candelaria</v>
          </cell>
          <cell r="H2974" t="str">
            <v>medicina_interna</v>
          </cell>
          <cell r="J2974" t="str">
            <v>bueno</v>
          </cell>
          <cell r="K2974" t="str">
            <v>defsi</v>
          </cell>
        </row>
        <row r="2975">
          <cell r="B2975" t="b">
            <v>1</v>
          </cell>
          <cell r="E2975" t="str">
            <v>Nuevo Bosque</v>
          </cell>
          <cell r="H2975" t="str">
            <v>laboratorio</v>
          </cell>
          <cell r="J2975" t="str">
            <v>bueno</v>
          </cell>
          <cell r="K2975" t="str">
            <v>probsi</v>
          </cell>
        </row>
        <row r="2976">
          <cell r="B2976" t="b">
            <v>1</v>
          </cell>
          <cell r="E2976" t="str">
            <v>Nuevo Bosque</v>
          </cell>
          <cell r="H2976" t="str">
            <v>consulta_externa</v>
          </cell>
          <cell r="J2976" t="str">
            <v>bueno</v>
          </cell>
          <cell r="K2976" t="str">
            <v>probsi</v>
          </cell>
        </row>
        <row r="2977">
          <cell r="B2977" t="b">
            <v>1</v>
          </cell>
          <cell r="E2977" t="str">
            <v>Nuevo Bosque</v>
          </cell>
          <cell r="H2977" t="str">
            <v>consulta_externa</v>
          </cell>
          <cell r="J2977" t="str">
            <v>bueno</v>
          </cell>
          <cell r="K2977" t="str">
            <v>probsi</v>
          </cell>
        </row>
        <row r="2978">
          <cell r="B2978" t="b">
            <v>1</v>
          </cell>
          <cell r="E2978" t="str">
            <v>Nuevo Bosque</v>
          </cell>
          <cell r="H2978" t="str">
            <v>consulta_externa</v>
          </cell>
          <cell r="J2978" t="str">
            <v>bueno</v>
          </cell>
          <cell r="K2978" t="str">
            <v>probsi</v>
          </cell>
        </row>
        <row r="2979">
          <cell r="B2979" t="b">
            <v>1</v>
          </cell>
          <cell r="E2979" t="str">
            <v>Nuevo Bosque</v>
          </cell>
          <cell r="H2979" t="str">
            <v>consulta_externa</v>
          </cell>
          <cell r="J2979" t="str">
            <v>bueno</v>
          </cell>
          <cell r="K2979" t="str">
            <v>probsi</v>
          </cell>
        </row>
        <row r="2980">
          <cell r="B2980" t="b">
            <v>1</v>
          </cell>
          <cell r="E2980" t="str">
            <v>Nuevo Bosque</v>
          </cell>
          <cell r="H2980" t="str">
            <v>laboratorio</v>
          </cell>
          <cell r="J2980" t="str">
            <v>bueno</v>
          </cell>
          <cell r="K2980" t="str">
            <v>probsi</v>
          </cell>
        </row>
        <row r="2981">
          <cell r="B2981" t="b">
            <v>1</v>
          </cell>
          <cell r="E2981" t="str">
            <v>Nuevo Bosque</v>
          </cell>
          <cell r="H2981" t="str">
            <v>laboratorio</v>
          </cell>
          <cell r="J2981" t="str">
            <v>bueno</v>
          </cell>
          <cell r="K2981" t="str">
            <v>probsi</v>
          </cell>
        </row>
        <row r="2982">
          <cell r="B2982" t="b">
            <v>1</v>
          </cell>
          <cell r="E2982" t="str">
            <v>Nuevo Bosque</v>
          </cell>
          <cell r="H2982" t="str">
            <v>salud_oral</v>
          </cell>
          <cell r="J2982" t="str">
            <v>bueno</v>
          </cell>
          <cell r="K2982" t="str">
            <v>probsi</v>
          </cell>
        </row>
        <row r="2983">
          <cell r="B2983" t="b">
            <v>0</v>
          </cell>
          <cell r="E2983" t="str">
            <v>Nuevo Bosque</v>
          </cell>
          <cell r="H2983" t="str">
            <v>consulta_externa</v>
          </cell>
          <cell r="J2983" t="str">
            <v>regular</v>
          </cell>
          <cell r="K2983" t="str">
            <v>probsi</v>
          </cell>
        </row>
        <row r="2984">
          <cell r="B2984" t="b">
            <v>0</v>
          </cell>
          <cell r="E2984" t="str">
            <v>Nuevo Bosque</v>
          </cell>
          <cell r="H2984" t="str">
            <v>consulta_externa</v>
          </cell>
          <cell r="J2984" t="str">
            <v>regular</v>
          </cell>
          <cell r="K2984" t="str">
            <v>probsi</v>
          </cell>
        </row>
        <row r="2985">
          <cell r="B2985" t="b">
            <v>0</v>
          </cell>
          <cell r="E2985" t="str">
            <v>Nuevo Bosque</v>
          </cell>
          <cell r="H2985" t="str">
            <v>laboratorio</v>
          </cell>
          <cell r="J2985" t="str">
            <v>regular</v>
          </cell>
          <cell r="K2985" t="str">
            <v>probsi</v>
          </cell>
        </row>
        <row r="2986">
          <cell r="B2986" t="b">
            <v>0</v>
          </cell>
          <cell r="E2986" t="str">
            <v>Nuevo Bosque</v>
          </cell>
          <cell r="H2986" t="str">
            <v>laboratorio</v>
          </cell>
          <cell r="J2986" t="str">
            <v>regular</v>
          </cell>
          <cell r="K2986" t="str">
            <v>probsi</v>
          </cell>
        </row>
        <row r="2987">
          <cell r="B2987" t="b">
            <v>1</v>
          </cell>
          <cell r="E2987" t="str">
            <v>Nuevo Bosque</v>
          </cell>
          <cell r="H2987" t="str">
            <v>consulta_externa</v>
          </cell>
          <cell r="J2987" t="str">
            <v>bueno</v>
          </cell>
          <cell r="K2987" t="str">
            <v>probsi</v>
          </cell>
        </row>
        <row r="2988">
          <cell r="B2988" t="b">
            <v>0</v>
          </cell>
          <cell r="E2988" t="str">
            <v>Nuevo Bosque</v>
          </cell>
          <cell r="H2988" t="str">
            <v>laboratorio</v>
          </cell>
          <cell r="J2988" t="str">
            <v>regular</v>
          </cell>
          <cell r="K2988" t="str">
            <v>probsi</v>
          </cell>
        </row>
        <row r="2989">
          <cell r="B2989" t="b">
            <v>0</v>
          </cell>
          <cell r="E2989" t="str">
            <v>Nuevo Bosque</v>
          </cell>
          <cell r="H2989" t="str">
            <v>laboratorio</v>
          </cell>
          <cell r="J2989" t="str">
            <v>regular</v>
          </cell>
          <cell r="K2989" t="str">
            <v>probsi</v>
          </cell>
        </row>
        <row r="2990">
          <cell r="B2990" t="b">
            <v>1</v>
          </cell>
          <cell r="E2990" t="str">
            <v>Nuevo Bosque</v>
          </cell>
          <cell r="H2990" t="str">
            <v>consulta_externa</v>
          </cell>
          <cell r="J2990" t="str">
            <v>bueno</v>
          </cell>
          <cell r="K2990" t="str">
            <v>probsi</v>
          </cell>
        </row>
        <row r="2991">
          <cell r="B2991" t="b">
            <v>1</v>
          </cell>
          <cell r="E2991" t="str">
            <v>Nuevo Bosque</v>
          </cell>
          <cell r="H2991" t="str">
            <v>consulta_externa</v>
          </cell>
          <cell r="J2991" t="str">
            <v>bueno</v>
          </cell>
          <cell r="K2991" t="str">
            <v>probsi</v>
          </cell>
        </row>
        <row r="2992">
          <cell r="B2992" t="b">
            <v>1</v>
          </cell>
          <cell r="E2992" t="str">
            <v>Nuevo Bosque</v>
          </cell>
          <cell r="H2992" t="str">
            <v>laboratorio</v>
          </cell>
          <cell r="J2992" t="str">
            <v>bueno</v>
          </cell>
          <cell r="K2992" t="str">
            <v>probsi</v>
          </cell>
        </row>
        <row r="2993">
          <cell r="B2993" t="b">
            <v>1</v>
          </cell>
          <cell r="E2993" t="str">
            <v>Nuevo Bosque</v>
          </cell>
          <cell r="H2993" t="str">
            <v>consulta_externa</v>
          </cell>
          <cell r="J2993" t="str">
            <v>bueno</v>
          </cell>
          <cell r="K2993" t="str">
            <v>probsi</v>
          </cell>
        </row>
        <row r="2994">
          <cell r="B2994" t="b">
            <v>1</v>
          </cell>
          <cell r="E2994" t="str">
            <v>Nuevo Bosque</v>
          </cell>
          <cell r="H2994" t="str">
            <v>salud_oral</v>
          </cell>
          <cell r="J2994" t="str">
            <v>bueno</v>
          </cell>
          <cell r="K2994" t="str">
            <v>probsi</v>
          </cell>
        </row>
        <row r="2995">
          <cell r="B2995" t="b">
            <v>1</v>
          </cell>
          <cell r="E2995" t="str">
            <v>Nuevo Bosque</v>
          </cell>
          <cell r="H2995" t="str">
            <v>laboratorio</v>
          </cell>
          <cell r="J2995" t="str">
            <v>bueno</v>
          </cell>
          <cell r="K2995" t="str">
            <v>probsi</v>
          </cell>
        </row>
        <row r="2996">
          <cell r="B2996" t="b">
            <v>1</v>
          </cell>
          <cell r="E2996" t="str">
            <v>Nuevo Bosque</v>
          </cell>
          <cell r="H2996" t="str">
            <v>laboratorio</v>
          </cell>
          <cell r="J2996" t="str">
            <v>bueno</v>
          </cell>
          <cell r="K2996" t="str">
            <v>probsi</v>
          </cell>
        </row>
        <row r="2997">
          <cell r="B2997" t="b">
            <v>1</v>
          </cell>
          <cell r="E2997" t="str">
            <v>Nuevo Bosque</v>
          </cell>
          <cell r="H2997" t="str">
            <v>laboratorio</v>
          </cell>
          <cell r="J2997" t="str">
            <v>bueno</v>
          </cell>
          <cell r="K2997" t="str">
            <v>probsi</v>
          </cell>
        </row>
        <row r="2998">
          <cell r="B2998" t="b">
            <v>1</v>
          </cell>
          <cell r="E2998" t="str">
            <v>Nuevo Bosque</v>
          </cell>
          <cell r="H2998" t="str">
            <v>consulta_externa</v>
          </cell>
          <cell r="J2998" t="str">
            <v>bueno</v>
          </cell>
          <cell r="K2998" t="str">
            <v>probsi</v>
          </cell>
        </row>
        <row r="2999">
          <cell r="B2999" t="b">
            <v>1</v>
          </cell>
          <cell r="E2999" t="str">
            <v>Nuevo Bosque</v>
          </cell>
          <cell r="H2999" t="str">
            <v>salud_oral</v>
          </cell>
          <cell r="J2999" t="str">
            <v>bueno</v>
          </cell>
          <cell r="K2999" t="str">
            <v>probsi</v>
          </cell>
        </row>
        <row r="3000">
          <cell r="B3000" t="b">
            <v>1</v>
          </cell>
          <cell r="E3000" t="str">
            <v>Nuevo Bosque</v>
          </cell>
          <cell r="H3000" t="str">
            <v>consulta_externa</v>
          </cell>
          <cell r="J3000" t="str">
            <v>bueno</v>
          </cell>
          <cell r="K3000" t="str">
            <v>probsi</v>
          </cell>
        </row>
        <row r="3001">
          <cell r="B3001" t="b">
            <v>1</v>
          </cell>
          <cell r="E3001" t="str">
            <v>Nuevo Bosque</v>
          </cell>
          <cell r="H3001" t="str">
            <v>salud_oral</v>
          </cell>
          <cell r="J3001" t="str">
            <v>bueno</v>
          </cell>
          <cell r="K3001" t="str">
            <v>probsi</v>
          </cell>
        </row>
        <row r="3002">
          <cell r="B3002" t="b">
            <v>1</v>
          </cell>
          <cell r="E3002" t="str">
            <v>Nuevo Bosque</v>
          </cell>
          <cell r="H3002" t="str">
            <v>consulta_externa</v>
          </cell>
          <cell r="J3002" t="str">
            <v>bueno</v>
          </cell>
          <cell r="K3002" t="str">
            <v>probsi</v>
          </cell>
        </row>
        <row r="3003">
          <cell r="B3003" t="b">
            <v>0</v>
          </cell>
          <cell r="E3003" t="str">
            <v>Nuevo Bosque</v>
          </cell>
          <cell r="H3003" t="str">
            <v>salud_oral</v>
          </cell>
          <cell r="J3003" t="str">
            <v>regular</v>
          </cell>
          <cell r="K3003" t="str">
            <v>probno</v>
          </cell>
        </row>
        <row r="3004">
          <cell r="B3004" t="b">
            <v>1</v>
          </cell>
          <cell r="E3004" t="str">
            <v>Nuevo Bosque</v>
          </cell>
          <cell r="H3004" t="str">
            <v>consulta_externa</v>
          </cell>
          <cell r="J3004" t="str">
            <v>bueno</v>
          </cell>
          <cell r="K3004" t="str">
            <v>probsi</v>
          </cell>
        </row>
        <row r="3005">
          <cell r="B3005" t="b">
            <v>1</v>
          </cell>
          <cell r="E3005" t="str">
            <v>Nuevo Bosque</v>
          </cell>
          <cell r="H3005" t="str">
            <v>laboratorio</v>
          </cell>
          <cell r="J3005" t="str">
            <v>bueno</v>
          </cell>
          <cell r="K3005" t="str">
            <v>probsi</v>
          </cell>
        </row>
        <row r="3006">
          <cell r="B3006" t="b">
            <v>1</v>
          </cell>
          <cell r="E3006" t="str">
            <v>Nuevo Bosque</v>
          </cell>
          <cell r="H3006" t="str">
            <v>consulta_externa</v>
          </cell>
          <cell r="J3006" t="str">
            <v>bueno</v>
          </cell>
          <cell r="K3006" t="str">
            <v>probsi</v>
          </cell>
        </row>
        <row r="3007">
          <cell r="B3007" t="b">
            <v>1</v>
          </cell>
          <cell r="E3007" t="str">
            <v>Nuevo Bosque</v>
          </cell>
          <cell r="H3007" t="str">
            <v>consulta_externa</v>
          </cell>
          <cell r="J3007" t="str">
            <v>bueno</v>
          </cell>
          <cell r="K3007" t="str">
            <v>probsi</v>
          </cell>
        </row>
        <row r="3008">
          <cell r="B3008" t="b">
            <v>0</v>
          </cell>
          <cell r="E3008" t="str">
            <v>Nuevo Bosque</v>
          </cell>
          <cell r="H3008" t="str">
            <v>consulta_externa</v>
          </cell>
          <cell r="J3008" t="str">
            <v>regular</v>
          </cell>
          <cell r="K3008" t="str">
            <v>probsi</v>
          </cell>
        </row>
        <row r="3009">
          <cell r="B3009" t="b">
            <v>1</v>
          </cell>
          <cell r="E3009" t="str">
            <v>Nuevo Bosque</v>
          </cell>
          <cell r="H3009" t="str">
            <v>laboratorio</v>
          </cell>
          <cell r="J3009" t="str">
            <v>bueno</v>
          </cell>
          <cell r="K3009" t="str">
            <v>probsi</v>
          </cell>
        </row>
        <row r="3010">
          <cell r="B3010" t="b">
            <v>1</v>
          </cell>
          <cell r="E3010" t="str">
            <v>Nuevo Bosque</v>
          </cell>
          <cell r="H3010" t="str">
            <v>salud_oral</v>
          </cell>
          <cell r="J3010" t="str">
            <v>bueno</v>
          </cell>
          <cell r="K3010" t="str">
            <v>probsi</v>
          </cell>
        </row>
        <row r="3011">
          <cell r="B3011" t="b">
            <v>1</v>
          </cell>
          <cell r="E3011" t="str">
            <v>Candelaria</v>
          </cell>
          <cell r="H3011" t="str">
            <v>consulta_externa</v>
          </cell>
          <cell r="J3011" t="str">
            <v>bueno</v>
          </cell>
          <cell r="K3011" t="str">
            <v>defsi</v>
          </cell>
        </row>
        <row r="3012">
          <cell r="B3012" t="b">
            <v>1</v>
          </cell>
          <cell r="E3012" t="str">
            <v>Candelaria</v>
          </cell>
          <cell r="H3012" t="str">
            <v>salud_oral</v>
          </cell>
          <cell r="J3012" t="str">
            <v>bueno</v>
          </cell>
          <cell r="K3012" t="str">
            <v>defsi</v>
          </cell>
        </row>
        <row r="3013">
          <cell r="B3013" t="b">
            <v>1</v>
          </cell>
          <cell r="E3013" t="str">
            <v>Candelaria</v>
          </cell>
          <cell r="H3013" t="str">
            <v>laboratorio</v>
          </cell>
          <cell r="J3013" t="str">
            <v>bueno</v>
          </cell>
          <cell r="K3013" t="str">
            <v>defsi</v>
          </cell>
        </row>
        <row r="3014">
          <cell r="B3014" t="b">
            <v>1</v>
          </cell>
          <cell r="E3014" t="str">
            <v>Candelaria</v>
          </cell>
          <cell r="H3014" t="str">
            <v>urgencia</v>
          </cell>
          <cell r="J3014" t="str">
            <v>bueno</v>
          </cell>
          <cell r="K3014" t="str">
            <v>defsi</v>
          </cell>
        </row>
        <row r="3015">
          <cell r="B3015" t="b">
            <v>1</v>
          </cell>
          <cell r="E3015" t="str">
            <v>Candelaria</v>
          </cell>
          <cell r="H3015" t="str">
            <v>electros</v>
          </cell>
          <cell r="J3015" t="str">
            <v>bueno</v>
          </cell>
          <cell r="K3015" t="str">
            <v>defsi</v>
          </cell>
        </row>
        <row r="3016">
          <cell r="B3016" t="b">
            <v>1</v>
          </cell>
          <cell r="E3016" t="str">
            <v>San Pedro y Libertad</v>
          </cell>
          <cell r="H3016" t="str">
            <v>consulta_externa</v>
          </cell>
          <cell r="J3016" t="str">
            <v>bueno</v>
          </cell>
          <cell r="K3016" t="str">
            <v>defsi</v>
          </cell>
        </row>
        <row r="3017">
          <cell r="B3017" t="b">
            <v>1</v>
          </cell>
          <cell r="E3017" t="str">
            <v>San Pedro y Libertad</v>
          </cell>
          <cell r="H3017" t="str">
            <v>laboratorio</v>
          </cell>
          <cell r="J3017" t="str">
            <v>bueno</v>
          </cell>
          <cell r="K3017" t="str">
            <v>defsi</v>
          </cell>
        </row>
        <row r="3018">
          <cell r="B3018" t="b">
            <v>1</v>
          </cell>
          <cell r="E3018" t="str">
            <v>San Pedro y Libertad</v>
          </cell>
          <cell r="H3018" t="str">
            <v>consulta_externa</v>
          </cell>
          <cell r="J3018" t="str">
            <v>bueno</v>
          </cell>
          <cell r="K3018" t="str">
            <v>defsi</v>
          </cell>
        </row>
        <row r="3019">
          <cell r="B3019" t="b">
            <v>1</v>
          </cell>
          <cell r="E3019" t="str">
            <v>San Pedro y Libertad</v>
          </cell>
          <cell r="H3019" t="str">
            <v>consulta_externa</v>
          </cell>
          <cell r="J3019" t="str">
            <v>bueno</v>
          </cell>
          <cell r="K3019" t="str">
            <v>defsi</v>
          </cell>
        </row>
        <row r="3020">
          <cell r="B3020" t="b">
            <v>1</v>
          </cell>
          <cell r="E3020" t="str">
            <v>San Pedro y Libertad</v>
          </cell>
          <cell r="H3020" t="str">
            <v>laboratorio</v>
          </cell>
          <cell r="J3020" t="str">
            <v>bueno</v>
          </cell>
          <cell r="K3020" t="str">
            <v>defsi</v>
          </cell>
        </row>
        <row r="3021">
          <cell r="B3021" t="b">
            <v>1</v>
          </cell>
          <cell r="E3021" t="str">
            <v>San Pedro y Libertad</v>
          </cell>
          <cell r="H3021" t="str">
            <v>laboratorio</v>
          </cell>
          <cell r="J3021" t="str">
            <v>bueno</v>
          </cell>
          <cell r="K3021" t="str">
            <v>defsi</v>
          </cell>
        </row>
        <row r="3022">
          <cell r="B3022" t="b">
            <v>1</v>
          </cell>
          <cell r="E3022" t="str">
            <v>San Pedro y Libertad</v>
          </cell>
          <cell r="H3022" t="str">
            <v>consulta_externa</v>
          </cell>
          <cell r="J3022" t="str">
            <v>bueno</v>
          </cell>
          <cell r="K3022" t="str">
            <v>defsi</v>
          </cell>
        </row>
        <row r="3023">
          <cell r="B3023" t="b">
            <v>1</v>
          </cell>
          <cell r="E3023" t="str">
            <v>San Pedro y Libertad</v>
          </cell>
          <cell r="H3023" t="str">
            <v>consulta_externa</v>
          </cell>
          <cell r="J3023" t="str">
            <v>bueno</v>
          </cell>
          <cell r="K3023" t="str">
            <v>defsi</v>
          </cell>
        </row>
        <row r="3024">
          <cell r="B3024" t="b">
            <v>1</v>
          </cell>
          <cell r="E3024" t="str">
            <v>San Pedro y Libertad</v>
          </cell>
          <cell r="H3024" t="str">
            <v>salud_oral</v>
          </cell>
          <cell r="J3024" t="str">
            <v>bueno</v>
          </cell>
          <cell r="K3024" t="str">
            <v>defsi</v>
          </cell>
        </row>
        <row r="3025">
          <cell r="B3025" t="b">
            <v>1</v>
          </cell>
          <cell r="E3025" t="str">
            <v>San Pedro y Libertad</v>
          </cell>
          <cell r="H3025" t="str">
            <v>consulta_externa</v>
          </cell>
          <cell r="J3025" t="str">
            <v>muybueno</v>
          </cell>
          <cell r="K3025" t="str">
            <v>defsi</v>
          </cell>
        </row>
        <row r="3026">
          <cell r="B3026" t="b">
            <v>1</v>
          </cell>
          <cell r="E3026" t="str">
            <v>San Pedro y Libertad</v>
          </cell>
          <cell r="H3026" t="str">
            <v>consulta_externa</v>
          </cell>
          <cell r="J3026" t="str">
            <v>bueno</v>
          </cell>
          <cell r="K3026" t="str">
            <v>defsi</v>
          </cell>
        </row>
        <row r="3027">
          <cell r="B3027" t="b">
            <v>1</v>
          </cell>
          <cell r="E3027" t="str">
            <v>San Pedro y Libertad</v>
          </cell>
          <cell r="H3027" t="str">
            <v>salud_oral</v>
          </cell>
          <cell r="J3027" t="str">
            <v>bueno</v>
          </cell>
          <cell r="K3027" t="str">
            <v>defsi</v>
          </cell>
        </row>
        <row r="3028">
          <cell r="B3028" t="b">
            <v>1</v>
          </cell>
          <cell r="E3028" t="str">
            <v>San Pedro y Libertad</v>
          </cell>
          <cell r="H3028" t="str">
            <v>consulta_externa</v>
          </cell>
          <cell r="J3028" t="str">
            <v>bueno</v>
          </cell>
          <cell r="K3028" t="str">
            <v>defsi</v>
          </cell>
        </row>
        <row r="3029">
          <cell r="B3029" t="b">
            <v>1</v>
          </cell>
          <cell r="E3029" t="str">
            <v>San Pedro y Libertad</v>
          </cell>
          <cell r="H3029" t="str">
            <v>salud_oral</v>
          </cell>
          <cell r="J3029" t="str">
            <v>bueno</v>
          </cell>
          <cell r="K3029" t="str">
            <v>defsi</v>
          </cell>
        </row>
        <row r="3030">
          <cell r="B3030" t="b">
            <v>1</v>
          </cell>
          <cell r="E3030" t="str">
            <v>San Pedro y Libertad</v>
          </cell>
          <cell r="H3030" t="str">
            <v>consulta_externa</v>
          </cell>
          <cell r="J3030" t="str">
            <v>bueno</v>
          </cell>
          <cell r="K3030" t="str">
            <v>defsi</v>
          </cell>
        </row>
        <row r="3031">
          <cell r="B3031" t="b">
            <v>1</v>
          </cell>
          <cell r="E3031" t="str">
            <v>San Pedro y Libertad</v>
          </cell>
          <cell r="H3031" t="str">
            <v>salud_oral</v>
          </cell>
          <cell r="J3031" t="str">
            <v>bueno</v>
          </cell>
          <cell r="K3031" t="str">
            <v>defsi</v>
          </cell>
        </row>
        <row r="3032">
          <cell r="B3032" t="b">
            <v>1</v>
          </cell>
          <cell r="E3032" t="str">
            <v>San Pedro y Libertad</v>
          </cell>
          <cell r="H3032" t="str">
            <v>consulta_externa</v>
          </cell>
          <cell r="J3032" t="str">
            <v>muybueno</v>
          </cell>
          <cell r="K3032" t="str">
            <v>defsi</v>
          </cell>
        </row>
        <row r="3033">
          <cell r="B3033" t="b">
            <v>1</v>
          </cell>
          <cell r="E3033" t="str">
            <v>San Pedro y Libertad</v>
          </cell>
          <cell r="H3033" t="str">
            <v>laboratorio</v>
          </cell>
          <cell r="J3033" t="str">
            <v>muybueno</v>
          </cell>
          <cell r="K3033" t="str">
            <v>defsi</v>
          </cell>
        </row>
        <row r="3034">
          <cell r="B3034" t="b">
            <v>1</v>
          </cell>
          <cell r="E3034" t="str">
            <v>San Pedro y Libertad</v>
          </cell>
          <cell r="H3034" t="str">
            <v>consulta_externa</v>
          </cell>
          <cell r="J3034" t="str">
            <v>bueno</v>
          </cell>
          <cell r="K3034" t="str">
            <v>defsi</v>
          </cell>
        </row>
        <row r="3035">
          <cell r="B3035" t="b">
            <v>1</v>
          </cell>
          <cell r="E3035" t="str">
            <v>San Pedro y Libertad</v>
          </cell>
          <cell r="H3035" t="str">
            <v>laboratorio</v>
          </cell>
          <cell r="J3035" t="str">
            <v>bueno</v>
          </cell>
          <cell r="K3035" t="str">
            <v>defsi</v>
          </cell>
        </row>
        <row r="3036">
          <cell r="B3036" t="b">
            <v>1</v>
          </cell>
          <cell r="E3036" t="str">
            <v>San Pedro y Libertad</v>
          </cell>
          <cell r="H3036" t="str">
            <v>consulta_externa</v>
          </cell>
          <cell r="J3036" t="str">
            <v>muybueno</v>
          </cell>
          <cell r="K3036" t="str">
            <v>defsi</v>
          </cell>
        </row>
        <row r="3037">
          <cell r="B3037" t="b">
            <v>1</v>
          </cell>
          <cell r="E3037" t="str">
            <v>San Pedro y Libertad</v>
          </cell>
          <cell r="H3037" t="str">
            <v>laboratorio</v>
          </cell>
          <cell r="J3037" t="str">
            <v>bueno</v>
          </cell>
          <cell r="K3037" t="str">
            <v>defsi</v>
          </cell>
        </row>
        <row r="3038">
          <cell r="B3038" t="b">
            <v>1</v>
          </cell>
          <cell r="E3038" t="str">
            <v>Candelaria</v>
          </cell>
          <cell r="H3038" t="str">
            <v>pediatria</v>
          </cell>
          <cell r="J3038" t="str">
            <v>bueno</v>
          </cell>
          <cell r="K3038" t="str">
            <v>defsi</v>
          </cell>
        </row>
        <row r="3039">
          <cell r="B3039" t="b">
            <v>1</v>
          </cell>
          <cell r="E3039" t="str">
            <v>Candelaria</v>
          </cell>
          <cell r="H3039" t="str">
            <v>medicina_interna</v>
          </cell>
          <cell r="J3039" t="str">
            <v>bueno</v>
          </cell>
          <cell r="K3039" t="str">
            <v>defsi</v>
          </cell>
        </row>
        <row r="3040">
          <cell r="B3040" t="b">
            <v>1</v>
          </cell>
          <cell r="E3040" t="str">
            <v>Candelaria</v>
          </cell>
          <cell r="H3040" t="str">
            <v>medicina_interna</v>
          </cell>
          <cell r="J3040" t="str">
            <v>bueno</v>
          </cell>
          <cell r="K3040" t="str">
            <v>defsi</v>
          </cell>
        </row>
        <row r="3041">
          <cell r="B3041" t="b">
            <v>1</v>
          </cell>
          <cell r="E3041" t="str">
            <v>San Pedro y Libertad</v>
          </cell>
          <cell r="H3041" t="str">
            <v>consulta_externa</v>
          </cell>
          <cell r="J3041" t="str">
            <v>bueno</v>
          </cell>
          <cell r="K3041" t="str">
            <v>defsi</v>
          </cell>
        </row>
        <row r="3042">
          <cell r="B3042" t="b">
            <v>1</v>
          </cell>
          <cell r="E3042" t="str">
            <v>San Pedro y Libertad</v>
          </cell>
          <cell r="H3042" t="str">
            <v>consulta_externa</v>
          </cell>
          <cell r="J3042" t="str">
            <v>bueno</v>
          </cell>
          <cell r="K3042" t="str">
            <v>defsi</v>
          </cell>
        </row>
        <row r="3043">
          <cell r="B3043" t="b">
            <v>1</v>
          </cell>
          <cell r="E3043" t="str">
            <v>San Pedro y Libertad</v>
          </cell>
          <cell r="H3043" t="str">
            <v>salud_oral</v>
          </cell>
          <cell r="J3043" t="str">
            <v>bueno</v>
          </cell>
          <cell r="K3043" t="str">
            <v>defsi</v>
          </cell>
        </row>
        <row r="3044">
          <cell r="B3044" t="b">
            <v>0</v>
          </cell>
          <cell r="E3044" t="str">
            <v>San Pedro y Libertad</v>
          </cell>
          <cell r="H3044" t="str">
            <v>salud_oral</v>
          </cell>
          <cell r="J3044" t="str">
            <v>regular</v>
          </cell>
          <cell r="K3044" t="str">
            <v>probsi</v>
          </cell>
        </row>
        <row r="3045">
          <cell r="B3045" t="b">
            <v>1</v>
          </cell>
          <cell r="E3045" t="str">
            <v>San Pedro y Libertad</v>
          </cell>
          <cell r="H3045" t="str">
            <v>salud_oral</v>
          </cell>
          <cell r="J3045" t="str">
            <v>bueno</v>
          </cell>
          <cell r="K3045" t="str">
            <v>defsi</v>
          </cell>
        </row>
        <row r="3046">
          <cell r="B3046" t="b">
            <v>0</v>
          </cell>
          <cell r="E3046" t="str">
            <v>San Pedro y Libertad</v>
          </cell>
          <cell r="H3046" t="str">
            <v>laboratorio</v>
          </cell>
          <cell r="J3046" t="str">
            <v>regular</v>
          </cell>
          <cell r="K3046" t="str">
            <v>defsi</v>
          </cell>
        </row>
        <row r="3047">
          <cell r="B3047" t="b">
            <v>1</v>
          </cell>
          <cell r="E3047" t="str">
            <v>San Pedro y Libertad</v>
          </cell>
          <cell r="H3047" t="str">
            <v>laboratorio</v>
          </cell>
          <cell r="J3047" t="str">
            <v>bueno</v>
          </cell>
          <cell r="K3047" t="str">
            <v>defsi</v>
          </cell>
        </row>
        <row r="3048">
          <cell r="B3048" t="b">
            <v>1</v>
          </cell>
          <cell r="E3048" t="str">
            <v>San Pedro y Libertad</v>
          </cell>
          <cell r="H3048" t="str">
            <v>laboratorio</v>
          </cell>
          <cell r="J3048" t="str">
            <v>bueno</v>
          </cell>
          <cell r="K3048" t="str">
            <v>defsi</v>
          </cell>
        </row>
        <row r="3049">
          <cell r="B3049" t="b">
            <v>1</v>
          </cell>
          <cell r="E3049" t="str">
            <v>San Pedro y Libertad</v>
          </cell>
          <cell r="H3049" t="str">
            <v>laboratorio</v>
          </cell>
          <cell r="J3049" t="str">
            <v>bueno</v>
          </cell>
          <cell r="K3049" t="str">
            <v>defsi</v>
          </cell>
        </row>
        <row r="3050">
          <cell r="B3050" t="b">
            <v>1</v>
          </cell>
          <cell r="E3050" t="str">
            <v>Candelaria</v>
          </cell>
          <cell r="H3050" t="str">
            <v>salud_oral</v>
          </cell>
          <cell r="J3050" t="str">
            <v>bueno</v>
          </cell>
          <cell r="K3050" t="str">
            <v>defsi</v>
          </cell>
        </row>
        <row r="3051">
          <cell r="B3051" t="b">
            <v>1</v>
          </cell>
          <cell r="E3051" t="str">
            <v>Candelaria</v>
          </cell>
          <cell r="H3051" t="str">
            <v>laboratorio</v>
          </cell>
          <cell r="J3051" t="str">
            <v>bueno</v>
          </cell>
          <cell r="K3051" t="str">
            <v>defsi</v>
          </cell>
        </row>
        <row r="3052">
          <cell r="B3052" t="b">
            <v>1</v>
          </cell>
          <cell r="E3052" t="str">
            <v>Candelaria</v>
          </cell>
          <cell r="H3052" t="str">
            <v>urgencia</v>
          </cell>
          <cell r="J3052" t="str">
            <v>bueno</v>
          </cell>
          <cell r="K3052" t="str">
            <v>defsi</v>
          </cell>
        </row>
        <row r="3053">
          <cell r="B3053" t="b">
            <v>1</v>
          </cell>
          <cell r="E3053" t="str">
            <v>Candelaria</v>
          </cell>
          <cell r="H3053" t="str">
            <v>electros</v>
          </cell>
          <cell r="J3053" t="str">
            <v>bueno</v>
          </cell>
          <cell r="K3053" t="str">
            <v>defsi</v>
          </cell>
        </row>
        <row r="3054">
          <cell r="B3054" t="b">
            <v>1</v>
          </cell>
          <cell r="E3054" t="str">
            <v>Candelaria</v>
          </cell>
          <cell r="H3054" t="str">
            <v>pediatria</v>
          </cell>
          <cell r="J3054" t="str">
            <v>bueno</v>
          </cell>
          <cell r="K3054" t="str">
            <v>defsi</v>
          </cell>
        </row>
        <row r="3055">
          <cell r="B3055" t="b">
            <v>1</v>
          </cell>
          <cell r="E3055" t="str">
            <v>Candelaria</v>
          </cell>
          <cell r="H3055" t="str">
            <v>medicina_interna</v>
          </cell>
          <cell r="J3055" t="str">
            <v>bueno</v>
          </cell>
          <cell r="K3055" t="str">
            <v>defsi</v>
          </cell>
        </row>
        <row r="3056">
          <cell r="B3056" t="b">
            <v>1</v>
          </cell>
          <cell r="E3056" t="str">
            <v>Candelaria</v>
          </cell>
          <cell r="H3056" t="str">
            <v>consulta_externa</v>
          </cell>
          <cell r="J3056" t="str">
            <v>bueno</v>
          </cell>
          <cell r="K3056" t="str">
            <v>defsi</v>
          </cell>
        </row>
        <row r="3057">
          <cell r="B3057" t="b">
            <v>1</v>
          </cell>
          <cell r="E3057" t="str">
            <v>Candelaria</v>
          </cell>
          <cell r="H3057" t="str">
            <v>salud_oral</v>
          </cell>
          <cell r="J3057" t="str">
            <v>bueno</v>
          </cell>
          <cell r="K3057" t="str">
            <v>defsi</v>
          </cell>
        </row>
        <row r="3058">
          <cell r="B3058" t="b">
            <v>1</v>
          </cell>
          <cell r="E3058" t="str">
            <v>Candelaria</v>
          </cell>
          <cell r="H3058" t="str">
            <v>urgencia</v>
          </cell>
          <cell r="J3058" t="str">
            <v>bueno</v>
          </cell>
          <cell r="K3058" t="str">
            <v>defsi</v>
          </cell>
        </row>
        <row r="3059">
          <cell r="B3059" t="b">
            <v>1</v>
          </cell>
          <cell r="E3059" t="str">
            <v>Candelaria</v>
          </cell>
          <cell r="H3059" t="str">
            <v>electros</v>
          </cell>
          <cell r="J3059" t="str">
            <v>bueno</v>
          </cell>
          <cell r="K3059" t="str">
            <v>defsi</v>
          </cell>
        </row>
        <row r="3060">
          <cell r="B3060" t="b">
            <v>1</v>
          </cell>
          <cell r="E3060" t="str">
            <v>Candelaria</v>
          </cell>
          <cell r="H3060" t="str">
            <v>medicina_interna</v>
          </cell>
          <cell r="J3060" t="str">
            <v>bueno</v>
          </cell>
          <cell r="K3060" t="str">
            <v>defsi</v>
          </cell>
        </row>
        <row r="3061">
          <cell r="B3061" t="b">
            <v>1</v>
          </cell>
          <cell r="E3061" t="str">
            <v>Candelaria</v>
          </cell>
          <cell r="H3061" t="str">
            <v>consulta_externa</v>
          </cell>
          <cell r="J3061" t="str">
            <v>bueno</v>
          </cell>
          <cell r="K3061" t="str">
            <v>defsi</v>
          </cell>
        </row>
        <row r="3062">
          <cell r="B3062" t="b">
            <v>1</v>
          </cell>
          <cell r="E3062" t="str">
            <v>Nuevo Bosque</v>
          </cell>
          <cell r="H3062" t="str">
            <v>salud_oral</v>
          </cell>
          <cell r="J3062" t="str">
            <v>bueno</v>
          </cell>
          <cell r="K3062" t="str">
            <v>probsi</v>
          </cell>
        </row>
        <row r="3063">
          <cell r="B3063" t="b">
            <v>1</v>
          </cell>
          <cell r="E3063" t="str">
            <v>Candelaria</v>
          </cell>
          <cell r="H3063" t="str">
            <v>salud_oral</v>
          </cell>
          <cell r="J3063" t="str">
            <v>bueno</v>
          </cell>
          <cell r="K3063" t="str">
            <v>defsi</v>
          </cell>
        </row>
        <row r="3064">
          <cell r="B3064" t="b">
            <v>1</v>
          </cell>
          <cell r="E3064" t="str">
            <v>Nuevo Bosque</v>
          </cell>
          <cell r="H3064" t="str">
            <v>salud_oral</v>
          </cell>
          <cell r="J3064" t="str">
            <v>bueno</v>
          </cell>
          <cell r="K3064" t="str">
            <v>probsi</v>
          </cell>
        </row>
        <row r="3065">
          <cell r="B3065" t="b">
            <v>1</v>
          </cell>
          <cell r="E3065" t="str">
            <v>Nuevo Bosque</v>
          </cell>
          <cell r="H3065" t="str">
            <v>salud_oral</v>
          </cell>
          <cell r="J3065" t="str">
            <v>bueno</v>
          </cell>
          <cell r="K3065" t="str">
            <v>probsi</v>
          </cell>
        </row>
        <row r="3066">
          <cell r="B3066" t="b">
            <v>1</v>
          </cell>
          <cell r="E3066" t="str">
            <v>Nuevo Bosque</v>
          </cell>
          <cell r="H3066" t="str">
            <v>salud_oral</v>
          </cell>
          <cell r="J3066" t="str">
            <v>bueno</v>
          </cell>
          <cell r="K3066" t="str">
            <v>probsi</v>
          </cell>
        </row>
        <row r="3067">
          <cell r="B3067" t="b">
            <v>1</v>
          </cell>
          <cell r="E3067" t="str">
            <v>Nuevo Bosque</v>
          </cell>
          <cell r="H3067" t="str">
            <v>salud_oral</v>
          </cell>
          <cell r="J3067" t="str">
            <v>bueno</v>
          </cell>
          <cell r="K3067" t="str">
            <v>probsi</v>
          </cell>
        </row>
        <row r="3068">
          <cell r="B3068" t="b">
            <v>1</v>
          </cell>
          <cell r="E3068" t="str">
            <v>Nuevo Bosque</v>
          </cell>
          <cell r="H3068" t="str">
            <v>urgencia</v>
          </cell>
          <cell r="J3068" t="str">
            <v>bueno</v>
          </cell>
          <cell r="K3068" t="str">
            <v>probsi</v>
          </cell>
        </row>
        <row r="3069">
          <cell r="B3069" t="b">
            <v>1</v>
          </cell>
          <cell r="E3069" t="str">
            <v>Candelaria</v>
          </cell>
          <cell r="H3069" t="str">
            <v>consulta_externa</v>
          </cell>
          <cell r="J3069" t="str">
            <v>bueno</v>
          </cell>
          <cell r="K3069" t="str">
            <v>defsi</v>
          </cell>
        </row>
        <row r="3070">
          <cell r="B3070" t="b">
            <v>1</v>
          </cell>
          <cell r="E3070" t="str">
            <v>Nuevo Bosque</v>
          </cell>
          <cell r="H3070" t="str">
            <v>urgencia</v>
          </cell>
          <cell r="J3070" t="str">
            <v>bueno</v>
          </cell>
          <cell r="K3070" t="str">
            <v>probsi</v>
          </cell>
        </row>
        <row r="3071">
          <cell r="B3071" t="b">
            <v>1</v>
          </cell>
          <cell r="E3071" t="str">
            <v>Nuevo Bosque</v>
          </cell>
          <cell r="H3071" t="str">
            <v>urgencia</v>
          </cell>
          <cell r="J3071" t="str">
            <v>bueno</v>
          </cell>
          <cell r="K3071" t="str">
            <v>probsi</v>
          </cell>
        </row>
        <row r="3072">
          <cell r="B3072" t="b">
            <v>1</v>
          </cell>
          <cell r="E3072" t="str">
            <v>Candelaria</v>
          </cell>
          <cell r="H3072" t="str">
            <v>salud_oral</v>
          </cell>
          <cell r="J3072" t="str">
            <v>bueno</v>
          </cell>
          <cell r="K3072" t="str">
            <v>defsi</v>
          </cell>
        </row>
        <row r="3073">
          <cell r="B3073" t="b">
            <v>0</v>
          </cell>
          <cell r="E3073" t="str">
            <v>Nuevo Bosque</v>
          </cell>
          <cell r="H3073" t="str">
            <v>urgencia</v>
          </cell>
          <cell r="J3073" t="str">
            <v>regular</v>
          </cell>
          <cell r="K3073" t="str">
            <v>probsi</v>
          </cell>
        </row>
        <row r="3074">
          <cell r="B3074" t="b">
            <v>0</v>
          </cell>
          <cell r="E3074" t="str">
            <v>Nuevo Bosque</v>
          </cell>
          <cell r="H3074" t="str">
            <v>urgencia</v>
          </cell>
          <cell r="J3074" t="str">
            <v>regular</v>
          </cell>
          <cell r="K3074" t="str">
            <v>probsi</v>
          </cell>
        </row>
        <row r="3075">
          <cell r="B3075" t="b">
            <v>0</v>
          </cell>
          <cell r="E3075" t="str">
            <v>Nuevo Bosque</v>
          </cell>
          <cell r="H3075" t="str">
            <v>urgencia</v>
          </cell>
          <cell r="J3075" t="str">
            <v>regular</v>
          </cell>
          <cell r="K3075" t="str">
            <v>probno</v>
          </cell>
        </row>
        <row r="3076">
          <cell r="B3076" t="b">
            <v>1</v>
          </cell>
          <cell r="E3076" t="str">
            <v>Candelaria</v>
          </cell>
          <cell r="H3076" t="str">
            <v>laboratorio</v>
          </cell>
          <cell r="J3076" t="str">
            <v>bueno</v>
          </cell>
          <cell r="K3076" t="str">
            <v>defsi</v>
          </cell>
        </row>
        <row r="3077">
          <cell r="B3077" t="b">
            <v>1</v>
          </cell>
          <cell r="E3077" t="str">
            <v>Candelaria</v>
          </cell>
          <cell r="H3077" t="str">
            <v>urgencia</v>
          </cell>
          <cell r="J3077" t="str">
            <v>bueno</v>
          </cell>
          <cell r="K3077" t="str">
            <v>defsi</v>
          </cell>
        </row>
        <row r="3078">
          <cell r="B3078" t="b">
            <v>1</v>
          </cell>
          <cell r="E3078" t="str">
            <v>Candelaria</v>
          </cell>
          <cell r="H3078" t="str">
            <v>electros</v>
          </cell>
          <cell r="J3078" t="str">
            <v>bueno</v>
          </cell>
          <cell r="K3078" t="str">
            <v>defsi</v>
          </cell>
        </row>
        <row r="3079">
          <cell r="B3079" t="b">
            <v>1</v>
          </cell>
          <cell r="E3079" t="str">
            <v>Candelaria</v>
          </cell>
          <cell r="H3079" t="str">
            <v>medicina_interna</v>
          </cell>
          <cell r="J3079" t="str">
            <v>bueno</v>
          </cell>
          <cell r="K3079" t="str">
            <v>defsi</v>
          </cell>
        </row>
        <row r="3080">
          <cell r="B3080" t="b">
            <v>1</v>
          </cell>
          <cell r="E3080" t="str">
            <v>Candelaria</v>
          </cell>
          <cell r="H3080" t="str">
            <v>consulta_externa</v>
          </cell>
          <cell r="J3080" t="str">
            <v>bueno</v>
          </cell>
          <cell r="K3080" t="str">
            <v>defsi</v>
          </cell>
        </row>
        <row r="3081">
          <cell r="B3081" t="b">
            <v>1</v>
          </cell>
          <cell r="E3081" t="str">
            <v>Candelaria</v>
          </cell>
          <cell r="H3081" t="str">
            <v>salud_oral</v>
          </cell>
          <cell r="J3081" t="str">
            <v>bueno</v>
          </cell>
          <cell r="K3081" t="str">
            <v>defsi</v>
          </cell>
        </row>
        <row r="3082">
          <cell r="B3082" t="b">
            <v>1</v>
          </cell>
          <cell r="E3082" t="str">
            <v>Candelaria</v>
          </cell>
          <cell r="H3082" t="str">
            <v>laboratorio</v>
          </cell>
          <cell r="J3082" t="str">
            <v>bueno</v>
          </cell>
          <cell r="K3082" t="str">
            <v>defsi</v>
          </cell>
        </row>
        <row r="3083">
          <cell r="B3083" t="b">
            <v>1</v>
          </cell>
          <cell r="E3083" t="str">
            <v>Candelaria</v>
          </cell>
          <cell r="H3083" t="str">
            <v>urgencia</v>
          </cell>
          <cell r="J3083" t="str">
            <v>bueno</v>
          </cell>
          <cell r="K3083" t="str">
            <v>defsi</v>
          </cell>
        </row>
        <row r="3084">
          <cell r="B3084" t="b">
            <v>1</v>
          </cell>
          <cell r="E3084" t="str">
            <v>Candelaria</v>
          </cell>
          <cell r="H3084" t="str">
            <v>electros</v>
          </cell>
          <cell r="J3084" t="str">
            <v>bueno</v>
          </cell>
          <cell r="K3084" t="str">
            <v>defsi</v>
          </cell>
        </row>
        <row r="3085">
          <cell r="B3085" t="b">
            <v>1</v>
          </cell>
          <cell r="E3085" t="str">
            <v>Candelaria</v>
          </cell>
          <cell r="H3085" t="str">
            <v>pediatria</v>
          </cell>
          <cell r="J3085" t="str">
            <v>bueno</v>
          </cell>
          <cell r="K3085" t="str">
            <v>defsi</v>
          </cell>
        </row>
        <row r="3086">
          <cell r="B3086" t="b">
            <v>1</v>
          </cell>
          <cell r="E3086" t="str">
            <v>Candelaria</v>
          </cell>
          <cell r="H3086" t="str">
            <v>medicina_interna</v>
          </cell>
          <cell r="J3086" t="str">
            <v>bueno</v>
          </cell>
          <cell r="K3086" t="str">
            <v>defsi</v>
          </cell>
        </row>
        <row r="3087">
          <cell r="B3087" t="b">
            <v>1</v>
          </cell>
          <cell r="E3087" t="str">
            <v>Blasdelezo</v>
          </cell>
          <cell r="H3087" t="str">
            <v>consulta_externa</v>
          </cell>
          <cell r="J3087" t="str">
            <v>bueno</v>
          </cell>
          <cell r="K3087" t="str">
            <v>probsi</v>
          </cell>
        </row>
        <row r="3088">
          <cell r="B3088" t="b">
            <v>1</v>
          </cell>
          <cell r="E3088" t="str">
            <v>Blasdelezo</v>
          </cell>
          <cell r="H3088" t="str">
            <v>laboratorio</v>
          </cell>
          <cell r="J3088" t="str">
            <v>bueno</v>
          </cell>
          <cell r="K3088" t="str">
            <v>probsi</v>
          </cell>
        </row>
        <row r="3089">
          <cell r="B3089" t="b">
            <v>1</v>
          </cell>
          <cell r="E3089" t="str">
            <v>Blasdelezo</v>
          </cell>
          <cell r="H3089" t="str">
            <v>salud_oral</v>
          </cell>
          <cell r="J3089" t="str">
            <v>bueno</v>
          </cell>
          <cell r="K3089" t="str">
            <v>probsi</v>
          </cell>
        </row>
        <row r="3090">
          <cell r="B3090" t="b">
            <v>1</v>
          </cell>
          <cell r="E3090" t="str">
            <v>Blasdelezo</v>
          </cell>
          <cell r="H3090" t="str">
            <v>consulta_externa</v>
          </cell>
          <cell r="J3090" t="str">
            <v>bueno</v>
          </cell>
          <cell r="K3090" t="str">
            <v>probsi</v>
          </cell>
        </row>
        <row r="3091">
          <cell r="B3091" t="b">
            <v>1</v>
          </cell>
          <cell r="E3091" t="str">
            <v>Candelaria</v>
          </cell>
          <cell r="H3091" t="str">
            <v>consulta_externa</v>
          </cell>
          <cell r="J3091" t="str">
            <v>bueno</v>
          </cell>
          <cell r="K3091" t="str">
            <v>defsi</v>
          </cell>
        </row>
        <row r="3092">
          <cell r="B3092" t="b">
            <v>1</v>
          </cell>
          <cell r="E3092" t="str">
            <v>Candelaria</v>
          </cell>
          <cell r="H3092" t="str">
            <v>salud_oral</v>
          </cell>
          <cell r="J3092" t="str">
            <v>bueno</v>
          </cell>
          <cell r="K3092" t="str">
            <v>defsi</v>
          </cell>
        </row>
        <row r="3093">
          <cell r="B3093" t="b">
            <v>1</v>
          </cell>
          <cell r="E3093" t="str">
            <v>Candelaria</v>
          </cell>
          <cell r="H3093" t="str">
            <v>laboratorio</v>
          </cell>
          <cell r="J3093" t="str">
            <v>bueno</v>
          </cell>
          <cell r="K3093" t="str">
            <v>defsi</v>
          </cell>
        </row>
        <row r="3094">
          <cell r="B3094" t="b">
            <v>1</v>
          </cell>
          <cell r="E3094" t="str">
            <v>Candelaria</v>
          </cell>
          <cell r="H3094" t="str">
            <v>urgencia</v>
          </cell>
          <cell r="J3094" t="str">
            <v>bueno</v>
          </cell>
          <cell r="K3094" t="str">
            <v>defsi</v>
          </cell>
        </row>
        <row r="3095">
          <cell r="B3095" t="b">
            <v>1</v>
          </cell>
          <cell r="E3095" t="str">
            <v>Candelaria</v>
          </cell>
          <cell r="H3095" t="str">
            <v>electros</v>
          </cell>
          <cell r="J3095" t="str">
            <v>bueno</v>
          </cell>
          <cell r="K3095" t="str">
            <v>defsi</v>
          </cell>
        </row>
        <row r="3096">
          <cell r="B3096" t="b">
            <v>1</v>
          </cell>
          <cell r="E3096" t="str">
            <v>Candelaria</v>
          </cell>
          <cell r="H3096" t="str">
            <v>medicina_interna</v>
          </cell>
          <cell r="J3096" t="str">
            <v>bueno</v>
          </cell>
          <cell r="K3096" t="str">
            <v>defsi</v>
          </cell>
        </row>
        <row r="3097">
          <cell r="B3097" t="b">
            <v>1</v>
          </cell>
          <cell r="E3097" t="str">
            <v>Candelaria</v>
          </cell>
          <cell r="H3097" t="str">
            <v>consulta_externa</v>
          </cell>
          <cell r="J3097" t="str">
            <v>bueno</v>
          </cell>
          <cell r="K3097" t="str">
            <v>defsi</v>
          </cell>
        </row>
        <row r="3098">
          <cell r="B3098" t="b">
            <v>1</v>
          </cell>
          <cell r="E3098" t="str">
            <v>Candelaria</v>
          </cell>
          <cell r="H3098" t="str">
            <v>salud_oral</v>
          </cell>
          <cell r="J3098" t="str">
            <v>bueno</v>
          </cell>
          <cell r="K3098" t="str">
            <v>defsi</v>
          </cell>
        </row>
        <row r="3099">
          <cell r="B3099" t="b">
            <v>1</v>
          </cell>
          <cell r="E3099" t="str">
            <v>Candelaria</v>
          </cell>
          <cell r="H3099" t="str">
            <v>laboratorio</v>
          </cell>
          <cell r="J3099" t="str">
            <v>bueno</v>
          </cell>
          <cell r="K3099" t="str">
            <v>defsi</v>
          </cell>
        </row>
        <row r="3100">
          <cell r="B3100" t="b">
            <v>1</v>
          </cell>
          <cell r="E3100" t="str">
            <v>Candelaria</v>
          </cell>
          <cell r="H3100" t="str">
            <v>urgencia</v>
          </cell>
          <cell r="J3100" t="str">
            <v>bueno</v>
          </cell>
          <cell r="K3100" t="str">
            <v>defsi</v>
          </cell>
        </row>
        <row r="3101">
          <cell r="B3101" t="b">
            <v>1</v>
          </cell>
          <cell r="E3101" t="str">
            <v>Candelaria</v>
          </cell>
          <cell r="H3101" t="str">
            <v>electros</v>
          </cell>
          <cell r="J3101" t="str">
            <v>bueno</v>
          </cell>
          <cell r="K3101" t="str">
            <v>defsi</v>
          </cell>
        </row>
        <row r="3102">
          <cell r="B3102" t="b">
            <v>1</v>
          </cell>
          <cell r="E3102" t="str">
            <v>Candelaria</v>
          </cell>
          <cell r="H3102" t="str">
            <v>medicina_interna</v>
          </cell>
          <cell r="J3102" t="str">
            <v>bueno</v>
          </cell>
          <cell r="K3102" t="str">
            <v>defsi</v>
          </cell>
        </row>
        <row r="3103">
          <cell r="B3103" t="b">
            <v>1</v>
          </cell>
          <cell r="E3103" t="str">
            <v>Candelaria</v>
          </cell>
          <cell r="H3103" t="str">
            <v>consulta_externa</v>
          </cell>
          <cell r="J3103" t="str">
            <v>bueno</v>
          </cell>
          <cell r="K3103" t="str">
            <v>defsi</v>
          </cell>
        </row>
        <row r="3104">
          <cell r="B3104" t="b">
            <v>1</v>
          </cell>
          <cell r="E3104" t="str">
            <v>Candelaria</v>
          </cell>
          <cell r="H3104" t="str">
            <v>laboratorio</v>
          </cell>
          <cell r="J3104" t="str">
            <v>bueno</v>
          </cell>
          <cell r="K3104" t="str">
            <v>defsi</v>
          </cell>
        </row>
        <row r="3105">
          <cell r="B3105" t="b">
            <v>1</v>
          </cell>
          <cell r="E3105" t="str">
            <v>Blasdelezo</v>
          </cell>
          <cell r="H3105" t="str">
            <v>consulta_externa</v>
          </cell>
          <cell r="J3105" t="str">
            <v>bueno</v>
          </cell>
          <cell r="K3105" t="str">
            <v>probsi</v>
          </cell>
        </row>
        <row r="3106">
          <cell r="B3106" t="b">
            <v>1</v>
          </cell>
          <cell r="E3106" t="str">
            <v>Blasdelezo</v>
          </cell>
          <cell r="H3106" t="str">
            <v>salud_oral</v>
          </cell>
          <cell r="J3106" t="str">
            <v>bueno</v>
          </cell>
          <cell r="K3106" t="str">
            <v>probsi</v>
          </cell>
        </row>
        <row r="3107">
          <cell r="B3107" t="b">
            <v>1</v>
          </cell>
          <cell r="E3107" t="str">
            <v>Candelaria</v>
          </cell>
          <cell r="H3107" t="str">
            <v>urgencia</v>
          </cell>
          <cell r="J3107" t="str">
            <v>bueno</v>
          </cell>
          <cell r="K3107" t="str">
            <v>defsi</v>
          </cell>
        </row>
        <row r="3108">
          <cell r="B3108" t="b">
            <v>1</v>
          </cell>
          <cell r="E3108" t="str">
            <v>Blasdelezo</v>
          </cell>
          <cell r="H3108" t="str">
            <v>laboratorio</v>
          </cell>
          <cell r="J3108" t="str">
            <v>bueno</v>
          </cell>
          <cell r="K3108" t="str">
            <v>probsi</v>
          </cell>
        </row>
        <row r="3109">
          <cell r="B3109" t="b">
            <v>1</v>
          </cell>
          <cell r="E3109" t="str">
            <v>Candelaria</v>
          </cell>
          <cell r="H3109" t="str">
            <v>electros</v>
          </cell>
          <cell r="J3109" t="str">
            <v>bueno</v>
          </cell>
          <cell r="K3109" t="str">
            <v>defsi</v>
          </cell>
        </row>
        <row r="3110">
          <cell r="B3110" t="b">
            <v>1</v>
          </cell>
          <cell r="E3110" t="str">
            <v>Blasdelezo</v>
          </cell>
          <cell r="H3110" t="str">
            <v>consulta_externa</v>
          </cell>
          <cell r="J3110" t="str">
            <v>bueno</v>
          </cell>
          <cell r="K3110" t="str">
            <v>probsi</v>
          </cell>
        </row>
        <row r="3111">
          <cell r="B3111" t="b">
            <v>1</v>
          </cell>
          <cell r="E3111" t="str">
            <v>Candelaria</v>
          </cell>
          <cell r="H3111" t="str">
            <v>medicina_interna</v>
          </cell>
          <cell r="J3111" t="str">
            <v>bueno</v>
          </cell>
          <cell r="K3111" t="str">
            <v>defsi</v>
          </cell>
        </row>
        <row r="3112">
          <cell r="B3112" t="b">
            <v>1</v>
          </cell>
          <cell r="E3112" t="str">
            <v>Blasdelezo</v>
          </cell>
          <cell r="H3112" t="str">
            <v>salud_oral</v>
          </cell>
          <cell r="J3112" t="str">
            <v>bueno</v>
          </cell>
          <cell r="K3112" t="str">
            <v>probsi</v>
          </cell>
        </row>
        <row r="3113">
          <cell r="B3113" t="b">
            <v>1</v>
          </cell>
          <cell r="E3113" t="str">
            <v>Blasdelezo</v>
          </cell>
          <cell r="H3113" t="str">
            <v>laboratorio</v>
          </cell>
          <cell r="J3113" t="str">
            <v>bueno</v>
          </cell>
          <cell r="K3113" t="str">
            <v>probsi</v>
          </cell>
        </row>
        <row r="3114">
          <cell r="B3114" t="b">
            <v>1</v>
          </cell>
          <cell r="E3114" t="str">
            <v>Blasdelezo</v>
          </cell>
          <cell r="H3114" t="str">
            <v>laboratorio</v>
          </cell>
          <cell r="J3114" t="str">
            <v>bueno</v>
          </cell>
          <cell r="K3114" t="str">
            <v>probsi</v>
          </cell>
        </row>
        <row r="3115">
          <cell r="B3115" t="b">
            <v>1</v>
          </cell>
          <cell r="E3115" t="str">
            <v>Blasdelezo</v>
          </cell>
          <cell r="H3115" t="str">
            <v>consulta_externa</v>
          </cell>
          <cell r="J3115" t="str">
            <v>bueno</v>
          </cell>
          <cell r="K3115" t="str">
            <v>probsi</v>
          </cell>
        </row>
        <row r="3116">
          <cell r="B3116" t="b">
            <v>1</v>
          </cell>
          <cell r="E3116" t="str">
            <v>Blasdelezo</v>
          </cell>
          <cell r="H3116" t="str">
            <v>consulta_externa</v>
          </cell>
          <cell r="J3116" t="str">
            <v>bueno</v>
          </cell>
          <cell r="K3116" t="str">
            <v>probsi</v>
          </cell>
        </row>
        <row r="3117">
          <cell r="B3117" t="b">
            <v>1</v>
          </cell>
          <cell r="E3117" t="str">
            <v>Blasdelezo</v>
          </cell>
          <cell r="H3117" t="str">
            <v>salud_oral</v>
          </cell>
          <cell r="J3117" t="str">
            <v>bueno</v>
          </cell>
          <cell r="K3117" t="str">
            <v>probsi</v>
          </cell>
        </row>
        <row r="3118">
          <cell r="B3118" t="b">
            <v>1</v>
          </cell>
          <cell r="E3118" t="str">
            <v>Candelaria</v>
          </cell>
          <cell r="H3118" t="str">
            <v>consulta_externa</v>
          </cell>
          <cell r="J3118" t="str">
            <v>bueno</v>
          </cell>
          <cell r="K3118" t="str">
            <v>defsi</v>
          </cell>
        </row>
        <row r="3119">
          <cell r="B3119" t="b">
            <v>1</v>
          </cell>
          <cell r="E3119" t="str">
            <v>Candelaria</v>
          </cell>
          <cell r="H3119" t="str">
            <v>salud_oral</v>
          </cell>
          <cell r="J3119" t="str">
            <v>bueno</v>
          </cell>
          <cell r="K3119" t="str">
            <v>defsi</v>
          </cell>
        </row>
        <row r="3120">
          <cell r="B3120" t="b">
            <v>1</v>
          </cell>
          <cell r="E3120" t="str">
            <v>Candelaria</v>
          </cell>
          <cell r="H3120" t="str">
            <v>laboratorio</v>
          </cell>
          <cell r="J3120" t="str">
            <v>bueno</v>
          </cell>
          <cell r="K3120" t="str">
            <v>defsi</v>
          </cell>
        </row>
        <row r="3121">
          <cell r="B3121" t="b">
            <v>1</v>
          </cell>
          <cell r="E3121" t="str">
            <v>Candelaria</v>
          </cell>
          <cell r="H3121" t="str">
            <v>urgencia</v>
          </cell>
          <cell r="J3121" t="str">
            <v>bueno</v>
          </cell>
          <cell r="K3121" t="str">
            <v>defsi</v>
          </cell>
        </row>
        <row r="3122">
          <cell r="B3122" t="b">
            <v>1</v>
          </cell>
          <cell r="E3122" t="str">
            <v>Candelaria</v>
          </cell>
          <cell r="H3122" t="str">
            <v>electros</v>
          </cell>
          <cell r="J3122" t="str">
            <v>bueno</v>
          </cell>
          <cell r="K3122" t="str">
            <v>defsi</v>
          </cell>
        </row>
        <row r="3123">
          <cell r="B3123" t="b">
            <v>1</v>
          </cell>
          <cell r="E3123" t="str">
            <v>Blasdelezo</v>
          </cell>
          <cell r="H3123" t="str">
            <v>salud_oral</v>
          </cell>
          <cell r="J3123" t="str">
            <v>bueno</v>
          </cell>
          <cell r="K3123" t="str">
            <v>probsi</v>
          </cell>
        </row>
        <row r="3124">
          <cell r="B3124" t="b">
            <v>1</v>
          </cell>
          <cell r="E3124" t="str">
            <v>Candelaria</v>
          </cell>
          <cell r="H3124" t="str">
            <v>consulta_externa</v>
          </cell>
          <cell r="J3124" t="str">
            <v>bueno</v>
          </cell>
          <cell r="K3124" t="str">
            <v>defsi</v>
          </cell>
        </row>
        <row r="3125">
          <cell r="B3125" t="b">
            <v>1</v>
          </cell>
          <cell r="E3125" t="str">
            <v>Candelaria</v>
          </cell>
          <cell r="H3125" t="str">
            <v>salud_oral</v>
          </cell>
          <cell r="J3125" t="str">
            <v>bueno</v>
          </cell>
          <cell r="K3125" t="str">
            <v>defsi</v>
          </cell>
        </row>
        <row r="3126">
          <cell r="B3126" t="b">
            <v>1</v>
          </cell>
          <cell r="E3126" t="str">
            <v>Candelaria</v>
          </cell>
          <cell r="H3126" t="str">
            <v>laboratorio</v>
          </cell>
          <cell r="J3126" t="str">
            <v>bueno</v>
          </cell>
          <cell r="K3126" t="str">
            <v>defsi</v>
          </cell>
        </row>
        <row r="3127">
          <cell r="B3127" t="b">
            <v>1</v>
          </cell>
          <cell r="E3127" t="str">
            <v>Candelaria</v>
          </cell>
          <cell r="H3127" t="str">
            <v>electros</v>
          </cell>
          <cell r="J3127" t="str">
            <v>bueno</v>
          </cell>
          <cell r="K3127" t="str">
            <v>defsi</v>
          </cell>
        </row>
        <row r="3128">
          <cell r="B3128" t="b">
            <v>1</v>
          </cell>
          <cell r="E3128" t="str">
            <v>Candelaria</v>
          </cell>
          <cell r="H3128" t="str">
            <v>consulta_externa</v>
          </cell>
          <cell r="J3128" t="str">
            <v>bueno</v>
          </cell>
          <cell r="K3128" t="str">
            <v>defsi</v>
          </cell>
        </row>
        <row r="3129">
          <cell r="B3129" t="b">
            <v>1</v>
          </cell>
          <cell r="E3129" t="str">
            <v>Candelaria</v>
          </cell>
          <cell r="H3129" t="str">
            <v>salud_oral</v>
          </cell>
          <cell r="J3129" t="str">
            <v>bueno</v>
          </cell>
          <cell r="K3129" t="str">
            <v>defsi</v>
          </cell>
        </row>
        <row r="3130">
          <cell r="B3130" t="b">
            <v>1</v>
          </cell>
          <cell r="E3130" t="str">
            <v>Candelaria</v>
          </cell>
          <cell r="H3130" t="str">
            <v>laboratorio</v>
          </cell>
          <cell r="J3130" t="str">
            <v>bueno</v>
          </cell>
          <cell r="K3130" t="str">
            <v>defsi</v>
          </cell>
        </row>
        <row r="3131">
          <cell r="B3131" t="b">
            <v>0</v>
          </cell>
          <cell r="E3131" t="str">
            <v>Esperanza</v>
          </cell>
          <cell r="H3131" t="str">
            <v>laboratorio</v>
          </cell>
          <cell r="J3131" t="str">
            <v>regular</v>
          </cell>
          <cell r="K3131" t="str">
            <v>defsi</v>
          </cell>
        </row>
        <row r="3132">
          <cell r="B3132" t="b">
            <v>0</v>
          </cell>
          <cell r="E3132" t="str">
            <v>Esperanza</v>
          </cell>
          <cell r="H3132" t="str">
            <v>laboratorio</v>
          </cell>
          <cell r="J3132" t="str">
            <v>regular</v>
          </cell>
          <cell r="K3132" t="str">
            <v>defsi</v>
          </cell>
        </row>
        <row r="3133">
          <cell r="B3133" t="b">
            <v>1</v>
          </cell>
          <cell r="E3133" t="str">
            <v>Esperanza</v>
          </cell>
          <cell r="H3133" t="str">
            <v>salud_oral</v>
          </cell>
          <cell r="J3133" t="str">
            <v>bueno</v>
          </cell>
          <cell r="K3133" t="str">
            <v>defsi</v>
          </cell>
        </row>
        <row r="3134">
          <cell r="B3134" t="b">
            <v>1</v>
          </cell>
          <cell r="E3134" t="str">
            <v>Esperanza</v>
          </cell>
          <cell r="H3134" t="str">
            <v>salud_oral</v>
          </cell>
          <cell r="J3134" t="str">
            <v>muybueno</v>
          </cell>
          <cell r="K3134" t="str">
            <v>defsi</v>
          </cell>
        </row>
        <row r="3135">
          <cell r="B3135" t="b">
            <v>0</v>
          </cell>
          <cell r="E3135" t="str">
            <v>Blasdelezo</v>
          </cell>
          <cell r="H3135" t="str">
            <v>laboratorio</v>
          </cell>
          <cell r="J3135" t="str">
            <v>regular</v>
          </cell>
          <cell r="K3135" t="str">
            <v>probsi</v>
          </cell>
        </row>
        <row r="3136">
          <cell r="B3136" t="b">
            <v>0</v>
          </cell>
          <cell r="E3136" t="str">
            <v>Blasdelezo</v>
          </cell>
          <cell r="H3136" t="str">
            <v>laboratorio</v>
          </cell>
          <cell r="J3136" t="str">
            <v>regular</v>
          </cell>
          <cell r="K3136" t="str">
            <v>probsi</v>
          </cell>
        </row>
        <row r="3137">
          <cell r="B3137" t="b">
            <v>1</v>
          </cell>
          <cell r="E3137" t="str">
            <v>Blasdelezo</v>
          </cell>
          <cell r="H3137" t="str">
            <v>laboratorio</v>
          </cell>
          <cell r="J3137" t="str">
            <v>bueno</v>
          </cell>
          <cell r="K3137" t="str">
            <v>probsi</v>
          </cell>
        </row>
        <row r="3138">
          <cell r="B3138" t="b">
            <v>1</v>
          </cell>
          <cell r="E3138" t="str">
            <v>Blasdelezo</v>
          </cell>
          <cell r="H3138" t="str">
            <v>laboratorio</v>
          </cell>
          <cell r="J3138" t="str">
            <v>bueno</v>
          </cell>
          <cell r="K3138" t="str">
            <v>probsi</v>
          </cell>
        </row>
        <row r="3139">
          <cell r="B3139" t="b">
            <v>1</v>
          </cell>
          <cell r="E3139" t="str">
            <v>Blasdelezo</v>
          </cell>
          <cell r="H3139" t="str">
            <v>laboratorio</v>
          </cell>
          <cell r="J3139" t="str">
            <v>bueno</v>
          </cell>
          <cell r="K3139" t="str">
            <v>probsi</v>
          </cell>
        </row>
        <row r="3140">
          <cell r="B3140" t="b">
            <v>1</v>
          </cell>
          <cell r="E3140" t="str">
            <v>Blasdelezo</v>
          </cell>
          <cell r="H3140" t="str">
            <v>laboratorio</v>
          </cell>
          <cell r="J3140" t="str">
            <v>bueno</v>
          </cell>
          <cell r="K3140" t="str">
            <v>probsi</v>
          </cell>
        </row>
        <row r="3141">
          <cell r="B3141" t="b">
            <v>1</v>
          </cell>
          <cell r="E3141" t="str">
            <v>Blasdelezo</v>
          </cell>
          <cell r="H3141" t="str">
            <v>laboratorio</v>
          </cell>
          <cell r="J3141" t="str">
            <v>bueno</v>
          </cell>
          <cell r="K3141" t="str">
            <v>probsi</v>
          </cell>
        </row>
        <row r="3142">
          <cell r="B3142" t="b">
            <v>1</v>
          </cell>
          <cell r="E3142" t="str">
            <v>Blasdelezo</v>
          </cell>
          <cell r="H3142" t="str">
            <v>salud_oral</v>
          </cell>
          <cell r="J3142" t="str">
            <v>bueno</v>
          </cell>
          <cell r="K3142" t="str">
            <v>probsi</v>
          </cell>
        </row>
        <row r="3143">
          <cell r="B3143" t="b">
            <v>1</v>
          </cell>
          <cell r="E3143" t="str">
            <v>Blasdelezo</v>
          </cell>
          <cell r="H3143" t="str">
            <v>salud_oral</v>
          </cell>
          <cell r="J3143" t="str">
            <v>bueno</v>
          </cell>
          <cell r="K3143" t="str">
            <v>probsi</v>
          </cell>
        </row>
        <row r="3144">
          <cell r="B3144" t="b">
            <v>1</v>
          </cell>
          <cell r="E3144" t="str">
            <v>Blasdelezo</v>
          </cell>
          <cell r="H3144" t="str">
            <v>salud_oral</v>
          </cell>
          <cell r="J3144" t="str">
            <v>bueno</v>
          </cell>
          <cell r="K3144" t="str">
            <v>probsi</v>
          </cell>
        </row>
        <row r="3145">
          <cell r="B3145" t="b">
            <v>1</v>
          </cell>
          <cell r="E3145" t="str">
            <v>Blasdelezo</v>
          </cell>
          <cell r="H3145" t="str">
            <v>salud_oral</v>
          </cell>
          <cell r="J3145" t="str">
            <v>bueno</v>
          </cell>
          <cell r="K3145" t="str">
            <v>probsi</v>
          </cell>
        </row>
        <row r="3146">
          <cell r="B3146" t="b">
            <v>1</v>
          </cell>
          <cell r="E3146" t="str">
            <v>Blasdelezo</v>
          </cell>
          <cell r="H3146" t="str">
            <v>salud_oral</v>
          </cell>
          <cell r="J3146" t="str">
            <v>bueno</v>
          </cell>
          <cell r="K3146" t="str">
            <v>probsi</v>
          </cell>
        </row>
        <row r="3147">
          <cell r="B3147" t="b">
            <v>1</v>
          </cell>
          <cell r="E3147" t="str">
            <v>Blasdelezo</v>
          </cell>
          <cell r="H3147" t="str">
            <v>salud_oral</v>
          </cell>
          <cell r="J3147" t="str">
            <v>bueno</v>
          </cell>
          <cell r="K3147" t="str">
            <v>probsi</v>
          </cell>
        </row>
        <row r="3148">
          <cell r="B3148" t="b">
            <v>1</v>
          </cell>
          <cell r="E3148" t="str">
            <v>Esperanza</v>
          </cell>
          <cell r="H3148" t="str">
            <v>laboratorio</v>
          </cell>
          <cell r="J3148" t="str">
            <v>bueno</v>
          </cell>
          <cell r="K3148" t="str">
            <v>defsi</v>
          </cell>
        </row>
        <row r="3149">
          <cell r="B3149" t="b">
            <v>1</v>
          </cell>
          <cell r="E3149" t="str">
            <v>Esperanza</v>
          </cell>
          <cell r="H3149" t="str">
            <v>laboratorio</v>
          </cell>
          <cell r="J3149" t="str">
            <v>bueno</v>
          </cell>
          <cell r="K3149" t="str">
            <v>defsi</v>
          </cell>
        </row>
        <row r="3150">
          <cell r="B3150" t="b">
            <v>1</v>
          </cell>
          <cell r="E3150" t="str">
            <v>Foco Rojo</v>
          </cell>
          <cell r="H3150" t="str">
            <v>consulta_externa</v>
          </cell>
          <cell r="J3150" t="str">
            <v>bueno</v>
          </cell>
          <cell r="K3150" t="str">
            <v>defsi</v>
          </cell>
        </row>
        <row r="3151">
          <cell r="B3151" t="b">
            <v>1</v>
          </cell>
          <cell r="E3151" t="str">
            <v>Foco Rojo</v>
          </cell>
          <cell r="H3151" t="str">
            <v>salud_oral</v>
          </cell>
          <cell r="J3151" t="str">
            <v>bueno</v>
          </cell>
          <cell r="K3151" t="str">
            <v>defsi</v>
          </cell>
        </row>
        <row r="3152">
          <cell r="B3152" t="b">
            <v>1</v>
          </cell>
          <cell r="E3152" t="str">
            <v>Foco Rojo</v>
          </cell>
          <cell r="H3152" t="str">
            <v>laboratorio</v>
          </cell>
          <cell r="J3152" t="str">
            <v>bueno</v>
          </cell>
          <cell r="K3152" t="str">
            <v>defsi</v>
          </cell>
        </row>
        <row r="3153">
          <cell r="B3153" t="b">
            <v>1</v>
          </cell>
          <cell r="E3153" t="str">
            <v>Foco Rojo</v>
          </cell>
          <cell r="H3153" t="str">
            <v>consulta_externa</v>
          </cell>
          <cell r="J3153" t="str">
            <v>bueno</v>
          </cell>
          <cell r="K3153" t="str">
            <v>defsi</v>
          </cell>
        </row>
        <row r="3154">
          <cell r="B3154" t="b">
            <v>0</v>
          </cell>
          <cell r="E3154" t="str">
            <v>Blasdelezo</v>
          </cell>
          <cell r="H3154" t="str">
            <v>consulta_externa</v>
          </cell>
          <cell r="J3154" t="str">
            <v>regular</v>
          </cell>
          <cell r="K3154" t="str">
            <v>probsi</v>
          </cell>
        </row>
        <row r="3155">
          <cell r="B3155" t="b">
            <v>0</v>
          </cell>
          <cell r="E3155" t="str">
            <v>Blasdelezo</v>
          </cell>
          <cell r="H3155" t="str">
            <v>consulta_externa</v>
          </cell>
          <cell r="J3155" t="str">
            <v>regular</v>
          </cell>
          <cell r="K3155" t="str">
            <v>probsi</v>
          </cell>
        </row>
        <row r="3156">
          <cell r="B3156" t="b">
            <v>0</v>
          </cell>
          <cell r="E3156" t="str">
            <v>Blasdelezo</v>
          </cell>
          <cell r="H3156" t="str">
            <v>consulta_externa</v>
          </cell>
          <cell r="J3156" t="str">
            <v>regular</v>
          </cell>
          <cell r="K3156" t="str">
            <v>probsi</v>
          </cell>
        </row>
        <row r="3157">
          <cell r="B3157" t="b">
            <v>1</v>
          </cell>
          <cell r="E3157" t="str">
            <v>Blasdelezo</v>
          </cell>
          <cell r="H3157" t="str">
            <v>consulta_externa</v>
          </cell>
          <cell r="J3157" t="str">
            <v>bueno</v>
          </cell>
          <cell r="K3157" t="str">
            <v>probsi</v>
          </cell>
        </row>
        <row r="3158">
          <cell r="B3158" t="b">
            <v>1</v>
          </cell>
          <cell r="E3158" t="str">
            <v>Blasdelezo</v>
          </cell>
          <cell r="H3158" t="str">
            <v>consulta_externa</v>
          </cell>
          <cell r="J3158" t="str">
            <v>bueno</v>
          </cell>
          <cell r="K3158" t="str">
            <v>probsi</v>
          </cell>
        </row>
        <row r="3159">
          <cell r="B3159" t="b">
            <v>1</v>
          </cell>
          <cell r="E3159" t="str">
            <v>Blasdelezo</v>
          </cell>
          <cell r="H3159" t="str">
            <v>consulta_externa</v>
          </cell>
          <cell r="J3159" t="str">
            <v>bueno</v>
          </cell>
          <cell r="K3159" t="str">
            <v>probsi</v>
          </cell>
        </row>
        <row r="3160">
          <cell r="B3160" t="b">
            <v>1</v>
          </cell>
          <cell r="E3160" t="str">
            <v>Blasdelezo</v>
          </cell>
          <cell r="H3160" t="str">
            <v>consulta_externa</v>
          </cell>
          <cell r="J3160" t="str">
            <v>bueno</v>
          </cell>
          <cell r="K3160" t="str">
            <v>probsi</v>
          </cell>
        </row>
        <row r="3161">
          <cell r="B3161" t="b">
            <v>1</v>
          </cell>
          <cell r="E3161" t="str">
            <v>Esperanza</v>
          </cell>
          <cell r="H3161" t="str">
            <v>consulta_externa</v>
          </cell>
          <cell r="J3161" t="str">
            <v>bueno</v>
          </cell>
          <cell r="K3161" t="str">
            <v>defsi</v>
          </cell>
        </row>
        <row r="3162">
          <cell r="B3162" t="b">
            <v>1</v>
          </cell>
          <cell r="E3162" t="str">
            <v>Esperanza</v>
          </cell>
          <cell r="H3162" t="str">
            <v>consulta_externa</v>
          </cell>
          <cell r="J3162" t="str">
            <v>muybueno</v>
          </cell>
          <cell r="K3162" t="str">
            <v>defsi</v>
          </cell>
        </row>
        <row r="3163">
          <cell r="B3163" t="b">
            <v>1</v>
          </cell>
          <cell r="E3163" t="str">
            <v>Esperanza</v>
          </cell>
          <cell r="H3163" t="str">
            <v>consulta_externa</v>
          </cell>
          <cell r="J3163" t="str">
            <v>muybueno</v>
          </cell>
          <cell r="K3163" t="str">
            <v>defsi</v>
          </cell>
        </row>
        <row r="3164">
          <cell r="B3164" t="b">
            <v>1</v>
          </cell>
          <cell r="E3164" t="str">
            <v>Esperanza</v>
          </cell>
          <cell r="H3164" t="str">
            <v>consulta_externa</v>
          </cell>
          <cell r="J3164" t="str">
            <v>bueno</v>
          </cell>
          <cell r="K3164" t="str">
            <v>defsi</v>
          </cell>
        </row>
        <row r="3165">
          <cell r="B3165" t="b">
            <v>1</v>
          </cell>
          <cell r="E3165" t="str">
            <v>Foco Rojo</v>
          </cell>
          <cell r="H3165" t="str">
            <v>salud_oral</v>
          </cell>
          <cell r="J3165" t="str">
            <v>bueno</v>
          </cell>
          <cell r="K3165" t="str">
            <v>defsi</v>
          </cell>
        </row>
        <row r="3166">
          <cell r="B3166" t="b">
            <v>1</v>
          </cell>
          <cell r="E3166" t="str">
            <v>Esperanza</v>
          </cell>
          <cell r="H3166" t="str">
            <v>laboratorio</v>
          </cell>
          <cell r="J3166" t="str">
            <v>bueno</v>
          </cell>
          <cell r="K3166" t="str">
            <v>defsi</v>
          </cell>
        </row>
        <row r="3167">
          <cell r="B3167" t="b">
            <v>1</v>
          </cell>
          <cell r="E3167" t="str">
            <v>Esperanza</v>
          </cell>
          <cell r="H3167" t="str">
            <v>laboratorio</v>
          </cell>
          <cell r="J3167" t="str">
            <v>bueno</v>
          </cell>
          <cell r="K3167" t="str">
            <v>defsi</v>
          </cell>
        </row>
        <row r="3168">
          <cell r="B3168" t="b">
            <v>1</v>
          </cell>
          <cell r="E3168" t="str">
            <v>Esperanza</v>
          </cell>
          <cell r="H3168" t="str">
            <v>consulta_externa</v>
          </cell>
          <cell r="J3168" t="str">
            <v>bueno</v>
          </cell>
          <cell r="K3168" t="str">
            <v>defsi</v>
          </cell>
        </row>
        <row r="3169">
          <cell r="B3169" t="b">
            <v>1</v>
          </cell>
          <cell r="E3169" t="str">
            <v>Foco Rojo</v>
          </cell>
          <cell r="H3169" t="str">
            <v>laboratorio</v>
          </cell>
          <cell r="J3169" t="str">
            <v>bueno</v>
          </cell>
          <cell r="K3169" t="str">
            <v>defsi</v>
          </cell>
        </row>
        <row r="3170">
          <cell r="B3170" t="b">
            <v>1</v>
          </cell>
          <cell r="E3170" t="str">
            <v>Esperanza</v>
          </cell>
          <cell r="H3170" t="str">
            <v>laboratorio</v>
          </cell>
          <cell r="J3170" t="str">
            <v>bueno</v>
          </cell>
          <cell r="K3170" t="str">
            <v>defsi</v>
          </cell>
        </row>
        <row r="3171">
          <cell r="B3171" t="b">
            <v>1</v>
          </cell>
          <cell r="E3171" t="str">
            <v>Esperanza</v>
          </cell>
          <cell r="H3171" t="str">
            <v>salud_oral</v>
          </cell>
          <cell r="J3171" t="str">
            <v>bueno</v>
          </cell>
          <cell r="K3171" t="str">
            <v>defsi</v>
          </cell>
        </row>
        <row r="3172">
          <cell r="B3172" t="b">
            <v>1</v>
          </cell>
          <cell r="E3172" t="str">
            <v>Esperanza</v>
          </cell>
          <cell r="H3172" t="str">
            <v>consulta_externa</v>
          </cell>
          <cell r="J3172" t="str">
            <v>bueno</v>
          </cell>
          <cell r="K3172" t="str">
            <v>defsi</v>
          </cell>
        </row>
        <row r="3173">
          <cell r="B3173" t="b">
            <v>0</v>
          </cell>
          <cell r="E3173" t="str">
            <v>Esperanza</v>
          </cell>
          <cell r="H3173" t="str">
            <v>consulta_externa</v>
          </cell>
          <cell r="J3173" t="str">
            <v>regular</v>
          </cell>
          <cell r="K3173" t="str">
            <v>defsi</v>
          </cell>
        </row>
        <row r="3174">
          <cell r="B3174" t="b">
            <v>0</v>
          </cell>
          <cell r="E3174" t="str">
            <v>Esperanza</v>
          </cell>
          <cell r="H3174" t="str">
            <v>salud_oral</v>
          </cell>
          <cell r="J3174" t="str">
            <v>regular</v>
          </cell>
          <cell r="K3174" t="str">
            <v>defsi</v>
          </cell>
        </row>
        <row r="3175">
          <cell r="B3175" t="b">
            <v>0</v>
          </cell>
          <cell r="E3175" t="str">
            <v>Esperanza</v>
          </cell>
          <cell r="H3175" t="str">
            <v>salud_oral</v>
          </cell>
          <cell r="J3175" t="str">
            <v>regular</v>
          </cell>
          <cell r="K3175" t="str">
            <v>defsi</v>
          </cell>
        </row>
        <row r="3176">
          <cell r="B3176" t="b">
            <v>1</v>
          </cell>
          <cell r="E3176" t="str">
            <v>Esperanza</v>
          </cell>
          <cell r="H3176" t="str">
            <v>salud_oral</v>
          </cell>
          <cell r="J3176" t="str">
            <v>bueno</v>
          </cell>
          <cell r="K3176" t="str">
            <v>defsi</v>
          </cell>
        </row>
        <row r="3177">
          <cell r="B3177" t="b">
            <v>1</v>
          </cell>
          <cell r="E3177" t="str">
            <v>Esperanza</v>
          </cell>
          <cell r="H3177" t="str">
            <v>salud_oral</v>
          </cell>
          <cell r="J3177" t="str">
            <v>bueno</v>
          </cell>
          <cell r="K3177" t="str">
            <v>defsi</v>
          </cell>
        </row>
        <row r="3178">
          <cell r="B3178" t="b">
            <v>1</v>
          </cell>
          <cell r="E3178" t="str">
            <v>Foco Rojo</v>
          </cell>
          <cell r="H3178" t="str">
            <v>consulta_externa</v>
          </cell>
          <cell r="J3178" t="str">
            <v>bueno</v>
          </cell>
          <cell r="K3178" t="str">
            <v>defsi</v>
          </cell>
        </row>
        <row r="3179">
          <cell r="B3179" t="b">
            <v>1</v>
          </cell>
          <cell r="E3179" t="str">
            <v>Esperanza</v>
          </cell>
          <cell r="H3179" t="str">
            <v>salud_oral</v>
          </cell>
          <cell r="J3179" t="str">
            <v>bueno</v>
          </cell>
          <cell r="K3179" t="str">
            <v>defsi</v>
          </cell>
        </row>
        <row r="3180">
          <cell r="B3180" t="b">
            <v>1</v>
          </cell>
          <cell r="E3180" t="str">
            <v>Foco Rojo</v>
          </cell>
          <cell r="H3180" t="str">
            <v>salud_oral</v>
          </cell>
          <cell r="J3180" t="str">
            <v>bueno</v>
          </cell>
          <cell r="K3180" t="str">
            <v>defsi</v>
          </cell>
        </row>
        <row r="3181">
          <cell r="B3181" t="b">
            <v>1</v>
          </cell>
          <cell r="E3181" t="str">
            <v>Esperanza</v>
          </cell>
          <cell r="H3181" t="str">
            <v>salud_oral</v>
          </cell>
          <cell r="J3181" t="str">
            <v>bueno</v>
          </cell>
          <cell r="K3181" t="str">
            <v>defsi</v>
          </cell>
        </row>
        <row r="3182">
          <cell r="B3182" t="b">
            <v>1</v>
          </cell>
          <cell r="E3182" t="str">
            <v>Foco Rojo</v>
          </cell>
          <cell r="H3182" t="str">
            <v>laboratorio</v>
          </cell>
          <cell r="J3182" t="str">
            <v>bueno</v>
          </cell>
          <cell r="K3182" t="str">
            <v>defsi</v>
          </cell>
        </row>
        <row r="3183">
          <cell r="B3183" t="b">
            <v>1</v>
          </cell>
          <cell r="E3183" t="str">
            <v>Foco Rojo</v>
          </cell>
          <cell r="H3183" t="str">
            <v>consulta_externa</v>
          </cell>
          <cell r="J3183" t="str">
            <v>bueno</v>
          </cell>
          <cell r="K3183" t="str">
            <v>defsi</v>
          </cell>
        </row>
        <row r="3184">
          <cell r="B3184" t="b">
            <v>1</v>
          </cell>
          <cell r="E3184" t="str">
            <v>Foco Rojo</v>
          </cell>
          <cell r="H3184" t="str">
            <v>salud_oral</v>
          </cell>
          <cell r="J3184" t="str">
            <v>bueno</v>
          </cell>
          <cell r="K3184" t="str">
            <v>defsi</v>
          </cell>
        </row>
        <row r="3185">
          <cell r="B3185" t="b">
            <v>1</v>
          </cell>
          <cell r="E3185" t="str">
            <v>Foco Rojo</v>
          </cell>
          <cell r="H3185" t="str">
            <v>laboratorio</v>
          </cell>
          <cell r="J3185" t="str">
            <v>bueno</v>
          </cell>
          <cell r="K3185" t="str">
            <v>defsi</v>
          </cell>
        </row>
        <row r="3186">
          <cell r="B3186" t="b">
            <v>1</v>
          </cell>
          <cell r="E3186" t="str">
            <v>Esperanza</v>
          </cell>
          <cell r="H3186" t="str">
            <v>laboratorio</v>
          </cell>
          <cell r="J3186" t="str">
            <v>bueno</v>
          </cell>
          <cell r="K3186" t="str">
            <v>defsi</v>
          </cell>
        </row>
        <row r="3187">
          <cell r="B3187" t="b">
            <v>1</v>
          </cell>
          <cell r="E3187" t="str">
            <v>Foco Rojo</v>
          </cell>
          <cell r="H3187" t="str">
            <v>consulta_externa</v>
          </cell>
          <cell r="J3187" t="str">
            <v>bueno</v>
          </cell>
          <cell r="K3187" t="str">
            <v>defsi</v>
          </cell>
        </row>
        <row r="3188">
          <cell r="B3188" t="b">
            <v>1</v>
          </cell>
          <cell r="E3188" t="str">
            <v>Foco Rojo</v>
          </cell>
          <cell r="H3188" t="str">
            <v>salud_oral</v>
          </cell>
          <cell r="J3188" t="str">
            <v>bueno</v>
          </cell>
          <cell r="K3188" t="str">
            <v>defsi</v>
          </cell>
        </row>
        <row r="3189">
          <cell r="B3189" t="b">
            <v>1</v>
          </cell>
          <cell r="E3189" t="str">
            <v>Esperanza</v>
          </cell>
          <cell r="H3189" t="str">
            <v>laboratorio</v>
          </cell>
          <cell r="J3189" t="str">
            <v>bueno</v>
          </cell>
          <cell r="K3189" t="str">
            <v>defsi</v>
          </cell>
        </row>
        <row r="3190">
          <cell r="B3190" t="b">
            <v>1</v>
          </cell>
          <cell r="E3190" t="str">
            <v>Foco Rojo</v>
          </cell>
          <cell r="H3190" t="str">
            <v>laboratorio</v>
          </cell>
          <cell r="J3190" t="str">
            <v>bueno</v>
          </cell>
          <cell r="K3190" t="str">
            <v>defsi</v>
          </cell>
        </row>
        <row r="3191">
          <cell r="B3191" t="b">
            <v>1</v>
          </cell>
          <cell r="E3191" t="str">
            <v>Blasdelezo</v>
          </cell>
          <cell r="H3191" t="str">
            <v>urgencia</v>
          </cell>
          <cell r="J3191" t="str">
            <v>bueno</v>
          </cell>
          <cell r="K3191" t="str">
            <v>probsi</v>
          </cell>
        </row>
        <row r="3192">
          <cell r="B3192" t="b">
            <v>1</v>
          </cell>
          <cell r="E3192" t="str">
            <v>Blasdelezo</v>
          </cell>
          <cell r="H3192" t="str">
            <v>urgencia</v>
          </cell>
          <cell r="J3192" t="str">
            <v>bueno</v>
          </cell>
          <cell r="K3192" t="str">
            <v>probsi</v>
          </cell>
        </row>
        <row r="3193">
          <cell r="B3193" t="b">
            <v>1</v>
          </cell>
          <cell r="E3193" t="str">
            <v>Blasdelezo</v>
          </cell>
          <cell r="H3193" t="str">
            <v>urgencia</v>
          </cell>
          <cell r="J3193" t="str">
            <v>bueno</v>
          </cell>
          <cell r="K3193" t="str">
            <v>probsi</v>
          </cell>
        </row>
        <row r="3194">
          <cell r="B3194" t="b">
            <v>1</v>
          </cell>
          <cell r="E3194" t="str">
            <v>Blasdelezo</v>
          </cell>
          <cell r="H3194" t="str">
            <v>urgencia</v>
          </cell>
          <cell r="J3194" t="str">
            <v>bueno</v>
          </cell>
          <cell r="K3194" t="str">
            <v>probsi</v>
          </cell>
        </row>
        <row r="3195">
          <cell r="B3195" t="b">
            <v>1</v>
          </cell>
          <cell r="E3195" t="str">
            <v>Blasdelezo</v>
          </cell>
          <cell r="H3195" t="str">
            <v>urgencia</v>
          </cell>
          <cell r="J3195" t="str">
            <v>bueno</v>
          </cell>
          <cell r="K3195" t="str">
            <v>probsi</v>
          </cell>
        </row>
        <row r="3196">
          <cell r="B3196" t="b">
            <v>1</v>
          </cell>
          <cell r="E3196" t="str">
            <v>Blasdelezo</v>
          </cell>
          <cell r="H3196" t="str">
            <v>urgencia</v>
          </cell>
          <cell r="J3196" t="str">
            <v>bueno</v>
          </cell>
          <cell r="K3196" t="str">
            <v>probsi</v>
          </cell>
        </row>
        <row r="3197">
          <cell r="B3197" t="b">
            <v>1</v>
          </cell>
          <cell r="E3197" t="str">
            <v>Blasdelezo</v>
          </cell>
          <cell r="H3197" t="str">
            <v>urgencia</v>
          </cell>
          <cell r="J3197" t="str">
            <v>bueno</v>
          </cell>
          <cell r="K3197" t="str">
            <v>probsi</v>
          </cell>
        </row>
        <row r="3198">
          <cell r="B3198" t="b">
            <v>1</v>
          </cell>
          <cell r="E3198" t="str">
            <v>Blasdelezo</v>
          </cell>
          <cell r="H3198" t="str">
            <v>urgencia</v>
          </cell>
          <cell r="J3198" t="str">
            <v>bueno</v>
          </cell>
          <cell r="K3198" t="str">
            <v>probsi</v>
          </cell>
        </row>
        <row r="3199">
          <cell r="B3199" t="b">
            <v>1</v>
          </cell>
          <cell r="E3199" t="str">
            <v>Blasdelezo</v>
          </cell>
          <cell r="H3199" t="str">
            <v>urgencia</v>
          </cell>
          <cell r="J3199" t="str">
            <v>bueno</v>
          </cell>
          <cell r="K3199" t="str">
            <v>probsi</v>
          </cell>
        </row>
        <row r="3200">
          <cell r="B3200" t="b">
            <v>1</v>
          </cell>
          <cell r="E3200" t="str">
            <v>Blasdelezo</v>
          </cell>
          <cell r="H3200" t="str">
            <v>urgencia</v>
          </cell>
          <cell r="J3200" t="str">
            <v>bueno</v>
          </cell>
          <cell r="K3200" t="str">
            <v>probsi</v>
          </cell>
        </row>
        <row r="3201">
          <cell r="B3201" t="b">
            <v>1</v>
          </cell>
          <cell r="E3201" t="str">
            <v>Blasdelezo</v>
          </cell>
          <cell r="H3201" t="str">
            <v>urgencia</v>
          </cell>
          <cell r="J3201" t="str">
            <v>bueno</v>
          </cell>
          <cell r="K3201" t="str">
            <v>probsi</v>
          </cell>
        </row>
        <row r="3202">
          <cell r="B3202" t="b">
            <v>1</v>
          </cell>
          <cell r="E3202" t="str">
            <v>Foco Rojo</v>
          </cell>
          <cell r="H3202" t="str">
            <v>consulta_externa</v>
          </cell>
          <cell r="J3202" t="str">
            <v>bueno</v>
          </cell>
          <cell r="K3202" t="str">
            <v>defsi</v>
          </cell>
        </row>
        <row r="3203">
          <cell r="B3203" t="b">
            <v>1</v>
          </cell>
          <cell r="E3203" t="str">
            <v>Foco Rojo</v>
          </cell>
          <cell r="H3203" t="str">
            <v>salud_oral</v>
          </cell>
          <cell r="J3203" t="str">
            <v>bueno</v>
          </cell>
          <cell r="K3203" t="str">
            <v>defsi</v>
          </cell>
        </row>
        <row r="3204">
          <cell r="B3204" t="b">
            <v>1</v>
          </cell>
          <cell r="E3204" t="str">
            <v>Foco Rojo</v>
          </cell>
          <cell r="H3204" t="str">
            <v>laboratorio</v>
          </cell>
          <cell r="J3204" t="str">
            <v>bueno</v>
          </cell>
          <cell r="K3204" t="str">
            <v>defsi</v>
          </cell>
        </row>
        <row r="3205">
          <cell r="B3205" t="b">
            <v>1</v>
          </cell>
          <cell r="E3205" t="str">
            <v>Foco Rojo</v>
          </cell>
          <cell r="H3205" t="str">
            <v>consulta_externa</v>
          </cell>
          <cell r="J3205" t="str">
            <v>bueno</v>
          </cell>
          <cell r="K3205" t="str">
            <v>defno</v>
          </cell>
        </row>
        <row r="3206">
          <cell r="B3206" t="b">
            <v>1</v>
          </cell>
          <cell r="E3206" t="str">
            <v>Foco Rojo</v>
          </cell>
          <cell r="H3206" t="str">
            <v>salud_oral</v>
          </cell>
          <cell r="J3206" t="str">
            <v>bueno</v>
          </cell>
          <cell r="K3206" t="str">
            <v>defsi</v>
          </cell>
        </row>
        <row r="3207">
          <cell r="B3207" t="b">
            <v>1</v>
          </cell>
          <cell r="E3207" t="str">
            <v>Foco Rojo</v>
          </cell>
          <cell r="H3207" t="str">
            <v>laboratorio</v>
          </cell>
          <cell r="J3207" t="str">
            <v>bueno</v>
          </cell>
          <cell r="K3207" t="str">
            <v>defsi</v>
          </cell>
        </row>
        <row r="3208">
          <cell r="B3208" t="b">
            <v>1</v>
          </cell>
          <cell r="E3208" t="str">
            <v>Blasdelezo</v>
          </cell>
          <cell r="H3208" t="str">
            <v>medicina_interna</v>
          </cell>
          <cell r="J3208" t="str">
            <v>bueno</v>
          </cell>
          <cell r="K3208" t="str">
            <v>probsi</v>
          </cell>
        </row>
        <row r="3209">
          <cell r="B3209" t="b">
            <v>1</v>
          </cell>
          <cell r="E3209" t="str">
            <v>Blasdelezo</v>
          </cell>
          <cell r="H3209" t="str">
            <v>medicina_interna</v>
          </cell>
          <cell r="J3209" t="str">
            <v>bueno</v>
          </cell>
          <cell r="K3209" t="str">
            <v>probsi</v>
          </cell>
        </row>
        <row r="3210">
          <cell r="B3210" t="b">
            <v>1</v>
          </cell>
          <cell r="E3210" t="str">
            <v>Blasdelezo</v>
          </cell>
          <cell r="H3210" t="str">
            <v>medicina_interna</v>
          </cell>
          <cell r="J3210" t="str">
            <v>bueno</v>
          </cell>
          <cell r="K3210" t="str">
            <v>probsi</v>
          </cell>
        </row>
        <row r="3211">
          <cell r="B3211" t="b">
            <v>1</v>
          </cell>
          <cell r="E3211" t="str">
            <v>Blasdelezo</v>
          </cell>
          <cell r="H3211" t="str">
            <v>medicina_interna</v>
          </cell>
          <cell r="J3211" t="str">
            <v>bueno</v>
          </cell>
          <cell r="K3211" t="str">
            <v>probsi</v>
          </cell>
        </row>
        <row r="3212">
          <cell r="B3212" t="b">
            <v>1</v>
          </cell>
          <cell r="E3212" t="str">
            <v>Blasdelezo</v>
          </cell>
          <cell r="H3212" t="str">
            <v>pediatria</v>
          </cell>
          <cell r="J3212" t="str">
            <v>bueno</v>
          </cell>
          <cell r="K3212" t="str">
            <v>probsi</v>
          </cell>
        </row>
        <row r="3213">
          <cell r="B3213" t="b">
            <v>1</v>
          </cell>
          <cell r="E3213" t="str">
            <v>Blasdelezo</v>
          </cell>
          <cell r="H3213" t="str">
            <v>pediatria</v>
          </cell>
          <cell r="J3213" t="str">
            <v>bueno</v>
          </cell>
          <cell r="K3213" t="str">
            <v>probsi</v>
          </cell>
        </row>
        <row r="3214">
          <cell r="B3214" t="b">
            <v>1</v>
          </cell>
          <cell r="E3214" t="str">
            <v>Blasdelezo</v>
          </cell>
          <cell r="H3214" t="str">
            <v>pediatria</v>
          </cell>
          <cell r="J3214" t="str">
            <v>bueno</v>
          </cell>
          <cell r="K3214" t="str">
            <v>probsi</v>
          </cell>
        </row>
        <row r="3215">
          <cell r="B3215" t="b">
            <v>1</v>
          </cell>
          <cell r="E3215" t="str">
            <v>Blasdelezo</v>
          </cell>
          <cell r="H3215" t="str">
            <v>pediatria</v>
          </cell>
          <cell r="J3215" t="str">
            <v>bueno</v>
          </cell>
          <cell r="K3215" t="str">
            <v>probsi</v>
          </cell>
        </row>
        <row r="3216">
          <cell r="B3216" t="b">
            <v>1</v>
          </cell>
          <cell r="E3216" t="str">
            <v>Blasdelezo</v>
          </cell>
          <cell r="H3216" t="str">
            <v>pediatria</v>
          </cell>
          <cell r="J3216" t="str">
            <v>bueno</v>
          </cell>
          <cell r="K3216" t="str">
            <v>probsi</v>
          </cell>
        </row>
        <row r="3217">
          <cell r="B3217" t="b">
            <v>1</v>
          </cell>
          <cell r="E3217" t="str">
            <v>Blasdelezo</v>
          </cell>
          <cell r="H3217" t="str">
            <v>pediatria</v>
          </cell>
          <cell r="J3217" t="str">
            <v>bueno</v>
          </cell>
          <cell r="K3217" t="str">
            <v>probsi</v>
          </cell>
        </row>
        <row r="3218">
          <cell r="B3218" t="b">
            <v>1</v>
          </cell>
          <cell r="E3218" t="str">
            <v>Nuevo Bosque</v>
          </cell>
          <cell r="H3218" t="str">
            <v>consulta_externa</v>
          </cell>
          <cell r="J3218" t="str">
            <v>bueno</v>
          </cell>
          <cell r="K3218" t="str">
            <v>probsi</v>
          </cell>
        </row>
        <row r="3219">
          <cell r="B3219" t="b">
            <v>1</v>
          </cell>
          <cell r="E3219" t="str">
            <v>Nuevo Bosque</v>
          </cell>
          <cell r="H3219" t="str">
            <v>consulta_externa</v>
          </cell>
          <cell r="J3219" t="str">
            <v>bueno</v>
          </cell>
          <cell r="K3219" t="str">
            <v>probsi</v>
          </cell>
        </row>
        <row r="3220">
          <cell r="B3220" t="b">
            <v>1</v>
          </cell>
          <cell r="E3220" t="str">
            <v>Nuevo Bosque</v>
          </cell>
          <cell r="H3220" t="str">
            <v>consulta_externa</v>
          </cell>
          <cell r="J3220" t="str">
            <v>bueno</v>
          </cell>
          <cell r="K3220" t="str">
            <v>probsi</v>
          </cell>
        </row>
        <row r="3221">
          <cell r="B3221" t="b">
            <v>1</v>
          </cell>
          <cell r="E3221" t="str">
            <v>Nuevo Bosque</v>
          </cell>
          <cell r="H3221" t="str">
            <v>consulta_externa</v>
          </cell>
          <cell r="J3221" t="str">
            <v>bueno</v>
          </cell>
          <cell r="K3221" t="str">
            <v>probsi</v>
          </cell>
        </row>
        <row r="3222">
          <cell r="B3222" t="b">
            <v>1</v>
          </cell>
          <cell r="E3222" t="str">
            <v>Nuevo Bosque</v>
          </cell>
          <cell r="H3222" t="str">
            <v>consulta_externa</v>
          </cell>
          <cell r="J3222" t="str">
            <v>bueno</v>
          </cell>
          <cell r="K3222" t="str">
            <v>probsi</v>
          </cell>
        </row>
        <row r="3223">
          <cell r="B3223" t="b">
            <v>1</v>
          </cell>
          <cell r="E3223" t="str">
            <v>Nuevo Bosque</v>
          </cell>
          <cell r="H3223" t="str">
            <v>consulta_externa</v>
          </cell>
          <cell r="J3223" t="str">
            <v>bueno</v>
          </cell>
          <cell r="K3223" t="str">
            <v>probsi</v>
          </cell>
        </row>
        <row r="3224">
          <cell r="B3224" t="b">
            <v>1</v>
          </cell>
          <cell r="E3224" t="str">
            <v>Nuevo Bosque</v>
          </cell>
          <cell r="H3224" t="str">
            <v>laboratorio</v>
          </cell>
          <cell r="J3224" t="str">
            <v>bueno</v>
          </cell>
          <cell r="K3224" t="str">
            <v>probsi</v>
          </cell>
        </row>
        <row r="3225">
          <cell r="B3225" t="b">
            <v>1</v>
          </cell>
          <cell r="E3225" t="str">
            <v>Nuevo Bosque</v>
          </cell>
          <cell r="H3225" t="str">
            <v>laboratorio</v>
          </cell>
          <cell r="J3225" t="str">
            <v>bueno</v>
          </cell>
          <cell r="K3225" t="str">
            <v>probsi</v>
          </cell>
        </row>
        <row r="3226">
          <cell r="B3226" t="b">
            <v>1</v>
          </cell>
          <cell r="E3226" t="str">
            <v>Nuevo Bosque</v>
          </cell>
          <cell r="H3226" t="str">
            <v>laboratorio</v>
          </cell>
          <cell r="J3226" t="str">
            <v>bueno</v>
          </cell>
          <cell r="K3226" t="str">
            <v>probsi</v>
          </cell>
        </row>
        <row r="3227">
          <cell r="B3227" t="b">
            <v>1</v>
          </cell>
          <cell r="E3227" t="str">
            <v>Nuevo Bosque</v>
          </cell>
          <cell r="H3227" t="str">
            <v>laboratorio</v>
          </cell>
          <cell r="J3227" t="str">
            <v>bueno</v>
          </cell>
          <cell r="K3227" t="str">
            <v>probsi</v>
          </cell>
        </row>
        <row r="3228">
          <cell r="B3228" t="b">
            <v>1</v>
          </cell>
          <cell r="E3228" t="str">
            <v>Nuevo Bosque</v>
          </cell>
          <cell r="H3228" t="str">
            <v>laboratorio</v>
          </cell>
          <cell r="J3228" t="str">
            <v>bueno</v>
          </cell>
          <cell r="K3228" t="str">
            <v>probsi</v>
          </cell>
        </row>
        <row r="3229">
          <cell r="B3229" t="b">
            <v>1</v>
          </cell>
          <cell r="E3229" t="str">
            <v>Nuevo Bosque</v>
          </cell>
          <cell r="H3229" t="str">
            <v>laboratorio</v>
          </cell>
          <cell r="J3229" t="str">
            <v>bueno</v>
          </cell>
          <cell r="K3229" t="str">
            <v>probsi</v>
          </cell>
        </row>
        <row r="3230">
          <cell r="B3230" t="b">
            <v>1</v>
          </cell>
          <cell r="E3230" t="str">
            <v>Nuevo Bosque</v>
          </cell>
          <cell r="H3230" t="str">
            <v>salud_oral</v>
          </cell>
          <cell r="J3230" t="str">
            <v>bueno</v>
          </cell>
          <cell r="K3230" t="str">
            <v>probsi</v>
          </cell>
        </row>
        <row r="3231">
          <cell r="B3231" t="b">
            <v>1</v>
          </cell>
          <cell r="E3231" t="str">
            <v>Nuevo Bosque</v>
          </cell>
          <cell r="H3231" t="str">
            <v>salud_oral</v>
          </cell>
          <cell r="J3231" t="str">
            <v>bueno</v>
          </cell>
          <cell r="K3231" t="str">
            <v>probsi</v>
          </cell>
        </row>
        <row r="3232">
          <cell r="B3232" t="b">
            <v>1</v>
          </cell>
          <cell r="E3232" t="str">
            <v>Nuevo Bosque</v>
          </cell>
          <cell r="H3232" t="str">
            <v>salud_oral</v>
          </cell>
          <cell r="J3232" t="str">
            <v>bueno</v>
          </cell>
          <cell r="K3232" t="str">
            <v>probsi</v>
          </cell>
        </row>
        <row r="3233">
          <cell r="B3233" t="b">
            <v>1</v>
          </cell>
          <cell r="E3233" t="str">
            <v>Nuevo Bosque</v>
          </cell>
          <cell r="H3233" t="str">
            <v>salud_oral</v>
          </cell>
          <cell r="J3233" t="str">
            <v>bueno</v>
          </cell>
          <cell r="K3233" t="str">
            <v>probsi</v>
          </cell>
        </row>
        <row r="3234">
          <cell r="B3234" t="b">
            <v>1</v>
          </cell>
          <cell r="E3234" t="str">
            <v>Nuevo Bosque</v>
          </cell>
          <cell r="H3234" t="str">
            <v>salud_oral</v>
          </cell>
          <cell r="J3234" t="str">
            <v>bueno</v>
          </cell>
          <cell r="K3234" t="str">
            <v>probsi</v>
          </cell>
        </row>
        <row r="3235">
          <cell r="B3235" t="b">
            <v>1</v>
          </cell>
          <cell r="E3235" t="str">
            <v>Nuevo Bosque</v>
          </cell>
          <cell r="H3235" t="str">
            <v>salud_oral</v>
          </cell>
          <cell r="J3235" t="str">
            <v>bueno</v>
          </cell>
          <cell r="K3235" t="str">
            <v>probsi</v>
          </cell>
        </row>
        <row r="3236">
          <cell r="B3236" t="b">
            <v>1</v>
          </cell>
          <cell r="E3236" t="str">
            <v>Nuevo Bosque</v>
          </cell>
          <cell r="H3236" t="str">
            <v>urgencia</v>
          </cell>
          <cell r="J3236" t="str">
            <v>bueno</v>
          </cell>
          <cell r="K3236" t="str">
            <v>probsi</v>
          </cell>
        </row>
        <row r="3237">
          <cell r="B3237" t="b">
            <v>1</v>
          </cell>
          <cell r="E3237" t="str">
            <v>Nuevo Bosque</v>
          </cell>
          <cell r="H3237" t="str">
            <v>urgencia</v>
          </cell>
          <cell r="J3237" t="str">
            <v>bueno</v>
          </cell>
          <cell r="K3237" t="str">
            <v>probsi</v>
          </cell>
        </row>
        <row r="3238">
          <cell r="B3238" t="b">
            <v>1</v>
          </cell>
          <cell r="E3238" t="str">
            <v>Nuevo Bosque</v>
          </cell>
          <cell r="H3238" t="str">
            <v>urgencia</v>
          </cell>
          <cell r="J3238" t="str">
            <v>bueno</v>
          </cell>
          <cell r="K3238" t="str">
            <v>probsi</v>
          </cell>
        </row>
        <row r="3239">
          <cell r="B3239" t="b">
            <v>0</v>
          </cell>
          <cell r="E3239" t="str">
            <v>Nuevo Bosque</v>
          </cell>
          <cell r="H3239" t="str">
            <v>urgencia</v>
          </cell>
          <cell r="J3239" t="str">
            <v>regular</v>
          </cell>
          <cell r="K3239" t="str">
            <v>probsi</v>
          </cell>
        </row>
        <row r="3240">
          <cell r="B3240" t="b">
            <v>0</v>
          </cell>
          <cell r="E3240" t="str">
            <v>Nuevo Bosque</v>
          </cell>
          <cell r="H3240" t="str">
            <v>urgencia</v>
          </cell>
          <cell r="J3240" t="str">
            <v>regular</v>
          </cell>
          <cell r="K3240" t="str">
            <v>probsi</v>
          </cell>
        </row>
        <row r="3241">
          <cell r="B3241" t="b">
            <v>0</v>
          </cell>
          <cell r="E3241" t="str">
            <v>Nuevo Bosque</v>
          </cell>
          <cell r="H3241" t="str">
            <v>urgencia</v>
          </cell>
          <cell r="J3241" t="str">
            <v>regular</v>
          </cell>
          <cell r="K3241" t="str">
            <v>probsi</v>
          </cell>
        </row>
        <row r="3242">
          <cell r="B3242" t="b">
            <v>1</v>
          </cell>
          <cell r="E3242" t="str">
            <v>Foco Rojo</v>
          </cell>
          <cell r="H3242" t="str">
            <v>consulta_externa</v>
          </cell>
          <cell r="J3242" t="str">
            <v>bueno</v>
          </cell>
          <cell r="K3242" t="str">
            <v>defsi</v>
          </cell>
        </row>
        <row r="3243">
          <cell r="B3243" t="b">
            <v>1</v>
          </cell>
          <cell r="E3243" t="str">
            <v>Foco Rojo</v>
          </cell>
          <cell r="H3243" t="str">
            <v>salud_oral</v>
          </cell>
          <cell r="J3243" t="str">
            <v>bueno</v>
          </cell>
          <cell r="K3243" t="str">
            <v>defsi</v>
          </cell>
        </row>
        <row r="3244">
          <cell r="B3244" t="b">
            <v>1</v>
          </cell>
          <cell r="E3244" t="str">
            <v>Foco Rojo</v>
          </cell>
          <cell r="H3244" t="str">
            <v>laboratorio</v>
          </cell>
          <cell r="J3244" t="str">
            <v>bueno</v>
          </cell>
          <cell r="K3244" t="str">
            <v>defsi</v>
          </cell>
        </row>
        <row r="3245">
          <cell r="B3245" t="b">
            <v>1</v>
          </cell>
          <cell r="E3245" t="str">
            <v>Foco Rojo</v>
          </cell>
          <cell r="H3245" t="str">
            <v>consulta_externa</v>
          </cell>
          <cell r="J3245" t="str">
            <v>bueno</v>
          </cell>
          <cell r="K3245" t="str">
            <v>defsi</v>
          </cell>
        </row>
        <row r="3246">
          <cell r="B3246" t="b">
            <v>1</v>
          </cell>
          <cell r="E3246" t="str">
            <v>Foco Rojo</v>
          </cell>
          <cell r="H3246" t="str">
            <v>laboratorio</v>
          </cell>
          <cell r="J3246" t="str">
            <v>bueno</v>
          </cell>
          <cell r="K3246" t="str">
            <v>defsi</v>
          </cell>
        </row>
        <row r="3247">
          <cell r="B3247" t="b">
            <v>1</v>
          </cell>
          <cell r="E3247" t="str">
            <v>Foco Rojo</v>
          </cell>
          <cell r="H3247" t="str">
            <v>consulta_externa</v>
          </cell>
          <cell r="J3247" t="str">
            <v>bueno</v>
          </cell>
          <cell r="K3247" t="str">
            <v>defsi</v>
          </cell>
        </row>
        <row r="3248">
          <cell r="B3248" t="b">
            <v>1</v>
          </cell>
          <cell r="E3248" t="str">
            <v>Foco Rojo</v>
          </cell>
          <cell r="H3248" t="str">
            <v>salud_oral</v>
          </cell>
          <cell r="J3248" t="str">
            <v>bueno</v>
          </cell>
          <cell r="K3248" t="str">
            <v>defsi</v>
          </cell>
        </row>
        <row r="3249">
          <cell r="B3249" t="b">
            <v>1</v>
          </cell>
          <cell r="E3249" t="str">
            <v>Foco Rojo</v>
          </cell>
          <cell r="H3249" t="str">
            <v>laboratorio</v>
          </cell>
          <cell r="J3249" t="str">
            <v>bueno</v>
          </cell>
          <cell r="K3249" t="str">
            <v>defsi</v>
          </cell>
        </row>
        <row r="3250">
          <cell r="B3250" t="b">
            <v>1</v>
          </cell>
          <cell r="E3250" t="str">
            <v>Foco Rojo</v>
          </cell>
          <cell r="H3250" t="str">
            <v>consulta_externa</v>
          </cell>
          <cell r="J3250" t="str">
            <v>bueno</v>
          </cell>
          <cell r="K3250" t="str">
            <v>defsi</v>
          </cell>
        </row>
        <row r="3251">
          <cell r="B3251" t="b">
            <v>1</v>
          </cell>
          <cell r="E3251" t="str">
            <v>Foco Rojo</v>
          </cell>
          <cell r="H3251" t="str">
            <v>salud_oral</v>
          </cell>
          <cell r="J3251" t="str">
            <v>bueno</v>
          </cell>
          <cell r="K3251" t="str">
            <v>defsi</v>
          </cell>
        </row>
        <row r="3252">
          <cell r="B3252" t="b">
            <v>1</v>
          </cell>
          <cell r="E3252" t="str">
            <v>Foco Rojo</v>
          </cell>
          <cell r="H3252" t="str">
            <v>laboratorio</v>
          </cell>
          <cell r="J3252" t="str">
            <v>bueno</v>
          </cell>
          <cell r="K3252" t="str">
            <v>defsi</v>
          </cell>
        </row>
        <row r="3253">
          <cell r="B3253" t="b">
            <v>1</v>
          </cell>
          <cell r="E3253" t="str">
            <v>Foco Rojo</v>
          </cell>
          <cell r="H3253" t="str">
            <v>consulta_externa</v>
          </cell>
          <cell r="J3253" t="str">
            <v>bueno</v>
          </cell>
          <cell r="K3253" t="str">
            <v>defsi</v>
          </cell>
        </row>
        <row r="3254">
          <cell r="B3254" t="b">
            <v>1</v>
          </cell>
          <cell r="E3254" t="str">
            <v>Foco Rojo</v>
          </cell>
          <cell r="H3254" t="str">
            <v>salud_oral</v>
          </cell>
          <cell r="J3254" t="str">
            <v>bueno</v>
          </cell>
          <cell r="K3254" t="str">
            <v>defsi</v>
          </cell>
        </row>
        <row r="3255">
          <cell r="B3255" t="b">
            <v>1</v>
          </cell>
          <cell r="E3255" t="str">
            <v>Foco Rojo</v>
          </cell>
          <cell r="H3255" t="str">
            <v>laboratorio</v>
          </cell>
          <cell r="J3255" t="str">
            <v>bueno</v>
          </cell>
          <cell r="K3255" t="str">
            <v>defsi</v>
          </cell>
        </row>
        <row r="3256">
          <cell r="B3256" t="b">
            <v>1</v>
          </cell>
          <cell r="E3256" t="str">
            <v>Gaviotas</v>
          </cell>
          <cell r="H3256" t="str">
            <v>consulta_externa</v>
          </cell>
          <cell r="J3256" t="str">
            <v>bueno</v>
          </cell>
          <cell r="K3256" t="str">
            <v>defsi</v>
          </cell>
        </row>
        <row r="3257">
          <cell r="B3257" t="b">
            <v>1</v>
          </cell>
          <cell r="E3257" t="str">
            <v>Gaviotas</v>
          </cell>
          <cell r="H3257" t="str">
            <v>laboratorio</v>
          </cell>
          <cell r="J3257" t="str">
            <v>bueno</v>
          </cell>
          <cell r="K3257" t="str">
            <v>defsi</v>
          </cell>
        </row>
        <row r="3258">
          <cell r="B3258" t="b">
            <v>1</v>
          </cell>
          <cell r="E3258" t="str">
            <v>Gaviotas</v>
          </cell>
          <cell r="H3258" t="str">
            <v>consulta_externa</v>
          </cell>
          <cell r="J3258" t="str">
            <v>bueno</v>
          </cell>
          <cell r="K3258" t="str">
            <v>defsi</v>
          </cell>
        </row>
        <row r="3259">
          <cell r="B3259" t="b">
            <v>1</v>
          </cell>
          <cell r="E3259" t="str">
            <v>Esperanza</v>
          </cell>
          <cell r="H3259" t="str">
            <v>electros</v>
          </cell>
          <cell r="J3259" t="str">
            <v>bueno</v>
          </cell>
          <cell r="K3259" t="str">
            <v>defsi</v>
          </cell>
        </row>
        <row r="3260">
          <cell r="B3260" t="b">
            <v>1</v>
          </cell>
          <cell r="E3260" t="str">
            <v>Esperanza</v>
          </cell>
          <cell r="H3260" t="str">
            <v>electros</v>
          </cell>
          <cell r="J3260" t="str">
            <v>muybueno</v>
          </cell>
          <cell r="K3260" t="str">
            <v>defsi</v>
          </cell>
        </row>
        <row r="3261">
          <cell r="B3261" t="b">
            <v>1</v>
          </cell>
          <cell r="E3261" t="str">
            <v>Esperanza</v>
          </cell>
          <cell r="H3261" t="str">
            <v>electros</v>
          </cell>
          <cell r="J3261" t="str">
            <v>bueno</v>
          </cell>
          <cell r="K3261" t="str">
            <v>defsi</v>
          </cell>
        </row>
        <row r="3262">
          <cell r="B3262" t="b">
            <v>1</v>
          </cell>
          <cell r="E3262" t="str">
            <v>Gaviotas</v>
          </cell>
          <cell r="H3262" t="str">
            <v>salud_oral</v>
          </cell>
          <cell r="J3262" t="str">
            <v>bueno</v>
          </cell>
          <cell r="K3262" t="str">
            <v>defsi</v>
          </cell>
        </row>
        <row r="3263">
          <cell r="B3263" t="b">
            <v>1</v>
          </cell>
          <cell r="E3263" t="str">
            <v>Esperanza</v>
          </cell>
          <cell r="H3263" t="str">
            <v>electros</v>
          </cell>
          <cell r="J3263" t="str">
            <v>bueno</v>
          </cell>
          <cell r="K3263" t="str">
            <v>defsi</v>
          </cell>
        </row>
        <row r="3264">
          <cell r="B3264" t="b">
            <v>1</v>
          </cell>
          <cell r="E3264" t="str">
            <v>Esperanza</v>
          </cell>
          <cell r="H3264" t="str">
            <v>electros</v>
          </cell>
          <cell r="J3264" t="str">
            <v>bueno</v>
          </cell>
          <cell r="K3264" t="str">
            <v>defsi</v>
          </cell>
        </row>
        <row r="3265">
          <cell r="B3265" t="b">
            <v>1</v>
          </cell>
          <cell r="E3265" t="str">
            <v>Esperanza</v>
          </cell>
          <cell r="H3265" t="str">
            <v>electros</v>
          </cell>
          <cell r="J3265" t="str">
            <v>bueno</v>
          </cell>
          <cell r="K3265" t="str">
            <v>defsi</v>
          </cell>
        </row>
        <row r="3266">
          <cell r="B3266" t="b">
            <v>1</v>
          </cell>
          <cell r="E3266" t="str">
            <v>Esperanza</v>
          </cell>
          <cell r="H3266" t="str">
            <v>electros</v>
          </cell>
          <cell r="J3266" t="str">
            <v>bueno</v>
          </cell>
          <cell r="K3266" t="str">
            <v>defsi</v>
          </cell>
        </row>
        <row r="3267">
          <cell r="B3267" t="b">
            <v>1</v>
          </cell>
          <cell r="E3267" t="str">
            <v>Gaviotas</v>
          </cell>
          <cell r="H3267" t="str">
            <v>laboratorio</v>
          </cell>
          <cell r="J3267" t="str">
            <v>bueno</v>
          </cell>
          <cell r="K3267" t="str">
            <v>defsi</v>
          </cell>
        </row>
        <row r="3268">
          <cell r="B3268" t="b">
            <v>0</v>
          </cell>
          <cell r="E3268" t="str">
            <v>Esperanza</v>
          </cell>
          <cell r="H3268" t="str">
            <v>electros</v>
          </cell>
          <cell r="J3268" t="str">
            <v>regular</v>
          </cell>
          <cell r="K3268" t="str">
            <v>defsi</v>
          </cell>
        </row>
        <row r="3269">
          <cell r="B3269" t="b">
            <v>1</v>
          </cell>
          <cell r="E3269" t="str">
            <v>Gaviotas</v>
          </cell>
          <cell r="H3269" t="str">
            <v>salud_oral</v>
          </cell>
          <cell r="J3269" t="str">
            <v>bueno</v>
          </cell>
          <cell r="K3269" t="str">
            <v>defsi</v>
          </cell>
        </row>
        <row r="3270">
          <cell r="B3270" t="b">
            <v>1</v>
          </cell>
          <cell r="E3270" t="str">
            <v>Gaviotas</v>
          </cell>
          <cell r="H3270" t="str">
            <v>consulta_externa</v>
          </cell>
          <cell r="J3270" t="str">
            <v>bueno</v>
          </cell>
          <cell r="K3270" t="str">
            <v>defsi</v>
          </cell>
        </row>
        <row r="3271">
          <cell r="B3271" t="b">
            <v>1</v>
          </cell>
          <cell r="E3271" t="str">
            <v>Gaviotas</v>
          </cell>
          <cell r="H3271" t="str">
            <v>salud_oral</v>
          </cell>
          <cell r="J3271" t="str">
            <v>bueno</v>
          </cell>
          <cell r="K3271" t="str">
            <v>defsi</v>
          </cell>
        </row>
        <row r="3272">
          <cell r="B3272" t="b">
            <v>1</v>
          </cell>
          <cell r="E3272" t="str">
            <v>Gaviotas</v>
          </cell>
          <cell r="H3272" t="str">
            <v>laboratorio</v>
          </cell>
          <cell r="J3272" t="str">
            <v>bueno</v>
          </cell>
          <cell r="K3272" t="str">
            <v>defsi</v>
          </cell>
        </row>
        <row r="3273">
          <cell r="B3273" t="b">
            <v>1</v>
          </cell>
          <cell r="E3273" t="str">
            <v>Esperanza</v>
          </cell>
          <cell r="H3273" t="str">
            <v>consulta_externa</v>
          </cell>
          <cell r="J3273" t="str">
            <v>bueno</v>
          </cell>
          <cell r="K3273" t="str">
            <v>defsi</v>
          </cell>
        </row>
        <row r="3274">
          <cell r="B3274" t="b">
            <v>1</v>
          </cell>
          <cell r="E3274" t="str">
            <v>Esperanza</v>
          </cell>
          <cell r="H3274" t="str">
            <v>electros</v>
          </cell>
          <cell r="J3274" t="str">
            <v>bueno</v>
          </cell>
          <cell r="K3274" t="str">
            <v>defsi</v>
          </cell>
        </row>
        <row r="3275">
          <cell r="B3275" t="b">
            <v>1</v>
          </cell>
          <cell r="E3275" t="str">
            <v>Esperanza</v>
          </cell>
          <cell r="H3275" t="str">
            <v>urgencia</v>
          </cell>
          <cell r="J3275" t="str">
            <v>bueno</v>
          </cell>
          <cell r="K3275" t="str">
            <v>defsi</v>
          </cell>
        </row>
        <row r="3276">
          <cell r="B3276" t="b">
            <v>1</v>
          </cell>
          <cell r="E3276" t="str">
            <v>Esperanza</v>
          </cell>
          <cell r="H3276" t="str">
            <v>urgencia</v>
          </cell>
          <cell r="J3276" t="str">
            <v>bueno</v>
          </cell>
          <cell r="K3276" t="str">
            <v>defsi</v>
          </cell>
        </row>
        <row r="3277">
          <cell r="B3277" t="b">
            <v>1</v>
          </cell>
          <cell r="E3277" t="str">
            <v>Esperanza</v>
          </cell>
          <cell r="H3277" t="str">
            <v>urgencia</v>
          </cell>
          <cell r="J3277" t="str">
            <v>bueno</v>
          </cell>
          <cell r="K3277" t="str">
            <v>defsi</v>
          </cell>
        </row>
        <row r="3278">
          <cell r="B3278" t="b">
            <v>0</v>
          </cell>
          <cell r="E3278" t="str">
            <v>Esperanza</v>
          </cell>
          <cell r="H3278" t="str">
            <v>urgencia</v>
          </cell>
          <cell r="J3278" t="str">
            <v>regular</v>
          </cell>
          <cell r="K3278" t="str">
            <v>defsi</v>
          </cell>
        </row>
        <row r="3279">
          <cell r="B3279" t="b">
            <v>1</v>
          </cell>
          <cell r="E3279" t="str">
            <v>Esperanza</v>
          </cell>
          <cell r="H3279" t="str">
            <v>urgencia</v>
          </cell>
          <cell r="J3279" t="str">
            <v>bueno</v>
          </cell>
          <cell r="K3279" t="str">
            <v>defsi</v>
          </cell>
        </row>
        <row r="3280">
          <cell r="B3280" t="b">
            <v>1</v>
          </cell>
          <cell r="E3280" t="str">
            <v>Esperanza</v>
          </cell>
          <cell r="H3280" t="str">
            <v>urgencia</v>
          </cell>
          <cell r="J3280" t="str">
            <v>bueno</v>
          </cell>
          <cell r="K3280" t="str">
            <v>defsi</v>
          </cell>
        </row>
        <row r="3281">
          <cell r="B3281" t="b">
            <v>0</v>
          </cell>
          <cell r="E3281" t="str">
            <v>Arroz Barato</v>
          </cell>
          <cell r="H3281" t="str">
            <v>salud_oral</v>
          </cell>
          <cell r="J3281" t="str">
            <v>regular</v>
          </cell>
          <cell r="K3281" t="str">
            <v>probsi</v>
          </cell>
        </row>
        <row r="3282">
          <cell r="B3282" t="b">
            <v>0</v>
          </cell>
          <cell r="E3282" t="str">
            <v>Arroz Barato</v>
          </cell>
          <cell r="H3282" t="str">
            <v>salud_oral</v>
          </cell>
          <cell r="J3282" t="str">
            <v>regular</v>
          </cell>
          <cell r="K3282" t="str">
            <v>probsi</v>
          </cell>
        </row>
        <row r="3283">
          <cell r="B3283" t="b">
            <v>1</v>
          </cell>
          <cell r="E3283" t="str">
            <v>Arroz Barato</v>
          </cell>
          <cell r="H3283" t="str">
            <v>salud_oral</v>
          </cell>
          <cell r="J3283" t="str">
            <v>bueno</v>
          </cell>
          <cell r="K3283" t="str">
            <v>probsi</v>
          </cell>
        </row>
        <row r="3284">
          <cell r="B3284" t="b">
            <v>1</v>
          </cell>
          <cell r="E3284" t="str">
            <v>Arroz Barato</v>
          </cell>
          <cell r="H3284" t="str">
            <v>salud_oral</v>
          </cell>
          <cell r="J3284" t="str">
            <v>bueno</v>
          </cell>
          <cell r="K3284" t="str">
            <v>probsi</v>
          </cell>
        </row>
        <row r="3285">
          <cell r="B3285" t="b">
            <v>1</v>
          </cell>
          <cell r="E3285" t="str">
            <v>Arroz Barato</v>
          </cell>
          <cell r="H3285" t="str">
            <v>laboratorio</v>
          </cell>
          <cell r="J3285" t="str">
            <v>bueno</v>
          </cell>
          <cell r="K3285" t="str">
            <v>probsi</v>
          </cell>
        </row>
        <row r="3286">
          <cell r="B3286" t="b">
            <v>1</v>
          </cell>
          <cell r="E3286" t="str">
            <v>Arroz Barato</v>
          </cell>
          <cell r="H3286" t="str">
            <v>laboratorio</v>
          </cell>
          <cell r="J3286" t="str">
            <v>bueno</v>
          </cell>
          <cell r="K3286" t="str">
            <v>probsi</v>
          </cell>
        </row>
        <row r="3287">
          <cell r="B3287" t="b">
            <v>1</v>
          </cell>
          <cell r="E3287" t="str">
            <v>Arroz Barato</v>
          </cell>
          <cell r="H3287" t="str">
            <v>laboratorio</v>
          </cell>
          <cell r="J3287" t="str">
            <v>bueno</v>
          </cell>
          <cell r="K3287" t="str">
            <v>probsi</v>
          </cell>
        </row>
        <row r="3288">
          <cell r="B3288" t="b">
            <v>1</v>
          </cell>
          <cell r="E3288" t="str">
            <v>Arroz Barato</v>
          </cell>
          <cell r="H3288" t="str">
            <v>laboratorio</v>
          </cell>
          <cell r="J3288" t="str">
            <v>bueno</v>
          </cell>
          <cell r="K3288" t="str">
            <v>probsi</v>
          </cell>
        </row>
        <row r="3289">
          <cell r="B3289" t="b">
            <v>1</v>
          </cell>
          <cell r="E3289" t="str">
            <v>Las Reinas</v>
          </cell>
          <cell r="H3289" t="str">
            <v>consulta_externa</v>
          </cell>
          <cell r="J3289" t="str">
            <v>bueno</v>
          </cell>
          <cell r="K3289" t="str">
            <v>defsi</v>
          </cell>
        </row>
        <row r="3290">
          <cell r="B3290" t="b">
            <v>1</v>
          </cell>
          <cell r="E3290" t="str">
            <v>Las Reinas</v>
          </cell>
          <cell r="H3290" t="str">
            <v>salud_oral</v>
          </cell>
          <cell r="J3290" t="str">
            <v>bueno</v>
          </cell>
          <cell r="K3290" t="str">
            <v>defsi</v>
          </cell>
        </row>
        <row r="3291">
          <cell r="B3291" t="b">
            <v>1</v>
          </cell>
          <cell r="E3291" t="str">
            <v>Las Reinas</v>
          </cell>
          <cell r="H3291" t="str">
            <v>laboratorio</v>
          </cell>
          <cell r="J3291" t="str">
            <v>bueno</v>
          </cell>
          <cell r="K3291" t="str">
            <v>defsi</v>
          </cell>
        </row>
        <row r="3292">
          <cell r="B3292" t="b">
            <v>1</v>
          </cell>
          <cell r="E3292" t="str">
            <v>Las Reinas</v>
          </cell>
          <cell r="H3292" t="str">
            <v>consulta_externa</v>
          </cell>
          <cell r="J3292" t="str">
            <v>bueno</v>
          </cell>
          <cell r="K3292" t="str">
            <v>defsi</v>
          </cell>
        </row>
        <row r="3293">
          <cell r="B3293" t="b">
            <v>1</v>
          </cell>
          <cell r="E3293" t="str">
            <v>Las Reinas</v>
          </cell>
          <cell r="H3293" t="str">
            <v>salud_oral</v>
          </cell>
          <cell r="J3293" t="str">
            <v>bueno</v>
          </cell>
          <cell r="K3293" t="str">
            <v>defsi</v>
          </cell>
        </row>
        <row r="3294">
          <cell r="B3294" t="b">
            <v>1</v>
          </cell>
          <cell r="E3294" t="str">
            <v>Las Reinas</v>
          </cell>
          <cell r="H3294" t="str">
            <v>laboratorio</v>
          </cell>
          <cell r="J3294" t="str">
            <v>bueno</v>
          </cell>
          <cell r="K3294" t="str">
            <v>defsi</v>
          </cell>
        </row>
        <row r="3295">
          <cell r="B3295" t="b">
            <v>1</v>
          </cell>
          <cell r="E3295" t="str">
            <v>Las Reinas</v>
          </cell>
          <cell r="H3295" t="str">
            <v>consulta_externa</v>
          </cell>
          <cell r="J3295" t="str">
            <v>bueno</v>
          </cell>
          <cell r="K3295" t="str">
            <v>defsi</v>
          </cell>
        </row>
        <row r="3296">
          <cell r="B3296" t="b">
            <v>1</v>
          </cell>
          <cell r="E3296" t="str">
            <v>Las Reinas</v>
          </cell>
          <cell r="H3296" t="str">
            <v>salud_oral</v>
          </cell>
          <cell r="J3296" t="str">
            <v>bueno</v>
          </cell>
          <cell r="K3296" t="str">
            <v>defsi</v>
          </cell>
        </row>
        <row r="3297">
          <cell r="B3297" t="b">
            <v>1</v>
          </cell>
          <cell r="E3297" t="str">
            <v>Las Reinas</v>
          </cell>
          <cell r="H3297" t="str">
            <v>laboratorio</v>
          </cell>
          <cell r="J3297" t="str">
            <v>bueno</v>
          </cell>
          <cell r="K3297" t="str">
            <v>defsi</v>
          </cell>
        </row>
        <row r="3298">
          <cell r="B3298" t="b">
            <v>1</v>
          </cell>
          <cell r="E3298" t="str">
            <v>Baru</v>
          </cell>
          <cell r="H3298" t="str">
            <v>consulta_externa</v>
          </cell>
          <cell r="J3298" t="str">
            <v>muybueno</v>
          </cell>
          <cell r="K3298" t="str">
            <v>defsi</v>
          </cell>
        </row>
        <row r="3299">
          <cell r="B3299" t="b">
            <v>1</v>
          </cell>
          <cell r="E3299" t="str">
            <v>Baru</v>
          </cell>
          <cell r="H3299" t="str">
            <v>salud_oral</v>
          </cell>
          <cell r="J3299" t="str">
            <v>muybueno</v>
          </cell>
          <cell r="K3299" t="str">
            <v>defsi</v>
          </cell>
        </row>
        <row r="3300">
          <cell r="B3300" t="b">
            <v>1</v>
          </cell>
          <cell r="E3300" t="str">
            <v>Baru</v>
          </cell>
          <cell r="H3300" t="str">
            <v>consulta_externa</v>
          </cell>
          <cell r="J3300" t="str">
            <v>muybueno</v>
          </cell>
          <cell r="K3300" t="str">
            <v>defsi</v>
          </cell>
        </row>
        <row r="3301">
          <cell r="B3301" t="b">
            <v>1</v>
          </cell>
          <cell r="E3301" t="str">
            <v>Baru</v>
          </cell>
          <cell r="H3301" t="str">
            <v>laboratorio</v>
          </cell>
          <cell r="J3301" t="str">
            <v>muybueno</v>
          </cell>
          <cell r="K3301" t="str">
            <v>defsi</v>
          </cell>
        </row>
        <row r="3302">
          <cell r="B3302" t="b">
            <v>1</v>
          </cell>
          <cell r="E3302" t="str">
            <v>Arroz Barato</v>
          </cell>
          <cell r="H3302" t="str">
            <v>consulta_externa</v>
          </cell>
          <cell r="J3302" t="str">
            <v>bueno</v>
          </cell>
          <cell r="K3302" t="str">
            <v>probsi</v>
          </cell>
        </row>
        <row r="3303">
          <cell r="B3303" t="b">
            <v>1</v>
          </cell>
          <cell r="E3303" t="str">
            <v>Arroz Barato</v>
          </cell>
          <cell r="H3303" t="str">
            <v>salud_oral</v>
          </cell>
          <cell r="J3303" t="str">
            <v>bueno</v>
          </cell>
          <cell r="K3303" t="str">
            <v>probsi</v>
          </cell>
        </row>
        <row r="3304">
          <cell r="B3304" t="b">
            <v>1</v>
          </cell>
          <cell r="E3304" t="str">
            <v>Arroz Barato</v>
          </cell>
          <cell r="H3304" t="str">
            <v>laboratorio</v>
          </cell>
          <cell r="J3304" t="str">
            <v>bueno</v>
          </cell>
          <cell r="K3304" t="str">
            <v>probsi</v>
          </cell>
        </row>
        <row r="3305">
          <cell r="B3305" t="b">
            <v>1</v>
          </cell>
          <cell r="E3305" t="str">
            <v>Arroz Barato</v>
          </cell>
          <cell r="H3305" t="str">
            <v>laboratorio</v>
          </cell>
          <cell r="J3305" t="str">
            <v>bueno</v>
          </cell>
          <cell r="K3305" t="str">
            <v>probsi</v>
          </cell>
        </row>
        <row r="3306">
          <cell r="B3306" t="b">
            <v>1</v>
          </cell>
          <cell r="E3306" t="str">
            <v>Arroz Barato</v>
          </cell>
          <cell r="H3306" t="str">
            <v>laboratorio</v>
          </cell>
          <cell r="J3306" t="str">
            <v>bueno</v>
          </cell>
          <cell r="K3306" t="str">
            <v>probsi</v>
          </cell>
        </row>
        <row r="3307">
          <cell r="B3307" t="b">
            <v>1</v>
          </cell>
          <cell r="E3307" t="str">
            <v>Arroz Barato</v>
          </cell>
          <cell r="H3307" t="str">
            <v>consulta_externa</v>
          </cell>
          <cell r="J3307" t="str">
            <v>bueno</v>
          </cell>
          <cell r="K3307" t="str">
            <v>probsi</v>
          </cell>
        </row>
        <row r="3308">
          <cell r="B3308" t="b">
            <v>1</v>
          </cell>
          <cell r="E3308" t="str">
            <v>Arroz Barato</v>
          </cell>
          <cell r="H3308" t="str">
            <v>consulta_externa</v>
          </cell>
          <cell r="J3308" t="str">
            <v>bueno</v>
          </cell>
          <cell r="K3308" t="str">
            <v>probsi</v>
          </cell>
        </row>
        <row r="3309">
          <cell r="B3309" t="b">
            <v>1</v>
          </cell>
          <cell r="E3309" t="str">
            <v>Arroz Barato</v>
          </cell>
          <cell r="H3309" t="str">
            <v>laboratorio</v>
          </cell>
          <cell r="J3309" t="str">
            <v>bueno</v>
          </cell>
          <cell r="K3309" t="str">
            <v>probsi</v>
          </cell>
        </row>
        <row r="3310">
          <cell r="B3310" t="b">
            <v>1</v>
          </cell>
          <cell r="E3310" t="str">
            <v>Baru</v>
          </cell>
          <cell r="H3310" t="str">
            <v>consulta_externa</v>
          </cell>
          <cell r="J3310" t="str">
            <v>muybueno</v>
          </cell>
          <cell r="K3310" t="str">
            <v>defsi</v>
          </cell>
        </row>
        <row r="3311">
          <cell r="B3311" t="b">
            <v>1</v>
          </cell>
          <cell r="E3311" t="str">
            <v>Baru</v>
          </cell>
          <cell r="H3311" t="str">
            <v>salud_oral</v>
          </cell>
          <cell r="J3311" t="str">
            <v>muybueno</v>
          </cell>
          <cell r="K3311" t="str">
            <v>defsi</v>
          </cell>
        </row>
        <row r="3312">
          <cell r="B3312" t="b">
            <v>1</v>
          </cell>
          <cell r="E3312" t="str">
            <v>Arroz Barato</v>
          </cell>
          <cell r="H3312" t="str">
            <v>rx</v>
          </cell>
          <cell r="J3312" t="str">
            <v>bueno</v>
          </cell>
          <cell r="K3312" t="str">
            <v>probsi</v>
          </cell>
        </row>
        <row r="3313">
          <cell r="B3313" t="b">
            <v>1</v>
          </cell>
          <cell r="E3313" t="str">
            <v>Baru</v>
          </cell>
          <cell r="H3313" t="str">
            <v>consulta_externa</v>
          </cell>
          <cell r="J3313" t="str">
            <v>muybueno</v>
          </cell>
          <cell r="K3313" t="str">
            <v>defsi</v>
          </cell>
        </row>
        <row r="3314">
          <cell r="B3314" t="b">
            <v>1</v>
          </cell>
          <cell r="E3314" t="str">
            <v>Baru</v>
          </cell>
          <cell r="H3314" t="str">
            <v>salud_oral</v>
          </cell>
          <cell r="J3314" t="str">
            <v>muybueno</v>
          </cell>
          <cell r="K3314" t="str">
            <v>defsi</v>
          </cell>
        </row>
        <row r="3315">
          <cell r="B3315" t="b">
            <v>1</v>
          </cell>
          <cell r="E3315" t="str">
            <v>Arroz Barato</v>
          </cell>
          <cell r="H3315" t="str">
            <v>rx</v>
          </cell>
          <cell r="J3315" t="str">
            <v>bueno</v>
          </cell>
          <cell r="K3315" t="str">
            <v>probsi</v>
          </cell>
        </row>
        <row r="3316">
          <cell r="B3316" t="b">
            <v>1</v>
          </cell>
          <cell r="E3316" t="str">
            <v>Arroz Barato</v>
          </cell>
          <cell r="H3316" t="str">
            <v>rx</v>
          </cell>
          <cell r="J3316" t="str">
            <v>bueno</v>
          </cell>
          <cell r="K3316" t="str">
            <v>probsi</v>
          </cell>
        </row>
        <row r="3317">
          <cell r="B3317" t="b">
            <v>0</v>
          </cell>
          <cell r="E3317" t="str">
            <v>Arroz Barato</v>
          </cell>
          <cell r="H3317" t="str">
            <v>consulta_externa</v>
          </cell>
          <cell r="J3317" t="str">
            <v>regular</v>
          </cell>
          <cell r="K3317" t="str">
            <v>probsi</v>
          </cell>
        </row>
        <row r="3318">
          <cell r="B3318" t="b">
            <v>1</v>
          </cell>
          <cell r="E3318" t="str">
            <v>Arroz Barato</v>
          </cell>
          <cell r="H3318" t="str">
            <v>salud_oral</v>
          </cell>
          <cell r="J3318" t="str">
            <v>bueno</v>
          </cell>
          <cell r="K3318" t="str">
            <v>probsi</v>
          </cell>
        </row>
        <row r="3319">
          <cell r="B3319" t="b">
            <v>0</v>
          </cell>
          <cell r="E3319" t="str">
            <v>Arroz Barato</v>
          </cell>
          <cell r="H3319" t="str">
            <v>consulta_externa</v>
          </cell>
          <cell r="J3319" t="str">
            <v>regular</v>
          </cell>
          <cell r="K3319" t="str">
            <v>probsi</v>
          </cell>
        </row>
        <row r="3320">
          <cell r="B3320" t="b">
            <v>0</v>
          </cell>
          <cell r="E3320" t="str">
            <v>Arroz Barato</v>
          </cell>
          <cell r="H3320" t="str">
            <v>laboratorio</v>
          </cell>
          <cell r="J3320" t="str">
            <v>regular</v>
          </cell>
          <cell r="K3320" t="str">
            <v>probsi</v>
          </cell>
        </row>
        <row r="3321">
          <cell r="B3321" t="b">
            <v>1</v>
          </cell>
          <cell r="E3321" t="str">
            <v>Arroz Barato</v>
          </cell>
          <cell r="H3321" t="str">
            <v>consulta_externa</v>
          </cell>
          <cell r="J3321" t="str">
            <v>bueno</v>
          </cell>
          <cell r="K3321" t="str">
            <v>probsi</v>
          </cell>
        </row>
        <row r="3322">
          <cell r="B3322" t="b">
            <v>1</v>
          </cell>
          <cell r="E3322" t="str">
            <v>Baru</v>
          </cell>
          <cell r="H3322" t="str">
            <v>consulta_externa</v>
          </cell>
          <cell r="J3322" t="str">
            <v>muybueno</v>
          </cell>
          <cell r="K3322" t="str">
            <v>defsi</v>
          </cell>
        </row>
        <row r="3323">
          <cell r="B3323" t="b">
            <v>1</v>
          </cell>
          <cell r="E3323" t="str">
            <v>Baru</v>
          </cell>
          <cell r="H3323" t="str">
            <v>laboratorio</v>
          </cell>
          <cell r="J3323" t="str">
            <v>muybueno</v>
          </cell>
          <cell r="K3323" t="str">
            <v>defsi</v>
          </cell>
        </row>
        <row r="3324">
          <cell r="B3324" t="b">
            <v>0</v>
          </cell>
          <cell r="E3324" t="str">
            <v>Arroz Barato</v>
          </cell>
          <cell r="H3324" t="str">
            <v>consulta_externa</v>
          </cell>
          <cell r="J3324" t="str">
            <v>regular</v>
          </cell>
          <cell r="K3324" t="str">
            <v>probsi</v>
          </cell>
        </row>
        <row r="3325">
          <cell r="B3325" t="b">
            <v>0</v>
          </cell>
          <cell r="E3325" t="str">
            <v>Arroz Barato</v>
          </cell>
          <cell r="H3325" t="str">
            <v>salud_oral</v>
          </cell>
          <cell r="J3325" t="str">
            <v>regular</v>
          </cell>
          <cell r="K3325" t="str">
            <v>probsi</v>
          </cell>
        </row>
        <row r="3326">
          <cell r="B3326" t="b">
            <v>1</v>
          </cell>
          <cell r="E3326" t="str">
            <v>Arroz Barato</v>
          </cell>
          <cell r="H3326" t="str">
            <v>laboratorio</v>
          </cell>
          <cell r="J3326" t="str">
            <v>bueno</v>
          </cell>
          <cell r="K3326" t="str">
            <v>probsi</v>
          </cell>
        </row>
        <row r="3327">
          <cell r="B3327" t="b">
            <v>0</v>
          </cell>
          <cell r="E3327" t="str">
            <v>Arroz Barato</v>
          </cell>
          <cell r="H3327" t="str">
            <v>consulta_externa</v>
          </cell>
          <cell r="J3327" t="str">
            <v>regular</v>
          </cell>
          <cell r="K3327" t="str">
            <v>probsi</v>
          </cell>
        </row>
        <row r="3328">
          <cell r="B3328" t="b">
            <v>1</v>
          </cell>
          <cell r="E3328" t="str">
            <v>Baru</v>
          </cell>
          <cell r="H3328" t="str">
            <v>consulta_externa</v>
          </cell>
          <cell r="J3328" t="str">
            <v>muybueno</v>
          </cell>
          <cell r="K3328" t="str">
            <v>defsi</v>
          </cell>
        </row>
        <row r="3329">
          <cell r="B3329" t="b">
            <v>1</v>
          </cell>
          <cell r="E3329" t="str">
            <v>Baru</v>
          </cell>
          <cell r="H3329" t="str">
            <v>salud_oral</v>
          </cell>
          <cell r="J3329" t="str">
            <v>muybueno</v>
          </cell>
          <cell r="K3329" t="str">
            <v>defsi</v>
          </cell>
        </row>
        <row r="3330">
          <cell r="B3330" t="b">
            <v>1</v>
          </cell>
          <cell r="E3330" t="str">
            <v>Arroz Barato</v>
          </cell>
          <cell r="H3330" t="str">
            <v>consulta_externa</v>
          </cell>
          <cell r="J3330" t="str">
            <v>bueno</v>
          </cell>
          <cell r="K3330" t="str">
            <v>probsi</v>
          </cell>
        </row>
        <row r="3331">
          <cell r="B3331" t="b">
            <v>1</v>
          </cell>
          <cell r="E3331" t="str">
            <v>Arroz Barato</v>
          </cell>
          <cell r="H3331" t="str">
            <v>laboratorio</v>
          </cell>
          <cell r="J3331" t="str">
            <v>bueno</v>
          </cell>
          <cell r="K3331" t="str">
            <v>probsi</v>
          </cell>
        </row>
        <row r="3332">
          <cell r="B3332" t="b">
            <v>1</v>
          </cell>
          <cell r="E3332" t="str">
            <v>Arroz Barato</v>
          </cell>
          <cell r="H3332" t="str">
            <v>salud_oral</v>
          </cell>
          <cell r="J3332" t="str">
            <v>bueno</v>
          </cell>
          <cell r="K3332" t="str">
            <v>probsi</v>
          </cell>
        </row>
        <row r="3333">
          <cell r="B3333" t="b">
            <v>1</v>
          </cell>
          <cell r="E3333" t="str">
            <v>Baru</v>
          </cell>
          <cell r="H3333" t="str">
            <v>consulta_externa</v>
          </cell>
          <cell r="J3333" t="str">
            <v>muybueno</v>
          </cell>
          <cell r="K3333" t="str">
            <v>defsi</v>
          </cell>
        </row>
        <row r="3334">
          <cell r="B3334" t="b">
            <v>1</v>
          </cell>
          <cell r="E3334" t="str">
            <v>Baru</v>
          </cell>
          <cell r="H3334" t="str">
            <v>salud_oral</v>
          </cell>
          <cell r="J3334" t="str">
            <v>muybueno</v>
          </cell>
          <cell r="K3334" t="str">
            <v>defsi</v>
          </cell>
        </row>
        <row r="3335">
          <cell r="B3335" t="b">
            <v>1</v>
          </cell>
          <cell r="E3335" t="str">
            <v>Arroz Barato</v>
          </cell>
          <cell r="H3335" t="str">
            <v>rx</v>
          </cell>
          <cell r="J3335" t="str">
            <v>bueno</v>
          </cell>
          <cell r="K3335" t="str">
            <v>probsi</v>
          </cell>
        </row>
        <row r="3336">
          <cell r="B3336" t="b">
            <v>1</v>
          </cell>
          <cell r="E3336" t="str">
            <v>Arroz Barato</v>
          </cell>
          <cell r="H3336" t="str">
            <v>salud_oral</v>
          </cell>
          <cell r="J3336" t="str">
            <v>bueno</v>
          </cell>
          <cell r="K3336" t="str">
            <v>probsi</v>
          </cell>
        </row>
        <row r="3337">
          <cell r="B3337" t="b">
            <v>1</v>
          </cell>
          <cell r="E3337" t="str">
            <v>Arroz Barato</v>
          </cell>
          <cell r="H3337" t="str">
            <v>laboratorio</v>
          </cell>
          <cell r="J3337" t="str">
            <v>bueno</v>
          </cell>
          <cell r="K3337" t="str">
            <v>probsi</v>
          </cell>
        </row>
        <row r="3338">
          <cell r="B3338" t="b">
            <v>1</v>
          </cell>
          <cell r="E3338" t="str">
            <v>Baru</v>
          </cell>
          <cell r="H3338" t="str">
            <v>consulta_externa</v>
          </cell>
          <cell r="J3338" t="str">
            <v>muybueno</v>
          </cell>
          <cell r="K3338" t="str">
            <v>defsi</v>
          </cell>
        </row>
        <row r="3339">
          <cell r="B3339" t="b">
            <v>1</v>
          </cell>
          <cell r="E3339" t="str">
            <v>Baru</v>
          </cell>
          <cell r="H3339" t="str">
            <v>laboratorio</v>
          </cell>
          <cell r="J3339" t="str">
            <v>muybueno</v>
          </cell>
          <cell r="K3339" t="str">
            <v>defsi</v>
          </cell>
        </row>
        <row r="3340">
          <cell r="B3340" t="b">
            <v>0</v>
          </cell>
          <cell r="E3340" t="str">
            <v>Arroz Barato</v>
          </cell>
          <cell r="H3340" t="str">
            <v>salud_oral</v>
          </cell>
          <cell r="J3340" t="str">
            <v>regular</v>
          </cell>
          <cell r="K3340" t="str">
            <v>probsi</v>
          </cell>
        </row>
        <row r="3341">
          <cell r="B3341" t="b">
            <v>1</v>
          </cell>
          <cell r="E3341" t="str">
            <v>Arroz Barato</v>
          </cell>
          <cell r="H3341" t="str">
            <v>urgencia</v>
          </cell>
          <cell r="J3341" t="str">
            <v>bueno</v>
          </cell>
          <cell r="K3341" t="str">
            <v>probsi</v>
          </cell>
        </row>
        <row r="3342">
          <cell r="B3342" t="b">
            <v>1</v>
          </cell>
          <cell r="E3342" t="str">
            <v>Baru</v>
          </cell>
          <cell r="H3342" t="str">
            <v>consulta_externa</v>
          </cell>
          <cell r="J3342" t="str">
            <v>muybueno</v>
          </cell>
          <cell r="K3342" t="str">
            <v>defsi</v>
          </cell>
        </row>
        <row r="3343">
          <cell r="B3343" t="b">
            <v>1</v>
          </cell>
          <cell r="E3343" t="str">
            <v>Baru</v>
          </cell>
          <cell r="H3343" t="str">
            <v>laboratorio</v>
          </cell>
          <cell r="J3343" t="str">
            <v>muybueno</v>
          </cell>
          <cell r="K3343" t="str">
            <v>defsi</v>
          </cell>
        </row>
        <row r="3344">
          <cell r="B3344" t="b">
            <v>0</v>
          </cell>
          <cell r="E3344" t="str">
            <v>Arroz Barato</v>
          </cell>
          <cell r="H3344" t="str">
            <v>consulta_externa</v>
          </cell>
          <cell r="J3344" t="str">
            <v>regular</v>
          </cell>
          <cell r="K3344" t="str">
            <v>probsi</v>
          </cell>
        </row>
        <row r="3345">
          <cell r="B3345" t="b">
            <v>1</v>
          </cell>
          <cell r="E3345" t="str">
            <v>Baru</v>
          </cell>
          <cell r="H3345" t="str">
            <v>urgencia</v>
          </cell>
          <cell r="J3345" t="str">
            <v>muybueno</v>
          </cell>
          <cell r="K3345" t="str">
            <v>defsi</v>
          </cell>
        </row>
        <row r="3346">
          <cell r="B3346" t="b">
            <v>1</v>
          </cell>
          <cell r="E3346" t="str">
            <v>Baru</v>
          </cell>
          <cell r="H3346" t="str">
            <v>consulta_externa</v>
          </cell>
          <cell r="J3346" t="str">
            <v>muybueno</v>
          </cell>
          <cell r="K3346" t="str">
            <v>defsi</v>
          </cell>
        </row>
        <row r="3347">
          <cell r="B3347" t="b">
            <v>1</v>
          </cell>
          <cell r="E3347" t="str">
            <v>Baru</v>
          </cell>
          <cell r="H3347" t="str">
            <v>salud_oral</v>
          </cell>
          <cell r="J3347" t="str">
            <v>muybueno</v>
          </cell>
          <cell r="K3347" t="str">
            <v>defsi</v>
          </cell>
        </row>
        <row r="3348">
          <cell r="B3348" t="b">
            <v>1</v>
          </cell>
          <cell r="E3348" t="str">
            <v>Baru</v>
          </cell>
          <cell r="H3348" t="str">
            <v>consulta_externa</v>
          </cell>
          <cell r="J3348" t="str">
            <v>muybueno</v>
          </cell>
          <cell r="K3348" t="str">
            <v>defsi</v>
          </cell>
        </row>
        <row r="3349">
          <cell r="B3349" t="b">
            <v>1</v>
          </cell>
          <cell r="E3349" t="str">
            <v>Baru</v>
          </cell>
          <cell r="H3349" t="str">
            <v>salud_oral</v>
          </cell>
          <cell r="J3349" t="str">
            <v>muybueno</v>
          </cell>
          <cell r="K3349" t="str">
            <v>defsi</v>
          </cell>
        </row>
        <row r="3350">
          <cell r="B3350" t="b">
            <v>1</v>
          </cell>
          <cell r="E3350" t="str">
            <v>Baru</v>
          </cell>
          <cell r="H3350" t="str">
            <v>consulta_externa</v>
          </cell>
          <cell r="J3350" t="str">
            <v>muybueno</v>
          </cell>
          <cell r="K3350" t="str">
            <v>defsi</v>
          </cell>
        </row>
        <row r="3351">
          <cell r="B3351" t="b">
            <v>1</v>
          </cell>
          <cell r="E3351" t="str">
            <v>Baru</v>
          </cell>
          <cell r="H3351" t="str">
            <v>laboratorio</v>
          </cell>
          <cell r="J3351" t="str">
            <v>muybueno</v>
          </cell>
          <cell r="K3351" t="str">
            <v>defsi</v>
          </cell>
        </row>
        <row r="3352">
          <cell r="B3352" t="b">
            <v>1</v>
          </cell>
          <cell r="E3352" t="str">
            <v>Baru</v>
          </cell>
          <cell r="H3352" t="str">
            <v>consulta_externa</v>
          </cell>
          <cell r="J3352" t="str">
            <v>muybueno</v>
          </cell>
          <cell r="K3352" t="str">
            <v>defsi</v>
          </cell>
        </row>
        <row r="3353">
          <cell r="B3353" t="b">
            <v>1</v>
          </cell>
          <cell r="E3353" t="str">
            <v>Baru</v>
          </cell>
          <cell r="H3353" t="str">
            <v>salud_oral</v>
          </cell>
          <cell r="J3353" t="str">
            <v>muybueno</v>
          </cell>
          <cell r="K3353" t="str">
            <v>defsi</v>
          </cell>
        </row>
        <row r="3354">
          <cell r="B3354" t="b">
            <v>1</v>
          </cell>
          <cell r="E3354" t="str">
            <v>Baru</v>
          </cell>
          <cell r="H3354" t="str">
            <v>consulta_externa</v>
          </cell>
          <cell r="J3354" t="str">
            <v>muybueno</v>
          </cell>
          <cell r="K3354" t="str">
            <v>defsi</v>
          </cell>
        </row>
        <row r="3355">
          <cell r="B3355" t="b">
            <v>1</v>
          </cell>
          <cell r="E3355" t="str">
            <v>Baru</v>
          </cell>
          <cell r="H3355" t="str">
            <v>salud_oral</v>
          </cell>
          <cell r="J3355" t="str">
            <v>muybueno</v>
          </cell>
          <cell r="K3355" t="str">
            <v>defsi</v>
          </cell>
        </row>
        <row r="3356">
          <cell r="B3356" t="b">
            <v>1</v>
          </cell>
          <cell r="E3356" t="str">
            <v>Arroz Barato</v>
          </cell>
          <cell r="H3356" t="str">
            <v>urgencia</v>
          </cell>
          <cell r="J3356" t="str">
            <v>bueno</v>
          </cell>
          <cell r="K3356" t="str">
            <v>probsi</v>
          </cell>
        </row>
        <row r="3357">
          <cell r="B3357" t="b">
            <v>1</v>
          </cell>
          <cell r="E3357" t="str">
            <v>Baru</v>
          </cell>
          <cell r="H3357" t="str">
            <v>consulta_externa</v>
          </cell>
          <cell r="J3357" t="str">
            <v>muybueno</v>
          </cell>
          <cell r="K3357" t="str">
            <v>defsi</v>
          </cell>
        </row>
        <row r="3358">
          <cell r="B3358" t="b">
            <v>1</v>
          </cell>
          <cell r="E3358" t="str">
            <v>Baru</v>
          </cell>
          <cell r="H3358" t="str">
            <v>consulta_externa</v>
          </cell>
          <cell r="J3358" t="str">
            <v>muybueno</v>
          </cell>
          <cell r="K3358" t="str">
            <v>defsi</v>
          </cell>
        </row>
        <row r="3359">
          <cell r="B3359" t="b">
            <v>1</v>
          </cell>
          <cell r="E3359" t="str">
            <v>Arroz Barato</v>
          </cell>
          <cell r="H3359" t="str">
            <v>urgencia</v>
          </cell>
          <cell r="J3359" t="str">
            <v>bueno</v>
          </cell>
          <cell r="K3359" t="str">
            <v>probsi</v>
          </cell>
        </row>
        <row r="3360">
          <cell r="B3360" t="b">
            <v>1</v>
          </cell>
          <cell r="E3360" t="str">
            <v>Arroz Barato</v>
          </cell>
          <cell r="H3360" t="str">
            <v>urgencia</v>
          </cell>
          <cell r="J3360" t="str">
            <v>bueno</v>
          </cell>
          <cell r="K3360" t="str">
            <v>probsi</v>
          </cell>
        </row>
        <row r="3361">
          <cell r="B3361" t="b">
            <v>1</v>
          </cell>
          <cell r="E3361" t="str">
            <v>Arroz Barato</v>
          </cell>
          <cell r="H3361" t="str">
            <v>urgencia</v>
          </cell>
          <cell r="J3361" t="str">
            <v>bueno</v>
          </cell>
          <cell r="K3361" t="str">
            <v>probsi</v>
          </cell>
        </row>
        <row r="3362">
          <cell r="B3362" t="b">
            <v>1</v>
          </cell>
          <cell r="E3362" t="str">
            <v>Las Reinas</v>
          </cell>
          <cell r="H3362" t="str">
            <v>consulta_externa</v>
          </cell>
          <cell r="J3362" t="str">
            <v>bueno</v>
          </cell>
          <cell r="K3362" t="str">
            <v>defsi</v>
          </cell>
        </row>
        <row r="3363">
          <cell r="B3363" t="b">
            <v>1</v>
          </cell>
          <cell r="E3363" t="str">
            <v>Las Reinas</v>
          </cell>
          <cell r="H3363" t="str">
            <v>salud_oral</v>
          </cell>
          <cell r="J3363" t="str">
            <v>bueno</v>
          </cell>
          <cell r="K3363" t="str">
            <v>defsi</v>
          </cell>
        </row>
        <row r="3364">
          <cell r="B3364" t="b">
            <v>1</v>
          </cell>
          <cell r="E3364" t="str">
            <v>Baru</v>
          </cell>
          <cell r="H3364" t="str">
            <v>consulta_externa</v>
          </cell>
          <cell r="J3364" t="str">
            <v>muybueno</v>
          </cell>
          <cell r="K3364" t="str">
            <v>defsi</v>
          </cell>
        </row>
        <row r="3365">
          <cell r="B3365" t="b">
            <v>1</v>
          </cell>
          <cell r="E3365" t="str">
            <v>Baru</v>
          </cell>
          <cell r="H3365" t="str">
            <v>salud_oral</v>
          </cell>
          <cell r="J3365" t="str">
            <v>muybueno</v>
          </cell>
          <cell r="K3365" t="str">
            <v>defsi</v>
          </cell>
        </row>
        <row r="3366">
          <cell r="B3366" t="b">
            <v>1</v>
          </cell>
          <cell r="E3366" t="str">
            <v>Las Reinas</v>
          </cell>
          <cell r="H3366" t="str">
            <v>laboratorio</v>
          </cell>
          <cell r="J3366" t="str">
            <v>bueno</v>
          </cell>
          <cell r="K3366" t="str">
            <v>defsi</v>
          </cell>
        </row>
        <row r="3367">
          <cell r="B3367" t="b">
            <v>1</v>
          </cell>
          <cell r="E3367" t="str">
            <v>Las Reinas</v>
          </cell>
          <cell r="H3367" t="str">
            <v>consulta_externa</v>
          </cell>
          <cell r="J3367" t="str">
            <v>bueno</v>
          </cell>
          <cell r="K3367" t="str">
            <v>defsi</v>
          </cell>
        </row>
        <row r="3368">
          <cell r="B3368" t="b">
            <v>1</v>
          </cell>
          <cell r="E3368" t="str">
            <v>Las Reinas</v>
          </cell>
          <cell r="H3368" t="str">
            <v>salud_oral</v>
          </cell>
          <cell r="J3368" t="str">
            <v>bueno</v>
          </cell>
          <cell r="K3368" t="str">
            <v>defsi</v>
          </cell>
        </row>
        <row r="3369">
          <cell r="B3369" t="b">
            <v>1</v>
          </cell>
          <cell r="E3369" t="str">
            <v>Baru</v>
          </cell>
          <cell r="H3369" t="str">
            <v>consulta_externa</v>
          </cell>
          <cell r="J3369" t="str">
            <v>muybueno</v>
          </cell>
          <cell r="K3369" t="str">
            <v>defsi</v>
          </cell>
        </row>
        <row r="3370">
          <cell r="B3370" t="b">
            <v>1</v>
          </cell>
          <cell r="E3370" t="str">
            <v>Baru</v>
          </cell>
          <cell r="H3370" t="str">
            <v>laboratorio</v>
          </cell>
          <cell r="J3370" t="str">
            <v>muybueno</v>
          </cell>
          <cell r="K3370" t="str">
            <v>defsi</v>
          </cell>
        </row>
        <row r="3371">
          <cell r="B3371" t="b">
            <v>1</v>
          </cell>
          <cell r="E3371" t="str">
            <v>Las Reinas</v>
          </cell>
          <cell r="H3371" t="str">
            <v>laboratorio</v>
          </cell>
          <cell r="J3371" t="str">
            <v>bueno</v>
          </cell>
          <cell r="K3371" t="str">
            <v>defsi</v>
          </cell>
        </row>
        <row r="3372">
          <cell r="B3372" t="b">
            <v>1</v>
          </cell>
          <cell r="E3372" t="str">
            <v>Las Reinas</v>
          </cell>
          <cell r="H3372" t="str">
            <v>consulta_externa</v>
          </cell>
          <cell r="J3372" t="str">
            <v>bueno</v>
          </cell>
          <cell r="K3372" t="str">
            <v>defsi</v>
          </cell>
        </row>
        <row r="3373">
          <cell r="B3373" t="b">
            <v>1</v>
          </cell>
          <cell r="E3373" t="str">
            <v>Las Reinas</v>
          </cell>
          <cell r="H3373" t="str">
            <v>salud_oral</v>
          </cell>
          <cell r="J3373" t="str">
            <v>bueno</v>
          </cell>
          <cell r="K3373" t="str">
            <v>defsi</v>
          </cell>
        </row>
        <row r="3374">
          <cell r="B3374" t="b">
            <v>1</v>
          </cell>
          <cell r="E3374" t="str">
            <v>Las Reinas</v>
          </cell>
          <cell r="H3374" t="str">
            <v>laboratorio</v>
          </cell>
          <cell r="J3374" t="str">
            <v>bueno</v>
          </cell>
          <cell r="K3374" t="str">
            <v>defsi</v>
          </cell>
        </row>
        <row r="3375">
          <cell r="B3375" t="b">
            <v>1</v>
          </cell>
          <cell r="E3375" t="str">
            <v>Baru</v>
          </cell>
          <cell r="H3375" t="str">
            <v>consulta_externa</v>
          </cell>
          <cell r="J3375" t="str">
            <v>muybueno</v>
          </cell>
          <cell r="K3375" t="str">
            <v>defsi</v>
          </cell>
        </row>
        <row r="3376">
          <cell r="B3376" t="b">
            <v>1</v>
          </cell>
          <cell r="E3376" t="str">
            <v>Las Reinas</v>
          </cell>
          <cell r="H3376" t="str">
            <v>consulta_externa</v>
          </cell>
          <cell r="J3376" t="str">
            <v>bueno</v>
          </cell>
          <cell r="K3376" t="str">
            <v>defsi</v>
          </cell>
        </row>
        <row r="3377">
          <cell r="B3377" t="b">
            <v>1</v>
          </cell>
          <cell r="E3377" t="str">
            <v>Baru</v>
          </cell>
          <cell r="H3377" t="str">
            <v>urgencia</v>
          </cell>
          <cell r="J3377" t="str">
            <v>muybueno</v>
          </cell>
          <cell r="K3377" t="str">
            <v>defsi</v>
          </cell>
        </row>
        <row r="3378">
          <cell r="B3378" t="b">
            <v>1</v>
          </cell>
          <cell r="E3378" t="str">
            <v>Las Reinas</v>
          </cell>
          <cell r="H3378" t="str">
            <v>salud_oral</v>
          </cell>
          <cell r="J3378" t="str">
            <v>bueno</v>
          </cell>
          <cell r="K3378" t="str">
            <v>defsi</v>
          </cell>
        </row>
        <row r="3379">
          <cell r="B3379" t="b">
            <v>1</v>
          </cell>
          <cell r="E3379" t="str">
            <v>Baru</v>
          </cell>
          <cell r="H3379" t="str">
            <v>laboratorio</v>
          </cell>
          <cell r="J3379" t="str">
            <v>muybueno</v>
          </cell>
          <cell r="K3379" t="str">
            <v>defsi</v>
          </cell>
        </row>
        <row r="3380">
          <cell r="B3380" t="b">
            <v>1</v>
          </cell>
          <cell r="E3380" t="str">
            <v>Las Reinas</v>
          </cell>
          <cell r="H3380" t="str">
            <v>laboratorio</v>
          </cell>
          <cell r="J3380" t="str">
            <v>bueno</v>
          </cell>
          <cell r="K3380" t="str">
            <v>defsi</v>
          </cell>
        </row>
        <row r="3381">
          <cell r="B3381" t="b">
            <v>1</v>
          </cell>
          <cell r="E3381" t="str">
            <v>Las Reinas</v>
          </cell>
          <cell r="H3381" t="str">
            <v>consulta_externa</v>
          </cell>
          <cell r="J3381" t="str">
            <v>bueno</v>
          </cell>
          <cell r="K3381" t="str">
            <v>defsi</v>
          </cell>
        </row>
        <row r="3382">
          <cell r="B3382" t="b">
            <v>1</v>
          </cell>
          <cell r="E3382" t="str">
            <v>Arroz Barato</v>
          </cell>
          <cell r="H3382" t="str">
            <v>rx</v>
          </cell>
          <cell r="J3382" t="str">
            <v>bueno</v>
          </cell>
          <cell r="K3382" t="str">
            <v>probsi</v>
          </cell>
        </row>
        <row r="3383">
          <cell r="B3383" t="b">
            <v>1</v>
          </cell>
          <cell r="E3383" t="str">
            <v>Las Reinas</v>
          </cell>
          <cell r="H3383" t="str">
            <v>salud_oral</v>
          </cell>
          <cell r="J3383" t="str">
            <v>bueno</v>
          </cell>
          <cell r="K3383" t="str">
            <v>defsi</v>
          </cell>
        </row>
        <row r="3384">
          <cell r="B3384" t="b">
            <v>1</v>
          </cell>
          <cell r="E3384" t="str">
            <v>Arroz Barato</v>
          </cell>
          <cell r="H3384" t="str">
            <v>rx</v>
          </cell>
          <cell r="J3384" t="str">
            <v>bueno</v>
          </cell>
          <cell r="K3384" t="str">
            <v>probsi</v>
          </cell>
        </row>
        <row r="3385">
          <cell r="B3385" t="b">
            <v>1</v>
          </cell>
          <cell r="E3385" t="str">
            <v>Arroz Barato</v>
          </cell>
          <cell r="H3385" t="str">
            <v>rx</v>
          </cell>
          <cell r="J3385" t="str">
            <v>bueno</v>
          </cell>
          <cell r="K3385" t="str">
            <v>probsi</v>
          </cell>
        </row>
        <row r="3386">
          <cell r="B3386" t="b">
            <v>1</v>
          </cell>
          <cell r="E3386" t="str">
            <v>Arroz Barato</v>
          </cell>
          <cell r="H3386" t="str">
            <v>rx</v>
          </cell>
          <cell r="J3386" t="str">
            <v>bueno</v>
          </cell>
          <cell r="K3386" t="str">
            <v>probsi</v>
          </cell>
        </row>
        <row r="3387">
          <cell r="B3387" t="b">
            <v>1</v>
          </cell>
          <cell r="E3387" t="str">
            <v>Arroz Barato</v>
          </cell>
          <cell r="H3387" t="str">
            <v>rx</v>
          </cell>
          <cell r="J3387" t="str">
            <v>bueno</v>
          </cell>
          <cell r="K3387" t="str">
            <v>probsi</v>
          </cell>
        </row>
        <row r="3388">
          <cell r="B3388" t="b">
            <v>1</v>
          </cell>
          <cell r="E3388" t="str">
            <v>Arroz Barato</v>
          </cell>
          <cell r="H3388" t="str">
            <v>rx</v>
          </cell>
          <cell r="J3388" t="str">
            <v>bueno</v>
          </cell>
          <cell r="K3388" t="str">
            <v>probsi</v>
          </cell>
        </row>
        <row r="3389">
          <cell r="B3389" t="b">
            <v>1</v>
          </cell>
          <cell r="E3389" t="str">
            <v>Baru</v>
          </cell>
          <cell r="H3389" t="str">
            <v>consulta_externa</v>
          </cell>
          <cell r="J3389" t="str">
            <v>muybueno</v>
          </cell>
          <cell r="K3389" t="str">
            <v>defsi</v>
          </cell>
        </row>
        <row r="3390">
          <cell r="B3390" t="b">
            <v>1</v>
          </cell>
          <cell r="E3390" t="str">
            <v>Las Reinas</v>
          </cell>
          <cell r="H3390" t="str">
            <v>laboratorio</v>
          </cell>
          <cell r="J3390" t="str">
            <v>bueno</v>
          </cell>
          <cell r="K3390" t="str">
            <v>defsi</v>
          </cell>
        </row>
        <row r="3391">
          <cell r="B3391" t="b">
            <v>1</v>
          </cell>
          <cell r="E3391" t="str">
            <v>Baru</v>
          </cell>
          <cell r="H3391" t="str">
            <v>urgencia</v>
          </cell>
          <cell r="J3391" t="str">
            <v>muybueno</v>
          </cell>
          <cell r="K3391" t="str">
            <v>defsi</v>
          </cell>
        </row>
        <row r="3392">
          <cell r="B3392" t="b">
            <v>1</v>
          </cell>
          <cell r="E3392" t="str">
            <v>Las Reinas</v>
          </cell>
          <cell r="H3392" t="str">
            <v>consulta_externa</v>
          </cell>
          <cell r="J3392" t="str">
            <v>bueno</v>
          </cell>
          <cell r="K3392" t="str">
            <v>defsi</v>
          </cell>
        </row>
        <row r="3393">
          <cell r="B3393" t="b">
            <v>1</v>
          </cell>
          <cell r="E3393" t="str">
            <v>Las Reinas</v>
          </cell>
          <cell r="H3393" t="str">
            <v>salud_oral</v>
          </cell>
          <cell r="J3393" t="str">
            <v>bueno</v>
          </cell>
          <cell r="K3393" t="str">
            <v>defsi</v>
          </cell>
        </row>
        <row r="3394">
          <cell r="B3394" t="b">
            <v>1</v>
          </cell>
          <cell r="E3394" t="str">
            <v>Las Reinas</v>
          </cell>
          <cell r="H3394" t="str">
            <v>laboratorio</v>
          </cell>
          <cell r="J3394" t="str">
            <v>bueno</v>
          </cell>
          <cell r="K3394" t="str">
            <v>defsi</v>
          </cell>
        </row>
        <row r="3395">
          <cell r="B3395" t="b">
            <v>1</v>
          </cell>
          <cell r="E3395" t="str">
            <v>Las Reinas</v>
          </cell>
          <cell r="H3395" t="str">
            <v>consulta_externa</v>
          </cell>
          <cell r="J3395" t="str">
            <v>bueno</v>
          </cell>
          <cell r="K3395" t="str">
            <v>defsi</v>
          </cell>
        </row>
        <row r="3396">
          <cell r="B3396" t="b">
            <v>1</v>
          </cell>
          <cell r="E3396" t="str">
            <v>Las Reinas</v>
          </cell>
          <cell r="H3396" t="str">
            <v>salud_oral</v>
          </cell>
          <cell r="J3396" t="str">
            <v>bueno</v>
          </cell>
          <cell r="K3396" t="str">
            <v>defsi</v>
          </cell>
        </row>
        <row r="3397">
          <cell r="B3397" t="b">
            <v>1</v>
          </cell>
          <cell r="E3397" t="str">
            <v>Las Reinas</v>
          </cell>
          <cell r="H3397" t="str">
            <v>laboratorio</v>
          </cell>
          <cell r="J3397" t="str">
            <v>bueno</v>
          </cell>
          <cell r="K3397" t="str">
            <v>defsi</v>
          </cell>
        </row>
        <row r="3398">
          <cell r="B3398" t="b">
            <v>1</v>
          </cell>
          <cell r="E3398" t="str">
            <v>Baru</v>
          </cell>
          <cell r="H3398" t="str">
            <v>consulta_externa</v>
          </cell>
          <cell r="J3398" t="str">
            <v>muybueno</v>
          </cell>
          <cell r="K3398" t="str">
            <v>defsi</v>
          </cell>
        </row>
        <row r="3399">
          <cell r="B3399" t="b">
            <v>1</v>
          </cell>
          <cell r="E3399" t="str">
            <v>Baru</v>
          </cell>
          <cell r="H3399" t="str">
            <v>salud_oral</v>
          </cell>
          <cell r="J3399" t="str">
            <v>muybueno</v>
          </cell>
          <cell r="K3399" t="str">
            <v>defsi</v>
          </cell>
        </row>
        <row r="3400">
          <cell r="B3400" t="b">
            <v>1</v>
          </cell>
          <cell r="E3400" t="str">
            <v>Baru</v>
          </cell>
          <cell r="H3400" t="str">
            <v>laboratorio</v>
          </cell>
          <cell r="J3400" t="str">
            <v>muybueno</v>
          </cell>
          <cell r="K3400" t="str">
            <v>defsi</v>
          </cell>
        </row>
        <row r="3401">
          <cell r="B3401" t="b">
            <v>1</v>
          </cell>
          <cell r="E3401" t="str">
            <v>Las Reinas</v>
          </cell>
          <cell r="H3401" t="str">
            <v>consulta_externa</v>
          </cell>
          <cell r="J3401" t="str">
            <v>bueno</v>
          </cell>
          <cell r="K3401" t="str">
            <v>defsi</v>
          </cell>
        </row>
        <row r="3402">
          <cell r="B3402" t="b">
            <v>1</v>
          </cell>
          <cell r="E3402" t="str">
            <v>Las Reinas</v>
          </cell>
          <cell r="H3402" t="str">
            <v>salud_oral</v>
          </cell>
          <cell r="J3402" t="str">
            <v>bueno</v>
          </cell>
          <cell r="K3402" t="str">
            <v>defsi</v>
          </cell>
        </row>
        <row r="3403">
          <cell r="B3403" t="b">
            <v>1</v>
          </cell>
          <cell r="E3403" t="str">
            <v>Las Reinas</v>
          </cell>
          <cell r="H3403" t="str">
            <v>laboratorio</v>
          </cell>
          <cell r="J3403" t="str">
            <v>bueno</v>
          </cell>
          <cell r="K3403" t="str">
            <v>defsi</v>
          </cell>
        </row>
        <row r="3404">
          <cell r="B3404" t="b">
            <v>1</v>
          </cell>
          <cell r="E3404" t="str">
            <v>Baru</v>
          </cell>
          <cell r="H3404" t="str">
            <v>consulta_externa</v>
          </cell>
          <cell r="J3404" t="str">
            <v>muybueno</v>
          </cell>
          <cell r="K3404" t="str">
            <v>defsi</v>
          </cell>
        </row>
        <row r="3405">
          <cell r="B3405" t="b">
            <v>1</v>
          </cell>
          <cell r="E3405" t="str">
            <v>Baru</v>
          </cell>
          <cell r="H3405" t="str">
            <v>salud_oral</v>
          </cell>
          <cell r="J3405" t="str">
            <v>muybueno</v>
          </cell>
          <cell r="K3405" t="str">
            <v>defsi</v>
          </cell>
        </row>
        <row r="3406">
          <cell r="B3406" t="b">
            <v>1</v>
          </cell>
          <cell r="E3406" t="str">
            <v>Las Reinas</v>
          </cell>
          <cell r="H3406" t="str">
            <v>consulta_externa</v>
          </cell>
          <cell r="J3406" t="str">
            <v>bueno</v>
          </cell>
          <cell r="K3406" t="str">
            <v>defsi</v>
          </cell>
        </row>
        <row r="3407">
          <cell r="B3407" t="b">
            <v>1</v>
          </cell>
          <cell r="E3407" t="str">
            <v>Las Reinas</v>
          </cell>
          <cell r="H3407" t="str">
            <v>salud_oral</v>
          </cell>
          <cell r="J3407" t="str">
            <v>bueno</v>
          </cell>
          <cell r="K3407" t="str">
            <v>defsi</v>
          </cell>
        </row>
        <row r="3408">
          <cell r="B3408" t="b">
            <v>0</v>
          </cell>
          <cell r="E3408" t="str">
            <v>Pasacaballos</v>
          </cell>
          <cell r="H3408" t="str">
            <v>consulta_externa</v>
          </cell>
          <cell r="J3408" t="str">
            <v>regular</v>
          </cell>
          <cell r="K3408" t="str">
            <v>probsi</v>
          </cell>
        </row>
        <row r="3409">
          <cell r="B3409" t="b">
            <v>1</v>
          </cell>
          <cell r="E3409" t="str">
            <v>Pasacaballos</v>
          </cell>
          <cell r="H3409" t="str">
            <v>salud_oral</v>
          </cell>
          <cell r="J3409" t="str">
            <v>bueno</v>
          </cell>
          <cell r="K3409" t="str">
            <v>probsi</v>
          </cell>
        </row>
        <row r="3410">
          <cell r="B3410" t="b">
            <v>1</v>
          </cell>
          <cell r="E3410" t="str">
            <v>Baru</v>
          </cell>
          <cell r="H3410" t="str">
            <v>consulta_externa</v>
          </cell>
          <cell r="J3410" t="str">
            <v>muybueno</v>
          </cell>
          <cell r="K3410" t="str">
            <v>defsi</v>
          </cell>
        </row>
        <row r="3411">
          <cell r="B3411" t="b">
            <v>1</v>
          </cell>
          <cell r="E3411" t="str">
            <v>Baru</v>
          </cell>
          <cell r="H3411" t="str">
            <v>urgencia</v>
          </cell>
          <cell r="J3411" t="str">
            <v>muybueno</v>
          </cell>
          <cell r="K3411" t="str">
            <v>defsi</v>
          </cell>
        </row>
        <row r="3412">
          <cell r="B3412" t="b">
            <v>1</v>
          </cell>
          <cell r="E3412" t="str">
            <v>Pasacaballos</v>
          </cell>
          <cell r="H3412" t="str">
            <v>consulta_externa</v>
          </cell>
          <cell r="J3412" t="str">
            <v>bueno</v>
          </cell>
          <cell r="K3412" t="str">
            <v>probsi</v>
          </cell>
        </row>
        <row r="3413">
          <cell r="B3413" t="b">
            <v>1</v>
          </cell>
          <cell r="E3413" t="str">
            <v>Pasacaballos</v>
          </cell>
          <cell r="H3413" t="str">
            <v>salud_oral</v>
          </cell>
          <cell r="J3413" t="str">
            <v>bueno</v>
          </cell>
          <cell r="K3413" t="str">
            <v>probsi</v>
          </cell>
        </row>
        <row r="3414">
          <cell r="B3414" t="b">
            <v>1</v>
          </cell>
          <cell r="E3414" t="str">
            <v>Pasacaballos</v>
          </cell>
          <cell r="H3414" t="str">
            <v>laboratorio</v>
          </cell>
          <cell r="J3414" t="str">
            <v>bueno</v>
          </cell>
          <cell r="K3414" t="str">
            <v>probsi</v>
          </cell>
        </row>
        <row r="3415">
          <cell r="B3415" t="b">
            <v>1</v>
          </cell>
          <cell r="E3415" t="str">
            <v>Pasacaballos</v>
          </cell>
          <cell r="H3415" t="str">
            <v>consulta_externa</v>
          </cell>
          <cell r="J3415" t="str">
            <v>bueno</v>
          </cell>
          <cell r="K3415" t="str">
            <v>probsi</v>
          </cell>
        </row>
        <row r="3416">
          <cell r="B3416" t="b">
            <v>1</v>
          </cell>
          <cell r="E3416" t="str">
            <v>Baru</v>
          </cell>
          <cell r="H3416" t="str">
            <v>salud_oral</v>
          </cell>
          <cell r="J3416" t="str">
            <v>muybueno</v>
          </cell>
          <cell r="K3416" t="str">
            <v>defsi</v>
          </cell>
        </row>
        <row r="3417">
          <cell r="B3417" t="b">
            <v>1</v>
          </cell>
          <cell r="E3417" t="str">
            <v>Pasacaballos</v>
          </cell>
          <cell r="H3417" t="str">
            <v>consulta_externa</v>
          </cell>
          <cell r="J3417" t="str">
            <v>bueno</v>
          </cell>
          <cell r="K3417" t="str">
            <v>probsi</v>
          </cell>
        </row>
        <row r="3418">
          <cell r="B3418" t="b">
            <v>1</v>
          </cell>
          <cell r="E3418" t="str">
            <v>Baru</v>
          </cell>
          <cell r="H3418" t="str">
            <v>consulta_externa</v>
          </cell>
          <cell r="J3418" t="str">
            <v>muybueno</v>
          </cell>
          <cell r="K3418" t="str">
            <v>defsi</v>
          </cell>
        </row>
        <row r="3419">
          <cell r="B3419" t="b">
            <v>1</v>
          </cell>
          <cell r="E3419" t="str">
            <v>Baru</v>
          </cell>
          <cell r="H3419" t="str">
            <v>laboratorio</v>
          </cell>
          <cell r="J3419" t="str">
            <v>muybueno</v>
          </cell>
          <cell r="K3419" t="str">
            <v>defsi</v>
          </cell>
        </row>
        <row r="3420">
          <cell r="B3420" t="b">
            <v>1</v>
          </cell>
          <cell r="E3420" t="str">
            <v>Pasacaballos</v>
          </cell>
          <cell r="H3420" t="str">
            <v>consulta_externa</v>
          </cell>
          <cell r="J3420" t="str">
            <v>bueno</v>
          </cell>
          <cell r="K3420" t="str">
            <v>probsi</v>
          </cell>
        </row>
        <row r="3421">
          <cell r="B3421" t="b">
            <v>1</v>
          </cell>
          <cell r="E3421" t="str">
            <v>Pasacaballos</v>
          </cell>
          <cell r="H3421" t="str">
            <v>salud_oral</v>
          </cell>
          <cell r="J3421" t="str">
            <v>bueno</v>
          </cell>
          <cell r="K3421" t="str">
            <v>probsi</v>
          </cell>
        </row>
        <row r="3422">
          <cell r="B3422" t="b">
            <v>1</v>
          </cell>
          <cell r="E3422" t="str">
            <v>Pasacaballos</v>
          </cell>
          <cell r="H3422" t="str">
            <v>laboratorio</v>
          </cell>
          <cell r="J3422" t="str">
            <v>bueno</v>
          </cell>
          <cell r="K3422" t="str">
            <v>probsi</v>
          </cell>
        </row>
        <row r="3423">
          <cell r="B3423" t="b">
            <v>0</v>
          </cell>
          <cell r="E3423" t="str">
            <v>Pasacaballos</v>
          </cell>
          <cell r="H3423" t="str">
            <v>consulta_externa</v>
          </cell>
          <cell r="J3423" t="str">
            <v>regular</v>
          </cell>
          <cell r="K3423" t="str">
            <v>probsi</v>
          </cell>
        </row>
        <row r="3424">
          <cell r="B3424" t="b">
            <v>0</v>
          </cell>
          <cell r="E3424" t="str">
            <v>Pasacaballos</v>
          </cell>
          <cell r="H3424" t="str">
            <v>salud_oral</v>
          </cell>
          <cell r="J3424" t="str">
            <v>regular</v>
          </cell>
          <cell r="K3424" t="str">
            <v>probsi</v>
          </cell>
        </row>
        <row r="3425">
          <cell r="B3425" t="b">
            <v>0</v>
          </cell>
          <cell r="E3425" t="str">
            <v>Pasacaballos</v>
          </cell>
          <cell r="H3425" t="str">
            <v>salud_oral</v>
          </cell>
          <cell r="J3425" t="str">
            <v>regular</v>
          </cell>
          <cell r="K3425" t="str">
            <v>probsi</v>
          </cell>
        </row>
        <row r="3426">
          <cell r="B3426" t="b">
            <v>0</v>
          </cell>
          <cell r="E3426" t="str">
            <v>Pasacaballos</v>
          </cell>
          <cell r="H3426" t="str">
            <v>laboratorio</v>
          </cell>
          <cell r="J3426" t="str">
            <v>regular</v>
          </cell>
          <cell r="K3426" t="str">
            <v>probsi</v>
          </cell>
        </row>
        <row r="3427">
          <cell r="B3427" t="b">
            <v>1</v>
          </cell>
          <cell r="E3427" t="str">
            <v>Baru</v>
          </cell>
          <cell r="H3427" t="str">
            <v>consulta_externa</v>
          </cell>
          <cell r="J3427" t="str">
            <v>muybueno</v>
          </cell>
          <cell r="K3427" t="str">
            <v>defsi</v>
          </cell>
        </row>
        <row r="3428">
          <cell r="B3428" t="b">
            <v>1</v>
          </cell>
          <cell r="E3428" t="str">
            <v>Baru</v>
          </cell>
          <cell r="H3428" t="str">
            <v>laboratorio</v>
          </cell>
          <cell r="J3428" t="str">
            <v>muybueno</v>
          </cell>
          <cell r="K3428" t="str">
            <v>defsi</v>
          </cell>
        </row>
        <row r="3429">
          <cell r="B3429" t="b">
            <v>1</v>
          </cell>
          <cell r="E3429" t="str">
            <v>Baru</v>
          </cell>
          <cell r="H3429" t="str">
            <v>consulta_externa</v>
          </cell>
          <cell r="J3429" t="str">
            <v>muybueno</v>
          </cell>
          <cell r="K3429" t="str">
            <v>defsi</v>
          </cell>
        </row>
        <row r="3430">
          <cell r="B3430" t="b">
            <v>1</v>
          </cell>
          <cell r="E3430" t="str">
            <v>Baru</v>
          </cell>
          <cell r="H3430" t="str">
            <v>salud_oral</v>
          </cell>
          <cell r="J3430" t="str">
            <v>muybueno</v>
          </cell>
          <cell r="K3430" t="str">
            <v>defsi</v>
          </cell>
        </row>
        <row r="3431">
          <cell r="B3431" t="b">
            <v>1</v>
          </cell>
          <cell r="E3431" t="str">
            <v>Baru</v>
          </cell>
          <cell r="H3431" t="str">
            <v>laboratorio</v>
          </cell>
          <cell r="J3431" t="str">
            <v>muybueno</v>
          </cell>
          <cell r="K3431" t="str">
            <v>defsi</v>
          </cell>
        </row>
        <row r="3432">
          <cell r="B3432" t="b">
            <v>0</v>
          </cell>
          <cell r="E3432" t="str">
            <v>Pasacaballos</v>
          </cell>
          <cell r="H3432" t="str">
            <v>consulta_externa</v>
          </cell>
          <cell r="J3432" t="str">
            <v>regular</v>
          </cell>
          <cell r="K3432" t="str">
            <v>probsi</v>
          </cell>
        </row>
        <row r="3433">
          <cell r="B3433" t="b">
            <v>1</v>
          </cell>
          <cell r="E3433" t="str">
            <v>Pasacaballos</v>
          </cell>
          <cell r="H3433" t="str">
            <v>salud_oral</v>
          </cell>
          <cell r="J3433" t="str">
            <v>bueno</v>
          </cell>
          <cell r="K3433" t="str">
            <v>probsi</v>
          </cell>
        </row>
        <row r="3434">
          <cell r="B3434" t="b">
            <v>1</v>
          </cell>
          <cell r="E3434" t="str">
            <v>Pasacaballos</v>
          </cell>
          <cell r="H3434" t="str">
            <v>laboratorio</v>
          </cell>
          <cell r="J3434" t="str">
            <v>bueno</v>
          </cell>
          <cell r="K3434" t="str">
            <v>probsi</v>
          </cell>
        </row>
        <row r="3435">
          <cell r="B3435" t="b">
            <v>1</v>
          </cell>
          <cell r="E3435" t="str">
            <v>Baru</v>
          </cell>
          <cell r="H3435" t="str">
            <v>consulta_externa</v>
          </cell>
          <cell r="J3435" t="str">
            <v>muybueno</v>
          </cell>
          <cell r="K3435" t="str">
            <v>defsi</v>
          </cell>
        </row>
        <row r="3436">
          <cell r="B3436" t="b">
            <v>1</v>
          </cell>
          <cell r="E3436" t="str">
            <v>Baru</v>
          </cell>
          <cell r="H3436" t="str">
            <v>laboratorio</v>
          </cell>
          <cell r="J3436" t="str">
            <v>muybueno</v>
          </cell>
          <cell r="K3436" t="str">
            <v>defsi</v>
          </cell>
        </row>
        <row r="3437">
          <cell r="B3437" t="b">
            <v>1</v>
          </cell>
          <cell r="E3437" t="str">
            <v>Pasacaballos</v>
          </cell>
          <cell r="H3437" t="str">
            <v>consulta_externa</v>
          </cell>
          <cell r="J3437" t="str">
            <v>bueno</v>
          </cell>
          <cell r="K3437" t="str">
            <v>probsi</v>
          </cell>
        </row>
        <row r="3438">
          <cell r="B3438" t="b">
            <v>1</v>
          </cell>
          <cell r="E3438" t="str">
            <v>Pasacaballos</v>
          </cell>
          <cell r="H3438" t="str">
            <v>salud_oral</v>
          </cell>
          <cell r="J3438" t="str">
            <v>bueno</v>
          </cell>
          <cell r="K3438" t="str">
            <v>probsi</v>
          </cell>
        </row>
        <row r="3439">
          <cell r="B3439" t="b">
            <v>1</v>
          </cell>
          <cell r="E3439" t="str">
            <v>Pasacaballos</v>
          </cell>
          <cell r="H3439" t="str">
            <v>laboratorio</v>
          </cell>
          <cell r="J3439" t="str">
            <v>bueno</v>
          </cell>
          <cell r="K3439" t="str">
            <v>probsi</v>
          </cell>
        </row>
        <row r="3440">
          <cell r="B3440" t="b">
            <v>1</v>
          </cell>
          <cell r="E3440" t="str">
            <v>Baru</v>
          </cell>
          <cell r="H3440" t="str">
            <v>consulta_externa</v>
          </cell>
          <cell r="J3440" t="str">
            <v>muybueno</v>
          </cell>
          <cell r="K3440" t="str">
            <v>defsi</v>
          </cell>
        </row>
        <row r="3441">
          <cell r="B3441" t="b">
            <v>1</v>
          </cell>
          <cell r="E3441" t="str">
            <v>Baru</v>
          </cell>
          <cell r="H3441" t="str">
            <v>laboratorio</v>
          </cell>
          <cell r="J3441" t="str">
            <v>muybueno</v>
          </cell>
          <cell r="K3441" t="str">
            <v>defsi</v>
          </cell>
        </row>
        <row r="3442">
          <cell r="B3442" t="b">
            <v>0</v>
          </cell>
          <cell r="E3442" t="str">
            <v>Pasacaballos</v>
          </cell>
          <cell r="H3442" t="str">
            <v>consulta_externa</v>
          </cell>
          <cell r="J3442" t="str">
            <v>regular</v>
          </cell>
          <cell r="K3442" t="str">
            <v>probsi</v>
          </cell>
        </row>
        <row r="3443">
          <cell r="B3443" t="b">
            <v>1</v>
          </cell>
          <cell r="E3443" t="str">
            <v>Las Reinas</v>
          </cell>
          <cell r="H3443" t="str">
            <v>consulta_externa</v>
          </cell>
          <cell r="J3443" t="str">
            <v>bueno</v>
          </cell>
          <cell r="K3443" t="str">
            <v>defsi</v>
          </cell>
        </row>
        <row r="3444">
          <cell r="B3444" t="b">
            <v>1</v>
          </cell>
          <cell r="E3444" t="str">
            <v>Pasacaballos</v>
          </cell>
          <cell r="H3444" t="str">
            <v>salud_oral</v>
          </cell>
          <cell r="J3444" t="str">
            <v>bueno</v>
          </cell>
          <cell r="K3444" t="str">
            <v>probsi</v>
          </cell>
        </row>
        <row r="3445">
          <cell r="B3445" t="b">
            <v>1</v>
          </cell>
          <cell r="E3445" t="str">
            <v>Las Reinas</v>
          </cell>
          <cell r="H3445" t="str">
            <v>salud_oral</v>
          </cell>
          <cell r="J3445" t="str">
            <v>bueno</v>
          </cell>
          <cell r="K3445" t="str">
            <v>defsi</v>
          </cell>
        </row>
        <row r="3446">
          <cell r="B3446" t="b">
            <v>1</v>
          </cell>
          <cell r="E3446" t="str">
            <v>Las Reinas</v>
          </cell>
          <cell r="H3446" t="str">
            <v>laboratorio</v>
          </cell>
          <cell r="J3446" t="str">
            <v>bueno</v>
          </cell>
          <cell r="K3446" t="str">
            <v>defsi</v>
          </cell>
        </row>
        <row r="3447">
          <cell r="B3447" t="b">
            <v>1</v>
          </cell>
          <cell r="E3447" t="str">
            <v>Las Reinas</v>
          </cell>
          <cell r="H3447" t="str">
            <v>consulta_externa</v>
          </cell>
          <cell r="J3447" t="str">
            <v>bueno</v>
          </cell>
          <cell r="K3447" t="str">
            <v>defsi</v>
          </cell>
        </row>
        <row r="3448">
          <cell r="B3448" t="b">
            <v>1</v>
          </cell>
          <cell r="E3448" t="str">
            <v>Las Reinas</v>
          </cell>
          <cell r="H3448" t="str">
            <v>consulta_externa</v>
          </cell>
          <cell r="J3448" t="str">
            <v>bueno</v>
          </cell>
          <cell r="K3448" t="str">
            <v>defsi</v>
          </cell>
        </row>
        <row r="3449">
          <cell r="B3449" t="b">
            <v>1</v>
          </cell>
          <cell r="E3449" t="str">
            <v>Las Reinas</v>
          </cell>
          <cell r="H3449" t="str">
            <v>salud_oral</v>
          </cell>
          <cell r="J3449" t="str">
            <v>bueno</v>
          </cell>
          <cell r="K3449" t="str">
            <v>defsi</v>
          </cell>
        </row>
        <row r="3450">
          <cell r="B3450" t="b">
            <v>1</v>
          </cell>
          <cell r="E3450" t="str">
            <v>Las Reinas</v>
          </cell>
          <cell r="H3450" t="str">
            <v>laboratorio</v>
          </cell>
          <cell r="J3450" t="str">
            <v>bueno</v>
          </cell>
          <cell r="K3450" t="str">
            <v>defsi</v>
          </cell>
        </row>
        <row r="3451">
          <cell r="B3451" t="b">
            <v>1</v>
          </cell>
          <cell r="E3451" t="str">
            <v>Baru</v>
          </cell>
          <cell r="H3451" t="str">
            <v>consulta_externa</v>
          </cell>
          <cell r="J3451" t="str">
            <v>muybueno</v>
          </cell>
          <cell r="K3451" t="str">
            <v>defsi</v>
          </cell>
        </row>
        <row r="3452">
          <cell r="B3452" t="b">
            <v>1</v>
          </cell>
          <cell r="E3452" t="str">
            <v>Baru</v>
          </cell>
          <cell r="H3452" t="str">
            <v>laboratorio</v>
          </cell>
          <cell r="J3452" t="str">
            <v>muybueno</v>
          </cell>
          <cell r="K3452" t="str">
            <v>defsi</v>
          </cell>
        </row>
        <row r="3453">
          <cell r="B3453" t="b">
            <v>1</v>
          </cell>
          <cell r="E3453" t="str">
            <v>Pasacaballos</v>
          </cell>
          <cell r="H3453" t="str">
            <v>consulta_externa</v>
          </cell>
          <cell r="J3453" t="str">
            <v>bueno</v>
          </cell>
          <cell r="K3453" t="str">
            <v>probsi</v>
          </cell>
        </row>
        <row r="3454">
          <cell r="B3454" t="b">
            <v>1</v>
          </cell>
          <cell r="E3454" t="str">
            <v>Baru</v>
          </cell>
          <cell r="H3454" t="str">
            <v>consulta_externa</v>
          </cell>
          <cell r="J3454" t="str">
            <v>muybueno</v>
          </cell>
          <cell r="K3454" t="str">
            <v>defsi</v>
          </cell>
        </row>
        <row r="3455">
          <cell r="B3455" t="b">
            <v>0</v>
          </cell>
          <cell r="E3455" t="str">
            <v>Pasacaballos</v>
          </cell>
          <cell r="H3455" t="str">
            <v>consulta_externa</v>
          </cell>
          <cell r="J3455" t="str">
            <v>regular</v>
          </cell>
          <cell r="K3455" t="str">
            <v>probsi</v>
          </cell>
        </row>
        <row r="3456">
          <cell r="B3456" t="b">
            <v>1</v>
          </cell>
          <cell r="E3456" t="str">
            <v>Pasacaballos</v>
          </cell>
          <cell r="H3456" t="str">
            <v>salud_oral</v>
          </cell>
          <cell r="J3456" t="str">
            <v>bueno</v>
          </cell>
          <cell r="K3456" t="str">
            <v>probsi</v>
          </cell>
        </row>
        <row r="3457">
          <cell r="B3457" t="b">
            <v>1</v>
          </cell>
          <cell r="E3457" t="str">
            <v>Baru</v>
          </cell>
          <cell r="H3457" t="str">
            <v>laboratorio</v>
          </cell>
          <cell r="J3457" t="str">
            <v>muybueno</v>
          </cell>
          <cell r="K3457" t="str">
            <v>defsi</v>
          </cell>
        </row>
        <row r="3458">
          <cell r="B3458" t="b">
            <v>1</v>
          </cell>
          <cell r="E3458" t="str">
            <v>Pasacaballos</v>
          </cell>
          <cell r="H3458" t="str">
            <v>consulta_externa</v>
          </cell>
          <cell r="J3458" t="str">
            <v>bueno</v>
          </cell>
          <cell r="K3458" t="str">
            <v>probsi</v>
          </cell>
        </row>
        <row r="3459">
          <cell r="B3459" t="b">
            <v>0</v>
          </cell>
          <cell r="E3459" t="str">
            <v>Pasacaballos</v>
          </cell>
          <cell r="H3459" t="str">
            <v>salud_oral</v>
          </cell>
          <cell r="J3459" t="str">
            <v>malo</v>
          </cell>
          <cell r="K3459" t="str">
            <v>probno</v>
          </cell>
        </row>
        <row r="3460">
          <cell r="B3460" t="b">
            <v>1</v>
          </cell>
          <cell r="E3460" t="str">
            <v>Pasacaballos</v>
          </cell>
          <cell r="H3460" t="str">
            <v>salud_oral</v>
          </cell>
          <cell r="J3460" t="str">
            <v>bueno</v>
          </cell>
          <cell r="K3460" t="str">
            <v>probsi</v>
          </cell>
        </row>
        <row r="3461">
          <cell r="B3461" t="b">
            <v>1</v>
          </cell>
          <cell r="E3461" t="str">
            <v>Pasacaballos</v>
          </cell>
          <cell r="H3461" t="str">
            <v>salud_oral</v>
          </cell>
          <cell r="J3461" t="str">
            <v>bueno</v>
          </cell>
          <cell r="K3461" t="str">
            <v>probsi</v>
          </cell>
        </row>
        <row r="3462">
          <cell r="B3462" t="b">
            <v>1</v>
          </cell>
          <cell r="E3462" t="str">
            <v>Baru</v>
          </cell>
          <cell r="H3462" t="str">
            <v>salud_oral</v>
          </cell>
          <cell r="J3462" t="str">
            <v>muybueno</v>
          </cell>
          <cell r="K3462" t="str">
            <v>defsi</v>
          </cell>
        </row>
        <row r="3463">
          <cell r="B3463" t="b">
            <v>1</v>
          </cell>
          <cell r="E3463" t="str">
            <v>Las Reinas</v>
          </cell>
          <cell r="H3463" t="str">
            <v>consulta_externa</v>
          </cell>
          <cell r="J3463" t="str">
            <v>bueno</v>
          </cell>
          <cell r="K3463" t="str">
            <v>defsi</v>
          </cell>
        </row>
        <row r="3464">
          <cell r="B3464" t="b">
            <v>1</v>
          </cell>
          <cell r="E3464" t="str">
            <v>Las Reinas</v>
          </cell>
          <cell r="H3464" t="str">
            <v>salud_oral</v>
          </cell>
          <cell r="J3464" t="str">
            <v>bueno</v>
          </cell>
          <cell r="K3464" t="str">
            <v>defsi</v>
          </cell>
        </row>
        <row r="3465">
          <cell r="B3465" t="b">
            <v>1</v>
          </cell>
          <cell r="E3465" t="str">
            <v>Las Reinas</v>
          </cell>
          <cell r="H3465" t="str">
            <v>laboratorio</v>
          </cell>
          <cell r="J3465" t="str">
            <v>bueno</v>
          </cell>
          <cell r="K3465" t="str">
            <v>defsi</v>
          </cell>
        </row>
        <row r="3466">
          <cell r="B3466" t="b">
            <v>1</v>
          </cell>
          <cell r="E3466" t="str">
            <v>Las Reinas</v>
          </cell>
          <cell r="H3466" t="str">
            <v>consulta_externa</v>
          </cell>
          <cell r="J3466" t="str">
            <v>bueno</v>
          </cell>
          <cell r="K3466" t="str">
            <v>defsi</v>
          </cell>
        </row>
        <row r="3467">
          <cell r="B3467" t="b">
            <v>1</v>
          </cell>
          <cell r="E3467" t="str">
            <v>Las Reinas</v>
          </cell>
          <cell r="H3467" t="str">
            <v>salud_oral</v>
          </cell>
          <cell r="J3467" t="str">
            <v>bueno</v>
          </cell>
          <cell r="K3467" t="str">
            <v>defsi</v>
          </cell>
        </row>
        <row r="3468">
          <cell r="B3468" t="b">
            <v>1</v>
          </cell>
          <cell r="E3468" t="str">
            <v>Las Reinas</v>
          </cell>
          <cell r="H3468" t="str">
            <v>laboratorio</v>
          </cell>
          <cell r="J3468" t="str">
            <v>bueno</v>
          </cell>
          <cell r="K3468" t="str">
            <v>defsi</v>
          </cell>
        </row>
        <row r="3469">
          <cell r="B3469" t="b">
            <v>1</v>
          </cell>
          <cell r="E3469" t="str">
            <v>Boquilla</v>
          </cell>
          <cell r="H3469" t="str">
            <v>consulta_externa</v>
          </cell>
          <cell r="J3469" t="str">
            <v>bueno</v>
          </cell>
          <cell r="K3469" t="str">
            <v>defsi</v>
          </cell>
        </row>
        <row r="3470">
          <cell r="B3470" t="b">
            <v>1</v>
          </cell>
          <cell r="E3470" t="str">
            <v>Boquilla</v>
          </cell>
          <cell r="H3470" t="str">
            <v>consulta_externa</v>
          </cell>
          <cell r="J3470" t="str">
            <v>bueno</v>
          </cell>
          <cell r="K3470" t="str">
            <v>defsi</v>
          </cell>
        </row>
        <row r="3471">
          <cell r="B3471" t="b">
            <v>1</v>
          </cell>
          <cell r="E3471" t="str">
            <v>Boquilla</v>
          </cell>
          <cell r="H3471" t="str">
            <v>laboratorio</v>
          </cell>
          <cell r="J3471" t="str">
            <v>bueno</v>
          </cell>
          <cell r="K3471" t="str">
            <v>defsi</v>
          </cell>
        </row>
        <row r="3472">
          <cell r="B3472" t="b">
            <v>1</v>
          </cell>
          <cell r="E3472" t="str">
            <v>Boquilla</v>
          </cell>
          <cell r="H3472" t="str">
            <v>consulta_externa</v>
          </cell>
          <cell r="J3472" t="str">
            <v>bueno</v>
          </cell>
          <cell r="K3472" t="str">
            <v>defsi</v>
          </cell>
        </row>
        <row r="3473">
          <cell r="B3473" t="b">
            <v>1</v>
          </cell>
          <cell r="E3473" t="str">
            <v>Boquilla</v>
          </cell>
          <cell r="H3473" t="str">
            <v>laboratorio</v>
          </cell>
          <cell r="J3473" t="str">
            <v>bueno</v>
          </cell>
          <cell r="K3473" t="str">
            <v>defsi</v>
          </cell>
        </row>
        <row r="3474">
          <cell r="B3474" t="b">
            <v>1</v>
          </cell>
          <cell r="E3474" t="str">
            <v>Boquilla</v>
          </cell>
          <cell r="H3474" t="str">
            <v>consulta_externa</v>
          </cell>
          <cell r="J3474" t="str">
            <v>bueno</v>
          </cell>
          <cell r="K3474" t="str">
            <v>defsi</v>
          </cell>
        </row>
        <row r="3475">
          <cell r="B3475" t="b">
            <v>1</v>
          </cell>
          <cell r="E3475" t="str">
            <v>Boquilla</v>
          </cell>
          <cell r="H3475" t="str">
            <v>consulta_externa</v>
          </cell>
          <cell r="J3475" t="str">
            <v>bueno</v>
          </cell>
          <cell r="K3475" t="str">
            <v>defsi</v>
          </cell>
        </row>
        <row r="3476">
          <cell r="B3476" t="b">
            <v>1</v>
          </cell>
          <cell r="E3476" t="str">
            <v>Boquilla</v>
          </cell>
          <cell r="H3476" t="str">
            <v>urgencia</v>
          </cell>
          <cell r="J3476" t="str">
            <v>bueno</v>
          </cell>
          <cell r="K3476" t="str">
            <v>defsi</v>
          </cell>
        </row>
        <row r="3477">
          <cell r="B3477" t="b">
            <v>1</v>
          </cell>
          <cell r="E3477" t="str">
            <v>Boquilla</v>
          </cell>
          <cell r="H3477" t="str">
            <v>urgencia</v>
          </cell>
          <cell r="J3477" t="str">
            <v>bueno</v>
          </cell>
          <cell r="K3477" t="str">
            <v>defsi</v>
          </cell>
        </row>
        <row r="3478">
          <cell r="B3478" t="b">
            <v>1</v>
          </cell>
          <cell r="E3478" t="str">
            <v>Boquilla</v>
          </cell>
          <cell r="H3478" t="str">
            <v>urgencia</v>
          </cell>
          <cell r="J3478" t="str">
            <v>bueno</v>
          </cell>
          <cell r="K3478" t="str">
            <v>defsi</v>
          </cell>
        </row>
        <row r="3479">
          <cell r="B3479" t="b">
            <v>0</v>
          </cell>
          <cell r="E3479" t="str">
            <v>Boquilla</v>
          </cell>
          <cell r="H3479" t="str">
            <v>urgencia</v>
          </cell>
          <cell r="J3479" t="str">
            <v>regular</v>
          </cell>
          <cell r="K3479" t="str">
            <v>defsi</v>
          </cell>
        </row>
        <row r="3480">
          <cell r="B3480" t="b">
            <v>1</v>
          </cell>
          <cell r="E3480" t="str">
            <v>Boquilla</v>
          </cell>
          <cell r="H3480" t="str">
            <v>urgencia</v>
          </cell>
          <cell r="J3480" t="str">
            <v>bueno</v>
          </cell>
          <cell r="K3480" t="str">
            <v>defsi</v>
          </cell>
        </row>
        <row r="3481">
          <cell r="B3481" t="b">
            <v>1</v>
          </cell>
          <cell r="E3481" t="str">
            <v>Las Reinas</v>
          </cell>
          <cell r="H3481" t="str">
            <v>consulta_externa</v>
          </cell>
          <cell r="J3481" t="str">
            <v>bueno</v>
          </cell>
          <cell r="K3481" t="str">
            <v>defsi</v>
          </cell>
        </row>
        <row r="3482">
          <cell r="B3482" t="b">
            <v>1</v>
          </cell>
          <cell r="E3482" t="str">
            <v>Las Reinas</v>
          </cell>
          <cell r="H3482" t="str">
            <v>salud_oral</v>
          </cell>
          <cell r="J3482" t="str">
            <v>bueno</v>
          </cell>
          <cell r="K3482" t="str">
            <v>defsi</v>
          </cell>
        </row>
        <row r="3483">
          <cell r="B3483" t="b">
            <v>1</v>
          </cell>
          <cell r="E3483" t="str">
            <v>Las Reinas</v>
          </cell>
          <cell r="H3483" t="str">
            <v>laboratorio</v>
          </cell>
          <cell r="J3483" t="str">
            <v>bueno</v>
          </cell>
          <cell r="K3483" t="str">
            <v>defsi</v>
          </cell>
        </row>
        <row r="3484">
          <cell r="B3484" t="b">
            <v>1</v>
          </cell>
          <cell r="E3484" t="str">
            <v>Baru</v>
          </cell>
          <cell r="H3484" t="str">
            <v>consulta_externa</v>
          </cell>
          <cell r="J3484" t="str">
            <v>muybueno</v>
          </cell>
          <cell r="K3484" t="str">
            <v>defsi</v>
          </cell>
        </row>
        <row r="3485">
          <cell r="B3485" t="b">
            <v>1</v>
          </cell>
          <cell r="E3485" t="str">
            <v>Baru</v>
          </cell>
          <cell r="H3485" t="str">
            <v>laboratorio</v>
          </cell>
          <cell r="J3485" t="str">
            <v>muybueno</v>
          </cell>
          <cell r="K3485" t="str">
            <v>defsi</v>
          </cell>
        </row>
        <row r="3486">
          <cell r="B3486" t="b">
            <v>1</v>
          </cell>
          <cell r="E3486" t="str">
            <v>Boquilla</v>
          </cell>
          <cell r="H3486" t="str">
            <v>urgencia</v>
          </cell>
          <cell r="J3486" t="str">
            <v>bueno</v>
          </cell>
          <cell r="K3486" t="str">
            <v>defsi</v>
          </cell>
        </row>
        <row r="3487">
          <cell r="B3487" t="b">
            <v>1</v>
          </cell>
          <cell r="E3487" t="str">
            <v>Boquilla</v>
          </cell>
          <cell r="H3487" t="str">
            <v>urgencia</v>
          </cell>
          <cell r="J3487" t="str">
            <v>bueno</v>
          </cell>
          <cell r="K3487" t="str">
            <v>defsi</v>
          </cell>
        </row>
        <row r="3488">
          <cell r="B3488" t="b">
            <v>1</v>
          </cell>
          <cell r="E3488" t="str">
            <v>Boquilla</v>
          </cell>
          <cell r="H3488" t="str">
            <v>urgencia</v>
          </cell>
          <cell r="J3488" t="str">
            <v>bueno</v>
          </cell>
          <cell r="K3488" t="str">
            <v>defsi</v>
          </cell>
        </row>
        <row r="3489">
          <cell r="B3489" t="b">
            <v>1</v>
          </cell>
          <cell r="E3489" t="str">
            <v>Pasacaballos</v>
          </cell>
          <cell r="H3489" t="str">
            <v>laboratorio</v>
          </cell>
          <cell r="J3489" t="str">
            <v>bueno</v>
          </cell>
          <cell r="K3489" t="str">
            <v>probsi</v>
          </cell>
        </row>
        <row r="3490">
          <cell r="B3490" t="b">
            <v>1</v>
          </cell>
          <cell r="E3490" t="str">
            <v>Pasacaballos</v>
          </cell>
          <cell r="H3490" t="str">
            <v>laboratorio</v>
          </cell>
          <cell r="J3490" t="str">
            <v>bueno</v>
          </cell>
          <cell r="K3490" t="str">
            <v>probsi</v>
          </cell>
        </row>
        <row r="3491">
          <cell r="B3491" t="b">
            <v>1</v>
          </cell>
          <cell r="E3491" t="str">
            <v>Pasacaballos</v>
          </cell>
          <cell r="H3491" t="str">
            <v>laboratorio</v>
          </cell>
          <cell r="J3491" t="str">
            <v>bueno</v>
          </cell>
          <cell r="K3491" t="str">
            <v>probsi</v>
          </cell>
        </row>
        <row r="3492">
          <cell r="B3492" t="b">
            <v>1</v>
          </cell>
          <cell r="E3492" t="str">
            <v>Pasacaballos</v>
          </cell>
          <cell r="H3492" t="str">
            <v>laboratorio</v>
          </cell>
          <cell r="J3492" t="str">
            <v>bueno</v>
          </cell>
          <cell r="K3492" t="str">
            <v>probsi</v>
          </cell>
        </row>
        <row r="3493">
          <cell r="B3493" t="b">
            <v>1</v>
          </cell>
          <cell r="E3493" t="str">
            <v>Pasacaballos</v>
          </cell>
          <cell r="H3493" t="str">
            <v>laboratorio</v>
          </cell>
          <cell r="J3493" t="str">
            <v>bueno</v>
          </cell>
          <cell r="K3493" t="str">
            <v>probsi</v>
          </cell>
        </row>
        <row r="3494">
          <cell r="B3494" t="b">
            <v>1</v>
          </cell>
          <cell r="E3494" t="str">
            <v>Pasacaballos</v>
          </cell>
          <cell r="H3494" t="str">
            <v>laboratorio</v>
          </cell>
          <cell r="J3494" t="str">
            <v>bueno</v>
          </cell>
          <cell r="K3494" t="str">
            <v>probsi</v>
          </cell>
        </row>
        <row r="3495">
          <cell r="B3495" t="b">
            <v>1</v>
          </cell>
          <cell r="E3495" t="str">
            <v>Pasacaballos</v>
          </cell>
          <cell r="H3495" t="str">
            <v>laboratorio</v>
          </cell>
          <cell r="J3495" t="str">
            <v>bueno</v>
          </cell>
          <cell r="K3495" t="str">
            <v>probsi</v>
          </cell>
        </row>
        <row r="3496">
          <cell r="B3496" t="b">
            <v>1</v>
          </cell>
          <cell r="E3496" t="str">
            <v>Pasacaballos</v>
          </cell>
          <cell r="H3496" t="str">
            <v>laboratorio</v>
          </cell>
          <cell r="J3496" t="str">
            <v>bueno</v>
          </cell>
          <cell r="K3496" t="str">
            <v>probsi</v>
          </cell>
        </row>
        <row r="3497">
          <cell r="B3497" t="b">
            <v>1</v>
          </cell>
          <cell r="E3497" t="str">
            <v>Las Reinas</v>
          </cell>
          <cell r="H3497" t="str">
            <v>consulta_externa</v>
          </cell>
          <cell r="J3497" t="str">
            <v>bueno</v>
          </cell>
          <cell r="K3497" t="str">
            <v>defsi</v>
          </cell>
        </row>
        <row r="3498">
          <cell r="B3498" t="b">
            <v>1</v>
          </cell>
          <cell r="E3498" t="str">
            <v>Las Reinas</v>
          </cell>
          <cell r="H3498" t="str">
            <v>salud_oral</v>
          </cell>
          <cell r="J3498" t="str">
            <v>bueno</v>
          </cell>
          <cell r="K3498" t="str">
            <v>defsi</v>
          </cell>
        </row>
        <row r="3499">
          <cell r="B3499" t="b">
            <v>1</v>
          </cell>
          <cell r="E3499" t="str">
            <v>Las Reinas</v>
          </cell>
          <cell r="H3499" t="str">
            <v>laboratorio</v>
          </cell>
          <cell r="J3499" t="str">
            <v>bueno</v>
          </cell>
          <cell r="K3499" t="str">
            <v>defsi</v>
          </cell>
        </row>
        <row r="3500">
          <cell r="B3500" t="b">
            <v>1</v>
          </cell>
          <cell r="E3500" t="str">
            <v>Las Reinas</v>
          </cell>
          <cell r="H3500" t="str">
            <v>consulta_externa</v>
          </cell>
          <cell r="J3500" t="str">
            <v>bueno</v>
          </cell>
          <cell r="K3500" t="str">
            <v>defsi</v>
          </cell>
        </row>
        <row r="3501">
          <cell r="B3501" t="b">
            <v>1</v>
          </cell>
          <cell r="E3501" t="str">
            <v>Boquilla</v>
          </cell>
          <cell r="H3501" t="str">
            <v>consulta_externa</v>
          </cell>
          <cell r="J3501" t="str">
            <v>bueno</v>
          </cell>
          <cell r="K3501" t="str">
            <v>defsi</v>
          </cell>
        </row>
        <row r="3502">
          <cell r="B3502" t="b">
            <v>1</v>
          </cell>
          <cell r="E3502" t="str">
            <v>Boquilla</v>
          </cell>
          <cell r="H3502" t="str">
            <v>laboratorio</v>
          </cell>
          <cell r="J3502" t="str">
            <v>bueno</v>
          </cell>
          <cell r="K3502" t="str">
            <v>defsi</v>
          </cell>
        </row>
        <row r="3503">
          <cell r="B3503" t="b">
            <v>1</v>
          </cell>
          <cell r="E3503" t="str">
            <v>Boquilla</v>
          </cell>
          <cell r="H3503" t="str">
            <v>salud_oral</v>
          </cell>
          <cell r="J3503" t="str">
            <v>bueno</v>
          </cell>
          <cell r="K3503" t="str">
            <v>defsi</v>
          </cell>
        </row>
        <row r="3504">
          <cell r="B3504" t="b">
            <v>1</v>
          </cell>
          <cell r="E3504" t="str">
            <v>Boquilla</v>
          </cell>
          <cell r="H3504" t="str">
            <v>salud_oral</v>
          </cell>
          <cell r="J3504" t="str">
            <v>bueno</v>
          </cell>
          <cell r="K3504" t="str">
            <v>defsi</v>
          </cell>
        </row>
        <row r="3505">
          <cell r="B3505" t="b">
            <v>0</v>
          </cell>
          <cell r="E3505" t="str">
            <v>Boquilla</v>
          </cell>
          <cell r="H3505" t="str">
            <v>salud_oral</v>
          </cell>
          <cell r="J3505" t="str">
            <v>regular</v>
          </cell>
          <cell r="K3505" t="str">
            <v>defsi</v>
          </cell>
        </row>
        <row r="3506">
          <cell r="B3506" t="b">
            <v>1</v>
          </cell>
          <cell r="E3506" t="str">
            <v>Boquilla</v>
          </cell>
          <cell r="H3506" t="str">
            <v>salud_oral</v>
          </cell>
          <cell r="J3506" t="str">
            <v>bueno</v>
          </cell>
          <cell r="K3506" t="str">
            <v>defsi</v>
          </cell>
        </row>
        <row r="3507">
          <cell r="B3507" t="b">
            <v>1</v>
          </cell>
          <cell r="E3507" t="str">
            <v>Boquilla</v>
          </cell>
          <cell r="H3507" t="str">
            <v>salud_oral</v>
          </cell>
          <cell r="J3507" t="str">
            <v>bueno</v>
          </cell>
          <cell r="K3507" t="str">
            <v>defsi</v>
          </cell>
        </row>
        <row r="3508">
          <cell r="B3508" t="b">
            <v>1</v>
          </cell>
          <cell r="E3508" t="str">
            <v>Boquilla</v>
          </cell>
          <cell r="H3508" t="str">
            <v>laboratorio</v>
          </cell>
          <cell r="J3508" t="str">
            <v>bueno</v>
          </cell>
          <cell r="K3508" t="str">
            <v>defsi</v>
          </cell>
        </row>
        <row r="3509">
          <cell r="B3509" t="b">
            <v>1</v>
          </cell>
          <cell r="E3509" t="str">
            <v>Boquilla</v>
          </cell>
          <cell r="H3509" t="str">
            <v>laboratorio</v>
          </cell>
          <cell r="J3509" t="str">
            <v>bueno</v>
          </cell>
          <cell r="K3509" t="str">
            <v>defsi</v>
          </cell>
        </row>
        <row r="3510">
          <cell r="B3510" t="b">
            <v>1</v>
          </cell>
          <cell r="E3510" t="str">
            <v>Boquilla</v>
          </cell>
          <cell r="H3510" t="str">
            <v>laboratorio</v>
          </cell>
          <cell r="J3510" t="str">
            <v>bueno</v>
          </cell>
          <cell r="K3510" t="str">
            <v>defsi</v>
          </cell>
        </row>
        <row r="3511">
          <cell r="B3511" t="b">
            <v>1</v>
          </cell>
          <cell r="E3511" t="str">
            <v>Boquilla</v>
          </cell>
          <cell r="H3511" t="str">
            <v>laboratorio</v>
          </cell>
          <cell r="J3511" t="str">
            <v>bueno</v>
          </cell>
          <cell r="K3511" t="str">
            <v>defsi</v>
          </cell>
        </row>
        <row r="3512">
          <cell r="B3512" t="b">
            <v>1</v>
          </cell>
          <cell r="E3512" t="str">
            <v>Baru</v>
          </cell>
          <cell r="H3512" t="str">
            <v>consulta_externa</v>
          </cell>
          <cell r="J3512" t="str">
            <v>muybueno</v>
          </cell>
          <cell r="K3512" t="str">
            <v>defsi</v>
          </cell>
        </row>
        <row r="3513">
          <cell r="B3513" t="b">
            <v>1</v>
          </cell>
          <cell r="E3513" t="str">
            <v>Baru</v>
          </cell>
          <cell r="H3513" t="str">
            <v>laboratorio</v>
          </cell>
          <cell r="J3513" t="str">
            <v>muybueno</v>
          </cell>
          <cell r="K3513" t="str">
            <v>defsi</v>
          </cell>
        </row>
        <row r="3514">
          <cell r="B3514" t="b">
            <v>1</v>
          </cell>
          <cell r="E3514" t="str">
            <v>Baru</v>
          </cell>
          <cell r="H3514" t="str">
            <v>salud_oral</v>
          </cell>
          <cell r="J3514" t="str">
            <v>muybueno</v>
          </cell>
          <cell r="K3514" t="str">
            <v>defsi</v>
          </cell>
        </row>
        <row r="3515">
          <cell r="B3515" t="b">
            <v>1</v>
          </cell>
          <cell r="E3515" t="str">
            <v>Boquilla</v>
          </cell>
          <cell r="H3515" t="str">
            <v>consulta_externa</v>
          </cell>
          <cell r="J3515" t="str">
            <v>bueno</v>
          </cell>
          <cell r="K3515" t="str">
            <v>defsi</v>
          </cell>
        </row>
        <row r="3516">
          <cell r="B3516" t="b">
            <v>1</v>
          </cell>
          <cell r="E3516" t="str">
            <v>Boquilla</v>
          </cell>
          <cell r="H3516" t="str">
            <v>laboratorio</v>
          </cell>
          <cell r="J3516" t="str">
            <v>bueno</v>
          </cell>
          <cell r="K3516" t="str">
            <v>defsi</v>
          </cell>
        </row>
        <row r="3517">
          <cell r="B3517" t="b">
            <v>1</v>
          </cell>
          <cell r="E3517" t="str">
            <v>Boquilla</v>
          </cell>
          <cell r="H3517" t="str">
            <v>salud_oral</v>
          </cell>
          <cell r="J3517" t="str">
            <v>bueno</v>
          </cell>
          <cell r="K3517" t="str">
            <v>defsi</v>
          </cell>
        </row>
        <row r="3518">
          <cell r="B3518" t="b">
            <v>1</v>
          </cell>
          <cell r="E3518" t="str">
            <v>Boquilla</v>
          </cell>
          <cell r="H3518" t="str">
            <v>salud_oral</v>
          </cell>
          <cell r="J3518" t="str">
            <v>bueno</v>
          </cell>
          <cell r="K3518" t="str">
            <v>defsi</v>
          </cell>
        </row>
        <row r="3519">
          <cell r="B3519" t="b">
            <v>1</v>
          </cell>
          <cell r="E3519" t="str">
            <v>Boquilla</v>
          </cell>
          <cell r="H3519" t="str">
            <v>consulta_externa</v>
          </cell>
          <cell r="J3519" t="str">
            <v>bueno</v>
          </cell>
          <cell r="K3519" t="str">
            <v>defsi</v>
          </cell>
        </row>
        <row r="3520">
          <cell r="B3520" t="b">
            <v>1</v>
          </cell>
          <cell r="E3520" t="str">
            <v>Boquilla</v>
          </cell>
          <cell r="H3520" t="str">
            <v>laboratorio</v>
          </cell>
          <cell r="J3520" t="str">
            <v>bueno</v>
          </cell>
          <cell r="K3520" t="str">
            <v>defsi</v>
          </cell>
        </row>
        <row r="3521">
          <cell r="B3521" t="b">
            <v>1</v>
          </cell>
          <cell r="E3521" t="str">
            <v>Boquilla</v>
          </cell>
          <cell r="H3521" t="str">
            <v>salud_oral</v>
          </cell>
          <cell r="J3521" t="str">
            <v>bueno</v>
          </cell>
          <cell r="K3521" t="str">
            <v>defsi</v>
          </cell>
        </row>
        <row r="3522">
          <cell r="B3522" t="b">
            <v>1</v>
          </cell>
          <cell r="E3522" t="str">
            <v>Boquilla</v>
          </cell>
          <cell r="H3522" t="str">
            <v>salud_oral</v>
          </cell>
          <cell r="J3522" t="str">
            <v>bueno</v>
          </cell>
          <cell r="K3522" t="str">
            <v>defsi</v>
          </cell>
        </row>
        <row r="3523">
          <cell r="B3523" t="b">
            <v>1</v>
          </cell>
          <cell r="E3523" t="str">
            <v>Santa Ana</v>
          </cell>
          <cell r="H3523" t="str">
            <v>consulta_externa</v>
          </cell>
          <cell r="J3523" t="str">
            <v>muybueno</v>
          </cell>
          <cell r="K3523" t="str">
            <v>defsi</v>
          </cell>
        </row>
        <row r="3524">
          <cell r="B3524" t="b">
            <v>1</v>
          </cell>
          <cell r="E3524" t="str">
            <v>Santa Ana</v>
          </cell>
          <cell r="H3524" t="str">
            <v>laboratorio</v>
          </cell>
          <cell r="J3524" t="str">
            <v>muybueno</v>
          </cell>
          <cell r="K3524" t="str">
            <v>defsi</v>
          </cell>
        </row>
        <row r="3525">
          <cell r="B3525" t="b">
            <v>1</v>
          </cell>
          <cell r="E3525" t="str">
            <v>Santa Ana</v>
          </cell>
          <cell r="H3525" t="str">
            <v>consulta_externa</v>
          </cell>
          <cell r="J3525" t="str">
            <v>muybueno</v>
          </cell>
          <cell r="K3525" t="str">
            <v>defsi</v>
          </cell>
        </row>
        <row r="3526">
          <cell r="B3526" t="b">
            <v>1</v>
          </cell>
          <cell r="E3526" t="str">
            <v>Santa Ana</v>
          </cell>
          <cell r="H3526" t="str">
            <v>laboratorio</v>
          </cell>
          <cell r="J3526" t="str">
            <v>muybueno</v>
          </cell>
          <cell r="K3526" t="str">
            <v>defsi</v>
          </cell>
        </row>
        <row r="3527">
          <cell r="B3527" t="b">
            <v>1</v>
          </cell>
          <cell r="E3527" t="str">
            <v>Santa Ana</v>
          </cell>
          <cell r="H3527" t="str">
            <v>salud_oral</v>
          </cell>
          <cell r="J3527" t="str">
            <v>muybueno</v>
          </cell>
          <cell r="K3527" t="str">
            <v>defsi</v>
          </cell>
        </row>
        <row r="3528">
          <cell r="B3528" t="b">
            <v>0</v>
          </cell>
          <cell r="E3528" t="str">
            <v>Pasacaballos</v>
          </cell>
          <cell r="H3528" t="str">
            <v>consulta_externa</v>
          </cell>
          <cell r="J3528" t="str">
            <v>regular</v>
          </cell>
          <cell r="K3528" t="str">
            <v>probsi</v>
          </cell>
        </row>
        <row r="3529">
          <cell r="B3529" t="b">
            <v>0</v>
          </cell>
          <cell r="E3529" t="str">
            <v>Pasacaballos</v>
          </cell>
          <cell r="H3529" t="str">
            <v>consulta_externa</v>
          </cell>
          <cell r="J3529" t="str">
            <v>regular</v>
          </cell>
          <cell r="K3529" t="str">
            <v>probsi</v>
          </cell>
        </row>
        <row r="3530">
          <cell r="B3530" t="b">
            <v>1</v>
          </cell>
          <cell r="E3530" t="str">
            <v>Pasacaballos</v>
          </cell>
          <cell r="H3530" t="str">
            <v>consulta_externa</v>
          </cell>
          <cell r="J3530" t="str">
            <v>bueno</v>
          </cell>
          <cell r="K3530" t="str">
            <v>probsi</v>
          </cell>
        </row>
        <row r="3531">
          <cell r="B3531" t="b">
            <v>1</v>
          </cell>
          <cell r="E3531" t="str">
            <v>Pasacaballos</v>
          </cell>
          <cell r="H3531" t="str">
            <v>consulta_externa</v>
          </cell>
          <cell r="J3531" t="str">
            <v>bueno</v>
          </cell>
          <cell r="K3531" t="str">
            <v>probsi</v>
          </cell>
        </row>
        <row r="3532">
          <cell r="B3532" t="b">
            <v>1</v>
          </cell>
          <cell r="E3532" t="str">
            <v>Pasacaballos</v>
          </cell>
          <cell r="H3532" t="str">
            <v>consulta_externa</v>
          </cell>
          <cell r="J3532" t="str">
            <v>bueno</v>
          </cell>
          <cell r="K3532" t="str">
            <v>probsi</v>
          </cell>
        </row>
        <row r="3533">
          <cell r="B3533" t="b">
            <v>1</v>
          </cell>
          <cell r="E3533" t="str">
            <v>Pasacaballos</v>
          </cell>
          <cell r="H3533" t="str">
            <v>consulta_externa</v>
          </cell>
          <cell r="J3533" t="str">
            <v>bueno</v>
          </cell>
          <cell r="K3533" t="str">
            <v>probsi</v>
          </cell>
        </row>
        <row r="3534">
          <cell r="B3534" t="b">
            <v>1</v>
          </cell>
          <cell r="E3534" t="str">
            <v>Santa Ana</v>
          </cell>
          <cell r="H3534" t="str">
            <v>consulta_externa</v>
          </cell>
          <cell r="J3534" t="str">
            <v>muybueno</v>
          </cell>
          <cell r="K3534" t="str">
            <v>defsi</v>
          </cell>
        </row>
        <row r="3535">
          <cell r="B3535" t="b">
            <v>0</v>
          </cell>
          <cell r="E3535" t="str">
            <v>Pasacaballos</v>
          </cell>
          <cell r="H3535" t="str">
            <v>consulta_externa</v>
          </cell>
          <cell r="J3535" t="str">
            <v>regular</v>
          </cell>
          <cell r="K3535" t="str">
            <v>probno</v>
          </cell>
        </row>
        <row r="3536">
          <cell r="B3536" t="b">
            <v>1</v>
          </cell>
          <cell r="E3536" t="str">
            <v>Pasacaballos</v>
          </cell>
          <cell r="H3536" t="str">
            <v>consulta_externa</v>
          </cell>
          <cell r="J3536" t="str">
            <v>bueno</v>
          </cell>
          <cell r="K3536" t="str">
            <v>probsi</v>
          </cell>
        </row>
        <row r="3537">
          <cell r="B3537" t="b">
            <v>1</v>
          </cell>
          <cell r="E3537" t="str">
            <v>Santa Ana</v>
          </cell>
          <cell r="H3537" t="str">
            <v>laboratorio</v>
          </cell>
          <cell r="J3537" t="str">
            <v>muybueno</v>
          </cell>
          <cell r="K3537" t="str">
            <v>defsi</v>
          </cell>
        </row>
        <row r="3538">
          <cell r="B3538" t="b">
            <v>1</v>
          </cell>
          <cell r="E3538" t="str">
            <v>Santa Ana</v>
          </cell>
          <cell r="H3538" t="str">
            <v>urgencia</v>
          </cell>
          <cell r="J3538" t="str">
            <v>muybueno</v>
          </cell>
          <cell r="K3538" t="str">
            <v>defsi</v>
          </cell>
        </row>
        <row r="3539">
          <cell r="B3539" t="b">
            <v>0</v>
          </cell>
          <cell r="E3539" t="str">
            <v>Arroz Barato</v>
          </cell>
          <cell r="H3539" t="str">
            <v>salud_oral</v>
          </cell>
          <cell r="J3539" t="str">
            <v>regular</v>
          </cell>
          <cell r="K3539" t="str">
            <v>probsi</v>
          </cell>
        </row>
        <row r="3540">
          <cell r="B3540" t="b">
            <v>1</v>
          </cell>
          <cell r="E3540" t="str">
            <v>Arroz Barato</v>
          </cell>
          <cell r="H3540" t="str">
            <v>salud_oral</v>
          </cell>
          <cell r="J3540" t="str">
            <v>bueno</v>
          </cell>
          <cell r="K3540" t="str">
            <v>probsi</v>
          </cell>
        </row>
        <row r="3541">
          <cell r="B3541" t="b">
            <v>1</v>
          </cell>
          <cell r="E3541" t="str">
            <v>Arroz Barato</v>
          </cell>
          <cell r="H3541" t="str">
            <v>salud_oral</v>
          </cell>
          <cell r="J3541" t="str">
            <v>bueno</v>
          </cell>
          <cell r="K3541" t="str">
            <v>probsi</v>
          </cell>
        </row>
        <row r="3542">
          <cell r="B3542" t="b">
            <v>1</v>
          </cell>
          <cell r="E3542" t="str">
            <v>Arroz Barato</v>
          </cell>
          <cell r="H3542" t="str">
            <v>salud_oral</v>
          </cell>
          <cell r="J3542" t="str">
            <v>bueno</v>
          </cell>
          <cell r="K3542" t="str">
            <v>probsi</v>
          </cell>
        </row>
        <row r="3543">
          <cell r="B3543" t="b">
            <v>1</v>
          </cell>
          <cell r="E3543" t="str">
            <v>Arroz Barato</v>
          </cell>
          <cell r="H3543" t="str">
            <v>salud_oral</v>
          </cell>
          <cell r="J3543" t="str">
            <v>bueno</v>
          </cell>
          <cell r="K3543" t="str">
            <v>probsi</v>
          </cell>
        </row>
        <row r="3544">
          <cell r="B3544" t="b">
            <v>1</v>
          </cell>
          <cell r="E3544" t="str">
            <v>Arroz Barato</v>
          </cell>
          <cell r="H3544" t="str">
            <v>salud_oral</v>
          </cell>
          <cell r="J3544" t="str">
            <v>bueno</v>
          </cell>
          <cell r="K3544" t="str">
            <v>probsi</v>
          </cell>
        </row>
        <row r="3545">
          <cell r="B3545" t="b">
            <v>1</v>
          </cell>
          <cell r="E3545" t="str">
            <v>Arroz Barato</v>
          </cell>
          <cell r="H3545" t="str">
            <v>laboratorio</v>
          </cell>
          <cell r="J3545" t="str">
            <v>bueno</v>
          </cell>
          <cell r="K3545" t="str">
            <v>probsi</v>
          </cell>
        </row>
        <row r="3546">
          <cell r="B3546" t="b">
            <v>1</v>
          </cell>
          <cell r="E3546" t="str">
            <v>Arroz Barato</v>
          </cell>
          <cell r="H3546" t="str">
            <v>laboratorio</v>
          </cell>
          <cell r="J3546" t="str">
            <v>bueno</v>
          </cell>
          <cell r="K3546" t="str">
            <v>probsi</v>
          </cell>
        </row>
        <row r="3547">
          <cell r="B3547" t="b">
            <v>1</v>
          </cell>
          <cell r="E3547" t="str">
            <v>Arroz Barato</v>
          </cell>
          <cell r="H3547" t="str">
            <v>laboratorio</v>
          </cell>
          <cell r="J3547" t="str">
            <v>bueno</v>
          </cell>
          <cell r="K3547" t="str">
            <v>probsi</v>
          </cell>
        </row>
        <row r="3548">
          <cell r="B3548" t="b">
            <v>1</v>
          </cell>
          <cell r="E3548" t="str">
            <v>Arroz Barato</v>
          </cell>
          <cell r="H3548" t="str">
            <v>rx</v>
          </cell>
          <cell r="J3548" t="str">
            <v>bueno</v>
          </cell>
          <cell r="K3548" t="str">
            <v>probsi</v>
          </cell>
        </row>
        <row r="3549">
          <cell r="B3549" t="b">
            <v>1</v>
          </cell>
          <cell r="E3549" t="str">
            <v>Arroz Barato</v>
          </cell>
          <cell r="H3549" t="str">
            <v>rx</v>
          </cell>
          <cell r="J3549" t="str">
            <v>bueno</v>
          </cell>
          <cell r="K3549" t="str">
            <v>probsi</v>
          </cell>
        </row>
        <row r="3550">
          <cell r="B3550" t="b">
            <v>1</v>
          </cell>
          <cell r="E3550" t="str">
            <v>Arroz Barato</v>
          </cell>
          <cell r="H3550" t="str">
            <v>rx</v>
          </cell>
          <cell r="J3550" t="str">
            <v>bueno</v>
          </cell>
          <cell r="K3550" t="str">
            <v>probsi</v>
          </cell>
        </row>
        <row r="3551">
          <cell r="B3551" t="b">
            <v>1</v>
          </cell>
          <cell r="E3551" t="str">
            <v>Arroz Barato</v>
          </cell>
          <cell r="H3551" t="str">
            <v>rx</v>
          </cell>
          <cell r="J3551" t="str">
            <v>bueno</v>
          </cell>
          <cell r="K3551" t="str">
            <v>probsi</v>
          </cell>
        </row>
        <row r="3552">
          <cell r="B3552" t="b">
            <v>1</v>
          </cell>
          <cell r="E3552" t="str">
            <v>Las Reinas</v>
          </cell>
          <cell r="H3552" t="str">
            <v>consulta_externa</v>
          </cell>
          <cell r="J3552" t="str">
            <v>bueno</v>
          </cell>
          <cell r="K3552" t="str">
            <v>defsi</v>
          </cell>
        </row>
        <row r="3553">
          <cell r="B3553" t="b">
            <v>1</v>
          </cell>
          <cell r="E3553" t="str">
            <v>Santa Ana</v>
          </cell>
          <cell r="H3553" t="str">
            <v>consulta_externa</v>
          </cell>
          <cell r="J3553" t="str">
            <v>muybueno</v>
          </cell>
          <cell r="K3553" t="str">
            <v>defsi</v>
          </cell>
        </row>
        <row r="3554">
          <cell r="B3554" t="b">
            <v>1</v>
          </cell>
          <cell r="E3554" t="str">
            <v>Santa Ana</v>
          </cell>
          <cell r="H3554" t="str">
            <v>salud_oral</v>
          </cell>
          <cell r="J3554" t="str">
            <v>muybueno</v>
          </cell>
          <cell r="K3554" t="str">
            <v>defsi</v>
          </cell>
        </row>
        <row r="3555">
          <cell r="B3555" t="b">
            <v>1</v>
          </cell>
          <cell r="E3555" t="str">
            <v>Las Reinas</v>
          </cell>
          <cell r="H3555" t="str">
            <v>salud_oral</v>
          </cell>
          <cell r="J3555" t="str">
            <v>bueno</v>
          </cell>
          <cell r="K3555" t="str">
            <v>defsi</v>
          </cell>
        </row>
        <row r="3556">
          <cell r="B3556" t="b">
            <v>1</v>
          </cell>
          <cell r="E3556" t="str">
            <v>Las Reinas</v>
          </cell>
          <cell r="H3556" t="str">
            <v>laboratorio</v>
          </cell>
          <cell r="J3556" t="str">
            <v>bueno</v>
          </cell>
          <cell r="K3556" t="str">
            <v>defsi</v>
          </cell>
        </row>
        <row r="3557">
          <cell r="B3557" t="b">
            <v>0</v>
          </cell>
          <cell r="E3557" t="str">
            <v>Arroz Barato</v>
          </cell>
          <cell r="H3557" t="str">
            <v>urgencia</v>
          </cell>
          <cell r="J3557" t="str">
            <v>regular</v>
          </cell>
          <cell r="K3557" t="str">
            <v>probsi</v>
          </cell>
        </row>
        <row r="3558">
          <cell r="B3558" t="b">
            <v>0</v>
          </cell>
          <cell r="E3558" t="str">
            <v>Arroz Barato</v>
          </cell>
          <cell r="H3558" t="str">
            <v>urgencia</v>
          </cell>
          <cell r="J3558" t="str">
            <v>regular</v>
          </cell>
          <cell r="K3558" t="str">
            <v>probsi</v>
          </cell>
        </row>
        <row r="3559">
          <cell r="B3559" t="b">
            <v>1</v>
          </cell>
          <cell r="E3559" t="str">
            <v>Arroz Barato</v>
          </cell>
          <cell r="H3559" t="str">
            <v>urgencia</v>
          </cell>
          <cell r="J3559" t="str">
            <v>bueno</v>
          </cell>
          <cell r="K3559" t="str">
            <v>probsi</v>
          </cell>
        </row>
        <row r="3560">
          <cell r="B3560" t="b">
            <v>1</v>
          </cell>
          <cell r="E3560" t="str">
            <v>Arroz Barato</v>
          </cell>
          <cell r="H3560" t="str">
            <v>urgencia</v>
          </cell>
          <cell r="J3560" t="str">
            <v>bueno</v>
          </cell>
          <cell r="K3560" t="str">
            <v>probsi</v>
          </cell>
        </row>
        <row r="3561">
          <cell r="B3561" t="b">
            <v>1</v>
          </cell>
          <cell r="E3561" t="str">
            <v>Arroz Barato</v>
          </cell>
          <cell r="H3561" t="str">
            <v>urgencia</v>
          </cell>
          <cell r="J3561" t="str">
            <v>bueno</v>
          </cell>
          <cell r="K3561" t="str">
            <v>probsi</v>
          </cell>
        </row>
        <row r="3562">
          <cell r="B3562" t="b">
            <v>1</v>
          </cell>
          <cell r="E3562" t="str">
            <v>Arroz Barato</v>
          </cell>
          <cell r="H3562" t="str">
            <v>urgencia</v>
          </cell>
          <cell r="J3562" t="str">
            <v>bueno</v>
          </cell>
          <cell r="K3562" t="str">
            <v>probsi</v>
          </cell>
        </row>
        <row r="3563">
          <cell r="B3563" t="b">
            <v>1</v>
          </cell>
          <cell r="E3563" t="str">
            <v>Arroz Barato</v>
          </cell>
          <cell r="H3563" t="str">
            <v>urgencia</v>
          </cell>
          <cell r="J3563" t="str">
            <v>bueno</v>
          </cell>
          <cell r="K3563" t="str">
            <v>probsi</v>
          </cell>
        </row>
        <row r="3564">
          <cell r="B3564" t="b">
            <v>1</v>
          </cell>
          <cell r="E3564" t="str">
            <v>Arroz Barato</v>
          </cell>
          <cell r="H3564" t="str">
            <v>urgencia</v>
          </cell>
          <cell r="J3564" t="str">
            <v>bueno</v>
          </cell>
          <cell r="K3564" t="str">
            <v>probsi</v>
          </cell>
        </row>
        <row r="3565">
          <cell r="B3565" t="b">
            <v>1</v>
          </cell>
          <cell r="E3565" t="str">
            <v>Arroz Barato</v>
          </cell>
          <cell r="H3565" t="str">
            <v>urgencia</v>
          </cell>
          <cell r="J3565" t="str">
            <v>bueno</v>
          </cell>
          <cell r="K3565" t="str">
            <v>probsi</v>
          </cell>
        </row>
        <row r="3566">
          <cell r="B3566" t="b">
            <v>1</v>
          </cell>
          <cell r="E3566" t="str">
            <v>Las Reinas</v>
          </cell>
          <cell r="H3566" t="str">
            <v>consulta_externa</v>
          </cell>
          <cell r="J3566" t="str">
            <v>bueno</v>
          </cell>
          <cell r="K3566" t="str">
            <v>defsi</v>
          </cell>
        </row>
        <row r="3567">
          <cell r="B3567" t="b">
            <v>1</v>
          </cell>
          <cell r="E3567" t="str">
            <v>Las Reinas</v>
          </cell>
          <cell r="H3567" t="str">
            <v>salud_oral</v>
          </cell>
          <cell r="J3567" t="str">
            <v>bueno</v>
          </cell>
          <cell r="K3567" t="str">
            <v>defsi</v>
          </cell>
        </row>
        <row r="3568">
          <cell r="B3568" t="b">
            <v>1</v>
          </cell>
          <cell r="E3568" t="str">
            <v>Santa Ana</v>
          </cell>
          <cell r="H3568" t="str">
            <v>consulta_externa</v>
          </cell>
          <cell r="J3568" t="str">
            <v>muybueno</v>
          </cell>
          <cell r="K3568" t="str">
            <v>defsi</v>
          </cell>
        </row>
        <row r="3569">
          <cell r="B3569" t="b">
            <v>1</v>
          </cell>
          <cell r="E3569" t="str">
            <v>Santa Ana</v>
          </cell>
          <cell r="H3569" t="str">
            <v>salud_oral</v>
          </cell>
          <cell r="J3569" t="str">
            <v>muybueno</v>
          </cell>
          <cell r="K3569" t="str">
            <v>defsi</v>
          </cell>
        </row>
        <row r="3570">
          <cell r="B3570" t="b">
            <v>1</v>
          </cell>
          <cell r="E3570" t="str">
            <v>Santa Ana</v>
          </cell>
          <cell r="H3570" t="str">
            <v>consulta_externa</v>
          </cell>
          <cell r="J3570" t="str">
            <v>muybueno</v>
          </cell>
          <cell r="K3570" t="str">
            <v>defsi</v>
          </cell>
        </row>
        <row r="3571">
          <cell r="B3571" t="b">
            <v>1</v>
          </cell>
          <cell r="E3571" t="str">
            <v>Santa Ana</v>
          </cell>
          <cell r="H3571" t="str">
            <v>laboratorio</v>
          </cell>
          <cell r="J3571" t="str">
            <v>muybueno</v>
          </cell>
          <cell r="K3571" t="str">
            <v>defsi</v>
          </cell>
        </row>
        <row r="3572">
          <cell r="B3572" t="b">
            <v>1</v>
          </cell>
          <cell r="E3572" t="str">
            <v>Santa Ana</v>
          </cell>
          <cell r="H3572" t="str">
            <v>laboratorio</v>
          </cell>
          <cell r="J3572" t="str">
            <v>muybueno</v>
          </cell>
          <cell r="K3572" t="str">
            <v>defsi</v>
          </cell>
        </row>
        <row r="3573">
          <cell r="B3573" t="b">
            <v>1</v>
          </cell>
          <cell r="E3573" t="str">
            <v>Santa Ana</v>
          </cell>
          <cell r="H3573" t="str">
            <v>consulta_externa</v>
          </cell>
          <cell r="J3573" t="str">
            <v>muybueno</v>
          </cell>
          <cell r="K3573" t="str">
            <v>defsi</v>
          </cell>
        </row>
        <row r="3574">
          <cell r="B3574" t="b">
            <v>1</v>
          </cell>
          <cell r="E3574" t="str">
            <v>Santa Ana</v>
          </cell>
          <cell r="H3574" t="str">
            <v>salud_oral</v>
          </cell>
          <cell r="J3574" t="str">
            <v>muybueno</v>
          </cell>
          <cell r="K3574" t="str">
            <v>defsi</v>
          </cell>
        </row>
        <row r="3575">
          <cell r="B3575" t="b">
            <v>1</v>
          </cell>
          <cell r="E3575" t="str">
            <v>Santa Ana</v>
          </cell>
          <cell r="H3575" t="str">
            <v>consulta_externa</v>
          </cell>
          <cell r="J3575" t="str">
            <v>muybueno</v>
          </cell>
          <cell r="K3575" t="str">
            <v>defsi</v>
          </cell>
        </row>
        <row r="3576">
          <cell r="B3576" t="b">
            <v>1</v>
          </cell>
          <cell r="E3576" t="str">
            <v>Santa Ana</v>
          </cell>
          <cell r="H3576" t="str">
            <v>laboratorio</v>
          </cell>
          <cell r="J3576" t="str">
            <v>muybueno</v>
          </cell>
          <cell r="K3576" t="str">
            <v>defsi</v>
          </cell>
        </row>
        <row r="3577">
          <cell r="B3577" t="b">
            <v>1</v>
          </cell>
          <cell r="E3577" t="str">
            <v>Santa Ana</v>
          </cell>
          <cell r="H3577" t="str">
            <v>consulta_externa</v>
          </cell>
          <cell r="J3577" t="str">
            <v>muybueno</v>
          </cell>
          <cell r="K3577" t="str">
            <v>defsi</v>
          </cell>
        </row>
        <row r="3578">
          <cell r="B3578" t="b">
            <v>1</v>
          </cell>
          <cell r="E3578" t="str">
            <v>Santa Ana</v>
          </cell>
          <cell r="H3578" t="str">
            <v>salud_oral</v>
          </cell>
          <cell r="J3578" t="str">
            <v>muybueno</v>
          </cell>
          <cell r="K3578" t="str">
            <v>defsi</v>
          </cell>
        </row>
        <row r="3579">
          <cell r="B3579" t="b">
            <v>1</v>
          </cell>
          <cell r="E3579" t="str">
            <v>Santa Ana</v>
          </cell>
          <cell r="H3579" t="str">
            <v>consulta_externa</v>
          </cell>
          <cell r="J3579" t="str">
            <v>muybueno</v>
          </cell>
          <cell r="K3579" t="str">
            <v>defsi</v>
          </cell>
        </row>
        <row r="3580">
          <cell r="B3580" t="b">
            <v>1</v>
          </cell>
          <cell r="E3580" t="str">
            <v>Santa Ana</v>
          </cell>
          <cell r="H3580" t="str">
            <v>laboratorio</v>
          </cell>
          <cell r="J3580" t="str">
            <v>muybueno</v>
          </cell>
          <cell r="K3580" t="str">
            <v>defsi</v>
          </cell>
        </row>
        <row r="3581">
          <cell r="B3581" t="b">
            <v>1</v>
          </cell>
          <cell r="E3581" t="str">
            <v>Santa Ana</v>
          </cell>
          <cell r="H3581" t="str">
            <v>consulta_externa</v>
          </cell>
          <cell r="J3581" t="str">
            <v>muybueno</v>
          </cell>
          <cell r="K3581" t="str">
            <v>defsi</v>
          </cell>
        </row>
        <row r="3582">
          <cell r="B3582" t="b">
            <v>1</v>
          </cell>
          <cell r="E3582" t="str">
            <v>Santa Ana</v>
          </cell>
          <cell r="H3582" t="str">
            <v>salud_oral</v>
          </cell>
          <cell r="J3582" t="str">
            <v>muybueno</v>
          </cell>
          <cell r="K3582" t="str">
            <v>defsi</v>
          </cell>
        </row>
        <row r="3583">
          <cell r="B3583" t="b">
            <v>1</v>
          </cell>
          <cell r="E3583" t="str">
            <v>Santa Ana</v>
          </cell>
          <cell r="H3583" t="str">
            <v>urgencia</v>
          </cell>
          <cell r="J3583" t="str">
            <v>muybueno</v>
          </cell>
          <cell r="K3583" t="str">
            <v>defsi</v>
          </cell>
        </row>
        <row r="3584">
          <cell r="B3584" t="b">
            <v>1</v>
          </cell>
          <cell r="E3584" t="str">
            <v>Santa Ana</v>
          </cell>
          <cell r="H3584" t="str">
            <v>consulta_externa</v>
          </cell>
          <cell r="J3584" t="str">
            <v>muybueno</v>
          </cell>
          <cell r="K3584" t="str">
            <v>probsi</v>
          </cell>
        </row>
        <row r="3585">
          <cell r="B3585" t="b">
            <v>1</v>
          </cell>
          <cell r="E3585" t="str">
            <v>Santa Ana</v>
          </cell>
          <cell r="H3585" t="str">
            <v>salud_oral</v>
          </cell>
          <cell r="J3585" t="str">
            <v>muybueno</v>
          </cell>
          <cell r="K3585" t="str">
            <v>defsi</v>
          </cell>
        </row>
        <row r="3586">
          <cell r="B3586" t="b">
            <v>1</v>
          </cell>
          <cell r="E3586" t="str">
            <v>Santa Ana</v>
          </cell>
          <cell r="H3586" t="str">
            <v>consulta_externa</v>
          </cell>
          <cell r="J3586" t="str">
            <v>muybueno</v>
          </cell>
          <cell r="K3586" t="str">
            <v>defsi</v>
          </cell>
        </row>
        <row r="3587">
          <cell r="B3587" t="b">
            <v>1</v>
          </cell>
          <cell r="E3587" t="str">
            <v>Santa Ana</v>
          </cell>
          <cell r="H3587" t="str">
            <v>laboratorio</v>
          </cell>
          <cell r="J3587" t="str">
            <v>muybueno</v>
          </cell>
          <cell r="K3587" t="str">
            <v>defsi</v>
          </cell>
        </row>
        <row r="3588">
          <cell r="B3588" t="b">
            <v>1</v>
          </cell>
          <cell r="E3588" t="str">
            <v>Santa Ana</v>
          </cell>
          <cell r="H3588" t="str">
            <v>consulta_externa</v>
          </cell>
          <cell r="J3588" t="str">
            <v>muybueno</v>
          </cell>
          <cell r="K3588" t="str">
            <v>defsi</v>
          </cell>
        </row>
        <row r="3589">
          <cell r="B3589" t="b">
            <v>1</v>
          </cell>
          <cell r="E3589" t="str">
            <v>Santa Ana</v>
          </cell>
          <cell r="H3589" t="str">
            <v>salud_oral</v>
          </cell>
          <cell r="J3589" t="str">
            <v>muybueno</v>
          </cell>
          <cell r="K3589" t="str">
            <v>defsi</v>
          </cell>
        </row>
        <row r="3590">
          <cell r="B3590" t="b">
            <v>1</v>
          </cell>
          <cell r="E3590" t="str">
            <v>Santa Ana</v>
          </cell>
          <cell r="H3590" t="str">
            <v>salud_oral</v>
          </cell>
          <cell r="J3590" t="str">
            <v>muybueno</v>
          </cell>
          <cell r="K3590" t="str">
            <v>defsi</v>
          </cell>
        </row>
        <row r="3591">
          <cell r="B3591" t="b">
            <v>1</v>
          </cell>
          <cell r="E3591" t="str">
            <v>Santa Ana</v>
          </cell>
          <cell r="H3591" t="str">
            <v>consulta_externa</v>
          </cell>
          <cell r="J3591" t="str">
            <v>muybueno</v>
          </cell>
          <cell r="K3591" t="str">
            <v>defsi</v>
          </cell>
        </row>
        <row r="3592">
          <cell r="B3592" t="b">
            <v>1</v>
          </cell>
          <cell r="E3592" t="str">
            <v>Santa Ana</v>
          </cell>
          <cell r="H3592" t="str">
            <v>laboratorio</v>
          </cell>
          <cell r="J3592" t="str">
            <v>muybueno</v>
          </cell>
          <cell r="K3592" t="str">
            <v>defsi</v>
          </cell>
        </row>
        <row r="3593">
          <cell r="B3593" t="b">
            <v>1</v>
          </cell>
          <cell r="E3593" t="str">
            <v>Santa Ana</v>
          </cell>
          <cell r="H3593" t="str">
            <v>consulta_externa</v>
          </cell>
          <cell r="J3593" t="str">
            <v>muybueno</v>
          </cell>
          <cell r="K3593" t="str">
            <v>defsi</v>
          </cell>
        </row>
        <row r="3594">
          <cell r="B3594" t="b">
            <v>1</v>
          </cell>
          <cell r="E3594" t="str">
            <v>Santa Ana</v>
          </cell>
          <cell r="H3594" t="str">
            <v>salud_oral</v>
          </cell>
          <cell r="J3594" t="str">
            <v>muybueno</v>
          </cell>
          <cell r="K3594" t="str">
            <v>defsi</v>
          </cell>
        </row>
        <row r="3595">
          <cell r="B3595" t="b">
            <v>1</v>
          </cell>
          <cell r="E3595" t="str">
            <v>Santa Ana</v>
          </cell>
          <cell r="H3595" t="str">
            <v>laboratorio</v>
          </cell>
          <cell r="J3595" t="str">
            <v>muybueno</v>
          </cell>
          <cell r="K3595" t="str">
            <v>defsi</v>
          </cell>
        </row>
        <row r="3596">
          <cell r="B3596" t="b">
            <v>1</v>
          </cell>
          <cell r="E3596" t="str">
            <v>Santa Ana</v>
          </cell>
          <cell r="H3596" t="str">
            <v>salud_oral</v>
          </cell>
          <cell r="J3596" t="str">
            <v>muybueno</v>
          </cell>
          <cell r="K3596" t="str">
            <v>defsi</v>
          </cell>
        </row>
        <row r="3597">
          <cell r="B3597" t="b">
            <v>1</v>
          </cell>
          <cell r="E3597" t="str">
            <v>Santa Ana</v>
          </cell>
          <cell r="H3597" t="str">
            <v>consulta_externa</v>
          </cell>
          <cell r="J3597" t="str">
            <v>muybueno</v>
          </cell>
          <cell r="K3597" t="str">
            <v>defsi</v>
          </cell>
        </row>
        <row r="3598">
          <cell r="B3598" t="b">
            <v>1</v>
          </cell>
          <cell r="E3598" t="str">
            <v>Santa Ana</v>
          </cell>
          <cell r="H3598" t="str">
            <v>laboratorio</v>
          </cell>
          <cell r="J3598" t="str">
            <v>muybueno</v>
          </cell>
          <cell r="K3598" t="str">
            <v>defsi</v>
          </cell>
        </row>
        <row r="3599">
          <cell r="B3599" t="b">
            <v>0</v>
          </cell>
          <cell r="E3599" t="str">
            <v>Santa Ana</v>
          </cell>
          <cell r="H3599" t="str">
            <v>urgencia</v>
          </cell>
          <cell r="J3599" t="str">
            <v>regular</v>
          </cell>
          <cell r="K3599" t="str">
            <v>probno</v>
          </cell>
        </row>
        <row r="3600">
          <cell r="B3600" t="b">
            <v>1</v>
          </cell>
          <cell r="E3600" t="str">
            <v>Arroyo de Piedra</v>
          </cell>
          <cell r="H3600" t="str">
            <v>consulta_externa</v>
          </cell>
          <cell r="J3600" t="str">
            <v>bueno</v>
          </cell>
          <cell r="K3600" t="str">
            <v>defsi</v>
          </cell>
        </row>
        <row r="3601">
          <cell r="B3601" t="b">
            <v>1</v>
          </cell>
          <cell r="E3601" t="str">
            <v>Arroyo de Piedra</v>
          </cell>
          <cell r="H3601" t="str">
            <v>salud_oral</v>
          </cell>
          <cell r="J3601" t="str">
            <v>bueno</v>
          </cell>
          <cell r="K3601" t="str">
            <v>defsi</v>
          </cell>
        </row>
        <row r="3602">
          <cell r="B3602" t="b">
            <v>1</v>
          </cell>
          <cell r="E3602" t="str">
            <v>Arroyo de Piedra</v>
          </cell>
          <cell r="H3602" t="str">
            <v>laboratorio</v>
          </cell>
          <cell r="J3602" t="str">
            <v>bueno</v>
          </cell>
          <cell r="K3602" t="str">
            <v>defsi</v>
          </cell>
        </row>
        <row r="3603">
          <cell r="B3603" t="b">
            <v>1</v>
          </cell>
          <cell r="E3603" t="str">
            <v>Arroyo de Piedra</v>
          </cell>
          <cell r="H3603" t="str">
            <v>consulta_externa</v>
          </cell>
          <cell r="J3603" t="str">
            <v>bueno</v>
          </cell>
          <cell r="K3603" t="str">
            <v>defsi</v>
          </cell>
        </row>
        <row r="3604">
          <cell r="B3604" t="b">
            <v>1</v>
          </cell>
          <cell r="E3604" t="str">
            <v>Arroyo de Piedra</v>
          </cell>
          <cell r="H3604" t="str">
            <v>salud_oral</v>
          </cell>
          <cell r="J3604" t="str">
            <v>bueno</v>
          </cell>
          <cell r="K3604" t="str">
            <v>defsi</v>
          </cell>
        </row>
        <row r="3605">
          <cell r="B3605" t="b">
            <v>1</v>
          </cell>
          <cell r="E3605" t="str">
            <v>Arroyo de Piedra</v>
          </cell>
          <cell r="H3605" t="str">
            <v>laboratorio</v>
          </cell>
          <cell r="J3605" t="str">
            <v>bueno</v>
          </cell>
          <cell r="K3605" t="str">
            <v>defsi</v>
          </cell>
        </row>
        <row r="3606">
          <cell r="B3606" t="b">
            <v>1</v>
          </cell>
          <cell r="E3606" t="str">
            <v>Bicentenario</v>
          </cell>
          <cell r="H3606" t="str">
            <v>urgencia</v>
          </cell>
          <cell r="J3606" t="str">
            <v>bueno</v>
          </cell>
          <cell r="K3606" t="str">
            <v>defsi</v>
          </cell>
        </row>
        <row r="3607">
          <cell r="B3607" t="b">
            <v>0</v>
          </cell>
          <cell r="E3607" t="str">
            <v>Bicentenario</v>
          </cell>
          <cell r="H3607" t="str">
            <v>urgencia</v>
          </cell>
          <cell r="J3607" t="str">
            <v>regular</v>
          </cell>
          <cell r="K3607" t="str">
            <v>defsi</v>
          </cell>
        </row>
        <row r="3608">
          <cell r="B3608" t="b">
            <v>1</v>
          </cell>
          <cell r="E3608" t="str">
            <v>Arroyo de Piedra</v>
          </cell>
          <cell r="H3608" t="str">
            <v>consulta_externa</v>
          </cell>
          <cell r="J3608" t="str">
            <v>bueno</v>
          </cell>
          <cell r="K3608" t="str">
            <v>defsi</v>
          </cell>
        </row>
        <row r="3609">
          <cell r="B3609" t="b">
            <v>0</v>
          </cell>
          <cell r="E3609" t="str">
            <v>Bicentenario</v>
          </cell>
          <cell r="H3609" t="str">
            <v>urgencia</v>
          </cell>
          <cell r="J3609" t="str">
            <v>regular</v>
          </cell>
          <cell r="K3609" t="str">
            <v>probsi</v>
          </cell>
        </row>
        <row r="3610">
          <cell r="B3610" t="b">
            <v>1</v>
          </cell>
          <cell r="E3610" t="str">
            <v>Arroyo de Piedra</v>
          </cell>
          <cell r="H3610" t="str">
            <v>salud_oral</v>
          </cell>
          <cell r="J3610" t="str">
            <v>bueno</v>
          </cell>
          <cell r="K3610" t="str">
            <v>defsi</v>
          </cell>
        </row>
        <row r="3611">
          <cell r="B3611" t="b">
            <v>1</v>
          </cell>
          <cell r="E3611" t="str">
            <v>Arroyo de Piedra</v>
          </cell>
          <cell r="H3611" t="str">
            <v>laboratorio</v>
          </cell>
          <cell r="J3611" t="str">
            <v>bueno</v>
          </cell>
          <cell r="K3611" t="str">
            <v>defsi</v>
          </cell>
        </row>
        <row r="3612">
          <cell r="B3612" t="b">
            <v>0</v>
          </cell>
          <cell r="E3612" t="str">
            <v>Bicentenario</v>
          </cell>
          <cell r="H3612" t="str">
            <v>urgencia</v>
          </cell>
          <cell r="J3612" t="str">
            <v>regular</v>
          </cell>
          <cell r="K3612" t="str">
            <v>probsi</v>
          </cell>
        </row>
        <row r="3613">
          <cell r="B3613" t="b">
            <v>1</v>
          </cell>
          <cell r="E3613" t="str">
            <v>Arroyo de Piedra</v>
          </cell>
          <cell r="H3613" t="str">
            <v>consulta_externa</v>
          </cell>
          <cell r="J3613" t="str">
            <v>bueno</v>
          </cell>
          <cell r="K3613" t="str">
            <v>defsi</v>
          </cell>
        </row>
        <row r="3614">
          <cell r="B3614" t="b">
            <v>1</v>
          </cell>
          <cell r="E3614" t="str">
            <v>Bicentenario</v>
          </cell>
          <cell r="H3614" t="str">
            <v>urgencia</v>
          </cell>
          <cell r="J3614" t="str">
            <v>bueno</v>
          </cell>
          <cell r="K3614" t="str">
            <v>defsi</v>
          </cell>
        </row>
        <row r="3615">
          <cell r="B3615" t="b">
            <v>1</v>
          </cell>
          <cell r="E3615" t="str">
            <v>Bicentenario</v>
          </cell>
          <cell r="H3615" t="str">
            <v>urgencia</v>
          </cell>
          <cell r="J3615" t="str">
            <v>bueno</v>
          </cell>
          <cell r="K3615" t="str">
            <v>defsi</v>
          </cell>
        </row>
        <row r="3616">
          <cell r="B3616" t="b">
            <v>1</v>
          </cell>
          <cell r="E3616" t="str">
            <v>Arroyo de Piedra</v>
          </cell>
          <cell r="H3616" t="str">
            <v>salud_oral</v>
          </cell>
          <cell r="J3616" t="str">
            <v>bueno</v>
          </cell>
          <cell r="K3616" t="str">
            <v>defsi</v>
          </cell>
        </row>
        <row r="3617">
          <cell r="B3617" t="b">
            <v>1</v>
          </cell>
          <cell r="E3617" t="str">
            <v>Arroyo de Piedra</v>
          </cell>
          <cell r="H3617" t="str">
            <v>laboratorio</v>
          </cell>
          <cell r="J3617" t="str">
            <v>bueno</v>
          </cell>
          <cell r="K3617" t="str">
            <v>defsi</v>
          </cell>
        </row>
        <row r="3618">
          <cell r="B3618" t="b">
            <v>1</v>
          </cell>
          <cell r="E3618" t="str">
            <v>Arroyo de Piedra</v>
          </cell>
          <cell r="H3618" t="str">
            <v>consulta_externa</v>
          </cell>
          <cell r="J3618" t="str">
            <v>bueno</v>
          </cell>
          <cell r="K3618" t="str">
            <v>defsi</v>
          </cell>
        </row>
        <row r="3619">
          <cell r="B3619" t="b">
            <v>1</v>
          </cell>
          <cell r="E3619" t="str">
            <v>Arroyo de Piedra</v>
          </cell>
          <cell r="H3619" t="str">
            <v>salud_oral</v>
          </cell>
          <cell r="J3619" t="str">
            <v>bueno</v>
          </cell>
          <cell r="K3619" t="str">
            <v>defsi</v>
          </cell>
        </row>
        <row r="3620">
          <cell r="B3620" t="b">
            <v>1</v>
          </cell>
          <cell r="E3620" t="str">
            <v>Arroyo de Piedra</v>
          </cell>
          <cell r="H3620" t="str">
            <v>laboratorio</v>
          </cell>
          <cell r="J3620" t="str">
            <v>bueno</v>
          </cell>
          <cell r="K3620" t="str">
            <v>defsi</v>
          </cell>
        </row>
        <row r="3621">
          <cell r="B3621" t="b">
            <v>1</v>
          </cell>
          <cell r="E3621" t="str">
            <v>Arroyo de Piedra</v>
          </cell>
          <cell r="H3621" t="str">
            <v>consulta_externa</v>
          </cell>
          <cell r="J3621" t="str">
            <v>bueno</v>
          </cell>
          <cell r="K3621" t="str">
            <v>defsi</v>
          </cell>
        </row>
        <row r="3622">
          <cell r="B3622" t="b">
            <v>1</v>
          </cell>
          <cell r="E3622" t="str">
            <v>Arroyo de Piedra</v>
          </cell>
          <cell r="H3622" t="str">
            <v>salud_oral</v>
          </cell>
          <cell r="J3622" t="str">
            <v>bueno</v>
          </cell>
          <cell r="K3622" t="str">
            <v>defsi</v>
          </cell>
        </row>
        <row r="3623">
          <cell r="B3623" t="b">
            <v>1</v>
          </cell>
          <cell r="E3623" t="str">
            <v>Arroyo de Piedra</v>
          </cell>
          <cell r="H3623" t="str">
            <v>laboratorio</v>
          </cell>
          <cell r="J3623" t="str">
            <v>bueno</v>
          </cell>
          <cell r="K3623" t="str">
            <v>defsi</v>
          </cell>
        </row>
        <row r="3624">
          <cell r="B3624" t="b">
            <v>1</v>
          </cell>
          <cell r="E3624" t="str">
            <v>Arroyo de Piedra</v>
          </cell>
          <cell r="H3624" t="str">
            <v>consulta_externa</v>
          </cell>
          <cell r="J3624" t="str">
            <v>bueno</v>
          </cell>
          <cell r="K3624" t="str">
            <v>defsi</v>
          </cell>
        </row>
        <row r="3625">
          <cell r="B3625" t="b">
            <v>1</v>
          </cell>
          <cell r="E3625" t="str">
            <v>Arroyo de Piedra</v>
          </cell>
          <cell r="H3625" t="str">
            <v>salud_oral</v>
          </cell>
          <cell r="J3625" t="str">
            <v>bueno</v>
          </cell>
          <cell r="K3625" t="str">
            <v>defsi</v>
          </cell>
        </row>
        <row r="3626">
          <cell r="B3626" t="b">
            <v>1</v>
          </cell>
          <cell r="E3626" t="str">
            <v>Arroyo de Piedra</v>
          </cell>
          <cell r="H3626" t="str">
            <v>laboratorio</v>
          </cell>
          <cell r="J3626" t="str">
            <v>bueno</v>
          </cell>
          <cell r="K3626" t="str">
            <v>defsi</v>
          </cell>
        </row>
        <row r="3627">
          <cell r="B3627" t="b">
            <v>1</v>
          </cell>
          <cell r="E3627" t="str">
            <v>Isla Fuerte</v>
          </cell>
          <cell r="H3627" t="str">
            <v>consulta_externa</v>
          </cell>
          <cell r="J3627" t="str">
            <v>muybueno</v>
          </cell>
          <cell r="K3627" t="str">
            <v>defsi</v>
          </cell>
        </row>
        <row r="3628">
          <cell r="B3628" t="b">
            <v>1</v>
          </cell>
          <cell r="E3628" t="str">
            <v>Arroyo de Piedra</v>
          </cell>
          <cell r="H3628" t="str">
            <v>consulta_externa</v>
          </cell>
          <cell r="J3628" t="str">
            <v>bueno</v>
          </cell>
          <cell r="K3628" t="str">
            <v>defsi</v>
          </cell>
        </row>
        <row r="3629">
          <cell r="B3629" t="b">
            <v>1</v>
          </cell>
          <cell r="E3629" t="str">
            <v>Arroyo de Piedra</v>
          </cell>
          <cell r="H3629" t="str">
            <v>salud_oral</v>
          </cell>
          <cell r="J3629" t="str">
            <v>bueno</v>
          </cell>
          <cell r="K3629" t="str">
            <v>defsi</v>
          </cell>
        </row>
        <row r="3630">
          <cell r="B3630" t="b">
            <v>1</v>
          </cell>
          <cell r="E3630" t="str">
            <v>Arroyo de Piedra</v>
          </cell>
          <cell r="H3630" t="str">
            <v>laboratorio</v>
          </cell>
          <cell r="J3630" t="str">
            <v>bueno</v>
          </cell>
          <cell r="K3630" t="str">
            <v>defsi</v>
          </cell>
        </row>
        <row r="3631">
          <cell r="B3631" t="b">
            <v>1</v>
          </cell>
          <cell r="E3631" t="str">
            <v>Arroyo de Piedra</v>
          </cell>
          <cell r="H3631" t="str">
            <v>consulta_externa</v>
          </cell>
          <cell r="J3631" t="str">
            <v>bueno</v>
          </cell>
          <cell r="K3631" t="str">
            <v>defsi</v>
          </cell>
        </row>
        <row r="3632">
          <cell r="B3632" t="b">
            <v>1</v>
          </cell>
          <cell r="E3632" t="str">
            <v>Arroyo de Piedra</v>
          </cell>
          <cell r="H3632" t="str">
            <v>salud_oral</v>
          </cell>
          <cell r="J3632" t="str">
            <v>bueno</v>
          </cell>
          <cell r="K3632" t="str">
            <v>defsi</v>
          </cell>
        </row>
        <row r="3633">
          <cell r="B3633" t="b">
            <v>1</v>
          </cell>
          <cell r="E3633" t="str">
            <v>Isla Fuerte</v>
          </cell>
          <cell r="H3633" t="str">
            <v>consulta_externa</v>
          </cell>
          <cell r="J3633" t="str">
            <v>muybueno</v>
          </cell>
          <cell r="K3633" t="str">
            <v>defsi</v>
          </cell>
        </row>
        <row r="3634">
          <cell r="B3634" t="b">
            <v>1</v>
          </cell>
          <cell r="E3634" t="str">
            <v>Arroyo de Piedra</v>
          </cell>
          <cell r="H3634" t="str">
            <v>laboratorio</v>
          </cell>
          <cell r="J3634" t="str">
            <v>bueno</v>
          </cell>
          <cell r="K3634" t="str">
            <v>defsi</v>
          </cell>
        </row>
        <row r="3635">
          <cell r="B3635" t="b">
            <v>1</v>
          </cell>
          <cell r="E3635" t="str">
            <v>Isla Fuerte</v>
          </cell>
          <cell r="H3635" t="str">
            <v>laboratorio</v>
          </cell>
          <cell r="J3635" t="str">
            <v>muybueno</v>
          </cell>
          <cell r="K3635" t="str">
            <v>defsi</v>
          </cell>
        </row>
        <row r="3636">
          <cell r="B3636" t="b">
            <v>1</v>
          </cell>
          <cell r="E3636" t="str">
            <v>Arroyo de Piedra</v>
          </cell>
          <cell r="H3636" t="str">
            <v>consulta_externa</v>
          </cell>
          <cell r="J3636" t="str">
            <v>bueno</v>
          </cell>
          <cell r="K3636" t="str">
            <v>defsi</v>
          </cell>
        </row>
        <row r="3637">
          <cell r="B3637" t="b">
            <v>1</v>
          </cell>
          <cell r="E3637" t="str">
            <v>Arroyo de Piedra</v>
          </cell>
          <cell r="H3637" t="str">
            <v>salud_oral</v>
          </cell>
          <cell r="J3637" t="str">
            <v>bueno</v>
          </cell>
          <cell r="K3637" t="str">
            <v>defsi</v>
          </cell>
        </row>
        <row r="3638">
          <cell r="B3638" t="b">
            <v>1</v>
          </cell>
          <cell r="E3638" t="str">
            <v>Arroyo de Piedra</v>
          </cell>
          <cell r="H3638" t="str">
            <v>laboratorio</v>
          </cell>
          <cell r="J3638" t="str">
            <v>bueno</v>
          </cell>
          <cell r="K3638" t="str">
            <v>defsi</v>
          </cell>
        </row>
        <row r="3639">
          <cell r="B3639" t="b">
            <v>1</v>
          </cell>
          <cell r="E3639" t="str">
            <v>Tierra Baja</v>
          </cell>
          <cell r="H3639" t="str">
            <v>laboratorio</v>
          </cell>
          <cell r="J3639" t="str">
            <v>bueno</v>
          </cell>
          <cell r="K3639" t="str">
            <v>probsi</v>
          </cell>
        </row>
        <row r="3640">
          <cell r="B3640" t="b">
            <v>1</v>
          </cell>
          <cell r="E3640" t="str">
            <v>Tierra Baja</v>
          </cell>
          <cell r="H3640" t="str">
            <v>consulta_externa</v>
          </cell>
          <cell r="J3640" t="str">
            <v>bueno</v>
          </cell>
          <cell r="K3640" t="str">
            <v>probsi</v>
          </cell>
        </row>
        <row r="3641">
          <cell r="B3641" t="b">
            <v>1</v>
          </cell>
          <cell r="E3641" t="str">
            <v>Isla Fuerte</v>
          </cell>
          <cell r="H3641" t="str">
            <v>laboratorio</v>
          </cell>
          <cell r="J3641" t="str">
            <v>muybueno</v>
          </cell>
          <cell r="K3641" t="str">
            <v>defsi</v>
          </cell>
        </row>
        <row r="3642">
          <cell r="B3642" t="b">
            <v>1</v>
          </cell>
          <cell r="E3642" t="str">
            <v>Tierra Baja</v>
          </cell>
          <cell r="H3642" t="str">
            <v>laboratorio</v>
          </cell>
          <cell r="J3642" t="str">
            <v>bueno</v>
          </cell>
          <cell r="K3642" t="str">
            <v>probsi</v>
          </cell>
        </row>
        <row r="3643">
          <cell r="B3643" t="b">
            <v>1</v>
          </cell>
          <cell r="E3643" t="str">
            <v>Tierra Baja</v>
          </cell>
          <cell r="H3643" t="str">
            <v>consulta_externa</v>
          </cell>
          <cell r="J3643" t="str">
            <v>bueno</v>
          </cell>
          <cell r="K3643" t="str">
            <v>probsi</v>
          </cell>
        </row>
        <row r="3644">
          <cell r="B3644" t="b">
            <v>1</v>
          </cell>
          <cell r="E3644" t="str">
            <v>Tierra Baja</v>
          </cell>
          <cell r="H3644" t="str">
            <v>salud_oral</v>
          </cell>
          <cell r="J3644" t="str">
            <v>bueno</v>
          </cell>
          <cell r="K3644" t="str">
            <v>probsi</v>
          </cell>
        </row>
        <row r="3645">
          <cell r="B3645" t="b">
            <v>1</v>
          </cell>
          <cell r="E3645" t="str">
            <v>Isla Fuerte</v>
          </cell>
          <cell r="H3645" t="str">
            <v>consulta_externa</v>
          </cell>
          <cell r="J3645" t="str">
            <v>muybueno</v>
          </cell>
          <cell r="K3645" t="str">
            <v>defsi</v>
          </cell>
        </row>
        <row r="3646">
          <cell r="B3646" t="b">
            <v>1</v>
          </cell>
          <cell r="E3646" t="str">
            <v>Isla Fuerte</v>
          </cell>
          <cell r="H3646" t="str">
            <v>salud_oral</v>
          </cell>
          <cell r="J3646" t="str">
            <v>muybueno</v>
          </cell>
          <cell r="K3646" t="str">
            <v>defsi</v>
          </cell>
        </row>
        <row r="3647">
          <cell r="B3647" t="b">
            <v>1</v>
          </cell>
          <cell r="E3647" t="str">
            <v>Tierra Baja</v>
          </cell>
          <cell r="H3647" t="str">
            <v>laboratorio</v>
          </cell>
          <cell r="J3647" t="str">
            <v>bueno</v>
          </cell>
          <cell r="K3647" t="str">
            <v>probsi</v>
          </cell>
        </row>
        <row r="3648">
          <cell r="B3648" t="b">
            <v>1</v>
          </cell>
          <cell r="E3648" t="str">
            <v>Tierra Baja</v>
          </cell>
          <cell r="H3648" t="str">
            <v>consulta_externa</v>
          </cell>
          <cell r="J3648" t="str">
            <v>bueno</v>
          </cell>
          <cell r="K3648" t="str">
            <v>probsi</v>
          </cell>
        </row>
        <row r="3649">
          <cell r="B3649" t="b">
            <v>1</v>
          </cell>
          <cell r="E3649" t="str">
            <v>Tierra Baja</v>
          </cell>
          <cell r="H3649" t="str">
            <v>salud_oral</v>
          </cell>
          <cell r="J3649" t="str">
            <v>bueno</v>
          </cell>
          <cell r="K3649" t="str">
            <v>probsi</v>
          </cell>
        </row>
        <row r="3650">
          <cell r="B3650" t="b">
            <v>1</v>
          </cell>
          <cell r="E3650" t="str">
            <v>Tierra Baja</v>
          </cell>
          <cell r="H3650" t="str">
            <v>laboratorio</v>
          </cell>
          <cell r="J3650" t="str">
            <v>bueno</v>
          </cell>
          <cell r="K3650" t="str">
            <v>probsi</v>
          </cell>
        </row>
        <row r="3651">
          <cell r="B3651" t="b">
            <v>1</v>
          </cell>
          <cell r="E3651" t="str">
            <v>Tierra Baja</v>
          </cell>
          <cell r="H3651" t="str">
            <v>consulta_externa</v>
          </cell>
          <cell r="J3651" t="str">
            <v>bueno</v>
          </cell>
          <cell r="K3651" t="str">
            <v>probsi</v>
          </cell>
        </row>
        <row r="3652">
          <cell r="B3652" t="b">
            <v>1</v>
          </cell>
          <cell r="E3652" t="str">
            <v>Tierra Baja</v>
          </cell>
          <cell r="H3652" t="str">
            <v>salud_oral</v>
          </cell>
          <cell r="J3652" t="str">
            <v>bueno</v>
          </cell>
          <cell r="K3652" t="str">
            <v>probsi</v>
          </cell>
        </row>
        <row r="3653">
          <cell r="B3653" t="b">
            <v>1</v>
          </cell>
          <cell r="E3653" t="str">
            <v>Tierra Baja</v>
          </cell>
          <cell r="H3653" t="str">
            <v>salud_oral</v>
          </cell>
          <cell r="J3653" t="str">
            <v>bueno</v>
          </cell>
          <cell r="K3653" t="str">
            <v>probsi</v>
          </cell>
        </row>
        <row r="3654">
          <cell r="B3654" t="b">
            <v>1</v>
          </cell>
          <cell r="E3654" t="str">
            <v>Isla Fuerte</v>
          </cell>
          <cell r="H3654" t="str">
            <v>consulta_externa</v>
          </cell>
          <cell r="J3654" t="str">
            <v>muybueno</v>
          </cell>
          <cell r="K3654" t="str">
            <v>defsi</v>
          </cell>
        </row>
        <row r="3655">
          <cell r="B3655" t="b">
            <v>1</v>
          </cell>
          <cell r="E3655" t="str">
            <v>Isla Fuerte</v>
          </cell>
          <cell r="H3655" t="str">
            <v>salud_oral</v>
          </cell>
          <cell r="J3655" t="str">
            <v>muybueno</v>
          </cell>
          <cell r="K3655" t="str">
            <v>defsi</v>
          </cell>
        </row>
        <row r="3656">
          <cell r="B3656" t="b">
            <v>1</v>
          </cell>
          <cell r="E3656" t="str">
            <v>Isla Fuerte</v>
          </cell>
          <cell r="H3656" t="str">
            <v>consulta_externa</v>
          </cell>
          <cell r="J3656" t="str">
            <v>muybueno</v>
          </cell>
          <cell r="K3656" t="str">
            <v>defsi</v>
          </cell>
        </row>
        <row r="3657">
          <cell r="B3657" t="b">
            <v>1</v>
          </cell>
          <cell r="E3657" t="str">
            <v>Isla Fuerte</v>
          </cell>
          <cell r="H3657" t="str">
            <v>laboratorio</v>
          </cell>
          <cell r="J3657" t="str">
            <v>muybueno</v>
          </cell>
          <cell r="K3657" t="str">
            <v>defsi</v>
          </cell>
        </row>
        <row r="3658">
          <cell r="B3658" t="b">
            <v>1</v>
          </cell>
          <cell r="E3658" t="str">
            <v>Tierra Baja</v>
          </cell>
          <cell r="H3658" t="str">
            <v>laboratorio</v>
          </cell>
          <cell r="J3658" t="str">
            <v>bueno</v>
          </cell>
          <cell r="K3658" t="str">
            <v>defsi</v>
          </cell>
        </row>
        <row r="3659">
          <cell r="B3659" t="b">
            <v>1</v>
          </cell>
          <cell r="E3659" t="str">
            <v>Tierra Baja</v>
          </cell>
          <cell r="H3659" t="str">
            <v>consulta_externa</v>
          </cell>
          <cell r="J3659" t="str">
            <v>bueno</v>
          </cell>
          <cell r="K3659" t="str">
            <v>defsi</v>
          </cell>
        </row>
        <row r="3660">
          <cell r="B3660" t="b">
            <v>1</v>
          </cell>
          <cell r="E3660" t="str">
            <v>Tierra Baja</v>
          </cell>
          <cell r="H3660" t="str">
            <v>salud_oral</v>
          </cell>
          <cell r="J3660" t="str">
            <v>bueno</v>
          </cell>
          <cell r="K3660" t="str">
            <v>probsi</v>
          </cell>
        </row>
        <row r="3661">
          <cell r="B3661" t="b">
            <v>1</v>
          </cell>
          <cell r="E3661" t="str">
            <v>Isla Fuerte</v>
          </cell>
          <cell r="H3661" t="str">
            <v>consulta_externa</v>
          </cell>
          <cell r="J3661" t="str">
            <v>muybueno</v>
          </cell>
          <cell r="K3661" t="str">
            <v>defsi</v>
          </cell>
        </row>
        <row r="3662">
          <cell r="B3662" t="b">
            <v>1</v>
          </cell>
          <cell r="E3662" t="str">
            <v>Isla Fuerte</v>
          </cell>
          <cell r="H3662" t="str">
            <v>laboratorio</v>
          </cell>
          <cell r="J3662" t="str">
            <v>muybueno</v>
          </cell>
          <cell r="K3662" t="str">
            <v>defsi</v>
          </cell>
        </row>
        <row r="3663">
          <cell r="B3663" t="b">
            <v>1</v>
          </cell>
          <cell r="E3663" t="str">
            <v>Isla Fuerte</v>
          </cell>
          <cell r="H3663" t="str">
            <v>consulta_externa</v>
          </cell>
          <cell r="J3663" t="str">
            <v>muybueno</v>
          </cell>
          <cell r="K3663" t="str">
            <v>defsi</v>
          </cell>
        </row>
        <row r="3664">
          <cell r="B3664" t="b">
            <v>1</v>
          </cell>
          <cell r="E3664" t="str">
            <v>Isla Fuerte</v>
          </cell>
          <cell r="H3664" t="str">
            <v>salud_oral</v>
          </cell>
          <cell r="J3664" t="str">
            <v>muybueno</v>
          </cell>
          <cell r="K3664" t="str">
            <v>defsi</v>
          </cell>
        </row>
        <row r="3665">
          <cell r="B3665" t="b">
            <v>1</v>
          </cell>
          <cell r="E3665" t="str">
            <v>Isla Fuerte</v>
          </cell>
          <cell r="H3665" t="str">
            <v>consulta_externa</v>
          </cell>
          <cell r="J3665" t="str">
            <v>muybueno</v>
          </cell>
          <cell r="K3665" t="str">
            <v>defsi</v>
          </cell>
        </row>
        <row r="3666">
          <cell r="B3666" t="b">
            <v>1</v>
          </cell>
          <cell r="E3666" t="str">
            <v>Isla Fuerte</v>
          </cell>
          <cell r="H3666" t="str">
            <v>consulta_externa</v>
          </cell>
          <cell r="J3666" t="str">
            <v>muybueno</v>
          </cell>
          <cell r="K3666" t="str">
            <v>defsi</v>
          </cell>
        </row>
        <row r="3667">
          <cell r="B3667" t="b">
            <v>1</v>
          </cell>
          <cell r="E3667" t="str">
            <v>Isla Fuerte</v>
          </cell>
          <cell r="H3667" t="str">
            <v>laboratorio</v>
          </cell>
          <cell r="J3667" t="str">
            <v>muybueno</v>
          </cell>
          <cell r="K3667" t="str">
            <v>defsi</v>
          </cell>
        </row>
        <row r="3668">
          <cell r="B3668" t="b">
            <v>1</v>
          </cell>
          <cell r="E3668" t="str">
            <v>Bicentenario</v>
          </cell>
          <cell r="H3668" t="str">
            <v>consulta_externa</v>
          </cell>
          <cell r="J3668" t="str">
            <v>bueno</v>
          </cell>
          <cell r="K3668" t="str">
            <v>defsi</v>
          </cell>
        </row>
        <row r="3669">
          <cell r="B3669" t="b">
            <v>1</v>
          </cell>
          <cell r="E3669" t="str">
            <v>Isla Fuerte</v>
          </cell>
          <cell r="H3669" t="str">
            <v>consulta_externa</v>
          </cell>
          <cell r="J3669" t="str">
            <v>muybueno</v>
          </cell>
          <cell r="K3669" t="str">
            <v>defsi</v>
          </cell>
        </row>
        <row r="3670">
          <cell r="B3670" t="b">
            <v>1</v>
          </cell>
          <cell r="E3670" t="str">
            <v>Tierra Baja</v>
          </cell>
          <cell r="H3670" t="str">
            <v>consulta_externa</v>
          </cell>
          <cell r="J3670" t="str">
            <v>bueno</v>
          </cell>
          <cell r="K3670" t="str">
            <v>probsi</v>
          </cell>
        </row>
        <row r="3671">
          <cell r="B3671" t="b">
            <v>1</v>
          </cell>
          <cell r="E3671" t="str">
            <v>Isla Fuerte</v>
          </cell>
          <cell r="H3671" t="str">
            <v>laboratorio</v>
          </cell>
          <cell r="J3671" t="str">
            <v>muybueno</v>
          </cell>
          <cell r="K3671" t="str">
            <v>defsi</v>
          </cell>
        </row>
        <row r="3672">
          <cell r="B3672" t="b">
            <v>1</v>
          </cell>
          <cell r="E3672" t="str">
            <v>Tierra Baja</v>
          </cell>
          <cell r="H3672" t="str">
            <v>salud_oral</v>
          </cell>
          <cell r="J3672" t="str">
            <v>bueno</v>
          </cell>
          <cell r="K3672" t="str">
            <v>probsi</v>
          </cell>
        </row>
        <row r="3673">
          <cell r="B3673" t="b">
            <v>1</v>
          </cell>
          <cell r="E3673" t="str">
            <v>Isla Fuerte</v>
          </cell>
          <cell r="H3673" t="str">
            <v>consulta_externa</v>
          </cell>
          <cell r="J3673" t="str">
            <v>muybueno</v>
          </cell>
          <cell r="K3673" t="str">
            <v>defsi</v>
          </cell>
        </row>
        <row r="3674">
          <cell r="B3674" t="b">
            <v>1</v>
          </cell>
          <cell r="E3674" t="str">
            <v>Isla Fuerte</v>
          </cell>
          <cell r="H3674" t="str">
            <v>salud_oral</v>
          </cell>
          <cell r="J3674" t="str">
            <v>muybueno</v>
          </cell>
          <cell r="K3674" t="str">
            <v>defsi</v>
          </cell>
        </row>
        <row r="3675">
          <cell r="B3675" t="b">
            <v>1</v>
          </cell>
          <cell r="E3675" t="str">
            <v>Tierra Baja</v>
          </cell>
          <cell r="H3675" t="str">
            <v>consulta_externa</v>
          </cell>
          <cell r="J3675" t="str">
            <v>bueno</v>
          </cell>
          <cell r="K3675" t="str">
            <v>probsi</v>
          </cell>
        </row>
        <row r="3676">
          <cell r="B3676" t="b">
            <v>1</v>
          </cell>
          <cell r="E3676" t="str">
            <v>Tierra Baja</v>
          </cell>
          <cell r="H3676" t="str">
            <v>salud_oral</v>
          </cell>
          <cell r="J3676" t="str">
            <v>bueno</v>
          </cell>
          <cell r="K3676" t="str">
            <v>probsi</v>
          </cell>
        </row>
        <row r="3677">
          <cell r="B3677" t="b">
            <v>1</v>
          </cell>
          <cell r="E3677" t="str">
            <v>Tierra Baja</v>
          </cell>
          <cell r="H3677" t="str">
            <v>consulta_externa</v>
          </cell>
          <cell r="J3677" t="str">
            <v>bueno</v>
          </cell>
          <cell r="K3677" t="str">
            <v>probsi</v>
          </cell>
        </row>
        <row r="3678">
          <cell r="B3678" t="b">
            <v>1</v>
          </cell>
          <cell r="E3678" t="str">
            <v>Tierra Baja</v>
          </cell>
          <cell r="H3678" t="str">
            <v>consulta_externa</v>
          </cell>
          <cell r="J3678" t="str">
            <v>bueno</v>
          </cell>
          <cell r="K3678" t="str">
            <v>probsi</v>
          </cell>
        </row>
        <row r="3679">
          <cell r="B3679" t="b">
            <v>1</v>
          </cell>
          <cell r="E3679" t="str">
            <v>Isla Fuerte</v>
          </cell>
          <cell r="H3679" t="str">
            <v>consulta_externa</v>
          </cell>
          <cell r="J3679" t="str">
            <v>muybueno</v>
          </cell>
          <cell r="K3679" t="str">
            <v>defsi</v>
          </cell>
        </row>
        <row r="3680">
          <cell r="B3680" t="b">
            <v>1</v>
          </cell>
          <cell r="E3680" t="str">
            <v>Isla Fuerte</v>
          </cell>
          <cell r="H3680" t="str">
            <v>laboratorio</v>
          </cell>
          <cell r="J3680" t="str">
            <v>muybueno</v>
          </cell>
          <cell r="K3680" t="str">
            <v>defsi</v>
          </cell>
        </row>
        <row r="3681">
          <cell r="B3681" t="b">
            <v>1</v>
          </cell>
          <cell r="E3681" t="str">
            <v>Isla Fuerte</v>
          </cell>
          <cell r="H3681" t="str">
            <v>salud_oral</v>
          </cell>
          <cell r="J3681" t="str">
            <v>muybueno</v>
          </cell>
          <cell r="K3681" t="str">
            <v>defsi</v>
          </cell>
        </row>
        <row r="3682">
          <cell r="B3682" t="b">
            <v>1</v>
          </cell>
          <cell r="E3682" t="str">
            <v>Tierra Baja</v>
          </cell>
          <cell r="H3682" t="str">
            <v>salud_oral</v>
          </cell>
          <cell r="J3682" t="str">
            <v>bueno</v>
          </cell>
          <cell r="K3682" t="str">
            <v>probsi</v>
          </cell>
        </row>
        <row r="3683">
          <cell r="B3683" t="b">
            <v>1</v>
          </cell>
          <cell r="E3683" t="str">
            <v>Arroyo de Piedra</v>
          </cell>
          <cell r="H3683" t="str">
            <v>consulta_externa</v>
          </cell>
          <cell r="J3683" t="str">
            <v>bueno</v>
          </cell>
          <cell r="K3683" t="str">
            <v>defsi</v>
          </cell>
        </row>
        <row r="3684">
          <cell r="B3684" t="b">
            <v>1</v>
          </cell>
          <cell r="E3684" t="str">
            <v>Arroyo de Piedra</v>
          </cell>
          <cell r="H3684" t="str">
            <v>salud_oral</v>
          </cell>
          <cell r="J3684" t="str">
            <v>bueno</v>
          </cell>
          <cell r="K3684" t="str">
            <v>defsi</v>
          </cell>
        </row>
        <row r="3685">
          <cell r="B3685" t="b">
            <v>1</v>
          </cell>
          <cell r="E3685" t="str">
            <v>Arroyo de Piedra</v>
          </cell>
          <cell r="H3685" t="str">
            <v>laboratorio</v>
          </cell>
          <cell r="J3685" t="str">
            <v>bueno</v>
          </cell>
          <cell r="K3685" t="str">
            <v>defsi</v>
          </cell>
        </row>
        <row r="3686">
          <cell r="B3686" t="b">
            <v>1</v>
          </cell>
          <cell r="E3686" t="str">
            <v>Isla Fuerte</v>
          </cell>
          <cell r="H3686" t="str">
            <v>consulta_externa</v>
          </cell>
          <cell r="J3686" t="str">
            <v>muybueno</v>
          </cell>
          <cell r="K3686" t="str">
            <v>defsi</v>
          </cell>
        </row>
        <row r="3687">
          <cell r="B3687" t="b">
            <v>1</v>
          </cell>
          <cell r="E3687" t="str">
            <v>Isla Fuerte</v>
          </cell>
          <cell r="H3687" t="str">
            <v>laboratorio</v>
          </cell>
          <cell r="J3687" t="str">
            <v>muybueno</v>
          </cell>
          <cell r="K3687" t="str">
            <v>defsi</v>
          </cell>
        </row>
        <row r="3688">
          <cell r="B3688" t="b">
            <v>1</v>
          </cell>
          <cell r="E3688" t="str">
            <v>Tierra Baja</v>
          </cell>
          <cell r="H3688" t="str">
            <v>salud_oral</v>
          </cell>
          <cell r="J3688" t="str">
            <v>muybueno</v>
          </cell>
          <cell r="K3688" t="str">
            <v>probsi</v>
          </cell>
        </row>
        <row r="3689">
          <cell r="B3689" t="b">
            <v>1</v>
          </cell>
          <cell r="E3689" t="str">
            <v>Tierra Baja</v>
          </cell>
          <cell r="H3689" t="str">
            <v>consulta_externa</v>
          </cell>
          <cell r="J3689" t="str">
            <v>bueno</v>
          </cell>
          <cell r="K3689" t="str">
            <v>probsi</v>
          </cell>
        </row>
        <row r="3690">
          <cell r="B3690" t="b">
            <v>1</v>
          </cell>
          <cell r="E3690" t="str">
            <v>Tierra Baja</v>
          </cell>
          <cell r="H3690" t="str">
            <v>laboratorio</v>
          </cell>
          <cell r="J3690" t="str">
            <v>bueno</v>
          </cell>
          <cell r="K3690" t="str">
            <v>probsi</v>
          </cell>
        </row>
        <row r="3691">
          <cell r="B3691" t="b">
            <v>1</v>
          </cell>
          <cell r="E3691" t="str">
            <v>Isla Fuerte</v>
          </cell>
          <cell r="H3691" t="str">
            <v>consulta_externa</v>
          </cell>
          <cell r="J3691" t="str">
            <v>muybueno</v>
          </cell>
          <cell r="K3691" t="str">
            <v>defsi</v>
          </cell>
        </row>
        <row r="3692">
          <cell r="B3692" t="b">
            <v>1</v>
          </cell>
          <cell r="E3692" t="str">
            <v>Isla Fuerte</v>
          </cell>
          <cell r="H3692" t="str">
            <v>salud_oral</v>
          </cell>
          <cell r="J3692" t="str">
            <v>muybueno</v>
          </cell>
          <cell r="K3692" t="str">
            <v>defsi</v>
          </cell>
        </row>
        <row r="3693">
          <cell r="B3693" t="b">
            <v>1</v>
          </cell>
          <cell r="E3693" t="str">
            <v>Isla Fuerte</v>
          </cell>
          <cell r="H3693" t="str">
            <v>consulta_externa</v>
          </cell>
          <cell r="J3693" t="str">
            <v>muybueno</v>
          </cell>
          <cell r="K3693" t="str">
            <v>defsi</v>
          </cell>
        </row>
        <row r="3694">
          <cell r="B3694" t="b">
            <v>1</v>
          </cell>
          <cell r="E3694" t="str">
            <v>Arroyo de Piedra</v>
          </cell>
          <cell r="H3694" t="str">
            <v>consulta_externa</v>
          </cell>
          <cell r="J3694" t="str">
            <v>bueno</v>
          </cell>
          <cell r="K3694" t="str">
            <v>defsi</v>
          </cell>
        </row>
        <row r="3695">
          <cell r="B3695" t="b">
            <v>1</v>
          </cell>
          <cell r="E3695" t="str">
            <v>Isla Fuerte</v>
          </cell>
          <cell r="H3695" t="str">
            <v>salud_oral</v>
          </cell>
          <cell r="J3695" t="str">
            <v>muybueno</v>
          </cell>
          <cell r="K3695" t="str">
            <v>defsi</v>
          </cell>
        </row>
        <row r="3696">
          <cell r="B3696" t="b">
            <v>1</v>
          </cell>
          <cell r="E3696" t="str">
            <v>Arroyo de Piedra</v>
          </cell>
          <cell r="H3696" t="str">
            <v>salud_oral</v>
          </cell>
          <cell r="J3696" t="str">
            <v>bueno</v>
          </cell>
          <cell r="K3696" t="str">
            <v>defsi</v>
          </cell>
        </row>
        <row r="3697">
          <cell r="B3697" t="b">
            <v>1</v>
          </cell>
          <cell r="E3697" t="str">
            <v>Arroyo de Piedra</v>
          </cell>
          <cell r="H3697" t="str">
            <v>laboratorio</v>
          </cell>
          <cell r="J3697" t="str">
            <v>bueno</v>
          </cell>
          <cell r="K3697" t="str">
            <v>defsi</v>
          </cell>
        </row>
        <row r="3698">
          <cell r="B3698" t="b">
            <v>1</v>
          </cell>
          <cell r="E3698" t="str">
            <v>Isla Fuerte</v>
          </cell>
          <cell r="H3698" t="str">
            <v>consulta_externa</v>
          </cell>
          <cell r="J3698" t="str">
            <v>muybueno</v>
          </cell>
          <cell r="K3698" t="str">
            <v>defsi</v>
          </cell>
        </row>
        <row r="3699">
          <cell r="B3699" t="b">
            <v>1</v>
          </cell>
          <cell r="E3699" t="str">
            <v>Isla Fuerte</v>
          </cell>
          <cell r="H3699" t="str">
            <v>salud_oral</v>
          </cell>
          <cell r="J3699" t="str">
            <v>muybueno</v>
          </cell>
          <cell r="K3699" t="str">
            <v>defsi</v>
          </cell>
        </row>
        <row r="3700">
          <cell r="B3700" t="b">
            <v>1</v>
          </cell>
          <cell r="E3700" t="str">
            <v>Arroyo de Piedra</v>
          </cell>
          <cell r="H3700" t="str">
            <v>consulta_externa</v>
          </cell>
          <cell r="J3700" t="str">
            <v>bueno</v>
          </cell>
          <cell r="K3700" t="str">
            <v>defsi</v>
          </cell>
        </row>
        <row r="3701">
          <cell r="B3701" t="b">
            <v>1</v>
          </cell>
          <cell r="E3701" t="str">
            <v>Isla Fuerte</v>
          </cell>
          <cell r="H3701" t="str">
            <v>consulta_externa</v>
          </cell>
          <cell r="J3701" t="str">
            <v>muybueno</v>
          </cell>
          <cell r="K3701" t="str">
            <v>defsi</v>
          </cell>
        </row>
        <row r="3702">
          <cell r="B3702" t="b">
            <v>1</v>
          </cell>
          <cell r="E3702" t="str">
            <v>Isla Fuerte</v>
          </cell>
          <cell r="H3702" t="str">
            <v>salud_oral</v>
          </cell>
          <cell r="J3702" t="str">
            <v>muybueno</v>
          </cell>
          <cell r="K3702" t="str">
            <v>defsi</v>
          </cell>
        </row>
        <row r="3703">
          <cell r="B3703" t="b">
            <v>1</v>
          </cell>
          <cell r="E3703" t="str">
            <v>Arroyo de Piedra</v>
          </cell>
          <cell r="H3703" t="str">
            <v>salud_oral</v>
          </cell>
          <cell r="J3703" t="str">
            <v>bueno</v>
          </cell>
          <cell r="K3703" t="str">
            <v>defsi</v>
          </cell>
        </row>
        <row r="3704">
          <cell r="B3704" t="b">
            <v>1</v>
          </cell>
          <cell r="E3704" t="str">
            <v>Arroyo de Piedra</v>
          </cell>
          <cell r="H3704" t="str">
            <v>laboratorio</v>
          </cell>
          <cell r="J3704" t="str">
            <v>bueno</v>
          </cell>
          <cell r="K3704" t="str">
            <v>defsi</v>
          </cell>
        </row>
        <row r="3705">
          <cell r="B3705" t="b">
            <v>1</v>
          </cell>
          <cell r="E3705" t="str">
            <v>Arroyo de Piedra</v>
          </cell>
          <cell r="H3705" t="str">
            <v>consulta_externa</v>
          </cell>
          <cell r="J3705" t="str">
            <v>bueno</v>
          </cell>
          <cell r="K3705" t="str">
            <v>defsi</v>
          </cell>
        </row>
        <row r="3706">
          <cell r="B3706" t="b">
            <v>1</v>
          </cell>
          <cell r="E3706" t="str">
            <v>Arroyo de Piedra</v>
          </cell>
          <cell r="H3706" t="str">
            <v>salud_oral</v>
          </cell>
          <cell r="J3706" t="str">
            <v>bueno</v>
          </cell>
          <cell r="K3706" t="str">
            <v>defsi</v>
          </cell>
        </row>
        <row r="3707">
          <cell r="B3707" t="b">
            <v>1</v>
          </cell>
          <cell r="E3707" t="str">
            <v>Isla Fuerte</v>
          </cell>
          <cell r="H3707" t="str">
            <v>consulta_externa</v>
          </cell>
          <cell r="J3707" t="str">
            <v>muybueno</v>
          </cell>
          <cell r="K3707" t="str">
            <v>defsi</v>
          </cell>
        </row>
        <row r="3708">
          <cell r="B3708" t="b">
            <v>1</v>
          </cell>
          <cell r="E3708" t="str">
            <v>Arroyo de Piedra</v>
          </cell>
          <cell r="H3708" t="str">
            <v>laboratorio</v>
          </cell>
          <cell r="J3708" t="str">
            <v>bueno</v>
          </cell>
          <cell r="K3708" t="str">
            <v>defsi</v>
          </cell>
        </row>
        <row r="3709">
          <cell r="B3709" t="b">
            <v>1</v>
          </cell>
          <cell r="E3709" t="str">
            <v>Isla Fuerte</v>
          </cell>
          <cell r="H3709" t="str">
            <v>salud_oral</v>
          </cell>
          <cell r="J3709" t="str">
            <v>muybueno</v>
          </cell>
          <cell r="K3709" t="str">
            <v>defsi</v>
          </cell>
        </row>
        <row r="3710">
          <cell r="B3710" t="b">
            <v>1</v>
          </cell>
          <cell r="E3710" t="str">
            <v>Tierra Baja</v>
          </cell>
          <cell r="H3710" t="str">
            <v>consulta_externa</v>
          </cell>
          <cell r="J3710" t="str">
            <v>bueno</v>
          </cell>
          <cell r="K3710" t="str">
            <v>probsi</v>
          </cell>
        </row>
        <row r="3711">
          <cell r="B3711" t="b">
            <v>1</v>
          </cell>
          <cell r="E3711" t="str">
            <v>Tierra Baja</v>
          </cell>
          <cell r="H3711" t="str">
            <v>salud_oral</v>
          </cell>
          <cell r="J3711" t="str">
            <v>bueno</v>
          </cell>
          <cell r="K3711" t="str">
            <v>probsi</v>
          </cell>
        </row>
        <row r="3712">
          <cell r="B3712" t="b">
            <v>1</v>
          </cell>
          <cell r="E3712" t="str">
            <v>Isla Fuerte</v>
          </cell>
          <cell r="H3712" t="str">
            <v>consulta_externa</v>
          </cell>
          <cell r="J3712" t="str">
            <v>muybueno</v>
          </cell>
          <cell r="K3712" t="str">
            <v>defsi</v>
          </cell>
        </row>
        <row r="3713">
          <cell r="B3713" t="b">
            <v>1</v>
          </cell>
          <cell r="E3713" t="str">
            <v>Isla Fuerte</v>
          </cell>
          <cell r="H3713" t="str">
            <v>salud_oral</v>
          </cell>
          <cell r="J3713" t="str">
            <v>muybueno</v>
          </cell>
          <cell r="K3713" t="str">
            <v>defsi</v>
          </cell>
        </row>
        <row r="3714">
          <cell r="B3714" t="b">
            <v>1</v>
          </cell>
          <cell r="E3714" t="str">
            <v>Arroyo de Piedra</v>
          </cell>
          <cell r="H3714" t="str">
            <v>consulta_externa</v>
          </cell>
          <cell r="J3714" t="str">
            <v>bueno</v>
          </cell>
          <cell r="K3714" t="str">
            <v>defsi</v>
          </cell>
        </row>
        <row r="3715">
          <cell r="B3715" t="b">
            <v>1</v>
          </cell>
          <cell r="E3715" t="str">
            <v>Arroyo de Piedra</v>
          </cell>
          <cell r="H3715" t="str">
            <v>salud_oral</v>
          </cell>
          <cell r="J3715" t="str">
            <v>bueno</v>
          </cell>
          <cell r="K3715" t="str">
            <v>defsi</v>
          </cell>
        </row>
        <row r="3716">
          <cell r="B3716" t="b">
            <v>1</v>
          </cell>
          <cell r="E3716" t="str">
            <v>Arroyo de Piedra</v>
          </cell>
          <cell r="H3716" t="str">
            <v>laboratorio</v>
          </cell>
          <cell r="J3716" t="str">
            <v>bueno</v>
          </cell>
          <cell r="K3716" t="str">
            <v>defsi</v>
          </cell>
        </row>
        <row r="3717">
          <cell r="B3717" t="b">
            <v>1</v>
          </cell>
          <cell r="E3717" t="str">
            <v>Isla Fuerte</v>
          </cell>
          <cell r="H3717" t="str">
            <v>consulta_externa</v>
          </cell>
          <cell r="J3717" t="str">
            <v>muybueno</v>
          </cell>
          <cell r="K3717" t="str">
            <v>defsi</v>
          </cell>
        </row>
        <row r="3718">
          <cell r="B3718" t="b">
            <v>1</v>
          </cell>
          <cell r="E3718" t="str">
            <v>Isla Fuerte</v>
          </cell>
          <cell r="H3718" t="str">
            <v>laboratorio</v>
          </cell>
          <cell r="J3718" t="str">
            <v>muybueno</v>
          </cell>
          <cell r="K3718" t="str">
            <v>defsi</v>
          </cell>
        </row>
        <row r="3719">
          <cell r="B3719" t="b">
            <v>1</v>
          </cell>
          <cell r="E3719" t="str">
            <v>Arroyo de Piedra</v>
          </cell>
          <cell r="H3719" t="str">
            <v>consulta_externa</v>
          </cell>
          <cell r="J3719" t="str">
            <v>bueno</v>
          </cell>
          <cell r="K3719" t="str">
            <v>defsi</v>
          </cell>
        </row>
        <row r="3720">
          <cell r="B3720" t="b">
            <v>1</v>
          </cell>
          <cell r="E3720" t="str">
            <v>Isla Fuerte</v>
          </cell>
          <cell r="H3720" t="str">
            <v>consulta_externa</v>
          </cell>
          <cell r="J3720" t="str">
            <v>muybueno</v>
          </cell>
          <cell r="K3720" t="str">
            <v>defsi</v>
          </cell>
        </row>
        <row r="3721">
          <cell r="B3721" t="b">
            <v>1</v>
          </cell>
          <cell r="E3721" t="str">
            <v>Arroyo de Piedra</v>
          </cell>
          <cell r="H3721" t="str">
            <v>salud_oral</v>
          </cell>
          <cell r="J3721" t="str">
            <v>bueno</v>
          </cell>
          <cell r="K3721" t="str">
            <v>defsi</v>
          </cell>
        </row>
        <row r="3722">
          <cell r="B3722" t="b">
            <v>1</v>
          </cell>
          <cell r="E3722" t="str">
            <v>Isla Fuerte</v>
          </cell>
          <cell r="H3722" t="str">
            <v>laboratorio</v>
          </cell>
          <cell r="J3722" t="str">
            <v>muybueno</v>
          </cell>
          <cell r="K3722" t="str">
            <v>defsi</v>
          </cell>
        </row>
        <row r="3723">
          <cell r="B3723" t="b">
            <v>1</v>
          </cell>
          <cell r="E3723" t="str">
            <v>Arroyo de Piedra</v>
          </cell>
          <cell r="H3723" t="str">
            <v>laboratorio</v>
          </cell>
          <cell r="J3723" t="str">
            <v>bueno</v>
          </cell>
          <cell r="K3723" t="str">
            <v>defsi</v>
          </cell>
        </row>
        <row r="3724">
          <cell r="B3724" t="b">
            <v>1</v>
          </cell>
          <cell r="E3724" t="str">
            <v>Isla Fuerte</v>
          </cell>
          <cell r="H3724" t="str">
            <v>consulta_externa</v>
          </cell>
          <cell r="J3724" t="str">
            <v>muybueno</v>
          </cell>
          <cell r="K3724" t="str">
            <v>defsi</v>
          </cell>
        </row>
        <row r="3725">
          <cell r="B3725" t="b">
            <v>1</v>
          </cell>
          <cell r="E3725" t="str">
            <v>Isla Fuerte</v>
          </cell>
          <cell r="H3725" t="str">
            <v>laboratorio</v>
          </cell>
          <cell r="J3725" t="str">
            <v>muybueno</v>
          </cell>
          <cell r="K3725" t="str">
            <v>defsi</v>
          </cell>
        </row>
        <row r="3726">
          <cell r="B3726" t="b">
            <v>1</v>
          </cell>
          <cell r="E3726" t="str">
            <v>Isla Fuerte</v>
          </cell>
          <cell r="H3726" t="str">
            <v>consulta_externa</v>
          </cell>
          <cell r="J3726" t="str">
            <v>muybueno</v>
          </cell>
          <cell r="K3726" t="str">
            <v>defsi</v>
          </cell>
        </row>
        <row r="3727">
          <cell r="B3727" t="b">
            <v>1</v>
          </cell>
          <cell r="E3727" t="str">
            <v>Isla Fuerte</v>
          </cell>
          <cell r="H3727" t="str">
            <v>salud_oral</v>
          </cell>
          <cell r="J3727" t="str">
            <v>muybueno</v>
          </cell>
          <cell r="K3727" t="str">
            <v>defsi</v>
          </cell>
        </row>
        <row r="3728">
          <cell r="B3728" t="b">
            <v>1</v>
          </cell>
          <cell r="E3728" t="str">
            <v>Isla Fuerte</v>
          </cell>
          <cell r="H3728" t="str">
            <v>laboratorio</v>
          </cell>
          <cell r="J3728" t="str">
            <v>muybueno</v>
          </cell>
          <cell r="K3728" t="str">
            <v>defsi</v>
          </cell>
        </row>
        <row r="3729">
          <cell r="B3729" t="b">
            <v>1</v>
          </cell>
          <cell r="E3729" t="str">
            <v>Isla Fuerte</v>
          </cell>
          <cell r="H3729" t="str">
            <v>consulta_externa</v>
          </cell>
          <cell r="J3729" t="str">
            <v>muybueno</v>
          </cell>
          <cell r="K3729" t="str">
            <v>defsi</v>
          </cell>
        </row>
        <row r="3730">
          <cell r="B3730" t="b">
            <v>1</v>
          </cell>
          <cell r="E3730" t="str">
            <v>Isla Fuerte</v>
          </cell>
          <cell r="H3730" t="str">
            <v>salud_oral</v>
          </cell>
          <cell r="J3730" t="str">
            <v>muybueno</v>
          </cell>
          <cell r="K3730" t="str">
            <v>defsi</v>
          </cell>
        </row>
        <row r="3731">
          <cell r="B3731" t="b">
            <v>1</v>
          </cell>
          <cell r="E3731" t="str">
            <v>Isla Fuerte</v>
          </cell>
          <cell r="H3731" t="str">
            <v>consulta_externa</v>
          </cell>
          <cell r="J3731" t="str">
            <v>muybueno</v>
          </cell>
          <cell r="K3731" t="str">
            <v>defsi</v>
          </cell>
        </row>
        <row r="3732">
          <cell r="B3732" t="b">
            <v>1</v>
          </cell>
          <cell r="E3732" t="str">
            <v>Isla Fuerte</v>
          </cell>
          <cell r="H3732" t="str">
            <v>consulta_externa</v>
          </cell>
          <cell r="J3732" t="str">
            <v>muybueno</v>
          </cell>
          <cell r="K3732" t="str">
            <v>defsi</v>
          </cell>
        </row>
        <row r="3733">
          <cell r="B3733" t="b">
            <v>1</v>
          </cell>
          <cell r="E3733" t="str">
            <v>Isla Fuerte</v>
          </cell>
          <cell r="H3733" t="str">
            <v>laboratorio</v>
          </cell>
          <cell r="J3733" t="str">
            <v>muybueno</v>
          </cell>
          <cell r="K3733" t="str">
            <v>defsi</v>
          </cell>
        </row>
        <row r="3734">
          <cell r="B3734" t="b">
            <v>1</v>
          </cell>
          <cell r="E3734" t="str">
            <v>Tierra Baja</v>
          </cell>
          <cell r="H3734" t="str">
            <v>consulta_externa</v>
          </cell>
          <cell r="J3734" t="str">
            <v>bueno</v>
          </cell>
          <cell r="K3734" t="str">
            <v>probsi</v>
          </cell>
        </row>
        <row r="3735">
          <cell r="B3735" t="b">
            <v>1</v>
          </cell>
          <cell r="E3735" t="str">
            <v>Tierra Baja</v>
          </cell>
          <cell r="H3735" t="str">
            <v>salud_oral</v>
          </cell>
          <cell r="J3735" t="str">
            <v>bueno</v>
          </cell>
          <cell r="K3735" t="str">
            <v>probsi</v>
          </cell>
        </row>
        <row r="3736">
          <cell r="B3736" t="b">
            <v>1</v>
          </cell>
          <cell r="E3736" t="str">
            <v>Isla del Rosario</v>
          </cell>
          <cell r="H3736" t="str">
            <v>consulta_externa</v>
          </cell>
          <cell r="J3736" t="str">
            <v>muybueno</v>
          </cell>
          <cell r="K3736" t="str">
            <v>defsi</v>
          </cell>
        </row>
        <row r="3737">
          <cell r="B3737" t="b">
            <v>1</v>
          </cell>
          <cell r="E3737" t="str">
            <v>Isla del Rosario</v>
          </cell>
          <cell r="H3737" t="str">
            <v>laboratorio</v>
          </cell>
          <cell r="J3737" t="str">
            <v>muybueno</v>
          </cell>
          <cell r="K3737" t="str">
            <v>defsi</v>
          </cell>
        </row>
        <row r="3738">
          <cell r="B3738" t="b">
            <v>1</v>
          </cell>
          <cell r="E3738" t="str">
            <v>Isla del Rosario</v>
          </cell>
          <cell r="H3738" t="str">
            <v>consulta_externa</v>
          </cell>
          <cell r="J3738" t="str">
            <v>muybueno</v>
          </cell>
          <cell r="K3738" t="str">
            <v>defsi</v>
          </cell>
        </row>
        <row r="3739">
          <cell r="B3739" t="b">
            <v>1</v>
          </cell>
          <cell r="E3739" t="str">
            <v>Isla del Rosario</v>
          </cell>
          <cell r="H3739" t="str">
            <v>salud_oral</v>
          </cell>
          <cell r="J3739" t="str">
            <v>muybueno</v>
          </cell>
          <cell r="K3739" t="str">
            <v>defsi</v>
          </cell>
        </row>
        <row r="3740">
          <cell r="B3740" t="b">
            <v>1</v>
          </cell>
          <cell r="E3740" t="str">
            <v>Tierra Baja</v>
          </cell>
          <cell r="H3740" t="str">
            <v>consulta_externa</v>
          </cell>
          <cell r="J3740" t="str">
            <v>bueno</v>
          </cell>
          <cell r="K3740" t="str">
            <v>probsi</v>
          </cell>
        </row>
        <row r="3741">
          <cell r="B3741" t="b">
            <v>1</v>
          </cell>
          <cell r="E3741" t="str">
            <v>Tierra Baja</v>
          </cell>
          <cell r="H3741" t="str">
            <v>consulta_externa</v>
          </cell>
          <cell r="J3741" t="str">
            <v>bueno</v>
          </cell>
          <cell r="K3741" t="str">
            <v>probsi</v>
          </cell>
        </row>
        <row r="3742">
          <cell r="B3742" t="b">
            <v>1</v>
          </cell>
          <cell r="E3742" t="str">
            <v>Tierra Baja</v>
          </cell>
          <cell r="H3742" t="str">
            <v>salud_oral</v>
          </cell>
          <cell r="J3742" t="str">
            <v>bueno</v>
          </cell>
          <cell r="K3742" t="str">
            <v>probsi</v>
          </cell>
        </row>
        <row r="3743">
          <cell r="B3743" t="b">
            <v>1</v>
          </cell>
          <cell r="E3743" t="str">
            <v>Tierra Baja</v>
          </cell>
          <cell r="H3743" t="str">
            <v>salud_oral</v>
          </cell>
          <cell r="J3743" t="str">
            <v>bueno</v>
          </cell>
          <cell r="K3743" t="str">
            <v>probsi</v>
          </cell>
        </row>
        <row r="3744">
          <cell r="B3744" t="b">
            <v>1</v>
          </cell>
          <cell r="E3744" t="str">
            <v>Tierra Baja</v>
          </cell>
          <cell r="H3744" t="str">
            <v>salud_oral</v>
          </cell>
          <cell r="J3744" t="str">
            <v>bueno</v>
          </cell>
          <cell r="K3744" t="str">
            <v>probsi</v>
          </cell>
        </row>
        <row r="3745">
          <cell r="B3745" t="b">
            <v>1</v>
          </cell>
          <cell r="E3745" t="str">
            <v>Tierra Baja</v>
          </cell>
          <cell r="H3745" t="str">
            <v>laboratorio</v>
          </cell>
          <cell r="J3745" t="str">
            <v>bueno</v>
          </cell>
          <cell r="K3745" t="str">
            <v>probsi</v>
          </cell>
        </row>
        <row r="3746">
          <cell r="B3746" t="b">
            <v>1</v>
          </cell>
          <cell r="E3746" t="str">
            <v>Tierra Baja</v>
          </cell>
          <cell r="H3746" t="str">
            <v>laboratorio</v>
          </cell>
          <cell r="J3746" t="str">
            <v>bueno</v>
          </cell>
          <cell r="K3746" t="str">
            <v>probsi</v>
          </cell>
        </row>
        <row r="3747">
          <cell r="B3747" t="b">
            <v>1</v>
          </cell>
          <cell r="E3747" t="str">
            <v>Tierra Baja</v>
          </cell>
          <cell r="H3747" t="str">
            <v>laboratorio</v>
          </cell>
          <cell r="J3747" t="str">
            <v>bueno</v>
          </cell>
          <cell r="K3747" t="str">
            <v>probsi</v>
          </cell>
        </row>
        <row r="3748">
          <cell r="B3748" t="b">
            <v>1</v>
          </cell>
          <cell r="E3748" t="str">
            <v>Isla del Rosario</v>
          </cell>
          <cell r="H3748" t="str">
            <v>consulta_externa</v>
          </cell>
          <cell r="J3748" t="str">
            <v>muybueno</v>
          </cell>
          <cell r="K3748" t="str">
            <v>defsi</v>
          </cell>
        </row>
        <row r="3749">
          <cell r="B3749" t="b">
            <v>1</v>
          </cell>
          <cell r="E3749" t="str">
            <v>Isla del Rosario</v>
          </cell>
          <cell r="H3749" t="str">
            <v>laboratorio</v>
          </cell>
          <cell r="J3749" t="str">
            <v>muybueno</v>
          </cell>
          <cell r="K3749" t="str">
            <v>defsi</v>
          </cell>
        </row>
        <row r="3750">
          <cell r="B3750" t="b">
            <v>1</v>
          </cell>
          <cell r="E3750" t="str">
            <v>Tierra Baja</v>
          </cell>
          <cell r="H3750" t="str">
            <v>consulta_externa</v>
          </cell>
          <cell r="J3750" t="str">
            <v>bueno</v>
          </cell>
          <cell r="K3750" t="str">
            <v>probsi</v>
          </cell>
        </row>
        <row r="3751">
          <cell r="B3751" t="b">
            <v>1</v>
          </cell>
          <cell r="E3751" t="str">
            <v>Tierra Baja</v>
          </cell>
          <cell r="H3751" t="str">
            <v>salud_oral</v>
          </cell>
          <cell r="J3751" t="str">
            <v>bueno</v>
          </cell>
          <cell r="K3751" t="str">
            <v>probsi</v>
          </cell>
        </row>
        <row r="3752">
          <cell r="B3752" t="b">
            <v>1</v>
          </cell>
          <cell r="E3752" t="str">
            <v>Arroyo de Piedra</v>
          </cell>
          <cell r="H3752" t="str">
            <v>consulta_externa</v>
          </cell>
          <cell r="J3752" t="str">
            <v>bueno</v>
          </cell>
          <cell r="K3752" t="str">
            <v>defsi</v>
          </cell>
        </row>
        <row r="3753">
          <cell r="B3753" t="b">
            <v>1</v>
          </cell>
          <cell r="E3753" t="str">
            <v>Hospital Pozon</v>
          </cell>
          <cell r="H3753" t="str">
            <v>pediatria</v>
          </cell>
          <cell r="J3753" t="str">
            <v>bueno</v>
          </cell>
          <cell r="K3753" t="str">
            <v>defsi</v>
          </cell>
        </row>
        <row r="3754">
          <cell r="B3754" t="b">
            <v>1</v>
          </cell>
          <cell r="E3754" t="str">
            <v>Hospital Pozon</v>
          </cell>
          <cell r="H3754" t="str">
            <v>pediatria</v>
          </cell>
          <cell r="J3754" t="str">
            <v>bueno</v>
          </cell>
          <cell r="K3754" t="str">
            <v>defsi</v>
          </cell>
        </row>
        <row r="3755">
          <cell r="B3755" t="b">
            <v>1</v>
          </cell>
          <cell r="E3755" t="str">
            <v>Arroyo de Piedra</v>
          </cell>
          <cell r="H3755" t="str">
            <v>salud_oral</v>
          </cell>
          <cell r="J3755" t="str">
            <v>bueno</v>
          </cell>
          <cell r="K3755" t="str">
            <v>defsi</v>
          </cell>
        </row>
        <row r="3756">
          <cell r="B3756" t="b">
            <v>1</v>
          </cell>
          <cell r="E3756" t="str">
            <v>Arroyo de Piedra</v>
          </cell>
          <cell r="H3756" t="str">
            <v>laboratorio</v>
          </cell>
          <cell r="J3756" t="str">
            <v>bueno</v>
          </cell>
          <cell r="K3756" t="str">
            <v>defsi</v>
          </cell>
        </row>
        <row r="3757">
          <cell r="B3757" t="b">
            <v>1</v>
          </cell>
          <cell r="E3757" t="str">
            <v>Hospital Pozon</v>
          </cell>
          <cell r="H3757" t="str">
            <v>pediatria</v>
          </cell>
          <cell r="J3757" t="str">
            <v>bueno</v>
          </cell>
          <cell r="K3757" t="str">
            <v>defsi</v>
          </cell>
        </row>
        <row r="3758">
          <cell r="B3758" t="b">
            <v>1</v>
          </cell>
          <cell r="E3758" t="str">
            <v>Arroyo de Piedra</v>
          </cell>
          <cell r="H3758" t="str">
            <v>consulta_externa</v>
          </cell>
          <cell r="J3758" t="str">
            <v>bueno</v>
          </cell>
          <cell r="K3758" t="str">
            <v>defsi</v>
          </cell>
        </row>
        <row r="3759">
          <cell r="B3759" t="b">
            <v>1</v>
          </cell>
          <cell r="E3759" t="str">
            <v>Hospital Pozon</v>
          </cell>
          <cell r="H3759" t="str">
            <v>pediatria</v>
          </cell>
          <cell r="J3759" t="str">
            <v>bueno</v>
          </cell>
          <cell r="K3759" t="str">
            <v>defsi</v>
          </cell>
        </row>
        <row r="3760">
          <cell r="B3760" t="b">
            <v>1</v>
          </cell>
          <cell r="E3760" t="str">
            <v>Arroyo de Piedra</v>
          </cell>
          <cell r="H3760" t="str">
            <v>salud_oral</v>
          </cell>
          <cell r="J3760" t="str">
            <v>bueno</v>
          </cell>
          <cell r="K3760" t="str">
            <v>defsi</v>
          </cell>
        </row>
        <row r="3761">
          <cell r="B3761" t="b">
            <v>1</v>
          </cell>
          <cell r="E3761" t="str">
            <v>Hospital Pozon</v>
          </cell>
          <cell r="H3761" t="str">
            <v>ginecologia</v>
          </cell>
          <cell r="J3761" t="str">
            <v>bueno</v>
          </cell>
          <cell r="K3761" t="str">
            <v>defsi</v>
          </cell>
        </row>
        <row r="3762">
          <cell r="B3762" t="b">
            <v>1</v>
          </cell>
          <cell r="E3762" t="str">
            <v>Arroyo de Piedra</v>
          </cell>
          <cell r="H3762" t="str">
            <v>laboratorio</v>
          </cell>
          <cell r="J3762" t="str">
            <v>bueno</v>
          </cell>
          <cell r="K3762" t="str">
            <v>defsi</v>
          </cell>
        </row>
        <row r="3763">
          <cell r="B3763" t="b">
            <v>1</v>
          </cell>
          <cell r="E3763" t="str">
            <v>Isla del Rosario</v>
          </cell>
          <cell r="H3763" t="str">
            <v>consulta_externa</v>
          </cell>
          <cell r="J3763" t="str">
            <v>muybueno</v>
          </cell>
          <cell r="K3763" t="str">
            <v>defsi</v>
          </cell>
        </row>
        <row r="3764">
          <cell r="B3764" t="b">
            <v>1</v>
          </cell>
          <cell r="E3764" t="str">
            <v>Hospital Pozon</v>
          </cell>
          <cell r="H3764" t="str">
            <v>ginecologia</v>
          </cell>
          <cell r="J3764" t="str">
            <v>bueno</v>
          </cell>
          <cell r="K3764" t="str">
            <v>defsi</v>
          </cell>
        </row>
        <row r="3765">
          <cell r="B3765" t="b">
            <v>1</v>
          </cell>
          <cell r="E3765" t="str">
            <v>Isla del Rosario</v>
          </cell>
          <cell r="H3765" t="str">
            <v>laboratorio</v>
          </cell>
          <cell r="J3765" t="str">
            <v>muybueno</v>
          </cell>
          <cell r="K3765" t="str">
            <v>defsi</v>
          </cell>
        </row>
        <row r="3766">
          <cell r="B3766" t="b">
            <v>1</v>
          </cell>
          <cell r="E3766" t="str">
            <v>Isla del Rosario</v>
          </cell>
          <cell r="H3766" t="str">
            <v>salud_oral</v>
          </cell>
          <cell r="J3766" t="str">
            <v>muybueno</v>
          </cell>
          <cell r="K3766" t="str">
            <v>defsi</v>
          </cell>
        </row>
        <row r="3767">
          <cell r="B3767" t="b">
            <v>1</v>
          </cell>
          <cell r="E3767" t="str">
            <v>Hospital Pozon</v>
          </cell>
          <cell r="H3767" t="str">
            <v>salud_oral</v>
          </cell>
          <cell r="J3767" t="str">
            <v>bueno</v>
          </cell>
          <cell r="K3767" t="str">
            <v>defsi</v>
          </cell>
        </row>
        <row r="3768">
          <cell r="B3768" t="b">
            <v>1</v>
          </cell>
          <cell r="E3768" t="str">
            <v>Hospital Pozon</v>
          </cell>
          <cell r="H3768" t="str">
            <v>salud_oral</v>
          </cell>
          <cell r="J3768" t="str">
            <v>bueno</v>
          </cell>
          <cell r="K3768" t="str">
            <v>defsi</v>
          </cell>
        </row>
        <row r="3769">
          <cell r="B3769" t="b">
            <v>1</v>
          </cell>
          <cell r="E3769" t="str">
            <v>Arroyo de Piedra</v>
          </cell>
          <cell r="H3769" t="str">
            <v>consulta_externa</v>
          </cell>
          <cell r="J3769" t="str">
            <v>bueno</v>
          </cell>
          <cell r="K3769" t="str">
            <v>defsi</v>
          </cell>
        </row>
        <row r="3770">
          <cell r="B3770" t="b">
            <v>1</v>
          </cell>
          <cell r="E3770" t="str">
            <v>Arroyo de Piedra</v>
          </cell>
          <cell r="H3770" t="str">
            <v>salud_oral</v>
          </cell>
          <cell r="J3770" t="str">
            <v>bueno</v>
          </cell>
          <cell r="K3770" t="str">
            <v>defsi</v>
          </cell>
        </row>
        <row r="3771">
          <cell r="B3771" t="b">
            <v>1</v>
          </cell>
          <cell r="E3771" t="str">
            <v>Isla del Rosario</v>
          </cell>
          <cell r="H3771" t="str">
            <v>consulta_externa</v>
          </cell>
          <cell r="J3771" t="str">
            <v>muybueno</v>
          </cell>
          <cell r="K3771" t="str">
            <v>defsi</v>
          </cell>
        </row>
        <row r="3772">
          <cell r="B3772" t="b">
            <v>1</v>
          </cell>
          <cell r="E3772" t="str">
            <v>Arroyo de Piedra</v>
          </cell>
          <cell r="H3772" t="str">
            <v>laboratorio</v>
          </cell>
          <cell r="J3772" t="str">
            <v>bueno</v>
          </cell>
          <cell r="K3772" t="str">
            <v>defsi</v>
          </cell>
        </row>
        <row r="3773">
          <cell r="B3773" t="b">
            <v>1</v>
          </cell>
          <cell r="E3773" t="str">
            <v>Isla del Rosario</v>
          </cell>
          <cell r="H3773" t="str">
            <v>laboratorio</v>
          </cell>
          <cell r="J3773" t="str">
            <v>muybueno</v>
          </cell>
          <cell r="K3773" t="str">
            <v>defsi</v>
          </cell>
        </row>
        <row r="3774">
          <cell r="B3774" t="b">
            <v>1</v>
          </cell>
          <cell r="E3774" t="str">
            <v>Arroyo de Piedra</v>
          </cell>
          <cell r="H3774" t="str">
            <v>consulta_externa</v>
          </cell>
          <cell r="J3774" t="str">
            <v>bueno</v>
          </cell>
          <cell r="K3774" t="str">
            <v>defsi</v>
          </cell>
        </row>
        <row r="3775">
          <cell r="B3775" t="b">
            <v>1</v>
          </cell>
          <cell r="E3775" t="str">
            <v>Hospital Pozon</v>
          </cell>
          <cell r="H3775" t="str">
            <v>consulta_externa</v>
          </cell>
          <cell r="J3775" t="str">
            <v>muybueno</v>
          </cell>
          <cell r="K3775" t="str">
            <v>defsi</v>
          </cell>
        </row>
        <row r="3776">
          <cell r="B3776" t="b">
            <v>1</v>
          </cell>
          <cell r="E3776" t="str">
            <v>Arroyo de Piedra</v>
          </cell>
          <cell r="H3776" t="str">
            <v>salud_oral</v>
          </cell>
          <cell r="J3776" t="str">
            <v>bueno</v>
          </cell>
          <cell r="K3776" t="str">
            <v>defsi</v>
          </cell>
        </row>
        <row r="3777">
          <cell r="B3777" t="b">
            <v>1</v>
          </cell>
          <cell r="E3777" t="str">
            <v>Hospital Pozon</v>
          </cell>
          <cell r="H3777" t="str">
            <v>consulta_externa</v>
          </cell>
          <cell r="J3777" t="str">
            <v>bueno</v>
          </cell>
          <cell r="K3777" t="str">
            <v>defsi</v>
          </cell>
        </row>
        <row r="3778">
          <cell r="B3778" t="b">
            <v>1</v>
          </cell>
          <cell r="E3778" t="str">
            <v>Arroyo de Piedra</v>
          </cell>
          <cell r="H3778" t="str">
            <v>laboratorio</v>
          </cell>
          <cell r="J3778" t="str">
            <v>bueno</v>
          </cell>
          <cell r="K3778" t="str">
            <v>defsi</v>
          </cell>
        </row>
        <row r="3779">
          <cell r="B3779" t="b">
            <v>1</v>
          </cell>
          <cell r="E3779" t="str">
            <v>Tierra Baja</v>
          </cell>
          <cell r="H3779" t="str">
            <v>laboratorio</v>
          </cell>
          <cell r="J3779" t="str">
            <v>bueno</v>
          </cell>
          <cell r="K3779" t="str">
            <v>probsi</v>
          </cell>
        </row>
        <row r="3780">
          <cell r="B3780" t="b">
            <v>1</v>
          </cell>
          <cell r="E3780" t="str">
            <v>Tierra Baja</v>
          </cell>
          <cell r="H3780" t="str">
            <v>laboratorio</v>
          </cell>
          <cell r="J3780" t="str">
            <v>bueno</v>
          </cell>
          <cell r="K3780" t="str">
            <v>probsi</v>
          </cell>
        </row>
        <row r="3781">
          <cell r="B3781" t="b">
            <v>1</v>
          </cell>
          <cell r="E3781" t="str">
            <v>Tierra Baja</v>
          </cell>
          <cell r="H3781" t="str">
            <v>laboratorio</v>
          </cell>
          <cell r="J3781" t="str">
            <v>bueno</v>
          </cell>
          <cell r="K3781" t="str">
            <v>probsi</v>
          </cell>
        </row>
        <row r="3782">
          <cell r="B3782" t="b">
            <v>1</v>
          </cell>
          <cell r="E3782" t="str">
            <v>Tierra Baja</v>
          </cell>
          <cell r="H3782" t="str">
            <v>laboratorio</v>
          </cell>
          <cell r="J3782" t="str">
            <v>bueno</v>
          </cell>
          <cell r="K3782" t="str">
            <v>probsi</v>
          </cell>
        </row>
        <row r="3783">
          <cell r="B3783" t="b">
            <v>1</v>
          </cell>
          <cell r="E3783" t="str">
            <v>Hospital Pozon</v>
          </cell>
          <cell r="H3783" t="str">
            <v>consulta_externa</v>
          </cell>
          <cell r="J3783" t="str">
            <v>muybueno</v>
          </cell>
          <cell r="K3783" t="str">
            <v>defsi</v>
          </cell>
        </row>
        <row r="3784">
          <cell r="B3784" t="b">
            <v>1</v>
          </cell>
          <cell r="E3784" t="str">
            <v>Tierra Baja</v>
          </cell>
          <cell r="H3784" t="str">
            <v>laboratorio</v>
          </cell>
          <cell r="J3784" t="str">
            <v>bueno</v>
          </cell>
          <cell r="K3784" t="str">
            <v>probsi</v>
          </cell>
        </row>
        <row r="3785">
          <cell r="B3785" t="b">
            <v>1</v>
          </cell>
          <cell r="E3785" t="str">
            <v>Tierra Baja</v>
          </cell>
          <cell r="H3785" t="str">
            <v>laboratorio</v>
          </cell>
          <cell r="J3785" t="str">
            <v>bueno</v>
          </cell>
          <cell r="K3785" t="str">
            <v>probsi</v>
          </cell>
        </row>
        <row r="3786">
          <cell r="B3786" t="b">
            <v>1</v>
          </cell>
          <cell r="E3786" t="str">
            <v>Tierra Baja</v>
          </cell>
          <cell r="H3786" t="str">
            <v>laboratorio</v>
          </cell>
          <cell r="J3786" t="str">
            <v>bueno</v>
          </cell>
          <cell r="K3786" t="str">
            <v>probsi</v>
          </cell>
        </row>
        <row r="3787">
          <cell r="B3787" t="b">
            <v>1</v>
          </cell>
          <cell r="E3787" t="str">
            <v>Tierra Baja</v>
          </cell>
          <cell r="H3787" t="str">
            <v>laboratorio</v>
          </cell>
          <cell r="J3787" t="str">
            <v>bueno</v>
          </cell>
          <cell r="K3787" t="str">
            <v>probsi</v>
          </cell>
        </row>
        <row r="3788">
          <cell r="B3788" t="b">
            <v>1</v>
          </cell>
          <cell r="E3788" t="str">
            <v>Tierra Baja</v>
          </cell>
          <cell r="H3788" t="str">
            <v>laboratorio</v>
          </cell>
          <cell r="J3788" t="str">
            <v>bueno</v>
          </cell>
          <cell r="K3788" t="str">
            <v>probsi</v>
          </cell>
        </row>
        <row r="3789">
          <cell r="B3789" t="b">
            <v>1</v>
          </cell>
          <cell r="E3789" t="str">
            <v>Tierra Baja</v>
          </cell>
          <cell r="H3789" t="str">
            <v>laboratorio</v>
          </cell>
          <cell r="J3789" t="str">
            <v>bueno</v>
          </cell>
          <cell r="K3789" t="str">
            <v>probsi</v>
          </cell>
        </row>
        <row r="3790">
          <cell r="B3790" t="b">
            <v>1</v>
          </cell>
          <cell r="E3790" t="str">
            <v>Tierra Baja</v>
          </cell>
          <cell r="H3790" t="str">
            <v>consulta_externa</v>
          </cell>
          <cell r="J3790" t="str">
            <v>bueno</v>
          </cell>
          <cell r="K3790" t="str">
            <v>probsi</v>
          </cell>
        </row>
        <row r="3791">
          <cell r="B3791" t="b">
            <v>1</v>
          </cell>
          <cell r="E3791" t="str">
            <v>Tierra Baja</v>
          </cell>
          <cell r="H3791" t="str">
            <v>consulta_externa</v>
          </cell>
          <cell r="J3791" t="str">
            <v>bueno</v>
          </cell>
          <cell r="K3791" t="str">
            <v>probsi</v>
          </cell>
        </row>
        <row r="3792">
          <cell r="B3792" t="b">
            <v>1</v>
          </cell>
          <cell r="E3792" t="str">
            <v>Isla del Rosario</v>
          </cell>
          <cell r="H3792" t="str">
            <v>consulta_externa</v>
          </cell>
          <cell r="J3792" t="str">
            <v>muybueno</v>
          </cell>
          <cell r="K3792" t="str">
            <v>defsi</v>
          </cell>
        </row>
        <row r="3793">
          <cell r="B3793" t="b">
            <v>1</v>
          </cell>
          <cell r="E3793" t="str">
            <v>Isla del Rosario</v>
          </cell>
          <cell r="H3793" t="str">
            <v>consulta_externa</v>
          </cell>
          <cell r="J3793" t="str">
            <v>muybueno</v>
          </cell>
          <cell r="K3793" t="str">
            <v>defsi</v>
          </cell>
        </row>
        <row r="3794">
          <cell r="B3794" t="b">
            <v>1</v>
          </cell>
          <cell r="E3794" t="str">
            <v>Isla del Rosario</v>
          </cell>
          <cell r="H3794" t="str">
            <v>laboratorio</v>
          </cell>
          <cell r="J3794" t="str">
            <v>muybueno</v>
          </cell>
          <cell r="K3794" t="str">
            <v>defsi</v>
          </cell>
        </row>
        <row r="3795">
          <cell r="B3795" t="b">
            <v>1</v>
          </cell>
          <cell r="E3795" t="str">
            <v>Hospital Pozon</v>
          </cell>
          <cell r="H3795" t="str">
            <v>pediatria</v>
          </cell>
          <cell r="J3795" t="str">
            <v>bueno</v>
          </cell>
          <cell r="K3795" t="str">
            <v>defsi</v>
          </cell>
        </row>
        <row r="3796">
          <cell r="B3796" t="b">
            <v>1</v>
          </cell>
          <cell r="E3796" t="str">
            <v>Hospital Pozon</v>
          </cell>
          <cell r="H3796" t="str">
            <v>pediatria</v>
          </cell>
          <cell r="J3796" t="str">
            <v>bueno</v>
          </cell>
          <cell r="K3796" t="str">
            <v>defsi</v>
          </cell>
        </row>
        <row r="3797">
          <cell r="B3797" t="b">
            <v>1</v>
          </cell>
          <cell r="E3797" t="str">
            <v>Isla del Rosario</v>
          </cell>
          <cell r="H3797" t="str">
            <v>consulta_externa</v>
          </cell>
          <cell r="J3797" t="str">
            <v>muybueno</v>
          </cell>
          <cell r="K3797" t="str">
            <v>defsi</v>
          </cell>
        </row>
        <row r="3798">
          <cell r="B3798" t="b">
            <v>0</v>
          </cell>
          <cell r="E3798" t="str">
            <v>Hospital Pozon</v>
          </cell>
          <cell r="H3798" t="str">
            <v>laboratorio</v>
          </cell>
          <cell r="J3798" t="str">
            <v>regular</v>
          </cell>
          <cell r="K3798" t="str">
            <v>defsi</v>
          </cell>
        </row>
        <row r="3799">
          <cell r="B3799" t="b">
            <v>1</v>
          </cell>
          <cell r="E3799" t="str">
            <v>Isla del Rosario</v>
          </cell>
          <cell r="H3799" t="str">
            <v>laboratorio</v>
          </cell>
          <cell r="J3799" t="str">
            <v>muybueno</v>
          </cell>
          <cell r="K3799" t="str">
            <v>defsi</v>
          </cell>
        </row>
        <row r="3800">
          <cell r="B3800" t="b">
            <v>1</v>
          </cell>
          <cell r="E3800" t="str">
            <v>Hospital Pozon</v>
          </cell>
          <cell r="H3800" t="str">
            <v>consulta_externa</v>
          </cell>
          <cell r="J3800" t="str">
            <v>bueno</v>
          </cell>
          <cell r="K3800" t="str">
            <v>defsi</v>
          </cell>
        </row>
        <row r="3801">
          <cell r="B3801" t="b">
            <v>1</v>
          </cell>
          <cell r="E3801" t="str">
            <v>Hospital Pozon</v>
          </cell>
          <cell r="H3801" t="str">
            <v>rx</v>
          </cell>
          <cell r="J3801" t="str">
            <v>bueno</v>
          </cell>
          <cell r="K3801" t="str">
            <v>defsi</v>
          </cell>
        </row>
        <row r="3802">
          <cell r="B3802" t="b">
            <v>1</v>
          </cell>
          <cell r="E3802" t="str">
            <v>Hospital Pozon</v>
          </cell>
          <cell r="H3802" t="str">
            <v>consulta_externa</v>
          </cell>
          <cell r="J3802" t="str">
            <v>bueno</v>
          </cell>
          <cell r="K3802" t="str">
            <v>defsi</v>
          </cell>
        </row>
        <row r="3803">
          <cell r="B3803" t="b">
            <v>1</v>
          </cell>
          <cell r="E3803" t="str">
            <v>Isla del Rosario</v>
          </cell>
          <cell r="H3803" t="str">
            <v>consulta_externa</v>
          </cell>
          <cell r="J3803" t="str">
            <v>muybueno</v>
          </cell>
          <cell r="K3803" t="str">
            <v>defsi</v>
          </cell>
        </row>
        <row r="3804">
          <cell r="B3804" t="b">
            <v>1</v>
          </cell>
          <cell r="E3804" t="str">
            <v>Isla del Rosario</v>
          </cell>
          <cell r="H3804" t="str">
            <v>laboratorio</v>
          </cell>
          <cell r="J3804" t="str">
            <v>muybueno</v>
          </cell>
          <cell r="K3804" t="str">
            <v>defsi</v>
          </cell>
        </row>
        <row r="3805">
          <cell r="B3805" t="b">
            <v>1</v>
          </cell>
          <cell r="E3805" t="str">
            <v>Hospital Pozon</v>
          </cell>
          <cell r="H3805" t="str">
            <v>consulta_externa</v>
          </cell>
          <cell r="J3805" t="str">
            <v>bueno</v>
          </cell>
          <cell r="K3805" t="str">
            <v>defsi</v>
          </cell>
        </row>
        <row r="3806">
          <cell r="B3806" t="b">
            <v>1</v>
          </cell>
          <cell r="E3806" t="str">
            <v>Hospital Pozon</v>
          </cell>
          <cell r="H3806" t="str">
            <v>laboratorio</v>
          </cell>
          <cell r="J3806" t="str">
            <v>bueno</v>
          </cell>
          <cell r="K3806" t="str">
            <v>defsi</v>
          </cell>
        </row>
        <row r="3807">
          <cell r="B3807" t="b">
            <v>1</v>
          </cell>
          <cell r="E3807" t="str">
            <v>Hospital Pozon</v>
          </cell>
          <cell r="H3807" t="str">
            <v>laboratorio</v>
          </cell>
          <cell r="J3807" t="str">
            <v>bueno</v>
          </cell>
          <cell r="K3807" t="str">
            <v>defsi</v>
          </cell>
        </row>
        <row r="3808">
          <cell r="B3808" t="b">
            <v>1</v>
          </cell>
          <cell r="E3808" t="str">
            <v>Hospital Pozon</v>
          </cell>
          <cell r="H3808" t="str">
            <v>consulta_externa</v>
          </cell>
          <cell r="J3808" t="str">
            <v>muybueno</v>
          </cell>
          <cell r="K3808" t="str">
            <v>defsi</v>
          </cell>
        </row>
        <row r="3809">
          <cell r="B3809" t="b">
            <v>1</v>
          </cell>
          <cell r="E3809" t="str">
            <v>Isla del Rosario</v>
          </cell>
          <cell r="H3809" t="str">
            <v>consulta_externa</v>
          </cell>
          <cell r="J3809" t="str">
            <v>muybueno</v>
          </cell>
          <cell r="K3809" t="str">
            <v>defsi</v>
          </cell>
        </row>
        <row r="3810">
          <cell r="B3810" t="b">
            <v>1</v>
          </cell>
          <cell r="E3810" t="str">
            <v>Isla del Rosario</v>
          </cell>
          <cell r="H3810" t="str">
            <v>salud_oral</v>
          </cell>
          <cell r="J3810" t="str">
            <v>muybueno</v>
          </cell>
          <cell r="K3810" t="str">
            <v>defsi</v>
          </cell>
        </row>
        <row r="3811">
          <cell r="B3811" t="b">
            <v>1</v>
          </cell>
          <cell r="E3811" t="str">
            <v>Hospital Pozon</v>
          </cell>
          <cell r="H3811" t="str">
            <v>consulta_externa</v>
          </cell>
          <cell r="J3811" t="str">
            <v>bueno</v>
          </cell>
          <cell r="K3811" t="str">
            <v>defsi</v>
          </cell>
        </row>
        <row r="3812">
          <cell r="B3812" t="b">
            <v>1</v>
          </cell>
          <cell r="E3812" t="str">
            <v>Hospital Pozon</v>
          </cell>
          <cell r="H3812" t="str">
            <v>laboratorio</v>
          </cell>
          <cell r="J3812" t="str">
            <v>bueno</v>
          </cell>
          <cell r="K3812" t="str">
            <v>defsi</v>
          </cell>
        </row>
        <row r="3813">
          <cell r="B3813" t="b">
            <v>1</v>
          </cell>
          <cell r="E3813" t="str">
            <v>Hospital Pozon</v>
          </cell>
          <cell r="H3813" t="str">
            <v>consulta_externa</v>
          </cell>
          <cell r="J3813" t="str">
            <v>bueno</v>
          </cell>
          <cell r="K3813" t="str">
            <v>defsi</v>
          </cell>
        </row>
        <row r="3814">
          <cell r="B3814" t="b">
            <v>1</v>
          </cell>
          <cell r="E3814" t="str">
            <v>Hospital Pozon</v>
          </cell>
          <cell r="H3814" t="str">
            <v>pediatria</v>
          </cell>
          <cell r="J3814" t="str">
            <v>bueno</v>
          </cell>
          <cell r="K3814" t="str">
            <v>defsi</v>
          </cell>
        </row>
        <row r="3815">
          <cell r="B3815" t="b">
            <v>1</v>
          </cell>
          <cell r="E3815" t="str">
            <v>Hospital Pozon</v>
          </cell>
          <cell r="H3815" t="str">
            <v>pediatria</v>
          </cell>
          <cell r="J3815" t="str">
            <v>bueno</v>
          </cell>
          <cell r="K3815" t="str">
            <v>defsi</v>
          </cell>
        </row>
        <row r="3816">
          <cell r="B3816" t="b">
            <v>1</v>
          </cell>
          <cell r="E3816" t="str">
            <v>Hospital Pozon</v>
          </cell>
          <cell r="H3816" t="str">
            <v>pediatria</v>
          </cell>
          <cell r="J3816" t="str">
            <v>bueno</v>
          </cell>
          <cell r="K3816" t="str">
            <v>defsi</v>
          </cell>
        </row>
        <row r="3817">
          <cell r="B3817" t="b">
            <v>1</v>
          </cell>
          <cell r="E3817" t="str">
            <v>Hospital Pozon</v>
          </cell>
          <cell r="H3817" t="str">
            <v>pediatria</v>
          </cell>
          <cell r="J3817" t="str">
            <v>muybueno</v>
          </cell>
          <cell r="K3817" t="str">
            <v>defsi</v>
          </cell>
        </row>
        <row r="3818">
          <cell r="B3818" t="b">
            <v>0</v>
          </cell>
          <cell r="E3818" t="str">
            <v>Hospital Pozon</v>
          </cell>
          <cell r="H3818" t="str">
            <v>pediatria</v>
          </cell>
          <cell r="J3818" t="str">
            <v>regular</v>
          </cell>
          <cell r="K3818" t="str">
            <v>probsi</v>
          </cell>
        </row>
        <row r="3819">
          <cell r="B3819" t="b">
            <v>1</v>
          </cell>
          <cell r="E3819" t="str">
            <v>Hospital Pozon</v>
          </cell>
          <cell r="H3819" t="str">
            <v>pediatria</v>
          </cell>
          <cell r="J3819" t="str">
            <v>bueno</v>
          </cell>
          <cell r="K3819" t="str">
            <v>defsi</v>
          </cell>
        </row>
        <row r="3820">
          <cell r="B3820" t="b">
            <v>1</v>
          </cell>
          <cell r="E3820" t="str">
            <v>Hospital Pozon</v>
          </cell>
          <cell r="H3820" t="str">
            <v>pediatria</v>
          </cell>
          <cell r="J3820" t="str">
            <v>bueno</v>
          </cell>
          <cell r="K3820" t="str">
            <v>defsi</v>
          </cell>
        </row>
        <row r="3821">
          <cell r="B3821" t="b">
            <v>1</v>
          </cell>
          <cell r="E3821" t="str">
            <v>Hospital Pozon</v>
          </cell>
          <cell r="H3821" t="str">
            <v>consulta_externa</v>
          </cell>
          <cell r="J3821" t="str">
            <v>bueno</v>
          </cell>
          <cell r="K3821" t="str">
            <v>defsi</v>
          </cell>
        </row>
        <row r="3822">
          <cell r="B3822" t="b">
            <v>1</v>
          </cell>
          <cell r="E3822" t="str">
            <v>Hospital Pozon</v>
          </cell>
          <cell r="H3822" t="str">
            <v>consulta_externa</v>
          </cell>
          <cell r="J3822" t="str">
            <v>bueno</v>
          </cell>
          <cell r="K3822" t="str">
            <v>defsi</v>
          </cell>
        </row>
        <row r="3823">
          <cell r="B3823" t="b">
            <v>1</v>
          </cell>
          <cell r="E3823" t="str">
            <v>Hospital Pozon</v>
          </cell>
          <cell r="H3823" t="str">
            <v>salud_oral</v>
          </cell>
          <cell r="J3823" t="str">
            <v>muybueno</v>
          </cell>
          <cell r="K3823" t="str">
            <v>defsi</v>
          </cell>
        </row>
        <row r="3824">
          <cell r="B3824" t="b">
            <v>1</v>
          </cell>
          <cell r="E3824" t="str">
            <v>Hospital Pozon</v>
          </cell>
          <cell r="H3824" t="str">
            <v>consulta_externa</v>
          </cell>
          <cell r="J3824" t="str">
            <v>bueno</v>
          </cell>
          <cell r="K3824" t="str">
            <v>defno</v>
          </cell>
        </row>
        <row r="3825">
          <cell r="B3825" t="b">
            <v>1</v>
          </cell>
          <cell r="E3825" t="str">
            <v>Tierra Baja</v>
          </cell>
          <cell r="H3825" t="str">
            <v>salud_oral</v>
          </cell>
          <cell r="J3825" t="str">
            <v>bueno</v>
          </cell>
          <cell r="K3825" t="str">
            <v>probsi</v>
          </cell>
        </row>
        <row r="3826">
          <cell r="B3826" t="b">
            <v>1</v>
          </cell>
          <cell r="E3826" t="str">
            <v>Tierra Baja</v>
          </cell>
          <cell r="H3826" t="str">
            <v>salud_oral</v>
          </cell>
          <cell r="J3826" t="str">
            <v>bueno</v>
          </cell>
          <cell r="K3826" t="str">
            <v>probsi</v>
          </cell>
        </row>
        <row r="3827">
          <cell r="B3827" t="b">
            <v>1</v>
          </cell>
          <cell r="E3827" t="str">
            <v>Tierra Baja</v>
          </cell>
          <cell r="H3827" t="str">
            <v>salud_oral</v>
          </cell>
          <cell r="J3827" t="str">
            <v>bueno</v>
          </cell>
          <cell r="K3827" t="str">
            <v>probsi</v>
          </cell>
        </row>
        <row r="3828">
          <cell r="B3828" t="b">
            <v>1</v>
          </cell>
          <cell r="E3828" t="str">
            <v>Tierra Baja</v>
          </cell>
          <cell r="H3828" t="str">
            <v>salud_oral</v>
          </cell>
          <cell r="J3828" t="str">
            <v>bueno</v>
          </cell>
          <cell r="K3828" t="str">
            <v>probsi</v>
          </cell>
        </row>
        <row r="3829">
          <cell r="B3829" t="b">
            <v>1</v>
          </cell>
          <cell r="E3829" t="str">
            <v>Tierra Baja</v>
          </cell>
          <cell r="H3829" t="str">
            <v>salud_oral</v>
          </cell>
          <cell r="J3829" t="str">
            <v>bueno</v>
          </cell>
          <cell r="K3829" t="str">
            <v>probsi</v>
          </cell>
        </row>
        <row r="3830">
          <cell r="B3830" t="b">
            <v>1</v>
          </cell>
          <cell r="E3830" t="str">
            <v>Tierra Baja</v>
          </cell>
          <cell r="H3830" t="str">
            <v>salud_oral</v>
          </cell>
          <cell r="J3830" t="str">
            <v>bueno</v>
          </cell>
          <cell r="K3830" t="str">
            <v>probsi</v>
          </cell>
        </row>
        <row r="3831">
          <cell r="B3831" t="b">
            <v>1</v>
          </cell>
          <cell r="E3831" t="str">
            <v>Tierra Baja</v>
          </cell>
          <cell r="H3831" t="str">
            <v>salud_oral</v>
          </cell>
          <cell r="J3831" t="str">
            <v>bueno</v>
          </cell>
          <cell r="K3831" t="str">
            <v>probsi</v>
          </cell>
        </row>
        <row r="3832">
          <cell r="B3832" t="b">
            <v>1</v>
          </cell>
          <cell r="E3832" t="str">
            <v>Tierra Baja</v>
          </cell>
          <cell r="H3832" t="str">
            <v>consulta_externa</v>
          </cell>
          <cell r="J3832" t="str">
            <v>bueno</v>
          </cell>
          <cell r="K3832" t="str">
            <v>probsi</v>
          </cell>
        </row>
        <row r="3833">
          <cell r="B3833" t="b">
            <v>1</v>
          </cell>
          <cell r="E3833" t="str">
            <v>Puerto Rey</v>
          </cell>
          <cell r="H3833" t="str">
            <v>consulta_externa</v>
          </cell>
          <cell r="J3833" t="str">
            <v>bueno</v>
          </cell>
          <cell r="K3833" t="str">
            <v>probsi</v>
          </cell>
        </row>
        <row r="3834">
          <cell r="B3834" t="b">
            <v>1</v>
          </cell>
          <cell r="E3834" t="str">
            <v>Puerto Rey</v>
          </cell>
          <cell r="H3834" t="str">
            <v>consulta_externa</v>
          </cell>
          <cell r="J3834" t="str">
            <v>bueno</v>
          </cell>
          <cell r="K3834" t="str">
            <v>probsi</v>
          </cell>
        </row>
        <row r="3835">
          <cell r="B3835" t="b">
            <v>1</v>
          </cell>
          <cell r="E3835" t="str">
            <v>Puerto Rey</v>
          </cell>
          <cell r="H3835" t="str">
            <v>consulta_externa</v>
          </cell>
          <cell r="J3835" t="str">
            <v>bueno</v>
          </cell>
          <cell r="K3835" t="str">
            <v>probsi</v>
          </cell>
        </row>
        <row r="3836">
          <cell r="B3836" t="b">
            <v>1</v>
          </cell>
          <cell r="E3836" t="str">
            <v>Puerto Rey</v>
          </cell>
          <cell r="H3836" t="str">
            <v>consulta_externa</v>
          </cell>
          <cell r="J3836" t="str">
            <v>bueno</v>
          </cell>
          <cell r="K3836" t="str">
            <v>probsi</v>
          </cell>
        </row>
        <row r="3837">
          <cell r="B3837" t="b">
            <v>1</v>
          </cell>
          <cell r="E3837" t="str">
            <v>Puerto Rey</v>
          </cell>
          <cell r="H3837" t="str">
            <v>consulta_externa</v>
          </cell>
          <cell r="J3837" t="str">
            <v>bueno</v>
          </cell>
          <cell r="K3837" t="str">
            <v>probsi</v>
          </cell>
        </row>
        <row r="3838">
          <cell r="B3838" t="b">
            <v>1</v>
          </cell>
          <cell r="E3838" t="str">
            <v>Puerto Rey</v>
          </cell>
          <cell r="H3838" t="str">
            <v>laboratorio</v>
          </cell>
          <cell r="J3838" t="str">
            <v>bueno</v>
          </cell>
          <cell r="K3838" t="str">
            <v>probsi</v>
          </cell>
        </row>
        <row r="3839">
          <cell r="B3839" t="b">
            <v>1</v>
          </cell>
          <cell r="E3839" t="str">
            <v>Puerto Rey</v>
          </cell>
          <cell r="H3839" t="str">
            <v>laboratorio</v>
          </cell>
          <cell r="J3839" t="str">
            <v>bueno</v>
          </cell>
          <cell r="K3839" t="str">
            <v>probsi</v>
          </cell>
        </row>
        <row r="3840">
          <cell r="B3840" t="b">
            <v>1</v>
          </cell>
          <cell r="E3840" t="str">
            <v>Puerto Rey</v>
          </cell>
          <cell r="H3840" t="str">
            <v>laboratorio</v>
          </cell>
          <cell r="J3840" t="str">
            <v>bueno</v>
          </cell>
          <cell r="K3840" t="str">
            <v>probsi</v>
          </cell>
        </row>
        <row r="3841">
          <cell r="B3841" t="b">
            <v>1</v>
          </cell>
          <cell r="E3841" t="str">
            <v>Puerto Rey</v>
          </cell>
          <cell r="H3841" t="str">
            <v>laboratorio</v>
          </cell>
          <cell r="J3841" t="str">
            <v>bueno</v>
          </cell>
          <cell r="K3841" t="str">
            <v>probsi</v>
          </cell>
        </row>
        <row r="3842">
          <cell r="B3842" t="b">
            <v>1</v>
          </cell>
          <cell r="E3842" t="str">
            <v>Hospital Pozon</v>
          </cell>
          <cell r="H3842" t="str">
            <v>urgencia</v>
          </cell>
          <cell r="J3842" t="str">
            <v>bueno</v>
          </cell>
          <cell r="K3842" t="str">
            <v>probsi</v>
          </cell>
        </row>
        <row r="3843">
          <cell r="B3843" t="b">
            <v>1</v>
          </cell>
          <cell r="E3843" t="str">
            <v>Puerto Rey</v>
          </cell>
          <cell r="H3843" t="str">
            <v>laboratorio</v>
          </cell>
          <cell r="J3843" t="str">
            <v>bueno</v>
          </cell>
          <cell r="K3843" t="str">
            <v>probsi</v>
          </cell>
        </row>
        <row r="3844">
          <cell r="B3844" t="b">
            <v>1</v>
          </cell>
          <cell r="E3844" t="str">
            <v>Puerto Rey</v>
          </cell>
          <cell r="H3844" t="str">
            <v>salud_oral</v>
          </cell>
          <cell r="J3844" t="str">
            <v>bueno</v>
          </cell>
          <cell r="K3844" t="str">
            <v>probsi</v>
          </cell>
        </row>
        <row r="3845">
          <cell r="B3845" t="b">
            <v>1</v>
          </cell>
          <cell r="E3845" t="str">
            <v>Puerto Rey</v>
          </cell>
          <cell r="H3845" t="str">
            <v>salud_oral</v>
          </cell>
          <cell r="J3845" t="str">
            <v>bueno</v>
          </cell>
          <cell r="K3845" t="str">
            <v>probsi</v>
          </cell>
        </row>
        <row r="3846">
          <cell r="B3846" t="b">
            <v>1</v>
          </cell>
          <cell r="E3846" t="str">
            <v>Puerto Rey</v>
          </cell>
          <cell r="H3846" t="str">
            <v>salud_oral</v>
          </cell>
          <cell r="J3846" t="str">
            <v>bueno</v>
          </cell>
          <cell r="K3846" t="str">
            <v>probsi</v>
          </cell>
        </row>
        <row r="3847">
          <cell r="B3847" t="b">
            <v>1</v>
          </cell>
          <cell r="E3847" t="str">
            <v>Puerto Rey</v>
          </cell>
          <cell r="H3847" t="str">
            <v>salud_oral</v>
          </cell>
          <cell r="J3847" t="str">
            <v>bueno</v>
          </cell>
          <cell r="K3847" t="str">
            <v>probsi</v>
          </cell>
        </row>
        <row r="3848">
          <cell r="B3848" t="b">
            <v>1</v>
          </cell>
          <cell r="E3848" t="str">
            <v>Puerto Rey</v>
          </cell>
          <cell r="H3848" t="str">
            <v>salud_oral</v>
          </cell>
          <cell r="J3848" t="str">
            <v>bueno</v>
          </cell>
          <cell r="K3848" t="str">
            <v>probsi</v>
          </cell>
        </row>
        <row r="3849">
          <cell r="B3849" t="b">
            <v>0</v>
          </cell>
          <cell r="E3849" t="str">
            <v>Hospital Pozon</v>
          </cell>
          <cell r="H3849" t="str">
            <v>urgencia</v>
          </cell>
          <cell r="J3849" t="str">
            <v>malo</v>
          </cell>
          <cell r="K3849" t="str">
            <v>defno</v>
          </cell>
        </row>
        <row r="3850">
          <cell r="B3850" t="b">
            <v>0</v>
          </cell>
          <cell r="E3850" t="str">
            <v>Hospital Pozon</v>
          </cell>
          <cell r="H3850" t="str">
            <v>urgencia</v>
          </cell>
          <cell r="J3850" t="str">
            <v>regular</v>
          </cell>
          <cell r="K3850" t="str">
            <v>defsi</v>
          </cell>
        </row>
        <row r="3851">
          <cell r="B3851" t="b">
            <v>0</v>
          </cell>
          <cell r="E3851" t="str">
            <v>Hospital Pozon</v>
          </cell>
          <cell r="H3851" t="str">
            <v>urgencia</v>
          </cell>
          <cell r="J3851" t="str">
            <v>regular</v>
          </cell>
          <cell r="K3851" t="str">
            <v>probsi</v>
          </cell>
        </row>
        <row r="3852">
          <cell r="B3852" t="b">
            <v>0</v>
          </cell>
          <cell r="E3852" t="str">
            <v>Hospital Pozon</v>
          </cell>
          <cell r="H3852" t="str">
            <v>urgencia</v>
          </cell>
          <cell r="J3852" t="str">
            <v>regular</v>
          </cell>
          <cell r="K3852" t="str">
            <v>probsi</v>
          </cell>
        </row>
        <row r="3853">
          <cell r="B3853" t="b">
            <v>1</v>
          </cell>
          <cell r="E3853" t="str">
            <v>Hospital Pozon</v>
          </cell>
          <cell r="H3853" t="str">
            <v>urgencia</v>
          </cell>
          <cell r="J3853" t="str">
            <v>bueno</v>
          </cell>
          <cell r="K3853" t="str">
            <v>defsi</v>
          </cell>
        </row>
        <row r="3854">
          <cell r="B3854" t="b">
            <v>1</v>
          </cell>
          <cell r="E3854" t="str">
            <v>Hospital Pozon</v>
          </cell>
          <cell r="H3854" t="str">
            <v>urgencia</v>
          </cell>
          <cell r="J3854" t="str">
            <v>bueno</v>
          </cell>
          <cell r="K3854" t="str">
            <v>defsi</v>
          </cell>
        </row>
        <row r="3855">
          <cell r="B3855" t="b">
            <v>1</v>
          </cell>
          <cell r="E3855" t="str">
            <v>Isla del Rosario</v>
          </cell>
          <cell r="H3855" t="str">
            <v>consulta_externa</v>
          </cell>
          <cell r="J3855" t="str">
            <v>muybueno</v>
          </cell>
          <cell r="K3855" t="str">
            <v>defsi</v>
          </cell>
        </row>
        <row r="3856">
          <cell r="B3856" t="b">
            <v>1</v>
          </cell>
          <cell r="E3856" t="str">
            <v>Hospital Pozon</v>
          </cell>
          <cell r="H3856" t="str">
            <v>laboratorio</v>
          </cell>
          <cell r="J3856" t="str">
            <v>bueno</v>
          </cell>
          <cell r="K3856" t="str">
            <v>defsi</v>
          </cell>
        </row>
        <row r="3857">
          <cell r="B3857" t="b">
            <v>0</v>
          </cell>
          <cell r="E3857" t="str">
            <v>Hospital Pozon</v>
          </cell>
          <cell r="H3857" t="str">
            <v>laboratorio</v>
          </cell>
          <cell r="J3857" t="str">
            <v>regular</v>
          </cell>
          <cell r="K3857" t="str">
            <v>defsi</v>
          </cell>
        </row>
        <row r="3858">
          <cell r="B3858" t="b">
            <v>0</v>
          </cell>
          <cell r="E3858" t="str">
            <v>Hospital Pozon</v>
          </cell>
          <cell r="H3858" t="str">
            <v>laboratorio</v>
          </cell>
          <cell r="J3858" t="str">
            <v>regular</v>
          </cell>
          <cell r="K3858" t="str">
            <v>defsi</v>
          </cell>
        </row>
        <row r="3859">
          <cell r="B3859" t="b">
            <v>1</v>
          </cell>
          <cell r="E3859" t="str">
            <v>Isla del Rosario</v>
          </cell>
          <cell r="H3859" t="str">
            <v>laboratorio</v>
          </cell>
          <cell r="J3859" t="str">
            <v>muybueno</v>
          </cell>
          <cell r="K3859" t="str">
            <v>defsi</v>
          </cell>
        </row>
        <row r="3860">
          <cell r="B3860" t="b">
            <v>1</v>
          </cell>
          <cell r="E3860" t="str">
            <v>Hospital Pozon</v>
          </cell>
          <cell r="H3860" t="str">
            <v>laboratorio</v>
          </cell>
          <cell r="J3860" t="str">
            <v>bueno</v>
          </cell>
          <cell r="K3860" t="str">
            <v>defsi</v>
          </cell>
        </row>
        <row r="3861">
          <cell r="B3861" t="b">
            <v>1</v>
          </cell>
          <cell r="E3861" t="str">
            <v>Isla del Rosario</v>
          </cell>
          <cell r="H3861" t="str">
            <v>salud_oral</v>
          </cell>
          <cell r="J3861" t="str">
            <v>muybueno</v>
          </cell>
          <cell r="K3861" t="str">
            <v>defsi</v>
          </cell>
        </row>
        <row r="3862">
          <cell r="B3862" t="b">
            <v>0</v>
          </cell>
          <cell r="E3862" t="str">
            <v>Hospital Pozon</v>
          </cell>
          <cell r="H3862" t="str">
            <v>laboratorio</v>
          </cell>
          <cell r="J3862" t="str">
            <v>regular</v>
          </cell>
          <cell r="K3862" t="str">
            <v>defsi</v>
          </cell>
        </row>
        <row r="3863">
          <cell r="B3863" t="b">
            <v>1</v>
          </cell>
          <cell r="E3863" t="str">
            <v>Isla del Rosario</v>
          </cell>
          <cell r="H3863" t="str">
            <v>consulta_externa</v>
          </cell>
          <cell r="J3863" t="str">
            <v>muybueno</v>
          </cell>
          <cell r="K3863" t="str">
            <v>defsi</v>
          </cell>
        </row>
        <row r="3864">
          <cell r="B3864" t="b">
            <v>1</v>
          </cell>
          <cell r="E3864" t="str">
            <v>Isla del Rosario</v>
          </cell>
          <cell r="H3864" t="str">
            <v>salud_oral</v>
          </cell>
          <cell r="J3864" t="str">
            <v>muybueno</v>
          </cell>
          <cell r="K3864" t="str">
            <v>defsi</v>
          </cell>
        </row>
        <row r="3865">
          <cell r="B3865" t="b">
            <v>1</v>
          </cell>
          <cell r="E3865" t="str">
            <v>Isla del Rosario</v>
          </cell>
          <cell r="H3865" t="str">
            <v>consulta_externa</v>
          </cell>
          <cell r="J3865" t="str">
            <v>muybueno</v>
          </cell>
          <cell r="K3865" t="str">
            <v>defsi</v>
          </cell>
        </row>
        <row r="3866">
          <cell r="B3866" t="b">
            <v>1</v>
          </cell>
          <cell r="E3866" t="str">
            <v>Isla del Rosario</v>
          </cell>
          <cell r="H3866" t="str">
            <v>salud_oral</v>
          </cell>
          <cell r="J3866" t="str">
            <v>muybueno</v>
          </cell>
          <cell r="K3866" t="str">
            <v>defsi</v>
          </cell>
        </row>
        <row r="3867">
          <cell r="B3867" t="b">
            <v>1</v>
          </cell>
          <cell r="E3867" t="str">
            <v>Isla del Rosario</v>
          </cell>
          <cell r="H3867" t="str">
            <v>consulta_externa</v>
          </cell>
          <cell r="J3867" t="str">
            <v>muybueno</v>
          </cell>
          <cell r="K3867" t="str">
            <v>defsi</v>
          </cell>
        </row>
        <row r="3868">
          <cell r="B3868" t="b">
            <v>1</v>
          </cell>
          <cell r="E3868" t="str">
            <v>Isla del Rosario</v>
          </cell>
          <cell r="H3868" t="str">
            <v>laboratorio</v>
          </cell>
          <cell r="J3868" t="str">
            <v>muybueno</v>
          </cell>
          <cell r="K3868" t="str">
            <v>defsi</v>
          </cell>
        </row>
        <row r="3869">
          <cell r="B3869" t="b">
            <v>1</v>
          </cell>
          <cell r="E3869" t="str">
            <v>Isla del Rosario</v>
          </cell>
          <cell r="H3869" t="str">
            <v>salud_oral</v>
          </cell>
          <cell r="J3869" t="str">
            <v>muybueno</v>
          </cell>
          <cell r="K3869" t="str">
            <v>defsi</v>
          </cell>
        </row>
        <row r="3870">
          <cell r="B3870" t="b">
            <v>1</v>
          </cell>
          <cell r="E3870" t="str">
            <v>Isla del Rosario</v>
          </cell>
          <cell r="H3870" t="str">
            <v>consulta_externa</v>
          </cell>
          <cell r="J3870" t="str">
            <v>muybueno</v>
          </cell>
          <cell r="K3870" t="str">
            <v>defsi</v>
          </cell>
        </row>
        <row r="3871">
          <cell r="B3871" t="b">
            <v>1</v>
          </cell>
          <cell r="E3871" t="str">
            <v>Isla del Rosario</v>
          </cell>
          <cell r="H3871" t="str">
            <v>salud_oral</v>
          </cell>
          <cell r="J3871" t="str">
            <v>muybueno</v>
          </cell>
          <cell r="K3871" t="str">
            <v>defsi</v>
          </cell>
        </row>
        <row r="3872">
          <cell r="B3872" t="b">
            <v>1</v>
          </cell>
          <cell r="E3872" t="str">
            <v>Isla del Rosario</v>
          </cell>
          <cell r="H3872" t="str">
            <v>consulta_externa</v>
          </cell>
          <cell r="J3872" t="str">
            <v>muybueno</v>
          </cell>
          <cell r="K3872" t="str">
            <v>defsi</v>
          </cell>
        </row>
        <row r="3873">
          <cell r="B3873" t="b">
            <v>1</v>
          </cell>
          <cell r="E3873" t="str">
            <v>Isla del Rosario</v>
          </cell>
          <cell r="H3873" t="str">
            <v>laboratorio</v>
          </cell>
          <cell r="J3873" t="str">
            <v>muybueno</v>
          </cell>
          <cell r="K3873" t="str">
            <v>defsi</v>
          </cell>
        </row>
        <row r="3874">
          <cell r="B3874" t="b">
            <v>1</v>
          </cell>
          <cell r="E3874" t="str">
            <v>Isla del Rosario</v>
          </cell>
          <cell r="H3874" t="str">
            <v>consulta_externa</v>
          </cell>
          <cell r="J3874" t="str">
            <v>muybueno</v>
          </cell>
          <cell r="K3874" t="str">
            <v>defsi</v>
          </cell>
        </row>
        <row r="3875">
          <cell r="B3875" t="b">
            <v>1</v>
          </cell>
          <cell r="E3875" t="str">
            <v>Isla del Rosario</v>
          </cell>
          <cell r="H3875" t="str">
            <v>salud_oral</v>
          </cell>
          <cell r="J3875" t="str">
            <v>muybueno</v>
          </cell>
          <cell r="K3875" t="str">
            <v>defsi</v>
          </cell>
        </row>
        <row r="3876">
          <cell r="B3876" t="b">
            <v>1</v>
          </cell>
          <cell r="E3876" t="str">
            <v>Isla del Rosario</v>
          </cell>
          <cell r="H3876" t="str">
            <v>consulta_externa</v>
          </cell>
          <cell r="J3876" t="str">
            <v>muybueno</v>
          </cell>
          <cell r="K3876" t="str">
            <v>defsi</v>
          </cell>
        </row>
        <row r="3877">
          <cell r="B3877" t="b">
            <v>1</v>
          </cell>
          <cell r="E3877" t="str">
            <v>Isla del Rosario</v>
          </cell>
          <cell r="H3877" t="str">
            <v>laboratorio</v>
          </cell>
          <cell r="J3877" t="str">
            <v>muybueno</v>
          </cell>
          <cell r="K3877" t="str">
            <v>defsi</v>
          </cell>
        </row>
        <row r="3878">
          <cell r="B3878" t="b">
            <v>1</v>
          </cell>
          <cell r="E3878" t="str">
            <v>Hospital Pozon</v>
          </cell>
          <cell r="H3878" t="str">
            <v>laboratorio</v>
          </cell>
          <cell r="J3878" t="str">
            <v>bueno</v>
          </cell>
          <cell r="K3878" t="str">
            <v>defsi</v>
          </cell>
        </row>
        <row r="3879">
          <cell r="B3879" t="b">
            <v>1</v>
          </cell>
          <cell r="E3879" t="str">
            <v>Hospital Pozon</v>
          </cell>
          <cell r="H3879" t="str">
            <v>laboratorio</v>
          </cell>
          <cell r="J3879" t="str">
            <v>bueno</v>
          </cell>
          <cell r="K3879" t="str">
            <v>defsi</v>
          </cell>
        </row>
        <row r="3880">
          <cell r="B3880" t="b">
            <v>1</v>
          </cell>
          <cell r="E3880" t="str">
            <v>Hospital Pozon</v>
          </cell>
          <cell r="H3880" t="str">
            <v>consulta_externa</v>
          </cell>
          <cell r="J3880" t="str">
            <v>bueno</v>
          </cell>
          <cell r="K3880" t="str">
            <v>defsi</v>
          </cell>
        </row>
        <row r="3881">
          <cell r="B3881" t="b">
            <v>1</v>
          </cell>
          <cell r="E3881" t="str">
            <v>Hospital Pozon</v>
          </cell>
          <cell r="H3881" t="str">
            <v>laboratorio</v>
          </cell>
          <cell r="J3881" t="str">
            <v>bueno</v>
          </cell>
          <cell r="K3881" t="str">
            <v>defsi</v>
          </cell>
        </row>
        <row r="3882">
          <cell r="B3882" t="b">
            <v>1</v>
          </cell>
          <cell r="E3882" t="str">
            <v>Hospital Pozon</v>
          </cell>
          <cell r="H3882" t="str">
            <v>laboratorio</v>
          </cell>
          <cell r="J3882" t="str">
            <v>bueno</v>
          </cell>
          <cell r="K3882" t="str">
            <v>defsi</v>
          </cell>
        </row>
        <row r="3883">
          <cell r="B3883" t="b">
            <v>1</v>
          </cell>
          <cell r="E3883" t="str">
            <v>Pozon</v>
          </cell>
          <cell r="H3883" t="str">
            <v>consulta_externa</v>
          </cell>
          <cell r="J3883" t="str">
            <v>bueno</v>
          </cell>
          <cell r="K3883" t="str">
            <v>defsi</v>
          </cell>
        </row>
        <row r="3884">
          <cell r="B3884" t="b">
            <v>1</v>
          </cell>
          <cell r="E3884" t="str">
            <v>Pozon</v>
          </cell>
          <cell r="H3884" t="str">
            <v>consulta_externa</v>
          </cell>
          <cell r="J3884" t="str">
            <v>bueno</v>
          </cell>
          <cell r="K3884" t="str">
            <v>defsi</v>
          </cell>
        </row>
        <row r="3885">
          <cell r="B3885" t="b">
            <v>1</v>
          </cell>
          <cell r="E3885" t="str">
            <v>Pozon</v>
          </cell>
          <cell r="H3885" t="str">
            <v>consulta_externa</v>
          </cell>
          <cell r="J3885" t="str">
            <v>bueno</v>
          </cell>
          <cell r="K3885" t="str">
            <v>defsi</v>
          </cell>
        </row>
        <row r="3886">
          <cell r="B3886" t="b">
            <v>1</v>
          </cell>
          <cell r="E3886" t="str">
            <v>Pozon</v>
          </cell>
          <cell r="H3886" t="str">
            <v>consulta_externa</v>
          </cell>
          <cell r="J3886" t="str">
            <v>bueno</v>
          </cell>
          <cell r="K3886" t="str">
            <v>defsi</v>
          </cell>
        </row>
        <row r="3887">
          <cell r="B3887" t="b">
            <v>1</v>
          </cell>
          <cell r="E3887" t="str">
            <v>Pozon</v>
          </cell>
          <cell r="H3887" t="str">
            <v>consulta_externa</v>
          </cell>
          <cell r="J3887" t="str">
            <v>bueno</v>
          </cell>
          <cell r="K3887" t="str">
            <v>defsi</v>
          </cell>
        </row>
        <row r="3888">
          <cell r="B3888" t="b">
            <v>1</v>
          </cell>
          <cell r="E3888" t="str">
            <v>Pozon</v>
          </cell>
          <cell r="H3888" t="str">
            <v>laboratorio</v>
          </cell>
          <cell r="J3888" t="str">
            <v>bueno</v>
          </cell>
          <cell r="K3888" t="str">
            <v>defsi</v>
          </cell>
        </row>
        <row r="3889">
          <cell r="B3889" t="b">
            <v>1</v>
          </cell>
          <cell r="E3889" t="str">
            <v>Isla del Rosario</v>
          </cell>
          <cell r="H3889" t="str">
            <v>consulta_externa</v>
          </cell>
          <cell r="J3889" t="str">
            <v>muybueno</v>
          </cell>
          <cell r="K3889" t="str">
            <v>defsi</v>
          </cell>
        </row>
        <row r="3890">
          <cell r="B3890" t="b">
            <v>1</v>
          </cell>
          <cell r="E3890" t="str">
            <v>Isla del Rosario</v>
          </cell>
          <cell r="H3890" t="str">
            <v>salud_oral</v>
          </cell>
          <cell r="J3890" t="str">
            <v>muybueno</v>
          </cell>
          <cell r="K3890" t="str">
            <v>defsi</v>
          </cell>
        </row>
        <row r="3891">
          <cell r="B3891" t="b">
            <v>1</v>
          </cell>
          <cell r="E3891" t="str">
            <v>Isla del Rosario</v>
          </cell>
          <cell r="H3891" t="str">
            <v>consulta_externa</v>
          </cell>
          <cell r="J3891" t="str">
            <v>muybueno</v>
          </cell>
          <cell r="K3891" t="str">
            <v>defsi</v>
          </cell>
        </row>
        <row r="3892">
          <cell r="B3892" t="b">
            <v>1</v>
          </cell>
          <cell r="E3892" t="str">
            <v>Isla del Rosario</v>
          </cell>
          <cell r="H3892" t="str">
            <v>laboratorio</v>
          </cell>
          <cell r="J3892" t="str">
            <v>muybueno</v>
          </cell>
          <cell r="K3892" t="str">
            <v>defsi</v>
          </cell>
        </row>
        <row r="3893">
          <cell r="B3893" t="b">
            <v>1</v>
          </cell>
          <cell r="E3893" t="str">
            <v>Puerto Rey</v>
          </cell>
          <cell r="H3893" t="str">
            <v>consulta_externa</v>
          </cell>
          <cell r="J3893" t="str">
            <v>bueno</v>
          </cell>
          <cell r="K3893" t="str">
            <v>probsi</v>
          </cell>
        </row>
        <row r="3894">
          <cell r="B3894" t="b">
            <v>1</v>
          </cell>
          <cell r="E3894" t="str">
            <v>Puerto Rey</v>
          </cell>
          <cell r="H3894" t="str">
            <v>consulta_externa</v>
          </cell>
          <cell r="J3894" t="str">
            <v>bueno</v>
          </cell>
          <cell r="K3894" t="str">
            <v>probsi</v>
          </cell>
        </row>
        <row r="3895">
          <cell r="B3895" t="b">
            <v>1</v>
          </cell>
          <cell r="E3895" t="str">
            <v>Puerto Rey</v>
          </cell>
          <cell r="H3895" t="str">
            <v>consulta_externa</v>
          </cell>
          <cell r="J3895" t="str">
            <v>bueno</v>
          </cell>
          <cell r="K3895" t="str">
            <v>probsi</v>
          </cell>
        </row>
        <row r="3896">
          <cell r="B3896" t="b">
            <v>1</v>
          </cell>
          <cell r="E3896" t="str">
            <v>Puerto Rey</v>
          </cell>
          <cell r="H3896" t="str">
            <v>consulta_externa</v>
          </cell>
          <cell r="J3896" t="str">
            <v>bueno</v>
          </cell>
          <cell r="K3896" t="str">
            <v>probsi</v>
          </cell>
        </row>
        <row r="3897">
          <cell r="B3897" t="b">
            <v>1</v>
          </cell>
          <cell r="E3897" t="str">
            <v>Puerto Rey</v>
          </cell>
          <cell r="H3897" t="str">
            <v>consulta_externa</v>
          </cell>
          <cell r="J3897" t="str">
            <v>bueno</v>
          </cell>
          <cell r="K3897" t="str">
            <v>probsi</v>
          </cell>
        </row>
        <row r="3898">
          <cell r="B3898" t="b">
            <v>1</v>
          </cell>
          <cell r="E3898" t="str">
            <v>Puerto Rey</v>
          </cell>
          <cell r="H3898" t="str">
            <v>salud_oral</v>
          </cell>
          <cell r="J3898" t="str">
            <v>bueno</v>
          </cell>
          <cell r="K3898" t="str">
            <v>probsi</v>
          </cell>
        </row>
        <row r="3899">
          <cell r="B3899" t="b">
            <v>1</v>
          </cell>
          <cell r="E3899" t="str">
            <v>Puerto Rey</v>
          </cell>
          <cell r="H3899" t="str">
            <v>salud_oral</v>
          </cell>
          <cell r="J3899" t="str">
            <v>bueno</v>
          </cell>
          <cell r="K3899" t="str">
            <v>probsi</v>
          </cell>
        </row>
        <row r="3900">
          <cell r="B3900" t="b">
            <v>1</v>
          </cell>
          <cell r="E3900" t="str">
            <v>Puerto Rey</v>
          </cell>
          <cell r="H3900" t="str">
            <v>salud_oral</v>
          </cell>
          <cell r="J3900" t="str">
            <v>bueno</v>
          </cell>
          <cell r="K3900" t="str">
            <v>probsi</v>
          </cell>
        </row>
        <row r="3901">
          <cell r="B3901" t="b">
            <v>1</v>
          </cell>
          <cell r="E3901" t="str">
            <v>Puerto Rey</v>
          </cell>
          <cell r="H3901" t="str">
            <v>salud_oral</v>
          </cell>
          <cell r="J3901" t="str">
            <v>bueno</v>
          </cell>
          <cell r="K3901" t="str">
            <v>probsi</v>
          </cell>
        </row>
        <row r="3902">
          <cell r="B3902" t="b">
            <v>1</v>
          </cell>
          <cell r="E3902" t="str">
            <v>Puerto Rey</v>
          </cell>
          <cell r="H3902" t="str">
            <v>laboratorio</v>
          </cell>
          <cell r="J3902" t="str">
            <v>bueno</v>
          </cell>
          <cell r="K3902" t="str">
            <v>probsi</v>
          </cell>
        </row>
        <row r="3903">
          <cell r="B3903" t="b">
            <v>1</v>
          </cell>
          <cell r="E3903" t="str">
            <v>Puerto Rey</v>
          </cell>
          <cell r="H3903" t="str">
            <v>laboratorio</v>
          </cell>
          <cell r="J3903" t="str">
            <v>bueno</v>
          </cell>
          <cell r="K3903" t="str">
            <v>probsi</v>
          </cell>
        </row>
        <row r="3904">
          <cell r="B3904" t="b">
            <v>1</v>
          </cell>
          <cell r="E3904" t="str">
            <v>Puerto Rey</v>
          </cell>
          <cell r="H3904" t="str">
            <v>laboratorio</v>
          </cell>
          <cell r="J3904" t="str">
            <v>bueno</v>
          </cell>
          <cell r="K3904" t="str">
            <v>probsi</v>
          </cell>
        </row>
        <row r="3905">
          <cell r="B3905" t="b">
            <v>1</v>
          </cell>
          <cell r="E3905" t="str">
            <v>Puerto Rey</v>
          </cell>
          <cell r="H3905" t="str">
            <v>laboratorio</v>
          </cell>
          <cell r="J3905" t="str">
            <v>bueno</v>
          </cell>
          <cell r="K3905" t="str">
            <v>probsi</v>
          </cell>
        </row>
        <row r="3906">
          <cell r="B3906" t="b">
            <v>1</v>
          </cell>
          <cell r="E3906" t="str">
            <v>Puerto Rey</v>
          </cell>
          <cell r="H3906" t="str">
            <v>laboratorio</v>
          </cell>
          <cell r="J3906" t="str">
            <v>bueno</v>
          </cell>
          <cell r="K3906" t="str">
            <v>probsi</v>
          </cell>
        </row>
        <row r="3907">
          <cell r="B3907" t="b">
            <v>1</v>
          </cell>
          <cell r="E3907" t="str">
            <v>Isla del Rosario</v>
          </cell>
          <cell r="H3907" t="str">
            <v>consulta_externa</v>
          </cell>
          <cell r="J3907" t="str">
            <v>muybueno</v>
          </cell>
          <cell r="K3907" t="str">
            <v>defsi</v>
          </cell>
        </row>
        <row r="3908">
          <cell r="B3908" t="b">
            <v>1</v>
          </cell>
          <cell r="E3908" t="str">
            <v>Isla del Rosario</v>
          </cell>
          <cell r="H3908" t="str">
            <v>salud_oral</v>
          </cell>
          <cell r="J3908" t="str">
            <v>muybueno</v>
          </cell>
          <cell r="K3908" t="str">
            <v>defsi</v>
          </cell>
        </row>
        <row r="3909">
          <cell r="B3909" t="b">
            <v>1</v>
          </cell>
          <cell r="E3909" t="str">
            <v>Isla del Rosario</v>
          </cell>
          <cell r="H3909" t="str">
            <v>consulta_externa</v>
          </cell>
          <cell r="J3909" t="str">
            <v>muybueno</v>
          </cell>
          <cell r="K3909" t="str">
            <v>defsi</v>
          </cell>
        </row>
        <row r="3910">
          <cell r="B3910" t="b">
            <v>1</v>
          </cell>
          <cell r="E3910" t="str">
            <v>Isla del Rosario</v>
          </cell>
          <cell r="H3910" t="str">
            <v>laboratorio</v>
          </cell>
          <cell r="J3910" t="str">
            <v>muybueno</v>
          </cell>
          <cell r="K3910" t="str">
            <v>defsi</v>
          </cell>
        </row>
        <row r="3911">
          <cell r="B3911" t="b">
            <v>1</v>
          </cell>
          <cell r="E3911" t="str">
            <v>Isla del Rosario</v>
          </cell>
          <cell r="H3911" t="str">
            <v>salud_oral</v>
          </cell>
          <cell r="J3911" t="str">
            <v>muybueno</v>
          </cell>
          <cell r="K3911" t="str">
            <v>defsi</v>
          </cell>
        </row>
        <row r="3912">
          <cell r="B3912" t="b">
            <v>1</v>
          </cell>
          <cell r="E3912" t="str">
            <v>Isla del Rosario</v>
          </cell>
          <cell r="H3912" t="str">
            <v>consulta_externa</v>
          </cell>
          <cell r="J3912" t="str">
            <v>muybueno</v>
          </cell>
          <cell r="K3912" t="str">
            <v>defsi</v>
          </cell>
        </row>
        <row r="3913">
          <cell r="B3913" t="b">
            <v>1</v>
          </cell>
          <cell r="E3913" t="str">
            <v>Isla del Rosario</v>
          </cell>
          <cell r="H3913" t="str">
            <v>consulta_externa</v>
          </cell>
          <cell r="J3913" t="str">
            <v>muybueno</v>
          </cell>
          <cell r="K3913" t="str">
            <v>defsi</v>
          </cell>
        </row>
        <row r="3914">
          <cell r="B3914" t="b">
            <v>1</v>
          </cell>
          <cell r="E3914" t="str">
            <v>Isla del Rosario</v>
          </cell>
          <cell r="H3914" t="str">
            <v>laboratorio</v>
          </cell>
          <cell r="J3914" t="str">
            <v>muybueno</v>
          </cell>
          <cell r="K3914" t="str">
            <v>defsi</v>
          </cell>
        </row>
        <row r="3915">
          <cell r="B3915" t="b">
            <v>1</v>
          </cell>
          <cell r="E3915" t="str">
            <v>Isla del Rosario</v>
          </cell>
          <cell r="H3915" t="str">
            <v>consulta_externa</v>
          </cell>
          <cell r="J3915" t="str">
            <v>muybueno</v>
          </cell>
          <cell r="K3915" t="str">
            <v>defsi</v>
          </cell>
        </row>
        <row r="3916">
          <cell r="B3916" t="b">
            <v>1</v>
          </cell>
          <cell r="E3916" t="str">
            <v>Isla del Rosario</v>
          </cell>
          <cell r="H3916" t="str">
            <v>salud_oral</v>
          </cell>
          <cell r="J3916" t="str">
            <v>muybueno</v>
          </cell>
          <cell r="K3916" t="str">
            <v>defsi</v>
          </cell>
        </row>
        <row r="3917">
          <cell r="B3917" t="b">
            <v>1</v>
          </cell>
          <cell r="E3917" t="str">
            <v>Isla del Rosario</v>
          </cell>
          <cell r="H3917" t="str">
            <v>salud_oral</v>
          </cell>
          <cell r="J3917" t="str">
            <v>muybueno</v>
          </cell>
          <cell r="K3917" t="str">
            <v>defsi</v>
          </cell>
        </row>
        <row r="3918">
          <cell r="B3918" t="b">
            <v>1</v>
          </cell>
          <cell r="E3918" t="str">
            <v>Isla del Rosario</v>
          </cell>
          <cell r="H3918" t="str">
            <v>consulta_externa</v>
          </cell>
          <cell r="J3918" t="str">
            <v>muybueno</v>
          </cell>
          <cell r="K3918" t="str">
            <v>defsi</v>
          </cell>
        </row>
        <row r="3919">
          <cell r="B3919" t="b">
            <v>1</v>
          </cell>
          <cell r="E3919" t="str">
            <v>Isla del Rosario</v>
          </cell>
          <cell r="H3919" t="str">
            <v>laboratorio</v>
          </cell>
          <cell r="J3919" t="str">
            <v>muybueno</v>
          </cell>
          <cell r="K3919" t="str">
            <v>defsi</v>
          </cell>
        </row>
        <row r="3920">
          <cell r="B3920" t="b">
            <v>1</v>
          </cell>
          <cell r="E3920" t="str">
            <v>Isla del Rosario</v>
          </cell>
          <cell r="H3920" t="str">
            <v>salud_oral</v>
          </cell>
          <cell r="J3920" t="str">
            <v>muybueno</v>
          </cell>
          <cell r="K3920" t="str">
            <v>defsi</v>
          </cell>
        </row>
        <row r="3921">
          <cell r="B3921" t="b">
            <v>1</v>
          </cell>
          <cell r="E3921" t="str">
            <v>Isla del Rosario</v>
          </cell>
          <cell r="H3921" t="str">
            <v>consulta_externa</v>
          </cell>
          <cell r="J3921" t="str">
            <v>muybueno</v>
          </cell>
          <cell r="K3921" t="str">
            <v>defsi</v>
          </cell>
        </row>
        <row r="3922">
          <cell r="B3922" t="b">
            <v>1</v>
          </cell>
          <cell r="E3922" t="str">
            <v>Isla del Rosario</v>
          </cell>
          <cell r="H3922" t="str">
            <v>laboratorio</v>
          </cell>
          <cell r="J3922" t="str">
            <v>muybueno</v>
          </cell>
          <cell r="K3922" t="str">
            <v>defsi</v>
          </cell>
        </row>
        <row r="3923">
          <cell r="B3923" t="b">
            <v>1</v>
          </cell>
          <cell r="E3923" t="str">
            <v>Isla del Rosario</v>
          </cell>
          <cell r="H3923" t="str">
            <v>consulta_externa</v>
          </cell>
          <cell r="J3923" t="str">
            <v>muybueno</v>
          </cell>
          <cell r="K3923" t="str">
            <v>defsi</v>
          </cell>
        </row>
        <row r="3924">
          <cell r="B3924" t="b">
            <v>1</v>
          </cell>
          <cell r="E3924" t="str">
            <v>Isla del Rosario</v>
          </cell>
          <cell r="H3924" t="str">
            <v>salud_oral</v>
          </cell>
          <cell r="J3924" t="str">
            <v>muybueno</v>
          </cell>
          <cell r="K3924" t="str">
            <v>defsi</v>
          </cell>
        </row>
        <row r="3925">
          <cell r="B3925" t="b">
            <v>1</v>
          </cell>
          <cell r="E3925" t="str">
            <v>Isla del Rosario</v>
          </cell>
          <cell r="H3925" t="str">
            <v>consulta_externa</v>
          </cell>
          <cell r="J3925" t="str">
            <v>muybueno</v>
          </cell>
          <cell r="K3925" t="str">
            <v>defsi</v>
          </cell>
        </row>
        <row r="3926">
          <cell r="B3926" t="b">
            <v>1</v>
          </cell>
          <cell r="E3926" t="str">
            <v>Isla del Rosario</v>
          </cell>
          <cell r="H3926" t="str">
            <v>laboratorio</v>
          </cell>
          <cell r="J3926" t="str">
            <v>muybueno</v>
          </cell>
          <cell r="K3926" t="str">
            <v>defsi</v>
          </cell>
        </row>
        <row r="3927">
          <cell r="B3927" t="b">
            <v>1</v>
          </cell>
          <cell r="E3927" t="str">
            <v>Arroyo de las Canoas</v>
          </cell>
          <cell r="H3927" t="str">
            <v>consulta_externa</v>
          </cell>
          <cell r="J3927" t="str">
            <v>bueno</v>
          </cell>
          <cell r="K3927" t="str">
            <v>defsi</v>
          </cell>
        </row>
        <row r="3928">
          <cell r="B3928" t="b">
            <v>1</v>
          </cell>
          <cell r="E3928" t="str">
            <v>Arroyo de las Canoas</v>
          </cell>
          <cell r="H3928" t="str">
            <v>salud_oral</v>
          </cell>
          <cell r="J3928" t="str">
            <v>bueno</v>
          </cell>
          <cell r="K3928" t="str">
            <v>defsi</v>
          </cell>
        </row>
        <row r="3929">
          <cell r="B3929" t="b">
            <v>1</v>
          </cell>
          <cell r="E3929" t="str">
            <v>Arroyo de las Canoas</v>
          </cell>
          <cell r="H3929" t="str">
            <v>laboratorio</v>
          </cell>
          <cell r="J3929" t="str">
            <v>bueno</v>
          </cell>
          <cell r="K3929" t="str">
            <v>defsi</v>
          </cell>
        </row>
        <row r="3930">
          <cell r="B3930" t="b">
            <v>1</v>
          </cell>
          <cell r="E3930" t="str">
            <v>Arroyo de las Canoas</v>
          </cell>
          <cell r="H3930" t="str">
            <v>consulta_externa</v>
          </cell>
          <cell r="J3930" t="str">
            <v>bueno</v>
          </cell>
          <cell r="K3930" t="str">
            <v>defsi</v>
          </cell>
        </row>
        <row r="3931">
          <cell r="B3931" t="b">
            <v>1</v>
          </cell>
          <cell r="E3931" t="str">
            <v>Arroyo de las Canoas</v>
          </cell>
          <cell r="H3931" t="str">
            <v>salud_oral</v>
          </cell>
          <cell r="J3931" t="str">
            <v>bueno</v>
          </cell>
          <cell r="K3931" t="str">
            <v>defsi</v>
          </cell>
        </row>
        <row r="3932">
          <cell r="B3932" t="b">
            <v>1</v>
          </cell>
          <cell r="E3932" t="str">
            <v>Arroyo de las Canoas</v>
          </cell>
          <cell r="H3932" t="str">
            <v>laboratorio</v>
          </cell>
          <cell r="J3932" t="str">
            <v>bueno</v>
          </cell>
          <cell r="K3932" t="str">
            <v>defsi</v>
          </cell>
        </row>
        <row r="3933">
          <cell r="B3933" t="b">
            <v>1</v>
          </cell>
          <cell r="E3933" t="str">
            <v>Arroyo de las Canoas</v>
          </cell>
          <cell r="H3933" t="str">
            <v>consulta_externa</v>
          </cell>
          <cell r="J3933" t="str">
            <v>bueno</v>
          </cell>
          <cell r="K3933" t="str">
            <v>defsi</v>
          </cell>
        </row>
        <row r="3934">
          <cell r="B3934" t="b">
            <v>1</v>
          </cell>
          <cell r="E3934" t="str">
            <v>Arroyo de las Canoas</v>
          </cell>
          <cell r="H3934" t="str">
            <v>salud_oral</v>
          </cell>
          <cell r="J3934" t="str">
            <v>bueno</v>
          </cell>
          <cell r="K3934" t="str">
            <v>defsi</v>
          </cell>
        </row>
        <row r="3935">
          <cell r="B3935" t="b">
            <v>1</v>
          </cell>
          <cell r="E3935" t="str">
            <v>Arroyo de las Canoas</v>
          </cell>
          <cell r="H3935" t="str">
            <v>laboratorio</v>
          </cell>
          <cell r="J3935" t="str">
            <v>bueno</v>
          </cell>
          <cell r="K3935" t="str">
            <v>defsi</v>
          </cell>
        </row>
        <row r="3936">
          <cell r="B3936" t="b">
            <v>1</v>
          </cell>
          <cell r="E3936" t="str">
            <v>Arroyo de las Canoas</v>
          </cell>
          <cell r="H3936" t="str">
            <v>consulta_externa</v>
          </cell>
          <cell r="J3936" t="str">
            <v>bueno</v>
          </cell>
          <cell r="K3936" t="str">
            <v>defsi</v>
          </cell>
        </row>
        <row r="3937">
          <cell r="B3937" t="b">
            <v>1</v>
          </cell>
          <cell r="E3937" t="str">
            <v>Arroyo de las Canoas</v>
          </cell>
          <cell r="H3937" t="str">
            <v>salud_oral</v>
          </cell>
          <cell r="J3937" t="str">
            <v>bueno</v>
          </cell>
          <cell r="K3937" t="str">
            <v>defsi</v>
          </cell>
        </row>
        <row r="3938">
          <cell r="B3938" t="b">
            <v>1</v>
          </cell>
          <cell r="E3938" t="str">
            <v>Las Reinas</v>
          </cell>
          <cell r="H3938" t="str">
            <v>laboratorio</v>
          </cell>
          <cell r="J3938" t="str">
            <v>bueno</v>
          </cell>
          <cell r="K3938" t="str">
            <v>defsi</v>
          </cell>
        </row>
        <row r="3939">
          <cell r="B3939" t="b">
            <v>1</v>
          </cell>
          <cell r="E3939" t="str">
            <v>Arroyo de las Canoas</v>
          </cell>
          <cell r="H3939" t="str">
            <v>consulta_externa</v>
          </cell>
          <cell r="J3939" t="str">
            <v>bueno</v>
          </cell>
          <cell r="K3939" t="str">
            <v>defsi</v>
          </cell>
        </row>
        <row r="3940">
          <cell r="B3940" t="b">
            <v>1</v>
          </cell>
          <cell r="E3940" t="str">
            <v>Arroyo de las Canoas</v>
          </cell>
          <cell r="H3940" t="str">
            <v>salud_oral</v>
          </cell>
          <cell r="J3940" t="str">
            <v>bueno</v>
          </cell>
          <cell r="K3940" t="str">
            <v>defsi</v>
          </cell>
        </row>
        <row r="3941">
          <cell r="B3941" t="b">
            <v>1</v>
          </cell>
          <cell r="E3941" t="str">
            <v>Arroyo de las Canoas</v>
          </cell>
          <cell r="H3941" t="str">
            <v>laboratorio</v>
          </cell>
          <cell r="J3941" t="str">
            <v>bueno</v>
          </cell>
          <cell r="K3941" t="str">
            <v>defsi</v>
          </cell>
        </row>
        <row r="3942">
          <cell r="B3942" t="b">
            <v>1</v>
          </cell>
          <cell r="E3942" t="str">
            <v>Arroyo de las Canoas</v>
          </cell>
          <cell r="H3942" t="str">
            <v>consulta_externa</v>
          </cell>
          <cell r="J3942" t="str">
            <v>bueno</v>
          </cell>
          <cell r="K3942" t="str">
            <v>defsi</v>
          </cell>
        </row>
        <row r="3943">
          <cell r="B3943" t="b">
            <v>1</v>
          </cell>
          <cell r="E3943" t="str">
            <v>Arroyo de las Canoas</v>
          </cell>
          <cell r="H3943" t="str">
            <v>salud_oral</v>
          </cell>
          <cell r="J3943" t="str">
            <v>bueno</v>
          </cell>
          <cell r="K3943" t="str">
            <v>defsi</v>
          </cell>
        </row>
        <row r="3944">
          <cell r="B3944" t="b">
            <v>1</v>
          </cell>
          <cell r="E3944" t="str">
            <v>Arroyo de las Canoas</v>
          </cell>
          <cell r="H3944" t="str">
            <v>laboratorio</v>
          </cell>
          <cell r="J3944" t="str">
            <v>bueno</v>
          </cell>
          <cell r="K3944" t="str">
            <v>defsi</v>
          </cell>
        </row>
        <row r="3945">
          <cell r="B3945" t="b">
            <v>1</v>
          </cell>
          <cell r="E3945" t="str">
            <v>Arroyo de las Canoas</v>
          </cell>
          <cell r="H3945" t="str">
            <v>consulta_externa</v>
          </cell>
          <cell r="J3945" t="str">
            <v>bueno</v>
          </cell>
          <cell r="K3945" t="str">
            <v>defsi</v>
          </cell>
        </row>
        <row r="3946">
          <cell r="B3946" t="b">
            <v>1</v>
          </cell>
          <cell r="E3946" t="str">
            <v>Arroyo de las Canoas</v>
          </cell>
          <cell r="H3946" t="str">
            <v>salud_oral</v>
          </cell>
          <cell r="J3946" t="str">
            <v>bueno</v>
          </cell>
          <cell r="K3946" t="str">
            <v>defsi</v>
          </cell>
        </row>
        <row r="3947">
          <cell r="B3947" t="b">
            <v>1</v>
          </cell>
          <cell r="E3947" t="str">
            <v>Hospital Pozon</v>
          </cell>
          <cell r="H3947" t="str">
            <v>consulta_externa</v>
          </cell>
          <cell r="J3947" t="str">
            <v>bueno</v>
          </cell>
          <cell r="K3947" t="str">
            <v>defsi</v>
          </cell>
        </row>
        <row r="3948">
          <cell r="B3948" t="b">
            <v>1</v>
          </cell>
          <cell r="E3948" t="str">
            <v>Arroyo de las Canoas</v>
          </cell>
          <cell r="H3948" t="str">
            <v>laboratorio</v>
          </cell>
          <cell r="J3948" t="str">
            <v>bueno</v>
          </cell>
          <cell r="K3948" t="str">
            <v>defsi</v>
          </cell>
        </row>
        <row r="3949">
          <cell r="B3949" t="b">
            <v>1</v>
          </cell>
          <cell r="E3949" t="str">
            <v>Hospital Pozon</v>
          </cell>
          <cell r="H3949" t="str">
            <v>laboratorio</v>
          </cell>
          <cell r="J3949" t="str">
            <v>bueno</v>
          </cell>
          <cell r="K3949" t="str">
            <v>defsi</v>
          </cell>
        </row>
        <row r="3950">
          <cell r="B3950" t="b">
            <v>1</v>
          </cell>
          <cell r="E3950" t="str">
            <v>Hospital Pozon</v>
          </cell>
          <cell r="H3950" t="str">
            <v>laboratorio</v>
          </cell>
          <cell r="J3950" t="str">
            <v>bueno</v>
          </cell>
          <cell r="K3950" t="str">
            <v>defsi</v>
          </cell>
        </row>
        <row r="3951">
          <cell r="B3951" t="b">
            <v>1</v>
          </cell>
          <cell r="E3951" t="str">
            <v>Hospital Pozon</v>
          </cell>
          <cell r="H3951" t="str">
            <v>laboratorio</v>
          </cell>
          <cell r="J3951" t="str">
            <v>bueno</v>
          </cell>
          <cell r="K3951" t="str">
            <v>defsi</v>
          </cell>
        </row>
        <row r="3952">
          <cell r="B3952" t="b">
            <v>1</v>
          </cell>
          <cell r="E3952" t="str">
            <v>Arroyo de las Canoas</v>
          </cell>
          <cell r="H3952" t="str">
            <v>consulta_externa</v>
          </cell>
          <cell r="J3952" t="str">
            <v>bueno</v>
          </cell>
          <cell r="K3952" t="str">
            <v>defsi</v>
          </cell>
        </row>
        <row r="3953">
          <cell r="B3953" t="b">
            <v>1</v>
          </cell>
          <cell r="E3953" t="str">
            <v>Arroyo de las Canoas</v>
          </cell>
          <cell r="H3953" t="str">
            <v>salud_oral</v>
          </cell>
          <cell r="J3953" t="str">
            <v>bueno</v>
          </cell>
          <cell r="K3953" t="str">
            <v>defsi</v>
          </cell>
        </row>
        <row r="3954">
          <cell r="B3954" t="b">
            <v>1</v>
          </cell>
          <cell r="E3954" t="str">
            <v>Arroyo de las Canoas</v>
          </cell>
          <cell r="H3954" t="str">
            <v>laboratorio</v>
          </cell>
          <cell r="J3954" t="str">
            <v>bueno</v>
          </cell>
          <cell r="K3954" t="str">
            <v>defsi</v>
          </cell>
        </row>
        <row r="3955">
          <cell r="B3955" t="b">
            <v>1</v>
          </cell>
          <cell r="E3955" t="str">
            <v>Arroyo de las Canoas</v>
          </cell>
          <cell r="H3955" t="str">
            <v>consulta_externa</v>
          </cell>
          <cell r="J3955" t="str">
            <v>bueno</v>
          </cell>
          <cell r="K3955" t="str">
            <v>defsi</v>
          </cell>
        </row>
        <row r="3956">
          <cell r="B3956" t="b">
            <v>1</v>
          </cell>
          <cell r="E3956" t="str">
            <v>Arroyo de las Canoas</v>
          </cell>
          <cell r="H3956" t="str">
            <v>consulta_externa</v>
          </cell>
          <cell r="J3956" t="str">
            <v>bueno</v>
          </cell>
          <cell r="K3956" t="str">
            <v>defsi</v>
          </cell>
        </row>
        <row r="3957">
          <cell r="B3957" t="b">
            <v>1</v>
          </cell>
          <cell r="E3957" t="str">
            <v>Arroyo de las Canoas</v>
          </cell>
          <cell r="H3957" t="str">
            <v>salud_oral</v>
          </cell>
          <cell r="J3957" t="str">
            <v>bueno</v>
          </cell>
          <cell r="K3957" t="str">
            <v>defsi</v>
          </cell>
        </row>
        <row r="3958">
          <cell r="B3958" t="b">
            <v>1</v>
          </cell>
          <cell r="E3958" t="str">
            <v>Arroyo de las Canoas</v>
          </cell>
          <cell r="H3958" t="str">
            <v>laboratorio</v>
          </cell>
          <cell r="J3958" t="str">
            <v>bueno</v>
          </cell>
          <cell r="K3958" t="str">
            <v>defsi</v>
          </cell>
        </row>
        <row r="3959">
          <cell r="B3959" t="b">
            <v>1</v>
          </cell>
          <cell r="E3959" t="str">
            <v>Arroyo de las Canoas</v>
          </cell>
          <cell r="H3959" t="str">
            <v>consulta_externa</v>
          </cell>
          <cell r="J3959" t="str">
            <v>bueno</v>
          </cell>
          <cell r="K3959" t="str">
            <v>defsi</v>
          </cell>
        </row>
        <row r="3960">
          <cell r="B3960" t="b">
            <v>1</v>
          </cell>
          <cell r="E3960" t="str">
            <v>Arroyo de las Canoas</v>
          </cell>
          <cell r="H3960" t="str">
            <v>salud_oral</v>
          </cell>
          <cell r="J3960" t="str">
            <v>bueno</v>
          </cell>
          <cell r="K3960" t="str">
            <v>defsi</v>
          </cell>
        </row>
        <row r="3961">
          <cell r="B3961" t="b">
            <v>1</v>
          </cell>
          <cell r="E3961" t="str">
            <v>Arroyo de las Canoas</v>
          </cell>
          <cell r="H3961" t="str">
            <v>laboratorio</v>
          </cell>
          <cell r="J3961" t="str">
            <v>bueno</v>
          </cell>
          <cell r="K3961" t="str">
            <v>defsi</v>
          </cell>
        </row>
        <row r="3962">
          <cell r="B3962" t="b">
            <v>1</v>
          </cell>
          <cell r="E3962" t="str">
            <v>Arroyo de las Canoas</v>
          </cell>
          <cell r="H3962" t="str">
            <v>consulta_externa</v>
          </cell>
          <cell r="J3962" t="str">
            <v>bueno</v>
          </cell>
          <cell r="K3962" t="str">
            <v>defsi</v>
          </cell>
        </row>
        <row r="3963">
          <cell r="B3963" t="b">
            <v>1</v>
          </cell>
          <cell r="E3963" t="str">
            <v>Arroyo de las Canoas</v>
          </cell>
          <cell r="H3963" t="str">
            <v>salud_oral</v>
          </cell>
          <cell r="J3963" t="str">
            <v>bueno</v>
          </cell>
          <cell r="K3963" t="str">
            <v>defsi</v>
          </cell>
        </row>
        <row r="3964">
          <cell r="B3964" t="b">
            <v>1</v>
          </cell>
          <cell r="E3964" t="str">
            <v>Arroyo de las Canoas</v>
          </cell>
          <cell r="H3964" t="str">
            <v>laboratorio</v>
          </cell>
          <cell r="J3964" t="str">
            <v>bueno</v>
          </cell>
          <cell r="K3964" t="str">
            <v>defsi</v>
          </cell>
        </row>
        <row r="3965">
          <cell r="B3965" t="b">
            <v>1</v>
          </cell>
          <cell r="E3965" t="str">
            <v>Arroyo de las Canoas</v>
          </cell>
          <cell r="H3965" t="str">
            <v>consulta_externa</v>
          </cell>
          <cell r="J3965" t="str">
            <v>bueno</v>
          </cell>
          <cell r="K3965" t="str">
            <v>defsi</v>
          </cell>
        </row>
        <row r="3966">
          <cell r="B3966" t="b">
            <v>1</v>
          </cell>
          <cell r="E3966" t="str">
            <v>Arroyo de las Canoas</v>
          </cell>
          <cell r="H3966" t="str">
            <v>salud_oral</v>
          </cell>
          <cell r="J3966" t="str">
            <v>bueno</v>
          </cell>
          <cell r="K3966" t="str">
            <v>defsi</v>
          </cell>
        </row>
        <row r="3967">
          <cell r="B3967" t="b">
            <v>1</v>
          </cell>
          <cell r="E3967" t="str">
            <v>Punta Canoa</v>
          </cell>
          <cell r="H3967" t="str">
            <v>consulta_externa</v>
          </cell>
          <cell r="J3967" t="str">
            <v>bueno</v>
          </cell>
          <cell r="K3967" t="str">
            <v>probsi</v>
          </cell>
        </row>
        <row r="3968">
          <cell r="B3968" t="b">
            <v>1</v>
          </cell>
          <cell r="E3968" t="str">
            <v>Punta Canoa</v>
          </cell>
          <cell r="H3968" t="str">
            <v>consulta_externa</v>
          </cell>
          <cell r="J3968" t="str">
            <v>bueno</v>
          </cell>
          <cell r="K3968" t="str">
            <v>probsi</v>
          </cell>
        </row>
        <row r="3969">
          <cell r="B3969" t="b">
            <v>1</v>
          </cell>
          <cell r="E3969" t="str">
            <v>Punta Canoa</v>
          </cell>
          <cell r="H3969" t="str">
            <v>consulta_externa</v>
          </cell>
          <cell r="J3969" t="str">
            <v>bueno</v>
          </cell>
          <cell r="K3969" t="str">
            <v>probsi</v>
          </cell>
        </row>
        <row r="3970">
          <cell r="B3970" t="b">
            <v>1</v>
          </cell>
          <cell r="E3970" t="str">
            <v>Punta Canoa</v>
          </cell>
          <cell r="H3970" t="str">
            <v>consulta_externa</v>
          </cell>
          <cell r="J3970" t="str">
            <v>bueno</v>
          </cell>
          <cell r="K3970" t="str">
            <v>probsi</v>
          </cell>
        </row>
        <row r="3971">
          <cell r="B3971" t="b">
            <v>1</v>
          </cell>
          <cell r="E3971" t="str">
            <v>Punta Canoa</v>
          </cell>
          <cell r="H3971" t="str">
            <v>consulta_externa</v>
          </cell>
          <cell r="J3971" t="str">
            <v>bueno</v>
          </cell>
          <cell r="K3971" t="str">
            <v>probsi</v>
          </cell>
        </row>
        <row r="3972">
          <cell r="B3972" t="b">
            <v>1</v>
          </cell>
          <cell r="E3972" t="str">
            <v>Punta Canoa</v>
          </cell>
          <cell r="H3972" t="str">
            <v>consulta_externa</v>
          </cell>
          <cell r="J3972" t="str">
            <v>bueno</v>
          </cell>
          <cell r="K3972" t="str">
            <v>probsi</v>
          </cell>
        </row>
        <row r="3973">
          <cell r="B3973" t="b">
            <v>1</v>
          </cell>
          <cell r="E3973" t="str">
            <v>Punta Canoa</v>
          </cell>
          <cell r="H3973" t="str">
            <v>salud_oral</v>
          </cell>
          <cell r="J3973" t="str">
            <v>muybueno</v>
          </cell>
          <cell r="K3973" t="str">
            <v>probsi</v>
          </cell>
        </row>
        <row r="3974">
          <cell r="B3974" t="b">
            <v>1</v>
          </cell>
          <cell r="E3974" t="str">
            <v>Punta Canoa</v>
          </cell>
          <cell r="H3974" t="str">
            <v>salud_oral</v>
          </cell>
          <cell r="J3974" t="str">
            <v>bueno</v>
          </cell>
          <cell r="K3974" t="str">
            <v>probsi</v>
          </cell>
        </row>
        <row r="3975">
          <cell r="B3975" t="b">
            <v>1</v>
          </cell>
          <cell r="E3975" t="str">
            <v>Punta Canoa</v>
          </cell>
          <cell r="H3975" t="str">
            <v>salud_oral</v>
          </cell>
          <cell r="J3975" t="str">
            <v>bueno</v>
          </cell>
          <cell r="K3975" t="str">
            <v>probsi</v>
          </cell>
        </row>
        <row r="3976">
          <cell r="B3976" t="b">
            <v>1</v>
          </cell>
          <cell r="E3976" t="str">
            <v>Punta Canoa</v>
          </cell>
          <cell r="H3976" t="str">
            <v>salud_oral</v>
          </cell>
          <cell r="J3976" t="str">
            <v>bueno</v>
          </cell>
          <cell r="K3976" t="str">
            <v>probsi</v>
          </cell>
        </row>
        <row r="3977">
          <cell r="B3977" t="b">
            <v>1</v>
          </cell>
          <cell r="E3977" t="str">
            <v>Punta Canoa</v>
          </cell>
          <cell r="H3977" t="str">
            <v>salud_oral</v>
          </cell>
          <cell r="J3977" t="str">
            <v>bueno</v>
          </cell>
          <cell r="K3977" t="str">
            <v>probsi</v>
          </cell>
        </row>
        <row r="3978">
          <cell r="B3978" t="b">
            <v>1</v>
          </cell>
          <cell r="E3978" t="str">
            <v>Punta Canoa</v>
          </cell>
          <cell r="H3978" t="str">
            <v>salud_oral</v>
          </cell>
          <cell r="J3978" t="str">
            <v>bueno</v>
          </cell>
          <cell r="K3978" t="str">
            <v>probsi</v>
          </cell>
        </row>
        <row r="3979">
          <cell r="B3979" t="b">
            <v>1</v>
          </cell>
          <cell r="E3979" t="str">
            <v>Punta Canoa</v>
          </cell>
          <cell r="H3979" t="str">
            <v>laboratorio</v>
          </cell>
          <cell r="J3979" t="str">
            <v>bueno</v>
          </cell>
          <cell r="K3979" t="str">
            <v>probsi</v>
          </cell>
        </row>
        <row r="3980">
          <cell r="B3980" t="b">
            <v>1</v>
          </cell>
          <cell r="E3980" t="str">
            <v>Punta Canoa</v>
          </cell>
          <cell r="H3980" t="str">
            <v>laboratorio</v>
          </cell>
          <cell r="J3980" t="str">
            <v>bueno</v>
          </cell>
          <cell r="K3980" t="str">
            <v>probsi</v>
          </cell>
        </row>
        <row r="3981">
          <cell r="B3981" t="b">
            <v>1</v>
          </cell>
          <cell r="E3981" t="str">
            <v>Punta Canoa</v>
          </cell>
          <cell r="H3981" t="str">
            <v>laboratorio</v>
          </cell>
          <cell r="J3981" t="str">
            <v>bueno</v>
          </cell>
          <cell r="K3981" t="str">
            <v>probsi</v>
          </cell>
        </row>
        <row r="3982">
          <cell r="B3982" t="b">
            <v>1</v>
          </cell>
          <cell r="E3982" t="str">
            <v>Punta Canoa</v>
          </cell>
          <cell r="H3982" t="str">
            <v>laboratorio</v>
          </cell>
          <cell r="J3982" t="str">
            <v>bueno</v>
          </cell>
          <cell r="K3982" t="str">
            <v>probsi</v>
          </cell>
        </row>
        <row r="3983">
          <cell r="B3983" t="b">
            <v>1</v>
          </cell>
          <cell r="E3983" t="str">
            <v>Punta Canoa</v>
          </cell>
          <cell r="H3983" t="str">
            <v>laboratorio</v>
          </cell>
          <cell r="J3983" t="str">
            <v>bueno</v>
          </cell>
          <cell r="K3983" t="str">
            <v>probsi</v>
          </cell>
        </row>
        <row r="3984">
          <cell r="B3984" t="b">
            <v>1</v>
          </cell>
          <cell r="E3984" t="str">
            <v>Punta Canoa</v>
          </cell>
          <cell r="H3984" t="str">
            <v>laboratorio</v>
          </cell>
          <cell r="J3984" t="str">
            <v>bueno</v>
          </cell>
          <cell r="K3984" t="str">
            <v>probsi</v>
          </cell>
        </row>
        <row r="3985">
          <cell r="B3985" t="b">
            <v>1</v>
          </cell>
          <cell r="E3985" t="str">
            <v>Arroyo de las Canoas</v>
          </cell>
          <cell r="H3985" t="str">
            <v>laboratorio</v>
          </cell>
          <cell r="J3985" t="str">
            <v>bueno</v>
          </cell>
          <cell r="K3985" t="str">
            <v>defsi</v>
          </cell>
        </row>
        <row r="3986">
          <cell r="B3986" t="b">
            <v>1</v>
          </cell>
          <cell r="E3986" t="str">
            <v>Arroyo de las Canoas</v>
          </cell>
          <cell r="H3986" t="str">
            <v>consulta_externa</v>
          </cell>
          <cell r="J3986" t="str">
            <v>bueno</v>
          </cell>
          <cell r="K3986" t="str">
            <v>defsi</v>
          </cell>
        </row>
        <row r="3987">
          <cell r="B3987" t="b">
            <v>1</v>
          </cell>
          <cell r="E3987" t="str">
            <v>Arroyo de las Canoas</v>
          </cell>
          <cell r="H3987" t="str">
            <v>salud_oral</v>
          </cell>
          <cell r="J3987" t="str">
            <v>bueno</v>
          </cell>
          <cell r="K3987" t="str">
            <v>defsi</v>
          </cell>
        </row>
        <row r="3988">
          <cell r="B3988" t="b">
            <v>1</v>
          </cell>
          <cell r="E3988" t="str">
            <v>Arroyo de las Canoas</v>
          </cell>
          <cell r="H3988" t="str">
            <v>laboratorio</v>
          </cell>
          <cell r="J3988" t="str">
            <v>bueno</v>
          </cell>
          <cell r="K3988" t="str">
            <v>defsi</v>
          </cell>
        </row>
        <row r="3989">
          <cell r="B3989" t="b">
            <v>1</v>
          </cell>
          <cell r="E3989" t="str">
            <v>Arroyo de las Canoas</v>
          </cell>
          <cell r="H3989" t="str">
            <v>consulta_externa</v>
          </cell>
          <cell r="J3989" t="str">
            <v>bueno</v>
          </cell>
          <cell r="K3989" t="str">
            <v>defsi</v>
          </cell>
        </row>
        <row r="3990">
          <cell r="B3990" t="b">
            <v>1</v>
          </cell>
          <cell r="E3990" t="str">
            <v>Arroyo de las Canoas</v>
          </cell>
          <cell r="H3990" t="str">
            <v>salud_oral</v>
          </cell>
          <cell r="J3990" t="str">
            <v>bueno</v>
          </cell>
          <cell r="K3990" t="str">
            <v>defsi</v>
          </cell>
        </row>
        <row r="3991">
          <cell r="B3991" t="b">
            <v>1</v>
          </cell>
          <cell r="E3991" t="str">
            <v>Arroyo de las Canoas</v>
          </cell>
          <cell r="H3991" t="str">
            <v>laboratorio</v>
          </cell>
          <cell r="J3991" t="str">
            <v>bueno</v>
          </cell>
          <cell r="K3991" t="str">
            <v>defsi</v>
          </cell>
        </row>
        <row r="3992">
          <cell r="B3992" t="b">
            <v>1</v>
          </cell>
          <cell r="E3992" t="str">
            <v>Arroyo de las Canoas</v>
          </cell>
          <cell r="H3992" t="str">
            <v>consulta_externa</v>
          </cell>
          <cell r="J3992" t="str">
            <v>bueno</v>
          </cell>
          <cell r="K3992" t="str">
            <v>defsi</v>
          </cell>
        </row>
        <row r="3993">
          <cell r="B3993" t="b">
            <v>1</v>
          </cell>
          <cell r="E3993" t="str">
            <v>Arroyo de las Canoas</v>
          </cell>
          <cell r="H3993" t="str">
            <v>salud_oral</v>
          </cell>
          <cell r="J3993" t="str">
            <v>bueno</v>
          </cell>
          <cell r="K3993" t="str">
            <v>defsi</v>
          </cell>
        </row>
        <row r="3994">
          <cell r="B3994" t="b">
            <v>1</v>
          </cell>
          <cell r="E3994" t="str">
            <v>Arroyo de las Canoas</v>
          </cell>
          <cell r="H3994" t="str">
            <v>laboratorio</v>
          </cell>
          <cell r="J3994" t="str">
            <v>bueno</v>
          </cell>
          <cell r="K3994" t="str">
            <v>defsi</v>
          </cell>
        </row>
        <row r="3995">
          <cell r="B3995" t="b">
            <v>1</v>
          </cell>
          <cell r="E3995" t="str">
            <v>Hospital Pozon</v>
          </cell>
          <cell r="H3995" t="str">
            <v>pediatria</v>
          </cell>
          <cell r="J3995" t="str">
            <v>bueno</v>
          </cell>
          <cell r="K3995" t="str">
            <v>defsi</v>
          </cell>
        </row>
        <row r="3996">
          <cell r="B3996" t="b">
            <v>1</v>
          </cell>
          <cell r="E3996" t="str">
            <v>Arroyo de las Canoas</v>
          </cell>
          <cell r="H3996" t="str">
            <v>consulta_externa</v>
          </cell>
          <cell r="J3996" t="str">
            <v>bueno</v>
          </cell>
          <cell r="K3996" t="str">
            <v>defsi</v>
          </cell>
        </row>
        <row r="3997">
          <cell r="B3997" t="b">
            <v>1</v>
          </cell>
          <cell r="E3997" t="str">
            <v>Hospital Pozon</v>
          </cell>
          <cell r="H3997" t="str">
            <v>pediatria</v>
          </cell>
          <cell r="J3997" t="str">
            <v>bueno</v>
          </cell>
          <cell r="K3997" t="str">
            <v>defsi</v>
          </cell>
        </row>
        <row r="3998">
          <cell r="B3998" t="b">
            <v>1</v>
          </cell>
          <cell r="E3998" t="str">
            <v>Arroyo de las Canoas</v>
          </cell>
          <cell r="H3998" t="str">
            <v>salud_oral</v>
          </cell>
          <cell r="J3998" t="str">
            <v>bueno</v>
          </cell>
          <cell r="K3998" t="str">
            <v>defsi</v>
          </cell>
        </row>
        <row r="3999">
          <cell r="B3999" t="b">
            <v>1</v>
          </cell>
          <cell r="E3999" t="str">
            <v>Arroyo de las Canoas</v>
          </cell>
          <cell r="H3999" t="str">
            <v>laboratorio</v>
          </cell>
          <cell r="J3999" t="str">
            <v>bueno</v>
          </cell>
          <cell r="K3999" t="str">
            <v>defsi</v>
          </cell>
        </row>
        <row r="4000">
          <cell r="B4000" t="b">
            <v>1</v>
          </cell>
          <cell r="E4000" t="str">
            <v>Hospital Pozon</v>
          </cell>
          <cell r="H4000" t="str">
            <v>rx</v>
          </cell>
          <cell r="J4000" t="str">
            <v>bueno</v>
          </cell>
          <cell r="K4000" t="str">
            <v>defsi</v>
          </cell>
        </row>
        <row r="4001">
          <cell r="B4001" t="b">
            <v>1</v>
          </cell>
          <cell r="E4001" t="str">
            <v>Hospital Pozon</v>
          </cell>
          <cell r="H4001" t="str">
            <v>rx</v>
          </cell>
          <cell r="J4001" t="str">
            <v>bueno</v>
          </cell>
          <cell r="K4001" t="str">
            <v>defsi</v>
          </cell>
        </row>
        <row r="4002">
          <cell r="B4002" t="b">
            <v>1</v>
          </cell>
          <cell r="E4002" t="str">
            <v>Hospital Pozon</v>
          </cell>
          <cell r="H4002" t="str">
            <v>laboratorio</v>
          </cell>
          <cell r="J4002" t="str">
            <v>bueno</v>
          </cell>
          <cell r="K4002" t="str">
            <v>defsi</v>
          </cell>
        </row>
        <row r="4003">
          <cell r="B4003" t="b">
            <v>1</v>
          </cell>
          <cell r="E4003" t="str">
            <v>Hospital Pozon</v>
          </cell>
          <cell r="H4003" t="str">
            <v>laboratorio</v>
          </cell>
          <cell r="J4003" t="str">
            <v>bueno</v>
          </cell>
          <cell r="K4003" t="str">
            <v>defsi</v>
          </cell>
        </row>
        <row r="4004">
          <cell r="B4004" t="b">
            <v>1</v>
          </cell>
          <cell r="E4004" t="str">
            <v>Arroyo de las Canoas</v>
          </cell>
          <cell r="H4004" t="str">
            <v>consulta_externa</v>
          </cell>
          <cell r="J4004" t="str">
            <v>bueno</v>
          </cell>
          <cell r="K4004" t="str">
            <v>defsi</v>
          </cell>
        </row>
        <row r="4005">
          <cell r="B4005" t="b">
            <v>1</v>
          </cell>
          <cell r="E4005" t="str">
            <v>Arroyo de las Canoas</v>
          </cell>
          <cell r="H4005" t="str">
            <v>consulta_externa</v>
          </cell>
          <cell r="J4005" t="str">
            <v>bueno</v>
          </cell>
          <cell r="K4005" t="str">
            <v>defsi</v>
          </cell>
        </row>
        <row r="4006">
          <cell r="B4006" t="b">
            <v>1</v>
          </cell>
          <cell r="E4006" t="str">
            <v>Arroyo de las Canoas</v>
          </cell>
          <cell r="H4006" t="str">
            <v>salud_oral</v>
          </cell>
          <cell r="J4006" t="str">
            <v>bueno</v>
          </cell>
          <cell r="K4006" t="str">
            <v>defsi</v>
          </cell>
        </row>
        <row r="4007">
          <cell r="B4007" t="b">
            <v>1</v>
          </cell>
          <cell r="E4007" t="str">
            <v>Arroyo de las Canoas</v>
          </cell>
          <cell r="H4007" t="str">
            <v>consulta_externa</v>
          </cell>
          <cell r="J4007" t="str">
            <v>bueno</v>
          </cell>
          <cell r="K4007" t="str">
            <v>defsi</v>
          </cell>
        </row>
        <row r="4008">
          <cell r="B4008" t="b">
            <v>1</v>
          </cell>
          <cell r="E4008" t="str">
            <v>Arroyo de las Canoas</v>
          </cell>
          <cell r="H4008" t="str">
            <v>consulta_externa</v>
          </cell>
          <cell r="J4008" t="str">
            <v>bueno</v>
          </cell>
          <cell r="K4008" t="str">
            <v>defsi</v>
          </cell>
        </row>
        <row r="4009">
          <cell r="B4009" t="b">
            <v>1</v>
          </cell>
          <cell r="E4009" t="str">
            <v>Arroyo de las Canoas</v>
          </cell>
          <cell r="H4009" t="str">
            <v>salud_oral</v>
          </cell>
          <cell r="J4009" t="str">
            <v>bueno</v>
          </cell>
          <cell r="K4009" t="str">
            <v>defsi</v>
          </cell>
        </row>
        <row r="4010">
          <cell r="B4010" t="b">
            <v>1</v>
          </cell>
          <cell r="E4010" t="str">
            <v>Arroyo de Piedra</v>
          </cell>
          <cell r="H4010" t="str">
            <v>consulta_externa</v>
          </cell>
          <cell r="J4010" t="str">
            <v>bueno</v>
          </cell>
          <cell r="K4010" t="str">
            <v>defsi</v>
          </cell>
        </row>
        <row r="4011">
          <cell r="B4011" t="b">
            <v>1</v>
          </cell>
          <cell r="E4011" t="str">
            <v>Arroyo de Piedra</v>
          </cell>
          <cell r="H4011" t="str">
            <v>salud_oral</v>
          </cell>
          <cell r="J4011" t="str">
            <v>bueno</v>
          </cell>
          <cell r="K4011" t="str">
            <v>defsi</v>
          </cell>
        </row>
        <row r="4012">
          <cell r="B4012" t="b">
            <v>1</v>
          </cell>
          <cell r="E4012" t="str">
            <v>Hospital Pozon</v>
          </cell>
          <cell r="H4012" t="str">
            <v>pediatria</v>
          </cell>
          <cell r="J4012" t="str">
            <v>bueno</v>
          </cell>
          <cell r="K4012" t="str">
            <v>defsi</v>
          </cell>
        </row>
        <row r="4013">
          <cell r="B4013" t="b">
            <v>1</v>
          </cell>
          <cell r="E4013" t="str">
            <v>Hospital Pozon</v>
          </cell>
          <cell r="H4013" t="str">
            <v>salud_oral</v>
          </cell>
          <cell r="J4013" t="str">
            <v>bueno</v>
          </cell>
          <cell r="K4013" t="str">
            <v>defsi</v>
          </cell>
        </row>
        <row r="4014">
          <cell r="B4014" t="b">
            <v>0</v>
          </cell>
          <cell r="E4014" t="str">
            <v>Hospital Pozon</v>
          </cell>
          <cell r="H4014" t="str">
            <v>salud_oral</v>
          </cell>
          <cell r="J4014" t="str">
            <v>regular</v>
          </cell>
          <cell r="K4014" t="str">
            <v>probsi</v>
          </cell>
        </row>
        <row r="4015">
          <cell r="B4015" t="b">
            <v>1</v>
          </cell>
          <cell r="E4015" t="str">
            <v>Hospital Pozon</v>
          </cell>
          <cell r="H4015" t="str">
            <v>salud_oral</v>
          </cell>
          <cell r="J4015" t="str">
            <v>bueno</v>
          </cell>
          <cell r="K4015" t="str">
            <v>defsi</v>
          </cell>
        </row>
        <row r="4016">
          <cell r="B4016" t="b">
            <v>1</v>
          </cell>
          <cell r="E4016" t="str">
            <v>Hospital Pozon</v>
          </cell>
          <cell r="H4016" t="str">
            <v>salud_oral</v>
          </cell>
          <cell r="J4016" t="str">
            <v>bueno</v>
          </cell>
          <cell r="K4016" t="str">
            <v>defsi</v>
          </cell>
        </row>
        <row r="4017">
          <cell r="B4017" t="b">
            <v>1</v>
          </cell>
          <cell r="E4017" t="str">
            <v>Hospital Pozon</v>
          </cell>
          <cell r="H4017" t="str">
            <v>salud_oral</v>
          </cell>
          <cell r="J4017" t="str">
            <v>bueno</v>
          </cell>
          <cell r="K4017" t="str">
            <v>defsi</v>
          </cell>
        </row>
        <row r="4018">
          <cell r="B4018" t="b">
            <v>1</v>
          </cell>
          <cell r="E4018" t="str">
            <v>Hospital Pozon</v>
          </cell>
          <cell r="H4018" t="str">
            <v>medicina_interna</v>
          </cell>
          <cell r="J4018" t="str">
            <v>bueno</v>
          </cell>
          <cell r="K4018" t="str">
            <v>defsi</v>
          </cell>
        </row>
        <row r="4019">
          <cell r="B4019" t="b">
            <v>1</v>
          </cell>
          <cell r="E4019" t="str">
            <v>Hospital Pozon</v>
          </cell>
          <cell r="H4019" t="str">
            <v>medicina_interna</v>
          </cell>
          <cell r="J4019" t="str">
            <v>bueno</v>
          </cell>
          <cell r="K4019" t="str">
            <v>defsi</v>
          </cell>
        </row>
        <row r="4020">
          <cell r="B4020" t="b">
            <v>0</v>
          </cell>
          <cell r="E4020" t="str">
            <v>Hospital Pozon</v>
          </cell>
          <cell r="H4020" t="str">
            <v>medicina_interna</v>
          </cell>
          <cell r="J4020" t="str">
            <v>regular</v>
          </cell>
          <cell r="K4020" t="str">
            <v>defsi</v>
          </cell>
        </row>
        <row r="4021">
          <cell r="B4021" t="b">
            <v>1</v>
          </cell>
          <cell r="E4021" t="str">
            <v>Hospital Pozon</v>
          </cell>
          <cell r="H4021" t="str">
            <v>salud_oral</v>
          </cell>
          <cell r="J4021" t="str">
            <v>bueno</v>
          </cell>
          <cell r="K4021" t="str">
            <v>defsi</v>
          </cell>
        </row>
        <row r="4022">
          <cell r="B4022" t="b">
            <v>1</v>
          </cell>
          <cell r="E4022" t="str">
            <v>Pozon</v>
          </cell>
          <cell r="H4022" t="str">
            <v>salud_oral</v>
          </cell>
          <cell r="J4022" t="str">
            <v>bueno</v>
          </cell>
          <cell r="K4022" t="str">
            <v>defsi</v>
          </cell>
        </row>
        <row r="4023">
          <cell r="B4023" t="b">
            <v>1</v>
          </cell>
          <cell r="E4023" t="str">
            <v>Pozon</v>
          </cell>
          <cell r="H4023" t="str">
            <v>salud_oral</v>
          </cell>
          <cell r="J4023" t="str">
            <v>bueno</v>
          </cell>
          <cell r="K4023" t="str">
            <v>defsi</v>
          </cell>
        </row>
        <row r="4024">
          <cell r="B4024" t="b">
            <v>1</v>
          </cell>
          <cell r="E4024" t="str">
            <v>Pozon</v>
          </cell>
          <cell r="H4024" t="str">
            <v>salud_oral</v>
          </cell>
          <cell r="J4024" t="str">
            <v>bueno</v>
          </cell>
          <cell r="K4024" t="str">
            <v>defsi</v>
          </cell>
        </row>
        <row r="4025">
          <cell r="B4025" t="b">
            <v>1</v>
          </cell>
          <cell r="E4025" t="str">
            <v>Pozon</v>
          </cell>
          <cell r="H4025" t="str">
            <v>laboratorio</v>
          </cell>
          <cell r="J4025" t="str">
            <v>bueno</v>
          </cell>
          <cell r="K4025" t="str">
            <v>defsi</v>
          </cell>
        </row>
        <row r="4026">
          <cell r="B4026" t="b">
            <v>1</v>
          </cell>
          <cell r="E4026" t="str">
            <v>Pozon</v>
          </cell>
          <cell r="H4026" t="str">
            <v>laboratorio</v>
          </cell>
          <cell r="J4026" t="str">
            <v>bueno</v>
          </cell>
          <cell r="K4026" t="str">
            <v>defsi</v>
          </cell>
        </row>
        <row r="4027">
          <cell r="B4027" t="b">
            <v>1</v>
          </cell>
          <cell r="E4027" t="str">
            <v>Pozon</v>
          </cell>
          <cell r="H4027" t="str">
            <v>laboratorio</v>
          </cell>
          <cell r="J4027" t="str">
            <v>bueno</v>
          </cell>
          <cell r="K4027" t="str">
            <v>defsi</v>
          </cell>
        </row>
        <row r="4028">
          <cell r="B4028" t="b">
            <v>1</v>
          </cell>
          <cell r="E4028" t="str">
            <v>Arroyo de Piedra</v>
          </cell>
          <cell r="H4028" t="str">
            <v>laboratorio</v>
          </cell>
          <cell r="J4028" t="str">
            <v>bueno</v>
          </cell>
          <cell r="K4028" t="str">
            <v>defsi</v>
          </cell>
        </row>
        <row r="4029">
          <cell r="B4029" t="b">
            <v>1</v>
          </cell>
          <cell r="E4029" t="str">
            <v>Arroyo de Piedra</v>
          </cell>
          <cell r="H4029" t="str">
            <v>consulta_externa</v>
          </cell>
          <cell r="J4029" t="str">
            <v>bueno</v>
          </cell>
          <cell r="K4029" t="str">
            <v>defsi</v>
          </cell>
        </row>
        <row r="4030">
          <cell r="B4030" t="b">
            <v>1</v>
          </cell>
          <cell r="E4030" t="str">
            <v>Arroyo de Piedra</v>
          </cell>
          <cell r="H4030" t="str">
            <v>salud_oral</v>
          </cell>
          <cell r="J4030" t="str">
            <v>bueno</v>
          </cell>
          <cell r="K4030" t="str">
            <v>defsi</v>
          </cell>
        </row>
        <row r="4031">
          <cell r="B4031" t="b">
            <v>1</v>
          </cell>
          <cell r="E4031" t="str">
            <v>Arroyo de Piedra</v>
          </cell>
          <cell r="H4031" t="str">
            <v>laboratorio</v>
          </cell>
          <cell r="J4031" t="str">
            <v>bueno</v>
          </cell>
          <cell r="K4031" t="str">
            <v>defsi</v>
          </cell>
        </row>
        <row r="4032">
          <cell r="B4032" t="b">
            <v>1</v>
          </cell>
          <cell r="E4032" t="str">
            <v>Arroyo de Piedra</v>
          </cell>
          <cell r="H4032" t="str">
            <v>consulta_externa</v>
          </cell>
          <cell r="J4032" t="str">
            <v>bueno</v>
          </cell>
          <cell r="K4032" t="str">
            <v>defsi</v>
          </cell>
        </row>
        <row r="4033">
          <cell r="B4033" t="b">
            <v>1</v>
          </cell>
          <cell r="E4033" t="str">
            <v>Arroyo de Piedra</v>
          </cell>
          <cell r="H4033" t="str">
            <v>salud_oral</v>
          </cell>
          <cell r="J4033" t="str">
            <v>bueno</v>
          </cell>
          <cell r="K4033" t="str">
            <v>defsi</v>
          </cell>
        </row>
        <row r="4034">
          <cell r="B4034" t="b">
            <v>1</v>
          </cell>
          <cell r="E4034" t="str">
            <v>Arroyo de Piedra</v>
          </cell>
          <cell r="H4034" t="str">
            <v>laboratorio</v>
          </cell>
          <cell r="J4034" t="str">
            <v>bueno</v>
          </cell>
          <cell r="K4034" t="str">
            <v>defsi</v>
          </cell>
        </row>
        <row r="4035">
          <cell r="B4035" t="b">
            <v>1</v>
          </cell>
          <cell r="E4035" t="str">
            <v>Arroyo de Piedra</v>
          </cell>
          <cell r="H4035" t="str">
            <v>consulta_externa</v>
          </cell>
          <cell r="J4035" t="str">
            <v>bueno</v>
          </cell>
          <cell r="K4035" t="str">
            <v>defsi</v>
          </cell>
        </row>
        <row r="4036">
          <cell r="B4036" t="b">
            <v>1</v>
          </cell>
          <cell r="E4036" t="str">
            <v>Arroyo de Piedra</v>
          </cell>
          <cell r="H4036" t="str">
            <v>salud_oral</v>
          </cell>
          <cell r="J4036" t="str">
            <v>bueno</v>
          </cell>
          <cell r="K4036" t="str">
            <v>defsi</v>
          </cell>
        </row>
        <row r="4037">
          <cell r="B4037" t="b">
            <v>1</v>
          </cell>
          <cell r="E4037" t="str">
            <v>Arroyo de Piedra</v>
          </cell>
          <cell r="H4037" t="str">
            <v>laboratorio</v>
          </cell>
          <cell r="J4037" t="str">
            <v>bueno</v>
          </cell>
          <cell r="K4037" t="str">
            <v>defsi</v>
          </cell>
        </row>
        <row r="4038">
          <cell r="B4038" t="b">
            <v>1</v>
          </cell>
          <cell r="E4038" t="str">
            <v>Arroyo de Piedra</v>
          </cell>
          <cell r="H4038" t="str">
            <v>consulta_externa</v>
          </cell>
          <cell r="J4038" t="str">
            <v>bueno</v>
          </cell>
          <cell r="K4038" t="str">
            <v>defsi</v>
          </cell>
        </row>
        <row r="4039">
          <cell r="B4039" t="b">
            <v>1</v>
          </cell>
          <cell r="E4039" t="str">
            <v>Arroyo de Piedra</v>
          </cell>
          <cell r="H4039" t="str">
            <v>salud_oral</v>
          </cell>
          <cell r="J4039" t="str">
            <v>bueno</v>
          </cell>
          <cell r="K4039" t="str">
            <v>defsi</v>
          </cell>
        </row>
        <row r="4040">
          <cell r="B4040" t="b">
            <v>1</v>
          </cell>
          <cell r="E4040" t="str">
            <v>Arroyo de Piedra</v>
          </cell>
          <cell r="H4040" t="str">
            <v>laboratorio</v>
          </cell>
          <cell r="J4040" t="str">
            <v>bueno</v>
          </cell>
          <cell r="K4040" t="str">
            <v>defsi</v>
          </cell>
        </row>
        <row r="4041">
          <cell r="B4041" t="b">
            <v>1</v>
          </cell>
          <cell r="E4041" t="str">
            <v>Arroyo de Piedra</v>
          </cell>
          <cell r="H4041" t="str">
            <v>consulta_externa</v>
          </cell>
          <cell r="J4041" t="str">
            <v>bueno</v>
          </cell>
          <cell r="K4041" t="str">
            <v>defsi</v>
          </cell>
        </row>
        <row r="4042">
          <cell r="B4042" t="b">
            <v>1</v>
          </cell>
          <cell r="E4042" t="str">
            <v>Arroyo de Piedra</v>
          </cell>
          <cell r="H4042" t="str">
            <v>salud_oral</v>
          </cell>
          <cell r="J4042" t="str">
            <v>bueno</v>
          </cell>
          <cell r="K4042" t="str">
            <v>defsi</v>
          </cell>
        </row>
        <row r="4043">
          <cell r="B4043" t="b">
            <v>1</v>
          </cell>
          <cell r="E4043" t="str">
            <v>Arroyo de Piedra</v>
          </cell>
          <cell r="H4043" t="str">
            <v>laboratorio</v>
          </cell>
          <cell r="J4043" t="str">
            <v>bueno</v>
          </cell>
          <cell r="K4043" t="str">
            <v>defsi</v>
          </cell>
        </row>
        <row r="4044">
          <cell r="B4044" t="b">
            <v>1</v>
          </cell>
          <cell r="E4044" t="str">
            <v>Islote de San Bernardo</v>
          </cell>
          <cell r="H4044" t="str">
            <v>consulta_externa</v>
          </cell>
          <cell r="J4044" t="str">
            <v>muybueno</v>
          </cell>
          <cell r="K4044" t="str">
            <v>defsi</v>
          </cell>
        </row>
        <row r="4045">
          <cell r="B4045" t="b">
            <v>1</v>
          </cell>
          <cell r="E4045" t="str">
            <v>Islote de San Bernardo</v>
          </cell>
          <cell r="H4045" t="str">
            <v>consulta_externa</v>
          </cell>
          <cell r="J4045" t="str">
            <v>muybueno</v>
          </cell>
          <cell r="K4045" t="str">
            <v>defsi</v>
          </cell>
        </row>
        <row r="4046">
          <cell r="B4046" t="b">
            <v>1</v>
          </cell>
          <cell r="E4046" t="str">
            <v>Nuevo Porvenir</v>
          </cell>
          <cell r="H4046" t="str">
            <v>consulta_externa</v>
          </cell>
          <cell r="J4046" t="str">
            <v>bueno</v>
          </cell>
          <cell r="K4046" t="str">
            <v>defsi</v>
          </cell>
        </row>
        <row r="4047">
          <cell r="B4047" t="b">
            <v>1</v>
          </cell>
          <cell r="E4047" t="str">
            <v>Nuevo Porvenir</v>
          </cell>
          <cell r="H4047" t="str">
            <v>salud_oral</v>
          </cell>
          <cell r="J4047" t="str">
            <v>bueno</v>
          </cell>
          <cell r="K4047" t="str">
            <v>defsi</v>
          </cell>
        </row>
        <row r="4048">
          <cell r="B4048" t="b">
            <v>1</v>
          </cell>
          <cell r="E4048" t="str">
            <v>Nuevo Porvenir</v>
          </cell>
          <cell r="H4048" t="str">
            <v>laboratorio</v>
          </cell>
          <cell r="J4048" t="str">
            <v>bueno</v>
          </cell>
          <cell r="K4048" t="str">
            <v>defsi</v>
          </cell>
        </row>
        <row r="4049">
          <cell r="B4049" t="b">
            <v>1</v>
          </cell>
          <cell r="E4049" t="str">
            <v>Nuevo Porvenir</v>
          </cell>
          <cell r="H4049" t="str">
            <v>consulta_externa</v>
          </cell>
          <cell r="J4049" t="str">
            <v>bueno</v>
          </cell>
          <cell r="K4049" t="str">
            <v>defsi</v>
          </cell>
        </row>
        <row r="4050">
          <cell r="B4050" t="b">
            <v>1</v>
          </cell>
          <cell r="E4050" t="str">
            <v>Nuevo Porvenir</v>
          </cell>
          <cell r="H4050" t="str">
            <v>salud_oral</v>
          </cell>
          <cell r="J4050" t="str">
            <v>bueno</v>
          </cell>
          <cell r="K4050" t="str">
            <v>defsi</v>
          </cell>
        </row>
        <row r="4051">
          <cell r="B4051" t="b">
            <v>1</v>
          </cell>
          <cell r="E4051" t="str">
            <v>Nuevo Porvenir</v>
          </cell>
          <cell r="H4051" t="str">
            <v>laboratorio</v>
          </cell>
          <cell r="J4051" t="str">
            <v>bueno</v>
          </cell>
          <cell r="K4051" t="str">
            <v>defsi</v>
          </cell>
        </row>
        <row r="4052">
          <cell r="B4052" t="b">
            <v>1</v>
          </cell>
          <cell r="E4052" t="str">
            <v>Islote de San Bernardo</v>
          </cell>
          <cell r="H4052" t="str">
            <v>consulta_externa</v>
          </cell>
          <cell r="J4052" t="str">
            <v>muybueno</v>
          </cell>
          <cell r="K4052" t="str">
            <v>defsi</v>
          </cell>
        </row>
        <row r="4053">
          <cell r="B4053" t="b">
            <v>1</v>
          </cell>
          <cell r="E4053" t="str">
            <v>Libano</v>
          </cell>
          <cell r="H4053" t="str">
            <v>consulta_externa</v>
          </cell>
          <cell r="J4053" t="str">
            <v>bueno</v>
          </cell>
          <cell r="K4053" t="str">
            <v>probsi</v>
          </cell>
        </row>
        <row r="4054">
          <cell r="B4054" t="b">
            <v>1</v>
          </cell>
          <cell r="E4054" t="str">
            <v>Islote de San Bernardo</v>
          </cell>
          <cell r="H4054" t="str">
            <v>salud_oral</v>
          </cell>
          <cell r="J4054" t="str">
            <v>muybueno</v>
          </cell>
          <cell r="K4054" t="str">
            <v>defsi</v>
          </cell>
        </row>
        <row r="4055">
          <cell r="B4055" t="b">
            <v>1</v>
          </cell>
          <cell r="E4055" t="str">
            <v>Libano</v>
          </cell>
          <cell r="H4055" t="str">
            <v>laboratorio</v>
          </cell>
          <cell r="J4055" t="str">
            <v>bueno</v>
          </cell>
          <cell r="K4055" t="str">
            <v>probsi</v>
          </cell>
        </row>
        <row r="4056">
          <cell r="B4056" t="b">
            <v>1</v>
          </cell>
          <cell r="E4056" t="str">
            <v>Nuevo Porvenir</v>
          </cell>
          <cell r="H4056" t="str">
            <v>consulta_externa</v>
          </cell>
          <cell r="J4056" t="str">
            <v>bueno</v>
          </cell>
          <cell r="K4056" t="str">
            <v>defsi</v>
          </cell>
        </row>
        <row r="4057">
          <cell r="B4057" t="b">
            <v>1</v>
          </cell>
          <cell r="E4057" t="str">
            <v>Nuevo Porvenir</v>
          </cell>
          <cell r="H4057" t="str">
            <v>salud_oral</v>
          </cell>
          <cell r="J4057" t="str">
            <v>bueno</v>
          </cell>
          <cell r="K4057" t="str">
            <v>defsi</v>
          </cell>
        </row>
        <row r="4058">
          <cell r="B4058" t="b">
            <v>1</v>
          </cell>
          <cell r="E4058" t="str">
            <v>Nuevo Porvenir</v>
          </cell>
          <cell r="H4058" t="str">
            <v>laboratorio</v>
          </cell>
          <cell r="J4058" t="str">
            <v>bueno</v>
          </cell>
          <cell r="K4058" t="str">
            <v>defsi</v>
          </cell>
        </row>
        <row r="4059">
          <cell r="B4059" t="b">
            <v>1</v>
          </cell>
          <cell r="E4059" t="str">
            <v>Libano</v>
          </cell>
          <cell r="H4059" t="str">
            <v>laboratorio</v>
          </cell>
          <cell r="J4059" t="str">
            <v>bueno</v>
          </cell>
          <cell r="K4059" t="str">
            <v>defsi</v>
          </cell>
        </row>
        <row r="4060">
          <cell r="B4060" t="b">
            <v>1</v>
          </cell>
          <cell r="E4060" t="str">
            <v>Nuevo Porvenir</v>
          </cell>
          <cell r="H4060" t="str">
            <v>consulta_externa</v>
          </cell>
          <cell r="J4060" t="str">
            <v>bueno</v>
          </cell>
          <cell r="K4060" t="str">
            <v>defsi</v>
          </cell>
        </row>
        <row r="4061">
          <cell r="B4061" t="b">
            <v>1</v>
          </cell>
          <cell r="E4061" t="str">
            <v>Nuevo Porvenir</v>
          </cell>
          <cell r="H4061" t="str">
            <v>salud_oral</v>
          </cell>
          <cell r="J4061" t="str">
            <v>bueno</v>
          </cell>
          <cell r="K4061" t="str">
            <v>defsi</v>
          </cell>
        </row>
        <row r="4062">
          <cell r="B4062" t="b">
            <v>1</v>
          </cell>
          <cell r="E4062" t="str">
            <v>Nuevo Porvenir</v>
          </cell>
          <cell r="H4062" t="str">
            <v>laboratorio</v>
          </cell>
          <cell r="J4062" t="str">
            <v>bueno</v>
          </cell>
          <cell r="K4062" t="str">
            <v>defsi</v>
          </cell>
        </row>
        <row r="4063">
          <cell r="B4063" t="b">
            <v>1</v>
          </cell>
          <cell r="E4063" t="str">
            <v>Islote de San Bernardo</v>
          </cell>
          <cell r="H4063" t="str">
            <v>consulta_externa</v>
          </cell>
          <cell r="J4063" t="str">
            <v>muybueno</v>
          </cell>
          <cell r="K4063" t="str">
            <v>defsi</v>
          </cell>
        </row>
        <row r="4064">
          <cell r="B4064" t="b">
            <v>1</v>
          </cell>
          <cell r="E4064" t="str">
            <v>Libano</v>
          </cell>
          <cell r="H4064" t="str">
            <v>ginecologia</v>
          </cell>
          <cell r="J4064" t="str">
            <v>bueno</v>
          </cell>
          <cell r="K4064" t="str">
            <v>probsi</v>
          </cell>
        </row>
        <row r="4065">
          <cell r="B4065" t="b">
            <v>1</v>
          </cell>
          <cell r="E4065" t="str">
            <v>Libano</v>
          </cell>
          <cell r="H4065" t="str">
            <v>consulta_externa</v>
          </cell>
          <cell r="J4065" t="str">
            <v>bueno</v>
          </cell>
          <cell r="K4065" t="str">
            <v>probsi</v>
          </cell>
        </row>
        <row r="4066">
          <cell r="B4066" t="b">
            <v>1</v>
          </cell>
          <cell r="E4066" t="str">
            <v>Nuevo Porvenir</v>
          </cell>
          <cell r="H4066" t="str">
            <v>consulta_externa</v>
          </cell>
          <cell r="J4066" t="str">
            <v>bueno</v>
          </cell>
          <cell r="K4066" t="str">
            <v>defsi</v>
          </cell>
        </row>
        <row r="4067">
          <cell r="B4067" t="b">
            <v>1</v>
          </cell>
          <cell r="E4067" t="str">
            <v>Libano</v>
          </cell>
          <cell r="H4067" t="str">
            <v>laboratorio</v>
          </cell>
          <cell r="J4067" t="str">
            <v>bueno</v>
          </cell>
          <cell r="K4067" t="str">
            <v>probsi</v>
          </cell>
        </row>
        <row r="4068">
          <cell r="B4068" t="b">
            <v>1</v>
          </cell>
          <cell r="E4068" t="str">
            <v>Islote de San Bernardo</v>
          </cell>
          <cell r="H4068" t="str">
            <v>consulta_externa</v>
          </cell>
          <cell r="J4068" t="str">
            <v>muybueno</v>
          </cell>
          <cell r="K4068" t="str">
            <v>defsi</v>
          </cell>
        </row>
        <row r="4069">
          <cell r="B4069" t="b">
            <v>1</v>
          </cell>
          <cell r="E4069" t="str">
            <v>Nuevo Porvenir</v>
          </cell>
          <cell r="H4069" t="str">
            <v>salud_oral</v>
          </cell>
          <cell r="J4069" t="str">
            <v>bueno</v>
          </cell>
          <cell r="K4069" t="str">
            <v>defsi</v>
          </cell>
        </row>
        <row r="4070">
          <cell r="B4070" t="b">
            <v>0</v>
          </cell>
          <cell r="E4070" t="str">
            <v>Libano</v>
          </cell>
          <cell r="H4070" t="str">
            <v>consulta_externa</v>
          </cell>
          <cell r="J4070" t="str">
            <v>regular</v>
          </cell>
          <cell r="K4070" t="str">
            <v>probsi</v>
          </cell>
        </row>
        <row r="4071">
          <cell r="B4071" t="b">
            <v>1</v>
          </cell>
          <cell r="E4071" t="str">
            <v>Libano</v>
          </cell>
          <cell r="H4071" t="str">
            <v>pediatria</v>
          </cell>
          <cell r="J4071" t="str">
            <v>bueno</v>
          </cell>
          <cell r="K4071" t="str">
            <v>probsi</v>
          </cell>
        </row>
        <row r="4072">
          <cell r="B4072" t="b">
            <v>1</v>
          </cell>
          <cell r="E4072" t="str">
            <v>Islote de San Bernardo</v>
          </cell>
          <cell r="H4072" t="str">
            <v>salud_oral</v>
          </cell>
          <cell r="J4072" t="str">
            <v>muybueno</v>
          </cell>
          <cell r="K4072" t="str">
            <v>defsi</v>
          </cell>
        </row>
        <row r="4073">
          <cell r="B4073" t="b">
            <v>1</v>
          </cell>
          <cell r="E4073" t="str">
            <v>Nuevo Porvenir</v>
          </cell>
          <cell r="H4073" t="str">
            <v>laboratorio</v>
          </cell>
          <cell r="J4073" t="str">
            <v>bueno</v>
          </cell>
          <cell r="K4073" t="str">
            <v>defsi</v>
          </cell>
        </row>
        <row r="4074">
          <cell r="B4074" t="b">
            <v>1</v>
          </cell>
          <cell r="E4074" t="str">
            <v>Libano</v>
          </cell>
          <cell r="H4074" t="str">
            <v>consulta_externa</v>
          </cell>
          <cell r="J4074" t="str">
            <v>bueno</v>
          </cell>
          <cell r="K4074" t="str">
            <v>probsi</v>
          </cell>
        </row>
        <row r="4075">
          <cell r="B4075" t="b">
            <v>1</v>
          </cell>
          <cell r="E4075" t="str">
            <v>Libano</v>
          </cell>
          <cell r="H4075" t="str">
            <v>laboratorio</v>
          </cell>
          <cell r="J4075" t="str">
            <v>bueno</v>
          </cell>
          <cell r="K4075" t="str">
            <v>probsi</v>
          </cell>
        </row>
        <row r="4076">
          <cell r="B4076" t="b">
            <v>1</v>
          </cell>
          <cell r="E4076" t="str">
            <v>Libano</v>
          </cell>
          <cell r="H4076" t="str">
            <v>laboratorio</v>
          </cell>
          <cell r="J4076" t="str">
            <v>bueno</v>
          </cell>
          <cell r="K4076" t="str">
            <v>probsi</v>
          </cell>
        </row>
        <row r="4077">
          <cell r="B4077" t="b">
            <v>1</v>
          </cell>
          <cell r="E4077" t="str">
            <v>Libano</v>
          </cell>
          <cell r="H4077" t="str">
            <v>consulta_externa</v>
          </cell>
          <cell r="J4077" t="str">
            <v>bueno</v>
          </cell>
          <cell r="K4077" t="str">
            <v>probsi</v>
          </cell>
        </row>
        <row r="4078">
          <cell r="B4078" t="b">
            <v>1</v>
          </cell>
          <cell r="E4078" t="str">
            <v>Nuevo Porvenir</v>
          </cell>
          <cell r="H4078" t="str">
            <v>consulta_externa</v>
          </cell>
          <cell r="J4078" t="str">
            <v>bueno</v>
          </cell>
          <cell r="K4078" t="str">
            <v>defsi</v>
          </cell>
        </row>
        <row r="4079">
          <cell r="B4079" t="b">
            <v>1</v>
          </cell>
          <cell r="E4079" t="str">
            <v>Nuevo Porvenir</v>
          </cell>
          <cell r="H4079" t="str">
            <v>salud_oral</v>
          </cell>
          <cell r="J4079" t="str">
            <v>bueno</v>
          </cell>
          <cell r="K4079" t="str">
            <v>defsi</v>
          </cell>
        </row>
        <row r="4080">
          <cell r="B4080" t="b">
            <v>1</v>
          </cell>
          <cell r="E4080" t="str">
            <v>Nuevo Porvenir</v>
          </cell>
          <cell r="H4080" t="str">
            <v>laboratorio</v>
          </cell>
          <cell r="J4080" t="str">
            <v>bueno</v>
          </cell>
          <cell r="K4080" t="str">
            <v>defsi</v>
          </cell>
        </row>
        <row r="4081">
          <cell r="B4081" t="b">
            <v>1</v>
          </cell>
          <cell r="E4081" t="str">
            <v>Nuevo Porvenir</v>
          </cell>
          <cell r="H4081" t="str">
            <v>consulta_externa</v>
          </cell>
          <cell r="J4081" t="str">
            <v>bueno</v>
          </cell>
          <cell r="K4081" t="str">
            <v>defsi</v>
          </cell>
        </row>
        <row r="4082">
          <cell r="B4082" t="b">
            <v>1</v>
          </cell>
          <cell r="E4082" t="str">
            <v>Libano</v>
          </cell>
          <cell r="H4082" t="str">
            <v>consulta_externa</v>
          </cell>
          <cell r="J4082" t="str">
            <v>bueno</v>
          </cell>
          <cell r="K4082" t="str">
            <v>probsi</v>
          </cell>
        </row>
        <row r="4083">
          <cell r="B4083" t="b">
            <v>1</v>
          </cell>
          <cell r="E4083" t="str">
            <v>Socorro</v>
          </cell>
          <cell r="H4083" t="str">
            <v>consulta_externa</v>
          </cell>
          <cell r="J4083" t="str">
            <v>bueno</v>
          </cell>
          <cell r="K4083" t="str">
            <v>defsi</v>
          </cell>
        </row>
        <row r="4084">
          <cell r="B4084" t="b">
            <v>1</v>
          </cell>
          <cell r="E4084" t="str">
            <v>Socorro</v>
          </cell>
          <cell r="H4084" t="str">
            <v>consulta_externa</v>
          </cell>
          <cell r="J4084" t="str">
            <v>bueno</v>
          </cell>
          <cell r="K4084" t="str">
            <v>defsi</v>
          </cell>
        </row>
        <row r="4085">
          <cell r="B4085" t="b">
            <v>1</v>
          </cell>
          <cell r="E4085" t="str">
            <v>Libano</v>
          </cell>
          <cell r="H4085" t="str">
            <v>salud_oral</v>
          </cell>
          <cell r="J4085" t="str">
            <v>bueno</v>
          </cell>
          <cell r="K4085" t="str">
            <v>probsi</v>
          </cell>
        </row>
        <row r="4086">
          <cell r="B4086" t="b">
            <v>1</v>
          </cell>
          <cell r="E4086" t="str">
            <v>Libano</v>
          </cell>
          <cell r="H4086" t="str">
            <v>salud_oral</v>
          </cell>
          <cell r="J4086" t="str">
            <v>bueno</v>
          </cell>
          <cell r="K4086" t="str">
            <v>probsi</v>
          </cell>
        </row>
        <row r="4087">
          <cell r="B4087" t="b">
            <v>1</v>
          </cell>
          <cell r="E4087" t="str">
            <v>Libano</v>
          </cell>
          <cell r="H4087" t="str">
            <v>laboratorio</v>
          </cell>
          <cell r="J4087" t="str">
            <v>bueno</v>
          </cell>
          <cell r="K4087" t="str">
            <v>probsi</v>
          </cell>
        </row>
        <row r="4088">
          <cell r="B4088" t="b">
            <v>1</v>
          </cell>
          <cell r="E4088" t="str">
            <v>Nuevo Porvenir</v>
          </cell>
          <cell r="H4088" t="str">
            <v>salud_oral</v>
          </cell>
          <cell r="J4088" t="str">
            <v>bueno</v>
          </cell>
          <cell r="K4088" t="str">
            <v>defsi</v>
          </cell>
        </row>
        <row r="4089">
          <cell r="B4089" t="b">
            <v>1</v>
          </cell>
          <cell r="E4089" t="str">
            <v>Libano</v>
          </cell>
          <cell r="H4089" t="str">
            <v>laboratorio</v>
          </cell>
          <cell r="J4089" t="str">
            <v>bueno</v>
          </cell>
          <cell r="K4089" t="str">
            <v>probsi</v>
          </cell>
        </row>
        <row r="4090">
          <cell r="B4090" t="b">
            <v>1</v>
          </cell>
          <cell r="E4090" t="str">
            <v>Libano</v>
          </cell>
          <cell r="H4090" t="str">
            <v>laboratorio</v>
          </cell>
          <cell r="J4090" t="str">
            <v>bueno</v>
          </cell>
          <cell r="K4090" t="str">
            <v>probsi</v>
          </cell>
        </row>
        <row r="4091">
          <cell r="B4091" t="b">
            <v>1</v>
          </cell>
          <cell r="E4091" t="str">
            <v>Libano</v>
          </cell>
          <cell r="H4091" t="str">
            <v>pediatria</v>
          </cell>
          <cell r="J4091" t="str">
            <v>bueno</v>
          </cell>
          <cell r="K4091" t="str">
            <v>probsi</v>
          </cell>
        </row>
        <row r="4092">
          <cell r="B4092" t="b">
            <v>1</v>
          </cell>
          <cell r="E4092" t="str">
            <v>Libano</v>
          </cell>
          <cell r="H4092" t="str">
            <v>pediatria</v>
          </cell>
          <cell r="J4092" t="str">
            <v>bueno</v>
          </cell>
          <cell r="K4092" t="str">
            <v>probsi</v>
          </cell>
        </row>
        <row r="4093">
          <cell r="B4093" t="b">
            <v>1</v>
          </cell>
          <cell r="E4093" t="str">
            <v>Libano</v>
          </cell>
          <cell r="H4093" t="str">
            <v>pediatria</v>
          </cell>
          <cell r="J4093" t="str">
            <v>bueno</v>
          </cell>
          <cell r="K4093" t="str">
            <v>probsi</v>
          </cell>
        </row>
        <row r="4094">
          <cell r="B4094" t="b">
            <v>1</v>
          </cell>
          <cell r="E4094" t="str">
            <v>Libano</v>
          </cell>
          <cell r="H4094" t="str">
            <v>pediatria</v>
          </cell>
          <cell r="J4094" t="str">
            <v>bueno</v>
          </cell>
          <cell r="K4094" t="str">
            <v>probsi</v>
          </cell>
        </row>
        <row r="4095">
          <cell r="B4095" t="b">
            <v>1</v>
          </cell>
          <cell r="E4095" t="str">
            <v>Islote de San Bernardo</v>
          </cell>
          <cell r="H4095" t="str">
            <v>consulta_externa</v>
          </cell>
          <cell r="J4095" t="str">
            <v>muybueno</v>
          </cell>
          <cell r="K4095" t="str">
            <v>defsi</v>
          </cell>
        </row>
        <row r="4096">
          <cell r="B4096" t="b">
            <v>1</v>
          </cell>
          <cell r="E4096" t="str">
            <v>Socorro</v>
          </cell>
          <cell r="H4096" t="str">
            <v>laboratorio</v>
          </cell>
          <cell r="J4096" t="str">
            <v>bueno</v>
          </cell>
          <cell r="K4096" t="str">
            <v>defsi</v>
          </cell>
        </row>
        <row r="4097">
          <cell r="B4097" t="b">
            <v>1</v>
          </cell>
          <cell r="E4097" t="str">
            <v>Islote de San Bernardo</v>
          </cell>
          <cell r="H4097" t="str">
            <v>salud_oral</v>
          </cell>
          <cell r="J4097" t="str">
            <v>muybueno</v>
          </cell>
          <cell r="K4097" t="str">
            <v>defsi</v>
          </cell>
        </row>
        <row r="4098">
          <cell r="B4098" t="b">
            <v>1</v>
          </cell>
          <cell r="E4098" t="str">
            <v>Socorro</v>
          </cell>
          <cell r="H4098" t="str">
            <v>consulta_externa</v>
          </cell>
          <cell r="J4098" t="str">
            <v>bueno</v>
          </cell>
          <cell r="K4098" t="str">
            <v>defsi</v>
          </cell>
        </row>
        <row r="4099">
          <cell r="B4099" t="b">
            <v>1</v>
          </cell>
          <cell r="E4099" t="str">
            <v>Libano</v>
          </cell>
          <cell r="H4099" t="str">
            <v>consulta_externa</v>
          </cell>
          <cell r="J4099" t="str">
            <v>bueno</v>
          </cell>
          <cell r="K4099" t="str">
            <v>probsi</v>
          </cell>
        </row>
        <row r="4100">
          <cell r="B4100" t="b">
            <v>1</v>
          </cell>
          <cell r="E4100" t="str">
            <v>Libano</v>
          </cell>
          <cell r="H4100" t="str">
            <v>salud_oral</v>
          </cell>
          <cell r="J4100" t="str">
            <v>bueno</v>
          </cell>
          <cell r="K4100" t="str">
            <v>probsi</v>
          </cell>
        </row>
        <row r="4101">
          <cell r="B4101" t="b">
            <v>1</v>
          </cell>
          <cell r="E4101" t="str">
            <v>Libano</v>
          </cell>
          <cell r="H4101" t="str">
            <v>laboratorio</v>
          </cell>
          <cell r="J4101" t="str">
            <v>bueno</v>
          </cell>
          <cell r="K4101" t="str">
            <v>probsi</v>
          </cell>
        </row>
        <row r="4102">
          <cell r="B4102" t="b">
            <v>1</v>
          </cell>
          <cell r="E4102" t="str">
            <v>Islote de San Bernardo</v>
          </cell>
          <cell r="H4102" t="str">
            <v>consulta_externa</v>
          </cell>
          <cell r="J4102" t="str">
            <v>muybueno</v>
          </cell>
          <cell r="K4102" t="str">
            <v>defsi</v>
          </cell>
        </row>
        <row r="4103">
          <cell r="B4103" t="b">
            <v>1</v>
          </cell>
          <cell r="E4103" t="str">
            <v>Islote de San Bernardo</v>
          </cell>
          <cell r="H4103" t="str">
            <v>salud_oral</v>
          </cell>
          <cell r="J4103" t="str">
            <v>muybueno</v>
          </cell>
          <cell r="K4103" t="str">
            <v>defsi</v>
          </cell>
        </row>
        <row r="4104">
          <cell r="B4104" t="b">
            <v>1</v>
          </cell>
          <cell r="E4104" t="str">
            <v>Libano</v>
          </cell>
          <cell r="H4104" t="str">
            <v>laboratorio</v>
          </cell>
          <cell r="J4104" t="str">
            <v>bueno</v>
          </cell>
          <cell r="K4104" t="str">
            <v>probsi</v>
          </cell>
        </row>
        <row r="4105">
          <cell r="B4105" t="b">
            <v>1</v>
          </cell>
          <cell r="E4105" t="str">
            <v>Libano</v>
          </cell>
          <cell r="H4105" t="str">
            <v>consulta_externa</v>
          </cell>
          <cell r="J4105" t="str">
            <v>bueno</v>
          </cell>
          <cell r="K4105" t="str">
            <v>probsi</v>
          </cell>
        </row>
        <row r="4106">
          <cell r="B4106" t="b">
            <v>1</v>
          </cell>
          <cell r="E4106" t="str">
            <v>Islote de San Bernardo</v>
          </cell>
          <cell r="H4106" t="str">
            <v>consulta_externa</v>
          </cell>
          <cell r="J4106" t="str">
            <v>muybueno</v>
          </cell>
          <cell r="K4106" t="str">
            <v>defsi</v>
          </cell>
        </row>
        <row r="4107">
          <cell r="B4107" t="b">
            <v>1</v>
          </cell>
          <cell r="E4107" t="str">
            <v>Islote de San Bernardo</v>
          </cell>
          <cell r="H4107" t="str">
            <v>salud_oral</v>
          </cell>
          <cell r="J4107" t="str">
            <v>muybueno</v>
          </cell>
          <cell r="K4107" t="str">
            <v>defsi</v>
          </cell>
        </row>
        <row r="4108">
          <cell r="B4108" t="b">
            <v>1</v>
          </cell>
          <cell r="E4108" t="str">
            <v>Libano</v>
          </cell>
          <cell r="H4108" t="str">
            <v>consulta_externa</v>
          </cell>
          <cell r="J4108" t="str">
            <v>bueno</v>
          </cell>
          <cell r="K4108" t="str">
            <v>probsi</v>
          </cell>
        </row>
        <row r="4109">
          <cell r="B4109" t="b">
            <v>1</v>
          </cell>
          <cell r="E4109" t="str">
            <v>Libano</v>
          </cell>
          <cell r="H4109" t="str">
            <v>salud_oral</v>
          </cell>
          <cell r="J4109" t="str">
            <v>bueno</v>
          </cell>
          <cell r="K4109" t="str">
            <v>probsi</v>
          </cell>
        </row>
        <row r="4110">
          <cell r="B4110" t="b">
            <v>1</v>
          </cell>
          <cell r="E4110" t="str">
            <v>Libano</v>
          </cell>
          <cell r="H4110" t="str">
            <v>salud_oral</v>
          </cell>
          <cell r="J4110" t="str">
            <v>bueno</v>
          </cell>
          <cell r="K4110" t="str">
            <v>probsi</v>
          </cell>
        </row>
        <row r="4111">
          <cell r="B4111" t="b">
            <v>1</v>
          </cell>
          <cell r="E4111" t="str">
            <v>Libano</v>
          </cell>
          <cell r="H4111" t="str">
            <v>salud_oral</v>
          </cell>
          <cell r="J4111" t="str">
            <v>bueno</v>
          </cell>
          <cell r="K4111" t="str">
            <v>probsi</v>
          </cell>
        </row>
        <row r="4112">
          <cell r="B4112" t="b">
            <v>1</v>
          </cell>
          <cell r="E4112" t="str">
            <v>Islote de San Bernardo</v>
          </cell>
          <cell r="H4112" t="str">
            <v>salud_oral</v>
          </cell>
          <cell r="J4112" t="str">
            <v>muybueno</v>
          </cell>
          <cell r="K4112" t="str">
            <v>defsi</v>
          </cell>
        </row>
        <row r="4113">
          <cell r="B4113" t="b">
            <v>0</v>
          </cell>
          <cell r="E4113" t="str">
            <v>Libano</v>
          </cell>
          <cell r="H4113" t="str">
            <v>ginecologia</v>
          </cell>
          <cell r="J4113" t="str">
            <v>regular</v>
          </cell>
          <cell r="K4113" t="str">
            <v>probsi</v>
          </cell>
        </row>
        <row r="4114">
          <cell r="B4114" t="b">
            <v>1</v>
          </cell>
          <cell r="E4114" t="str">
            <v>Islote de San Bernardo</v>
          </cell>
          <cell r="H4114" t="str">
            <v>consulta_externa</v>
          </cell>
          <cell r="J4114" t="str">
            <v>muybueno</v>
          </cell>
          <cell r="K4114" t="str">
            <v>defsi</v>
          </cell>
        </row>
        <row r="4115">
          <cell r="B4115" t="b">
            <v>1</v>
          </cell>
          <cell r="E4115" t="str">
            <v>Libano</v>
          </cell>
          <cell r="H4115" t="str">
            <v>ginecologia</v>
          </cell>
          <cell r="J4115" t="str">
            <v>bueno</v>
          </cell>
          <cell r="K4115" t="str">
            <v>defsi</v>
          </cell>
        </row>
        <row r="4116">
          <cell r="B4116" t="b">
            <v>1</v>
          </cell>
          <cell r="E4116" t="str">
            <v>Nuevo Porvenir</v>
          </cell>
          <cell r="H4116" t="str">
            <v>laboratorio</v>
          </cell>
          <cell r="J4116" t="str">
            <v>bueno</v>
          </cell>
          <cell r="K4116" t="str">
            <v>defsi</v>
          </cell>
        </row>
        <row r="4117">
          <cell r="B4117" t="b">
            <v>1</v>
          </cell>
          <cell r="E4117" t="str">
            <v>Nuevo Porvenir</v>
          </cell>
          <cell r="H4117" t="str">
            <v>consulta_externa</v>
          </cell>
          <cell r="J4117" t="str">
            <v>bueno</v>
          </cell>
          <cell r="K4117" t="str">
            <v>defsi</v>
          </cell>
        </row>
        <row r="4118">
          <cell r="B4118" t="b">
            <v>1</v>
          </cell>
          <cell r="E4118" t="str">
            <v>Nuevo Porvenir</v>
          </cell>
          <cell r="H4118" t="str">
            <v>salud_oral</v>
          </cell>
          <cell r="J4118" t="str">
            <v>bueno</v>
          </cell>
          <cell r="K4118" t="str">
            <v>defsi</v>
          </cell>
        </row>
        <row r="4119">
          <cell r="B4119" t="b">
            <v>1</v>
          </cell>
          <cell r="E4119" t="str">
            <v>Socorro</v>
          </cell>
          <cell r="H4119" t="str">
            <v>consulta_externa</v>
          </cell>
          <cell r="J4119" t="str">
            <v>bueno</v>
          </cell>
          <cell r="K4119" t="str">
            <v>defsi</v>
          </cell>
        </row>
        <row r="4120">
          <cell r="B4120" t="b">
            <v>1</v>
          </cell>
          <cell r="E4120" t="str">
            <v>Socorro</v>
          </cell>
          <cell r="H4120" t="str">
            <v>laboratorio</v>
          </cell>
          <cell r="J4120" t="str">
            <v>bueno</v>
          </cell>
          <cell r="K4120" t="str">
            <v>defsi</v>
          </cell>
        </row>
        <row r="4121">
          <cell r="B4121" t="b">
            <v>1</v>
          </cell>
          <cell r="E4121" t="str">
            <v>Nuevo Porvenir</v>
          </cell>
          <cell r="H4121" t="str">
            <v>laboratorio</v>
          </cell>
          <cell r="J4121" t="str">
            <v>bueno</v>
          </cell>
          <cell r="K4121" t="str">
            <v>defsi</v>
          </cell>
        </row>
        <row r="4122">
          <cell r="B4122" t="b">
            <v>1</v>
          </cell>
          <cell r="E4122" t="str">
            <v>Nuevo Porvenir</v>
          </cell>
          <cell r="H4122" t="str">
            <v>consulta_externa</v>
          </cell>
          <cell r="J4122" t="str">
            <v>bueno</v>
          </cell>
          <cell r="K4122" t="str">
            <v>defsi</v>
          </cell>
        </row>
        <row r="4123">
          <cell r="B4123" t="b">
            <v>1</v>
          </cell>
          <cell r="E4123" t="str">
            <v>Socorro</v>
          </cell>
          <cell r="H4123" t="str">
            <v>salud_oral</v>
          </cell>
          <cell r="J4123" t="str">
            <v>bueno</v>
          </cell>
          <cell r="K4123" t="str">
            <v>defsi</v>
          </cell>
        </row>
        <row r="4124">
          <cell r="B4124" t="b">
            <v>1</v>
          </cell>
          <cell r="E4124" t="str">
            <v>Nuevo Porvenir</v>
          </cell>
          <cell r="H4124" t="str">
            <v>salud_oral</v>
          </cell>
          <cell r="J4124" t="str">
            <v>bueno</v>
          </cell>
          <cell r="K4124" t="str">
            <v>defsi</v>
          </cell>
        </row>
        <row r="4125">
          <cell r="B4125" t="b">
            <v>1</v>
          </cell>
          <cell r="E4125" t="str">
            <v>Nuevo Porvenir</v>
          </cell>
          <cell r="H4125" t="str">
            <v>laboratorio</v>
          </cell>
          <cell r="J4125" t="str">
            <v>bueno</v>
          </cell>
          <cell r="K4125" t="str">
            <v>defsi</v>
          </cell>
        </row>
        <row r="4126">
          <cell r="B4126" t="b">
            <v>1</v>
          </cell>
          <cell r="E4126" t="str">
            <v>Socorro</v>
          </cell>
          <cell r="H4126" t="str">
            <v>salud_oral</v>
          </cell>
          <cell r="J4126" t="str">
            <v>bueno</v>
          </cell>
          <cell r="K4126" t="str">
            <v>probsi</v>
          </cell>
        </row>
        <row r="4127">
          <cell r="B4127" t="b">
            <v>1</v>
          </cell>
          <cell r="E4127" t="str">
            <v>Libano</v>
          </cell>
          <cell r="H4127" t="str">
            <v>ginecologia</v>
          </cell>
          <cell r="J4127" t="str">
            <v>bueno</v>
          </cell>
          <cell r="K4127" t="str">
            <v>probsi</v>
          </cell>
        </row>
        <row r="4128">
          <cell r="B4128" t="b">
            <v>1</v>
          </cell>
          <cell r="E4128" t="str">
            <v>Islote de San Bernardo</v>
          </cell>
          <cell r="H4128" t="str">
            <v>consulta_externa</v>
          </cell>
          <cell r="J4128" t="str">
            <v>muybueno</v>
          </cell>
          <cell r="K4128" t="str">
            <v>defsi</v>
          </cell>
        </row>
        <row r="4129">
          <cell r="B4129" t="b">
            <v>1</v>
          </cell>
          <cell r="E4129" t="str">
            <v>Libano</v>
          </cell>
          <cell r="H4129" t="str">
            <v>ecografias</v>
          </cell>
          <cell r="J4129" t="str">
            <v>bueno</v>
          </cell>
          <cell r="K4129" t="str">
            <v>probsi</v>
          </cell>
        </row>
        <row r="4130">
          <cell r="B4130" t="b">
            <v>1</v>
          </cell>
          <cell r="E4130" t="str">
            <v>Socorro</v>
          </cell>
          <cell r="H4130" t="str">
            <v>salud_oral</v>
          </cell>
          <cell r="J4130" t="str">
            <v>bueno</v>
          </cell>
          <cell r="K4130" t="str">
            <v>defsi</v>
          </cell>
        </row>
        <row r="4131">
          <cell r="B4131" t="b">
            <v>1</v>
          </cell>
          <cell r="E4131" t="str">
            <v>Islote de San Bernardo</v>
          </cell>
          <cell r="H4131" t="str">
            <v>salud_oral</v>
          </cell>
          <cell r="J4131" t="str">
            <v>muybueno</v>
          </cell>
          <cell r="K4131" t="str">
            <v>defsi</v>
          </cell>
        </row>
        <row r="4132">
          <cell r="B4132" t="b">
            <v>0</v>
          </cell>
          <cell r="E4132" t="str">
            <v>Socorro</v>
          </cell>
          <cell r="H4132" t="str">
            <v>consulta_externa</v>
          </cell>
          <cell r="J4132" t="str">
            <v>regular</v>
          </cell>
          <cell r="K4132" t="str">
            <v>probno</v>
          </cell>
        </row>
        <row r="4133">
          <cell r="B4133" t="b">
            <v>0</v>
          </cell>
          <cell r="E4133" t="str">
            <v>Socorro</v>
          </cell>
          <cell r="H4133" t="str">
            <v>salud_oral</v>
          </cell>
          <cell r="J4133" t="str">
            <v>regular</v>
          </cell>
          <cell r="K4133" t="str">
            <v>probno</v>
          </cell>
        </row>
        <row r="4134">
          <cell r="B4134" t="b">
            <v>1</v>
          </cell>
          <cell r="E4134" t="str">
            <v>Socorro</v>
          </cell>
          <cell r="H4134" t="str">
            <v>consulta_externa</v>
          </cell>
          <cell r="J4134" t="str">
            <v>bueno</v>
          </cell>
          <cell r="K4134" t="str">
            <v>defsi</v>
          </cell>
        </row>
        <row r="4135">
          <cell r="B4135" t="b">
            <v>1</v>
          </cell>
          <cell r="E4135" t="str">
            <v>Libano</v>
          </cell>
          <cell r="H4135" t="str">
            <v>ginecologia</v>
          </cell>
          <cell r="J4135" t="str">
            <v>bueno</v>
          </cell>
          <cell r="K4135" t="str">
            <v>probsi</v>
          </cell>
        </row>
        <row r="4136">
          <cell r="B4136" t="b">
            <v>1</v>
          </cell>
          <cell r="E4136" t="str">
            <v>Islote de San Bernardo</v>
          </cell>
          <cell r="H4136" t="str">
            <v>consulta_externa</v>
          </cell>
          <cell r="J4136" t="str">
            <v>muybueno</v>
          </cell>
          <cell r="K4136" t="str">
            <v>defsi</v>
          </cell>
        </row>
        <row r="4137">
          <cell r="B4137" t="b">
            <v>1</v>
          </cell>
          <cell r="E4137" t="str">
            <v>Islote de San Bernardo</v>
          </cell>
          <cell r="H4137" t="str">
            <v>salud_oral</v>
          </cell>
          <cell r="J4137" t="str">
            <v>muybueno</v>
          </cell>
          <cell r="K4137" t="str">
            <v>defsi</v>
          </cell>
        </row>
        <row r="4138">
          <cell r="B4138" t="b">
            <v>1</v>
          </cell>
          <cell r="E4138" t="str">
            <v>Socorro</v>
          </cell>
          <cell r="H4138" t="str">
            <v>consulta_externa</v>
          </cell>
          <cell r="J4138" t="str">
            <v>muybueno</v>
          </cell>
          <cell r="K4138" t="str">
            <v>defsi</v>
          </cell>
        </row>
        <row r="4139">
          <cell r="B4139" t="b">
            <v>1</v>
          </cell>
          <cell r="E4139" t="str">
            <v>Socorro</v>
          </cell>
          <cell r="H4139" t="str">
            <v>laboratorio</v>
          </cell>
          <cell r="J4139" t="str">
            <v>muybueno</v>
          </cell>
          <cell r="K4139" t="str">
            <v>defsi</v>
          </cell>
        </row>
        <row r="4140">
          <cell r="B4140" t="b">
            <v>0</v>
          </cell>
          <cell r="E4140" t="str">
            <v>Socorro</v>
          </cell>
          <cell r="H4140" t="str">
            <v>laboratorio</v>
          </cell>
          <cell r="J4140" t="str">
            <v>regular</v>
          </cell>
          <cell r="K4140" t="str">
            <v>defsi</v>
          </cell>
        </row>
        <row r="4141">
          <cell r="B4141" t="b">
            <v>1</v>
          </cell>
          <cell r="E4141" t="str">
            <v>Socorro</v>
          </cell>
          <cell r="H4141" t="str">
            <v>consulta_externa</v>
          </cell>
          <cell r="J4141" t="str">
            <v>bueno</v>
          </cell>
          <cell r="K4141" t="str">
            <v>defsi</v>
          </cell>
        </row>
        <row r="4142">
          <cell r="B4142" t="b">
            <v>1</v>
          </cell>
          <cell r="E4142" t="str">
            <v>Socorro</v>
          </cell>
          <cell r="H4142" t="str">
            <v>laboratorio</v>
          </cell>
          <cell r="J4142" t="str">
            <v>bueno</v>
          </cell>
          <cell r="K4142" t="str">
            <v>defsi</v>
          </cell>
        </row>
        <row r="4143">
          <cell r="B4143" t="b">
            <v>1</v>
          </cell>
          <cell r="E4143" t="str">
            <v>Socorro</v>
          </cell>
          <cell r="H4143" t="str">
            <v>laboratorio</v>
          </cell>
          <cell r="J4143" t="str">
            <v>bueno</v>
          </cell>
          <cell r="K4143" t="str">
            <v>defsi</v>
          </cell>
        </row>
        <row r="4144">
          <cell r="B4144" t="b">
            <v>1</v>
          </cell>
          <cell r="E4144" t="str">
            <v>Socorro</v>
          </cell>
          <cell r="H4144" t="str">
            <v>laboratorio</v>
          </cell>
          <cell r="J4144" t="str">
            <v>bueno</v>
          </cell>
          <cell r="K4144" t="str">
            <v>defsi</v>
          </cell>
        </row>
        <row r="4145">
          <cell r="B4145" t="b">
            <v>1</v>
          </cell>
          <cell r="E4145" t="str">
            <v>Socorro</v>
          </cell>
          <cell r="H4145" t="str">
            <v>laboratorio</v>
          </cell>
          <cell r="J4145" t="str">
            <v>bueno</v>
          </cell>
          <cell r="K4145" t="str">
            <v>defsi</v>
          </cell>
        </row>
        <row r="4146">
          <cell r="B4146" t="b">
            <v>1</v>
          </cell>
          <cell r="E4146" t="str">
            <v>Socorro</v>
          </cell>
          <cell r="H4146" t="str">
            <v>laboratorio</v>
          </cell>
          <cell r="J4146" t="str">
            <v>bueno</v>
          </cell>
          <cell r="K4146" t="str">
            <v>defsi</v>
          </cell>
        </row>
        <row r="4147">
          <cell r="B4147" t="b">
            <v>1</v>
          </cell>
          <cell r="E4147" t="str">
            <v>Socorro</v>
          </cell>
          <cell r="H4147" t="str">
            <v>laboratorio</v>
          </cell>
          <cell r="J4147" t="str">
            <v>bueno</v>
          </cell>
          <cell r="K4147" t="str">
            <v>defsi</v>
          </cell>
        </row>
        <row r="4148">
          <cell r="B4148" t="b">
            <v>1</v>
          </cell>
          <cell r="E4148" t="str">
            <v>Islote de San Bernardo</v>
          </cell>
          <cell r="H4148" t="str">
            <v>consulta_externa</v>
          </cell>
          <cell r="J4148" t="str">
            <v>muybueno</v>
          </cell>
          <cell r="K4148" t="str">
            <v>defsi</v>
          </cell>
        </row>
        <row r="4149">
          <cell r="B4149" t="b">
            <v>1</v>
          </cell>
          <cell r="E4149" t="str">
            <v>Islote de San Bernardo</v>
          </cell>
          <cell r="H4149" t="str">
            <v>salud_oral</v>
          </cell>
          <cell r="J4149" t="str">
            <v>muybueno</v>
          </cell>
          <cell r="K4149" t="str">
            <v>defsi</v>
          </cell>
        </row>
        <row r="4150">
          <cell r="B4150" t="b">
            <v>1</v>
          </cell>
          <cell r="E4150" t="str">
            <v>Socorro</v>
          </cell>
          <cell r="H4150" t="str">
            <v>consulta_externa</v>
          </cell>
          <cell r="J4150" t="str">
            <v>bueno</v>
          </cell>
          <cell r="K4150" t="str">
            <v>defsi</v>
          </cell>
        </row>
        <row r="4151">
          <cell r="B4151" t="b">
            <v>1</v>
          </cell>
          <cell r="E4151" t="str">
            <v>Socorro</v>
          </cell>
          <cell r="H4151" t="str">
            <v>laboratorio</v>
          </cell>
          <cell r="J4151" t="str">
            <v>bueno</v>
          </cell>
          <cell r="K4151" t="str">
            <v>defsi</v>
          </cell>
        </row>
        <row r="4152">
          <cell r="B4152" t="b">
            <v>1</v>
          </cell>
          <cell r="E4152" t="str">
            <v>Nuevo Porvenir</v>
          </cell>
          <cell r="H4152" t="str">
            <v>consulta_externa</v>
          </cell>
          <cell r="J4152" t="str">
            <v>bueno</v>
          </cell>
          <cell r="K4152" t="str">
            <v>defsi</v>
          </cell>
        </row>
        <row r="4153">
          <cell r="B4153" t="b">
            <v>1</v>
          </cell>
          <cell r="E4153" t="str">
            <v>Socorro</v>
          </cell>
          <cell r="H4153" t="str">
            <v>consulta_externa</v>
          </cell>
          <cell r="J4153" t="str">
            <v>bueno</v>
          </cell>
          <cell r="K4153" t="str">
            <v>defsi</v>
          </cell>
        </row>
        <row r="4154">
          <cell r="B4154" t="b">
            <v>1</v>
          </cell>
          <cell r="E4154" t="str">
            <v>Nuevo Porvenir</v>
          </cell>
          <cell r="H4154" t="str">
            <v>salud_oral</v>
          </cell>
          <cell r="J4154" t="str">
            <v>bueno</v>
          </cell>
          <cell r="K4154" t="str">
            <v>defsi</v>
          </cell>
        </row>
        <row r="4155">
          <cell r="B4155" t="b">
            <v>1</v>
          </cell>
          <cell r="E4155" t="str">
            <v>Socorro</v>
          </cell>
          <cell r="H4155" t="str">
            <v>salud_oral</v>
          </cell>
          <cell r="J4155" t="str">
            <v>bueno</v>
          </cell>
          <cell r="K4155" t="str">
            <v>probno</v>
          </cell>
        </row>
        <row r="4156">
          <cell r="B4156" t="b">
            <v>1</v>
          </cell>
          <cell r="E4156" t="str">
            <v>Nuevo Porvenir</v>
          </cell>
          <cell r="H4156" t="str">
            <v>laboratorio</v>
          </cell>
          <cell r="J4156" t="str">
            <v>bueno</v>
          </cell>
          <cell r="K4156" t="str">
            <v>defsi</v>
          </cell>
        </row>
        <row r="4157">
          <cell r="B4157" t="b">
            <v>1</v>
          </cell>
          <cell r="E4157" t="str">
            <v>Socorro</v>
          </cell>
          <cell r="H4157" t="str">
            <v>salud_oral</v>
          </cell>
          <cell r="J4157" t="str">
            <v>bueno</v>
          </cell>
          <cell r="K4157" t="str">
            <v>probno</v>
          </cell>
        </row>
        <row r="4158">
          <cell r="B4158" t="b">
            <v>1</v>
          </cell>
          <cell r="E4158" t="str">
            <v>Nuevo Porvenir</v>
          </cell>
          <cell r="H4158" t="str">
            <v>consulta_externa</v>
          </cell>
          <cell r="J4158" t="str">
            <v>bueno</v>
          </cell>
          <cell r="K4158" t="str">
            <v>defsi</v>
          </cell>
        </row>
        <row r="4159">
          <cell r="B4159" t="b">
            <v>1</v>
          </cell>
          <cell r="E4159" t="str">
            <v>Islote de San Bernardo</v>
          </cell>
          <cell r="H4159" t="str">
            <v>consulta_externa</v>
          </cell>
          <cell r="J4159" t="str">
            <v>muybueno</v>
          </cell>
          <cell r="K4159" t="str">
            <v>defsi</v>
          </cell>
        </row>
        <row r="4160">
          <cell r="B4160" t="b">
            <v>1</v>
          </cell>
          <cell r="E4160" t="str">
            <v>Nuevo Porvenir</v>
          </cell>
          <cell r="H4160" t="str">
            <v>salud_oral</v>
          </cell>
          <cell r="J4160" t="str">
            <v>bueno</v>
          </cell>
          <cell r="K4160" t="str">
            <v>defsi</v>
          </cell>
        </row>
        <row r="4161">
          <cell r="B4161" t="b">
            <v>1</v>
          </cell>
          <cell r="E4161" t="str">
            <v>Nuevo Porvenir</v>
          </cell>
          <cell r="H4161" t="str">
            <v>laboratorio</v>
          </cell>
          <cell r="J4161" t="str">
            <v>bueno</v>
          </cell>
          <cell r="K4161" t="str">
            <v>defsi</v>
          </cell>
        </row>
        <row r="4162">
          <cell r="B4162" t="b">
            <v>1</v>
          </cell>
          <cell r="E4162" t="str">
            <v>Nuevo Porvenir</v>
          </cell>
          <cell r="H4162" t="str">
            <v>consulta_externa</v>
          </cell>
          <cell r="J4162" t="str">
            <v>bueno</v>
          </cell>
          <cell r="K4162" t="str">
            <v>defsi</v>
          </cell>
        </row>
        <row r="4163">
          <cell r="B4163" t="b">
            <v>1</v>
          </cell>
          <cell r="E4163" t="str">
            <v>Libano</v>
          </cell>
          <cell r="H4163" t="str">
            <v>consulta_externa</v>
          </cell>
          <cell r="J4163" t="str">
            <v>bueno</v>
          </cell>
          <cell r="K4163" t="str">
            <v>probsi</v>
          </cell>
        </row>
        <row r="4164">
          <cell r="B4164" t="b">
            <v>1</v>
          </cell>
          <cell r="E4164" t="str">
            <v>Libano</v>
          </cell>
          <cell r="H4164" t="str">
            <v>salud_oral</v>
          </cell>
          <cell r="J4164" t="str">
            <v>bueno</v>
          </cell>
          <cell r="K4164" t="str">
            <v>probsi</v>
          </cell>
        </row>
        <row r="4165">
          <cell r="B4165" t="b">
            <v>1</v>
          </cell>
          <cell r="E4165" t="str">
            <v>Nuevo Porvenir</v>
          </cell>
          <cell r="H4165" t="str">
            <v>salud_oral</v>
          </cell>
          <cell r="J4165" t="str">
            <v>bueno</v>
          </cell>
          <cell r="K4165" t="str">
            <v>defsi</v>
          </cell>
        </row>
        <row r="4166">
          <cell r="B4166" t="b">
            <v>1</v>
          </cell>
          <cell r="E4166" t="str">
            <v>Libano</v>
          </cell>
          <cell r="H4166" t="str">
            <v>salud_oral</v>
          </cell>
          <cell r="J4166" t="str">
            <v>bueno</v>
          </cell>
          <cell r="K4166" t="str">
            <v>probsi</v>
          </cell>
        </row>
        <row r="4167">
          <cell r="B4167" t="b">
            <v>1</v>
          </cell>
          <cell r="E4167" t="str">
            <v>Libano</v>
          </cell>
          <cell r="H4167" t="str">
            <v>salud_oral</v>
          </cell>
          <cell r="J4167" t="str">
            <v>bueno</v>
          </cell>
          <cell r="K4167" t="str">
            <v>probsi</v>
          </cell>
        </row>
        <row r="4168">
          <cell r="B4168" t="b">
            <v>1</v>
          </cell>
          <cell r="E4168" t="str">
            <v>Libano</v>
          </cell>
          <cell r="H4168" t="str">
            <v>salud_oral</v>
          </cell>
          <cell r="J4168" t="str">
            <v>bueno</v>
          </cell>
          <cell r="K4168" t="str">
            <v>probsi</v>
          </cell>
        </row>
        <row r="4169">
          <cell r="B4169" t="b">
            <v>1</v>
          </cell>
          <cell r="E4169" t="str">
            <v>Islote de San Bernardo</v>
          </cell>
          <cell r="H4169" t="str">
            <v>consulta_externa</v>
          </cell>
          <cell r="J4169" t="str">
            <v>muybueno</v>
          </cell>
          <cell r="K4169" t="str">
            <v>defsi</v>
          </cell>
        </row>
        <row r="4170">
          <cell r="B4170" t="b">
            <v>1</v>
          </cell>
          <cell r="E4170" t="str">
            <v>Libano</v>
          </cell>
          <cell r="H4170" t="str">
            <v>ecografias</v>
          </cell>
          <cell r="J4170" t="str">
            <v>bueno</v>
          </cell>
          <cell r="K4170" t="str">
            <v>probsi</v>
          </cell>
        </row>
        <row r="4171">
          <cell r="B4171" t="b">
            <v>1</v>
          </cell>
          <cell r="E4171" t="str">
            <v>Libano</v>
          </cell>
          <cell r="H4171" t="str">
            <v>ecografias</v>
          </cell>
          <cell r="J4171" t="str">
            <v>bueno</v>
          </cell>
          <cell r="K4171" t="str">
            <v>probsi</v>
          </cell>
        </row>
        <row r="4172">
          <cell r="B4172" t="b">
            <v>1</v>
          </cell>
          <cell r="E4172" t="str">
            <v>Islote de San Bernardo</v>
          </cell>
          <cell r="H4172" t="str">
            <v>salud_oral</v>
          </cell>
          <cell r="J4172" t="str">
            <v>muybueno</v>
          </cell>
          <cell r="K4172" t="str">
            <v>defsi</v>
          </cell>
        </row>
        <row r="4173">
          <cell r="B4173" t="b">
            <v>1</v>
          </cell>
          <cell r="E4173" t="str">
            <v>Libano</v>
          </cell>
          <cell r="H4173" t="str">
            <v>ecografias</v>
          </cell>
          <cell r="J4173" t="str">
            <v>bueno</v>
          </cell>
          <cell r="K4173" t="str">
            <v>probsi</v>
          </cell>
        </row>
        <row r="4174">
          <cell r="B4174" t="b">
            <v>1</v>
          </cell>
          <cell r="E4174" t="str">
            <v>Libano</v>
          </cell>
          <cell r="H4174" t="str">
            <v>ecografias</v>
          </cell>
          <cell r="J4174" t="str">
            <v>bueno</v>
          </cell>
          <cell r="K4174" t="str">
            <v>probsi</v>
          </cell>
        </row>
        <row r="4175">
          <cell r="B4175" t="b">
            <v>1</v>
          </cell>
          <cell r="E4175" t="str">
            <v>Libano</v>
          </cell>
          <cell r="H4175" t="str">
            <v>ecografias</v>
          </cell>
          <cell r="J4175" t="str">
            <v>bueno</v>
          </cell>
          <cell r="K4175" t="str">
            <v>probsi</v>
          </cell>
        </row>
        <row r="4176">
          <cell r="B4176" t="b">
            <v>1</v>
          </cell>
          <cell r="E4176" t="str">
            <v>Libano</v>
          </cell>
          <cell r="H4176" t="str">
            <v>ecografias</v>
          </cell>
          <cell r="J4176" t="str">
            <v>bueno</v>
          </cell>
          <cell r="K4176" t="str">
            <v>probsi</v>
          </cell>
        </row>
        <row r="4177">
          <cell r="B4177" t="b">
            <v>1</v>
          </cell>
          <cell r="E4177" t="str">
            <v>Libano</v>
          </cell>
          <cell r="H4177" t="str">
            <v>ecografias</v>
          </cell>
          <cell r="J4177" t="str">
            <v>bueno</v>
          </cell>
          <cell r="K4177" t="str">
            <v>probsi</v>
          </cell>
        </row>
        <row r="4178">
          <cell r="B4178" t="b">
            <v>1</v>
          </cell>
          <cell r="E4178" t="str">
            <v>Libano</v>
          </cell>
          <cell r="H4178" t="str">
            <v>pediatria</v>
          </cell>
          <cell r="J4178" t="str">
            <v>bueno</v>
          </cell>
          <cell r="K4178" t="str">
            <v>probsi</v>
          </cell>
        </row>
        <row r="4179">
          <cell r="B4179" t="b">
            <v>1</v>
          </cell>
          <cell r="E4179" t="str">
            <v>Libano</v>
          </cell>
          <cell r="H4179" t="str">
            <v>pediatria</v>
          </cell>
          <cell r="J4179" t="str">
            <v>bueno</v>
          </cell>
          <cell r="K4179" t="str">
            <v>probsi</v>
          </cell>
        </row>
        <row r="4180">
          <cell r="B4180" t="b">
            <v>1</v>
          </cell>
          <cell r="E4180" t="str">
            <v>Libano</v>
          </cell>
          <cell r="H4180" t="str">
            <v>pediatria</v>
          </cell>
          <cell r="J4180" t="str">
            <v>bueno</v>
          </cell>
          <cell r="K4180" t="str">
            <v>probsi</v>
          </cell>
        </row>
        <row r="4181">
          <cell r="B4181" t="b">
            <v>1</v>
          </cell>
          <cell r="E4181" t="str">
            <v>Libano</v>
          </cell>
          <cell r="H4181" t="str">
            <v>pediatria</v>
          </cell>
          <cell r="J4181" t="str">
            <v>bueno</v>
          </cell>
          <cell r="K4181" t="str">
            <v>probsi</v>
          </cell>
        </row>
        <row r="4182">
          <cell r="B4182" t="b">
            <v>1</v>
          </cell>
          <cell r="E4182" t="str">
            <v>Libano</v>
          </cell>
          <cell r="H4182" t="str">
            <v>pediatria</v>
          </cell>
          <cell r="J4182" t="str">
            <v>bueno</v>
          </cell>
          <cell r="K4182" t="str">
            <v>probsi</v>
          </cell>
        </row>
        <row r="4183">
          <cell r="B4183" t="b">
            <v>1</v>
          </cell>
          <cell r="E4183" t="str">
            <v>Islote de San Bernardo</v>
          </cell>
          <cell r="H4183" t="str">
            <v>consulta_externa</v>
          </cell>
          <cell r="J4183" t="str">
            <v>muybueno</v>
          </cell>
          <cell r="K4183" t="str">
            <v>defsi</v>
          </cell>
        </row>
        <row r="4184">
          <cell r="B4184" t="b">
            <v>1</v>
          </cell>
          <cell r="E4184" t="str">
            <v>Libano</v>
          </cell>
          <cell r="H4184" t="str">
            <v>ginecologia</v>
          </cell>
          <cell r="J4184" t="str">
            <v>bueno</v>
          </cell>
          <cell r="K4184" t="str">
            <v>probsi</v>
          </cell>
        </row>
        <row r="4185">
          <cell r="B4185" t="b">
            <v>1</v>
          </cell>
          <cell r="E4185" t="str">
            <v>Libano</v>
          </cell>
          <cell r="H4185" t="str">
            <v>ginecologia</v>
          </cell>
          <cell r="J4185" t="str">
            <v>bueno</v>
          </cell>
          <cell r="K4185" t="str">
            <v>probsi</v>
          </cell>
        </row>
        <row r="4186">
          <cell r="B4186" t="b">
            <v>1</v>
          </cell>
          <cell r="E4186" t="str">
            <v>Libano</v>
          </cell>
          <cell r="H4186" t="str">
            <v>ginecologia</v>
          </cell>
          <cell r="J4186" t="str">
            <v>bueno</v>
          </cell>
          <cell r="K4186" t="str">
            <v>probsi</v>
          </cell>
        </row>
        <row r="4187">
          <cell r="B4187" t="b">
            <v>1</v>
          </cell>
          <cell r="E4187" t="str">
            <v>Libano</v>
          </cell>
          <cell r="H4187" t="str">
            <v>ginecologia</v>
          </cell>
          <cell r="J4187" t="str">
            <v>bueno</v>
          </cell>
          <cell r="K4187" t="str">
            <v>probsi</v>
          </cell>
        </row>
        <row r="4188">
          <cell r="B4188" t="b">
            <v>1</v>
          </cell>
          <cell r="E4188" t="str">
            <v>Islote de San Bernardo</v>
          </cell>
          <cell r="H4188" t="str">
            <v>salud_oral</v>
          </cell>
          <cell r="J4188" t="str">
            <v>muybueno</v>
          </cell>
          <cell r="K4188" t="str">
            <v>defsi</v>
          </cell>
        </row>
        <row r="4189">
          <cell r="B4189" t="b">
            <v>1</v>
          </cell>
          <cell r="E4189" t="str">
            <v>Socorro</v>
          </cell>
          <cell r="H4189" t="str">
            <v>laboratorio</v>
          </cell>
          <cell r="J4189" t="str">
            <v>bueno</v>
          </cell>
          <cell r="K4189" t="str">
            <v>defsi</v>
          </cell>
        </row>
        <row r="4190">
          <cell r="B4190" t="b">
            <v>1</v>
          </cell>
          <cell r="E4190" t="str">
            <v>Socorro</v>
          </cell>
          <cell r="H4190" t="str">
            <v>consulta_externa</v>
          </cell>
          <cell r="J4190" t="str">
            <v>bueno</v>
          </cell>
          <cell r="K4190" t="str">
            <v>defsi</v>
          </cell>
        </row>
        <row r="4191">
          <cell r="B4191" t="b">
            <v>1</v>
          </cell>
          <cell r="E4191" t="str">
            <v>Boston</v>
          </cell>
          <cell r="H4191" t="str">
            <v>consulta_externa</v>
          </cell>
          <cell r="J4191" t="str">
            <v>bueno</v>
          </cell>
          <cell r="K4191" t="str">
            <v>probsi</v>
          </cell>
        </row>
        <row r="4192">
          <cell r="B4192" t="b">
            <v>1</v>
          </cell>
          <cell r="E4192" t="str">
            <v>Socorro</v>
          </cell>
          <cell r="H4192" t="str">
            <v>consulta_externa</v>
          </cell>
          <cell r="J4192" t="str">
            <v>bueno</v>
          </cell>
          <cell r="K4192" t="str">
            <v>defsi</v>
          </cell>
        </row>
        <row r="4193">
          <cell r="B4193" t="b">
            <v>1</v>
          </cell>
          <cell r="E4193" t="str">
            <v>Socorro</v>
          </cell>
          <cell r="H4193" t="str">
            <v>consulta_externa</v>
          </cell>
          <cell r="J4193" t="str">
            <v>bueno</v>
          </cell>
          <cell r="K4193" t="str">
            <v>defsi</v>
          </cell>
        </row>
        <row r="4194">
          <cell r="B4194" t="b">
            <v>1</v>
          </cell>
          <cell r="E4194" t="str">
            <v>Socorro</v>
          </cell>
          <cell r="H4194" t="str">
            <v>consulta_externa</v>
          </cell>
          <cell r="J4194" t="str">
            <v>bueno</v>
          </cell>
          <cell r="K4194" t="str">
            <v>defsi</v>
          </cell>
        </row>
        <row r="4195">
          <cell r="B4195" t="b">
            <v>1</v>
          </cell>
          <cell r="E4195" t="str">
            <v>Socorro</v>
          </cell>
          <cell r="H4195" t="str">
            <v>laboratorio</v>
          </cell>
          <cell r="J4195" t="str">
            <v>bueno</v>
          </cell>
          <cell r="K4195" t="str">
            <v>defsi</v>
          </cell>
        </row>
        <row r="4196">
          <cell r="B4196" t="b">
            <v>1</v>
          </cell>
          <cell r="E4196" t="str">
            <v>Socorro</v>
          </cell>
          <cell r="H4196" t="str">
            <v>laboratorio</v>
          </cell>
          <cell r="J4196" t="str">
            <v>bueno</v>
          </cell>
          <cell r="K4196" t="str">
            <v>defsi</v>
          </cell>
        </row>
        <row r="4197">
          <cell r="B4197" t="b">
            <v>0</v>
          </cell>
          <cell r="E4197" t="str">
            <v>Socorro</v>
          </cell>
          <cell r="H4197" t="str">
            <v>laboratorio</v>
          </cell>
          <cell r="J4197" t="str">
            <v>regular</v>
          </cell>
          <cell r="K4197" t="str">
            <v>defsi</v>
          </cell>
        </row>
        <row r="4198">
          <cell r="B4198" t="b">
            <v>1</v>
          </cell>
          <cell r="E4198" t="str">
            <v>Boston</v>
          </cell>
          <cell r="H4198" t="str">
            <v>consulta_externa</v>
          </cell>
          <cell r="J4198" t="str">
            <v>bueno</v>
          </cell>
          <cell r="K4198" t="str">
            <v>probsi</v>
          </cell>
        </row>
        <row r="4199">
          <cell r="B4199" t="b">
            <v>1</v>
          </cell>
          <cell r="E4199" t="str">
            <v>Boston</v>
          </cell>
          <cell r="H4199" t="str">
            <v>consulta_externa</v>
          </cell>
          <cell r="J4199" t="str">
            <v>bueno</v>
          </cell>
          <cell r="K4199" t="str">
            <v>probsi</v>
          </cell>
        </row>
        <row r="4200">
          <cell r="B4200" t="b">
            <v>1</v>
          </cell>
          <cell r="E4200" t="str">
            <v>Boston</v>
          </cell>
          <cell r="H4200" t="str">
            <v>consulta_externa</v>
          </cell>
          <cell r="J4200" t="str">
            <v>bueno</v>
          </cell>
          <cell r="K4200" t="str">
            <v>probsi</v>
          </cell>
        </row>
        <row r="4201">
          <cell r="B4201" t="b">
            <v>1</v>
          </cell>
          <cell r="E4201" t="str">
            <v>Boston</v>
          </cell>
          <cell r="H4201" t="str">
            <v>consulta_externa</v>
          </cell>
          <cell r="J4201" t="str">
            <v>bueno</v>
          </cell>
          <cell r="K4201" t="str">
            <v>probsi</v>
          </cell>
        </row>
        <row r="4202">
          <cell r="B4202" t="b">
            <v>1</v>
          </cell>
          <cell r="E4202" t="str">
            <v>Boston</v>
          </cell>
          <cell r="H4202" t="str">
            <v>consulta_externa</v>
          </cell>
          <cell r="J4202" t="str">
            <v>bueno</v>
          </cell>
          <cell r="K4202" t="str">
            <v>probsi</v>
          </cell>
        </row>
        <row r="4203">
          <cell r="B4203" t="b">
            <v>1</v>
          </cell>
          <cell r="E4203" t="str">
            <v>Boston</v>
          </cell>
          <cell r="H4203" t="str">
            <v>consulta_externa</v>
          </cell>
          <cell r="J4203" t="str">
            <v>bueno</v>
          </cell>
          <cell r="K4203" t="str">
            <v>probsi</v>
          </cell>
        </row>
        <row r="4204">
          <cell r="B4204" t="b">
            <v>1</v>
          </cell>
          <cell r="E4204" t="str">
            <v>Nuevo Porvenir</v>
          </cell>
          <cell r="H4204" t="str">
            <v>laboratorio</v>
          </cell>
          <cell r="J4204" t="str">
            <v>bueno</v>
          </cell>
          <cell r="K4204" t="str">
            <v>defsi</v>
          </cell>
        </row>
        <row r="4205">
          <cell r="B4205" t="b">
            <v>1</v>
          </cell>
          <cell r="E4205" t="str">
            <v>Nuevo Porvenir</v>
          </cell>
          <cell r="H4205" t="str">
            <v>consulta_externa</v>
          </cell>
          <cell r="J4205" t="str">
            <v>bueno</v>
          </cell>
          <cell r="K4205" t="str">
            <v>defsi</v>
          </cell>
        </row>
        <row r="4206">
          <cell r="B4206" t="b">
            <v>1</v>
          </cell>
          <cell r="E4206" t="str">
            <v>Islote de San Bernardo</v>
          </cell>
          <cell r="H4206" t="str">
            <v>consulta_externa</v>
          </cell>
          <cell r="J4206" t="str">
            <v>muybueno</v>
          </cell>
          <cell r="K4206" t="str">
            <v>defsi</v>
          </cell>
        </row>
        <row r="4207">
          <cell r="B4207" t="b">
            <v>1</v>
          </cell>
          <cell r="E4207" t="str">
            <v>Nuevo Porvenir</v>
          </cell>
          <cell r="H4207" t="str">
            <v>salud_oral</v>
          </cell>
          <cell r="J4207" t="str">
            <v>bueno</v>
          </cell>
          <cell r="K4207" t="str">
            <v>defsi</v>
          </cell>
        </row>
        <row r="4208">
          <cell r="B4208" t="b">
            <v>1</v>
          </cell>
          <cell r="E4208" t="str">
            <v>Islote de San Bernardo</v>
          </cell>
          <cell r="H4208" t="str">
            <v>salud_oral</v>
          </cell>
          <cell r="J4208" t="str">
            <v>muybueno</v>
          </cell>
          <cell r="K4208" t="str">
            <v>defsi</v>
          </cell>
        </row>
        <row r="4209">
          <cell r="B4209" t="b">
            <v>1</v>
          </cell>
          <cell r="E4209" t="str">
            <v>Nuevo Porvenir</v>
          </cell>
          <cell r="H4209" t="str">
            <v>laboratorio</v>
          </cell>
          <cell r="J4209" t="str">
            <v>bueno</v>
          </cell>
          <cell r="K4209" t="str">
            <v>defsi</v>
          </cell>
        </row>
        <row r="4210">
          <cell r="B4210" t="b">
            <v>1</v>
          </cell>
          <cell r="E4210" t="str">
            <v>Nuevo Porvenir</v>
          </cell>
          <cell r="H4210" t="str">
            <v>consulta_externa</v>
          </cell>
          <cell r="J4210" t="str">
            <v>bueno</v>
          </cell>
          <cell r="K4210" t="str">
            <v>defsi</v>
          </cell>
        </row>
        <row r="4211">
          <cell r="B4211" t="b">
            <v>1</v>
          </cell>
          <cell r="E4211" t="str">
            <v>Nuevo Porvenir</v>
          </cell>
          <cell r="H4211" t="str">
            <v>salud_oral</v>
          </cell>
          <cell r="J4211" t="str">
            <v>bueno</v>
          </cell>
          <cell r="K4211" t="str">
            <v>defsi</v>
          </cell>
        </row>
        <row r="4212">
          <cell r="B4212" t="b">
            <v>1</v>
          </cell>
          <cell r="E4212" t="str">
            <v>Nuevo Porvenir</v>
          </cell>
          <cell r="H4212" t="str">
            <v>laboratorio</v>
          </cell>
          <cell r="J4212" t="str">
            <v>bueno</v>
          </cell>
          <cell r="K4212" t="str">
            <v>defsi</v>
          </cell>
        </row>
        <row r="4213">
          <cell r="B4213" t="b">
            <v>1</v>
          </cell>
          <cell r="E4213" t="str">
            <v>Nuevo Porvenir</v>
          </cell>
          <cell r="H4213" t="str">
            <v>consulta_externa</v>
          </cell>
          <cell r="J4213" t="str">
            <v>bueno</v>
          </cell>
          <cell r="K4213" t="str">
            <v>defsi</v>
          </cell>
        </row>
        <row r="4214">
          <cell r="B4214" t="b">
            <v>1</v>
          </cell>
          <cell r="E4214" t="str">
            <v>Nuevo Porvenir</v>
          </cell>
          <cell r="H4214" t="str">
            <v>salud_oral</v>
          </cell>
          <cell r="J4214" t="str">
            <v>bueno</v>
          </cell>
          <cell r="K4214" t="str">
            <v>defsi</v>
          </cell>
        </row>
        <row r="4215">
          <cell r="B4215" t="b">
            <v>1</v>
          </cell>
          <cell r="E4215" t="str">
            <v>Nuevo Porvenir</v>
          </cell>
          <cell r="H4215" t="str">
            <v>laboratorio</v>
          </cell>
          <cell r="J4215" t="str">
            <v>bueno</v>
          </cell>
          <cell r="K4215" t="str">
            <v>defsi</v>
          </cell>
        </row>
        <row r="4216">
          <cell r="B4216" t="b">
            <v>1</v>
          </cell>
          <cell r="E4216" t="str">
            <v>Libano</v>
          </cell>
          <cell r="H4216" t="str">
            <v>consulta_externa</v>
          </cell>
          <cell r="J4216" t="str">
            <v>bueno</v>
          </cell>
          <cell r="K4216" t="str">
            <v>probsi</v>
          </cell>
        </row>
        <row r="4217">
          <cell r="B4217" t="b">
            <v>1</v>
          </cell>
          <cell r="E4217" t="str">
            <v>Libano</v>
          </cell>
          <cell r="H4217" t="str">
            <v>laboratorio</v>
          </cell>
          <cell r="J4217" t="str">
            <v>bueno</v>
          </cell>
          <cell r="K4217" t="str">
            <v>probsi</v>
          </cell>
        </row>
        <row r="4218">
          <cell r="B4218" t="b">
            <v>1</v>
          </cell>
          <cell r="E4218" t="str">
            <v>Libano</v>
          </cell>
          <cell r="H4218" t="str">
            <v>consulta_externa</v>
          </cell>
          <cell r="J4218" t="str">
            <v>bueno</v>
          </cell>
          <cell r="K4218" t="str">
            <v>probsi</v>
          </cell>
        </row>
        <row r="4219">
          <cell r="B4219" t="b">
            <v>1</v>
          </cell>
          <cell r="E4219" t="str">
            <v>Libano</v>
          </cell>
          <cell r="H4219" t="str">
            <v>salud_oral</v>
          </cell>
          <cell r="J4219" t="str">
            <v>bueno</v>
          </cell>
          <cell r="K4219" t="str">
            <v>probsi</v>
          </cell>
        </row>
        <row r="4220">
          <cell r="B4220" t="b">
            <v>1</v>
          </cell>
          <cell r="E4220" t="str">
            <v>Nuevo Porvenir</v>
          </cell>
          <cell r="H4220" t="str">
            <v>consulta_externa</v>
          </cell>
          <cell r="J4220" t="str">
            <v>bueno</v>
          </cell>
          <cell r="K4220" t="str">
            <v>defsi</v>
          </cell>
        </row>
        <row r="4221">
          <cell r="B4221" t="b">
            <v>1</v>
          </cell>
          <cell r="E4221" t="str">
            <v>Nuevo Porvenir</v>
          </cell>
          <cell r="H4221" t="str">
            <v>salud_oral</v>
          </cell>
          <cell r="J4221" t="str">
            <v>bueno</v>
          </cell>
          <cell r="K4221" t="str">
            <v>defsi</v>
          </cell>
        </row>
        <row r="4222">
          <cell r="B4222" t="b">
            <v>1</v>
          </cell>
          <cell r="E4222" t="str">
            <v>Nuevo Porvenir</v>
          </cell>
          <cell r="H4222" t="str">
            <v>laboratorio</v>
          </cell>
          <cell r="J4222" t="str">
            <v>bueno</v>
          </cell>
          <cell r="K4222" t="str">
            <v>defsi</v>
          </cell>
        </row>
        <row r="4223">
          <cell r="B4223" t="b">
            <v>1</v>
          </cell>
          <cell r="E4223" t="str">
            <v>Nuevo Porvenir</v>
          </cell>
          <cell r="H4223" t="str">
            <v>consulta_externa</v>
          </cell>
          <cell r="J4223" t="str">
            <v>bueno</v>
          </cell>
          <cell r="K4223" t="str">
            <v>defsi</v>
          </cell>
        </row>
        <row r="4224">
          <cell r="B4224" t="b">
            <v>1</v>
          </cell>
          <cell r="E4224" t="str">
            <v>Nuevo Porvenir</v>
          </cell>
          <cell r="H4224" t="str">
            <v>salud_oral</v>
          </cell>
          <cell r="J4224" t="str">
            <v>bueno</v>
          </cell>
          <cell r="K4224" t="str">
            <v>defsi</v>
          </cell>
        </row>
        <row r="4225">
          <cell r="B4225" t="b">
            <v>1</v>
          </cell>
          <cell r="E4225" t="str">
            <v>Nuevo Porvenir</v>
          </cell>
          <cell r="H4225" t="str">
            <v>laboratorio</v>
          </cell>
          <cell r="J4225" t="str">
            <v>bueno</v>
          </cell>
          <cell r="K4225" t="str">
            <v>defsi</v>
          </cell>
        </row>
        <row r="4226">
          <cell r="B4226" t="b">
            <v>1</v>
          </cell>
          <cell r="E4226" t="str">
            <v>Santa Ana</v>
          </cell>
          <cell r="H4226" t="str">
            <v>consulta_externa</v>
          </cell>
          <cell r="J4226" t="str">
            <v>muybueno</v>
          </cell>
          <cell r="K4226" t="str">
            <v>defsi</v>
          </cell>
        </row>
        <row r="4227">
          <cell r="B4227" t="b">
            <v>1</v>
          </cell>
          <cell r="E4227" t="str">
            <v>Santa Ana</v>
          </cell>
          <cell r="H4227" t="str">
            <v>laboratorio</v>
          </cell>
          <cell r="J4227" t="str">
            <v>muybueno</v>
          </cell>
          <cell r="K4227" t="str">
            <v>defsi</v>
          </cell>
        </row>
        <row r="4228">
          <cell r="B4228" t="b">
            <v>1</v>
          </cell>
          <cell r="E4228" t="str">
            <v>Santa Ana</v>
          </cell>
          <cell r="H4228" t="str">
            <v>consulta_externa</v>
          </cell>
          <cell r="J4228" t="str">
            <v>muybueno</v>
          </cell>
          <cell r="K4228" t="str">
            <v>defsi</v>
          </cell>
        </row>
        <row r="4229">
          <cell r="B4229" t="b">
            <v>1</v>
          </cell>
          <cell r="E4229" t="str">
            <v>Santa Ana</v>
          </cell>
          <cell r="H4229" t="str">
            <v>salud_oral</v>
          </cell>
          <cell r="J4229" t="str">
            <v>muybueno</v>
          </cell>
          <cell r="K4229" t="str">
            <v>defsi</v>
          </cell>
        </row>
        <row r="4230">
          <cell r="B4230" t="b">
            <v>1</v>
          </cell>
          <cell r="E4230" t="str">
            <v>Santa Ana</v>
          </cell>
          <cell r="H4230" t="str">
            <v>consulta_externa</v>
          </cell>
          <cell r="J4230" t="str">
            <v>muybueno</v>
          </cell>
          <cell r="K4230" t="str">
            <v>defsi</v>
          </cell>
        </row>
        <row r="4231">
          <cell r="B4231" t="b">
            <v>1</v>
          </cell>
          <cell r="E4231" t="str">
            <v>Santa Ana</v>
          </cell>
          <cell r="H4231" t="str">
            <v>laboratorio</v>
          </cell>
          <cell r="J4231" t="str">
            <v>muybueno</v>
          </cell>
          <cell r="K4231" t="str">
            <v>defsi</v>
          </cell>
        </row>
        <row r="4232">
          <cell r="B4232" t="b">
            <v>1</v>
          </cell>
          <cell r="E4232" t="str">
            <v>Santa Ana</v>
          </cell>
          <cell r="H4232" t="str">
            <v>salud_oral</v>
          </cell>
          <cell r="J4232" t="str">
            <v>muybueno</v>
          </cell>
          <cell r="K4232" t="str">
            <v>defsi</v>
          </cell>
        </row>
        <row r="4233">
          <cell r="B4233" t="b">
            <v>1</v>
          </cell>
          <cell r="E4233" t="str">
            <v>Santa Ana</v>
          </cell>
          <cell r="H4233" t="str">
            <v>consulta_externa</v>
          </cell>
          <cell r="J4233" t="str">
            <v>muybueno</v>
          </cell>
          <cell r="K4233" t="str">
            <v>defsi</v>
          </cell>
        </row>
        <row r="4234">
          <cell r="B4234" t="b">
            <v>1</v>
          </cell>
          <cell r="E4234" t="str">
            <v>Santa Ana</v>
          </cell>
          <cell r="H4234" t="str">
            <v>consulta_externa</v>
          </cell>
          <cell r="J4234" t="str">
            <v>muybueno</v>
          </cell>
          <cell r="K4234" t="str">
            <v>defsi</v>
          </cell>
        </row>
        <row r="4235">
          <cell r="B4235" t="b">
            <v>1</v>
          </cell>
          <cell r="E4235" t="str">
            <v>Santa Ana</v>
          </cell>
          <cell r="H4235" t="str">
            <v>salud_oral</v>
          </cell>
          <cell r="J4235" t="str">
            <v>muybueno</v>
          </cell>
          <cell r="K4235" t="str">
            <v>defsi</v>
          </cell>
        </row>
        <row r="4236">
          <cell r="B4236" t="b">
            <v>1</v>
          </cell>
          <cell r="E4236" t="str">
            <v>Santa Ana</v>
          </cell>
          <cell r="H4236" t="str">
            <v>consulta_externa</v>
          </cell>
          <cell r="J4236" t="str">
            <v>muybueno</v>
          </cell>
          <cell r="K4236" t="str">
            <v>defsi</v>
          </cell>
        </row>
        <row r="4237">
          <cell r="B4237" t="b">
            <v>1</v>
          </cell>
          <cell r="E4237" t="str">
            <v>Santa Ana</v>
          </cell>
          <cell r="H4237" t="str">
            <v>salud_oral</v>
          </cell>
          <cell r="J4237" t="str">
            <v>muybueno</v>
          </cell>
          <cell r="K4237" t="str">
            <v>defsi</v>
          </cell>
        </row>
        <row r="4238">
          <cell r="B4238" t="b">
            <v>1</v>
          </cell>
          <cell r="E4238" t="str">
            <v>Santa Ana</v>
          </cell>
          <cell r="H4238" t="str">
            <v>laboratorio</v>
          </cell>
          <cell r="J4238" t="str">
            <v>muybueno</v>
          </cell>
          <cell r="K4238" t="str">
            <v>defsi</v>
          </cell>
        </row>
        <row r="4239">
          <cell r="B4239" t="b">
            <v>1</v>
          </cell>
          <cell r="E4239" t="str">
            <v>Santa Ana</v>
          </cell>
          <cell r="H4239" t="str">
            <v>consulta_externa</v>
          </cell>
          <cell r="J4239" t="str">
            <v>muybueno</v>
          </cell>
          <cell r="K4239" t="str">
            <v>defsi</v>
          </cell>
        </row>
        <row r="4240">
          <cell r="B4240" t="b">
            <v>1</v>
          </cell>
          <cell r="E4240" t="str">
            <v>Santa Ana</v>
          </cell>
          <cell r="H4240" t="str">
            <v>laboratorio</v>
          </cell>
          <cell r="J4240" t="str">
            <v>muybueno</v>
          </cell>
          <cell r="K4240" t="str">
            <v>defsi</v>
          </cell>
        </row>
        <row r="4241">
          <cell r="B4241" t="b">
            <v>1</v>
          </cell>
          <cell r="E4241" t="str">
            <v>Santa Ana</v>
          </cell>
          <cell r="H4241" t="str">
            <v>consulta_externa</v>
          </cell>
          <cell r="J4241" t="str">
            <v>muybueno</v>
          </cell>
          <cell r="K4241" t="str">
            <v>defsi</v>
          </cell>
        </row>
        <row r="4242">
          <cell r="B4242" t="b">
            <v>1</v>
          </cell>
          <cell r="E4242" t="str">
            <v>Santa Ana</v>
          </cell>
          <cell r="H4242" t="str">
            <v>salud_oral</v>
          </cell>
          <cell r="J4242" t="str">
            <v>muybueno</v>
          </cell>
          <cell r="K4242" t="str">
            <v>defsi</v>
          </cell>
        </row>
        <row r="4243">
          <cell r="B4243" t="b">
            <v>1</v>
          </cell>
          <cell r="E4243" t="str">
            <v>Santa Ana</v>
          </cell>
          <cell r="H4243" t="str">
            <v>consulta_externa</v>
          </cell>
          <cell r="J4243" t="str">
            <v>muybueno</v>
          </cell>
          <cell r="K4243" t="str">
            <v>defsi</v>
          </cell>
        </row>
        <row r="4244">
          <cell r="B4244" t="b">
            <v>1</v>
          </cell>
          <cell r="E4244" t="str">
            <v>Santa Ana</v>
          </cell>
          <cell r="H4244" t="str">
            <v>laboratorio</v>
          </cell>
          <cell r="J4244" t="str">
            <v>muybueno</v>
          </cell>
          <cell r="K4244" t="str">
            <v>defsi</v>
          </cell>
        </row>
        <row r="4245">
          <cell r="B4245" t="b">
            <v>1</v>
          </cell>
          <cell r="E4245" t="str">
            <v>Santa Ana</v>
          </cell>
          <cell r="H4245" t="str">
            <v>consulta_externa</v>
          </cell>
          <cell r="J4245" t="str">
            <v>muybueno</v>
          </cell>
          <cell r="K4245" t="str">
            <v>defsi</v>
          </cell>
        </row>
        <row r="4246">
          <cell r="B4246" t="b">
            <v>1</v>
          </cell>
          <cell r="E4246" t="str">
            <v>Santa Ana</v>
          </cell>
          <cell r="H4246" t="str">
            <v>laboratorio</v>
          </cell>
          <cell r="J4246" t="str">
            <v>muybueno</v>
          </cell>
          <cell r="K4246" t="str">
            <v>defsi</v>
          </cell>
        </row>
        <row r="4247">
          <cell r="B4247" t="b">
            <v>1</v>
          </cell>
          <cell r="E4247" t="str">
            <v>Santa Ana</v>
          </cell>
          <cell r="H4247" t="str">
            <v>salud_oral</v>
          </cell>
          <cell r="J4247" t="str">
            <v>muybueno</v>
          </cell>
          <cell r="K4247" t="str">
            <v>defsi</v>
          </cell>
        </row>
        <row r="4248">
          <cell r="B4248" t="b">
            <v>1</v>
          </cell>
          <cell r="E4248" t="str">
            <v>Santa Ana</v>
          </cell>
          <cell r="H4248" t="str">
            <v>consulta_externa</v>
          </cell>
          <cell r="J4248" t="str">
            <v>muybueno</v>
          </cell>
          <cell r="K4248" t="str">
            <v>defsi</v>
          </cell>
        </row>
        <row r="4249">
          <cell r="B4249" t="b">
            <v>1</v>
          </cell>
          <cell r="E4249" t="str">
            <v>Santa Ana</v>
          </cell>
          <cell r="H4249" t="str">
            <v>salud_oral</v>
          </cell>
          <cell r="J4249" t="str">
            <v>muybueno</v>
          </cell>
          <cell r="K4249" t="str">
            <v>defsi</v>
          </cell>
        </row>
        <row r="4250">
          <cell r="B4250" t="b">
            <v>1</v>
          </cell>
          <cell r="E4250" t="str">
            <v>Santa Ana</v>
          </cell>
          <cell r="H4250" t="str">
            <v>consulta_externa</v>
          </cell>
          <cell r="J4250" t="str">
            <v>muybueno</v>
          </cell>
          <cell r="K4250" t="str">
            <v>defsi</v>
          </cell>
        </row>
        <row r="4251">
          <cell r="B4251" t="b">
            <v>1</v>
          </cell>
          <cell r="E4251" t="str">
            <v>Santa Ana</v>
          </cell>
          <cell r="H4251" t="str">
            <v>salud_oral</v>
          </cell>
          <cell r="J4251" t="str">
            <v>muybueno</v>
          </cell>
          <cell r="K4251" t="str">
            <v>defsi</v>
          </cell>
        </row>
        <row r="4252">
          <cell r="B4252" t="b">
            <v>1</v>
          </cell>
          <cell r="E4252" t="str">
            <v>Santa Ana</v>
          </cell>
          <cell r="H4252" t="str">
            <v>consulta_externa</v>
          </cell>
          <cell r="J4252" t="str">
            <v>muybueno</v>
          </cell>
          <cell r="K4252" t="str">
            <v>defsi</v>
          </cell>
        </row>
        <row r="4253">
          <cell r="B4253" t="b">
            <v>1</v>
          </cell>
          <cell r="E4253" t="str">
            <v>Santa Ana</v>
          </cell>
          <cell r="H4253" t="str">
            <v>laboratorio</v>
          </cell>
          <cell r="J4253" t="str">
            <v>muybueno</v>
          </cell>
          <cell r="K4253" t="str">
            <v>defsi</v>
          </cell>
        </row>
        <row r="4254">
          <cell r="B4254" t="b">
            <v>1</v>
          </cell>
          <cell r="E4254" t="str">
            <v>Santa Ana</v>
          </cell>
          <cell r="H4254" t="str">
            <v>salud_oral</v>
          </cell>
          <cell r="J4254" t="str">
            <v>muybueno</v>
          </cell>
          <cell r="K4254" t="str">
            <v>defsi</v>
          </cell>
        </row>
        <row r="4255">
          <cell r="B4255" t="b">
            <v>1</v>
          </cell>
          <cell r="E4255" t="str">
            <v>Santa Ana</v>
          </cell>
          <cell r="H4255" t="str">
            <v>consulta_externa</v>
          </cell>
          <cell r="J4255" t="str">
            <v>muybueno</v>
          </cell>
          <cell r="K4255" t="str">
            <v>defsi</v>
          </cell>
        </row>
        <row r="4256">
          <cell r="B4256" t="b">
            <v>1</v>
          </cell>
          <cell r="E4256" t="str">
            <v>Santa Ana</v>
          </cell>
          <cell r="H4256" t="str">
            <v>consulta_externa</v>
          </cell>
          <cell r="J4256" t="str">
            <v>muybueno</v>
          </cell>
          <cell r="K4256" t="str">
            <v>defsi</v>
          </cell>
        </row>
        <row r="4257">
          <cell r="B4257" t="b">
            <v>1</v>
          </cell>
          <cell r="E4257" t="str">
            <v>Santa Ana</v>
          </cell>
          <cell r="H4257" t="str">
            <v>laboratorio</v>
          </cell>
          <cell r="J4257" t="str">
            <v>muybueno</v>
          </cell>
          <cell r="K4257" t="str">
            <v>defsi</v>
          </cell>
        </row>
        <row r="4258">
          <cell r="B4258" t="b">
            <v>1</v>
          </cell>
          <cell r="E4258" t="str">
            <v>Santa Ana</v>
          </cell>
          <cell r="H4258" t="str">
            <v>consulta_externa</v>
          </cell>
          <cell r="J4258" t="str">
            <v>muybueno</v>
          </cell>
          <cell r="K4258" t="str">
            <v>defsi</v>
          </cell>
        </row>
        <row r="4259">
          <cell r="B4259" t="b">
            <v>1</v>
          </cell>
          <cell r="E4259" t="str">
            <v>Santa Ana</v>
          </cell>
          <cell r="H4259" t="str">
            <v>laboratorio</v>
          </cell>
          <cell r="J4259" t="str">
            <v>muybueno</v>
          </cell>
          <cell r="K4259" t="str">
            <v>defsi</v>
          </cell>
        </row>
        <row r="4260">
          <cell r="B4260" t="b">
            <v>1</v>
          </cell>
          <cell r="E4260" t="str">
            <v>Santa Ana</v>
          </cell>
          <cell r="H4260" t="str">
            <v>salud_oral</v>
          </cell>
          <cell r="J4260" t="str">
            <v>muybueno</v>
          </cell>
          <cell r="K4260" t="str">
            <v>defsi</v>
          </cell>
        </row>
        <row r="4261">
          <cell r="B4261" t="b">
            <v>1</v>
          </cell>
          <cell r="E4261" t="str">
            <v>Santa Ana</v>
          </cell>
          <cell r="H4261" t="str">
            <v>consulta_externa</v>
          </cell>
          <cell r="J4261" t="str">
            <v>muybueno</v>
          </cell>
          <cell r="K4261" t="str">
            <v>defsi</v>
          </cell>
        </row>
        <row r="4262">
          <cell r="B4262" t="b">
            <v>1</v>
          </cell>
          <cell r="E4262" t="str">
            <v>Santa Ana</v>
          </cell>
          <cell r="H4262" t="str">
            <v>laboratorio</v>
          </cell>
          <cell r="J4262" t="str">
            <v>muybueno</v>
          </cell>
          <cell r="K4262" t="str">
            <v>defsi</v>
          </cell>
        </row>
        <row r="4263">
          <cell r="B4263" t="b">
            <v>1</v>
          </cell>
          <cell r="E4263" t="str">
            <v>Santa Ana</v>
          </cell>
          <cell r="H4263" t="str">
            <v>urgencia</v>
          </cell>
          <cell r="J4263" t="str">
            <v>muybueno</v>
          </cell>
          <cell r="K4263" t="str">
            <v>defsi</v>
          </cell>
        </row>
        <row r="4264">
          <cell r="B4264" t="b">
            <v>1</v>
          </cell>
          <cell r="E4264" t="str">
            <v>Santa Ana</v>
          </cell>
          <cell r="H4264" t="str">
            <v>consulta_externa</v>
          </cell>
          <cell r="J4264" t="str">
            <v>muybueno</v>
          </cell>
          <cell r="K4264" t="str">
            <v>defsi</v>
          </cell>
        </row>
        <row r="4265">
          <cell r="B4265" t="b">
            <v>1</v>
          </cell>
          <cell r="E4265" t="str">
            <v>Santa Ana</v>
          </cell>
          <cell r="H4265" t="str">
            <v>laboratorio</v>
          </cell>
          <cell r="J4265" t="str">
            <v>muybueno</v>
          </cell>
          <cell r="K4265" t="str">
            <v>defsi</v>
          </cell>
        </row>
        <row r="4266">
          <cell r="B4266" t="b">
            <v>1</v>
          </cell>
          <cell r="E4266" t="str">
            <v>Santa Ana</v>
          </cell>
          <cell r="H4266" t="str">
            <v>salud_oral</v>
          </cell>
          <cell r="J4266" t="str">
            <v>muybueno</v>
          </cell>
          <cell r="K4266" t="str">
            <v>defsi</v>
          </cell>
        </row>
        <row r="4267">
          <cell r="B4267" t="b">
            <v>1</v>
          </cell>
          <cell r="E4267" t="str">
            <v>Santa Ana</v>
          </cell>
          <cell r="H4267" t="str">
            <v>consulta_externa</v>
          </cell>
          <cell r="J4267" t="str">
            <v>muybueno</v>
          </cell>
          <cell r="K4267" t="str">
            <v>defsi</v>
          </cell>
        </row>
        <row r="4268">
          <cell r="B4268" t="b">
            <v>1</v>
          </cell>
          <cell r="E4268" t="str">
            <v>Santa Ana</v>
          </cell>
          <cell r="H4268" t="str">
            <v>salud_oral</v>
          </cell>
          <cell r="J4268" t="str">
            <v>muybueno</v>
          </cell>
          <cell r="K4268" t="str">
            <v>defsi</v>
          </cell>
        </row>
        <row r="4269">
          <cell r="B4269" t="b">
            <v>1</v>
          </cell>
          <cell r="E4269" t="str">
            <v>Santa Ana</v>
          </cell>
          <cell r="H4269" t="str">
            <v>consulta_externa</v>
          </cell>
          <cell r="J4269" t="str">
            <v>muybueno</v>
          </cell>
          <cell r="K4269" t="str">
            <v>defsi</v>
          </cell>
        </row>
        <row r="4270">
          <cell r="B4270" t="b">
            <v>1</v>
          </cell>
          <cell r="E4270" t="str">
            <v>Santa Ana</v>
          </cell>
          <cell r="H4270" t="str">
            <v>salud_oral</v>
          </cell>
          <cell r="J4270" t="str">
            <v>muybueno</v>
          </cell>
          <cell r="K4270" t="str">
            <v>defsi</v>
          </cell>
        </row>
        <row r="4271">
          <cell r="B4271" t="b">
            <v>1</v>
          </cell>
          <cell r="E4271" t="str">
            <v>Santa Ana</v>
          </cell>
          <cell r="H4271" t="str">
            <v>consulta_externa</v>
          </cell>
          <cell r="J4271" t="str">
            <v>muybueno</v>
          </cell>
          <cell r="K4271" t="str">
            <v>defsi</v>
          </cell>
        </row>
        <row r="4272">
          <cell r="B4272" t="b">
            <v>1</v>
          </cell>
          <cell r="E4272" t="str">
            <v>Santa Ana</v>
          </cell>
          <cell r="H4272" t="str">
            <v>laboratorio</v>
          </cell>
          <cell r="J4272" t="str">
            <v>muybueno</v>
          </cell>
          <cell r="K4272" t="str">
            <v>defsi</v>
          </cell>
        </row>
        <row r="4273">
          <cell r="B4273" t="b">
            <v>1</v>
          </cell>
          <cell r="E4273" t="str">
            <v>Santa Ana</v>
          </cell>
          <cell r="H4273" t="str">
            <v>salud_oral</v>
          </cell>
          <cell r="J4273" t="str">
            <v>muybueno</v>
          </cell>
          <cell r="K4273" t="str">
            <v>defsi</v>
          </cell>
        </row>
        <row r="4274">
          <cell r="B4274" t="b">
            <v>1</v>
          </cell>
          <cell r="E4274" t="str">
            <v>Santa Ana</v>
          </cell>
          <cell r="H4274" t="str">
            <v>urgencia</v>
          </cell>
          <cell r="J4274" t="str">
            <v>muybueno</v>
          </cell>
          <cell r="K4274" t="str">
            <v>defsi</v>
          </cell>
        </row>
        <row r="4275">
          <cell r="B4275" t="b">
            <v>1</v>
          </cell>
          <cell r="E4275" t="str">
            <v>Santa Ana</v>
          </cell>
          <cell r="H4275" t="str">
            <v>consulta_externa</v>
          </cell>
          <cell r="J4275" t="str">
            <v>muybueno</v>
          </cell>
          <cell r="K4275" t="str">
            <v>defsi</v>
          </cell>
        </row>
        <row r="4276">
          <cell r="B4276" t="b">
            <v>1</v>
          </cell>
          <cell r="E4276" t="str">
            <v>Santa Ana</v>
          </cell>
          <cell r="H4276" t="str">
            <v>consulta_externa</v>
          </cell>
          <cell r="J4276" t="str">
            <v>muybueno</v>
          </cell>
          <cell r="K4276" t="str">
            <v>defsi</v>
          </cell>
        </row>
        <row r="4277">
          <cell r="B4277" t="b">
            <v>1</v>
          </cell>
          <cell r="E4277" t="str">
            <v>Santa Ana</v>
          </cell>
          <cell r="H4277" t="str">
            <v>consulta_externa</v>
          </cell>
          <cell r="J4277" t="str">
            <v>muybueno</v>
          </cell>
          <cell r="K4277" t="str">
            <v>defsi</v>
          </cell>
        </row>
        <row r="4278">
          <cell r="B4278" t="b">
            <v>1</v>
          </cell>
          <cell r="E4278" t="str">
            <v>Santa Ana</v>
          </cell>
          <cell r="H4278" t="str">
            <v>salud_oral</v>
          </cell>
          <cell r="J4278" t="str">
            <v>muybueno</v>
          </cell>
          <cell r="K4278" t="str">
            <v>defsi</v>
          </cell>
        </row>
        <row r="4279">
          <cell r="B4279" t="b">
            <v>1</v>
          </cell>
          <cell r="E4279" t="str">
            <v>Santa Ana</v>
          </cell>
          <cell r="H4279" t="str">
            <v>consulta_externa</v>
          </cell>
          <cell r="J4279" t="str">
            <v>muybueno</v>
          </cell>
          <cell r="K4279" t="str">
            <v>defsi</v>
          </cell>
        </row>
        <row r="4280">
          <cell r="B4280" t="b">
            <v>1</v>
          </cell>
          <cell r="E4280" t="str">
            <v>Santa Ana</v>
          </cell>
          <cell r="H4280" t="str">
            <v>salud_oral</v>
          </cell>
          <cell r="J4280" t="str">
            <v>muybueno</v>
          </cell>
          <cell r="K4280" t="str">
            <v>defsi</v>
          </cell>
        </row>
        <row r="4281">
          <cell r="B4281" t="b">
            <v>1</v>
          </cell>
          <cell r="E4281" t="str">
            <v>Santa Ana</v>
          </cell>
          <cell r="H4281" t="str">
            <v>consulta_externa</v>
          </cell>
          <cell r="J4281" t="str">
            <v>muybueno</v>
          </cell>
          <cell r="K4281" t="str">
            <v>defsi</v>
          </cell>
        </row>
        <row r="4282">
          <cell r="B4282" t="b">
            <v>1</v>
          </cell>
          <cell r="E4282" t="str">
            <v>Santa Ana</v>
          </cell>
          <cell r="H4282" t="str">
            <v>salud_oral</v>
          </cell>
          <cell r="J4282" t="str">
            <v>muybueno</v>
          </cell>
          <cell r="K4282" t="str">
            <v>defsi</v>
          </cell>
        </row>
        <row r="4283">
          <cell r="B4283" t="b">
            <v>1</v>
          </cell>
          <cell r="E4283" t="str">
            <v>Nuevo Porvenir</v>
          </cell>
          <cell r="H4283" t="str">
            <v>consulta_externa</v>
          </cell>
          <cell r="J4283" t="str">
            <v>bueno</v>
          </cell>
          <cell r="K4283" t="str">
            <v>defsi</v>
          </cell>
        </row>
        <row r="4284">
          <cell r="B4284" t="b">
            <v>1</v>
          </cell>
          <cell r="E4284" t="str">
            <v>Nuevo Porvenir</v>
          </cell>
          <cell r="H4284" t="str">
            <v>salud_oral</v>
          </cell>
          <cell r="J4284" t="str">
            <v>bueno</v>
          </cell>
          <cell r="K4284" t="str">
            <v>defsi</v>
          </cell>
        </row>
        <row r="4285">
          <cell r="B4285" t="b">
            <v>1</v>
          </cell>
          <cell r="E4285" t="str">
            <v>Nuevo Porvenir</v>
          </cell>
          <cell r="H4285" t="str">
            <v>salud_oral</v>
          </cell>
          <cell r="J4285" t="str">
            <v>bueno</v>
          </cell>
          <cell r="K4285" t="str">
            <v>defsi</v>
          </cell>
        </row>
        <row r="4286">
          <cell r="B4286" t="b">
            <v>1</v>
          </cell>
          <cell r="E4286" t="str">
            <v>Nuevo Porvenir</v>
          </cell>
          <cell r="H4286" t="str">
            <v>laboratorio</v>
          </cell>
          <cell r="J4286" t="str">
            <v>bueno</v>
          </cell>
          <cell r="K4286" t="str">
            <v>defsi</v>
          </cell>
        </row>
        <row r="4287">
          <cell r="B4287" t="b">
            <v>1</v>
          </cell>
          <cell r="E4287" t="str">
            <v>Nuevo Porvenir</v>
          </cell>
          <cell r="H4287" t="str">
            <v>consulta_externa</v>
          </cell>
          <cell r="J4287" t="str">
            <v>bueno</v>
          </cell>
          <cell r="K4287" t="str">
            <v>defsi</v>
          </cell>
        </row>
        <row r="4288">
          <cell r="B4288" t="b">
            <v>1</v>
          </cell>
          <cell r="E4288" t="str">
            <v>Nuevo Porvenir</v>
          </cell>
          <cell r="H4288" t="str">
            <v>salud_oral</v>
          </cell>
          <cell r="J4288" t="str">
            <v>bueno</v>
          </cell>
          <cell r="K4288" t="str">
            <v>defsi</v>
          </cell>
        </row>
        <row r="4289">
          <cell r="B4289" t="b">
            <v>1</v>
          </cell>
          <cell r="E4289" t="str">
            <v>Nuevo Porvenir</v>
          </cell>
          <cell r="H4289" t="str">
            <v>laboratorio</v>
          </cell>
          <cell r="J4289" t="str">
            <v>bueno</v>
          </cell>
          <cell r="K4289" t="str">
            <v>defsi</v>
          </cell>
        </row>
        <row r="4290">
          <cell r="B4290" t="b">
            <v>1</v>
          </cell>
          <cell r="E4290" t="str">
            <v>Nuevo Porvenir</v>
          </cell>
          <cell r="H4290" t="str">
            <v>consulta_externa</v>
          </cell>
          <cell r="J4290" t="str">
            <v>bueno</v>
          </cell>
          <cell r="K4290" t="str">
            <v>defsi</v>
          </cell>
        </row>
        <row r="4291">
          <cell r="B4291" t="b">
            <v>1</v>
          </cell>
          <cell r="E4291" t="str">
            <v>Nuevo Porvenir</v>
          </cell>
          <cell r="H4291" t="str">
            <v>salud_oral</v>
          </cell>
          <cell r="J4291" t="str">
            <v>bueno</v>
          </cell>
          <cell r="K4291" t="str">
            <v>defsi</v>
          </cell>
        </row>
        <row r="4292">
          <cell r="B4292" t="b">
            <v>1</v>
          </cell>
          <cell r="E4292" t="str">
            <v>Nuevo Porvenir</v>
          </cell>
          <cell r="H4292" t="str">
            <v>laboratorio</v>
          </cell>
          <cell r="J4292" t="str">
            <v>bueno</v>
          </cell>
          <cell r="K4292" t="str">
            <v>defsi</v>
          </cell>
        </row>
        <row r="4293">
          <cell r="B4293" t="b">
            <v>1</v>
          </cell>
          <cell r="E4293" t="str">
            <v>Nuevo Porvenir</v>
          </cell>
          <cell r="H4293" t="str">
            <v>consulta_externa</v>
          </cell>
          <cell r="J4293" t="str">
            <v>bueno</v>
          </cell>
          <cell r="K4293" t="str">
            <v>defsi</v>
          </cell>
        </row>
        <row r="4294">
          <cell r="B4294" t="b">
            <v>1</v>
          </cell>
          <cell r="E4294" t="str">
            <v>Nuevo Porvenir</v>
          </cell>
          <cell r="H4294" t="str">
            <v>salud_oral</v>
          </cell>
          <cell r="J4294" t="str">
            <v>bueno</v>
          </cell>
          <cell r="K4294" t="str">
            <v>defsi</v>
          </cell>
        </row>
        <row r="4295">
          <cell r="B4295" t="b">
            <v>1</v>
          </cell>
          <cell r="E4295" t="str">
            <v>Nuevo Porvenir</v>
          </cell>
          <cell r="H4295" t="str">
            <v>laboratorio</v>
          </cell>
          <cell r="J4295" t="str">
            <v>bueno</v>
          </cell>
          <cell r="K4295" t="str">
            <v>defsi</v>
          </cell>
        </row>
        <row r="4296">
          <cell r="B4296" t="b">
            <v>1</v>
          </cell>
          <cell r="E4296" t="str">
            <v>Nuevo Porvenir</v>
          </cell>
          <cell r="H4296" t="str">
            <v>consulta_externa</v>
          </cell>
          <cell r="J4296" t="str">
            <v>bueno</v>
          </cell>
          <cell r="K4296" t="str">
            <v>defsi</v>
          </cell>
        </row>
        <row r="4297">
          <cell r="B4297" t="b">
            <v>1</v>
          </cell>
          <cell r="E4297" t="str">
            <v>San Vicente de Paul</v>
          </cell>
          <cell r="H4297" t="str">
            <v>salud_oral</v>
          </cell>
          <cell r="J4297" t="str">
            <v>bueno</v>
          </cell>
          <cell r="K4297" t="str">
            <v>probsi</v>
          </cell>
        </row>
        <row r="4298">
          <cell r="B4298" t="b">
            <v>1</v>
          </cell>
          <cell r="E4298" t="str">
            <v>San Vicente de Paul</v>
          </cell>
          <cell r="H4298" t="str">
            <v>salud_oral</v>
          </cell>
          <cell r="J4298" t="str">
            <v>bueno</v>
          </cell>
          <cell r="K4298" t="str">
            <v>probsi</v>
          </cell>
        </row>
        <row r="4299">
          <cell r="B4299" t="b">
            <v>1</v>
          </cell>
          <cell r="E4299" t="str">
            <v>San Vicente de Paul</v>
          </cell>
          <cell r="H4299" t="str">
            <v>salud_oral</v>
          </cell>
          <cell r="J4299" t="str">
            <v>bueno</v>
          </cell>
          <cell r="K4299" t="str">
            <v>probsi</v>
          </cell>
        </row>
        <row r="4300">
          <cell r="B4300" t="b">
            <v>1</v>
          </cell>
          <cell r="E4300" t="str">
            <v>San Vicente de Paul</v>
          </cell>
          <cell r="H4300" t="str">
            <v>salud_oral</v>
          </cell>
          <cell r="J4300" t="str">
            <v>bueno</v>
          </cell>
          <cell r="K4300" t="str">
            <v>probsi</v>
          </cell>
        </row>
        <row r="4301">
          <cell r="B4301" t="b">
            <v>1</v>
          </cell>
          <cell r="E4301" t="str">
            <v>San Vicente de Paul</v>
          </cell>
          <cell r="H4301" t="str">
            <v>salud_oral</v>
          </cell>
          <cell r="J4301" t="str">
            <v>bueno</v>
          </cell>
          <cell r="K4301" t="str">
            <v>probsi</v>
          </cell>
        </row>
        <row r="4302">
          <cell r="B4302" t="b">
            <v>1</v>
          </cell>
          <cell r="E4302" t="str">
            <v>San Vicente de Paul</v>
          </cell>
          <cell r="H4302" t="str">
            <v>salud_oral</v>
          </cell>
          <cell r="J4302" t="str">
            <v>bueno</v>
          </cell>
          <cell r="K4302" t="str">
            <v>probsi</v>
          </cell>
        </row>
        <row r="4303">
          <cell r="B4303" t="b">
            <v>1</v>
          </cell>
          <cell r="E4303" t="str">
            <v>San Vicente de Paul</v>
          </cell>
          <cell r="H4303" t="str">
            <v>salud_oral</v>
          </cell>
          <cell r="J4303" t="str">
            <v>bueno</v>
          </cell>
          <cell r="K4303" t="str">
            <v>probsi</v>
          </cell>
        </row>
        <row r="4304">
          <cell r="B4304" t="b">
            <v>1</v>
          </cell>
          <cell r="E4304" t="str">
            <v>San Vicente de Paul</v>
          </cell>
          <cell r="H4304" t="str">
            <v>laboratorio</v>
          </cell>
          <cell r="J4304" t="str">
            <v>bueno</v>
          </cell>
          <cell r="K4304" t="str">
            <v>probsi</v>
          </cell>
        </row>
        <row r="4305">
          <cell r="B4305" t="b">
            <v>1</v>
          </cell>
          <cell r="E4305" t="str">
            <v>San Vicente de Paul</v>
          </cell>
          <cell r="H4305" t="str">
            <v>laboratorio</v>
          </cell>
          <cell r="J4305" t="str">
            <v>bueno</v>
          </cell>
          <cell r="K4305" t="str">
            <v>probsi</v>
          </cell>
        </row>
        <row r="4306">
          <cell r="B4306" t="b">
            <v>1</v>
          </cell>
          <cell r="E4306" t="str">
            <v>San Vicente de Paul</v>
          </cell>
          <cell r="H4306" t="str">
            <v>laboratorio</v>
          </cell>
          <cell r="J4306" t="str">
            <v>bueno</v>
          </cell>
          <cell r="K4306" t="str">
            <v>probsi</v>
          </cell>
        </row>
        <row r="4307">
          <cell r="B4307" t="b">
            <v>1</v>
          </cell>
          <cell r="E4307" t="str">
            <v>San Vicente de Paul</v>
          </cell>
          <cell r="H4307" t="str">
            <v>laboratorio</v>
          </cell>
          <cell r="J4307" t="str">
            <v>bueno</v>
          </cell>
          <cell r="K4307" t="str">
            <v>probsi</v>
          </cell>
        </row>
        <row r="4308">
          <cell r="B4308" t="b">
            <v>1</v>
          </cell>
          <cell r="E4308" t="str">
            <v>Nuevo Porvenir</v>
          </cell>
          <cell r="H4308" t="str">
            <v>salud_oral</v>
          </cell>
          <cell r="J4308" t="str">
            <v>bueno</v>
          </cell>
          <cell r="K4308" t="str">
            <v>defsi</v>
          </cell>
        </row>
        <row r="4309">
          <cell r="B4309" t="b">
            <v>1</v>
          </cell>
          <cell r="E4309" t="str">
            <v>San Vicente de Paul</v>
          </cell>
          <cell r="H4309" t="str">
            <v>laboratorio</v>
          </cell>
          <cell r="J4309" t="str">
            <v>bueno</v>
          </cell>
          <cell r="K4309" t="str">
            <v>probsi</v>
          </cell>
        </row>
        <row r="4310">
          <cell r="B4310" t="b">
            <v>1</v>
          </cell>
          <cell r="E4310" t="str">
            <v>San Vicente de Paul</v>
          </cell>
          <cell r="H4310" t="str">
            <v>laboratorio</v>
          </cell>
          <cell r="J4310" t="str">
            <v>bueno</v>
          </cell>
          <cell r="K4310" t="str">
            <v>probsi</v>
          </cell>
        </row>
        <row r="4311">
          <cell r="B4311" t="b">
            <v>1</v>
          </cell>
          <cell r="E4311" t="str">
            <v>San Vicente de Paul</v>
          </cell>
          <cell r="H4311" t="str">
            <v>laboratorio</v>
          </cell>
          <cell r="J4311" t="str">
            <v>bueno</v>
          </cell>
          <cell r="K4311" t="str">
            <v>probsi</v>
          </cell>
        </row>
        <row r="4312">
          <cell r="B4312" t="b">
            <v>1</v>
          </cell>
          <cell r="E4312" t="str">
            <v>San Vicente de Paul</v>
          </cell>
          <cell r="H4312" t="str">
            <v>consulta_externa</v>
          </cell>
          <cell r="J4312" t="str">
            <v>bueno</v>
          </cell>
          <cell r="K4312" t="str">
            <v>probsi</v>
          </cell>
        </row>
        <row r="4313">
          <cell r="B4313" t="b">
            <v>1</v>
          </cell>
          <cell r="E4313" t="str">
            <v>San Vicente de Paul</v>
          </cell>
          <cell r="H4313" t="str">
            <v>consulta_externa</v>
          </cell>
          <cell r="J4313" t="str">
            <v>bueno</v>
          </cell>
          <cell r="K4313" t="str">
            <v>probsi</v>
          </cell>
        </row>
        <row r="4314">
          <cell r="B4314" t="b">
            <v>1</v>
          </cell>
          <cell r="E4314" t="str">
            <v>San Vicente de Paul</v>
          </cell>
          <cell r="H4314" t="str">
            <v>consulta_externa</v>
          </cell>
          <cell r="J4314" t="str">
            <v>bueno</v>
          </cell>
          <cell r="K4314" t="str">
            <v>probsi</v>
          </cell>
        </row>
        <row r="4315">
          <cell r="B4315" t="b">
            <v>1</v>
          </cell>
          <cell r="E4315" t="str">
            <v>Nuevo Porvenir</v>
          </cell>
          <cell r="H4315" t="str">
            <v>laboratorio</v>
          </cell>
          <cell r="J4315" t="str">
            <v>bueno</v>
          </cell>
          <cell r="K4315" t="str">
            <v>defsi</v>
          </cell>
        </row>
        <row r="4316">
          <cell r="B4316" t="b">
            <v>1</v>
          </cell>
          <cell r="E4316" t="str">
            <v>San Vicente de Paul</v>
          </cell>
          <cell r="H4316" t="str">
            <v>consulta_externa</v>
          </cell>
          <cell r="J4316" t="str">
            <v>bueno</v>
          </cell>
          <cell r="K4316" t="str">
            <v>probsi</v>
          </cell>
        </row>
        <row r="4317">
          <cell r="B4317" t="b">
            <v>1</v>
          </cell>
          <cell r="E4317" t="str">
            <v>San Vicente de Paul</v>
          </cell>
          <cell r="H4317" t="str">
            <v>consulta_externa</v>
          </cell>
          <cell r="J4317" t="str">
            <v>bueno</v>
          </cell>
          <cell r="K4317" t="str">
            <v>probsi</v>
          </cell>
        </row>
        <row r="4318">
          <cell r="B4318" t="b">
            <v>1</v>
          </cell>
          <cell r="E4318" t="str">
            <v>San Vicente de Paul</v>
          </cell>
          <cell r="H4318" t="str">
            <v>consulta_externa</v>
          </cell>
          <cell r="J4318" t="str">
            <v>bueno</v>
          </cell>
          <cell r="K4318" t="str">
            <v>probsi</v>
          </cell>
        </row>
        <row r="4319">
          <cell r="B4319" t="b">
            <v>1</v>
          </cell>
          <cell r="E4319" t="str">
            <v>San Vicente de Paul</v>
          </cell>
          <cell r="H4319" t="str">
            <v>consulta_externa</v>
          </cell>
          <cell r="J4319" t="str">
            <v>bueno</v>
          </cell>
          <cell r="K4319" t="str">
            <v>probsi</v>
          </cell>
        </row>
        <row r="4320">
          <cell r="B4320" t="b">
            <v>1</v>
          </cell>
          <cell r="E4320" t="str">
            <v>San Vicente de Paul</v>
          </cell>
          <cell r="H4320" t="str">
            <v>consulta_externa</v>
          </cell>
          <cell r="J4320" t="str">
            <v>bueno</v>
          </cell>
          <cell r="K4320" t="str">
            <v>probsi</v>
          </cell>
        </row>
        <row r="4321">
          <cell r="B4321" t="b">
            <v>1</v>
          </cell>
          <cell r="E4321" t="str">
            <v>San Vicente de Paul</v>
          </cell>
          <cell r="H4321" t="str">
            <v>consulta_externa</v>
          </cell>
          <cell r="J4321" t="str">
            <v>bueno</v>
          </cell>
          <cell r="K4321" t="str">
            <v>probsi</v>
          </cell>
        </row>
        <row r="4322">
          <cell r="B4322" t="b">
            <v>1</v>
          </cell>
          <cell r="E4322" t="str">
            <v>San Vicente de Paul</v>
          </cell>
          <cell r="H4322" t="str">
            <v>consulta_externa</v>
          </cell>
          <cell r="J4322" t="str">
            <v>bueno</v>
          </cell>
          <cell r="K4322" t="str">
            <v>probsi</v>
          </cell>
        </row>
        <row r="4323">
          <cell r="B4323" t="b">
            <v>1</v>
          </cell>
          <cell r="E4323" t="str">
            <v>San Vicente de Paul</v>
          </cell>
          <cell r="H4323" t="str">
            <v>consulta_externa</v>
          </cell>
          <cell r="J4323" t="str">
            <v>bueno</v>
          </cell>
          <cell r="K4323" t="str">
            <v>probsi</v>
          </cell>
        </row>
        <row r="4324">
          <cell r="B4324" t="b">
            <v>1</v>
          </cell>
          <cell r="E4324" t="str">
            <v>San Vicente de Paul</v>
          </cell>
          <cell r="H4324" t="str">
            <v>consulta_externa</v>
          </cell>
          <cell r="J4324" t="str">
            <v>bueno</v>
          </cell>
          <cell r="K4324" t="str">
            <v>probsi</v>
          </cell>
        </row>
        <row r="4325">
          <cell r="B4325" t="b">
            <v>1</v>
          </cell>
          <cell r="E4325" t="str">
            <v>Nuevo Porvenir</v>
          </cell>
          <cell r="H4325" t="str">
            <v>consulta_externa</v>
          </cell>
          <cell r="J4325" t="str">
            <v>bueno</v>
          </cell>
          <cell r="K4325" t="str">
            <v>defsi</v>
          </cell>
        </row>
        <row r="4326">
          <cell r="B4326" t="b">
            <v>1</v>
          </cell>
          <cell r="E4326" t="str">
            <v>Nuevo Porvenir</v>
          </cell>
          <cell r="H4326" t="str">
            <v>salud_oral</v>
          </cell>
          <cell r="J4326" t="str">
            <v>bueno</v>
          </cell>
          <cell r="K4326" t="str">
            <v>defsi</v>
          </cell>
        </row>
        <row r="4327">
          <cell r="B4327" t="b">
            <v>1</v>
          </cell>
          <cell r="E4327" t="str">
            <v>Nuevo Porvenir</v>
          </cell>
          <cell r="H4327" t="str">
            <v>laboratorio</v>
          </cell>
          <cell r="J4327" t="str">
            <v>bueno</v>
          </cell>
          <cell r="K4327" t="str">
            <v>defsi</v>
          </cell>
        </row>
        <row r="4328">
          <cell r="B4328" t="b">
            <v>1</v>
          </cell>
          <cell r="E4328" t="str">
            <v>Los Cerros</v>
          </cell>
          <cell r="H4328" t="str">
            <v>laboratorio</v>
          </cell>
          <cell r="J4328" t="str">
            <v>bueno</v>
          </cell>
          <cell r="K4328" t="str">
            <v>probsi</v>
          </cell>
        </row>
        <row r="4329">
          <cell r="B4329" t="b">
            <v>1</v>
          </cell>
          <cell r="E4329" t="str">
            <v>Los Cerros</v>
          </cell>
          <cell r="H4329" t="str">
            <v>medicina_interna</v>
          </cell>
          <cell r="J4329" t="str">
            <v>bueno</v>
          </cell>
          <cell r="K4329" t="str">
            <v>probsi</v>
          </cell>
        </row>
        <row r="4330">
          <cell r="B4330" t="b">
            <v>1</v>
          </cell>
          <cell r="E4330" t="str">
            <v>Los Cerros</v>
          </cell>
          <cell r="H4330" t="str">
            <v>laboratorio</v>
          </cell>
          <cell r="J4330" t="str">
            <v>bueno</v>
          </cell>
          <cell r="K4330" t="str">
            <v>probsi</v>
          </cell>
        </row>
        <row r="4331">
          <cell r="B4331" t="b">
            <v>1</v>
          </cell>
          <cell r="E4331" t="str">
            <v>Los Cerros</v>
          </cell>
          <cell r="H4331" t="str">
            <v>consulta_externa</v>
          </cell>
          <cell r="J4331" t="str">
            <v>bueno</v>
          </cell>
          <cell r="K4331" t="str">
            <v>probsi</v>
          </cell>
        </row>
        <row r="4332">
          <cell r="B4332" t="b">
            <v>1</v>
          </cell>
          <cell r="E4332" t="str">
            <v>Los Cerros</v>
          </cell>
          <cell r="H4332" t="str">
            <v>consulta_externa</v>
          </cell>
          <cell r="J4332" t="str">
            <v>bueno</v>
          </cell>
          <cell r="K4332" t="str">
            <v>probsi</v>
          </cell>
        </row>
        <row r="4333">
          <cell r="B4333" t="b">
            <v>1</v>
          </cell>
          <cell r="E4333" t="str">
            <v>Los Cerros</v>
          </cell>
          <cell r="H4333" t="str">
            <v>consulta_externa</v>
          </cell>
          <cell r="J4333" t="str">
            <v>bueno</v>
          </cell>
          <cell r="K4333" t="str">
            <v>probsi</v>
          </cell>
        </row>
        <row r="4334">
          <cell r="B4334" t="b">
            <v>1</v>
          </cell>
          <cell r="E4334" t="str">
            <v>Los Cerros</v>
          </cell>
          <cell r="H4334" t="str">
            <v>consulta_externa</v>
          </cell>
          <cell r="J4334" t="str">
            <v>bueno</v>
          </cell>
          <cell r="K4334" t="str">
            <v>probsi</v>
          </cell>
        </row>
        <row r="4335">
          <cell r="B4335" t="b">
            <v>1</v>
          </cell>
          <cell r="E4335" t="str">
            <v>Los Cerros</v>
          </cell>
          <cell r="H4335" t="str">
            <v>consulta_externa</v>
          </cell>
          <cell r="J4335" t="str">
            <v>bueno</v>
          </cell>
          <cell r="K4335" t="str">
            <v>probsi</v>
          </cell>
        </row>
        <row r="4336">
          <cell r="B4336" t="b">
            <v>1</v>
          </cell>
          <cell r="E4336" t="str">
            <v>Los Cerros</v>
          </cell>
          <cell r="H4336" t="str">
            <v>consulta_externa</v>
          </cell>
          <cell r="J4336" t="str">
            <v>bueno</v>
          </cell>
          <cell r="K4336" t="str">
            <v>probsi</v>
          </cell>
        </row>
        <row r="4337">
          <cell r="B4337" t="b">
            <v>1</v>
          </cell>
          <cell r="E4337" t="str">
            <v>Los Cerros</v>
          </cell>
          <cell r="H4337" t="str">
            <v>consulta_externa</v>
          </cell>
          <cell r="J4337" t="str">
            <v>bueno</v>
          </cell>
          <cell r="K4337" t="str">
            <v>probsi</v>
          </cell>
        </row>
        <row r="4338">
          <cell r="B4338" t="b">
            <v>1</v>
          </cell>
          <cell r="E4338" t="str">
            <v>Los Cerros</v>
          </cell>
          <cell r="H4338" t="str">
            <v>consulta_externa</v>
          </cell>
          <cell r="J4338" t="str">
            <v>bueno</v>
          </cell>
          <cell r="K4338" t="str">
            <v>probsi</v>
          </cell>
        </row>
        <row r="4339">
          <cell r="B4339" t="b">
            <v>1</v>
          </cell>
          <cell r="E4339" t="str">
            <v>Los Cerros</v>
          </cell>
          <cell r="H4339" t="str">
            <v>consulta_externa</v>
          </cell>
          <cell r="J4339" t="str">
            <v>bueno</v>
          </cell>
          <cell r="K4339" t="str">
            <v>probsi</v>
          </cell>
        </row>
        <row r="4340">
          <cell r="B4340" t="b">
            <v>1</v>
          </cell>
          <cell r="E4340" t="str">
            <v>Los Cerros</v>
          </cell>
          <cell r="H4340" t="str">
            <v>laboratorio</v>
          </cell>
          <cell r="J4340" t="str">
            <v>bueno</v>
          </cell>
          <cell r="K4340" t="str">
            <v>probsi</v>
          </cell>
        </row>
        <row r="4341">
          <cell r="B4341" t="b">
            <v>1</v>
          </cell>
          <cell r="E4341" t="str">
            <v>Los Cerros</v>
          </cell>
          <cell r="H4341" t="str">
            <v>consulta_externa</v>
          </cell>
          <cell r="J4341" t="str">
            <v>bueno</v>
          </cell>
          <cell r="K4341" t="str">
            <v>probsi</v>
          </cell>
        </row>
        <row r="4342">
          <cell r="B4342" t="b">
            <v>1</v>
          </cell>
          <cell r="E4342" t="str">
            <v>Los Cerros</v>
          </cell>
          <cell r="H4342" t="str">
            <v>salud_oral</v>
          </cell>
          <cell r="J4342" t="str">
            <v>bueno</v>
          </cell>
          <cell r="K4342" t="str">
            <v>probsi</v>
          </cell>
        </row>
        <row r="4343">
          <cell r="B4343" t="b">
            <v>1</v>
          </cell>
          <cell r="E4343" t="str">
            <v>Los Cerros</v>
          </cell>
          <cell r="H4343" t="str">
            <v>medicina_interna</v>
          </cell>
          <cell r="J4343" t="str">
            <v>bueno</v>
          </cell>
          <cell r="K4343" t="str">
            <v>probsi</v>
          </cell>
        </row>
        <row r="4344">
          <cell r="B4344" t="b">
            <v>1</v>
          </cell>
          <cell r="E4344" t="str">
            <v>Los Cerros</v>
          </cell>
          <cell r="H4344" t="str">
            <v>medicina_interna</v>
          </cell>
          <cell r="J4344" t="str">
            <v>bueno</v>
          </cell>
          <cell r="K4344" t="str">
            <v>probsi</v>
          </cell>
        </row>
        <row r="4345">
          <cell r="B4345" t="b">
            <v>1</v>
          </cell>
          <cell r="E4345" t="str">
            <v>Los Cerros</v>
          </cell>
          <cell r="H4345" t="str">
            <v>laboratorio</v>
          </cell>
          <cell r="J4345" t="str">
            <v>bueno</v>
          </cell>
          <cell r="K4345" t="str">
            <v>probsi</v>
          </cell>
        </row>
        <row r="4346">
          <cell r="B4346" t="b">
            <v>1</v>
          </cell>
          <cell r="E4346" t="str">
            <v>Los Cerros</v>
          </cell>
          <cell r="H4346" t="str">
            <v>consulta_externa</v>
          </cell>
          <cell r="J4346" t="str">
            <v>bueno</v>
          </cell>
          <cell r="K4346" t="str">
            <v>probsi</v>
          </cell>
        </row>
        <row r="4347">
          <cell r="B4347" t="b">
            <v>1</v>
          </cell>
          <cell r="E4347" t="str">
            <v>Los Cerros</v>
          </cell>
          <cell r="H4347" t="str">
            <v>medicina_interna</v>
          </cell>
          <cell r="J4347" t="str">
            <v>bueno</v>
          </cell>
          <cell r="K4347" t="str">
            <v>probsi</v>
          </cell>
        </row>
        <row r="4348">
          <cell r="B4348" t="b">
            <v>1</v>
          </cell>
          <cell r="E4348" t="str">
            <v>Los Cerros</v>
          </cell>
          <cell r="H4348" t="str">
            <v>consulta_externa</v>
          </cell>
          <cell r="J4348" t="str">
            <v>bueno</v>
          </cell>
          <cell r="K4348" t="str">
            <v>probsi</v>
          </cell>
        </row>
        <row r="4349">
          <cell r="B4349" t="b">
            <v>1</v>
          </cell>
          <cell r="E4349" t="str">
            <v>Los Cerros</v>
          </cell>
          <cell r="H4349" t="str">
            <v>laboratorio</v>
          </cell>
          <cell r="J4349" t="str">
            <v>bueno</v>
          </cell>
          <cell r="K4349" t="str">
            <v>probsi</v>
          </cell>
        </row>
        <row r="4350">
          <cell r="B4350" t="b">
            <v>1</v>
          </cell>
          <cell r="E4350" t="str">
            <v>Los Cerros</v>
          </cell>
          <cell r="H4350" t="str">
            <v>salud_oral</v>
          </cell>
          <cell r="J4350" t="str">
            <v>bueno</v>
          </cell>
          <cell r="K4350" t="str">
            <v>probsi</v>
          </cell>
        </row>
        <row r="4351">
          <cell r="B4351" t="b">
            <v>1</v>
          </cell>
          <cell r="E4351" t="str">
            <v>Los Cerros</v>
          </cell>
          <cell r="H4351" t="str">
            <v>consulta_externa</v>
          </cell>
          <cell r="J4351" t="str">
            <v>bueno</v>
          </cell>
          <cell r="K4351" t="str">
            <v>probsi</v>
          </cell>
        </row>
        <row r="4352">
          <cell r="B4352" t="b">
            <v>1</v>
          </cell>
          <cell r="E4352" t="str">
            <v>Los Cerros</v>
          </cell>
          <cell r="H4352" t="str">
            <v>salud_oral</v>
          </cell>
          <cell r="J4352" t="str">
            <v>bueno</v>
          </cell>
          <cell r="K4352" t="str">
            <v>probsi</v>
          </cell>
        </row>
        <row r="4353">
          <cell r="B4353" t="b">
            <v>1</v>
          </cell>
          <cell r="E4353" t="str">
            <v>Los Cerros</v>
          </cell>
          <cell r="H4353" t="str">
            <v>ecografias</v>
          </cell>
          <cell r="J4353" t="str">
            <v>bueno</v>
          </cell>
          <cell r="K4353" t="str">
            <v>probsi</v>
          </cell>
        </row>
        <row r="4354">
          <cell r="B4354" t="b">
            <v>1</v>
          </cell>
          <cell r="E4354" t="str">
            <v>Los Cerros</v>
          </cell>
          <cell r="H4354" t="str">
            <v>ginecologia</v>
          </cell>
          <cell r="J4354" t="str">
            <v>bueno</v>
          </cell>
          <cell r="K4354" t="str">
            <v>probsi</v>
          </cell>
        </row>
        <row r="4355">
          <cell r="B4355" t="b">
            <v>1</v>
          </cell>
          <cell r="E4355" t="str">
            <v>Los Cerros</v>
          </cell>
          <cell r="H4355" t="str">
            <v>consulta_externa</v>
          </cell>
          <cell r="J4355" t="str">
            <v>bueno</v>
          </cell>
          <cell r="K4355" t="str">
            <v>probsi</v>
          </cell>
        </row>
        <row r="4356">
          <cell r="B4356" t="b">
            <v>1</v>
          </cell>
          <cell r="E4356" t="str">
            <v>Los Cerros</v>
          </cell>
          <cell r="H4356" t="str">
            <v>salud_oral</v>
          </cell>
          <cell r="J4356" t="str">
            <v>bueno</v>
          </cell>
          <cell r="K4356" t="str">
            <v>probsi</v>
          </cell>
        </row>
        <row r="4357">
          <cell r="B4357" t="b">
            <v>1</v>
          </cell>
          <cell r="E4357" t="str">
            <v>Los Cerros</v>
          </cell>
          <cell r="H4357" t="str">
            <v>laboratorio</v>
          </cell>
          <cell r="J4357" t="str">
            <v>bueno</v>
          </cell>
          <cell r="K4357" t="str">
            <v>probsi</v>
          </cell>
        </row>
        <row r="4358">
          <cell r="B4358" t="b">
            <v>1</v>
          </cell>
          <cell r="E4358" t="str">
            <v>Los Cerros</v>
          </cell>
          <cell r="H4358" t="str">
            <v>consulta_externa</v>
          </cell>
          <cell r="J4358" t="str">
            <v>bueno</v>
          </cell>
          <cell r="K4358" t="str">
            <v>probsi</v>
          </cell>
        </row>
        <row r="4359">
          <cell r="B4359" t="b">
            <v>1</v>
          </cell>
          <cell r="E4359" t="str">
            <v>Los Cerros</v>
          </cell>
          <cell r="H4359" t="str">
            <v>laboratorio</v>
          </cell>
          <cell r="J4359" t="str">
            <v>bueno</v>
          </cell>
          <cell r="K4359" t="str">
            <v>probsi</v>
          </cell>
        </row>
        <row r="4360">
          <cell r="B4360" t="b">
            <v>1</v>
          </cell>
          <cell r="E4360" t="str">
            <v>Bayunca</v>
          </cell>
          <cell r="H4360" t="str">
            <v>consulta_externa</v>
          </cell>
          <cell r="J4360" t="str">
            <v>bueno</v>
          </cell>
          <cell r="K4360" t="str">
            <v>defsi</v>
          </cell>
        </row>
        <row r="4361">
          <cell r="B4361" t="b">
            <v>1</v>
          </cell>
          <cell r="E4361" t="str">
            <v>Bayunca</v>
          </cell>
          <cell r="H4361" t="str">
            <v>salud_oral</v>
          </cell>
          <cell r="J4361" t="str">
            <v>bueno</v>
          </cell>
          <cell r="K4361" t="str">
            <v>defsi</v>
          </cell>
        </row>
        <row r="4362">
          <cell r="B4362" t="b">
            <v>1</v>
          </cell>
          <cell r="E4362" t="str">
            <v>Bayunca</v>
          </cell>
          <cell r="H4362" t="str">
            <v>laboratorio</v>
          </cell>
          <cell r="J4362" t="str">
            <v>bueno</v>
          </cell>
          <cell r="K4362" t="str">
            <v>defsi</v>
          </cell>
        </row>
        <row r="4363">
          <cell r="B4363" t="b">
            <v>1</v>
          </cell>
          <cell r="E4363" t="str">
            <v>Bayunca</v>
          </cell>
          <cell r="H4363" t="str">
            <v>urgencia</v>
          </cell>
          <cell r="J4363" t="str">
            <v>bueno</v>
          </cell>
          <cell r="K4363" t="str">
            <v>defsi</v>
          </cell>
        </row>
        <row r="4364">
          <cell r="B4364" t="b">
            <v>1</v>
          </cell>
          <cell r="E4364" t="str">
            <v>Bayunca</v>
          </cell>
          <cell r="H4364" t="str">
            <v>consulta_externa</v>
          </cell>
          <cell r="J4364" t="str">
            <v>bueno</v>
          </cell>
          <cell r="K4364" t="str">
            <v>defsi</v>
          </cell>
        </row>
        <row r="4365">
          <cell r="B4365" t="b">
            <v>1</v>
          </cell>
          <cell r="E4365" t="str">
            <v>Bayunca</v>
          </cell>
          <cell r="H4365" t="str">
            <v>salud_oral</v>
          </cell>
          <cell r="J4365" t="str">
            <v>bueno</v>
          </cell>
          <cell r="K4365" t="str">
            <v>defsi</v>
          </cell>
        </row>
        <row r="4366">
          <cell r="B4366" t="b">
            <v>1</v>
          </cell>
          <cell r="E4366" t="str">
            <v>Bayunca</v>
          </cell>
          <cell r="H4366" t="str">
            <v>laboratorio</v>
          </cell>
          <cell r="J4366" t="str">
            <v>bueno</v>
          </cell>
          <cell r="K4366" t="str">
            <v>defsi</v>
          </cell>
        </row>
        <row r="4367">
          <cell r="B4367" t="b">
            <v>1</v>
          </cell>
          <cell r="E4367" t="str">
            <v>Los Cerros</v>
          </cell>
          <cell r="H4367" t="str">
            <v>consulta_externa</v>
          </cell>
          <cell r="J4367" t="str">
            <v>bueno</v>
          </cell>
          <cell r="K4367" t="str">
            <v>probsi</v>
          </cell>
        </row>
        <row r="4368">
          <cell r="B4368" t="b">
            <v>1</v>
          </cell>
          <cell r="E4368" t="str">
            <v>Bayunca</v>
          </cell>
          <cell r="H4368" t="str">
            <v>urgencia</v>
          </cell>
          <cell r="J4368" t="str">
            <v>bueno</v>
          </cell>
          <cell r="K4368" t="str">
            <v>defsi</v>
          </cell>
        </row>
        <row r="4369">
          <cell r="B4369" t="b">
            <v>1</v>
          </cell>
          <cell r="E4369" t="str">
            <v>Los Cerros</v>
          </cell>
          <cell r="H4369" t="str">
            <v>laboratorio</v>
          </cell>
          <cell r="J4369" t="str">
            <v>bueno</v>
          </cell>
          <cell r="K4369" t="str">
            <v>probsi</v>
          </cell>
        </row>
        <row r="4370">
          <cell r="B4370" t="b">
            <v>1</v>
          </cell>
          <cell r="E4370" t="str">
            <v>Bayunca</v>
          </cell>
          <cell r="H4370" t="str">
            <v>consulta_externa</v>
          </cell>
          <cell r="J4370" t="str">
            <v>bueno</v>
          </cell>
          <cell r="K4370" t="str">
            <v>defsi</v>
          </cell>
        </row>
        <row r="4371">
          <cell r="B4371" t="b">
            <v>1</v>
          </cell>
          <cell r="E4371" t="str">
            <v>Bayunca</v>
          </cell>
          <cell r="H4371" t="str">
            <v>salud_oral</v>
          </cell>
          <cell r="J4371" t="str">
            <v>bueno</v>
          </cell>
          <cell r="K4371" t="str">
            <v>defsi</v>
          </cell>
        </row>
        <row r="4372">
          <cell r="B4372" t="b">
            <v>1</v>
          </cell>
          <cell r="E4372" t="str">
            <v>Los Cerros</v>
          </cell>
          <cell r="H4372" t="str">
            <v>consulta_externa</v>
          </cell>
          <cell r="J4372" t="str">
            <v>muybueno</v>
          </cell>
          <cell r="K4372" t="str">
            <v>probsi</v>
          </cell>
        </row>
        <row r="4373">
          <cell r="B4373" t="b">
            <v>1</v>
          </cell>
          <cell r="E4373" t="str">
            <v>Los Cerros</v>
          </cell>
          <cell r="H4373" t="str">
            <v>electros</v>
          </cell>
          <cell r="J4373" t="str">
            <v>muybueno</v>
          </cell>
          <cell r="K4373" t="str">
            <v>probsi</v>
          </cell>
        </row>
        <row r="4374">
          <cell r="B4374" t="b">
            <v>1</v>
          </cell>
          <cell r="E4374" t="str">
            <v>Bayunca</v>
          </cell>
          <cell r="H4374" t="str">
            <v>laboratorio</v>
          </cell>
          <cell r="J4374" t="str">
            <v>bueno</v>
          </cell>
          <cell r="K4374" t="str">
            <v>defsi</v>
          </cell>
        </row>
        <row r="4375">
          <cell r="B4375" t="b">
            <v>1</v>
          </cell>
          <cell r="E4375" t="str">
            <v>Bayunca</v>
          </cell>
          <cell r="H4375" t="str">
            <v>urgencia</v>
          </cell>
          <cell r="J4375" t="str">
            <v>bueno</v>
          </cell>
          <cell r="K4375" t="str">
            <v>defsi</v>
          </cell>
        </row>
        <row r="4376">
          <cell r="B4376" t="b">
            <v>1</v>
          </cell>
          <cell r="E4376" t="str">
            <v>Los Cerros</v>
          </cell>
          <cell r="H4376" t="str">
            <v>salud_oral</v>
          </cell>
          <cell r="J4376" t="str">
            <v>bueno</v>
          </cell>
          <cell r="K4376" t="str">
            <v>probsi</v>
          </cell>
        </row>
        <row r="4377">
          <cell r="B4377" t="b">
            <v>1</v>
          </cell>
          <cell r="E4377" t="str">
            <v>Los Cerros</v>
          </cell>
          <cell r="H4377" t="str">
            <v>salud_oral</v>
          </cell>
          <cell r="J4377" t="str">
            <v>bueno</v>
          </cell>
          <cell r="K4377" t="str">
            <v>probsi</v>
          </cell>
        </row>
        <row r="4378">
          <cell r="B4378" t="b">
            <v>1</v>
          </cell>
          <cell r="E4378" t="str">
            <v>Los Cerros</v>
          </cell>
          <cell r="H4378" t="str">
            <v>salud_oral</v>
          </cell>
          <cell r="J4378" t="str">
            <v>bueno</v>
          </cell>
          <cell r="K4378" t="str">
            <v>probsi</v>
          </cell>
        </row>
        <row r="4379">
          <cell r="B4379" t="b">
            <v>1</v>
          </cell>
          <cell r="E4379" t="str">
            <v>Los Cerros</v>
          </cell>
          <cell r="H4379" t="str">
            <v>salud_oral</v>
          </cell>
          <cell r="J4379" t="str">
            <v>bueno</v>
          </cell>
          <cell r="K4379" t="str">
            <v>probsi</v>
          </cell>
        </row>
        <row r="4380">
          <cell r="B4380" t="b">
            <v>1</v>
          </cell>
          <cell r="E4380" t="str">
            <v>Los Cerros</v>
          </cell>
          <cell r="H4380" t="str">
            <v>salud_oral</v>
          </cell>
          <cell r="J4380" t="str">
            <v>bueno</v>
          </cell>
          <cell r="K4380" t="str">
            <v>probsi</v>
          </cell>
        </row>
        <row r="4381">
          <cell r="B4381" t="b">
            <v>1</v>
          </cell>
          <cell r="E4381" t="str">
            <v>Los Cerros</v>
          </cell>
          <cell r="H4381" t="str">
            <v>ginecologia</v>
          </cell>
          <cell r="J4381" t="str">
            <v>bueno</v>
          </cell>
          <cell r="K4381" t="str">
            <v>probsi</v>
          </cell>
        </row>
        <row r="4382">
          <cell r="B4382" t="b">
            <v>1</v>
          </cell>
          <cell r="E4382" t="str">
            <v>Los Cerros</v>
          </cell>
          <cell r="H4382" t="str">
            <v>ginecologia</v>
          </cell>
          <cell r="J4382" t="str">
            <v>bueno</v>
          </cell>
          <cell r="K4382" t="str">
            <v>probsi</v>
          </cell>
        </row>
        <row r="4383">
          <cell r="B4383" t="b">
            <v>1</v>
          </cell>
          <cell r="E4383" t="str">
            <v>Los Cerros</v>
          </cell>
          <cell r="H4383" t="str">
            <v>ginecologia</v>
          </cell>
          <cell r="J4383" t="str">
            <v>bueno</v>
          </cell>
          <cell r="K4383" t="str">
            <v>probsi</v>
          </cell>
        </row>
        <row r="4384">
          <cell r="B4384" t="b">
            <v>1</v>
          </cell>
          <cell r="E4384" t="str">
            <v>Los Cerros</v>
          </cell>
          <cell r="H4384" t="str">
            <v>ginecologia</v>
          </cell>
          <cell r="J4384" t="str">
            <v>bueno</v>
          </cell>
          <cell r="K4384" t="str">
            <v>probsi</v>
          </cell>
        </row>
        <row r="4385">
          <cell r="B4385" t="b">
            <v>1</v>
          </cell>
          <cell r="E4385" t="str">
            <v>Los Cerros</v>
          </cell>
          <cell r="H4385" t="str">
            <v>electros</v>
          </cell>
          <cell r="J4385" t="str">
            <v>bueno</v>
          </cell>
          <cell r="K4385" t="str">
            <v>probsi</v>
          </cell>
        </row>
        <row r="4386">
          <cell r="B4386" t="b">
            <v>1</v>
          </cell>
          <cell r="E4386" t="str">
            <v>Los Cerros</v>
          </cell>
          <cell r="H4386" t="str">
            <v>electros</v>
          </cell>
          <cell r="J4386" t="str">
            <v>bueno</v>
          </cell>
          <cell r="K4386" t="str">
            <v>probsi</v>
          </cell>
        </row>
        <row r="4387">
          <cell r="B4387" t="b">
            <v>1</v>
          </cell>
          <cell r="E4387" t="str">
            <v>Los Cerros</v>
          </cell>
          <cell r="H4387" t="str">
            <v>electros</v>
          </cell>
          <cell r="J4387" t="str">
            <v>bueno</v>
          </cell>
          <cell r="K4387" t="str">
            <v>probsi</v>
          </cell>
        </row>
        <row r="4388">
          <cell r="B4388" t="b">
            <v>1</v>
          </cell>
          <cell r="E4388" t="str">
            <v>Los Cerros</v>
          </cell>
          <cell r="H4388" t="str">
            <v>electros</v>
          </cell>
          <cell r="J4388" t="str">
            <v>bueno</v>
          </cell>
          <cell r="K4388" t="str">
            <v>probsi</v>
          </cell>
        </row>
        <row r="4389">
          <cell r="B4389" t="b">
            <v>1</v>
          </cell>
          <cell r="E4389" t="str">
            <v>Baru</v>
          </cell>
          <cell r="H4389" t="str">
            <v>consulta_externa</v>
          </cell>
          <cell r="J4389" t="str">
            <v>muybueno</v>
          </cell>
          <cell r="K4389" t="str">
            <v>defsi</v>
          </cell>
        </row>
        <row r="4390">
          <cell r="B4390" t="b">
            <v>1</v>
          </cell>
          <cell r="E4390" t="str">
            <v>Baru</v>
          </cell>
          <cell r="H4390" t="str">
            <v>salud_oral</v>
          </cell>
          <cell r="J4390" t="str">
            <v>muybueno</v>
          </cell>
          <cell r="K4390" t="str">
            <v>defsi</v>
          </cell>
        </row>
        <row r="4391">
          <cell r="B4391" t="b">
            <v>1</v>
          </cell>
          <cell r="E4391" t="str">
            <v>Bayunca</v>
          </cell>
          <cell r="H4391" t="str">
            <v>consulta_externa</v>
          </cell>
          <cell r="J4391" t="str">
            <v>bueno</v>
          </cell>
          <cell r="K4391" t="str">
            <v>defsi</v>
          </cell>
        </row>
        <row r="4392">
          <cell r="B4392" t="b">
            <v>1</v>
          </cell>
          <cell r="E4392" t="str">
            <v>Bayunca</v>
          </cell>
          <cell r="H4392" t="str">
            <v>salud_oral</v>
          </cell>
          <cell r="J4392" t="str">
            <v>bueno</v>
          </cell>
          <cell r="K4392" t="str">
            <v>defsi</v>
          </cell>
        </row>
        <row r="4393">
          <cell r="B4393" t="b">
            <v>1</v>
          </cell>
          <cell r="E4393" t="str">
            <v>Bayunca</v>
          </cell>
          <cell r="H4393" t="str">
            <v>laboratorio</v>
          </cell>
          <cell r="J4393" t="str">
            <v>bueno</v>
          </cell>
          <cell r="K4393" t="str">
            <v>defsi</v>
          </cell>
        </row>
        <row r="4394">
          <cell r="B4394" t="b">
            <v>1</v>
          </cell>
          <cell r="E4394" t="str">
            <v>Bayunca</v>
          </cell>
          <cell r="H4394" t="str">
            <v>urgencia</v>
          </cell>
          <cell r="J4394" t="str">
            <v>bueno</v>
          </cell>
          <cell r="K4394" t="str">
            <v>defsi</v>
          </cell>
        </row>
        <row r="4395">
          <cell r="B4395" t="b">
            <v>1</v>
          </cell>
          <cell r="E4395" t="str">
            <v>Bayunca</v>
          </cell>
          <cell r="H4395" t="str">
            <v>consulta_externa</v>
          </cell>
          <cell r="J4395" t="str">
            <v>bueno</v>
          </cell>
          <cell r="K4395" t="str">
            <v>defsi</v>
          </cell>
        </row>
        <row r="4396">
          <cell r="B4396" t="b">
            <v>1</v>
          </cell>
          <cell r="E4396" t="str">
            <v>Bayunca</v>
          </cell>
          <cell r="H4396" t="str">
            <v>salud_oral</v>
          </cell>
          <cell r="J4396" t="str">
            <v>bueno</v>
          </cell>
          <cell r="K4396" t="str">
            <v>defsi</v>
          </cell>
        </row>
        <row r="4397">
          <cell r="B4397" t="b">
            <v>1</v>
          </cell>
          <cell r="E4397" t="str">
            <v>Bayunca</v>
          </cell>
          <cell r="H4397" t="str">
            <v>laboratorio</v>
          </cell>
          <cell r="J4397" t="str">
            <v>bueno</v>
          </cell>
          <cell r="K4397" t="str">
            <v>defsi</v>
          </cell>
        </row>
        <row r="4398">
          <cell r="B4398" t="b">
            <v>1</v>
          </cell>
          <cell r="E4398" t="str">
            <v>Baru</v>
          </cell>
          <cell r="H4398" t="str">
            <v>consulta_externa</v>
          </cell>
          <cell r="J4398" t="str">
            <v>muybueno</v>
          </cell>
          <cell r="K4398" t="str">
            <v>defsi</v>
          </cell>
        </row>
        <row r="4399">
          <cell r="B4399" t="b">
            <v>1</v>
          </cell>
          <cell r="E4399" t="str">
            <v>Bayunca</v>
          </cell>
          <cell r="H4399" t="str">
            <v>urgencia</v>
          </cell>
          <cell r="J4399" t="str">
            <v>bueno</v>
          </cell>
          <cell r="K4399" t="str">
            <v>defsi</v>
          </cell>
        </row>
        <row r="4400">
          <cell r="B4400" t="b">
            <v>1</v>
          </cell>
          <cell r="E4400" t="str">
            <v>Baru</v>
          </cell>
          <cell r="H4400" t="str">
            <v>laboratorio</v>
          </cell>
          <cell r="J4400" t="str">
            <v>muybueno</v>
          </cell>
          <cell r="K4400" t="str">
            <v>defsi</v>
          </cell>
        </row>
        <row r="4401">
          <cell r="B4401" t="b">
            <v>1</v>
          </cell>
          <cell r="E4401" t="str">
            <v>Los Cerros</v>
          </cell>
          <cell r="H4401" t="str">
            <v>electros</v>
          </cell>
          <cell r="J4401" t="str">
            <v>bueno</v>
          </cell>
          <cell r="K4401" t="str">
            <v>probsi</v>
          </cell>
        </row>
        <row r="4402">
          <cell r="B4402" t="b">
            <v>1</v>
          </cell>
          <cell r="E4402" t="str">
            <v>Los Cerros</v>
          </cell>
          <cell r="H4402" t="str">
            <v>electros</v>
          </cell>
          <cell r="J4402" t="str">
            <v>bueno</v>
          </cell>
          <cell r="K4402" t="str">
            <v>probsi</v>
          </cell>
        </row>
        <row r="4403">
          <cell r="B4403" t="b">
            <v>1</v>
          </cell>
          <cell r="E4403" t="str">
            <v>Los Cerros</v>
          </cell>
          <cell r="H4403" t="str">
            <v>salud_oral</v>
          </cell>
          <cell r="J4403" t="str">
            <v>bueno</v>
          </cell>
          <cell r="K4403" t="str">
            <v>probsi</v>
          </cell>
        </row>
        <row r="4404">
          <cell r="B4404" t="b">
            <v>1</v>
          </cell>
          <cell r="E4404" t="str">
            <v>Los Cerros</v>
          </cell>
          <cell r="H4404" t="str">
            <v>pediatria</v>
          </cell>
          <cell r="J4404" t="str">
            <v>bueno</v>
          </cell>
          <cell r="K4404" t="str">
            <v>probsi</v>
          </cell>
        </row>
        <row r="4405">
          <cell r="B4405" t="b">
            <v>1</v>
          </cell>
          <cell r="E4405" t="str">
            <v>Los Cerros</v>
          </cell>
          <cell r="H4405" t="str">
            <v>pediatria</v>
          </cell>
          <cell r="J4405" t="str">
            <v>bueno</v>
          </cell>
          <cell r="K4405" t="str">
            <v>probsi</v>
          </cell>
        </row>
        <row r="4406">
          <cell r="B4406" t="b">
            <v>1</v>
          </cell>
          <cell r="E4406" t="str">
            <v>Los Cerros</v>
          </cell>
          <cell r="H4406" t="str">
            <v>ecografias</v>
          </cell>
          <cell r="J4406" t="str">
            <v>muybueno</v>
          </cell>
          <cell r="K4406" t="str">
            <v>probsi</v>
          </cell>
        </row>
        <row r="4407">
          <cell r="B4407" t="b">
            <v>1</v>
          </cell>
          <cell r="E4407" t="str">
            <v>Baru</v>
          </cell>
          <cell r="H4407" t="str">
            <v>consulta_externa</v>
          </cell>
          <cell r="J4407" t="str">
            <v>muybueno</v>
          </cell>
          <cell r="K4407" t="str">
            <v>defsi</v>
          </cell>
        </row>
        <row r="4408">
          <cell r="B4408" t="b">
            <v>1</v>
          </cell>
          <cell r="E4408" t="str">
            <v>Baru</v>
          </cell>
          <cell r="H4408" t="str">
            <v>laboratorio</v>
          </cell>
          <cell r="J4408" t="str">
            <v>muybueno</v>
          </cell>
          <cell r="K4408" t="str">
            <v>defsi</v>
          </cell>
        </row>
        <row r="4409">
          <cell r="B4409" t="b">
            <v>1</v>
          </cell>
          <cell r="E4409" t="str">
            <v>Baru</v>
          </cell>
          <cell r="H4409" t="str">
            <v>consulta_externa</v>
          </cell>
          <cell r="J4409" t="str">
            <v>muybueno</v>
          </cell>
          <cell r="K4409" t="str">
            <v>defsi</v>
          </cell>
        </row>
        <row r="4410">
          <cell r="B4410" t="b">
            <v>1</v>
          </cell>
          <cell r="E4410" t="str">
            <v>Los Cerros</v>
          </cell>
          <cell r="H4410" t="str">
            <v>ecografias</v>
          </cell>
          <cell r="J4410" t="str">
            <v>bueno</v>
          </cell>
          <cell r="K4410" t="str">
            <v>probsi</v>
          </cell>
        </row>
        <row r="4411">
          <cell r="B4411" t="b">
            <v>1</v>
          </cell>
          <cell r="E4411" t="str">
            <v>Los Cerros</v>
          </cell>
          <cell r="H4411" t="str">
            <v>ginecologia</v>
          </cell>
          <cell r="J4411" t="str">
            <v>bueno</v>
          </cell>
          <cell r="K4411" t="str">
            <v>probsi</v>
          </cell>
        </row>
        <row r="4412">
          <cell r="B4412" t="b">
            <v>1</v>
          </cell>
          <cell r="E4412" t="str">
            <v>Los Cerros</v>
          </cell>
          <cell r="H4412" t="str">
            <v>salud_oral</v>
          </cell>
          <cell r="J4412" t="str">
            <v>bueno</v>
          </cell>
          <cell r="K4412" t="str">
            <v>probsi</v>
          </cell>
        </row>
        <row r="4413">
          <cell r="B4413" t="b">
            <v>1</v>
          </cell>
          <cell r="E4413" t="str">
            <v>Los Cerros</v>
          </cell>
          <cell r="H4413" t="str">
            <v>pediatria</v>
          </cell>
          <cell r="J4413" t="str">
            <v>bueno</v>
          </cell>
          <cell r="K4413" t="str">
            <v>probsi</v>
          </cell>
        </row>
        <row r="4414">
          <cell r="B4414" t="b">
            <v>1</v>
          </cell>
          <cell r="E4414" t="str">
            <v>Baru</v>
          </cell>
          <cell r="H4414" t="str">
            <v>consulta_externa</v>
          </cell>
          <cell r="J4414" t="str">
            <v>muybueno</v>
          </cell>
          <cell r="K4414" t="str">
            <v>defsi</v>
          </cell>
        </row>
        <row r="4415">
          <cell r="B4415" t="b">
            <v>1</v>
          </cell>
          <cell r="E4415" t="str">
            <v>Baru</v>
          </cell>
          <cell r="H4415" t="str">
            <v>laboratorio</v>
          </cell>
          <cell r="J4415" t="str">
            <v>muybueno</v>
          </cell>
          <cell r="K4415" t="str">
            <v>defsi</v>
          </cell>
        </row>
        <row r="4416">
          <cell r="B4416" t="b">
            <v>1</v>
          </cell>
          <cell r="E4416" t="str">
            <v>Los Cerros</v>
          </cell>
          <cell r="H4416" t="str">
            <v>ecografias</v>
          </cell>
          <cell r="J4416" t="str">
            <v>bueno</v>
          </cell>
          <cell r="K4416" t="str">
            <v>probsi</v>
          </cell>
        </row>
        <row r="4417">
          <cell r="B4417" t="b">
            <v>1</v>
          </cell>
          <cell r="E4417" t="str">
            <v>Baru</v>
          </cell>
          <cell r="H4417" t="str">
            <v>consulta_externa</v>
          </cell>
          <cell r="J4417" t="str">
            <v>muybueno</v>
          </cell>
          <cell r="K4417" t="str">
            <v>defsi</v>
          </cell>
        </row>
        <row r="4418">
          <cell r="B4418" t="b">
            <v>1</v>
          </cell>
          <cell r="E4418" t="str">
            <v>Baru</v>
          </cell>
          <cell r="H4418" t="str">
            <v>salud_oral</v>
          </cell>
          <cell r="J4418" t="str">
            <v>muybueno</v>
          </cell>
          <cell r="K4418" t="str">
            <v>defsi</v>
          </cell>
        </row>
        <row r="4419">
          <cell r="B4419" t="b">
            <v>1</v>
          </cell>
          <cell r="E4419" t="str">
            <v>Los Cerros</v>
          </cell>
          <cell r="H4419" t="str">
            <v>laboratorio</v>
          </cell>
          <cell r="J4419" t="str">
            <v>bueno</v>
          </cell>
          <cell r="K4419" t="str">
            <v>probsi</v>
          </cell>
        </row>
        <row r="4420">
          <cell r="B4420" t="b">
            <v>1</v>
          </cell>
          <cell r="E4420" t="str">
            <v>Los Cerros</v>
          </cell>
          <cell r="H4420" t="str">
            <v>ecografias</v>
          </cell>
          <cell r="J4420" t="str">
            <v>bueno</v>
          </cell>
          <cell r="K4420" t="str">
            <v>probsi</v>
          </cell>
        </row>
        <row r="4421">
          <cell r="B4421" t="b">
            <v>1</v>
          </cell>
          <cell r="E4421" t="str">
            <v>Los Cerros</v>
          </cell>
          <cell r="H4421" t="str">
            <v>ecografias</v>
          </cell>
          <cell r="J4421" t="str">
            <v>bueno</v>
          </cell>
          <cell r="K4421" t="str">
            <v>probsi</v>
          </cell>
        </row>
        <row r="4422">
          <cell r="B4422" t="b">
            <v>1</v>
          </cell>
          <cell r="E4422" t="str">
            <v>Baru</v>
          </cell>
          <cell r="H4422" t="str">
            <v>consulta_externa</v>
          </cell>
          <cell r="J4422" t="str">
            <v>muybueno</v>
          </cell>
          <cell r="K4422" t="str">
            <v>defsi</v>
          </cell>
        </row>
        <row r="4423">
          <cell r="B4423" t="b">
            <v>1</v>
          </cell>
          <cell r="E4423" t="str">
            <v>Baru</v>
          </cell>
          <cell r="H4423" t="str">
            <v>laboratorio</v>
          </cell>
          <cell r="J4423" t="str">
            <v>muybueno</v>
          </cell>
          <cell r="K4423" t="str">
            <v>defsi</v>
          </cell>
        </row>
        <row r="4424">
          <cell r="B4424" t="b">
            <v>1</v>
          </cell>
          <cell r="E4424" t="str">
            <v>Los Cerros</v>
          </cell>
          <cell r="H4424" t="str">
            <v>medicina_interna</v>
          </cell>
          <cell r="J4424" t="str">
            <v>bueno</v>
          </cell>
          <cell r="K4424" t="str">
            <v>probsi</v>
          </cell>
        </row>
        <row r="4425">
          <cell r="B4425" t="b">
            <v>1</v>
          </cell>
          <cell r="E4425" t="str">
            <v>Los Cerros</v>
          </cell>
          <cell r="H4425" t="str">
            <v>pediatria</v>
          </cell>
          <cell r="J4425" t="str">
            <v>bueno</v>
          </cell>
          <cell r="K4425" t="str">
            <v>probsi</v>
          </cell>
        </row>
        <row r="4426">
          <cell r="B4426" t="b">
            <v>1</v>
          </cell>
          <cell r="E4426" t="str">
            <v>Baru</v>
          </cell>
          <cell r="H4426" t="str">
            <v>consulta_externa</v>
          </cell>
          <cell r="J4426" t="str">
            <v>muybueno</v>
          </cell>
          <cell r="K4426" t="str">
            <v>defsi</v>
          </cell>
        </row>
        <row r="4427">
          <cell r="B4427" t="b">
            <v>1</v>
          </cell>
          <cell r="E4427" t="str">
            <v>Baru</v>
          </cell>
          <cell r="H4427" t="str">
            <v>salud_oral</v>
          </cell>
          <cell r="J4427" t="str">
            <v>muybueno</v>
          </cell>
          <cell r="K4427" t="str">
            <v>defsi</v>
          </cell>
        </row>
        <row r="4428">
          <cell r="B4428" t="b">
            <v>1</v>
          </cell>
          <cell r="E4428" t="str">
            <v>Baru</v>
          </cell>
          <cell r="H4428" t="str">
            <v>consulta_externa</v>
          </cell>
          <cell r="J4428" t="str">
            <v>muybueno</v>
          </cell>
          <cell r="K4428" t="str">
            <v>defsi</v>
          </cell>
        </row>
        <row r="4429">
          <cell r="B4429" t="b">
            <v>1</v>
          </cell>
          <cell r="E4429" t="str">
            <v>Canapote</v>
          </cell>
          <cell r="H4429" t="str">
            <v>consulta_externa</v>
          </cell>
          <cell r="J4429" t="str">
            <v>bueno</v>
          </cell>
          <cell r="K4429" t="str">
            <v>defsi</v>
          </cell>
        </row>
        <row r="4430">
          <cell r="B4430" t="b">
            <v>1</v>
          </cell>
          <cell r="E4430" t="str">
            <v>Canapote</v>
          </cell>
          <cell r="H4430" t="str">
            <v>laboratorio</v>
          </cell>
          <cell r="J4430" t="str">
            <v>bueno</v>
          </cell>
          <cell r="K4430" t="str">
            <v>defsi</v>
          </cell>
        </row>
        <row r="4431">
          <cell r="B4431" t="b">
            <v>1</v>
          </cell>
          <cell r="E4431" t="str">
            <v>Baru</v>
          </cell>
          <cell r="H4431" t="str">
            <v>consulta_externa</v>
          </cell>
          <cell r="J4431" t="str">
            <v>muybueno</v>
          </cell>
          <cell r="K4431" t="str">
            <v>defsi</v>
          </cell>
        </row>
        <row r="4432">
          <cell r="B4432" t="b">
            <v>1</v>
          </cell>
          <cell r="E4432" t="str">
            <v>Canapote</v>
          </cell>
          <cell r="H4432" t="str">
            <v>consulta_externa</v>
          </cell>
          <cell r="J4432" t="str">
            <v>bueno</v>
          </cell>
          <cell r="K4432" t="str">
            <v>defsi</v>
          </cell>
        </row>
        <row r="4433">
          <cell r="B4433" t="b">
            <v>1</v>
          </cell>
          <cell r="E4433" t="str">
            <v>Canapote</v>
          </cell>
          <cell r="H4433" t="str">
            <v>laboratorio</v>
          </cell>
          <cell r="J4433" t="str">
            <v>bueno</v>
          </cell>
          <cell r="K4433" t="str">
            <v>defsi</v>
          </cell>
        </row>
        <row r="4434">
          <cell r="B4434" t="b">
            <v>1</v>
          </cell>
          <cell r="E4434" t="str">
            <v>Baru</v>
          </cell>
          <cell r="H4434" t="str">
            <v>laboratorio</v>
          </cell>
          <cell r="J4434" t="str">
            <v>muybueno</v>
          </cell>
          <cell r="K4434" t="str">
            <v>defsi</v>
          </cell>
        </row>
        <row r="4435">
          <cell r="B4435" t="b">
            <v>1</v>
          </cell>
          <cell r="E4435" t="str">
            <v>Canapote</v>
          </cell>
          <cell r="H4435" t="str">
            <v>laboratorio</v>
          </cell>
          <cell r="J4435" t="str">
            <v>bueno</v>
          </cell>
          <cell r="K4435" t="str">
            <v>defsi</v>
          </cell>
        </row>
        <row r="4436">
          <cell r="B4436" t="b">
            <v>1</v>
          </cell>
          <cell r="E4436" t="str">
            <v>Canapote</v>
          </cell>
          <cell r="H4436" t="str">
            <v>consulta_externa</v>
          </cell>
          <cell r="J4436" t="str">
            <v>bueno</v>
          </cell>
          <cell r="K4436" t="str">
            <v>defsi</v>
          </cell>
        </row>
        <row r="4437">
          <cell r="B4437" t="b">
            <v>1</v>
          </cell>
          <cell r="E4437" t="str">
            <v>Canapote</v>
          </cell>
          <cell r="H4437" t="str">
            <v>consulta_externa</v>
          </cell>
          <cell r="J4437" t="str">
            <v>bueno</v>
          </cell>
          <cell r="K4437" t="str">
            <v>defsi</v>
          </cell>
        </row>
        <row r="4438">
          <cell r="B4438" t="b">
            <v>1</v>
          </cell>
          <cell r="E4438" t="str">
            <v>Canapote</v>
          </cell>
          <cell r="H4438" t="str">
            <v>salud_oral</v>
          </cell>
          <cell r="J4438" t="str">
            <v>bueno</v>
          </cell>
          <cell r="K4438" t="str">
            <v>defsi</v>
          </cell>
        </row>
        <row r="4439">
          <cell r="B4439" t="b">
            <v>1</v>
          </cell>
          <cell r="E4439" t="str">
            <v>Canapote</v>
          </cell>
          <cell r="H4439" t="str">
            <v>consulta_externa</v>
          </cell>
          <cell r="J4439" t="str">
            <v>bueno</v>
          </cell>
          <cell r="K4439" t="str">
            <v>defsi</v>
          </cell>
        </row>
        <row r="4440">
          <cell r="B4440" t="b">
            <v>1</v>
          </cell>
          <cell r="E4440" t="str">
            <v>Canapote</v>
          </cell>
          <cell r="H4440" t="str">
            <v>laboratorio</v>
          </cell>
          <cell r="J4440" t="str">
            <v>bueno</v>
          </cell>
          <cell r="K4440" t="str">
            <v>defsi</v>
          </cell>
        </row>
        <row r="4441">
          <cell r="B4441" t="b">
            <v>1</v>
          </cell>
          <cell r="E4441" t="str">
            <v>Canapote</v>
          </cell>
          <cell r="H4441" t="str">
            <v>salud_oral</v>
          </cell>
          <cell r="J4441" t="str">
            <v>bueno</v>
          </cell>
          <cell r="K4441" t="str">
            <v>defsi</v>
          </cell>
        </row>
        <row r="4442">
          <cell r="B4442" t="b">
            <v>1</v>
          </cell>
          <cell r="E4442" t="str">
            <v>Canapote</v>
          </cell>
          <cell r="H4442" t="str">
            <v>salud_oral</v>
          </cell>
          <cell r="J4442" t="str">
            <v>bueno</v>
          </cell>
          <cell r="K4442" t="str">
            <v>defsi</v>
          </cell>
        </row>
        <row r="4443">
          <cell r="B4443" t="b">
            <v>1</v>
          </cell>
          <cell r="E4443" t="str">
            <v>Canapote</v>
          </cell>
          <cell r="H4443" t="str">
            <v>salud_oral</v>
          </cell>
          <cell r="J4443" t="str">
            <v>bueno</v>
          </cell>
          <cell r="K4443" t="str">
            <v>probsi</v>
          </cell>
        </row>
        <row r="4444">
          <cell r="B4444" t="b">
            <v>1</v>
          </cell>
          <cell r="E4444" t="str">
            <v>Canapote</v>
          </cell>
          <cell r="H4444" t="str">
            <v>consulta_externa</v>
          </cell>
          <cell r="J4444" t="str">
            <v>bueno</v>
          </cell>
          <cell r="K4444" t="str">
            <v>probsi</v>
          </cell>
        </row>
        <row r="4445">
          <cell r="B4445" t="b">
            <v>1</v>
          </cell>
          <cell r="E4445" t="str">
            <v>Nuevo Bosque</v>
          </cell>
          <cell r="H4445" t="str">
            <v>consulta_externa</v>
          </cell>
          <cell r="J4445" t="str">
            <v>bueno</v>
          </cell>
          <cell r="K4445" t="str">
            <v>probsi</v>
          </cell>
        </row>
        <row r="4446">
          <cell r="B4446" t="b">
            <v>1</v>
          </cell>
          <cell r="E4446" t="str">
            <v>Nuevo Bosque</v>
          </cell>
          <cell r="H4446" t="str">
            <v>consulta_externa</v>
          </cell>
          <cell r="J4446" t="str">
            <v>bueno</v>
          </cell>
          <cell r="K4446" t="str">
            <v>probsi</v>
          </cell>
        </row>
        <row r="4447">
          <cell r="B4447" t="b">
            <v>1</v>
          </cell>
          <cell r="E4447" t="str">
            <v>Canapote</v>
          </cell>
          <cell r="H4447" t="str">
            <v>consulta_externa</v>
          </cell>
          <cell r="J4447" t="str">
            <v>bueno</v>
          </cell>
          <cell r="K4447" t="str">
            <v>probsi</v>
          </cell>
        </row>
        <row r="4448">
          <cell r="B4448" t="b">
            <v>1</v>
          </cell>
          <cell r="E4448" t="str">
            <v>Nuevo Bosque</v>
          </cell>
          <cell r="H4448" t="str">
            <v>consulta_externa</v>
          </cell>
          <cell r="J4448" t="str">
            <v>bueno</v>
          </cell>
          <cell r="K4448" t="str">
            <v>probsi</v>
          </cell>
        </row>
        <row r="4449">
          <cell r="B4449" t="b">
            <v>1</v>
          </cell>
          <cell r="E4449" t="str">
            <v>Nuevo Bosque</v>
          </cell>
          <cell r="H4449" t="str">
            <v>salud_oral</v>
          </cell>
          <cell r="J4449" t="str">
            <v>bueno</v>
          </cell>
          <cell r="K4449" t="str">
            <v>probsi</v>
          </cell>
        </row>
        <row r="4450">
          <cell r="B4450" t="b">
            <v>1</v>
          </cell>
          <cell r="E4450" t="str">
            <v>Canapote</v>
          </cell>
          <cell r="H4450" t="str">
            <v>consulta_externa</v>
          </cell>
          <cell r="J4450" t="str">
            <v>bueno</v>
          </cell>
          <cell r="K4450" t="str">
            <v>defsi</v>
          </cell>
        </row>
        <row r="4451">
          <cell r="B4451" t="b">
            <v>1</v>
          </cell>
          <cell r="E4451" t="str">
            <v>Nuevo Bosque</v>
          </cell>
          <cell r="H4451" t="str">
            <v>laboratorio</v>
          </cell>
          <cell r="J4451" t="str">
            <v>bueno</v>
          </cell>
          <cell r="K4451" t="str">
            <v>probsi</v>
          </cell>
        </row>
        <row r="4452">
          <cell r="B4452" t="b">
            <v>1</v>
          </cell>
          <cell r="E4452" t="str">
            <v>Baru</v>
          </cell>
          <cell r="H4452" t="str">
            <v>consulta_externa</v>
          </cell>
          <cell r="J4452" t="str">
            <v>muybueno</v>
          </cell>
          <cell r="K4452" t="str">
            <v>defsi</v>
          </cell>
        </row>
        <row r="4453">
          <cell r="B4453" t="b">
            <v>0</v>
          </cell>
          <cell r="E4453" t="str">
            <v>Canapote</v>
          </cell>
          <cell r="H4453" t="str">
            <v>salud_oral</v>
          </cell>
          <cell r="J4453" t="str">
            <v>regular</v>
          </cell>
          <cell r="K4453" t="str">
            <v>probsi</v>
          </cell>
        </row>
        <row r="4454">
          <cell r="B4454" t="b">
            <v>1</v>
          </cell>
          <cell r="E4454" t="str">
            <v>Baru</v>
          </cell>
          <cell r="H4454" t="str">
            <v>salud_oral</v>
          </cell>
          <cell r="J4454" t="str">
            <v>muybueno</v>
          </cell>
          <cell r="K4454" t="str">
            <v>defsi</v>
          </cell>
        </row>
        <row r="4455">
          <cell r="B4455" t="b">
            <v>1</v>
          </cell>
          <cell r="E4455" t="str">
            <v>Nuevo Bosque</v>
          </cell>
          <cell r="H4455" t="str">
            <v>consulta_externa</v>
          </cell>
          <cell r="J4455" t="str">
            <v>bueno</v>
          </cell>
          <cell r="K4455" t="str">
            <v>probsi</v>
          </cell>
        </row>
        <row r="4456">
          <cell r="B4456" t="b">
            <v>1</v>
          </cell>
          <cell r="E4456" t="str">
            <v>Canapote</v>
          </cell>
          <cell r="H4456" t="str">
            <v>consulta_externa</v>
          </cell>
          <cell r="J4456" t="str">
            <v>bueno</v>
          </cell>
          <cell r="K4456" t="str">
            <v>defsi</v>
          </cell>
        </row>
        <row r="4457">
          <cell r="B4457" t="b">
            <v>1</v>
          </cell>
          <cell r="E4457" t="str">
            <v>Nuevo Bosque</v>
          </cell>
          <cell r="H4457" t="str">
            <v>salud_oral</v>
          </cell>
          <cell r="J4457" t="str">
            <v>bueno</v>
          </cell>
          <cell r="K4457" t="str">
            <v>probsi</v>
          </cell>
        </row>
        <row r="4458">
          <cell r="B4458" t="b">
            <v>1</v>
          </cell>
          <cell r="E4458" t="str">
            <v>Nuevo Bosque</v>
          </cell>
          <cell r="H4458" t="str">
            <v>laboratorio</v>
          </cell>
          <cell r="J4458" t="str">
            <v>bueno</v>
          </cell>
          <cell r="K4458" t="str">
            <v>probsi</v>
          </cell>
        </row>
        <row r="4459">
          <cell r="B4459" t="b">
            <v>1</v>
          </cell>
          <cell r="E4459" t="str">
            <v>Baru</v>
          </cell>
          <cell r="H4459" t="str">
            <v>consulta_externa</v>
          </cell>
          <cell r="J4459" t="str">
            <v>muybueno</v>
          </cell>
          <cell r="K4459" t="str">
            <v>defsi</v>
          </cell>
        </row>
        <row r="4460">
          <cell r="B4460" t="b">
            <v>1</v>
          </cell>
          <cell r="E4460" t="str">
            <v>Canapote</v>
          </cell>
          <cell r="H4460" t="str">
            <v>consulta_externa</v>
          </cell>
          <cell r="J4460" t="str">
            <v>bueno</v>
          </cell>
          <cell r="K4460" t="str">
            <v>defsi</v>
          </cell>
        </row>
        <row r="4461">
          <cell r="B4461" t="b">
            <v>1</v>
          </cell>
          <cell r="E4461" t="str">
            <v>Baru</v>
          </cell>
          <cell r="H4461" t="str">
            <v>salud_oral</v>
          </cell>
          <cell r="J4461" t="str">
            <v>muybueno</v>
          </cell>
          <cell r="K4461" t="str">
            <v>defsi</v>
          </cell>
        </row>
        <row r="4462">
          <cell r="B4462" t="b">
            <v>1</v>
          </cell>
          <cell r="E4462" t="str">
            <v>Canapote</v>
          </cell>
          <cell r="H4462" t="str">
            <v>laboratorio</v>
          </cell>
          <cell r="J4462" t="str">
            <v>bueno</v>
          </cell>
          <cell r="K4462" t="str">
            <v>defsi</v>
          </cell>
        </row>
        <row r="4463">
          <cell r="B4463" t="b">
            <v>1</v>
          </cell>
          <cell r="E4463" t="str">
            <v>Canapote</v>
          </cell>
          <cell r="H4463" t="str">
            <v>consulta_externa</v>
          </cell>
          <cell r="J4463" t="str">
            <v>bueno</v>
          </cell>
          <cell r="K4463" t="str">
            <v>defsi</v>
          </cell>
        </row>
        <row r="4464">
          <cell r="B4464" t="b">
            <v>1</v>
          </cell>
          <cell r="E4464" t="str">
            <v>Nuevo Bosque</v>
          </cell>
          <cell r="H4464" t="str">
            <v>consulta_externa</v>
          </cell>
          <cell r="J4464" t="str">
            <v>bueno</v>
          </cell>
          <cell r="K4464" t="str">
            <v>probsi</v>
          </cell>
        </row>
        <row r="4465">
          <cell r="B4465" t="b">
            <v>1</v>
          </cell>
          <cell r="E4465" t="str">
            <v>Canapote</v>
          </cell>
          <cell r="H4465" t="str">
            <v>laboratorio</v>
          </cell>
          <cell r="J4465" t="str">
            <v>bueno</v>
          </cell>
          <cell r="K4465" t="str">
            <v>defsi</v>
          </cell>
        </row>
        <row r="4466">
          <cell r="B4466" t="b">
            <v>0</v>
          </cell>
          <cell r="E4466" t="str">
            <v>Nuevo Bosque</v>
          </cell>
          <cell r="H4466" t="str">
            <v>consulta_externa</v>
          </cell>
          <cell r="J4466" t="str">
            <v>regular</v>
          </cell>
          <cell r="K4466" t="str">
            <v>probsi</v>
          </cell>
        </row>
        <row r="4467">
          <cell r="B4467" t="b">
            <v>0</v>
          </cell>
          <cell r="E4467" t="str">
            <v>Nuevo Bosque</v>
          </cell>
          <cell r="H4467" t="str">
            <v>laboratorio</v>
          </cell>
          <cell r="J4467" t="str">
            <v>regular</v>
          </cell>
          <cell r="K4467" t="str">
            <v>probsi</v>
          </cell>
        </row>
        <row r="4468">
          <cell r="B4468" t="b">
            <v>1</v>
          </cell>
          <cell r="E4468" t="str">
            <v>Canapote</v>
          </cell>
          <cell r="H4468" t="str">
            <v>salud_oral</v>
          </cell>
          <cell r="J4468" t="str">
            <v>bueno</v>
          </cell>
          <cell r="K4468" t="str">
            <v>defsi</v>
          </cell>
        </row>
        <row r="4469">
          <cell r="B4469" t="b">
            <v>1</v>
          </cell>
          <cell r="E4469" t="str">
            <v>Nuevo Bosque</v>
          </cell>
          <cell r="H4469" t="str">
            <v>consulta_externa</v>
          </cell>
          <cell r="J4469" t="str">
            <v>bueno</v>
          </cell>
          <cell r="K4469" t="str">
            <v>probsi</v>
          </cell>
        </row>
        <row r="4470">
          <cell r="B4470" t="b">
            <v>1</v>
          </cell>
          <cell r="E4470" t="str">
            <v>Canapote</v>
          </cell>
          <cell r="H4470" t="str">
            <v>salud_oral</v>
          </cell>
          <cell r="J4470" t="str">
            <v>bueno</v>
          </cell>
          <cell r="K4470" t="str">
            <v>defsi</v>
          </cell>
        </row>
        <row r="4471">
          <cell r="B4471" t="b">
            <v>1</v>
          </cell>
          <cell r="E4471" t="str">
            <v>Canapote</v>
          </cell>
          <cell r="H4471" t="str">
            <v>consulta_externa</v>
          </cell>
          <cell r="J4471" t="str">
            <v>bueno</v>
          </cell>
          <cell r="K4471" t="str">
            <v>defsi</v>
          </cell>
        </row>
        <row r="4472">
          <cell r="B4472" t="b">
            <v>1</v>
          </cell>
          <cell r="E4472" t="str">
            <v>Nuevo Bosque</v>
          </cell>
          <cell r="H4472" t="str">
            <v>consulta_externa</v>
          </cell>
          <cell r="J4472" t="str">
            <v>bueno</v>
          </cell>
          <cell r="K4472" t="str">
            <v>probsi</v>
          </cell>
        </row>
        <row r="4473">
          <cell r="B4473" t="b">
            <v>1</v>
          </cell>
          <cell r="E4473" t="str">
            <v>Nuevo Bosque</v>
          </cell>
          <cell r="H4473" t="str">
            <v>laboratorio</v>
          </cell>
          <cell r="J4473" t="str">
            <v>bueno</v>
          </cell>
          <cell r="K4473" t="str">
            <v>probsi</v>
          </cell>
        </row>
        <row r="4474">
          <cell r="B4474" t="b">
            <v>1</v>
          </cell>
          <cell r="E4474" t="str">
            <v>Canapote</v>
          </cell>
          <cell r="H4474" t="str">
            <v>salud_oral</v>
          </cell>
          <cell r="J4474" t="str">
            <v>bueno</v>
          </cell>
          <cell r="K4474" t="str">
            <v>defsi</v>
          </cell>
        </row>
        <row r="4475">
          <cell r="B4475" t="b">
            <v>1</v>
          </cell>
          <cell r="E4475" t="str">
            <v>Nuevo Bosque</v>
          </cell>
          <cell r="H4475" t="str">
            <v>consulta_externa</v>
          </cell>
          <cell r="J4475" t="str">
            <v>bueno</v>
          </cell>
          <cell r="K4475" t="str">
            <v>probsi</v>
          </cell>
        </row>
        <row r="4476">
          <cell r="B4476" t="b">
            <v>1</v>
          </cell>
          <cell r="E4476" t="str">
            <v>Baru</v>
          </cell>
          <cell r="H4476" t="str">
            <v>consulta_externa</v>
          </cell>
          <cell r="J4476" t="str">
            <v>muybueno</v>
          </cell>
          <cell r="K4476" t="str">
            <v>defsi</v>
          </cell>
        </row>
        <row r="4477">
          <cell r="B4477" t="b">
            <v>1</v>
          </cell>
          <cell r="E4477" t="str">
            <v>Nuevo Bosque</v>
          </cell>
          <cell r="H4477" t="str">
            <v>salud_oral</v>
          </cell>
          <cell r="J4477" t="str">
            <v>bueno</v>
          </cell>
          <cell r="K4477" t="str">
            <v>probsi</v>
          </cell>
        </row>
        <row r="4478">
          <cell r="B4478" t="b">
            <v>1</v>
          </cell>
          <cell r="E4478" t="str">
            <v>Canapote</v>
          </cell>
          <cell r="H4478" t="str">
            <v>salud_oral</v>
          </cell>
          <cell r="J4478" t="str">
            <v>bueno</v>
          </cell>
          <cell r="K4478" t="str">
            <v>defsi</v>
          </cell>
        </row>
        <row r="4479">
          <cell r="B4479" t="b">
            <v>1</v>
          </cell>
          <cell r="E4479" t="str">
            <v>Canapote</v>
          </cell>
          <cell r="H4479" t="str">
            <v>consulta_externa</v>
          </cell>
          <cell r="J4479" t="str">
            <v>bueno</v>
          </cell>
          <cell r="K4479" t="str">
            <v>defsi</v>
          </cell>
        </row>
        <row r="4480">
          <cell r="B4480" t="b">
            <v>1</v>
          </cell>
          <cell r="E4480" t="str">
            <v>Canapote</v>
          </cell>
          <cell r="H4480" t="str">
            <v>laboratorio</v>
          </cell>
          <cell r="J4480" t="str">
            <v>bueno</v>
          </cell>
          <cell r="K4480" t="str">
            <v>defsi</v>
          </cell>
        </row>
        <row r="4481">
          <cell r="B4481" t="b">
            <v>0</v>
          </cell>
          <cell r="E4481" t="str">
            <v>Canapote</v>
          </cell>
          <cell r="H4481" t="str">
            <v>consulta_externa</v>
          </cell>
          <cell r="J4481" t="str">
            <v>regular</v>
          </cell>
          <cell r="K4481" t="str">
            <v>defsi</v>
          </cell>
        </row>
        <row r="4482">
          <cell r="B4482" t="b">
            <v>0</v>
          </cell>
          <cell r="E4482" t="str">
            <v>Canapote</v>
          </cell>
          <cell r="H4482" t="str">
            <v>laboratorio</v>
          </cell>
          <cell r="J4482" t="str">
            <v>regular</v>
          </cell>
          <cell r="K4482" t="str">
            <v>defsi</v>
          </cell>
        </row>
        <row r="4483">
          <cell r="B4483" t="b">
            <v>0</v>
          </cell>
          <cell r="E4483" t="str">
            <v>Canapote</v>
          </cell>
          <cell r="H4483" t="str">
            <v>laboratorio</v>
          </cell>
          <cell r="J4483" t="str">
            <v>regular</v>
          </cell>
          <cell r="K4483" t="str">
            <v>defsi</v>
          </cell>
        </row>
        <row r="4484">
          <cell r="B4484" t="b">
            <v>1</v>
          </cell>
          <cell r="E4484" t="str">
            <v>Baru</v>
          </cell>
          <cell r="H4484" t="str">
            <v>consulta_externa</v>
          </cell>
          <cell r="J4484" t="str">
            <v>muybueno</v>
          </cell>
          <cell r="K4484" t="str">
            <v>defsi</v>
          </cell>
        </row>
        <row r="4485">
          <cell r="B4485" t="b">
            <v>1</v>
          </cell>
          <cell r="E4485" t="str">
            <v>Baru</v>
          </cell>
          <cell r="H4485" t="str">
            <v>laboratorio</v>
          </cell>
          <cell r="J4485" t="str">
            <v>muybueno</v>
          </cell>
          <cell r="K4485" t="str">
            <v>defsi</v>
          </cell>
        </row>
        <row r="4486">
          <cell r="B4486" t="b">
            <v>1</v>
          </cell>
          <cell r="E4486" t="str">
            <v>Canapote</v>
          </cell>
          <cell r="H4486" t="str">
            <v>salud_oral</v>
          </cell>
          <cell r="J4486" t="str">
            <v>bueno</v>
          </cell>
          <cell r="K4486" t="str">
            <v>defsi</v>
          </cell>
        </row>
        <row r="4487">
          <cell r="B4487" t="b">
            <v>1</v>
          </cell>
          <cell r="E4487" t="str">
            <v>Nuevo Bosque</v>
          </cell>
          <cell r="H4487" t="str">
            <v>consulta_externa</v>
          </cell>
          <cell r="J4487" t="str">
            <v>bueno</v>
          </cell>
          <cell r="K4487" t="str">
            <v>probsi</v>
          </cell>
        </row>
        <row r="4488">
          <cell r="B4488" t="b">
            <v>1</v>
          </cell>
          <cell r="E4488" t="str">
            <v>Canapote</v>
          </cell>
          <cell r="H4488" t="str">
            <v>salud_oral</v>
          </cell>
          <cell r="J4488" t="str">
            <v>bueno</v>
          </cell>
          <cell r="K4488" t="str">
            <v>defsi</v>
          </cell>
        </row>
        <row r="4489">
          <cell r="B4489" t="b">
            <v>1</v>
          </cell>
          <cell r="E4489" t="str">
            <v>Baru</v>
          </cell>
          <cell r="H4489" t="str">
            <v>consulta_externa</v>
          </cell>
          <cell r="J4489" t="str">
            <v>muybueno</v>
          </cell>
          <cell r="K4489" t="str">
            <v>defsi</v>
          </cell>
        </row>
        <row r="4490">
          <cell r="B4490" t="b">
            <v>1</v>
          </cell>
          <cell r="E4490" t="str">
            <v>Baru</v>
          </cell>
          <cell r="H4490" t="str">
            <v>laboratorio</v>
          </cell>
          <cell r="J4490" t="str">
            <v>muybueno</v>
          </cell>
          <cell r="K4490" t="str">
            <v>defsi</v>
          </cell>
        </row>
        <row r="4491">
          <cell r="B4491" t="b">
            <v>1</v>
          </cell>
          <cell r="E4491" t="str">
            <v>Canapote</v>
          </cell>
          <cell r="H4491" t="str">
            <v>salud_oral</v>
          </cell>
          <cell r="J4491" t="str">
            <v>bueno</v>
          </cell>
          <cell r="K4491" t="str">
            <v>defsi</v>
          </cell>
        </row>
        <row r="4492">
          <cell r="B4492" t="b">
            <v>1</v>
          </cell>
          <cell r="E4492" t="str">
            <v>Canapote</v>
          </cell>
          <cell r="H4492" t="str">
            <v>consulta_externa</v>
          </cell>
          <cell r="J4492" t="str">
            <v>bueno</v>
          </cell>
          <cell r="K4492" t="str">
            <v>defsi</v>
          </cell>
        </row>
        <row r="4493">
          <cell r="B4493" t="b">
            <v>1</v>
          </cell>
          <cell r="E4493" t="str">
            <v>Baru</v>
          </cell>
          <cell r="H4493" t="str">
            <v>salud_oral</v>
          </cell>
          <cell r="J4493" t="str">
            <v>muybueno</v>
          </cell>
          <cell r="K4493" t="str">
            <v>defsi</v>
          </cell>
        </row>
        <row r="4494">
          <cell r="B4494" t="b">
            <v>0</v>
          </cell>
          <cell r="E4494" t="str">
            <v>Nuevo Bosque</v>
          </cell>
          <cell r="H4494" t="str">
            <v>consulta_externa</v>
          </cell>
          <cell r="J4494" t="str">
            <v>regular</v>
          </cell>
          <cell r="K4494" t="str">
            <v>probsi</v>
          </cell>
        </row>
        <row r="4495">
          <cell r="B4495" t="b">
            <v>1</v>
          </cell>
          <cell r="E4495" t="str">
            <v>Canapote</v>
          </cell>
          <cell r="H4495" t="str">
            <v>consulta_externa</v>
          </cell>
          <cell r="J4495" t="str">
            <v>bueno</v>
          </cell>
          <cell r="K4495" t="str">
            <v>defsi</v>
          </cell>
        </row>
        <row r="4496">
          <cell r="B4496" t="b">
            <v>1</v>
          </cell>
          <cell r="E4496" t="str">
            <v>Canapote</v>
          </cell>
          <cell r="H4496" t="str">
            <v>laboratorio</v>
          </cell>
          <cell r="J4496" t="str">
            <v>bueno</v>
          </cell>
          <cell r="K4496" t="str">
            <v>defsi</v>
          </cell>
        </row>
        <row r="4497">
          <cell r="B4497" t="b">
            <v>1</v>
          </cell>
          <cell r="E4497" t="str">
            <v>Nuevo Bosque</v>
          </cell>
          <cell r="H4497" t="str">
            <v>laboratorio</v>
          </cell>
          <cell r="J4497" t="str">
            <v>bueno</v>
          </cell>
          <cell r="K4497" t="str">
            <v>probsi</v>
          </cell>
        </row>
        <row r="4498">
          <cell r="B4498" t="b">
            <v>1</v>
          </cell>
          <cell r="E4498" t="str">
            <v>Canapote</v>
          </cell>
          <cell r="H4498" t="str">
            <v>laboratorio</v>
          </cell>
          <cell r="J4498" t="str">
            <v>bueno</v>
          </cell>
          <cell r="K4498" t="str">
            <v>defsi</v>
          </cell>
        </row>
        <row r="4499">
          <cell r="B4499" t="b">
            <v>1</v>
          </cell>
          <cell r="E4499" t="str">
            <v>Canapote</v>
          </cell>
          <cell r="H4499" t="str">
            <v>laboratorio</v>
          </cell>
          <cell r="J4499" t="str">
            <v>bueno</v>
          </cell>
          <cell r="K4499" t="str">
            <v>defsi</v>
          </cell>
        </row>
        <row r="4500">
          <cell r="B4500" t="b">
            <v>1</v>
          </cell>
          <cell r="E4500" t="str">
            <v>Nuevo Bosque</v>
          </cell>
          <cell r="H4500" t="str">
            <v>laboratorio</v>
          </cell>
          <cell r="J4500" t="str">
            <v>bueno</v>
          </cell>
          <cell r="K4500" t="str">
            <v>probsi</v>
          </cell>
        </row>
        <row r="4501">
          <cell r="B4501" t="b">
            <v>1</v>
          </cell>
          <cell r="E4501" t="str">
            <v>Nuevo Bosque</v>
          </cell>
          <cell r="H4501" t="str">
            <v>consulta_externa</v>
          </cell>
          <cell r="J4501" t="str">
            <v>bueno</v>
          </cell>
          <cell r="K4501" t="str">
            <v>probsi</v>
          </cell>
        </row>
        <row r="4502">
          <cell r="B4502" t="b">
            <v>1</v>
          </cell>
          <cell r="E4502" t="str">
            <v>Nuevo Bosque</v>
          </cell>
          <cell r="H4502" t="str">
            <v>consulta_externa</v>
          </cell>
          <cell r="J4502" t="str">
            <v>bueno</v>
          </cell>
          <cell r="K4502" t="str">
            <v>probsi</v>
          </cell>
        </row>
        <row r="4503">
          <cell r="B4503" t="b">
            <v>0</v>
          </cell>
          <cell r="E4503" t="str">
            <v>Canapote</v>
          </cell>
          <cell r="H4503" t="str">
            <v>laboratorio</v>
          </cell>
          <cell r="J4503" t="str">
            <v>regular</v>
          </cell>
          <cell r="K4503" t="str">
            <v>probsi</v>
          </cell>
        </row>
        <row r="4504">
          <cell r="B4504" t="b">
            <v>1</v>
          </cell>
          <cell r="E4504" t="str">
            <v>Nuevo Bosque</v>
          </cell>
          <cell r="H4504" t="str">
            <v>consulta_externa</v>
          </cell>
          <cell r="J4504" t="str">
            <v>bueno</v>
          </cell>
          <cell r="K4504" t="str">
            <v>probsi</v>
          </cell>
        </row>
        <row r="4505">
          <cell r="B4505" t="b">
            <v>1</v>
          </cell>
          <cell r="E4505" t="str">
            <v>Canapote</v>
          </cell>
          <cell r="H4505" t="str">
            <v>consulta_externa</v>
          </cell>
          <cell r="J4505" t="str">
            <v>muybueno</v>
          </cell>
          <cell r="K4505" t="str">
            <v>defsi</v>
          </cell>
        </row>
        <row r="4506">
          <cell r="B4506" t="b">
            <v>1</v>
          </cell>
          <cell r="E4506" t="str">
            <v>Nuevo Bosque</v>
          </cell>
          <cell r="H4506" t="str">
            <v>salud_oral</v>
          </cell>
          <cell r="J4506" t="str">
            <v>bueno</v>
          </cell>
          <cell r="K4506" t="str">
            <v>probsi</v>
          </cell>
        </row>
        <row r="4507">
          <cell r="B4507" t="b">
            <v>1</v>
          </cell>
          <cell r="E4507" t="str">
            <v>Baru</v>
          </cell>
          <cell r="H4507" t="str">
            <v>consulta_externa</v>
          </cell>
          <cell r="J4507" t="str">
            <v>muybueno</v>
          </cell>
          <cell r="K4507" t="str">
            <v>defsi</v>
          </cell>
        </row>
        <row r="4508">
          <cell r="B4508" t="b">
            <v>1</v>
          </cell>
          <cell r="E4508" t="str">
            <v>Baru</v>
          </cell>
          <cell r="H4508" t="str">
            <v>laboratorio</v>
          </cell>
          <cell r="J4508" t="str">
            <v>muybueno</v>
          </cell>
          <cell r="K4508" t="str">
            <v>defsi</v>
          </cell>
        </row>
        <row r="4509">
          <cell r="B4509" t="b">
            <v>1</v>
          </cell>
          <cell r="E4509" t="str">
            <v>Baru</v>
          </cell>
          <cell r="H4509" t="str">
            <v>consulta_externa</v>
          </cell>
          <cell r="J4509" t="str">
            <v>muybueno</v>
          </cell>
          <cell r="K4509" t="str">
            <v>defsi</v>
          </cell>
        </row>
        <row r="4510">
          <cell r="B4510" t="b">
            <v>1</v>
          </cell>
          <cell r="E4510" t="str">
            <v>Canapote</v>
          </cell>
          <cell r="H4510" t="str">
            <v>laboratorio</v>
          </cell>
          <cell r="J4510" t="str">
            <v>bueno</v>
          </cell>
          <cell r="K4510" t="str">
            <v>defsi</v>
          </cell>
        </row>
        <row r="4511">
          <cell r="B4511" t="b">
            <v>1</v>
          </cell>
          <cell r="E4511" t="str">
            <v>Baru</v>
          </cell>
          <cell r="H4511" t="str">
            <v>laboratorio</v>
          </cell>
          <cell r="J4511" t="str">
            <v>muybueno</v>
          </cell>
          <cell r="K4511" t="str">
            <v>defsi</v>
          </cell>
        </row>
        <row r="4512">
          <cell r="B4512" t="b">
            <v>1</v>
          </cell>
          <cell r="E4512" t="str">
            <v>Baru</v>
          </cell>
          <cell r="H4512" t="str">
            <v>salud_oral</v>
          </cell>
          <cell r="J4512" t="str">
            <v>muybueno</v>
          </cell>
          <cell r="K4512" t="str">
            <v>defsi</v>
          </cell>
        </row>
        <row r="4513">
          <cell r="B4513" t="b">
            <v>1</v>
          </cell>
          <cell r="E4513" t="str">
            <v>Canapote</v>
          </cell>
          <cell r="H4513" t="str">
            <v>laboratorio</v>
          </cell>
          <cell r="J4513" t="str">
            <v>bueno</v>
          </cell>
          <cell r="K4513" t="str">
            <v>defsi</v>
          </cell>
        </row>
        <row r="4514">
          <cell r="B4514" t="b">
            <v>1</v>
          </cell>
          <cell r="E4514" t="str">
            <v>Canapote</v>
          </cell>
          <cell r="H4514" t="str">
            <v>laboratorio</v>
          </cell>
          <cell r="J4514" t="str">
            <v>bueno</v>
          </cell>
          <cell r="K4514" t="str">
            <v>defsi</v>
          </cell>
        </row>
        <row r="4515">
          <cell r="B4515" t="b">
            <v>1</v>
          </cell>
          <cell r="E4515" t="str">
            <v>Canapote</v>
          </cell>
          <cell r="H4515" t="str">
            <v>laboratorio</v>
          </cell>
          <cell r="J4515" t="str">
            <v>bueno</v>
          </cell>
          <cell r="K4515" t="str">
            <v>defsi</v>
          </cell>
        </row>
        <row r="4516">
          <cell r="B4516" t="b">
            <v>1</v>
          </cell>
          <cell r="E4516" t="str">
            <v>Canapote</v>
          </cell>
          <cell r="H4516" t="str">
            <v>laboratorio</v>
          </cell>
          <cell r="J4516" t="str">
            <v>bueno</v>
          </cell>
          <cell r="K4516" t="str">
            <v>defsi</v>
          </cell>
        </row>
        <row r="4517">
          <cell r="B4517" t="b">
            <v>1</v>
          </cell>
          <cell r="E4517" t="str">
            <v>Nuevo Bosque</v>
          </cell>
          <cell r="H4517" t="str">
            <v>salud_oral</v>
          </cell>
          <cell r="J4517" t="str">
            <v>bueno</v>
          </cell>
          <cell r="K4517" t="str">
            <v>probsi</v>
          </cell>
        </row>
        <row r="4518">
          <cell r="B4518" t="b">
            <v>1</v>
          </cell>
          <cell r="E4518" t="str">
            <v>Nuevo Bosque</v>
          </cell>
          <cell r="H4518" t="str">
            <v>laboratorio</v>
          </cell>
          <cell r="J4518" t="str">
            <v>bueno</v>
          </cell>
          <cell r="K4518" t="str">
            <v>probsi</v>
          </cell>
        </row>
        <row r="4519">
          <cell r="B4519" t="b">
            <v>0</v>
          </cell>
          <cell r="E4519" t="str">
            <v>Nuevo Bosque</v>
          </cell>
          <cell r="H4519" t="str">
            <v>laboratorio</v>
          </cell>
          <cell r="J4519" t="str">
            <v>regular</v>
          </cell>
          <cell r="K4519" t="str">
            <v>probsi</v>
          </cell>
        </row>
        <row r="4520">
          <cell r="B4520" t="b">
            <v>1</v>
          </cell>
          <cell r="E4520" t="str">
            <v>Baru</v>
          </cell>
          <cell r="H4520" t="str">
            <v>consulta_externa</v>
          </cell>
          <cell r="J4520" t="str">
            <v>muybueno</v>
          </cell>
          <cell r="K4520" t="str">
            <v>defsi</v>
          </cell>
        </row>
        <row r="4521">
          <cell r="B4521" t="b">
            <v>1</v>
          </cell>
          <cell r="E4521" t="str">
            <v>Baru</v>
          </cell>
          <cell r="H4521" t="str">
            <v>laboratorio</v>
          </cell>
          <cell r="J4521" t="str">
            <v>muybueno</v>
          </cell>
          <cell r="K4521" t="str">
            <v>defsi</v>
          </cell>
        </row>
        <row r="4522">
          <cell r="B4522" t="b">
            <v>1</v>
          </cell>
          <cell r="E4522" t="str">
            <v>Baru</v>
          </cell>
          <cell r="H4522" t="str">
            <v>consulta_externa</v>
          </cell>
          <cell r="J4522" t="str">
            <v>muybueno</v>
          </cell>
          <cell r="K4522" t="str">
            <v>defsi</v>
          </cell>
        </row>
        <row r="4523">
          <cell r="B4523" t="b">
            <v>1</v>
          </cell>
          <cell r="E4523" t="str">
            <v>Baru</v>
          </cell>
          <cell r="H4523" t="str">
            <v>laboratorio</v>
          </cell>
          <cell r="J4523" t="str">
            <v>muybueno</v>
          </cell>
          <cell r="K4523" t="str">
            <v>defsi</v>
          </cell>
        </row>
        <row r="4524">
          <cell r="B4524" t="b">
            <v>1</v>
          </cell>
          <cell r="E4524" t="str">
            <v>Baru</v>
          </cell>
          <cell r="H4524" t="str">
            <v>salud_oral</v>
          </cell>
          <cell r="J4524" t="str">
            <v>muybueno</v>
          </cell>
          <cell r="K4524" t="str">
            <v>defsi</v>
          </cell>
        </row>
        <row r="4525">
          <cell r="B4525" t="b">
            <v>1</v>
          </cell>
          <cell r="E4525" t="str">
            <v>Canapote</v>
          </cell>
          <cell r="H4525" t="str">
            <v>salud_oral</v>
          </cell>
          <cell r="J4525" t="str">
            <v>bueno</v>
          </cell>
          <cell r="K4525" t="str">
            <v>defsi</v>
          </cell>
        </row>
        <row r="4526">
          <cell r="B4526" t="b">
            <v>1</v>
          </cell>
          <cell r="E4526" t="str">
            <v>Canapote</v>
          </cell>
          <cell r="H4526" t="str">
            <v>salud_oral</v>
          </cell>
          <cell r="J4526" t="str">
            <v>bueno</v>
          </cell>
          <cell r="K4526" t="str">
            <v>defsi</v>
          </cell>
        </row>
        <row r="4527">
          <cell r="B4527" t="b">
            <v>1</v>
          </cell>
          <cell r="E4527" t="str">
            <v>Canapote</v>
          </cell>
          <cell r="H4527" t="str">
            <v>laboratorio</v>
          </cell>
          <cell r="J4527" t="str">
            <v>bueno</v>
          </cell>
          <cell r="K4527" t="str">
            <v>defsi</v>
          </cell>
        </row>
        <row r="4528">
          <cell r="B4528" t="b">
            <v>1</v>
          </cell>
          <cell r="E4528" t="str">
            <v>Canapote</v>
          </cell>
          <cell r="H4528" t="str">
            <v>laboratorio</v>
          </cell>
          <cell r="J4528" t="str">
            <v>bueno</v>
          </cell>
          <cell r="K4528" t="str">
            <v>defsi</v>
          </cell>
        </row>
        <row r="4529">
          <cell r="B4529" t="b">
            <v>1</v>
          </cell>
          <cell r="E4529" t="str">
            <v>Canapote</v>
          </cell>
          <cell r="H4529" t="str">
            <v>laboratorio</v>
          </cell>
          <cell r="J4529" t="str">
            <v>bueno</v>
          </cell>
          <cell r="K4529" t="str">
            <v>defsi</v>
          </cell>
        </row>
        <row r="4530">
          <cell r="B4530" t="b">
            <v>1</v>
          </cell>
          <cell r="E4530" t="str">
            <v>Canapote</v>
          </cell>
          <cell r="H4530" t="str">
            <v>salud_oral</v>
          </cell>
          <cell r="J4530" t="str">
            <v>bueno</v>
          </cell>
          <cell r="K4530" t="str">
            <v>defsi</v>
          </cell>
        </row>
        <row r="4531">
          <cell r="B4531" t="b">
            <v>1</v>
          </cell>
          <cell r="E4531" t="str">
            <v>Bayunca</v>
          </cell>
          <cell r="H4531" t="str">
            <v>consulta_externa</v>
          </cell>
          <cell r="J4531" t="str">
            <v>bueno</v>
          </cell>
          <cell r="K4531" t="str">
            <v>defsi</v>
          </cell>
        </row>
        <row r="4532">
          <cell r="B4532" t="b">
            <v>1</v>
          </cell>
          <cell r="E4532" t="str">
            <v>Bayunca</v>
          </cell>
          <cell r="H4532" t="str">
            <v>salud_oral</v>
          </cell>
          <cell r="J4532" t="str">
            <v>bueno</v>
          </cell>
          <cell r="K4532" t="str">
            <v>defsi</v>
          </cell>
        </row>
        <row r="4533">
          <cell r="B4533" t="b">
            <v>1</v>
          </cell>
          <cell r="E4533" t="str">
            <v>Bayunca</v>
          </cell>
          <cell r="H4533" t="str">
            <v>laboratorio</v>
          </cell>
          <cell r="J4533" t="str">
            <v>bueno</v>
          </cell>
          <cell r="K4533" t="str">
            <v>defsi</v>
          </cell>
        </row>
        <row r="4534">
          <cell r="B4534" t="b">
            <v>1</v>
          </cell>
          <cell r="E4534" t="str">
            <v>Bayunca</v>
          </cell>
          <cell r="H4534" t="str">
            <v>urgencia</v>
          </cell>
          <cell r="J4534" t="str">
            <v>bueno</v>
          </cell>
          <cell r="K4534" t="str">
            <v>defsi</v>
          </cell>
        </row>
        <row r="4535">
          <cell r="B4535" t="b">
            <v>1</v>
          </cell>
          <cell r="E4535" t="str">
            <v>Bayunca</v>
          </cell>
          <cell r="H4535" t="str">
            <v>consulta_externa</v>
          </cell>
          <cell r="J4535" t="str">
            <v>bueno</v>
          </cell>
          <cell r="K4535" t="str">
            <v>defsi</v>
          </cell>
        </row>
        <row r="4536">
          <cell r="B4536" t="b">
            <v>1</v>
          </cell>
          <cell r="E4536" t="str">
            <v>Bayunca</v>
          </cell>
          <cell r="H4536" t="str">
            <v>salud_oral</v>
          </cell>
          <cell r="J4536" t="str">
            <v>bueno</v>
          </cell>
          <cell r="K4536" t="str">
            <v>defsi</v>
          </cell>
        </row>
        <row r="4537">
          <cell r="B4537" t="b">
            <v>1</v>
          </cell>
          <cell r="E4537" t="str">
            <v>Bayunca</v>
          </cell>
          <cell r="H4537" t="str">
            <v>laboratorio</v>
          </cell>
          <cell r="J4537" t="str">
            <v>bueno</v>
          </cell>
          <cell r="K4537" t="str">
            <v>defsi</v>
          </cell>
        </row>
        <row r="4538">
          <cell r="B4538" t="b">
            <v>1</v>
          </cell>
          <cell r="E4538" t="str">
            <v>Bayunca</v>
          </cell>
          <cell r="H4538" t="str">
            <v>urgencia</v>
          </cell>
          <cell r="J4538" t="str">
            <v>bueno</v>
          </cell>
          <cell r="K4538" t="str">
            <v>defsi</v>
          </cell>
        </row>
        <row r="4539">
          <cell r="B4539" t="b">
            <v>1</v>
          </cell>
          <cell r="E4539" t="str">
            <v>Baru</v>
          </cell>
          <cell r="H4539" t="str">
            <v>consulta_externa</v>
          </cell>
          <cell r="J4539" t="str">
            <v>muybueno</v>
          </cell>
          <cell r="K4539" t="str">
            <v>defsi</v>
          </cell>
        </row>
        <row r="4540">
          <cell r="B4540" t="b">
            <v>1</v>
          </cell>
          <cell r="E4540" t="str">
            <v>Baru</v>
          </cell>
          <cell r="H4540" t="str">
            <v>salud_oral</v>
          </cell>
          <cell r="J4540" t="str">
            <v>muybueno</v>
          </cell>
          <cell r="K4540" t="str">
            <v>defsi</v>
          </cell>
        </row>
        <row r="4541">
          <cell r="B4541" t="b">
            <v>1</v>
          </cell>
          <cell r="E4541" t="str">
            <v>Bayunca</v>
          </cell>
          <cell r="H4541" t="str">
            <v>consulta_externa</v>
          </cell>
          <cell r="J4541" t="str">
            <v>bueno</v>
          </cell>
          <cell r="K4541" t="str">
            <v>defsi</v>
          </cell>
        </row>
        <row r="4542">
          <cell r="B4542" t="b">
            <v>1</v>
          </cell>
          <cell r="E4542" t="str">
            <v>Bayunca</v>
          </cell>
          <cell r="H4542" t="str">
            <v>salud_oral</v>
          </cell>
          <cell r="J4542" t="str">
            <v>bueno</v>
          </cell>
          <cell r="K4542" t="str">
            <v>defsi</v>
          </cell>
        </row>
        <row r="4543">
          <cell r="B4543" t="b">
            <v>1</v>
          </cell>
          <cell r="E4543" t="str">
            <v>Bayunca</v>
          </cell>
          <cell r="H4543" t="str">
            <v>laboratorio</v>
          </cell>
          <cell r="J4543" t="str">
            <v>bueno</v>
          </cell>
          <cell r="K4543" t="str">
            <v>defsi</v>
          </cell>
        </row>
        <row r="4544">
          <cell r="B4544" t="b">
            <v>1</v>
          </cell>
          <cell r="E4544" t="str">
            <v>Bayunca</v>
          </cell>
          <cell r="H4544" t="str">
            <v>urgencia</v>
          </cell>
          <cell r="J4544" t="str">
            <v>bueno</v>
          </cell>
          <cell r="K4544" t="str">
            <v>defsi</v>
          </cell>
        </row>
        <row r="4545">
          <cell r="B4545" t="b">
            <v>0</v>
          </cell>
          <cell r="E4545" t="str">
            <v>San Francisco I</v>
          </cell>
          <cell r="H4545" t="str">
            <v>laboratorio</v>
          </cell>
          <cell r="J4545" t="str">
            <v>regular</v>
          </cell>
          <cell r="K4545" t="str">
            <v>probno</v>
          </cell>
        </row>
        <row r="4546">
          <cell r="B4546" t="b">
            <v>0</v>
          </cell>
          <cell r="E4546" t="str">
            <v>San Francisco I</v>
          </cell>
          <cell r="H4546" t="str">
            <v>consulta_externa</v>
          </cell>
          <cell r="J4546" t="str">
            <v>regular</v>
          </cell>
          <cell r="K4546" t="str">
            <v>probno</v>
          </cell>
        </row>
        <row r="4547">
          <cell r="B4547" t="b">
            <v>1</v>
          </cell>
          <cell r="E4547" t="str">
            <v>San Francisco I</v>
          </cell>
          <cell r="H4547" t="str">
            <v>salud_oral</v>
          </cell>
          <cell r="J4547" t="str">
            <v>muybueno</v>
          </cell>
          <cell r="K4547" t="str">
            <v>defsi</v>
          </cell>
        </row>
        <row r="4548">
          <cell r="B4548" t="b">
            <v>1</v>
          </cell>
          <cell r="E4548" t="str">
            <v>San Francisco I</v>
          </cell>
          <cell r="H4548" t="str">
            <v>consulta_externa</v>
          </cell>
          <cell r="J4548" t="str">
            <v>bueno</v>
          </cell>
          <cell r="K4548" t="str">
            <v>defsi</v>
          </cell>
        </row>
        <row r="4549">
          <cell r="B4549" t="b">
            <v>1</v>
          </cell>
          <cell r="E4549" t="str">
            <v>Baru</v>
          </cell>
          <cell r="H4549" t="str">
            <v>consulta_externa</v>
          </cell>
          <cell r="J4549" t="str">
            <v>muybueno</v>
          </cell>
          <cell r="K4549" t="str">
            <v>defsi</v>
          </cell>
        </row>
        <row r="4550">
          <cell r="B4550" t="b">
            <v>1</v>
          </cell>
          <cell r="E4550" t="str">
            <v>Baru</v>
          </cell>
          <cell r="H4550" t="str">
            <v>laboratorio</v>
          </cell>
          <cell r="J4550" t="str">
            <v>muybueno</v>
          </cell>
          <cell r="K4550" t="str">
            <v>defsi</v>
          </cell>
        </row>
        <row r="4551">
          <cell r="B4551" t="b">
            <v>1</v>
          </cell>
          <cell r="E4551" t="str">
            <v>San Francisco I</v>
          </cell>
          <cell r="H4551" t="str">
            <v>consulta_externa</v>
          </cell>
          <cell r="J4551" t="str">
            <v>bueno</v>
          </cell>
          <cell r="K4551" t="str">
            <v>defsi</v>
          </cell>
        </row>
        <row r="4552">
          <cell r="B4552" t="b">
            <v>1</v>
          </cell>
          <cell r="E4552" t="str">
            <v>Baru</v>
          </cell>
          <cell r="H4552" t="str">
            <v>salud_oral</v>
          </cell>
          <cell r="J4552" t="str">
            <v>muybueno</v>
          </cell>
          <cell r="K4552" t="str">
            <v>defsi</v>
          </cell>
        </row>
        <row r="4553">
          <cell r="B4553" t="b">
            <v>1</v>
          </cell>
          <cell r="E4553" t="str">
            <v>San Francisco I</v>
          </cell>
          <cell r="H4553" t="str">
            <v>salud_oral</v>
          </cell>
          <cell r="J4553" t="str">
            <v>bueno</v>
          </cell>
          <cell r="K4553" t="str">
            <v>defsi</v>
          </cell>
        </row>
        <row r="4554">
          <cell r="B4554" t="b">
            <v>1</v>
          </cell>
          <cell r="E4554" t="str">
            <v>Bayunca</v>
          </cell>
          <cell r="H4554" t="str">
            <v>consulta_externa</v>
          </cell>
          <cell r="J4554" t="str">
            <v>bueno</v>
          </cell>
          <cell r="K4554" t="str">
            <v>defsi</v>
          </cell>
        </row>
        <row r="4555">
          <cell r="B4555" t="b">
            <v>1</v>
          </cell>
          <cell r="E4555" t="str">
            <v>Bayunca</v>
          </cell>
          <cell r="H4555" t="str">
            <v>salud_oral</v>
          </cell>
          <cell r="J4555" t="str">
            <v>bueno</v>
          </cell>
          <cell r="K4555" t="str">
            <v>defsi</v>
          </cell>
        </row>
        <row r="4556">
          <cell r="B4556" t="b">
            <v>1</v>
          </cell>
          <cell r="E4556" t="str">
            <v>Bayunca</v>
          </cell>
          <cell r="H4556" t="str">
            <v>laboratorio</v>
          </cell>
          <cell r="J4556" t="str">
            <v>bueno</v>
          </cell>
          <cell r="K4556" t="str">
            <v>defsi</v>
          </cell>
        </row>
        <row r="4557">
          <cell r="B4557" t="b">
            <v>1</v>
          </cell>
          <cell r="E4557" t="str">
            <v>Bayunca</v>
          </cell>
          <cell r="H4557" t="str">
            <v>urgencia</v>
          </cell>
          <cell r="J4557" t="str">
            <v>bueno</v>
          </cell>
          <cell r="K4557" t="str">
            <v>defsi</v>
          </cell>
        </row>
        <row r="4558">
          <cell r="B4558" t="b">
            <v>1</v>
          </cell>
          <cell r="E4558" t="str">
            <v>Baru</v>
          </cell>
          <cell r="H4558" t="str">
            <v>consulta_externa</v>
          </cell>
          <cell r="J4558" t="str">
            <v>muybueno</v>
          </cell>
          <cell r="K4558" t="str">
            <v>defsi</v>
          </cell>
        </row>
        <row r="4559">
          <cell r="B4559" t="b">
            <v>1</v>
          </cell>
          <cell r="E4559" t="str">
            <v>Baru</v>
          </cell>
          <cell r="H4559" t="str">
            <v>salud_oral</v>
          </cell>
          <cell r="J4559" t="str">
            <v>muybueno</v>
          </cell>
          <cell r="K4559" t="str">
            <v>defsi</v>
          </cell>
        </row>
        <row r="4560">
          <cell r="B4560" t="b">
            <v>1</v>
          </cell>
          <cell r="E4560" t="str">
            <v>Baru</v>
          </cell>
          <cell r="H4560" t="str">
            <v>consulta_externa</v>
          </cell>
          <cell r="J4560" t="str">
            <v>muybueno</v>
          </cell>
          <cell r="K4560" t="str">
            <v>defsi</v>
          </cell>
        </row>
        <row r="4561">
          <cell r="B4561" t="b">
            <v>1</v>
          </cell>
          <cell r="E4561" t="str">
            <v>San Francisco I</v>
          </cell>
          <cell r="H4561" t="str">
            <v>consulta_externa</v>
          </cell>
          <cell r="J4561" t="str">
            <v>bueno</v>
          </cell>
          <cell r="K4561" t="str">
            <v>defsi</v>
          </cell>
        </row>
        <row r="4562">
          <cell r="B4562" t="b">
            <v>1</v>
          </cell>
          <cell r="E4562" t="str">
            <v>Bayunca</v>
          </cell>
          <cell r="H4562" t="str">
            <v>consulta_externa</v>
          </cell>
          <cell r="J4562" t="str">
            <v>bueno</v>
          </cell>
          <cell r="K4562" t="str">
            <v>defsi</v>
          </cell>
        </row>
        <row r="4563">
          <cell r="B4563" t="b">
            <v>1</v>
          </cell>
          <cell r="E4563" t="str">
            <v>San Francisco I</v>
          </cell>
          <cell r="H4563" t="str">
            <v>laboratorio</v>
          </cell>
          <cell r="J4563" t="str">
            <v>bueno</v>
          </cell>
          <cell r="K4563" t="str">
            <v>defsi</v>
          </cell>
        </row>
        <row r="4564">
          <cell r="B4564" t="b">
            <v>1</v>
          </cell>
          <cell r="E4564" t="str">
            <v>Bayunca</v>
          </cell>
          <cell r="H4564" t="str">
            <v>salud_oral</v>
          </cell>
          <cell r="J4564" t="str">
            <v>bueno</v>
          </cell>
          <cell r="K4564" t="str">
            <v>defsi</v>
          </cell>
        </row>
        <row r="4565">
          <cell r="B4565" t="b">
            <v>1</v>
          </cell>
          <cell r="E4565" t="str">
            <v>San Francisco I</v>
          </cell>
          <cell r="H4565" t="str">
            <v>consulta_externa</v>
          </cell>
          <cell r="J4565" t="str">
            <v>bueno</v>
          </cell>
          <cell r="K4565" t="str">
            <v>defsi</v>
          </cell>
        </row>
        <row r="4566">
          <cell r="B4566" t="b">
            <v>1</v>
          </cell>
          <cell r="E4566" t="str">
            <v>Bayunca</v>
          </cell>
          <cell r="H4566" t="str">
            <v>laboratorio</v>
          </cell>
          <cell r="J4566" t="str">
            <v>bueno</v>
          </cell>
          <cell r="K4566" t="str">
            <v>defsi</v>
          </cell>
        </row>
        <row r="4567">
          <cell r="B4567" t="b">
            <v>1</v>
          </cell>
          <cell r="E4567" t="str">
            <v>San Francisco I</v>
          </cell>
          <cell r="H4567" t="str">
            <v>salud_oral</v>
          </cell>
          <cell r="J4567" t="str">
            <v>bueno</v>
          </cell>
          <cell r="K4567" t="str">
            <v>defsi</v>
          </cell>
        </row>
        <row r="4568">
          <cell r="B4568" t="b">
            <v>1</v>
          </cell>
          <cell r="E4568" t="str">
            <v>San Francisco I</v>
          </cell>
          <cell r="H4568" t="str">
            <v>salud_oral</v>
          </cell>
          <cell r="J4568" t="str">
            <v>bueno</v>
          </cell>
          <cell r="K4568" t="str">
            <v>defsi</v>
          </cell>
        </row>
        <row r="4569">
          <cell r="B4569" t="b">
            <v>1</v>
          </cell>
          <cell r="E4569" t="str">
            <v>Baru</v>
          </cell>
          <cell r="H4569" t="str">
            <v>consulta_externa</v>
          </cell>
          <cell r="J4569" t="str">
            <v>muybueno</v>
          </cell>
          <cell r="K4569" t="str">
            <v>defsi</v>
          </cell>
        </row>
        <row r="4570">
          <cell r="B4570" t="b">
            <v>1</v>
          </cell>
          <cell r="E4570" t="str">
            <v>Bayunca</v>
          </cell>
          <cell r="H4570" t="str">
            <v>urgencia</v>
          </cell>
          <cell r="J4570" t="str">
            <v>bueno</v>
          </cell>
          <cell r="K4570" t="str">
            <v>defsi</v>
          </cell>
        </row>
        <row r="4571">
          <cell r="B4571" t="b">
            <v>1</v>
          </cell>
          <cell r="E4571" t="str">
            <v>Baru</v>
          </cell>
          <cell r="H4571" t="str">
            <v>laboratorio</v>
          </cell>
          <cell r="J4571" t="str">
            <v>muybueno</v>
          </cell>
          <cell r="K4571" t="str">
            <v>defsi</v>
          </cell>
        </row>
        <row r="4572">
          <cell r="B4572" t="b">
            <v>1</v>
          </cell>
          <cell r="E4572" t="str">
            <v>San Francisco I</v>
          </cell>
          <cell r="H4572" t="str">
            <v>consulta_externa</v>
          </cell>
          <cell r="J4572" t="str">
            <v>bueno</v>
          </cell>
          <cell r="K4572" t="str">
            <v>defsi</v>
          </cell>
        </row>
        <row r="4573">
          <cell r="B4573" t="b">
            <v>1</v>
          </cell>
          <cell r="E4573" t="str">
            <v>San Francisco I</v>
          </cell>
          <cell r="H4573" t="str">
            <v>laboratorio</v>
          </cell>
          <cell r="J4573" t="str">
            <v>bueno</v>
          </cell>
          <cell r="K4573" t="str">
            <v>defsi</v>
          </cell>
        </row>
        <row r="4574">
          <cell r="B4574" t="b">
            <v>1</v>
          </cell>
          <cell r="E4574" t="str">
            <v>Bayunca</v>
          </cell>
          <cell r="H4574" t="str">
            <v>consulta_externa</v>
          </cell>
          <cell r="J4574" t="str">
            <v>bueno</v>
          </cell>
          <cell r="K4574" t="str">
            <v>defsi</v>
          </cell>
        </row>
        <row r="4575">
          <cell r="B4575" t="b">
            <v>1</v>
          </cell>
          <cell r="E4575" t="str">
            <v>Bayunca</v>
          </cell>
          <cell r="H4575" t="str">
            <v>salud_oral</v>
          </cell>
          <cell r="J4575" t="str">
            <v>bueno</v>
          </cell>
          <cell r="K4575" t="str">
            <v>defsi</v>
          </cell>
        </row>
        <row r="4576">
          <cell r="B4576" t="b">
            <v>1</v>
          </cell>
          <cell r="E4576" t="str">
            <v>San Francisco I</v>
          </cell>
          <cell r="H4576" t="str">
            <v>laboratorio</v>
          </cell>
          <cell r="J4576" t="str">
            <v>bueno</v>
          </cell>
          <cell r="K4576" t="str">
            <v>defsi</v>
          </cell>
        </row>
        <row r="4577">
          <cell r="B4577" t="b">
            <v>1</v>
          </cell>
          <cell r="E4577" t="str">
            <v>Bayunca</v>
          </cell>
          <cell r="H4577" t="str">
            <v>laboratorio</v>
          </cell>
          <cell r="J4577" t="str">
            <v>bueno</v>
          </cell>
          <cell r="K4577" t="str">
            <v>defsi</v>
          </cell>
        </row>
        <row r="4578">
          <cell r="B4578" t="b">
            <v>1</v>
          </cell>
          <cell r="E4578" t="str">
            <v>San Francisco I</v>
          </cell>
          <cell r="H4578" t="str">
            <v>salud_oral</v>
          </cell>
          <cell r="J4578" t="str">
            <v>muybueno</v>
          </cell>
          <cell r="K4578" t="str">
            <v>defsi</v>
          </cell>
        </row>
        <row r="4579">
          <cell r="B4579" t="b">
            <v>1</v>
          </cell>
          <cell r="E4579" t="str">
            <v>San Francisco I</v>
          </cell>
          <cell r="H4579" t="str">
            <v>salud_oral</v>
          </cell>
          <cell r="J4579" t="str">
            <v>muybueno</v>
          </cell>
          <cell r="K4579" t="str">
            <v>defsi</v>
          </cell>
        </row>
        <row r="4580">
          <cell r="B4580" t="b">
            <v>1</v>
          </cell>
          <cell r="E4580" t="str">
            <v>Baru</v>
          </cell>
          <cell r="H4580" t="str">
            <v>consulta_externa</v>
          </cell>
          <cell r="J4580" t="str">
            <v>muybueno</v>
          </cell>
          <cell r="K4580" t="str">
            <v>defsi</v>
          </cell>
        </row>
        <row r="4581">
          <cell r="B4581" t="b">
            <v>1</v>
          </cell>
          <cell r="E4581" t="str">
            <v>Bayunca</v>
          </cell>
          <cell r="H4581" t="str">
            <v>urgencia</v>
          </cell>
          <cell r="J4581" t="str">
            <v>bueno</v>
          </cell>
          <cell r="K4581" t="str">
            <v>defsi</v>
          </cell>
        </row>
        <row r="4582">
          <cell r="B4582" t="b">
            <v>1</v>
          </cell>
          <cell r="E4582" t="str">
            <v>Baru</v>
          </cell>
          <cell r="H4582" t="str">
            <v>consulta_externa</v>
          </cell>
          <cell r="J4582" t="str">
            <v>muybueno</v>
          </cell>
          <cell r="K4582" t="str">
            <v>defsi</v>
          </cell>
        </row>
        <row r="4583">
          <cell r="B4583" t="b">
            <v>1</v>
          </cell>
          <cell r="E4583" t="str">
            <v>San Francisco I</v>
          </cell>
          <cell r="H4583" t="str">
            <v>salud_oral</v>
          </cell>
          <cell r="J4583" t="str">
            <v>bueno</v>
          </cell>
          <cell r="K4583" t="str">
            <v>defsi</v>
          </cell>
        </row>
        <row r="4584">
          <cell r="B4584" t="b">
            <v>1</v>
          </cell>
          <cell r="E4584" t="str">
            <v>San Francisco I</v>
          </cell>
          <cell r="H4584" t="str">
            <v>salud_oral</v>
          </cell>
          <cell r="J4584" t="str">
            <v>bueno</v>
          </cell>
          <cell r="K4584" t="str">
            <v>defsi</v>
          </cell>
        </row>
        <row r="4585">
          <cell r="B4585" t="b">
            <v>1</v>
          </cell>
          <cell r="E4585" t="str">
            <v>Bayunca</v>
          </cell>
          <cell r="H4585" t="str">
            <v>consulta_externa</v>
          </cell>
          <cell r="J4585" t="str">
            <v>bueno</v>
          </cell>
          <cell r="K4585" t="str">
            <v>defsi</v>
          </cell>
        </row>
        <row r="4586">
          <cell r="B4586" t="b">
            <v>1</v>
          </cell>
          <cell r="E4586" t="str">
            <v>Bayunca</v>
          </cell>
          <cell r="H4586" t="str">
            <v>salud_oral</v>
          </cell>
          <cell r="J4586" t="str">
            <v>bueno</v>
          </cell>
          <cell r="K4586" t="str">
            <v>defsi</v>
          </cell>
        </row>
        <row r="4587">
          <cell r="B4587" t="b">
            <v>1</v>
          </cell>
          <cell r="E4587" t="str">
            <v>Bayunca</v>
          </cell>
          <cell r="H4587" t="str">
            <v>laboratorio</v>
          </cell>
          <cell r="J4587" t="str">
            <v>bueno</v>
          </cell>
          <cell r="K4587" t="str">
            <v>defsi</v>
          </cell>
        </row>
        <row r="4588">
          <cell r="B4588" t="b">
            <v>1</v>
          </cell>
          <cell r="E4588" t="str">
            <v>Bayunca</v>
          </cell>
          <cell r="H4588" t="str">
            <v>urgencia</v>
          </cell>
          <cell r="J4588" t="str">
            <v>bueno</v>
          </cell>
          <cell r="K4588" t="str">
            <v>defsi</v>
          </cell>
        </row>
        <row r="4589">
          <cell r="B4589" t="b">
            <v>1</v>
          </cell>
          <cell r="E4589" t="str">
            <v>Baru</v>
          </cell>
          <cell r="H4589" t="str">
            <v>consulta_externa</v>
          </cell>
          <cell r="J4589" t="str">
            <v>muybueno</v>
          </cell>
          <cell r="K4589" t="str">
            <v>defsi</v>
          </cell>
        </row>
        <row r="4590">
          <cell r="B4590" t="b">
            <v>1</v>
          </cell>
          <cell r="E4590" t="str">
            <v>Baru</v>
          </cell>
          <cell r="H4590" t="str">
            <v>laboratorio</v>
          </cell>
          <cell r="J4590" t="str">
            <v>muybueno</v>
          </cell>
          <cell r="K4590" t="str">
            <v>defsi</v>
          </cell>
        </row>
        <row r="4591">
          <cell r="B4591" t="b">
            <v>1</v>
          </cell>
          <cell r="E4591" t="str">
            <v>Baru</v>
          </cell>
          <cell r="H4591" t="str">
            <v>salud_oral</v>
          </cell>
          <cell r="J4591" t="str">
            <v>muybueno</v>
          </cell>
          <cell r="K4591" t="str">
            <v>defsi</v>
          </cell>
        </row>
        <row r="4592">
          <cell r="B4592" t="b">
            <v>1</v>
          </cell>
          <cell r="E4592" t="str">
            <v>Baru</v>
          </cell>
          <cell r="H4592" t="str">
            <v>consulta_externa</v>
          </cell>
          <cell r="J4592" t="str">
            <v>muybueno</v>
          </cell>
          <cell r="K4592" t="str">
            <v>defsi</v>
          </cell>
        </row>
        <row r="4593">
          <cell r="B4593" t="b">
            <v>1</v>
          </cell>
          <cell r="E4593" t="str">
            <v>Baru</v>
          </cell>
          <cell r="H4593" t="str">
            <v>consulta_externa</v>
          </cell>
          <cell r="J4593" t="str">
            <v>muybueno</v>
          </cell>
          <cell r="K4593" t="str">
            <v>defsi</v>
          </cell>
        </row>
        <row r="4594">
          <cell r="B4594" t="b">
            <v>1</v>
          </cell>
          <cell r="E4594" t="str">
            <v>Baru</v>
          </cell>
          <cell r="H4594" t="str">
            <v>laboratorio</v>
          </cell>
          <cell r="J4594" t="str">
            <v>muybueno</v>
          </cell>
          <cell r="K4594" t="str">
            <v>defsi</v>
          </cell>
        </row>
        <row r="4595">
          <cell r="B4595" t="b">
            <v>1</v>
          </cell>
          <cell r="E4595" t="str">
            <v>Baru</v>
          </cell>
          <cell r="H4595" t="str">
            <v>consulta_externa</v>
          </cell>
          <cell r="J4595" t="str">
            <v>muybueno</v>
          </cell>
          <cell r="K4595" t="str">
            <v>defsi</v>
          </cell>
        </row>
        <row r="4596">
          <cell r="B4596" t="b">
            <v>1</v>
          </cell>
          <cell r="E4596" t="str">
            <v>Baru</v>
          </cell>
          <cell r="H4596" t="str">
            <v>salud_oral</v>
          </cell>
          <cell r="J4596" t="str">
            <v>muybueno</v>
          </cell>
          <cell r="K4596" t="str">
            <v>defsi</v>
          </cell>
        </row>
        <row r="4597">
          <cell r="B4597" t="b">
            <v>1</v>
          </cell>
          <cell r="E4597" t="str">
            <v>Bayunca</v>
          </cell>
          <cell r="H4597" t="str">
            <v>consulta_externa</v>
          </cell>
          <cell r="J4597" t="str">
            <v>bueno</v>
          </cell>
          <cell r="K4597" t="str">
            <v>defsi</v>
          </cell>
        </row>
        <row r="4598">
          <cell r="B4598" t="b">
            <v>1</v>
          </cell>
          <cell r="E4598" t="str">
            <v>Bayunca</v>
          </cell>
          <cell r="H4598" t="str">
            <v>salud_oral</v>
          </cell>
          <cell r="J4598" t="str">
            <v>bueno</v>
          </cell>
          <cell r="K4598" t="str">
            <v>defsi</v>
          </cell>
        </row>
        <row r="4599">
          <cell r="B4599" t="b">
            <v>1</v>
          </cell>
          <cell r="E4599" t="str">
            <v>Bayunca</v>
          </cell>
          <cell r="H4599" t="str">
            <v>laboratorio</v>
          </cell>
          <cell r="J4599" t="str">
            <v>bueno</v>
          </cell>
          <cell r="K4599" t="str">
            <v>defsi</v>
          </cell>
        </row>
        <row r="4600">
          <cell r="B4600" t="b">
            <v>1</v>
          </cell>
          <cell r="E4600" t="str">
            <v>Bayunca</v>
          </cell>
          <cell r="H4600" t="str">
            <v>urgencia</v>
          </cell>
          <cell r="J4600" t="str">
            <v>bueno</v>
          </cell>
          <cell r="K4600" t="str">
            <v>defsi</v>
          </cell>
        </row>
        <row r="4601">
          <cell r="B4601" t="b">
            <v>1</v>
          </cell>
          <cell r="E4601" t="str">
            <v>Baru</v>
          </cell>
          <cell r="H4601" t="str">
            <v>consulta_externa</v>
          </cell>
          <cell r="J4601" t="str">
            <v>muybueno</v>
          </cell>
          <cell r="K4601" t="str">
            <v>defsi</v>
          </cell>
        </row>
        <row r="4602">
          <cell r="B4602" t="b">
            <v>1</v>
          </cell>
          <cell r="E4602" t="str">
            <v>Baru</v>
          </cell>
          <cell r="H4602" t="str">
            <v>laboratorio</v>
          </cell>
          <cell r="J4602" t="str">
            <v>muybueno</v>
          </cell>
          <cell r="K4602" t="str">
            <v>defsi</v>
          </cell>
        </row>
        <row r="4603">
          <cell r="B4603" t="b">
            <v>1</v>
          </cell>
          <cell r="E4603" t="str">
            <v>Baru</v>
          </cell>
          <cell r="H4603" t="str">
            <v>salud_oral</v>
          </cell>
          <cell r="J4603" t="str">
            <v>muybueno</v>
          </cell>
          <cell r="K4603" t="str">
            <v>defsi</v>
          </cell>
        </row>
        <row r="4604">
          <cell r="B4604" t="b">
            <v>0</v>
          </cell>
          <cell r="E4604" t="str">
            <v>Los Cerros</v>
          </cell>
          <cell r="H4604" t="str">
            <v>laboratorio</v>
          </cell>
          <cell r="J4604" t="str">
            <v>regular</v>
          </cell>
          <cell r="K4604" t="str">
            <v>probsi</v>
          </cell>
        </row>
        <row r="4605">
          <cell r="B4605" t="b">
            <v>0</v>
          </cell>
          <cell r="E4605" t="str">
            <v>Los Cerros</v>
          </cell>
          <cell r="H4605" t="str">
            <v>laboratorio</v>
          </cell>
          <cell r="J4605" t="str">
            <v>regular</v>
          </cell>
          <cell r="K4605" t="str">
            <v>probsi</v>
          </cell>
        </row>
        <row r="4606">
          <cell r="B4606" t="b">
            <v>1</v>
          </cell>
          <cell r="E4606" t="str">
            <v>Los Cerros</v>
          </cell>
          <cell r="H4606" t="str">
            <v>laboratorio</v>
          </cell>
          <cell r="J4606" t="str">
            <v>bueno</v>
          </cell>
          <cell r="K4606" t="str">
            <v>probsi</v>
          </cell>
        </row>
        <row r="4607">
          <cell r="B4607" t="b">
            <v>1</v>
          </cell>
          <cell r="E4607" t="str">
            <v>Los Cerros</v>
          </cell>
          <cell r="H4607" t="str">
            <v>laboratorio</v>
          </cell>
          <cell r="J4607" t="str">
            <v>bueno</v>
          </cell>
          <cell r="K4607" t="str">
            <v>probsi</v>
          </cell>
        </row>
        <row r="4608">
          <cell r="B4608" t="b">
            <v>1</v>
          </cell>
          <cell r="E4608" t="str">
            <v>Los Cerros</v>
          </cell>
          <cell r="H4608" t="str">
            <v>laboratorio</v>
          </cell>
          <cell r="J4608" t="str">
            <v>bueno</v>
          </cell>
          <cell r="K4608" t="str">
            <v>probsi</v>
          </cell>
        </row>
        <row r="4609">
          <cell r="B4609" t="b">
            <v>1</v>
          </cell>
          <cell r="E4609" t="str">
            <v>Los Cerros</v>
          </cell>
          <cell r="H4609" t="str">
            <v>salud_oral</v>
          </cell>
          <cell r="J4609" t="str">
            <v>bueno</v>
          </cell>
          <cell r="K4609" t="str">
            <v>probsi</v>
          </cell>
        </row>
        <row r="4610">
          <cell r="B4610" t="b">
            <v>1</v>
          </cell>
          <cell r="E4610" t="str">
            <v>Los Cerros</v>
          </cell>
          <cell r="H4610" t="str">
            <v>salud_oral</v>
          </cell>
          <cell r="J4610" t="str">
            <v>bueno</v>
          </cell>
          <cell r="K4610" t="str">
            <v>probsi</v>
          </cell>
        </row>
        <row r="4611">
          <cell r="B4611" t="b">
            <v>1</v>
          </cell>
          <cell r="E4611" t="str">
            <v>Los Cerros</v>
          </cell>
          <cell r="H4611" t="str">
            <v>salud_oral</v>
          </cell>
          <cell r="J4611" t="str">
            <v>bueno</v>
          </cell>
          <cell r="K4611" t="str">
            <v>probsi</v>
          </cell>
        </row>
        <row r="4612">
          <cell r="B4612" t="b">
            <v>0</v>
          </cell>
          <cell r="E4612" t="str">
            <v>Los Cerros</v>
          </cell>
          <cell r="H4612" t="str">
            <v>electros</v>
          </cell>
          <cell r="J4612" t="str">
            <v>regular</v>
          </cell>
          <cell r="K4612" t="str">
            <v>probsi</v>
          </cell>
        </row>
        <row r="4613">
          <cell r="B4613" t="b">
            <v>1</v>
          </cell>
          <cell r="E4613" t="str">
            <v>Los Cerros</v>
          </cell>
          <cell r="H4613" t="str">
            <v>electros</v>
          </cell>
          <cell r="J4613" t="str">
            <v>bueno</v>
          </cell>
          <cell r="K4613" t="str">
            <v>probsi</v>
          </cell>
        </row>
        <row r="4614">
          <cell r="B4614" t="b">
            <v>1</v>
          </cell>
          <cell r="E4614" t="str">
            <v>Los Cerros</v>
          </cell>
          <cell r="H4614" t="str">
            <v>electros</v>
          </cell>
          <cell r="J4614" t="str">
            <v>bueno</v>
          </cell>
          <cell r="K4614" t="str">
            <v>probsi</v>
          </cell>
        </row>
        <row r="4615">
          <cell r="B4615" t="b">
            <v>1</v>
          </cell>
          <cell r="E4615" t="str">
            <v>Los Cerros</v>
          </cell>
          <cell r="H4615" t="str">
            <v>electros</v>
          </cell>
          <cell r="J4615" t="str">
            <v>bueno</v>
          </cell>
          <cell r="K4615" t="str">
            <v>probsi</v>
          </cell>
        </row>
        <row r="4616">
          <cell r="B4616" t="b">
            <v>1</v>
          </cell>
          <cell r="E4616" t="str">
            <v>Los Cerros</v>
          </cell>
          <cell r="H4616" t="str">
            <v>electros</v>
          </cell>
          <cell r="J4616" t="str">
            <v>bueno</v>
          </cell>
          <cell r="K4616" t="str">
            <v>probsi</v>
          </cell>
        </row>
        <row r="4617">
          <cell r="B4617" t="b">
            <v>0</v>
          </cell>
          <cell r="E4617" t="str">
            <v>Los Cerros</v>
          </cell>
          <cell r="H4617" t="str">
            <v>medicina_interna</v>
          </cell>
          <cell r="J4617" t="str">
            <v>regular</v>
          </cell>
          <cell r="K4617" t="str">
            <v>probsi</v>
          </cell>
        </row>
        <row r="4618">
          <cell r="B4618" t="b">
            <v>0</v>
          </cell>
          <cell r="E4618" t="str">
            <v>Los Cerros</v>
          </cell>
          <cell r="H4618" t="str">
            <v>medicina_interna</v>
          </cell>
          <cell r="J4618" t="str">
            <v>regular</v>
          </cell>
          <cell r="K4618" t="str">
            <v>probsi</v>
          </cell>
        </row>
        <row r="4619">
          <cell r="B4619" t="b">
            <v>0</v>
          </cell>
          <cell r="E4619" t="str">
            <v>Los Cerros</v>
          </cell>
          <cell r="H4619" t="str">
            <v>medicina_interna</v>
          </cell>
          <cell r="J4619" t="str">
            <v>regular</v>
          </cell>
          <cell r="K4619" t="str">
            <v>probsi</v>
          </cell>
        </row>
        <row r="4620">
          <cell r="B4620" t="b">
            <v>1</v>
          </cell>
          <cell r="E4620" t="str">
            <v>Los Cerros</v>
          </cell>
          <cell r="H4620" t="str">
            <v>medicina_interna</v>
          </cell>
          <cell r="J4620" t="str">
            <v>bueno</v>
          </cell>
          <cell r="K4620" t="str">
            <v>probsi</v>
          </cell>
        </row>
        <row r="4621">
          <cell r="B4621" t="b">
            <v>1</v>
          </cell>
          <cell r="E4621" t="str">
            <v>Los Cerros</v>
          </cell>
          <cell r="H4621" t="str">
            <v>medicina_interna</v>
          </cell>
          <cell r="J4621" t="str">
            <v>bueno</v>
          </cell>
          <cell r="K4621" t="str">
            <v>probsi</v>
          </cell>
        </row>
        <row r="4622">
          <cell r="B4622" t="b">
            <v>1</v>
          </cell>
          <cell r="E4622" t="str">
            <v>Los Cerros</v>
          </cell>
          <cell r="H4622" t="str">
            <v>medicina_interna</v>
          </cell>
          <cell r="J4622" t="str">
            <v>bueno</v>
          </cell>
          <cell r="K4622" t="str">
            <v>probsi</v>
          </cell>
        </row>
        <row r="4623">
          <cell r="B4623" t="b">
            <v>1</v>
          </cell>
          <cell r="E4623" t="str">
            <v>Los Cerros</v>
          </cell>
          <cell r="H4623" t="str">
            <v>medicina_interna</v>
          </cell>
          <cell r="J4623" t="str">
            <v>bueno</v>
          </cell>
          <cell r="K4623" t="str">
            <v>probsi</v>
          </cell>
        </row>
        <row r="4624">
          <cell r="B4624" t="b">
            <v>1</v>
          </cell>
          <cell r="E4624" t="str">
            <v>Los Cerros</v>
          </cell>
          <cell r="H4624" t="str">
            <v>medicina_interna</v>
          </cell>
          <cell r="J4624" t="str">
            <v>bueno</v>
          </cell>
          <cell r="K4624" t="str">
            <v>probsi</v>
          </cell>
        </row>
        <row r="4625">
          <cell r="B4625" t="b">
            <v>1</v>
          </cell>
          <cell r="E4625" t="str">
            <v>Los Cerros</v>
          </cell>
          <cell r="H4625" t="str">
            <v>pediatria</v>
          </cell>
          <cell r="J4625" t="str">
            <v>bueno</v>
          </cell>
          <cell r="K4625" t="str">
            <v>probsi</v>
          </cell>
        </row>
        <row r="4626">
          <cell r="B4626" t="b">
            <v>1</v>
          </cell>
          <cell r="E4626" t="str">
            <v>Los Cerros</v>
          </cell>
          <cell r="H4626" t="str">
            <v>pediatria</v>
          </cell>
          <cell r="J4626" t="str">
            <v>bueno</v>
          </cell>
          <cell r="K4626" t="str">
            <v>probsi</v>
          </cell>
        </row>
        <row r="4627">
          <cell r="B4627" t="b">
            <v>1</v>
          </cell>
          <cell r="E4627" t="str">
            <v>Los Cerros</v>
          </cell>
          <cell r="H4627" t="str">
            <v>pediatria</v>
          </cell>
          <cell r="J4627" t="str">
            <v>bueno</v>
          </cell>
          <cell r="K4627" t="str">
            <v>probsi</v>
          </cell>
        </row>
        <row r="4628">
          <cell r="B4628" t="b">
            <v>1</v>
          </cell>
          <cell r="E4628" t="str">
            <v>Los Cerros</v>
          </cell>
          <cell r="H4628" t="str">
            <v>pediatria</v>
          </cell>
          <cell r="J4628" t="str">
            <v>bueno</v>
          </cell>
          <cell r="K4628" t="str">
            <v>probsi</v>
          </cell>
        </row>
        <row r="4629">
          <cell r="B4629" t="b">
            <v>1</v>
          </cell>
          <cell r="E4629" t="str">
            <v>Santa Ana</v>
          </cell>
          <cell r="H4629" t="str">
            <v>consulta_externa</v>
          </cell>
          <cell r="J4629" t="str">
            <v>muybueno</v>
          </cell>
          <cell r="K4629" t="str">
            <v>defsi</v>
          </cell>
        </row>
        <row r="4630">
          <cell r="B4630" t="b">
            <v>1</v>
          </cell>
          <cell r="E4630" t="str">
            <v>Santa Ana</v>
          </cell>
          <cell r="H4630" t="str">
            <v>laboratorio</v>
          </cell>
          <cell r="J4630" t="str">
            <v>muybueno</v>
          </cell>
          <cell r="K4630" t="str">
            <v>defsi</v>
          </cell>
        </row>
        <row r="4631">
          <cell r="B4631" t="b">
            <v>1</v>
          </cell>
          <cell r="E4631" t="str">
            <v>Santa Ana</v>
          </cell>
          <cell r="H4631" t="str">
            <v>salud_oral</v>
          </cell>
          <cell r="J4631" t="str">
            <v>muybueno</v>
          </cell>
          <cell r="K4631" t="str">
            <v>defsi</v>
          </cell>
        </row>
        <row r="4632">
          <cell r="B4632" t="b">
            <v>1</v>
          </cell>
          <cell r="E4632" t="str">
            <v>San Francisco I</v>
          </cell>
          <cell r="H4632" t="str">
            <v>consulta_externa</v>
          </cell>
          <cell r="J4632" t="str">
            <v>bueno</v>
          </cell>
          <cell r="K4632" t="str">
            <v>defsi</v>
          </cell>
        </row>
        <row r="4633">
          <cell r="B4633" t="b">
            <v>1</v>
          </cell>
          <cell r="E4633" t="str">
            <v>Santa Ana</v>
          </cell>
          <cell r="H4633" t="str">
            <v>consulta_externa</v>
          </cell>
          <cell r="J4633" t="str">
            <v>muybueno</v>
          </cell>
          <cell r="K4633" t="str">
            <v>defsi</v>
          </cell>
        </row>
        <row r="4634">
          <cell r="B4634" t="b">
            <v>1</v>
          </cell>
          <cell r="E4634" t="str">
            <v>San Francisco I</v>
          </cell>
          <cell r="H4634" t="str">
            <v>consulta_externa</v>
          </cell>
          <cell r="J4634" t="str">
            <v>bueno</v>
          </cell>
          <cell r="K4634" t="str">
            <v>defsi</v>
          </cell>
        </row>
        <row r="4635">
          <cell r="B4635" t="b">
            <v>1</v>
          </cell>
          <cell r="E4635" t="str">
            <v>San Francisco I</v>
          </cell>
          <cell r="H4635" t="str">
            <v>consulta_externa</v>
          </cell>
          <cell r="J4635" t="str">
            <v>bueno</v>
          </cell>
          <cell r="K4635" t="str">
            <v>defsi</v>
          </cell>
        </row>
        <row r="4636">
          <cell r="B4636" t="b">
            <v>0</v>
          </cell>
          <cell r="E4636" t="str">
            <v>San Francisco I</v>
          </cell>
          <cell r="H4636" t="str">
            <v>consulta_externa</v>
          </cell>
          <cell r="J4636" t="str">
            <v>regular</v>
          </cell>
          <cell r="K4636" t="str">
            <v>probno</v>
          </cell>
        </row>
        <row r="4637">
          <cell r="B4637" t="b">
            <v>1</v>
          </cell>
          <cell r="E4637" t="str">
            <v>San Francisco I</v>
          </cell>
          <cell r="H4637" t="str">
            <v>consulta_externa</v>
          </cell>
          <cell r="J4637" t="str">
            <v>bueno</v>
          </cell>
          <cell r="K4637" t="str">
            <v>defsi</v>
          </cell>
        </row>
        <row r="4638">
          <cell r="B4638" t="b">
            <v>1</v>
          </cell>
          <cell r="E4638" t="str">
            <v>San Francisco I</v>
          </cell>
          <cell r="H4638" t="str">
            <v>consulta_externa</v>
          </cell>
          <cell r="J4638" t="str">
            <v>bueno</v>
          </cell>
          <cell r="K4638" t="str">
            <v>defsi</v>
          </cell>
        </row>
        <row r="4639">
          <cell r="B4639" t="b">
            <v>1</v>
          </cell>
          <cell r="E4639" t="str">
            <v>Bayunca</v>
          </cell>
          <cell r="H4639" t="str">
            <v>consulta_externa</v>
          </cell>
          <cell r="J4639" t="str">
            <v>bueno</v>
          </cell>
          <cell r="K4639" t="str">
            <v>defsi</v>
          </cell>
        </row>
        <row r="4640">
          <cell r="B4640" t="b">
            <v>1</v>
          </cell>
          <cell r="E4640" t="str">
            <v>Bayunca</v>
          </cell>
          <cell r="H4640" t="str">
            <v>salud_oral</v>
          </cell>
          <cell r="J4640" t="str">
            <v>bueno</v>
          </cell>
          <cell r="K4640" t="str">
            <v>defsi</v>
          </cell>
        </row>
        <row r="4641">
          <cell r="B4641" t="b">
            <v>1</v>
          </cell>
          <cell r="E4641" t="str">
            <v>Bayunca</v>
          </cell>
          <cell r="H4641" t="str">
            <v>laboratorio</v>
          </cell>
          <cell r="J4641" t="str">
            <v>bueno</v>
          </cell>
          <cell r="K4641" t="str">
            <v>defsi</v>
          </cell>
        </row>
        <row r="4642">
          <cell r="B4642" t="b">
            <v>1</v>
          </cell>
          <cell r="E4642" t="str">
            <v>Santa Ana</v>
          </cell>
          <cell r="H4642" t="str">
            <v>consulta_externa</v>
          </cell>
          <cell r="J4642" t="str">
            <v>muybueno</v>
          </cell>
          <cell r="K4642" t="str">
            <v>defsi</v>
          </cell>
        </row>
        <row r="4643">
          <cell r="B4643" t="b">
            <v>1</v>
          </cell>
          <cell r="E4643" t="str">
            <v>Santa Ana</v>
          </cell>
          <cell r="H4643" t="str">
            <v>laboratorio</v>
          </cell>
          <cell r="J4643" t="str">
            <v>muybueno</v>
          </cell>
          <cell r="K4643" t="str">
            <v>defsi</v>
          </cell>
        </row>
        <row r="4644">
          <cell r="B4644" t="b">
            <v>1</v>
          </cell>
          <cell r="E4644" t="str">
            <v>Bayunca</v>
          </cell>
          <cell r="H4644" t="str">
            <v>urgencia</v>
          </cell>
          <cell r="J4644" t="str">
            <v>bueno</v>
          </cell>
          <cell r="K4644" t="str">
            <v>defsi</v>
          </cell>
        </row>
        <row r="4645">
          <cell r="B4645" t="b">
            <v>1</v>
          </cell>
          <cell r="E4645" t="str">
            <v>Bayunca</v>
          </cell>
          <cell r="H4645" t="str">
            <v>consulta_externa</v>
          </cell>
          <cell r="J4645" t="str">
            <v>bueno</v>
          </cell>
          <cell r="K4645" t="str">
            <v>defsi</v>
          </cell>
        </row>
        <row r="4646">
          <cell r="B4646" t="b">
            <v>1</v>
          </cell>
          <cell r="E4646" t="str">
            <v>Bayunca</v>
          </cell>
          <cell r="H4646" t="str">
            <v>salud_oral</v>
          </cell>
          <cell r="J4646" t="str">
            <v>bueno</v>
          </cell>
          <cell r="K4646" t="str">
            <v>defsi</v>
          </cell>
        </row>
        <row r="4647">
          <cell r="B4647" t="b">
            <v>1</v>
          </cell>
          <cell r="E4647" t="str">
            <v>San Francisco I</v>
          </cell>
          <cell r="H4647" t="str">
            <v>consulta_externa</v>
          </cell>
          <cell r="J4647" t="str">
            <v>muybueno</v>
          </cell>
          <cell r="K4647" t="str">
            <v>defsi</v>
          </cell>
        </row>
        <row r="4648">
          <cell r="B4648" t="b">
            <v>1</v>
          </cell>
          <cell r="E4648" t="str">
            <v>San Francisco I</v>
          </cell>
          <cell r="H4648" t="str">
            <v>consulta_externa</v>
          </cell>
          <cell r="J4648" t="str">
            <v>muybueno</v>
          </cell>
          <cell r="K4648" t="str">
            <v>defsi</v>
          </cell>
        </row>
        <row r="4649">
          <cell r="B4649" t="b">
            <v>1</v>
          </cell>
          <cell r="E4649" t="str">
            <v>Bayunca</v>
          </cell>
          <cell r="H4649" t="str">
            <v>laboratorio</v>
          </cell>
          <cell r="J4649" t="str">
            <v>bueno</v>
          </cell>
          <cell r="K4649" t="str">
            <v>defsi</v>
          </cell>
        </row>
        <row r="4650">
          <cell r="B4650" t="b">
            <v>1</v>
          </cell>
          <cell r="E4650" t="str">
            <v>Santa Ana</v>
          </cell>
          <cell r="H4650" t="str">
            <v>consulta_externa</v>
          </cell>
          <cell r="J4650" t="str">
            <v>muybueno</v>
          </cell>
          <cell r="K4650" t="str">
            <v>defsi</v>
          </cell>
        </row>
        <row r="4651">
          <cell r="B4651" t="b">
            <v>1</v>
          </cell>
          <cell r="E4651" t="str">
            <v>Santa Ana</v>
          </cell>
          <cell r="H4651" t="str">
            <v>salud_oral</v>
          </cell>
          <cell r="J4651" t="str">
            <v>muybueno</v>
          </cell>
          <cell r="K4651" t="str">
            <v>defsi</v>
          </cell>
        </row>
        <row r="4652">
          <cell r="B4652" t="b">
            <v>1</v>
          </cell>
          <cell r="E4652" t="str">
            <v>Santa Ana</v>
          </cell>
          <cell r="H4652" t="str">
            <v>consulta_externa</v>
          </cell>
          <cell r="J4652" t="str">
            <v>muybueno</v>
          </cell>
          <cell r="K4652" t="str">
            <v>defsi</v>
          </cell>
        </row>
        <row r="4653">
          <cell r="B4653" t="b">
            <v>1</v>
          </cell>
          <cell r="E4653" t="str">
            <v>Bayunca</v>
          </cell>
          <cell r="H4653" t="str">
            <v>salud_oral</v>
          </cell>
          <cell r="J4653" t="str">
            <v>bueno</v>
          </cell>
          <cell r="K4653" t="str">
            <v>defsi</v>
          </cell>
        </row>
        <row r="4654">
          <cell r="B4654" t="b">
            <v>1</v>
          </cell>
          <cell r="E4654" t="str">
            <v>Bayunca</v>
          </cell>
          <cell r="H4654" t="str">
            <v>laboratorio</v>
          </cell>
          <cell r="J4654" t="str">
            <v>bueno</v>
          </cell>
          <cell r="K4654" t="str">
            <v>defsi</v>
          </cell>
        </row>
        <row r="4655">
          <cell r="B4655" t="b">
            <v>1</v>
          </cell>
          <cell r="E4655" t="str">
            <v>Santa Ana</v>
          </cell>
          <cell r="H4655" t="str">
            <v>laboratorio</v>
          </cell>
          <cell r="J4655" t="str">
            <v>muybueno</v>
          </cell>
          <cell r="K4655" t="str">
            <v>defsi</v>
          </cell>
        </row>
        <row r="4656">
          <cell r="B4656" t="b">
            <v>1</v>
          </cell>
          <cell r="E4656" t="str">
            <v>Bayunca</v>
          </cell>
          <cell r="H4656" t="str">
            <v>urgencia</v>
          </cell>
          <cell r="J4656" t="str">
            <v>bueno</v>
          </cell>
          <cell r="K4656" t="str">
            <v>defsi</v>
          </cell>
        </row>
        <row r="4657">
          <cell r="B4657" t="b">
            <v>1</v>
          </cell>
          <cell r="E4657" t="str">
            <v>San Francisco I</v>
          </cell>
          <cell r="H4657" t="str">
            <v>consulta_externa</v>
          </cell>
          <cell r="J4657" t="str">
            <v>bueno</v>
          </cell>
          <cell r="K4657" t="str">
            <v>defsi</v>
          </cell>
        </row>
        <row r="4658">
          <cell r="B4658" t="b">
            <v>1</v>
          </cell>
          <cell r="E4658" t="str">
            <v>San Francisco I</v>
          </cell>
          <cell r="H4658" t="str">
            <v>consulta_externa</v>
          </cell>
          <cell r="J4658" t="str">
            <v>bueno</v>
          </cell>
          <cell r="K4658" t="str">
            <v>defsi</v>
          </cell>
        </row>
        <row r="4659">
          <cell r="B4659" t="b">
            <v>1</v>
          </cell>
          <cell r="E4659" t="str">
            <v>Bayunca</v>
          </cell>
          <cell r="H4659" t="str">
            <v>consulta_externa</v>
          </cell>
          <cell r="J4659" t="str">
            <v>bueno</v>
          </cell>
          <cell r="K4659" t="str">
            <v>defsi</v>
          </cell>
        </row>
        <row r="4660">
          <cell r="B4660" t="b">
            <v>1</v>
          </cell>
          <cell r="E4660" t="str">
            <v>Bayunca</v>
          </cell>
          <cell r="H4660" t="str">
            <v>salud_oral</v>
          </cell>
          <cell r="J4660" t="str">
            <v>bueno</v>
          </cell>
          <cell r="K4660" t="str">
            <v>defsi</v>
          </cell>
        </row>
        <row r="4661">
          <cell r="B4661" t="b">
            <v>1</v>
          </cell>
          <cell r="E4661" t="str">
            <v>San Francisco I</v>
          </cell>
          <cell r="H4661" t="str">
            <v>consulta_externa</v>
          </cell>
          <cell r="J4661" t="str">
            <v>bueno</v>
          </cell>
          <cell r="K4661" t="str">
            <v>defsi</v>
          </cell>
        </row>
        <row r="4662">
          <cell r="B4662" t="b">
            <v>1</v>
          </cell>
          <cell r="E4662" t="str">
            <v>Bayunca</v>
          </cell>
          <cell r="H4662" t="str">
            <v>laboratorio</v>
          </cell>
          <cell r="J4662" t="str">
            <v>bueno</v>
          </cell>
          <cell r="K4662" t="str">
            <v>defsi</v>
          </cell>
        </row>
        <row r="4663">
          <cell r="B4663" t="b">
            <v>1</v>
          </cell>
          <cell r="E4663" t="str">
            <v>Santa Ana</v>
          </cell>
          <cell r="H4663" t="str">
            <v>laboratorio</v>
          </cell>
          <cell r="J4663" t="str">
            <v>muybueno</v>
          </cell>
          <cell r="K4663" t="str">
            <v>defsi</v>
          </cell>
        </row>
        <row r="4664">
          <cell r="B4664" t="b">
            <v>1</v>
          </cell>
          <cell r="E4664" t="str">
            <v>Bayunca</v>
          </cell>
          <cell r="H4664" t="str">
            <v>urgencia</v>
          </cell>
          <cell r="J4664" t="str">
            <v>bueno</v>
          </cell>
          <cell r="K4664" t="str">
            <v>defsi</v>
          </cell>
        </row>
        <row r="4665">
          <cell r="B4665" t="b">
            <v>1</v>
          </cell>
          <cell r="E4665" t="str">
            <v>San Francisco I</v>
          </cell>
          <cell r="H4665" t="str">
            <v>consulta_externa</v>
          </cell>
          <cell r="J4665" t="str">
            <v>bueno</v>
          </cell>
          <cell r="K4665" t="str">
            <v>defsi</v>
          </cell>
        </row>
        <row r="4666">
          <cell r="B4666" t="b">
            <v>1</v>
          </cell>
          <cell r="E4666" t="str">
            <v>Bayunca</v>
          </cell>
          <cell r="H4666" t="str">
            <v>consulta_externa</v>
          </cell>
          <cell r="J4666" t="str">
            <v>bueno</v>
          </cell>
          <cell r="K4666" t="str">
            <v>defsi</v>
          </cell>
        </row>
        <row r="4667">
          <cell r="B4667" t="b">
            <v>1</v>
          </cell>
          <cell r="E4667" t="str">
            <v>Santa Ana</v>
          </cell>
          <cell r="H4667" t="str">
            <v>urgencia</v>
          </cell>
          <cell r="J4667" t="str">
            <v>muybueno</v>
          </cell>
          <cell r="K4667" t="str">
            <v>defsi</v>
          </cell>
        </row>
        <row r="4668">
          <cell r="B4668" t="b">
            <v>1</v>
          </cell>
          <cell r="E4668" t="str">
            <v>Bayunca</v>
          </cell>
          <cell r="H4668" t="str">
            <v>salud_oral</v>
          </cell>
          <cell r="J4668" t="str">
            <v>bueno</v>
          </cell>
          <cell r="K4668" t="str">
            <v>defsi</v>
          </cell>
        </row>
        <row r="4669">
          <cell r="B4669" t="b">
            <v>1</v>
          </cell>
          <cell r="E4669" t="str">
            <v>Bayunca</v>
          </cell>
          <cell r="H4669" t="str">
            <v>laboratorio</v>
          </cell>
          <cell r="J4669" t="str">
            <v>bueno</v>
          </cell>
          <cell r="K4669" t="str">
            <v>defsi</v>
          </cell>
        </row>
        <row r="4670">
          <cell r="B4670" t="b">
            <v>1</v>
          </cell>
          <cell r="E4670" t="str">
            <v>Pontezuela</v>
          </cell>
          <cell r="H4670" t="str">
            <v>consulta_externa</v>
          </cell>
          <cell r="J4670" t="str">
            <v>bueno</v>
          </cell>
          <cell r="K4670" t="str">
            <v>defsi</v>
          </cell>
        </row>
        <row r="4671">
          <cell r="B4671" t="b">
            <v>1</v>
          </cell>
          <cell r="E4671" t="str">
            <v>Santa Ana</v>
          </cell>
          <cell r="H4671" t="str">
            <v>consulta_externa</v>
          </cell>
          <cell r="J4671" t="str">
            <v>muybueno</v>
          </cell>
          <cell r="K4671" t="str">
            <v>defsi</v>
          </cell>
        </row>
        <row r="4672">
          <cell r="B4672" t="b">
            <v>1</v>
          </cell>
          <cell r="E4672" t="str">
            <v>Pontezuela</v>
          </cell>
          <cell r="H4672" t="str">
            <v>salud_oral</v>
          </cell>
          <cell r="J4672" t="str">
            <v>bueno</v>
          </cell>
          <cell r="K4672" t="str">
            <v>defsi</v>
          </cell>
        </row>
        <row r="4673">
          <cell r="B4673" t="b">
            <v>1</v>
          </cell>
          <cell r="E4673" t="str">
            <v>Santa Ana</v>
          </cell>
          <cell r="H4673" t="str">
            <v>laboratorio</v>
          </cell>
          <cell r="J4673" t="str">
            <v>muybueno</v>
          </cell>
          <cell r="K4673" t="str">
            <v>defsi</v>
          </cell>
        </row>
        <row r="4674">
          <cell r="B4674" t="b">
            <v>1</v>
          </cell>
          <cell r="E4674" t="str">
            <v>Pontezuela</v>
          </cell>
          <cell r="H4674" t="str">
            <v>consulta_externa</v>
          </cell>
          <cell r="J4674" t="str">
            <v>bueno</v>
          </cell>
          <cell r="K4674" t="str">
            <v>defsi</v>
          </cell>
        </row>
        <row r="4675">
          <cell r="B4675" t="b">
            <v>1</v>
          </cell>
          <cell r="E4675" t="str">
            <v>Pontezuela</v>
          </cell>
          <cell r="H4675" t="str">
            <v>salud_oral</v>
          </cell>
          <cell r="J4675" t="str">
            <v>bueno</v>
          </cell>
          <cell r="K4675" t="str">
            <v>defsi</v>
          </cell>
        </row>
        <row r="4676">
          <cell r="B4676" t="b">
            <v>1</v>
          </cell>
          <cell r="E4676" t="str">
            <v>Pontezuela</v>
          </cell>
          <cell r="H4676" t="str">
            <v>consulta_externa</v>
          </cell>
          <cell r="J4676" t="str">
            <v>bueno</v>
          </cell>
          <cell r="K4676" t="str">
            <v>defsi</v>
          </cell>
        </row>
        <row r="4677">
          <cell r="B4677" t="b">
            <v>1</v>
          </cell>
          <cell r="E4677" t="str">
            <v>Santa Ana</v>
          </cell>
          <cell r="H4677" t="str">
            <v>consulta_externa</v>
          </cell>
          <cell r="J4677" t="str">
            <v>muybueno</v>
          </cell>
          <cell r="K4677" t="str">
            <v>defsi</v>
          </cell>
        </row>
        <row r="4678">
          <cell r="B4678" t="b">
            <v>1</v>
          </cell>
          <cell r="E4678" t="str">
            <v>Pontezuela</v>
          </cell>
          <cell r="H4678" t="str">
            <v>salud_oral</v>
          </cell>
          <cell r="J4678" t="str">
            <v>bueno</v>
          </cell>
          <cell r="K4678" t="str">
            <v>defsi</v>
          </cell>
        </row>
        <row r="4679">
          <cell r="B4679" t="b">
            <v>1</v>
          </cell>
          <cell r="E4679" t="str">
            <v>Santa Ana</v>
          </cell>
          <cell r="H4679" t="str">
            <v>laboratorio</v>
          </cell>
          <cell r="J4679" t="str">
            <v>muybueno</v>
          </cell>
          <cell r="K4679" t="str">
            <v>defsi</v>
          </cell>
        </row>
        <row r="4680">
          <cell r="B4680" t="b">
            <v>1</v>
          </cell>
          <cell r="E4680" t="str">
            <v>Daniel Lemaitre</v>
          </cell>
          <cell r="H4680" t="str">
            <v>consulta_externa</v>
          </cell>
          <cell r="J4680" t="str">
            <v>bueno</v>
          </cell>
          <cell r="K4680" t="str">
            <v>defsi</v>
          </cell>
        </row>
        <row r="4681">
          <cell r="B4681" t="b">
            <v>1</v>
          </cell>
          <cell r="E4681" t="str">
            <v>Daniel Lemaitre</v>
          </cell>
          <cell r="H4681" t="str">
            <v>consulta_externa</v>
          </cell>
          <cell r="J4681" t="str">
            <v>bueno</v>
          </cell>
          <cell r="K4681" t="str">
            <v>defsi</v>
          </cell>
        </row>
        <row r="4682">
          <cell r="B4682" t="b">
            <v>1</v>
          </cell>
          <cell r="E4682" t="str">
            <v>Daniel Lemaitre</v>
          </cell>
          <cell r="H4682" t="str">
            <v>consulta_externa</v>
          </cell>
          <cell r="J4682" t="str">
            <v>bueno</v>
          </cell>
          <cell r="K4682" t="str">
            <v>defsi</v>
          </cell>
        </row>
        <row r="4683">
          <cell r="B4683" t="b">
            <v>1</v>
          </cell>
          <cell r="E4683" t="str">
            <v>Daniel Lemaitre</v>
          </cell>
          <cell r="H4683" t="str">
            <v>laboratorio</v>
          </cell>
          <cell r="J4683" t="str">
            <v>bueno</v>
          </cell>
          <cell r="K4683" t="str">
            <v>defsi</v>
          </cell>
        </row>
        <row r="4684">
          <cell r="B4684" t="b">
            <v>1</v>
          </cell>
          <cell r="E4684" t="str">
            <v>Daniel Lemaitre</v>
          </cell>
          <cell r="H4684" t="str">
            <v>laboratorio</v>
          </cell>
          <cell r="J4684" t="str">
            <v>bueno</v>
          </cell>
          <cell r="K4684" t="str">
            <v>defsi</v>
          </cell>
        </row>
        <row r="4685">
          <cell r="B4685" t="b">
            <v>1</v>
          </cell>
          <cell r="E4685" t="str">
            <v>Pontezuela</v>
          </cell>
          <cell r="H4685" t="str">
            <v>consulta_externa</v>
          </cell>
          <cell r="J4685" t="str">
            <v>bueno</v>
          </cell>
          <cell r="K4685" t="str">
            <v>defsi</v>
          </cell>
        </row>
        <row r="4686">
          <cell r="B4686" t="b">
            <v>1</v>
          </cell>
          <cell r="E4686" t="str">
            <v>Pontezuela</v>
          </cell>
          <cell r="H4686" t="str">
            <v>salud_oral</v>
          </cell>
          <cell r="J4686" t="str">
            <v>bueno</v>
          </cell>
          <cell r="K4686" t="str">
            <v>defsi</v>
          </cell>
        </row>
        <row r="4687">
          <cell r="B4687" t="b">
            <v>1</v>
          </cell>
          <cell r="E4687" t="str">
            <v>Daniel Lemaitre</v>
          </cell>
          <cell r="H4687" t="str">
            <v>consulta_externa</v>
          </cell>
          <cell r="J4687" t="str">
            <v>bueno</v>
          </cell>
          <cell r="K4687" t="str">
            <v>defsi</v>
          </cell>
        </row>
        <row r="4688">
          <cell r="B4688" t="b">
            <v>1</v>
          </cell>
          <cell r="E4688" t="str">
            <v>Santa Ana</v>
          </cell>
          <cell r="H4688" t="str">
            <v>consulta_externa</v>
          </cell>
          <cell r="J4688" t="str">
            <v>muybueno</v>
          </cell>
          <cell r="K4688" t="str">
            <v>defsi</v>
          </cell>
        </row>
        <row r="4689">
          <cell r="B4689" t="b">
            <v>1</v>
          </cell>
          <cell r="E4689" t="str">
            <v>Daniel Lemaitre</v>
          </cell>
          <cell r="H4689" t="str">
            <v>laboratorio</v>
          </cell>
          <cell r="J4689" t="str">
            <v>bueno</v>
          </cell>
          <cell r="K4689" t="str">
            <v>defsi</v>
          </cell>
        </row>
        <row r="4690">
          <cell r="B4690" t="b">
            <v>1</v>
          </cell>
          <cell r="E4690" t="str">
            <v>Pontezuela</v>
          </cell>
          <cell r="H4690" t="str">
            <v>consulta_externa</v>
          </cell>
          <cell r="J4690" t="str">
            <v>bueno</v>
          </cell>
          <cell r="K4690" t="str">
            <v>defsi</v>
          </cell>
        </row>
        <row r="4691">
          <cell r="B4691" t="b">
            <v>1</v>
          </cell>
          <cell r="E4691" t="str">
            <v>Pontezuela</v>
          </cell>
          <cell r="H4691" t="str">
            <v>salud_oral</v>
          </cell>
          <cell r="J4691" t="str">
            <v>bueno</v>
          </cell>
          <cell r="K4691" t="str">
            <v>defsi</v>
          </cell>
        </row>
        <row r="4692">
          <cell r="B4692" t="b">
            <v>1</v>
          </cell>
          <cell r="E4692" t="str">
            <v>Daniel Lemaitre</v>
          </cell>
          <cell r="H4692" t="str">
            <v>laboratorio</v>
          </cell>
          <cell r="J4692" t="str">
            <v>bueno</v>
          </cell>
          <cell r="K4692" t="str">
            <v>defsi</v>
          </cell>
        </row>
        <row r="4693">
          <cell r="B4693" t="b">
            <v>1</v>
          </cell>
          <cell r="E4693" t="str">
            <v>Daniel Lemaitre</v>
          </cell>
          <cell r="H4693" t="str">
            <v>consulta_externa</v>
          </cell>
          <cell r="J4693" t="str">
            <v>bueno</v>
          </cell>
          <cell r="K4693" t="str">
            <v>defsi</v>
          </cell>
        </row>
        <row r="4694">
          <cell r="B4694" t="b">
            <v>1</v>
          </cell>
          <cell r="E4694" t="str">
            <v>Pontezuela</v>
          </cell>
          <cell r="H4694" t="str">
            <v>salud_oral</v>
          </cell>
          <cell r="J4694" t="str">
            <v>bueno</v>
          </cell>
          <cell r="K4694" t="str">
            <v>defsi</v>
          </cell>
        </row>
        <row r="4695">
          <cell r="B4695" t="b">
            <v>1</v>
          </cell>
          <cell r="E4695" t="str">
            <v>Daniel Lemaitre</v>
          </cell>
          <cell r="H4695" t="str">
            <v>salud_oral</v>
          </cell>
          <cell r="J4695" t="str">
            <v>bueno</v>
          </cell>
          <cell r="K4695" t="str">
            <v>defsi</v>
          </cell>
        </row>
        <row r="4696">
          <cell r="B4696" t="b">
            <v>1</v>
          </cell>
          <cell r="E4696" t="str">
            <v>Daniel Lemaitre</v>
          </cell>
          <cell r="H4696" t="str">
            <v>salud_oral</v>
          </cell>
          <cell r="J4696" t="str">
            <v>bueno</v>
          </cell>
          <cell r="K4696" t="str">
            <v>defsi</v>
          </cell>
        </row>
        <row r="4697">
          <cell r="B4697" t="b">
            <v>1</v>
          </cell>
          <cell r="E4697" t="str">
            <v>Pontezuela</v>
          </cell>
          <cell r="H4697" t="str">
            <v>consulta_externa</v>
          </cell>
          <cell r="J4697" t="str">
            <v>bueno</v>
          </cell>
          <cell r="K4697" t="str">
            <v>defsi</v>
          </cell>
        </row>
        <row r="4698">
          <cell r="B4698" t="b">
            <v>1</v>
          </cell>
          <cell r="E4698" t="str">
            <v>Daniel Lemaitre</v>
          </cell>
          <cell r="H4698" t="str">
            <v>salud_oral</v>
          </cell>
          <cell r="J4698" t="str">
            <v>bueno</v>
          </cell>
          <cell r="K4698" t="str">
            <v>defsi</v>
          </cell>
        </row>
        <row r="4699">
          <cell r="B4699" t="b">
            <v>1</v>
          </cell>
          <cell r="E4699" t="str">
            <v>Santa Ana</v>
          </cell>
          <cell r="H4699" t="str">
            <v>consulta_externa</v>
          </cell>
          <cell r="J4699" t="str">
            <v>muybueno</v>
          </cell>
          <cell r="K4699" t="str">
            <v>defsi</v>
          </cell>
        </row>
        <row r="4700">
          <cell r="B4700" t="b">
            <v>1</v>
          </cell>
          <cell r="E4700" t="str">
            <v>Pontezuela</v>
          </cell>
          <cell r="H4700" t="str">
            <v>salud_oral</v>
          </cell>
          <cell r="J4700" t="str">
            <v>bueno</v>
          </cell>
          <cell r="K4700" t="str">
            <v>defsi</v>
          </cell>
        </row>
        <row r="4701">
          <cell r="B4701" t="b">
            <v>1</v>
          </cell>
          <cell r="E4701" t="str">
            <v>Daniel Lemaitre</v>
          </cell>
          <cell r="H4701" t="str">
            <v>salud_oral</v>
          </cell>
          <cell r="J4701" t="str">
            <v>bueno</v>
          </cell>
          <cell r="K4701" t="str">
            <v>defsi</v>
          </cell>
        </row>
        <row r="4702">
          <cell r="B4702" t="b">
            <v>1</v>
          </cell>
          <cell r="E4702" t="str">
            <v>Santa Ana</v>
          </cell>
          <cell r="H4702" t="str">
            <v>laboratorio</v>
          </cell>
          <cell r="J4702" t="str">
            <v>muybueno</v>
          </cell>
          <cell r="K4702" t="str">
            <v>defsi</v>
          </cell>
        </row>
        <row r="4703">
          <cell r="B4703" t="b">
            <v>1</v>
          </cell>
          <cell r="E4703" t="str">
            <v>Daniel Lemaitre</v>
          </cell>
          <cell r="H4703" t="str">
            <v>consulta_externa</v>
          </cell>
          <cell r="J4703" t="str">
            <v>bueno</v>
          </cell>
          <cell r="K4703" t="str">
            <v>defsi</v>
          </cell>
        </row>
        <row r="4704">
          <cell r="B4704" t="b">
            <v>1</v>
          </cell>
          <cell r="E4704" t="str">
            <v>Pontezuela</v>
          </cell>
          <cell r="H4704" t="str">
            <v>consulta_externa</v>
          </cell>
          <cell r="J4704" t="str">
            <v>bueno</v>
          </cell>
          <cell r="K4704" t="str">
            <v>defsi</v>
          </cell>
        </row>
        <row r="4705">
          <cell r="B4705" t="b">
            <v>1</v>
          </cell>
          <cell r="E4705" t="str">
            <v>Daniel Lemaitre</v>
          </cell>
          <cell r="H4705" t="str">
            <v>consulta_externa</v>
          </cell>
          <cell r="J4705" t="str">
            <v>bueno</v>
          </cell>
          <cell r="K4705" t="str">
            <v>defsi</v>
          </cell>
        </row>
        <row r="4706">
          <cell r="B4706" t="b">
            <v>1</v>
          </cell>
          <cell r="E4706" t="str">
            <v>Daniel Lemaitre</v>
          </cell>
          <cell r="H4706" t="str">
            <v>laboratorio</v>
          </cell>
          <cell r="J4706" t="str">
            <v>bueno</v>
          </cell>
          <cell r="K4706" t="str">
            <v>defsi</v>
          </cell>
        </row>
        <row r="4707">
          <cell r="B4707" t="b">
            <v>1</v>
          </cell>
          <cell r="E4707" t="str">
            <v>Pontezuela</v>
          </cell>
          <cell r="H4707" t="str">
            <v>salud_oral</v>
          </cell>
          <cell r="J4707" t="str">
            <v>bueno</v>
          </cell>
          <cell r="K4707" t="str">
            <v>defsi</v>
          </cell>
        </row>
        <row r="4708">
          <cell r="B4708" t="b">
            <v>1</v>
          </cell>
          <cell r="E4708" t="str">
            <v>Daniel Lemaitre</v>
          </cell>
          <cell r="H4708" t="str">
            <v>laboratorio</v>
          </cell>
          <cell r="J4708" t="str">
            <v>bueno</v>
          </cell>
          <cell r="K4708" t="str">
            <v>defsi</v>
          </cell>
        </row>
        <row r="4709">
          <cell r="B4709" t="b">
            <v>1</v>
          </cell>
          <cell r="E4709" t="str">
            <v>Santa Ana</v>
          </cell>
          <cell r="H4709" t="str">
            <v>salud_oral</v>
          </cell>
          <cell r="J4709" t="str">
            <v>muybueno</v>
          </cell>
          <cell r="K4709" t="str">
            <v>defsi</v>
          </cell>
        </row>
        <row r="4710">
          <cell r="B4710" t="b">
            <v>1</v>
          </cell>
          <cell r="E4710" t="str">
            <v>Pontezuela</v>
          </cell>
          <cell r="H4710" t="str">
            <v>consulta_externa</v>
          </cell>
          <cell r="J4710" t="str">
            <v>bueno</v>
          </cell>
          <cell r="K4710" t="str">
            <v>defsi</v>
          </cell>
        </row>
        <row r="4711">
          <cell r="B4711" t="b">
            <v>1</v>
          </cell>
          <cell r="E4711" t="str">
            <v>Daniel Lemaitre</v>
          </cell>
          <cell r="H4711" t="str">
            <v>salud_oral</v>
          </cell>
          <cell r="J4711" t="str">
            <v>bueno</v>
          </cell>
          <cell r="K4711" t="str">
            <v>defsi</v>
          </cell>
        </row>
        <row r="4712">
          <cell r="B4712" t="b">
            <v>1</v>
          </cell>
          <cell r="E4712" t="str">
            <v>Pontezuela</v>
          </cell>
          <cell r="H4712" t="str">
            <v>salud_oral</v>
          </cell>
          <cell r="J4712" t="str">
            <v>bueno</v>
          </cell>
          <cell r="K4712" t="str">
            <v>defsi</v>
          </cell>
        </row>
        <row r="4713">
          <cell r="B4713" t="b">
            <v>1</v>
          </cell>
          <cell r="E4713" t="str">
            <v>Daniel Lemaitre</v>
          </cell>
          <cell r="H4713" t="str">
            <v>salud_oral</v>
          </cell>
          <cell r="J4713" t="str">
            <v>bueno</v>
          </cell>
          <cell r="K4713" t="str">
            <v>defsi</v>
          </cell>
        </row>
        <row r="4714">
          <cell r="B4714" t="b">
            <v>1</v>
          </cell>
          <cell r="E4714" t="str">
            <v>Pontezuela</v>
          </cell>
          <cell r="H4714" t="str">
            <v>consulta_externa</v>
          </cell>
          <cell r="J4714" t="str">
            <v>bueno</v>
          </cell>
          <cell r="K4714" t="str">
            <v>defsi</v>
          </cell>
        </row>
        <row r="4715">
          <cell r="B4715" t="b">
            <v>1</v>
          </cell>
          <cell r="E4715" t="str">
            <v>Pontezuela</v>
          </cell>
          <cell r="H4715" t="str">
            <v>consulta_externa</v>
          </cell>
          <cell r="J4715" t="str">
            <v>bueno</v>
          </cell>
          <cell r="K4715" t="str">
            <v>defsi</v>
          </cell>
        </row>
        <row r="4716">
          <cell r="B4716" t="b">
            <v>1</v>
          </cell>
          <cell r="E4716" t="str">
            <v>Pontezuela</v>
          </cell>
          <cell r="H4716" t="str">
            <v>salud_oral</v>
          </cell>
          <cell r="J4716" t="str">
            <v>bueno</v>
          </cell>
          <cell r="K4716" t="str">
            <v>defsi</v>
          </cell>
        </row>
        <row r="4717">
          <cell r="B4717" t="b">
            <v>1</v>
          </cell>
          <cell r="E4717" t="str">
            <v>Santa Ana</v>
          </cell>
          <cell r="H4717" t="str">
            <v>salud_oral</v>
          </cell>
          <cell r="J4717" t="str">
            <v>muybueno</v>
          </cell>
          <cell r="K4717" t="str">
            <v>defsi</v>
          </cell>
        </row>
        <row r="4718">
          <cell r="B4718" t="b">
            <v>1</v>
          </cell>
          <cell r="E4718" t="str">
            <v>Santa Ana</v>
          </cell>
          <cell r="H4718" t="str">
            <v>consulta_externa</v>
          </cell>
          <cell r="J4718" t="str">
            <v>muybueno</v>
          </cell>
          <cell r="K4718" t="str">
            <v>defsi</v>
          </cell>
        </row>
        <row r="4719">
          <cell r="B4719" t="b">
            <v>1</v>
          </cell>
          <cell r="E4719" t="str">
            <v>Santa Ana</v>
          </cell>
          <cell r="H4719" t="str">
            <v>laboratorio</v>
          </cell>
          <cell r="J4719" t="str">
            <v>muybueno</v>
          </cell>
          <cell r="K4719" t="str">
            <v>defsi</v>
          </cell>
        </row>
        <row r="4720">
          <cell r="B4720" t="b">
            <v>1</v>
          </cell>
          <cell r="E4720" t="str">
            <v>Santa Ana</v>
          </cell>
          <cell r="H4720" t="str">
            <v>salud_oral</v>
          </cell>
          <cell r="J4720" t="str">
            <v>muybueno</v>
          </cell>
          <cell r="K4720" t="str">
            <v>defsi</v>
          </cell>
        </row>
        <row r="4721">
          <cell r="B4721" t="b">
            <v>1</v>
          </cell>
          <cell r="E4721" t="str">
            <v>Los Cerros</v>
          </cell>
          <cell r="H4721" t="str">
            <v>medicina_interna</v>
          </cell>
          <cell r="J4721" t="str">
            <v>bueno</v>
          </cell>
          <cell r="K4721" t="str">
            <v>probsi</v>
          </cell>
        </row>
        <row r="4722">
          <cell r="B4722" t="b">
            <v>1</v>
          </cell>
          <cell r="E4722" t="str">
            <v>Los Cerros</v>
          </cell>
          <cell r="H4722" t="str">
            <v>medicina_interna</v>
          </cell>
          <cell r="J4722" t="str">
            <v>bueno</v>
          </cell>
          <cell r="K4722" t="str">
            <v>probsi</v>
          </cell>
        </row>
        <row r="4723">
          <cell r="B4723" t="b">
            <v>1</v>
          </cell>
          <cell r="E4723" t="str">
            <v>Los Cerros</v>
          </cell>
          <cell r="H4723" t="str">
            <v>medicina_interna</v>
          </cell>
          <cell r="J4723" t="str">
            <v>bueno</v>
          </cell>
          <cell r="K4723" t="str">
            <v>probsi</v>
          </cell>
        </row>
        <row r="4724">
          <cell r="B4724" t="b">
            <v>1</v>
          </cell>
          <cell r="E4724" t="str">
            <v>Los Cerros</v>
          </cell>
          <cell r="H4724" t="str">
            <v>medicina_interna</v>
          </cell>
          <cell r="J4724" t="str">
            <v>bueno</v>
          </cell>
          <cell r="K4724" t="str">
            <v>probsi</v>
          </cell>
        </row>
        <row r="4725">
          <cell r="B4725" t="b">
            <v>1</v>
          </cell>
          <cell r="E4725" t="str">
            <v>Los Cerros</v>
          </cell>
          <cell r="H4725" t="str">
            <v>medicina_interna</v>
          </cell>
          <cell r="J4725" t="str">
            <v>bueno</v>
          </cell>
          <cell r="K4725" t="str">
            <v>probsi</v>
          </cell>
        </row>
        <row r="4726">
          <cell r="B4726" t="b">
            <v>1</v>
          </cell>
          <cell r="E4726" t="str">
            <v>Los Cerros</v>
          </cell>
          <cell r="H4726" t="str">
            <v>pediatria</v>
          </cell>
          <cell r="J4726" t="str">
            <v>bueno</v>
          </cell>
          <cell r="K4726" t="str">
            <v>probsi</v>
          </cell>
        </row>
        <row r="4727">
          <cell r="B4727" t="b">
            <v>1</v>
          </cell>
          <cell r="E4727" t="str">
            <v>Los Cerros</v>
          </cell>
          <cell r="H4727" t="str">
            <v>pediatria</v>
          </cell>
          <cell r="J4727" t="str">
            <v>bueno</v>
          </cell>
          <cell r="K4727" t="str">
            <v>probsi</v>
          </cell>
        </row>
        <row r="4728">
          <cell r="B4728" t="b">
            <v>1</v>
          </cell>
          <cell r="E4728" t="str">
            <v>Los Cerros</v>
          </cell>
          <cell r="H4728" t="str">
            <v>pediatria</v>
          </cell>
          <cell r="J4728" t="str">
            <v>bueno</v>
          </cell>
          <cell r="K4728" t="str">
            <v>probsi</v>
          </cell>
        </row>
        <row r="4729">
          <cell r="B4729" t="b">
            <v>1</v>
          </cell>
          <cell r="E4729" t="str">
            <v>Los Cerros</v>
          </cell>
          <cell r="H4729" t="str">
            <v>pediatria</v>
          </cell>
          <cell r="J4729" t="str">
            <v>bueno</v>
          </cell>
          <cell r="K4729" t="str">
            <v>probsi</v>
          </cell>
        </row>
        <row r="4730">
          <cell r="B4730" t="b">
            <v>1</v>
          </cell>
          <cell r="E4730" t="str">
            <v>Santa Ana</v>
          </cell>
          <cell r="H4730" t="str">
            <v>consulta_externa</v>
          </cell>
          <cell r="J4730" t="str">
            <v>muybueno</v>
          </cell>
          <cell r="K4730" t="str">
            <v>defsi</v>
          </cell>
        </row>
        <row r="4731">
          <cell r="B4731" t="b">
            <v>1</v>
          </cell>
          <cell r="E4731" t="str">
            <v>Santa Ana</v>
          </cell>
          <cell r="H4731" t="str">
            <v>laboratorio</v>
          </cell>
          <cell r="J4731" t="str">
            <v>muybueno</v>
          </cell>
          <cell r="K4731" t="str">
            <v>defsi</v>
          </cell>
        </row>
        <row r="4732">
          <cell r="B4732" t="b">
            <v>1</v>
          </cell>
          <cell r="E4732" t="str">
            <v>Santa Ana</v>
          </cell>
          <cell r="H4732" t="str">
            <v>salud_oral</v>
          </cell>
          <cell r="J4732" t="str">
            <v>muybueno</v>
          </cell>
          <cell r="K4732" t="str">
            <v>defsi</v>
          </cell>
        </row>
        <row r="4733">
          <cell r="B4733" t="b">
            <v>0</v>
          </cell>
          <cell r="E4733" t="str">
            <v>Daniel Lemaitre</v>
          </cell>
          <cell r="H4733" t="str">
            <v>consulta_externa</v>
          </cell>
          <cell r="J4733" t="str">
            <v>regular</v>
          </cell>
          <cell r="K4733" t="str">
            <v>probno</v>
          </cell>
        </row>
        <row r="4734">
          <cell r="B4734" t="b">
            <v>0</v>
          </cell>
          <cell r="E4734" t="str">
            <v>Daniel Lemaitre</v>
          </cell>
          <cell r="H4734" t="str">
            <v>salud_oral</v>
          </cell>
          <cell r="J4734" t="str">
            <v>regular</v>
          </cell>
          <cell r="K4734" t="str">
            <v>probno</v>
          </cell>
        </row>
        <row r="4735">
          <cell r="B4735" t="b">
            <v>0</v>
          </cell>
          <cell r="E4735" t="str">
            <v>Daniel Lemaitre</v>
          </cell>
          <cell r="H4735" t="str">
            <v>consulta_externa</v>
          </cell>
          <cell r="J4735" t="str">
            <v>regular</v>
          </cell>
          <cell r="K4735" t="str">
            <v>probno</v>
          </cell>
        </row>
        <row r="4736">
          <cell r="B4736" t="b">
            <v>1</v>
          </cell>
          <cell r="E4736" t="str">
            <v>Daniel Lemaitre</v>
          </cell>
          <cell r="H4736" t="str">
            <v>salud_oral</v>
          </cell>
          <cell r="J4736" t="str">
            <v>bueno</v>
          </cell>
          <cell r="K4736" t="str">
            <v>defsi</v>
          </cell>
        </row>
        <row r="4737">
          <cell r="B4737" t="b">
            <v>1</v>
          </cell>
          <cell r="E4737" t="str">
            <v>Santa Ana</v>
          </cell>
          <cell r="H4737" t="str">
            <v>consulta_externa</v>
          </cell>
          <cell r="J4737" t="str">
            <v>muybueno</v>
          </cell>
          <cell r="K4737" t="str">
            <v>defsi</v>
          </cell>
        </row>
        <row r="4738">
          <cell r="B4738" t="b">
            <v>1</v>
          </cell>
          <cell r="E4738" t="str">
            <v>Daniel Lemaitre</v>
          </cell>
          <cell r="H4738" t="str">
            <v>laboratorio</v>
          </cell>
          <cell r="J4738" t="str">
            <v>bueno</v>
          </cell>
          <cell r="K4738" t="str">
            <v>defsi</v>
          </cell>
        </row>
        <row r="4739">
          <cell r="B4739" t="b">
            <v>1</v>
          </cell>
          <cell r="E4739" t="str">
            <v>Santa Ana</v>
          </cell>
          <cell r="H4739" t="str">
            <v>laboratorio</v>
          </cell>
          <cell r="J4739" t="str">
            <v>muybueno</v>
          </cell>
          <cell r="K4739" t="str">
            <v>defsi</v>
          </cell>
        </row>
        <row r="4740">
          <cell r="B4740" t="b">
            <v>1</v>
          </cell>
          <cell r="E4740" t="str">
            <v>Santa Ana</v>
          </cell>
          <cell r="H4740" t="str">
            <v>consulta_externa</v>
          </cell>
          <cell r="J4740" t="str">
            <v>muybueno</v>
          </cell>
          <cell r="K4740" t="str">
            <v>defsi</v>
          </cell>
        </row>
        <row r="4741">
          <cell r="B4741" t="b">
            <v>1</v>
          </cell>
          <cell r="E4741" t="str">
            <v>Santa Ana</v>
          </cell>
          <cell r="H4741" t="str">
            <v>laboratorio</v>
          </cell>
          <cell r="J4741" t="str">
            <v>muybueno</v>
          </cell>
          <cell r="K4741" t="str">
            <v>defsi</v>
          </cell>
        </row>
        <row r="4742">
          <cell r="B4742" t="b">
            <v>1</v>
          </cell>
          <cell r="E4742" t="str">
            <v>Nuevo Bosque</v>
          </cell>
          <cell r="H4742" t="str">
            <v>laboratorio</v>
          </cell>
          <cell r="J4742" t="str">
            <v>bueno</v>
          </cell>
          <cell r="K4742" t="str">
            <v>probsi</v>
          </cell>
        </row>
        <row r="4743">
          <cell r="B4743" t="b">
            <v>1</v>
          </cell>
          <cell r="E4743" t="str">
            <v>Nuevo Bosque</v>
          </cell>
          <cell r="H4743" t="str">
            <v>laboratorio</v>
          </cell>
          <cell r="J4743" t="str">
            <v>bueno</v>
          </cell>
          <cell r="K4743" t="str">
            <v>probsi</v>
          </cell>
        </row>
        <row r="4744">
          <cell r="B4744" t="b">
            <v>0</v>
          </cell>
          <cell r="E4744" t="str">
            <v>Nuevo Bosque</v>
          </cell>
          <cell r="H4744" t="str">
            <v>laboratorio</v>
          </cell>
          <cell r="J4744" t="str">
            <v>regular</v>
          </cell>
          <cell r="K4744" t="str">
            <v>probsi</v>
          </cell>
        </row>
        <row r="4745">
          <cell r="B4745" t="b">
            <v>1</v>
          </cell>
          <cell r="E4745" t="str">
            <v>Nuevo Bosque</v>
          </cell>
          <cell r="H4745" t="str">
            <v>laboratorio</v>
          </cell>
          <cell r="J4745" t="str">
            <v>bueno</v>
          </cell>
          <cell r="K4745" t="str">
            <v>probsi</v>
          </cell>
        </row>
        <row r="4746">
          <cell r="B4746" t="b">
            <v>1</v>
          </cell>
          <cell r="E4746" t="str">
            <v>Nuevo Bosque</v>
          </cell>
          <cell r="H4746" t="str">
            <v>laboratorio</v>
          </cell>
          <cell r="J4746" t="str">
            <v>bueno</v>
          </cell>
          <cell r="K4746" t="str">
            <v>probsi</v>
          </cell>
        </row>
        <row r="4747">
          <cell r="B4747" t="b">
            <v>1</v>
          </cell>
          <cell r="E4747" t="str">
            <v>Nuevo Bosque</v>
          </cell>
          <cell r="H4747" t="str">
            <v>laboratorio</v>
          </cell>
          <cell r="J4747" t="str">
            <v>bueno</v>
          </cell>
          <cell r="K4747" t="str">
            <v>probsi</v>
          </cell>
        </row>
        <row r="4748">
          <cell r="B4748" t="b">
            <v>1</v>
          </cell>
          <cell r="E4748" t="str">
            <v>Nuevo Bosque</v>
          </cell>
          <cell r="H4748" t="str">
            <v>salud_oral</v>
          </cell>
          <cell r="J4748" t="str">
            <v>bueno</v>
          </cell>
          <cell r="K4748" t="str">
            <v>probsi</v>
          </cell>
        </row>
        <row r="4749">
          <cell r="B4749" t="b">
            <v>1</v>
          </cell>
          <cell r="E4749" t="str">
            <v>Nuevo Bosque</v>
          </cell>
          <cell r="H4749" t="str">
            <v>salud_oral</v>
          </cell>
          <cell r="J4749" t="str">
            <v>bueno</v>
          </cell>
          <cell r="K4749" t="str">
            <v>probsi</v>
          </cell>
        </row>
        <row r="4750">
          <cell r="B4750" t="b">
            <v>1</v>
          </cell>
          <cell r="E4750" t="str">
            <v>Nuevo Bosque</v>
          </cell>
          <cell r="H4750" t="str">
            <v>salud_oral</v>
          </cell>
          <cell r="J4750" t="str">
            <v>bueno</v>
          </cell>
          <cell r="K4750" t="str">
            <v>probsi</v>
          </cell>
        </row>
        <row r="4751">
          <cell r="B4751" t="b">
            <v>1</v>
          </cell>
          <cell r="E4751" t="str">
            <v>Nuevo Bosque</v>
          </cell>
          <cell r="H4751" t="str">
            <v>salud_oral</v>
          </cell>
          <cell r="J4751" t="str">
            <v>bueno</v>
          </cell>
          <cell r="K4751" t="str">
            <v>probsi</v>
          </cell>
        </row>
        <row r="4752">
          <cell r="B4752" t="b">
            <v>1</v>
          </cell>
          <cell r="E4752" t="str">
            <v>Nuevo Bosque</v>
          </cell>
          <cell r="H4752" t="str">
            <v>salud_oral</v>
          </cell>
          <cell r="J4752" t="str">
            <v>bueno</v>
          </cell>
          <cell r="K4752" t="str">
            <v>probsi</v>
          </cell>
        </row>
        <row r="4753">
          <cell r="B4753" t="b">
            <v>1</v>
          </cell>
          <cell r="E4753" t="str">
            <v>Nuevo Bosque</v>
          </cell>
          <cell r="H4753" t="str">
            <v>salud_oral</v>
          </cell>
          <cell r="J4753" t="str">
            <v>bueno</v>
          </cell>
          <cell r="K4753" t="str">
            <v>probsi</v>
          </cell>
        </row>
        <row r="4754">
          <cell r="B4754" t="b">
            <v>1</v>
          </cell>
          <cell r="E4754" t="str">
            <v>Nuevo Bosque</v>
          </cell>
          <cell r="H4754" t="str">
            <v>salud_oral</v>
          </cell>
          <cell r="J4754" t="str">
            <v>bueno</v>
          </cell>
          <cell r="K4754" t="str">
            <v>probsi</v>
          </cell>
        </row>
        <row r="4755">
          <cell r="B4755" t="b">
            <v>1</v>
          </cell>
          <cell r="E4755" t="str">
            <v>Nuevo Bosque</v>
          </cell>
          <cell r="H4755" t="str">
            <v>urgencia</v>
          </cell>
          <cell r="J4755" t="str">
            <v>bueno</v>
          </cell>
          <cell r="K4755" t="str">
            <v>probsi</v>
          </cell>
        </row>
        <row r="4756">
          <cell r="B4756" t="b">
            <v>1</v>
          </cell>
          <cell r="E4756" t="str">
            <v>Nuevo Bosque</v>
          </cell>
          <cell r="H4756" t="str">
            <v>urgencia</v>
          </cell>
          <cell r="J4756" t="str">
            <v>bueno</v>
          </cell>
          <cell r="K4756" t="str">
            <v>probsi</v>
          </cell>
        </row>
        <row r="4757">
          <cell r="B4757" t="b">
            <v>0</v>
          </cell>
          <cell r="E4757" t="str">
            <v>Nuevo Bosque</v>
          </cell>
          <cell r="H4757" t="str">
            <v>urgencia</v>
          </cell>
          <cell r="J4757" t="str">
            <v>regular</v>
          </cell>
          <cell r="K4757" t="str">
            <v>probsi</v>
          </cell>
        </row>
        <row r="4758">
          <cell r="B4758" t="b">
            <v>1</v>
          </cell>
          <cell r="E4758" t="str">
            <v>Nuevo Bosque</v>
          </cell>
          <cell r="H4758" t="str">
            <v>urgencia</v>
          </cell>
          <cell r="J4758" t="str">
            <v>bueno</v>
          </cell>
          <cell r="K4758" t="str">
            <v>probsi</v>
          </cell>
        </row>
        <row r="4759">
          <cell r="B4759" t="b">
            <v>1</v>
          </cell>
          <cell r="E4759" t="str">
            <v>Nuevo Bosque</v>
          </cell>
          <cell r="H4759" t="str">
            <v>urgencia</v>
          </cell>
          <cell r="J4759" t="str">
            <v>bueno</v>
          </cell>
          <cell r="K4759" t="str">
            <v>probsi</v>
          </cell>
        </row>
        <row r="4760">
          <cell r="B4760" t="b">
            <v>1</v>
          </cell>
          <cell r="E4760" t="str">
            <v>Nuevo Bosque</v>
          </cell>
          <cell r="H4760" t="str">
            <v>urgencia</v>
          </cell>
          <cell r="J4760" t="str">
            <v>bueno</v>
          </cell>
          <cell r="K4760" t="str">
            <v>probsi</v>
          </cell>
        </row>
        <row r="4761">
          <cell r="B4761" t="b">
            <v>1</v>
          </cell>
          <cell r="E4761" t="str">
            <v>Nuevo Bosque</v>
          </cell>
          <cell r="H4761" t="str">
            <v>urgencia</v>
          </cell>
          <cell r="J4761" t="str">
            <v>bueno</v>
          </cell>
          <cell r="K4761" t="str">
            <v>probsi</v>
          </cell>
        </row>
        <row r="4762">
          <cell r="B4762" t="b">
            <v>1</v>
          </cell>
          <cell r="E4762" t="str">
            <v>Nuevo Bosque</v>
          </cell>
          <cell r="H4762" t="str">
            <v>urgencia</v>
          </cell>
          <cell r="J4762" t="str">
            <v>bueno</v>
          </cell>
          <cell r="K4762" t="str">
            <v>probsi</v>
          </cell>
        </row>
        <row r="4763">
          <cell r="B4763" t="b">
            <v>1</v>
          </cell>
          <cell r="E4763" t="str">
            <v>Nuevo Bosque</v>
          </cell>
          <cell r="H4763" t="str">
            <v>urgencia</v>
          </cell>
          <cell r="J4763" t="str">
            <v>bueno</v>
          </cell>
          <cell r="K4763" t="str">
            <v>probsi</v>
          </cell>
        </row>
        <row r="4764">
          <cell r="B4764" t="b">
            <v>1</v>
          </cell>
          <cell r="E4764" t="str">
            <v>Santa Ana</v>
          </cell>
          <cell r="H4764" t="str">
            <v>consulta_externa</v>
          </cell>
          <cell r="J4764" t="str">
            <v>muybueno</v>
          </cell>
          <cell r="K4764" t="str">
            <v>defsi</v>
          </cell>
        </row>
        <row r="4765">
          <cell r="B4765" t="b">
            <v>1</v>
          </cell>
          <cell r="E4765" t="str">
            <v>Santa Ana</v>
          </cell>
          <cell r="H4765" t="str">
            <v>laboratorio</v>
          </cell>
          <cell r="J4765" t="str">
            <v>muybueno</v>
          </cell>
          <cell r="K4765" t="str">
            <v>defsi</v>
          </cell>
        </row>
        <row r="4766">
          <cell r="B4766" t="b">
            <v>1</v>
          </cell>
          <cell r="E4766" t="str">
            <v>Santa Ana</v>
          </cell>
          <cell r="H4766" t="str">
            <v>consulta_externa</v>
          </cell>
          <cell r="J4766" t="str">
            <v>muybueno</v>
          </cell>
          <cell r="K4766" t="str">
            <v>defsi</v>
          </cell>
        </row>
        <row r="4767">
          <cell r="B4767" t="b">
            <v>1</v>
          </cell>
          <cell r="E4767" t="str">
            <v>Santa Ana</v>
          </cell>
          <cell r="H4767" t="str">
            <v>salud_oral</v>
          </cell>
          <cell r="J4767" t="str">
            <v>muybueno</v>
          </cell>
          <cell r="K4767" t="str">
            <v>defsi</v>
          </cell>
        </row>
        <row r="4768">
          <cell r="B4768" t="b">
            <v>1</v>
          </cell>
          <cell r="E4768" t="str">
            <v>Santa Ana</v>
          </cell>
          <cell r="H4768" t="str">
            <v>consulta_externa</v>
          </cell>
          <cell r="J4768" t="str">
            <v>muybueno</v>
          </cell>
          <cell r="K4768" t="str">
            <v>defsi</v>
          </cell>
        </row>
        <row r="4769">
          <cell r="B4769" t="b">
            <v>1</v>
          </cell>
          <cell r="E4769" t="str">
            <v>Santa Ana</v>
          </cell>
          <cell r="H4769" t="str">
            <v>laboratorio</v>
          </cell>
          <cell r="J4769" t="str">
            <v>muybueno</v>
          </cell>
          <cell r="K4769" t="str">
            <v>defsi</v>
          </cell>
        </row>
        <row r="4770">
          <cell r="B4770" t="b">
            <v>1</v>
          </cell>
          <cell r="E4770" t="str">
            <v>Santa Ana</v>
          </cell>
          <cell r="H4770" t="str">
            <v>salud_oral</v>
          </cell>
          <cell r="J4770" t="str">
            <v>muybueno</v>
          </cell>
          <cell r="K4770" t="str">
            <v>defsi</v>
          </cell>
        </row>
        <row r="4771">
          <cell r="B4771" t="b">
            <v>1</v>
          </cell>
          <cell r="E4771" t="str">
            <v>Daniel Lemaitre</v>
          </cell>
          <cell r="H4771" t="str">
            <v>laboratorio</v>
          </cell>
          <cell r="J4771" t="str">
            <v>bueno</v>
          </cell>
          <cell r="K4771" t="str">
            <v>defsi</v>
          </cell>
        </row>
        <row r="4772">
          <cell r="B4772" t="b">
            <v>1</v>
          </cell>
          <cell r="E4772" t="str">
            <v>Daniel Lemaitre</v>
          </cell>
          <cell r="H4772" t="str">
            <v>consulta_externa</v>
          </cell>
          <cell r="J4772" t="str">
            <v>bueno</v>
          </cell>
          <cell r="K4772" t="str">
            <v>defsi</v>
          </cell>
        </row>
        <row r="4773">
          <cell r="B4773" t="b">
            <v>1</v>
          </cell>
          <cell r="E4773" t="str">
            <v>Daniel Lemaitre</v>
          </cell>
          <cell r="H4773" t="str">
            <v>consulta_externa</v>
          </cell>
          <cell r="J4773" t="str">
            <v>bueno</v>
          </cell>
          <cell r="K4773" t="str">
            <v>defsi</v>
          </cell>
        </row>
        <row r="4774">
          <cell r="B4774" t="b">
            <v>1</v>
          </cell>
          <cell r="E4774" t="str">
            <v>Daniel Lemaitre</v>
          </cell>
          <cell r="H4774" t="str">
            <v>laboratorio</v>
          </cell>
          <cell r="J4774" t="str">
            <v>bueno</v>
          </cell>
          <cell r="K4774" t="str">
            <v>defsi</v>
          </cell>
        </row>
        <row r="4775">
          <cell r="B4775" t="b">
            <v>1</v>
          </cell>
          <cell r="E4775" t="str">
            <v>Santa Ana</v>
          </cell>
          <cell r="H4775" t="str">
            <v>consulta_externa</v>
          </cell>
          <cell r="J4775" t="str">
            <v>muybueno</v>
          </cell>
          <cell r="K4775" t="str">
            <v>defsi</v>
          </cell>
        </row>
        <row r="4776">
          <cell r="B4776" t="b">
            <v>1</v>
          </cell>
          <cell r="E4776" t="str">
            <v>Santa Ana</v>
          </cell>
          <cell r="H4776" t="str">
            <v>laboratorio</v>
          </cell>
          <cell r="J4776" t="str">
            <v>muybueno</v>
          </cell>
          <cell r="K4776" t="str">
            <v>defsi</v>
          </cell>
        </row>
        <row r="4777">
          <cell r="B4777" t="b">
            <v>1</v>
          </cell>
          <cell r="E4777" t="str">
            <v>Daniel Lemaitre</v>
          </cell>
          <cell r="H4777" t="str">
            <v>salud_oral</v>
          </cell>
          <cell r="J4777" t="str">
            <v>bueno</v>
          </cell>
          <cell r="K4777" t="str">
            <v>defsi</v>
          </cell>
        </row>
        <row r="4778">
          <cell r="B4778" t="b">
            <v>1</v>
          </cell>
          <cell r="E4778" t="str">
            <v>Daniel Lemaitre</v>
          </cell>
          <cell r="H4778" t="str">
            <v>consulta_externa</v>
          </cell>
          <cell r="J4778" t="str">
            <v>bueno</v>
          </cell>
          <cell r="K4778" t="str">
            <v>defsi</v>
          </cell>
        </row>
        <row r="4779">
          <cell r="B4779" t="b">
            <v>1</v>
          </cell>
          <cell r="E4779" t="str">
            <v>Santa Ana</v>
          </cell>
          <cell r="H4779" t="str">
            <v>salud_oral</v>
          </cell>
          <cell r="J4779" t="str">
            <v>muybueno</v>
          </cell>
          <cell r="K4779" t="str">
            <v>defsi</v>
          </cell>
        </row>
        <row r="4780">
          <cell r="B4780" t="b">
            <v>1</v>
          </cell>
          <cell r="E4780" t="str">
            <v>Daniel Lemaitre</v>
          </cell>
          <cell r="H4780" t="str">
            <v>consulta_externa</v>
          </cell>
          <cell r="J4780" t="str">
            <v>bueno</v>
          </cell>
          <cell r="K4780" t="str">
            <v>defsi</v>
          </cell>
        </row>
        <row r="4781">
          <cell r="B4781" t="b">
            <v>1</v>
          </cell>
          <cell r="E4781" t="str">
            <v>Daniel Lemaitre</v>
          </cell>
          <cell r="H4781" t="str">
            <v>consulta_externa</v>
          </cell>
          <cell r="J4781" t="str">
            <v>bueno</v>
          </cell>
          <cell r="K4781" t="str">
            <v>defsi</v>
          </cell>
        </row>
        <row r="4782">
          <cell r="B4782" t="b">
            <v>1</v>
          </cell>
          <cell r="E4782" t="str">
            <v>Daniel Lemaitre</v>
          </cell>
          <cell r="H4782" t="str">
            <v>laboratorio</v>
          </cell>
          <cell r="J4782" t="str">
            <v>bueno</v>
          </cell>
          <cell r="K4782" t="str">
            <v>defsi</v>
          </cell>
        </row>
        <row r="4783">
          <cell r="B4783" t="b">
            <v>1</v>
          </cell>
          <cell r="E4783" t="str">
            <v>Daniel Lemaitre</v>
          </cell>
          <cell r="H4783" t="str">
            <v>salud_oral</v>
          </cell>
          <cell r="J4783" t="str">
            <v>bueno</v>
          </cell>
          <cell r="K4783" t="str">
            <v>defsi</v>
          </cell>
        </row>
        <row r="4784">
          <cell r="B4784" t="b">
            <v>1</v>
          </cell>
          <cell r="E4784" t="str">
            <v>Nuevo Bosque</v>
          </cell>
          <cell r="H4784" t="str">
            <v>salud_oral</v>
          </cell>
          <cell r="J4784" t="str">
            <v>bueno</v>
          </cell>
          <cell r="K4784" t="str">
            <v>probsi</v>
          </cell>
        </row>
        <row r="4785">
          <cell r="B4785" t="b">
            <v>1</v>
          </cell>
          <cell r="E4785" t="str">
            <v>Nuevo Bosque</v>
          </cell>
          <cell r="H4785" t="str">
            <v>salud_oral</v>
          </cell>
          <cell r="J4785" t="str">
            <v>bueno</v>
          </cell>
          <cell r="K4785" t="str">
            <v>probsi</v>
          </cell>
        </row>
        <row r="4786">
          <cell r="B4786" t="b">
            <v>1</v>
          </cell>
          <cell r="E4786" t="str">
            <v>Nuevo Bosque</v>
          </cell>
          <cell r="H4786" t="str">
            <v>salud_oral</v>
          </cell>
          <cell r="J4786" t="str">
            <v>bueno</v>
          </cell>
          <cell r="K4786" t="str">
            <v>probsi</v>
          </cell>
        </row>
        <row r="4787">
          <cell r="B4787" t="b">
            <v>1</v>
          </cell>
          <cell r="E4787" t="str">
            <v>Nuevo Bosque</v>
          </cell>
          <cell r="H4787" t="str">
            <v>salud_oral</v>
          </cell>
          <cell r="J4787" t="str">
            <v>bueno</v>
          </cell>
          <cell r="K4787" t="str">
            <v>probsi</v>
          </cell>
        </row>
        <row r="4788">
          <cell r="B4788" t="b">
            <v>1</v>
          </cell>
          <cell r="E4788" t="str">
            <v>Santa Ana</v>
          </cell>
          <cell r="H4788" t="str">
            <v>consulta_externa</v>
          </cell>
          <cell r="J4788" t="str">
            <v>muybueno</v>
          </cell>
          <cell r="K4788" t="str">
            <v>defsi</v>
          </cell>
        </row>
        <row r="4789">
          <cell r="B4789" t="b">
            <v>1</v>
          </cell>
          <cell r="E4789" t="str">
            <v>Nuevo Bosque</v>
          </cell>
          <cell r="H4789" t="str">
            <v>salud_oral</v>
          </cell>
          <cell r="J4789" t="str">
            <v>bueno</v>
          </cell>
          <cell r="K4789" t="str">
            <v>probsi</v>
          </cell>
        </row>
        <row r="4790">
          <cell r="B4790" t="b">
            <v>1</v>
          </cell>
          <cell r="E4790" t="str">
            <v>Nuevo Bosque</v>
          </cell>
          <cell r="H4790" t="str">
            <v>salud_oral</v>
          </cell>
          <cell r="J4790" t="str">
            <v>bueno</v>
          </cell>
          <cell r="K4790" t="str">
            <v>probsi</v>
          </cell>
        </row>
        <row r="4791">
          <cell r="B4791" t="b">
            <v>1</v>
          </cell>
          <cell r="E4791" t="str">
            <v>Nuevo Bosque</v>
          </cell>
          <cell r="H4791" t="str">
            <v>salud_oral</v>
          </cell>
          <cell r="J4791" t="str">
            <v>bueno</v>
          </cell>
          <cell r="K4791" t="str">
            <v>probsi</v>
          </cell>
        </row>
        <row r="4792">
          <cell r="B4792" t="b">
            <v>1</v>
          </cell>
          <cell r="E4792" t="str">
            <v>Santa Ana</v>
          </cell>
          <cell r="H4792" t="str">
            <v>laboratorio</v>
          </cell>
          <cell r="J4792" t="str">
            <v>muybueno</v>
          </cell>
          <cell r="K4792" t="str">
            <v>defsi</v>
          </cell>
        </row>
        <row r="4793">
          <cell r="B4793" t="b">
            <v>1</v>
          </cell>
          <cell r="E4793" t="str">
            <v>Nuevo Bosque</v>
          </cell>
          <cell r="H4793" t="str">
            <v>urgencia</v>
          </cell>
          <cell r="J4793" t="str">
            <v>bueno</v>
          </cell>
          <cell r="K4793" t="str">
            <v>probsi</v>
          </cell>
        </row>
        <row r="4794">
          <cell r="B4794" t="b">
            <v>1</v>
          </cell>
          <cell r="E4794" t="str">
            <v>Nuevo Bosque</v>
          </cell>
          <cell r="H4794" t="str">
            <v>urgencia</v>
          </cell>
          <cell r="J4794" t="str">
            <v>bueno</v>
          </cell>
          <cell r="K4794" t="str">
            <v>probsi</v>
          </cell>
        </row>
        <row r="4795">
          <cell r="B4795" t="b">
            <v>1</v>
          </cell>
          <cell r="E4795" t="str">
            <v>Nuevo Bosque</v>
          </cell>
          <cell r="H4795" t="str">
            <v>urgencia</v>
          </cell>
          <cell r="J4795" t="str">
            <v>bueno</v>
          </cell>
          <cell r="K4795" t="str">
            <v>probsi</v>
          </cell>
        </row>
        <row r="4796">
          <cell r="B4796" t="b">
            <v>1</v>
          </cell>
          <cell r="E4796" t="str">
            <v>Nuevo Bosque</v>
          </cell>
          <cell r="H4796" t="str">
            <v>urgencia</v>
          </cell>
          <cell r="J4796" t="str">
            <v>bueno</v>
          </cell>
          <cell r="K4796" t="str">
            <v>probsi</v>
          </cell>
        </row>
        <row r="4797">
          <cell r="B4797" t="b">
            <v>1</v>
          </cell>
          <cell r="E4797" t="str">
            <v>Nuevo Bosque</v>
          </cell>
          <cell r="H4797" t="str">
            <v>urgencia</v>
          </cell>
          <cell r="J4797" t="str">
            <v>bueno</v>
          </cell>
          <cell r="K4797" t="str">
            <v>probsi</v>
          </cell>
        </row>
        <row r="4798">
          <cell r="B4798" t="b">
            <v>1</v>
          </cell>
          <cell r="E4798" t="str">
            <v>Nuevo Bosque</v>
          </cell>
          <cell r="H4798" t="str">
            <v>urgencia</v>
          </cell>
          <cell r="J4798" t="str">
            <v>bueno</v>
          </cell>
          <cell r="K4798" t="str">
            <v>probsi</v>
          </cell>
        </row>
        <row r="4799">
          <cell r="B4799" t="b">
            <v>1</v>
          </cell>
          <cell r="E4799" t="str">
            <v>Santa Ana</v>
          </cell>
          <cell r="H4799" t="str">
            <v>salud_oral</v>
          </cell>
          <cell r="J4799" t="str">
            <v>muybueno</v>
          </cell>
          <cell r="K4799" t="str">
            <v>defsi</v>
          </cell>
        </row>
        <row r="4800">
          <cell r="B4800" t="b">
            <v>1</v>
          </cell>
          <cell r="E4800" t="str">
            <v>Santa Ana</v>
          </cell>
          <cell r="H4800" t="str">
            <v>salud_oral</v>
          </cell>
          <cell r="J4800" t="str">
            <v>muybueno</v>
          </cell>
          <cell r="K4800" t="str">
            <v>defsi</v>
          </cell>
        </row>
        <row r="4801">
          <cell r="B4801" t="b">
            <v>1</v>
          </cell>
          <cell r="E4801" t="str">
            <v>Santa Ana</v>
          </cell>
          <cell r="H4801" t="str">
            <v>consulta_externa</v>
          </cell>
          <cell r="J4801" t="str">
            <v>muybueno</v>
          </cell>
          <cell r="K4801" t="str">
            <v>defsi</v>
          </cell>
        </row>
        <row r="4802">
          <cell r="B4802" t="b">
            <v>1</v>
          </cell>
          <cell r="E4802" t="str">
            <v>Santa Ana</v>
          </cell>
          <cell r="H4802" t="str">
            <v>consulta_externa</v>
          </cell>
          <cell r="J4802" t="str">
            <v>muybueno</v>
          </cell>
          <cell r="K4802" t="str">
            <v>defsi</v>
          </cell>
        </row>
        <row r="4803">
          <cell r="B4803" t="b">
            <v>1</v>
          </cell>
          <cell r="E4803" t="str">
            <v>Santa Ana</v>
          </cell>
          <cell r="H4803" t="str">
            <v>laboratorio</v>
          </cell>
          <cell r="J4803" t="str">
            <v>muybueno</v>
          </cell>
          <cell r="K4803" t="str">
            <v>defsi</v>
          </cell>
        </row>
        <row r="4804">
          <cell r="B4804" t="b">
            <v>1</v>
          </cell>
          <cell r="E4804" t="str">
            <v>Santa Ana</v>
          </cell>
          <cell r="H4804" t="str">
            <v>consulta_externa</v>
          </cell>
          <cell r="J4804" t="str">
            <v>muybueno</v>
          </cell>
          <cell r="K4804" t="str">
            <v>defsi</v>
          </cell>
        </row>
        <row r="4805">
          <cell r="B4805" t="b">
            <v>1</v>
          </cell>
          <cell r="E4805" t="str">
            <v>Santa Ana</v>
          </cell>
          <cell r="H4805" t="str">
            <v>salud_oral</v>
          </cell>
          <cell r="J4805" t="str">
            <v>muybueno</v>
          </cell>
          <cell r="K4805" t="str">
            <v>defsi</v>
          </cell>
        </row>
        <row r="4806">
          <cell r="B4806" t="b">
            <v>1</v>
          </cell>
          <cell r="E4806" t="str">
            <v>Santa Ana</v>
          </cell>
          <cell r="H4806" t="str">
            <v>laboratorio</v>
          </cell>
          <cell r="J4806" t="str">
            <v>muybueno</v>
          </cell>
          <cell r="K4806" t="str">
            <v>defsi</v>
          </cell>
        </row>
        <row r="4807">
          <cell r="B4807" t="b">
            <v>1</v>
          </cell>
          <cell r="E4807" t="str">
            <v>Santa Ana</v>
          </cell>
          <cell r="H4807" t="str">
            <v>consulta_externa</v>
          </cell>
          <cell r="J4807" t="str">
            <v>muybueno</v>
          </cell>
          <cell r="K4807" t="str">
            <v>defsi</v>
          </cell>
        </row>
        <row r="4808">
          <cell r="B4808" t="b">
            <v>1</v>
          </cell>
          <cell r="E4808" t="str">
            <v>Santa Ana</v>
          </cell>
          <cell r="H4808" t="str">
            <v>salud_oral</v>
          </cell>
          <cell r="J4808" t="str">
            <v>muybueno</v>
          </cell>
          <cell r="K4808" t="str">
            <v>defsi</v>
          </cell>
        </row>
        <row r="4809">
          <cell r="B4809" t="b">
            <v>1</v>
          </cell>
          <cell r="E4809" t="str">
            <v>Santa Ana</v>
          </cell>
          <cell r="H4809" t="str">
            <v>consulta_externa</v>
          </cell>
          <cell r="J4809" t="str">
            <v>muybueno</v>
          </cell>
          <cell r="K4809" t="str">
            <v>defsi</v>
          </cell>
        </row>
        <row r="4810">
          <cell r="B4810" t="b">
            <v>1</v>
          </cell>
          <cell r="E4810" t="str">
            <v>Santa Ana</v>
          </cell>
          <cell r="H4810" t="str">
            <v>laboratorio</v>
          </cell>
          <cell r="J4810" t="str">
            <v>muybueno</v>
          </cell>
          <cell r="K4810" t="str">
            <v>defsi</v>
          </cell>
        </row>
        <row r="4811">
          <cell r="B4811" t="b">
            <v>0</v>
          </cell>
          <cell r="E4811" t="str">
            <v>Nuevo Bosque</v>
          </cell>
          <cell r="H4811" t="str">
            <v>laboratorio</v>
          </cell>
          <cell r="J4811" t="str">
            <v>regular</v>
          </cell>
          <cell r="K4811" t="str">
            <v>probsi</v>
          </cell>
        </row>
        <row r="4812">
          <cell r="B4812" t="b">
            <v>1</v>
          </cell>
          <cell r="E4812" t="str">
            <v>Nuevo Bosque</v>
          </cell>
          <cell r="H4812" t="str">
            <v>laboratorio</v>
          </cell>
          <cell r="J4812" t="str">
            <v>bueno</v>
          </cell>
          <cell r="K4812" t="str">
            <v>probsi</v>
          </cell>
        </row>
        <row r="4813">
          <cell r="B4813" t="b">
            <v>1</v>
          </cell>
          <cell r="E4813" t="str">
            <v>Nuevo Bosque</v>
          </cell>
          <cell r="H4813" t="str">
            <v>laboratorio</v>
          </cell>
          <cell r="J4813" t="str">
            <v>bueno</v>
          </cell>
          <cell r="K4813" t="str">
            <v>probsi</v>
          </cell>
        </row>
        <row r="4814">
          <cell r="B4814" t="b">
            <v>0</v>
          </cell>
          <cell r="E4814" t="str">
            <v>Nuevo Bosque</v>
          </cell>
          <cell r="H4814" t="str">
            <v>urgencia</v>
          </cell>
          <cell r="J4814" t="str">
            <v>regular</v>
          </cell>
          <cell r="K4814" t="str">
            <v>probsi</v>
          </cell>
        </row>
        <row r="4815">
          <cell r="B4815" t="b">
            <v>0</v>
          </cell>
          <cell r="E4815" t="str">
            <v>Nuevo Bosque</v>
          </cell>
          <cell r="H4815" t="str">
            <v>urgencia</v>
          </cell>
          <cell r="J4815" t="str">
            <v>regular</v>
          </cell>
          <cell r="K4815" t="str">
            <v>probsi</v>
          </cell>
        </row>
        <row r="4816">
          <cell r="B4816" t="b">
            <v>1</v>
          </cell>
          <cell r="E4816" t="str">
            <v>Nuevo Bosque</v>
          </cell>
          <cell r="H4816" t="str">
            <v>urgencia</v>
          </cell>
          <cell r="J4816" t="str">
            <v>bueno</v>
          </cell>
          <cell r="K4816" t="str">
            <v>probsi</v>
          </cell>
        </row>
        <row r="4817">
          <cell r="B4817" t="b">
            <v>1</v>
          </cell>
          <cell r="E4817" t="str">
            <v>Nuevo Bosque</v>
          </cell>
          <cell r="H4817" t="str">
            <v>urgencia</v>
          </cell>
          <cell r="J4817" t="str">
            <v>bueno</v>
          </cell>
          <cell r="K4817" t="str">
            <v>probsi</v>
          </cell>
        </row>
        <row r="4818">
          <cell r="B4818" t="b">
            <v>1</v>
          </cell>
          <cell r="E4818" t="str">
            <v>Nuevo Bosque</v>
          </cell>
          <cell r="H4818" t="str">
            <v>urgencia</v>
          </cell>
          <cell r="J4818" t="str">
            <v>bueno</v>
          </cell>
          <cell r="K4818" t="str">
            <v>probsi</v>
          </cell>
        </row>
        <row r="4819">
          <cell r="B4819" t="b">
            <v>0</v>
          </cell>
          <cell r="E4819" t="str">
            <v>Nuevo Bosque</v>
          </cell>
          <cell r="H4819" t="str">
            <v>urgencia</v>
          </cell>
          <cell r="J4819" t="str">
            <v>regular</v>
          </cell>
          <cell r="K4819" t="str">
            <v>probsi</v>
          </cell>
        </row>
        <row r="4820">
          <cell r="B4820" t="b">
            <v>1</v>
          </cell>
          <cell r="E4820" t="str">
            <v>Nuevo Bosque</v>
          </cell>
          <cell r="H4820" t="str">
            <v>urgencia</v>
          </cell>
          <cell r="J4820" t="str">
            <v>bueno</v>
          </cell>
          <cell r="K4820" t="str">
            <v>probsi</v>
          </cell>
        </row>
        <row r="4821">
          <cell r="B4821" t="b">
            <v>1</v>
          </cell>
          <cell r="E4821" t="str">
            <v>Nuevo Bosque</v>
          </cell>
          <cell r="H4821" t="str">
            <v>urgencia</v>
          </cell>
          <cell r="J4821" t="str">
            <v>bueno</v>
          </cell>
          <cell r="K4821" t="str">
            <v>probsi</v>
          </cell>
        </row>
        <row r="4822">
          <cell r="B4822" t="b">
            <v>1</v>
          </cell>
          <cell r="E4822" t="str">
            <v>Santa Ana</v>
          </cell>
          <cell r="H4822" t="str">
            <v>laboratorio</v>
          </cell>
          <cell r="J4822" t="str">
            <v>muybueno</v>
          </cell>
          <cell r="K4822" t="str">
            <v>defsi</v>
          </cell>
        </row>
        <row r="4823">
          <cell r="B4823" t="b">
            <v>1</v>
          </cell>
          <cell r="E4823" t="str">
            <v>Santa Ana</v>
          </cell>
          <cell r="H4823" t="str">
            <v>consulta_externa</v>
          </cell>
          <cell r="J4823" t="str">
            <v>muybueno</v>
          </cell>
          <cell r="K4823" t="str">
            <v>defsi</v>
          </cell>
        </row>
        <row r="4824">
          <cell r="B4824" t="b">
            <v>1</v>
          </cell>
          <cell r="E4824" t="str">
            <v>Santa Ana</v>
          </cell>
          <cell r="H4824" t="str">
            <v>salud_oral</v>
          </cell>
          <cell r="J4824" t="str">
            <v>muybueno</v>
          </cell>
          <cell r="K4824" t="str">
            <v>defsi</v>
          </cell>
        </row>
        <row r="4825">
          <cell r="B4825" t="b">
            <v>1</v>
          </cell>
          <cell r="E4825" t="str">
            <v>Santa Ana</v>
          </cell>
          <cell r="H4825" t="str">
            <v>consulta_externa</v>
          </cell>
          <cell r="J4825" t="str">
            <v>muybueno</v>
          </cell>
          <cell r="K4825" t="str">
            <v>defsi</v>
          </cell>
        </row>
        <row r="4826">
          <cell r="B4826" t="b">
            <v>1</v>
          </cell>
          <cell r="E4826" t="str">
            <v>Santa Ana</v>
          </cell>
          <cell r="H4826" t="str">
            <v>laboratorio</v>
          </cell>
          <cell r="J4826" t="str">
            <v>muybueno</v>
          </cell>
          <cell r="K4826" t="str">
            <v>defsi</v>
          </cell>
        </row>
        <row r="4827">
          <cell r="B4827" t="b">
            <v>1</v>
          </cell>
          <cell r="E4827" t="str">
            <v>Santa Ana</v>
          </cell>
          <cell r="H4827" t="str">
            <v>consulta_externa</v>
          </cell>
          <cell r="J4827" t="str">
            <v>muybueno</v>
          </cell>
          <cell r="K4827" t="str">
            <v>defsi</v>
          </cell>
        </row>
        <row r="4828">
          <cell r="B4828" t="b">
            <v>1</v>
          </cell>
          <cell r="E4828" t="str">
            <v>Santa Ana</v>
          </cell>
          <cell r="H4828" t="str">
            <v>laboratorio</v>
          </cell>
          <cell r="J4828" t="str">
            <v>muybueno</v>
          </cell>
          <cell r="K4828" t="str">
            <v>defsi</v>
          </cell>
        </row>
        <row r="4829">
          <cell r="B4829" t="b">
            <v>1</v>
          </cell>
          <cell r="E4829" t="str">
            <v>Santa Ana</v>
          </cell>
          <cell r="H4829" t="str">
            <v>consulta_externa</v>
          </cell>
          <cell r="J4829" t="str">
            <v>muybueno</v>
          </cell>
          <cell r="K4829" t="str">
            <v>defsi</v>
          </cell>
        </row>
        <row r="4830">
          <cell r="B4830" t="b">
            <v>1</v>
          </cell>
          <cell r="E4830" t="str">
            <v>Santa Ana</v>
          </cell>
          <cell r="H4830" t="str">
            <v>salud_oral</v>
          </cell>
          <cell r="J4830" t="str">
            <v>muybueno</v>
          </cell>
          <cell r="K4830" t="str">
            <v>defsi</v>
          </cell>
        </row>
        <row r="4831">
          <cell r="B4831" t="b">
            <v>1</v>
          </cell>
          <cell r="E4831" t="str">
            <v>Santa Ana</v>
          </cell>
          <cell r="H4831" t="str">
            <v>consulta_externa</v>
          </cell>
          <cell r="J4831" t="str">
            <v>muybueno</v>
          </cell>
          <cell r="K4831" t="str">
            <v>defsi</v>
          </cell>
        </row>
        <row r="4832">
          <cell r="B4832" t="b">
            <v>1</v>
          </cell>
          <cell r="E4832" t="str">
            <v>Santa Ana</v>
          </cell>
          <cell r="H4832" t="str">
            <v>laboratorio</v>
          </cell>
          <cell r="J4832" t="str">
            <v>muybueno</v>
          </cell>
          <cell r="K4832" t="str">
            <v>defsi</v>
          </cell>
        </row>
        <row r="4833">
          <cell r="B4833" t="b">
            <v>1</v>
          </cell>
          <cell r="E4833" t="str">
            <v>Santa Ana</v>
          </cell>
          <cell r="H4833" t="str">
            <v>salud_oral</v>
          </cell>
          <cell r="J4833" t="str">
            <v>muybueno</v>
          </cell>
          <cell r="K4833" t="str">
            <v>defsi</v>
          </cell>
        </row>
        <row r="4834">
          <cell r="B4834" t="b">
            <v>1</v>
          </cell>
          <cell r="E4834" t="str">
            <v>Santa Ana</v>
          </cell>
          <cell r="H4834" t="str">
            <v>consulta_externa</v>
          </cell>
          <cell r="J4834" t="str">
            <v>muybueno</v>
          </cell>
          <cell r="K4834" t="str">
            <v>defsi</v>
          </cell>
        </row>
        <row r="4835">
          <cell r="B4835" t="b">
            <v>1</v>
          </cell>
          <cell r="E4835" t="str">
            <v>Santa Ana</v>
          </cell>
          <cell r="H4835" t="str">
            <v>laboratorio</v>
          </cell>
          <cell r="J4835" t="str">
            <v>muybueno</v>
          </cell>
          <cell r="K4835" t="str">
            <v>defsi</v>
          </cell>
        </row>
        <row r="4836">
          <cell r="B4836" t="b">
            <v>1</v>
          </cell>
          <cell r="E4836" t="str">
            <v>Santa Ana</v>
          </cell>
          <cell r="H4836" t="str">
            <v>consulta_externa</v>
          </cell>
          <cell r="J4836" t="str">
            <v>muybueno</v>
          </cell>
          <cell r="K4836" t="str">
            <v>defsi</v>
          </cell>
        </row>
        <row r="4837">
          <cell r="B4837" t="b">
            <v>1</v>
          </cell>
          <cell r="E4837" t="str">
            <v>Santa Ana</v>
          </cell>
          <cell r="H4837" t="str">
            <v>consulta_externa</v>
          </cell>
          <cell r="J4837" t="str">
            <v>muybueno</v>
          </cell>
          <cell r="K4837" t="str">
            <v>defsi</v>
          </cell>
        </row>
        <row r="4838">
          <cell r="B4838" t="b">
            <v>1</v>
          </cell>
          <cell r="E4838" t="str">
            <v>Santa Ana</v>
          </cell>
          <cell r="H4838" t="str">
            <v>laboratorio</v>
          </cell>
          <cell r="J4838" t="str">
            <v>muybueno</v>
          </cell>
          <cell r="K4838" t="str">
            <v>defsi</v>
          </cell>
        </row>
        <row r="4839">
          <cell r="B4839" t="b">
            <v>1</v>
          </cell>
          <cell r="E4839" t="str">
            <v>Santa Ana</v>
          </cell>
          <cell r="H4839" t="str">
            <v>salud_oral</v>
          </cell>
          <cell r="J4839" t="str">
            <v>muybueno</v>
          </cell>
          <cell r="K4839" t="str">
            <v>defsi</v>
          </cell>
        </row>
        <row r="4840">
          <cell r="B4840" t="b">
            <v>1</v>
          </cell>
          <cell r="E4840" t="str">
            <v>Santa Ana</v>
          </cell>
          <cell r="H4840" t="str">
            <v>consulta_externa</v>
          </cell>
          <cell r="J4840" t="str">
            <v>muybueno</v>
          </cell>
          <cell r="K4840" t="str">
            <v>defsi</v>
          </cell>
        </row>
        <row r="4841">
          <cell r="B4841" t="b">
            <v>1</v>
          </cell>
          <cell r="E4841" t="str">
            <v>Santa Ana</v>
          </cell>
          <cell r="H4841" t="str">
            <v>laboratorio</v>
          </cell>
          <cell r="J4841" t="str">
            <v>muybueno</v>
          </cell>
          <cell r="K4841" t="str">
            <v>defsi</v>
          </cell>
        </row>
        <row r="4842">
          <cell r="B4842" t="b">
            <v>1</v>
          </cell>
          <cell r="E4842" t="str">
            <v>Santa Ana</v>
          </cell>
          <cell r="H4842" t="str">
            <v>consulta_externa</v>
          </cell>
          <cell r="J4842" t="str">
            <v>muybueno</v>
          </cell>
          <cell r="K4842" t="str">
            <v>defsi</v>
          </cell>
        </row>
        <row r="4843">
          <cell r="B4843" t="b">
            <v>1</v>
          </cell>
          <cell r="E4843" t="str">
            <v>Santa Ana</v>
          </cell>
          <cell r="H4843" t="str">
            <v>laboratorio</v>
          </cell>
          <cell r="J4843" t="str">
            <v>muybueno</v>
          </cell>
          <cell r="K4843" t="str">
            <v>defsi</v>
          </cell>
        </row>
        <row r="4844">
          <cell r="B4844" t="b">
            <v>1</v>
          </cell>
          <cell r="E4844" t="str">
            <v>Santa Ana</v>
          </cell>
          <cell r="H4844" t="str">
            <v>consulta_externa</v>
          </cell>
          <cell r="J4844" t="str">
            <v>muybueno</v>
          </cell>
          <cell r="K4844" t="str">
            <v>defsi</v>
          </cell>
        </row>
        <row r="4845">
          <cell r="B4845" t="b">
            <v>1</v>
          </cell>
          <cell r="E4845" t="str">
            <v>Santa Ana</v>
          </cell>
          <cell r="H4845" t="str">
            <v>salud_oral</v>
          </cell>
          <cell r="J4845" t="str">
            <v>muybueno</v>
          </cell>
          <cell r="K4845" t="str">
            <v>defsi</v>
          </cell>
        </row>
        <row r="4846">
          <cell r="B4846" t="b">
            <v>1</v>
          </cell>
          <cell r="E4846" t="str">
            <v>Daniel Lemaitre</v>
          </cell>
          <cell r="H4846" t="str">
            <v>consulta_externa</v>
          </cell>
          <cell r="J4846" t="str">
            <v>bueno</v>
          </cell>
          <cell r="K4846" t="str">
            <v>defsi</v>
          </cell>
        </row>
        <row r="4847">
          <cell r="B4847" t="b">
            <v>1</v>
          </cell>
          <cell r="E4847" t="str">
            <v>Daniel Lemaitre</v>
          </cell>
          <cell r="H4847" t="str">
            <v>laboratorio</v>
          </cell>
          <cell r="J4847" t="str">
            <v>bueno</v>
          </cell>
          <cell r="K4847" t="str">
            <v>defsi</v>
          </cell>
        </row>
        <row r="4848">
          <cell r="B4848" t="b">
            <v>1</v>
          </cell>
          <cell r="E4848" t="str">
            <v>Daniel Lemaitre</v>
          </cell>
          <cell r="H4848" t="str">
            <v>salud_oral</v>
          </cell>
          <cell r="J4848" t="str">
            <v>bueno</v>
          </cell>
          <cell r="K4848" t="str">
            <v>defsi</v>
          </cell>
        </row>
        <row r="4849">
          <cell r="B4849" t="b">
            <v>1</v>
          </cell>
          <cell r="E4849" t="str">
            <v>Daniel Lemaitre</v>
          </cell>
          <cell r="H4849" t="str">
            <v>salud_oral</v>
          </cell>
          <cell r="J4849" t="str">
            <v>bueno</v>
          </cell>
          <cell r="K4849" t="str">
            <v>defsi</v>
          </cell>
        </row>
        <row r="4850">
          <cell r="B4850" t="b">
            <v>0</v>
          </cell>
          <cell r="E4850" t="str">
            <v>Daniel Lemaitre</v>
          </cell>
          <cell r="H4850" t="str">
            <v>salud_oral</v>
          </cell>
          <cell r="J4850" t="str">
            <v>regular</v>
          </cell>
          <cell r="K4850" t="str">
            <v>probsi</v>
          </cell>
        </row>
        <row r="4851">
          <cell r="B4851" t="b">
            <v>1</v>
          </cell>
          <cell r="E4851" t="str">
            <v>Daniel Lemaitre</v>
          </cell>
          <cell r="H4851" t="str">
            <v>salud_oral</v>
          </cell>
          <cell r="J4851" t="str">
            <v>bueno</v>
          </cell>
          <cell r="K4851" t="str">
            <v>defsi</v>
          </cell>
        </row>
        <row r="4852">
          <cell r="B4852" t="b">
            <v>1</v>
          </cell>
          <cell r="E4852" t="str">
            <v>Daniel Lemaitre</v>
          </cell>
          <cell r="H4852" t="str">
            <v>salud_oral</v>
          </cell>
          <cell r="J4852" t="str">
            <v>bueno</v>
          </cell>
          <cell r="K4852" t="str">
            <v>defsi</v>
          </cell>
        </row>
        <row r="4853">
          <cell r="B4853" t="b">
            <v>1</v>
          </cell>
          <cell r="E4853" t="str">
            <v>Daniel Lemaitre</v>
          </cell>
          <cell r="H4853" t="str">
            <v>consulta_externa</v>
          </cell>
          <cell r="J4853" t="str">
            <v>bueno</v>
          </cell>
          <cell r="K4853" t="str">
            <v>defsi</v>
          </cell>
        </row>
        <row r="4854">
          <cell r="B4854" t="b">
            <v>1</v>
          </cell>
          <cell r="E4854" t="str">
            <v>Daniel Lemaitre</v>
          </cell>
          <cell r="H4854" t="str">
            <v>salud_oral</v>
          </cell>
          <cell r="J4854" t="str">
            <v>bueno</v>
          </cell>
          <cell r="K4854" t="str">
            <v>defsi</v>
          </cell>
        </row>
        <row r="4855">
          <cell r="B4855" t="b">
            <v>1</v>
          </cell>
          <cell r="E4855" t="str">
            <v>Daniel Lemaitre</v>
          </cell>
          <cell r="H4855" t="str">
            <v>consulta_externa</v>
          </cell>
          <cell r="J4855" t="str">
            <v>muybueno</v>
          </cell>
          <cell r="K4855" t="str">
            <v>defsi</v>
          </cell>
        </row>
        <row r="4856">
          <cell r="B4856" t="b">
            <v>0</v>
          </cell>
          <cell r="E4856" t="str">
            <v>Daniel Lemaitre</v>
          </cell>
          <cell r="H4856" t="str">
            <v>laboratorio</v>
          </cell>
          <cell r="J4856" t="str">
            <v>regular</v>
          </cell>
          <cell r="K4856" t="str">
            <v>defsi</v>
          </cell>
        </row>
        <row r="4857">
          <cell r="B4857" t="b">
            <v>1</v>
          </cell>
          <cell r="E4857" t="str">
            <v>Daniel Lemaitre</v>
          </cell>
          <cell r="H4857" t="str">
            <v>laboratorio</v>
          </cell>
          <cell r="J4857" t="str">
            <v>bueno</v>
          </cell>
          <cell r="K4857" t="str">
            <v>defsi</v>
          </cell>
        </row>
        <row r="4858">
          <cell r="B4858" t="b">
            <v>0</v>
          </cell>
          <cell r="E4858" t="str">
            <v>Daniel Lemaitre</v>
          </cell>
          <cell r="H4858" t="str">
            <v>laboratorio</v>
          </cell>
          <cell r="J4858" t="str">
            <v>regular</v>
          </cell>
          <cell r="K4858" t="str">
            <v>probsi</v>
          </cell>
        </row>
        <row r="4859">
          <cell r="B4859" t="b">
            <v>1</v>
          </cell>
          <cell r="E4859" t="str">
            <v>Daniel Lemaitre</v>
          </cell>
          <cell r="H4859" t="str">
            <v>consulta_externa</v>
          </cell>
          <cell r="J4859" t="str">
            <v>bueno</v>
          </cell>
          <cell r="K4859" t="str">
            <v>defsi</v>
          </cell>
        </row>
        <row r="4860">
          <cell r="B4860" t="b">
            <v>1</v>
          </cell>
          <cell r="E4860" t="str">
            <v>Daniel Lemaitre</v>
          </cell>
          <cell r="H4860" t="str">
            <v>laboratorio</v>
          </cell>
          <cell r="J4860" t="str">
            <v>bueno</v>
          </cell>
          <cell r="K4860" t="str">
            <v>defsi</v>
          </cell>
        </row>
        <row r="4861">
          <cell r="B4861" t="b">
            <v>0</v>
          </cell>
          <cell r="E4861" t="str">
            <v>Daniel Lemaitre</v>
          </cell>
          <cell r="H4861" t="str">
            <v>laboratorio</v>
          </cell>
          <cell r="J4861" t="str">
            <v>regular</v>
          </cell>
          <cell r="K4861" t="str">
            <v>probsi</v>
          </cell>
        </row>
        <row r="4862">
          <cell r="B4862" t="b">
            <v>1</v>
          </cell>
          <cell r="E4862" t="str">
            <v>Daniel Lemaitre</v>
          </cell>
          <cell r="H4862" t="str">
            <v>laboratorio</v>
          </cell>
          <cell r="J4862" t="str">
            <v>bueno</v>
          </cell>
          <cell r="K4862" t="str">
            <v>defsi</v>
          </cell>
        </row>
        <row r="4863">
          <cell r="B4863" t="b">
            <v>1</v>
          </cell>
          <cell r="E4863" t="str">
            <v>Daniel Lemaitre</v>
          </cell>
          <cell r="H4863" t="str">
            <v>laboratorio</v>
          </cell>
          <cell r="J4863" t="str">
            <v>bueno</v>
          </cell>
          <cell r="K4863" t="str">
            <v>defsi</v>
          </cell>
        </row>
        <row r="4864">
          <cell r="B4864" t="b">
            <v>1</v>
          </cell>
          <cell r="E4864" t="str">
            <v>Daniel Lemaitre</v>
          </cell>
          <cell r="H4864" t="str">
            <v>laboratorio</v>
          </cell>
          <cell r="J4864" t="str">
            <v>bueno</v>
          </cell>
          <cell r="K4864" t="str">
            <v>defsi</v>
          </cell>
        </row>
        <row r="4865">
          <cell r="B4865" t="b">
            <v>1</v>
          </cell>
          <cell r="E4865" t="str">
            <v>Daniel Lemaitre</v>
          </cell>
          <cell r="H4865" t="str">
            <v>salud_oral</v>
          </cell>
          <cell r="J4865" t="str">
            <v>bueno</v>
          </cell>
          <cell r="K4865" t="str">
            <v>defsi</v>
          </cell>
        </row>
        <row r="4866">
          <cell r="B4866" t="b">
            <v>1</v>
          </cell>
          <cell r="E4866" t="str">
            <v>Daniel Lemaitre</v>
          </cell>
          <cell r="H4866" t="str">
            <v>salud_oral</v>
          </cell>
          <cell r="J4866" t="str">
            <v>bueno</v>
          </cell>
          <cell r="K4866" t="str">
            <v>defsi</v>
          </cell>
        </row>
        <row r="4867">
          <cell r="B4867" t="b">
            <v>1</v>
          </cell>
          <cell r="E4867" t="str">
            <v>Daniel Lemaitre</v>
          </cell>
          <cell r="H4867" t="str">
            <v>salud_oral</v>
          </cell>
          <cell r="J4867" t="str">
            <v>muybueno</v>
          </cell>
          <cell r="K4867" t="str">
            <v>defsi</v>
          </cell>
        </row>
        <row r="4868">
          <cell r="B4868" t="b">
            <v>1</v>
          </cell>
          <cell r="E4868" t="str">
            <v>Daniel Lemaitre</v>
          </cell>
          <cell r="H4868" t="str">
            <v>consulta_externa</v>
          </cell>
          <cell r="J4868" t="str">
            <v>muybueno</v>
          </cell>
          <cell r="K4868" t="str">
            <v>defsi</v>
          </cell>
        </row>
        <row r="4869">
          <cell r="B4869" t="b">
            <v>0</v>
          </cell>
          <cell r="E4869" t="str">
            <v>Daniel Lemaitre</v>
          </cell>
          <cell r="H4869" t="str">
            <v>laboratorio</v>
          </cell>
          <cell r="J4869" t="str">
            <v>regular</v>
          </cell>
          <cell r="K4869" t="str">
            <v>probsi</v>
          </cell>
        </row>
        <row r="4870">
          <cell r="B4870" t="b">
            <v>0</v>
          </cell>
          <cell r="E4870" t="str">
            <v>Daniel Lemaitre</v>
          </cell>
          <cell r="H4870" t="str">
            <v>laboratorio</v>
          </cell>
          <cell r="J4870" t="str">
            <v>regular</v>
          </cell>
          <cell r="K4870" t="str">
            <v>probsi</v>
          </cell>
        </row>
        <row r="4871">
          <cell r="B4871" t="b">
            <v>1</v>
          </cell>
          <cell r="E4871" t="str">
            <v>Daniel Lemaitre</v>
          </cell>
          <cell r="H4871" t="str">
            <v>laboratorio</v>
          </cell>
          <cell r="J4871" t="str">
            <v>bueno</v>
          </cell>
          <cell r="K4871" t="str">
            <v>defsi</v>
          </cell>
        </row>
        <row r="4872">
          <cell r="B4872" t="b">
            <v>1</v>
          </cell>
          <cell r="E4872" t="str">
            <v>Daniel Lemaitre</v>
          </cell>
          <cell r="H4872" t="str">
            <v>laboratorio</v>
          </cell>
          <cell r="J4872" t="str">
            <v>bueno</v>
          </cell>
          <cell r="K4872" t="str">
            <v>defsi</v>
          </cell>
        </row>
        <row r="4873">
          <cell r="B4873" t="b">
            <v>0</v>
          </cell>
          <cell r="E4873" t="str">
            <v>Daniel Lemaitre</v>
          </cell>
          <cell r="H4873" t="str">
            <v>consulta_externa</v>
          </cell>
          <cell r="J4873" t="str">
            <v>regular</v>
          </cell>
          <cell r="K4873" t="str">
            <v>defsi</v>
          </cell>
        </row>
        <row r="4874">
          <cell r="B4874" t="b">
            <v>1</v>
          </cell>
          <cell r="E4874" t="str">
            <v>Daniel Lemaitre</v>
          </cell>
          <cell r="H4874" t="str">
            <v>consulta_externa</v>
          </cell>
          <cell r="J4874" t="str">
            <v>bueno</v>
          </cell>
          <cell r="K4874" t="str">
            <v>defsi</v>
          </cell>
        </row>
        <row r="4875">
          <cell r="B4875" t="b">
            <v>1</v>
          </cell>
          <cell r="E4875" t="str">
            <v>Canapote</v>
          </cell>
          <cell r="H4875" t="str">
            <v>consulta_externa</v>
          </cell>
          <cell r="J4875" t="str">
            <v>bueno</v>
          </cell>
          <cell r="K4875" t="str">
            <v>defsi</v>
          </cell>
        </row>
        <row r="4876">
          <cell r="B4876" t="b">
            <v>1</v>
          </cell>
          <cell r="E4876" t="str">
            <v>Canapote</v>
          </cell>
          <cell r="H4876" t="str">
            <v>laboratorio</v>
          </cell>
          <cell r="J4876" t="str">
            <v>bueno</v>
          </cell>
          <cell r="K4876" t="str">
            <v>defsi</v>
          </cell>
        </row>
        <row r="4877">
          <cell r="B4877" t="b">
            <v>1</v>
          </cell>
          <cell r="E4877" t="str">
            <v>Canapote</v>
          </cell>
          <cell r="H4877" t="str">
            <v>laboratorio</v>
          </cell>
          <cell r="J4877" t="str">
            <v>bueno</v>
          </cell>
          <cell r="K4877" t="str">
            <v>defsi</v>
          </cell>
        </row>
        <row r="4878">
          <cell r="B4878" t="b">
            <v>1</v>
          </cell>
          <cell r="E4878" t="str">
            <v>Canapote</v>
          </cell>
          <cell r="H4878" t="str">
            <v>consulta_externa</v>
          </cell>
          <cell r="J4878" t="str">
            <v>bueno</v>
          </cell>
          <cell r="K4878" t="str">
            <v>defsi</v>
          </cell>
        </row>
        <row r="4879">
          <cell r="B4879" t="b">
            <v>1</v>
          </cell>
          <cell r="E4879" t="str">
            <v>Bosque</v>
          </cell>
          <cell r="H4879" t="str">
            <v>laboratorio</v>
          </cell>
          <cell r="J4879" t="str">
            <v>bueno</v>
          </cell>
          <cell r="K4879" t="str">
            <v>probsi</v>
          </cell>
        </row>
        <row r="4880">
          <cell r="B4880" t="b">
            <v>1</v>
          </cell>
          <cell r="E4880" t="str">
            <v>Bosque</v>
          </cell>
          <cell r="H4880" t="str">
            <v>laboratorio</v>
          </cell>
          <cell r="J4880" t="str">
            <v>bueno</v>
          </cell>
          <cell r="K4880" t="str">
            <v>probsi</v>
          </cell>
        </row>
        <row r="4881">
          <cell r="B4881" t="b">
            <v>1</v>
          </cell>
          <cell r="E4881" t="str">
            <v>Bosque</v>
          </cell>
          <cell r="H4881" t="str">
            <v>laboratorio</v>
          </cell>
          <cell r="J4881" t="str">
            <v>bueno</v>
          </cell>
          <cell r="K4881" t="str">
            <v>probsi</v>
          </cell>
        </row>
        <row r="4882">
          <cell r="B4882" t="b">
            <v>1</v>
          </cell>
          <cell r="E4882" t="str">
            <v>Bosque</v>
          </cell>
          <cell r="H4882" t="str">
            <v>laboratorio</v>
          </cell>
          <cell r="J4882" t="str">
            <v>bueno</v>
          </cell>
          <cell r="K4882" t="str">
            <v>probsi</v>
          </cell>
        </row>
        <row r="4883">
          <cell r="B4883" t="b">
            <v>1</v>
          </cell>
          <cell r="E4883" t="str">
            <v>Bosque</v>
          </cell>
          <cell r="H4883" t="str">
            <v>salud_oral</v>
          </cell>
          <cell r="J4883" t="str">
            <v>bueno</v>
          </cell>
          <cell r="K4883" t="str">
            <v>probsi</v>
          </cell>
        </row>
        <row r="4884">
          <cell r="B4884" t="b">
            <v>1</v>
          </cell>
          <cell r="E4884" t="str">
            <v>Bosque</v>
          </cell>
          <cell r="H4884" t="str">
            <v>salud_oral</v>
          </cell>
          <cell r="J4884" t="str">
            <v>bueno</v>
          </cell>
          <cell r="K4884" t="str">
            <v>probsi</v>
          </cell>
        </row>
        <row r="4885">
          <cell r="B4885" t="b">
            <v>1</v>
          </cell>
          <cell r="E4885" t="str">
            <v>Bosque</v>
          </cell>
          <cell r="H4885" t="str">
            <v>salud_oral</v>
          </cell>
          <cell r="J4885" t="str">
            <v>bueno</v>
          </cell>
          <cell r="K4885" t="str">
            <v>probsi</v>
          </cell>
        </row>
        <row r="4886">
          <cell r="B4886" t="b">
            <v>1</v>
          </cell>
          <cell r="E4886" t="str">
            <v>Bosque</v>
          </cell>
          <cell r="H4886" t="str">
            <v>salud_oral</v>
          </cell>
          <cell r="J4886" t="str">
            <v>bueno</v>
          </cell>
          <cell r="K4886" t="str">
            <v>probsi</v>
          </cell>
        </row>
        <row r="4887">
          <cell r="B4887" t="b">
            <v>1</v>
          </cell>
          <cell r="E4887" t="str">
            <v>Bosque</v>
          </cell>
          <cell r="H4887" t="str">
            <v>consulta_externa</v>
          </cell>
          <cell r="J4887" t="str">
            <v>bueno</v>
          </cell>
          <cell r="K4887" t="str">
            <v>probsi</v>
          </cell>
        </row>
        <row r="4888">
          <cell r="B4888" t="b">
            <v>1</v>
          </cell>
          <cell r="E4888" t="str">
            <v>Bosque</v>
          </cell>
          <cell r="H4888" t="str">
            <v>consulta_externa</v>
          </cell>
          <cell r="J4888" t="str">
            <v>bueno</v>
          </cell>
          <cell r="K4888" t="str">
            <v>probsi</v>
          </cell>
        </row>
        <row r="4889">
          <cell r="B4889" t="b">
            <v>1</v>
          </cell>
          <cell r="E4889" t="str">
            <v>Bosque</v>
          </cell>
          <cell r="H4889" t="str">
            <v>consulta_externa</v>
          </cell>
          <cell r="J4889" t="str">
            <v>bueno</v>
          </cell>
          <cell r="K4889" t="str">
            <v>probsi</v>
          </cell>
        </row>
        <row r="4890">
          <cell r="B4890" t="b">
            <v>1</v>
          </cell>
          <cell r="E4890" t="str">
            <v>Bosque</v>
          </cell>
          <cell r="H4890" t="str">
            <v>consulta_externa</v>
          </cell>
          <cell r="J4890" t="str">
            <v>bueno</v>
          </cell>
          <cell r="K4890" t="str">
            <v>probsi</v>
          </cell>
        </row>
        <row r="4891">
          <cell r="B4891" t="b">
            <v>1</v>
          </cell>
          <cell r="E4891" t="str">
            <v>Bosque</v>
          </cell>
          <cell r="H4891" t="str">
            <v>consulta_externa</v>
          </cell>
          <cell r="J4891" t="str">
            <v>bueno</v>
          </cell>
          <cell r="K4891" t="str">
            <v>probsi</v>
          </cell>
        </row>
        <row r="4892">
          <cell r="B4892" t="b">
            <v>1</v>
          </cell>
          <cell r="E4892" t="str">
            <v>Bosque</v>
          </cell>
          <cell r="H4892" t="str">
            <v>consulta_externa</v>
          </cell>
          <cell r="J4892" t="str">
            <v>bueno</v>
          </cell>
          <cell r="K4892" t="str">
            <v>probsi</v>
          </cell>
        </row>
        <row r="4893">
          <cell r="B4893" t="b">
            <v>1</v>
          </cell>
          <cell r="E4893" t="str">
            <v>Punta Arena</v>
          </cell>
          <cell r="H4893" t="str">
            <v>consulta_externa</v>
          </cell>
          <cell r="J4893" t="str">
            <v>muybueno</v>
          </cell>
          <cell r="K4893" t="str">
            <v>defsi</v>
          </cell>
        </row>
        <row r="4894">
          <cell r="B4894" t="b">
            <v>1</v>
          </cell>
          <cell r="E4894" t="str">
            <v>Punta Arena</v>
          </cell>
          <cell r="H4894" t="str">
            <v>salud_oral</v>
          </cell>
          <cell r="J4894" t="str">
            <v>muybueno</v>
          </cell>
          <cell r="K4894" t="str">
            <v>defsi</v>
          </cell>
        </row>
        <row r="4895">
          <cell r="B4895" t="b">
            <v>1</v>
          </cell>
          <cell r="E4895" t="str">
            <v>Punta Arena</v>
          </cell>
          <cell r="H4895" t="str">
            <v>consulta_externa</v>
          </cell>
          <cell r="J4895" t="str">
            <v>muybueno</v>
          </cell>
          <cell r="K4895" t="str">
            <v>defsi</v>
          </cell>
        </row>
        <row r="4896">
          <cell r="B4896" t="b">
            <v>1</v>
          </cell>
          <cell r="E4896" t="str">
            <v>Punta Arena</v>
          </cell>
          <cell r="H4896" t="str">
            <v>salud_oral</v>
          </cell>
          <cell r="J4896" t="str">
            <v>muybueno</v>
          </cell>
          <cell r="K4896" t="str">
            <v>defsi</v>
          </cell>
        </row>
        <row r="4897">
          <cell r="B4897" t="b">
            <v>1</v>
          </cell>
          <cell r="E4897" t="str">
            <v>Punta Arena</v>
          </cell>
          <cell r="H4897" t="str">
            <v>consulta_externa</v>
          </cell>
          <cell r="J4897" t="str">
            <v>muybueno</v>
          </cell>
          <cell r="K4897" t="str">
            <v>defsi</v>
          </cell>
        </row>
        <row r="4898">
          <cell r="B4898" t="b">
            <v>1</v>
          </cell>
          <cell r="E4898" t="str">
            <v>Punta Arena</v>
          </cell>
          <cell r="H4898" t="str">
            <v>laboratorio</v>
          </cell>
          <cell r="J4898" t="str">
            <v>muybueno</v>
          </cell>
          <cell r="K4898" t="str">
            <v>defsi</v>
          </cell>
        </row>
        <row r="4899">
          <cell r="B4899" t="b">
            <v>1</v>
          </cell>
          <cell r="E4899" t="str">
            <v>Punta Arena</v>
          </cell>
          <cell r="H4899" t="str">
            <v>consulta_externa</v>
          </cell>
          <cell r="J4899" t="str">
            <v>muybueno</v>
          </cell>
          <cell r="K4899" t="str">
            <v>defsi</v>
          </cell>
        </row>
        <row r="4900">
          <cell r="B4900" t="b">
            <v>1</v>
          </cell>
          <cell r="E4900" t="str">
            <v>Punta Arena</v>
          </cell>
          <cell r="H4900" t="str">
            <v>laboratorio</v>
          </cell>
          <cell r="J4900" t="str">
            <v>muybueno</v>
          </cell>
          <cell r="K4900" t="str">
            <v>defsi</v>
          </cell>
        </row>
        <row r="4901">
          <cell r="B4901" t="b">
            <v>1</v>
          </cell>
          <cell r="E4901" t="str">
            <v>Candelaria</v>
          </cell>
          <cell r="H4901" t="str">
            <v>consulta_externa</v>
          </cell>
          <cell r="J4901" t="str">
            <v>bueno</v>
          </cell>
          <cell r="K4901" t="str">
            <v>defsi</v>
          </cell>
        </row>
        <row r="4902">
          <cell r="B4902" t="b">
            <v>1</v>
          </cell>
          <cell r="E4902" t="str">
            <v>Candelaria</v>
          </cell>
          <cell r="H4902" t="str">
            <v>salud_oral</v>
          </cell>
          <cell r="J4902" t="str">
            <v>bueno</v>
          </cell>
          <cell r="K4902" t="str">
            <v>defsi</v>
          </cell>
        </row>
        <row r="4903">
          <cell r="B4903" t="b">
            <v>1</v>
          </cell>
          <cell r="E4903" t="str">
            <v>Punta Arena</v>
          </cell>
          <cell r="H4903" t="str">
            <v>consulta_externa</v>
          </cell>
          <cell r="J4903" t="str">
            <v>muybueno</v>
          </cell>
          <cell r="K4903" t="str">
            <v>defsi</v>
          </cell>
        </row>
        <row r="4904">
          <cell r="B4904" t="b">
            <v>1</v>
          </cell>
          <cell r="E4904" t="str">
            <v>Candelaria</v>
          </cell>
          <cell r="H4904" t="str">
            <v>laboratorio</v>
          </cell>
          <cell r="J4904" t="str">
            <v>bueno</v>
          </cell>
          <cell r="K4904" t="str">
            <v>defsi</v>
          </cell>
        </row>
        <row r="4905">
          <cell r="B4905" t="b">
            <v>1</v>
          </cell>
          <cell r="E4905" t="str">
            <v>Punta Arena</v>
          </cell>
          <cell r="H4905" t="str">
            <v>laboratorio</v>
          </cell>
          <cell r="J4905" t="str">
            <v>muybueno</v>
          </cell>
          <cell r="K4905" t="str">
            <v>defsi</v>
          </cell>
        </row>
        <row r="4906">
          <cell r="B4906" t="b">
            <v>1</v>
          </cell>
          <cell r="E4906" t="str">
            <v>Punta Arena</v>
          </cell>
          <cell r="H4906" t="str">
            <v>salud_oral</v>
          </cell>
          <cell r="J4906" t="str">
            <v>muybueno</v>
          </cell>
          <cell r="K4906" t="str">
            <v>defsi</v>
          </cell>
        </row>
        <row r="4907">
          <cell r="B4907" t="b">
            <v>1</v>
          </cell>
          <cell r="E4907" t="str">
            <v>Candelaria</v>
          </cell>
          <cell r="H4907" t="str">
            <v>urgencia</v>
          </cell>
          <cell r="J4907" t="str">
            <v>bueno</v>
          </cell>
          <cell r="K4907" t="str">
            <v>defsi</v>
          </cell>
        </row>
        <row r="4908">
          <cell r="B4908" t="b">
            <v>1</v>
          </cell>
          <cell r="E4908" t="str">
            <v>Candelaria</v>
          </cell>
          <cell r="H4908" t="str">
            <v>consulta_externa</v>
          </cell>
          <cell r="J4908" t="str">
            <v>bueno</v>
          </cell>
          <cell r="K4908" t="str">
            <v>defsi</v>
          </cell>
        </row>
        <row r="4909">
          <cell r="B4909" t="b">
            <v>1</v>
          </cell>
          <cell r="E4909" t="str">
            <v>Punta Arena</v>
          </cell>
          <cell r="H4909" t="str">
            <v>consulta_externa</v>
          </cell>
          <cell r="J4909" t="str">
            <v>muybueno</v>
          </cell>
          <cell r="K4909" t="str">
            <v>defsi</v>
          </cell>
        </row>
        <row r="4910">
          <cell r="B4910" t="b">
            <v>1</v>
          </cell>
          <cell r="E4910" t="str">
            <v>Punta Arena</v>
          </cell>
          <cell r="H4910" t="str">
            <v>salud_oral</v>
          </cell>
          <cell r="J4910" t="str">
            <v>muybueno</v>
          </cell>
          <cell r="K4910" t="str">
            <v>defsi</v>
          </cell>
        </row>
        <row r="4911">
          <cell r="B4911" t="b">
            <v>1</v>
          </cell>
          <cell r="E4911" t="str">
            <v>Candelaria</v>
          </cell>
          <cell r="H4911" t="str">
            <v>salud_oral</v>
          </cell>
          <cell r="J4911" t="str">
            <v>bueno</v>
          </cell>
          <cell r="K4911" t="str">
            <v>defsi</v>
          </cell>
        </row>
        <row r="4912">
          <cell r="B4912" t="b">
            <v>1</v>
          </cell>
          <cell r="E4912" t="str">
            <v>Candelaria</v>
          </cell>
          <cell r="H4912" t="str">
            <v>laboratorio</v>
          </cell>
          <cell r="J4912" t="str">
            <v>bueno</v>
          </cell>
          <cell r="K4912" t="str">
            <v>defsi</v>
          </cell>
        </row>
        <row r="4913">
          <cell r="B4913" t="b">
            <v>1</v>
          </cell>
          <cell r="E4913" t="str">
            <v>Candelaria</v>
          </cell>
          <cell r="H4913" t="str">
            <v>urgencia</v>
          </cell>
          <cell r="J4913" t="str">
            <v>bueno</v>
          </cell>
          <cell r="K4913" t="str">
            <v>defsi</v>
          </cell>
        </row>
        <row r="4914">
          <cell r="B4914" t="b">
            <v>1</v>
          </cell>
          <cell r="E4914" t="str">
            <v>Punta Arena</v>
          </cell>
          <cell r="H4914" t="str">
            <v>consulta_externa</v>
          </cell>
          <cell r="J4914" t="str">
            <v>muybueno</v>
          </cell>
          <cell r="K4914" t="str">
            <v>defsi</v>
          </cell>
        </row>
        <row r="4915">
          <cell r="B4915" t="b">
            <v>1</v>
          </cell>
          <cell r="E4915" t="str">
            <v>Candelaria</v>
          </cell>
          <cell r="H4915" t="str">
            <v>consulta_externa</v>
          </cell>
          <cell r="J4915" t="str">
            <v>bueno</v>
          </cell>
          <cell r="K4915" t="str">
            <v>defsi</v>
          </cell>
        </row>
        <row r="4916">
          <cell r="B4916" t="b">
            <v>1</v>
          </cell>
          <cell r="E4916" t="str">
            <v>Candelaria</v>
          </cell>
          <cell r="H4916" t="str">
            <v>salud_oral</v>
          </cell>
          <cell r="J4916" t="str">
            <v>bueno</v>
          </cell>
          <cell r="K4916" t="str">
            <v>defsi</v>
          </cell>
        </row>
        <row r="4917">
          <cell r="B4917" t="b">
            <v>1</v>
          </cell>
          <cell r="E4917" t="str">
            <v>Punta Arena</v>
          </cell>
          <cell r="H4917" t="str">
            <v>consulta_externa</v>
          </cell>
          <cell r="J4917" t="str">
            <v>muybueno</v>
          </cell>
          <cell r="K4917" t="str">
            <v>defsi</v>
          </cell>
        </row>
        <row r="4918">
          <cell r="B4918" t="b">
            <v>1</v>
          </cell>
          <cell r="E4918" t="str">
            <v>Candelaria</v>
          </cell>
          <cell r="H4918" t="str">
            <v>laboratorio</v>
          </cell>
          <cell r="J4918" t="str">
            <v>bueno</v>
          </cell>
          <cell r="K4918" t="str">
            <v>defsi</v>
          </cell>
        </row>
        <row r="4919">
          <cell r="B4919" t="b">
            <v>1</v>
          </cell>
          <cell r="E4919" t="str">
            <v>Candelaria</v>
          </cell>
          <cell r="H4919" t="str">
            <v>urgencia</v>
          </cell>
          <cell r="J4919" t="str">
            <v>bueno</v>
          </cell>
          <cell r="K4919" t="str">
            <v>defsi</v>
          </cell>
        </row>
        <row r="4920">
          <cell r="B4920" t="b">
            <v>1</v>
          </cell>
          <cell r="E4920" t="str">
            <v>Punta Arena</v>
          </cell>
          <cell r="H4920" t="str">
            <v>consulta_externa</v>
          </cell>
          <cell r="J4920" t="str">
            <v>muybueno</v>
          </cell>
          <cell r="K4920" t="str">
            <v>defsi</v>
          </cell>
        </row>
        <row r="4921">
          <cell r="B4921" t="b">
            <v>1</v>
          </cell>
          <cell r="E4921" t="str">
            <v>Punta Arena</v>
          </cell>
          <cell r="H4921" t="str">
            <v>laboratorio</v>
          </cell>
          <cell r="J4921" t="str">
            <v>muybueno</v>
          </cell>
          <cell r="K4921" t="str">
            <v>defsi</v>
          </cell>
        </row>
        <row r="4922">
          <cell r="B4922" t="b">
            <v>1</v>
          </cell>
          <cell r="E4922" t="str">
            <v>Candelaria</v>
          </cell>
          <cell r="H4922" t="str">
            <v>consulta_externa</v>
          </cell>
          <cell r="J4922" t="str">
            <v>bueno</v>
          </cell>
          <cell r="K4922" t="str">
            <v>defsi</v>
          </cell>
        </row>
        <row r="4923">
          <cell r="B4923" t="b">
            <v>1</v>
          </cell>
          <cell r="E4923" t="str">
            <v>Candelaria</v>
          </cell>
          <cell r="H4923" t="str">
            <v>salud_oral</v>
          </cell>
          <cell r="J4923" t="str">
            <v>bueno</v>
          </cell>
          <cell r="K4923" t="str">
            <v>defsi</v>
          </cell>
        </row>
        <row r="4924">
          <cell r="B4924" t="b">
            <v>1</v>
          </cell>
          <cell r="E4924" t="str">
            <v>Candelaria</v>
          </cell>
          <cell r="H4924" t="str">
            <v>laboratorio</v>
          </cell>
          <cell r="J4924" t="str">
            <v>bueno</v>
          </cell>
          <cell r="K4924" t="str">
            <v>defsi</v>
          </cell>
        </row>
        <row r="4925">
          <cell r="B4925" t="b">
            <v>1</v>
          </cell>
          <cell r="E4925" t="str">
            <v>Candelaria</v>
          </cell>
          <cell r="H4925" t="str">
            <v>urgencia</v>
          </cell>
          <cell r="J4925" t="str">
            <v>bueno</v>
          </cell>
          <cell r="K4925" t="str">
            <v>defsi</v>
          </cell>
        </row>
        <row r="4926">
          <cell r="B4926" t="b">
            <v>1</v>
          </cell>
          <cell r="E4926" t="str">
            <v>Punta Arena</v>
          </cell>
          <cell r="H4926" t="str">
            <v>consulta_externa</v>
          </cell>
          <cell r="J4926" t="str">
            <v>muybueno</v>
          </cell>
          <cell r="K4926" t="str">
            <v>defsi</v>
          </cell>
        </row>
        <row r="4927">
          <cell r="B4927" t="b">
            <v>1</v>
          </cell>
          <cell r="E4927" t="str">
            <v>Punta Arena</v>
          </cell>
          <cell r="H4927" t="str">
            <v>laboratorio</v>
          </cell>
          <cell r="J4927" t="str">
            <v>muybueno</v>
          </cell>
          <cell r="K4927" t="str">
            <v>defsi</v>
          </cell>
        </row>
        <row r="4928">
          <cell r="B4928" t="b">
            <v>1</v>
          </cell>
          <cell r="E4928" t="str">
            <v>Bosque</v>
          </cell>
          <cell r="H4928" t="str">
            <v>consulta_externa</v>
          </cell>
          <cell r="J4928" t="str">
            <v>bueno</v>
          </cell>
          <cell r="K4928" t="str">
            <v>probsi</v>
          </cell>
        </row>
        <row r="4929">
          <cell r="B4929" t="b">
            <v>1</v>
          </cell>
          <cell r="E4929" t="str">
            <v>Bosque</v>
          </cell>
          <cell r="H4929" t="str">
            <v>consulta_externa</v>
          </cell>
          <cell r="J4929" t="str">
            <v>bueno</v>
          </cell>
          <cell r="K4929" t="str">
            <v>probsi</v>
          </cell>
        </row>
        <row r="4930">
          <cell r="B4930" t="b">
            <v>1</v>
          </cell>
          <cell r="E4930" t="str">
            <v>Bosque</v>
          </cell>
          <cell r="H4930" t="str">
            <v>salud_oral</v>
          </cell>
          <cell r="J4930" t="str">
            <v>bueno</v>
          </cell>
          <cell r="K4930" t="str">
            <v>probsi</v>
          </cell>
        </row>
        <row r="4931">
          <cell r="B4931" t="b">
            <v>1</v>
          </cell>
          <cell r="E4931" t="str">
            <v>Candelaria</v>
          </cell>
          <cell r="H4931" t="str">
            <v>consulta_externa</v>
          </cell>
          <cell r="J4931" t="str">
            <v>bueno</v>
          </cell>
          <cell r="K4931" t="str">
            <v>defsi</v>
          </cell>
        </row>
        <row r="4932">
          <cell r="B4932" t="b">
            <v>1</v>
          </cell>
          <cell r="E4932" t="str">
            <v>Punta Arena</v>
          </cell>
          <cell r="H4932" t="str">
            <v>consulta_externa</v>
          </cell>
          <cell r="J4932" t="str">
            <v>muybueno</v>
          </cell>
          <cell r="K4932" t="str">
            <v>defsi</v>
          </cell>
        </row>
        <row r="4933">
          <cell r="B4933" t="b">
            <v>1</v>
          </cell>
          <cell r="E4933" t="str">
            <v>Punta Arena</v>
          </cell>
          <cell r="H4933" t="str">
            <v>laboratorio</v>
          </cell>
          <cell r="J4933" t="str">
            <v>muybueno</v>
          </cell>
          <cell r="K4933" t="str">
            <v>defsi</v>
          </cell>
        </row>
        <row r="4934">
          <cell r="B4934" t="b">
            <v>1</v>
          </cell>
          <cell r="E4934" t="str">
            <v>Bosque</v>
          </cell>
          <cell r="H4934" t="str">
            <v>consulta_externa</v>
          </cell>
          <cell r="J4934" t="str">
            <v>bueno</v>
          </cell>
          <cell r="K4934" t="str">
            <v>probsi</v>
          </cell>
        </row>
        <row r="4935">
          <cell r="B4935" t="b">
            <v>1</v>
          </cell>
          <cell r="E4935" t="str">
            <v>Punta Arena</v>
          </cell>
          <cell r="H4935" t="str">
            <v>salud_oral</v>
          </cell>
          <cell r="J4935" t="str">
            <v>muybueno</v>
          </cell>
          <cell r="K4935" t="str">
            <v>defsi</v>
          </cell>
        </row>
        <row r="4936">
          <cell r="B4936" t="b">
            <v>1</v>
          </cell>
          <cell r="E4936" t="str">
            <v>Candelaria</v>
          </cell>
          <cell r="H4936" t="str">
            <v>salud_oral</v>
          </cell>
          <cell r="J4936" t="str">
            <v>bueno</v>
          </cell>
          <cell r="K4936" t="str">
            <v>defsi</v>
          </cell>
        </row>
        <row r="4937">
          <cell r="B4937" t="b">
            <v>1</v>
          </cell>
          <cell r="E4937" t="str">
            <v>Candelaria</v>
          </cell>
          <cell r="H4937" t="str">
            <v>laboratorio</v>
          </cell>
          <cell r="J4937" t="str">
            <v>bueno</v>
          </cell>
          <cell r="K4937" t="str">
            <v>defsi</v>
          </cell>
        </row>
        <row r="4938">
          <cell r="B4938" t="b">
            <v>1</v>
          </cell>
          <cell r="E4938" t="str">
            <v>Punta Arena</v>
          </cell>
          <cell r="H4938" t="str">
            <v>consulta_externa</v>
          </cell>
          <cell r="J4938" t="str">
            <v>muybueno</v>
          </cell>
          <cell r="K4938" t="str">
            <v>defsi</v>
          </cell>
        </row>
        <row r="4939">
          <cell r="B4939" t="b">
            <v>1</v>
          </cell>
          <cell r="E4939" t="str">
            <v>Candelaria</v>
          </cell>
          <cell r="H4939" t="str">
            <v>urgencia</v>
          </cell>
          <cell r="J4939" t="str">
            <v>bueno</v>
          </cell>
          <cell r="K4939" t="str">
            <v>defsi</v>
          </cell>
        </row>
        <row r="4940">
          <cell r="B4940" t="b">
            <v>1</v>
          </cell>
          <cell r="E4940" t="str">
            <v>Punta Arena</v>
          </cell>
          <cell r="H4940" t="str">
            <v>consulta_externa</v>
          </cell>
          <cell r="J4940" t="str">
            <v>muybueno</v>
          </cell>
          <cell r="K4940" t="str">
            <v>defsi</v>
          </cell>
        </row>
        <row r="4941">
          <cell r="B4941" t="b">
            <v>1</v>
          </cell>
          <cell r="E4941" t="str">
            <v>Bosque</v>
          </cell>
          <cell r="H4941" t="str">
            <v>consulta_externa</v>
          </cell>
          <cell r="J4941" t="str">
            <v>bueno</v>
          </cell>
          <cell r="K4941" t="str">
            <v>probsi</v>
          </cell>
        </row>
        <row r="4942">
          <cell r="B4942" t="b">
            <v>1</v>
          </cell>
          <cell r="E4942" t="str">
            <v>Punta Arena</v>
          </cell>
          <cell r="H4942" t="str">
            <v>salud_oral</v>
          </cell>
          <cell r="J4942" t="str">
            <v>muybueno</v>
          </cell>
          <cell r="K4942" t="str">
            <v>defsi</v>
          </cell>
        </row>
        <row r="4943">
          <cell r="B4943" t="b">
            <v>1</v>
          </cell>
          <cell r="E4943" t="str">
            <v>Bosque</v>
          </cell>
          <cell r="H4943" t="str">
            <v>salud_oral</v>
          </cell>
          <cell r="J4943" t="str">
            <v>bueno</v>
          </cell>
          <cell r="K4943" t="str">
            <v>probsi</v>
          </cell>
        </row>
        <row r="4944">
          <cell r="B4944" t="b">
            <v>1</v>
          </cell>
          <cell r="E4944" t="str">
            <v>Bosque</v>
          </cell>
          <cell r="H4944" t="str">
            <v>laboratorio</v>
          </cell>
          <cell r="J4944" t="str">
            <v>bueno</v>
          </cell>
          <cell r="K4944" t="str">
            <v>probsi</v>
          </cell>
        </row>
        <row r="4945">
          <cell r="B4945" t="b">
            <v>1</v>
          </cell>
          <cell r="E4945" t="str">
            <v>Candelaria</v>
          </cell>
          <cell r="H4945" t="str">
            <v>consulta_externa</v>
          </cell>
          <cell r="J4945" t="str">
            <v>bueno</v>
          </cell>
          <cell r="K4945" t="str">
            <v>defsi</v>
          </cell>
        </row>
        <row r="4946">
          <cell r="B4946" t="b">
            <v>1</v>
          </cell>
          <cell r="E4946" t="str">
            <v>Bosque</v>
          </cell>
          <cell r="H4946" t="str">
            <v>laboratorio</v>
          </cell>
          <cell r="J4946" t="str">
            <v>bueno</v>
          </cell>
          <cell r="K4946" t="str">
            <v>probsi</v>
          </cell>
        </row>
        <row r="4947">
          <cell r="B4947" t="b">
            <v>1</v>
          </cell>
          <cell r="E4947" t="str">
            <v>Bosque</v>
          </cell>
          <cell r="H4947" t="str">
            <v>consulta_externa</v>
          </cell>
          <cell r="J4947" t="str">
            <v>bueno</v>
          </cell>
          <cell r="K4947" t="str">
            <v>probsi</v>
          </cell>
        </row>
        <row r="4948">
          <cell r="B4948" t="b">
            <v>1</v>
          </cell>
          <cell r="E4948" t="str">
            <v>Candelaria</v>
          </cell>
          <cell r="H4948" t="str">
            <v>salud_oral</v>
          </cell>
          <cell r="J4948" t="str">
            <v>bueno</v>
          </cell>
          <cell r="K4948" t="str">
            <v>defsi</v>
          </cell>
        </row>
        <row r="4949">
          <cell r="B4949" t="b">
            <v>1</v>
          </cell>
          <cell r="E4949" t="str">
            <v>Candelaria</v>
          </cell>
          <cell r="H4949" t="str">
            <v>laboratorio</v>
          </cell>
          <cell r="J4949" t="str">
            <v>bueno</v>
          </cell>
          <cell r="K4949" t="str">
            <v>defsi</v>
          </cell>
        </row>
        <row r="4950">
          <cell r="B4950" t="b">
            <v>1</v>
          </cell>
          <cell r="E4950" t="str">
            <v>Punta Arena</v>
          </cell>
          <cell r="H4950" t="str">
            <v>consulta_externa</v>
          </cell>
          <cell r="J4950" t="str">
            <v>muybueno</v>
          </cell>
          <cell r="K4950" t="str">
            <v>defsi</v>
          </cell>
        </row>
        <row r="4951">
          <cell r="B4951" t="b">
            <v>1</v>
          </cell>
          <cell r="E4951" t="str">
            <v>Candelaria</v>
          </cell>
          <cell r="H4951" t="str">
            <v>urgencia</v>
          </cell>
          <cell r="J4951" t="str">
            <v>bueno</v>
          </cell>
          <cell r="K4951" t="str">
            <v>defsi</v>
          </cell>
        </row>
        <row r="4952">
          <cell r="B4952" t="b">
            <v>1</v>
          </cell>
          <cell r="E4952" t="str">
            <v>Bosque</v>
          </cell>
          <cell r="H4952" t="str">
            <v>consulta_externa</v>
          </cell>
          <cell r="J4952" t="str">
            <v>bueno</v>
          </cell>
          <cell r="K4952" t="str">
            <v>probsi</v>
          </cell>
        </row>
        <row r="4953">
          <cell r="B4953" t="b">
            <v>1</v>
          </cell>
          <cell r="E4953" t="str">
            <v>Bosque</v>
          </cell>
          <cell r="H4953" t="str">
            <v>salud_oral</v>
          </cell>
          <cell r="J4953" t="str">
            <v>bueno</v>
          </cell>
          <cell r="K4953" t="str">
            <v>probsi</v>
          </cell>
        </row>
        <row r="4954">
          <cell r="B4954" t="b">
            <v>1</v>
          </cell>
          <cell r="E4954" t="str">
            <v>Bosque</v>
          </cell>
          <cell r="H4954" t="str">
            <v>laboratorio</v>
          </cell>
          <cell r="J4954" t="str">
            <v>bueno</v>
          </cell>
          <cell r="K4954" t="str">
            <v>probsi</v>
          </cell>
        </row>
        <row r="4955">
          <cell r="B4955" t="b">
            <v>1</v>
          </cell>
          <cell r="E4955" t="str">
            <v>Candelaria</v>
          </cell>
          <cell r="H4955" t="str">
            <v>consulta_externa</v>
          </cell>
          <cell r="J4955" t="str">
            <v>bueno</v>
          </cell>
          <cell r="K4955" t="str">
            <v>defsi</v>
          </cell>
        </row>
        <row r="4956">
          <cell r="B4956" t="b">
            <v>1</v>
          </cell>
          <cell r="E4956" t="str">
            <v>Candelaria</v>
          </cell>
          <cell r="H4956" t="str">
            <v>salud_oral</v>
          </cell>
          <cell r="J4956" t="str">
            <v>bueno</v>
          </cell>
          <cell r="K4956" t="str">
            <v>defsi</v>
          </cell>
        </row>
        <row r="4957">
          <cell r="B4957" t="b">
            <v>1</v>
          </cell>
          <cell r="E4957" t="str">
            <v>Candelaria</v>
          </cell>
          <cell r="H4957" t="str">
            <v>laboratorio</v>
          </cell>
          <cell r="J4957" t="str">
            <v>bueno</v>
          </cell>
          <cell r="K4957" t="str">
            <v>defsi</v>
          </cell>
        </row>
        <row r="4958">
          <cell r="B4958" t="b">
            <v>1</v>
          </cell>
          <cell r="E4958" t="str">
            <v>Candelaria</v>
          </cell>
          <cell r="H4958" t="str">
            <v>urgencia</v>
          </cell>
          <cell r="J4958" t="str">
            <v>bueno</v>
          </cell>
          <cell r="K4958" t="str">
            <v>defsi</v>
          </cell>
        </row>
        <row r="4959">
          <cell r="B4959" t="b">
            <v>1</v>
          </cell>
          <cell r="E4959" t="str">
            <v>Bosque</v>
          </cell>
          <cell r="H4959" t="str">
            <v>consulta_externa</v>
          </cell>
          <cell r="J4959" t="str">
            <v>bueno</v>
          </cell>
          <cell r="K4959" t="str">
            <v>probsi</v>
          </cell>
        </row>
        <row r="4960">
          <cell r="B4960" t="b">
            <v>1</v>
          </cell>
          <cell r="E4960" t="str">
            <v>Punta Arena</v>
          </cell>
          <cell r="H4960" t="str">
            <v>consulta_externa</v>
          </cell>
          <cell r="J4960" t="str">
            <v>muybueno</v>
          </cell>
          <cell r="K4960" t="str">
            <v>defsi</v>
          </cell>
        </row>
        <row r="4961">
          <cell r="B4961" t="b">
            <v>1</v>
          </cell>
          <cell r="E4961" t="str">
            <v>Bosque</v>
          </cell>
          <cell r="H4961" t="str">
            <v>salud_oral</v>
          </cell>
          <cell r="J4961" t="str">
            <v>bueno</v>
          </cell>
          <cell r="K4961" t="str">
            <v>probsi</v>
          </cell>
        </row>
        <row r="4962">
          <cell r="B4962" t="b">
            <v>1</v>
          </cell>
          <cell r="E4962" t="str">
            <v>Punta Arena</v>
          </cell>
          <cell r="H4962" t="str">
            <v>laboratorio</v>
          </cell>
          <cell r="J4962" t="str">
            <v>muybueno</v>
          </cell>
          <cell r="K4962" t="str">
            <v>defsi</v>
          </cell>
        </row>
        <row r="4963">
          <cell r="B4963" t="b">
            <v>1</v>
          </cell>
          <cell r="E4963" t="str">
            <v>Bosque</v>
          </cell>
          <cell r="H4963" t="str">
            <v>consulta_externa</v>
          </cell>
          <cell r="J4963" t="str">
            <v>bueno</v>
          </cell>
          <cell r="K4963" t="str">
            <v>probsi</v>
          </cell>
        </row>
        <row r="4964">
          <cell r="B4964" t="b">
            <v>1</v>
          </cell>
          <cell r="E4964" t="str">
            <v>Bosque</v>
          </cell>
          <cell r="H4964" t="str">
            <v>salud_oral</v>
          </cell>
          <cell r="J4964" t="str">
            <v>bueno</v>
          </cell>
          <cell r="K4964" t="str">
            <v>probsi</v>
          </cell>
        </row>
        <row r="4965">
          <cell r="B4965" t="b">
            <v>1</v>
          </cell>
          <cell r="E4965" t="str">
            <v>Bosque</v>
          </cell>
          <cell r="H4965" t="str">
            <v>laboratorio</v>
          </cell>
          <cell r="J4965" t="str">
            <v>bueno</v>
          </cell>
          <cell r="K4965" t="str">
            <v>probsi</v>
          </cell>
        </row>
        <row r="4966">
          <cell r="B4966" t="b">
            <v>1</v>
          </cell>
          <cell r="E4966" t="str">
            <v>Bosque</v>
          </cell>
          <cell r="H4966" t="str">
            <v>laboratorio</v>
          </cell>
          <cell r="J4966" t="str">
            <v>bueno</v>
          </cell>
          <cell r="K4966" t="str">
            <v>probsi</v>
          </cell>
        </row>
        <row r="4967">
          <cell r="B4967" t="b">
            <v>1</v>
          </cell>
          <cell r="E4967" t="str">
            <v>Punta Arena</v>
          </cell>
          <cell r="H4967" t="str">
            <v>consulta_externa</v>
          </cell>
          <cell r="J4967" t="str">
            <v>muybueno</v>
          </cell>
          <cell r="K4967" t="str">
            <v>defsi</v>
          </cell>
        </row>
        <row r="4968">
          <cell r="B4968" t="b">
            <v>1</v>
          </cell>
          <cell r="E4968" t="str">
            <v>Candelaria</v>
          </cell>
          <cell r="H4968" t="str">
            <v>consulta_externa</v>
          </cell>
          <cell r="J4968" t="str">
            <v>bueno</v>
          </cell>
          <cell r="K4968" t="str">
            <v>defsi</v>
          </cell>
        </row>
        <row r="4969">
          <cell r="B4969" t="b">
            <v>1</v>
          </cell>
          <cell r="E4969" t="str">
            <v>Candelaria</v>
          </cell>
          <cell r="H4969" t="str">
            <v>salud_oral</v>
          </cell>
          <cell r="J4969" t="str">
            <v>bueno</v>
          </cell>
          <cell r="K4969" t="str">
            <v>defsi</v>
          </cell>
        </row>
        <row r="4970">
          <cell r="B4970" t="b">
            <v>1</v>
          </cell>
          <cell r="E4970" t="str">
            <v>Candelaria</v>
          </cell>
          <cell r="H4970" t="str">
            <v>laboratorio</v>
          </cell>
          <cell r="J4970" t="str">
            <v>bueno</v>
          </cell>
          <cell r="K4970" t="str">
            <v>defsi</v>
          </cell>
        </row>
        <row r="4971">
          <cell r="B4971" t="b">
            <v>1</v>
          </cell>
          <cell r="E4971" t="str">
            <v>Candelaria</v>
          </cell>
          <cell r="H4971" t="str">
            <v>urgencia</v>
          </cell>
          <cell r="J4971" t="str">
            <v>bueno</v>
          </cell>
          <cell r="K4971" t="str">
            <v>defsi</v>
          </cell>
        </row>
        <row r="4972">
          <cell r="B4972" t="b">
            <v>1</v>
          </cell>
          <cell r="E4972" t="str">
            <v>Bosque</v>
          </cell>
          <cell r="H4972" t="str">
            <v>consulta_externa</v>
          </cell>
          <cell r="J4972" t="str">
            <v>bueno</v>
          </cell>
          <cell r="K4972" t="str">
            <v>probsi</v>
          </cell>
        </row>
        <row r="4973">
          <cell r="B4973" t="b">
            <v>1</v>
          </cell>
          <cell r="E4973" t="str">
            <v>Punta Arena</v>
          </cell>
          <cell r="H4973" t="str">
            <v>consulta_externa</v>
          </cell>
          <cell r="J4973" t="str">
            <v>muybueno</v>
          </cell>
          <cell r="K4973" t="str">
            <v>defsi</v>
          </cell>
        </row>
        <row r="4974">
          <cell r="B4974" t="b">
            <v>1</v>
          </cell>
          <cell r="E4974" t="str">
            <v>Bosque</v>
          </cell>
          <cell r="H4974" t="str">
            <v>salud_oral</v>
          </cell>
          <cell r="J4974" t="str">
            <v>bueno</v>
          </cell>
          <cell r="K4974" t="str">
            <v>probsi</v>
          </cell>
        </row>
        <row r="4975">
          <cell r="B4975" t="b">
            <v>1</v>
          </cell>
          <cell r="E4975" t="str">
            <v>Bosque</v>
          </cell>
          <cell r="H4975" t="str">
            <v>laboratorio</v>
          </cell>
          <cell r="J4975" t="str">
            <v>bueno</v>
          </cell>
          <cell r="K4975" t="str">
            <v>probsi</v>
          </cell>
        </row>
        <row r="4976">
          <cell r="B4976" t="b">
            <v>1</v>
          </cell>
          <cell r="E4976" t="str">
            <v>Bosque</v>
          </cell>
          <cell r="H4976" t="str">
            <v>salud_oral</v>
          </cell>
          <cell r="J4976" t="str">
            <v>bueno</v>
          </cell>
          <cell r="K4976" t="str">
            <v>probsi</v>
          </cell>
        </row>
        <row r="4977">
          <cell r="B4977" t="b">
            <v>1</v>
          </cell>
          <cell r="E4977" t="str">
            <v>Bosque</v>
          </cell>
          <cell r="H4977" t="str">
            <v>laboratorio</v>
          </cell>
          <cell r="J4977" t="str">
            <v>bueno</v>
          </cell>
          <cell r="K4977" t="str">
            <v>probsi</v>
          </cell>
        </row>
        <row r="4978">
          <cell r="B4978" t="b">
            <v>1</v>
          </cell>
          <cell r="E4978" t="str">
            <v>Bosque</v>
          </cell>
          <cell r="H4978" t="str">
            <v>consulta_externa</v>
          </cell>
          <cell r="J4978" t="str">
            <v>bueno</v>
          </cell>
          <cell r="K4978" t="str">
            <v>probsi</v>
          </cell>
        </row>
        <row r="4979">
          <cell r="B4979" t="b">
            <v>1</v>
          </cell>
          <cell r="E4979" t="str">
            <v>Bosque</v>
          </cell>
          <cell r="H4979" t="str">
            <v>salud_oral</v>
          </cell>
          <cell r="J4979" t="str">
            <v>bueno</v>
          </cell>
          <cell r="K4979" t="str">
            <v>probsi</v>
          </cell>
        </row>
        <row r="4980">
          <cell r="B4980" t="b">
            <v>1</v>
          </cell>
          <cell r="E4980" t="str">
            <v>San Pedro y Libertad</v>
          </cell>
          <cell r="H4980" t="str">
            <v>laboratorio</v>
          </cell>
          <cell r="J4980" t="str">
            <v>bueno</v>
          </cell>
          <cell r="K4980" t="str">
            <v>defsi</v>
          </cell>
        </row>
        <row r="4981">
          <cell r="B4981" t="b">
            <v>1</v>
          </cell>
          <cell r="E4981" t="str">
            <v>Bosque</v>
          </cell>
          <cell r="H4981" t="str">
            <v>laboratorio</v>
          </cell>
          <cell r="J4981" t="str">
            <v>bueno</v>
          </cell>
          <cell r="K4981" t="str">
            <v>probsi</v>
          </cell>
        </row>
        <row r="4982">
          <cell r="B4982" t="b">
            <v>1</v>
          </cell>
          <cell r="E4982" t="str">
            <v>Punta Arena</v>
          </cell>
          <cell r="H4982" t="str">
            <v>consulta_externa</v>
          </cell>
          <cell r="J4982" t="str">
            <v>muybueno</v>
          </cell>
          <cell r="K4982" t="str">
            <v>defsi</v>
          </cell>
        </row>
        <row r="4983">
          <cell r="B4983" t="b">
            <v>1</v>
          </cell>
          <cell r="E4983" t="str">
            <v>Punta Arena</v>
          </cell>
          <cell r="H4983" t="str">
            <v>laboratorio</v>
          </cell>
          <cell r="J4983" t="str">
            <v>muybueno</v>
          </cell>
          <cell r="K4983" t="str">
            <v>defsi</v>
          </cell>
        </row>
        <row r="4984">
          <cell r="B4984" t="b">
            <v>1</v>
          </cell>
          <cell r="E4984" t="str">
            <v>Bosque</v>
          </cell>
          <cell r="H4984" t="str">
            <v>laboratorio</v>
          </cell>
          <cell r="J4984" t="str">
            <v>bueno</v>
          </cell>
          <cell r="K4984" t="str">
            <v>probsi</v>
          </cell>
        </row>
        <row r="4985">
          <cell r="B4985" t="b">
            <v>1</v>
          </cell>
          <cell r="E4985" t="str">
            <v>Bosque</v>
          </cell>
          <cell r="H4985" t="str">
            <v>salud_oral</v>
          </cell>
          <cell r="J4985" t="str">
            <v>bueno</v>
          </cell>
          <cell r="K4985" t="str">
            <v>probsi</v>
          </cell>
        </row>
        <row r="4986">
          <cell r="B4986" t="b">
            <v>1</v>
          </cell>
          <cell r="E4986" t="str">
            <v>San Pedro y Libertad</v>
          </cell>
          <cell r="H4986" t="str">
            <v>laboratorio</v>
          </cell>
          <cell r="J4986" t="str">
            <v>bueno</v>
          </cell>
          <cell r="K4986" t="str">
            <v>defsi</v>
          </cell>
        </row>
        <row r="4987">
          <cell r="B4987" t="b">
            <v>1</v>
          </cell>
          <cell r="E4987" t="str">
            <v>San Pedro y Libertad</v>
          </cell>
          <cell r="H4987" t="str">
            <v>laboratorio</v>
          </cell>
          <cell r="J4987" t="str">
            <v>bueno</v>
          </cell>
          <cell r="K4987" t="str">
            <v>defsi</v>
          </cell>
        </row>
        <row r="4988">
          <cell r="B4988" t="b">
            <v>1</v>
          </cell>
          <cell r="E4988" t="str">
            <v>San Pedro y Libertad</v>
          </cell>
          <cell r="H4988" t="str">
            <v>consulta_externa</v>
          </cell>
          <cell r="J4988" t="str">
            <v>bueno</v>
          </cell>
          <cell r="K4988" t="str">
            <v>defsi</v>
          </cell>
        </row>
        <row r="4989">
          <cell r="B4989" t="b">
            <v>1</v>
          </cell>
          <cell r="E4989" t="str">
            <v>Bosque</v>
          </cell>
          <cell r="H4989" t="str">
            <v>salud_oral</v>
          </cell>
          <cell r="J4989" t="str">
            <v>muybueno</v>
          </cell>
          <cell r="K4989" t="str">
            <v>probsi</v>
          </cell>
        </row>
        <row r="4990">
          <cell r="B4990" t="b">
            <v>1</v>
          </cell>
          <cell r="E4990" t="str">
            <v>San Pedro y Libertad</v>
          </cell>
          <cell r="H4990" t="str">
            <v>laboratorio</v>
          </cell>
          <cell r="J4990" t="str">
            <v>bueno</v>
          </cell>
          <cell r="K4990" t="str">
            <v>defsi</v>
          </cell>
        </row>
        <row r="4991">
          <cell r="B4991" t="b">
            <v>1</v>
          </cell>
          <cell r="E4991" t="str">
            <v>Bosque</v>
          </cell>
          <cell r="H4991" t="str">
            <v>laboratorio</v>
          </cell>
          <cell r="J4991" t="str">
            <v>bueno</v>
          </cell>
          <cell r="K4991" t="str">
            <v>probsi</v>
          </cell>
        </row>
        <row r="4992">
          <cell r="B4992" t="b">
            <v>1</v>
          </cell>
          <cell r="E4992" t="str">
            <v>San Pedro y Libertad</v>
          </cell>
          <cell r="H4992" t="str">
            <v>laboratorio</v>
          </cell>
          <cell r="J4992" t="str">
            <v>bueno</v>
          </cell>
          <cell r="K4992" t="str">
            <v>defsi</v>
          </cell>
        </row>
        <row r="4993">
          <cell r="B4993" t="b">
            <v>1</v>
          </cell>
          <cell r="E4993" t="str">
            <v>San Pedro y Libertad</v>
          </cell>
          <cell r="H4993" t="str">
            <v>consulta_externa</v>
          </cell>
          <cell r="J4993" t="str">
            <v>bueno</v>
          </cell>
          <cell r="K4993" t="str">
            <v>defsi</v>
          </cell>
        </row>
        <row r="4994">
          <cell r="B4994" t="b">
            <v>1</v>
          </cell>
          <cell r="E4994" t="str">
            <v>Candelaria</v>
          </cell>
          <cell r="H4994" t="str">
            <v>consulta_externa</v>
          </cell>
          <cell r="J4994" t="str">
            <v>bueno</v>
          </cell>
          <cell r="K4994" t="str">
            <v>defsi</v>
          </cell>
        </row>
        <row r="4995">
          <cell r="B4995" t="b">
            <v>1</v>
          </cell>
          <cell r="E4995" t="str">
            <v>San Pedro y Libertad</v>
          </cell>
          <cell r="H4995" t="str">
            <v>salud_oral</v>
          </cell>
          <cell r="J4995" t="str">
            <v>bueno</v>
          </cell>
          <cell r="K4995" t="str">
            <v>defsi</v>
          </cell>
        </row>
        <row r="4996">
          <cell r="B4996" t="b">
            <v>1</v>
          </cell>
          <cell r="E4996" t="str">
            <v>San Pedro y Libertad</v>
          </cell>
          <cell r="H4996" t="str">
            <v>salud_oral</v>
          </cell>
          <cell r="J4996" t="str">
            <v>bueno</v>
          </cell>
          <cell r="K4996" t="str">
            <v>defsi</v>
          </cell>
        </row>
        <row r="4997">
          <cell r="B4997" t="b">
            <v>1</v>
          </cell>
          <cell r="E4997" t="str">
            <v>Candelaria</v>
          </cell>
          <cell r="H4997" t="str">
            <v>salud_oral</v>
          </cell>
          <cell r="J4997" t="str">
            <v>bueno</v>
          </cell>
          <cell r="K4997" t="str">
            <v>defsi</v>
          </cell>
        </row>
        <row r="4998">
          <cell r="B4998" t="b">
            <v>1</v>
          </cell>
          <cell r="E4998" t="str">
            <v>San Pedro y Libertad</v>
          </cell>
          <cell r="H4998" t="str">
            <v>consulta_externa</v>
          </cell>
          <cell r="J4998" t="str">
            <v>bueno</v>
          </cell>
          <cell r="K4998" t="str">
            <v>defsi</v>
          </cell>
        </row>
        <row r="4999">
          <cell r="B4999" t="b">
            <v>1</v>
          </cell>
          <cell r="E4999" t="str">
            <v>San Pedro y Libertad</v>
          </cell>
          <cell r="H4999" t="str">
            <v>consulta_externa</v>
          </cell>
          <cell r="J4999" t="str">
            <v>bueno</v>
          </cell>
          <cell r="K4999" t="str">
            <v>defsi</v>
          </cell>
        </row>
        <row r="5000">
          <cell r="B5000" t="b">
            <v>1</v>
          </cell>
          <cell r="E5000" t="str">
            <v>Candelaria</v>
          </cell>
          <cell r="H5000" t="str">
            <v>laboratorio</v>
          </cell>
          <cell r="J5000" t="str">
            <v>bueno</v>
          </cell>
          <cell r="K5000" t="str">
            <v>defsi</v>
          </cell>
        </row>
        <row r="5001">
          <cell r="B5001" t="b">
            <v>1</v>
          </cell>
          <cell r="E5001" t="str">
            <v>San Pedro y Libertad</v>
          </cell>
          <cell r="H5001" t="str">
            <v>laboratorio</v>
          </cell>
          <cell r="J5001" t="str">
            <v>bueno</v>
          </cell>
          <cell r="K5001" t="str">
            <v>defsi</v>
          </cell>
        </row>
        <row r="5002">
          <cell r="B5002" t="b">
            <v>1</v>
          </cell>
          <cell r="E5002" t="str">
            <v>Candelaria</v>
          </cell>
          <cell r="H5002" t="str">
            <v>urgencia</v>
          </cell>
          <cell r="J5002" t="str">
            <v>bueno</v>
          </cell>
          <cell r="K5002" t="str">
            <v>defsi</v>
          </cell>
        </row>
        <row r="5003">
          <cell r="B5003" t="b">
            <v>1</v>
          </cell>
          <cell r="E5003" t="str">
            <v>San Pedro y Libertad</v>
          </cell>
          <cell r="H5003" t="str">
            <v>laboratorio</v>
          </cell>
          <cell r="J5003" t="str">
            <v>bueno</v>
          </cell>
          <cell r="K5003" t="str">
            <v>defsi</v>
          </cell>
        </row>
        <row r="5004">
          <cell r="B5004" t="b">
            <v>1</v>
          </cell>
          <cell r="E5004" t="str">
            <v>San Pedro y Libertad</v>
          </cell>
          <cell r="H5004" t="str">
            <v>salud_oral</v>
          </cell>
          <cell r="J5004" t="str">
            <v>bueno</v>
          </cell>
          <cell r="K5004" t="str">
            <v>defsi</v>
          </cell>
        </row>
        <row r="5005">
          <cell r="B5005" t="b">
            <v>1</v>
          </cell>
          <cell r="E5005" t="str">
            <v>Candelaria</v>
          </cell>
          <cell r="H5005" t="str">
            <v>consulta_externa</v>
          </cell>
          <cell r="J5005" t="str">
            <v>bueno</v>
          </cell>
          <cell r="K5005" t="str">
            <v>defsi</v>
          </cell>
        </row>
        <row r="5006">
          <cell r="B5006" t="b">
            <v>1</v>
          </cell>
          <cell r="E5006" t="str">
            <v>Candelaria</v>
          </cell>
          <cell r="H5006" t="str">
            <v>salud_oral</v>
          </cell>
          <cell r="J5006" t="str">
            <v>bueno</v>
          </cell>
          <cell r="K5006" t="str">
            <v>defsi</v>
          </cell>
        </row>
        <row r="5007">
          <cell r="B5007" t="b">
            <v>1</v>
          </cell>
          <cell r="E5007" t="str">
            <v>Punta Arena</v>
          </cell>
          <cell r="H5007" t="str">
            <v>consulta_externa</v>
          </cell>
          <cell r="J5007" t="str">
            <v>muybueno</v>
          </cell>
          <cell r="K5007" t="str">
            <v>defsi</v>
          </cell>
        </row>
        <row r="5008">
          <cell r="B5008" t="b">
            <v>0</v>
          </cell>
          <cell r="E5008" t="str">
            <v>San Pedro y Libertad</v>
          </cell>
          <cell r="H5008" t="str">
            <v>consulta_externa</v>
          </cell>
          <cell r="J5008" t="str">
            <v>regular</v>
          </cell>
          <cell r="K5008" t="str">
            <v>probno</v>
          </cell>
        </row>
        <row r="5009">
          <cell r="B5009" t="b">
            <v>1</v>
          </cell>
          <cell r="E5009" t="str">
            <v>Candelaria</v>
          </cell>
          <cell r="H5009" t="str">
            <v>laboratorio</v>
          </cell>
          <cell r="J5009" t="str">
            <v>bueno</v>
          </cell>
          <cell r="K5009" t="str">
            <v>defsi</v>
          </cell>
        </row>
        <row r="5010">
          <cell r="B5010" t="b">
            <v>0</v>
          </cell>
          <cell r="E5010" t="str">
            <v>San Pedro y Libertad</v>
          </cell>
          <cell r="H5010" t="str">
            <v>salud_oral</v>
          </cell>
          <cell r="J5010" t="str">
            <v>regular</v>
          </cell>
          <cell r="K5010" t="str">
            <v>probsi</v>
          </cell>
        </row>
        <row r="5011">
          <cell r="B5011" t="b">
            <v>1</v>
          </cell>
          <cell r="E5011" t="str">
            <v>Candelaria</v>
          </cell>
          <cell r="H5011" t="str">
            <v>urgencia</v>
          </cell>
          <cell r="J5011" t="str">
            <v>bueno</v>
          </cell>
          <cell r="K5011" t="str">
            <v>defsi</v>
          </cell>
        </row>
        <row r="5012">
          <cell r="B5012" t="b">
            <v>1</v>
          </cell>
          <cell r="E5012" t="str">
            <v>San Pedro y Libertad</v>
          </cell>
          <cell r="H5012" t="str">
            <v>consulta_externa</v>
          </cell>
          <cell r="J5012" t="str">
            <v>bueno</v>
          </cell>
          <cell r="K5012" t="str">
            <v>defsi</v>
          </cell>
        </row>
        <row r="5013">
          <cell r="B5013" t="b">
            <v>1</v>
          </cell>
          <cell r="E5013" t="str">
            <v>Punta Arena</v>
          </cell>
          <cell r="H5013" t="str">
            <v>consulta_externa</v>
          </cell>
          <cell r="J5013" t="str">
            <v>muybueno</v>
          </cell>
          <cell r="K5013" t="str">
            <v>defsi</v>
          </cell>
        </row>
        <row r="5014">
          <cell r="B5014" t="b">
            <v>1</v>
          </cell>
          <cell r="E5014" t="str">
            <v>Punta Arena</v>
          </cell>
          <cell r="H5014" t="str">
            <v>laboratorio</v>
          </cell>
          <cell r="J5014" t="str">
            <v>muybueno</v>
          </cell>
          <cell r="K5014" t="str">
            <v>defsi</v>
          </cell>
        </row>
        <row r="5015">
          <cell r="B5015" t="b">
            <v>1</v>
          </cell>
          <cell r="E5015" t="str">
            <v>San Pedro y Libertad</v>
          </cell>
          <cell r="H5015" t="str">
            <v>salud_oral</v>
          </cell>
          <cell r="J5015" t="str">
            <v>bueno</v>
          </cell>
          <cell r="K5015" t="str">
            <v>defsi</v>
          </cell>
        </row>
        <row r="5016">
          <cell r="B5016" t="b">
            <v>1</v>
          </cell>
          <cell r="E5016" t="str">
            <v>San Pedro y Libertad</v>
          </cell>
          <cell r="H5016" t="str">
            <v>consulta_externa</v>
          </cell>
          <cell r="J5016" t="str">
            <v>bueno</v>
          </cell>
          <cell r="K5016" t="str">
            <v>defsi</v>
          </cell>
        </row>
        <row r="5017">
          <cell r="B5017" t="b">
            <v>1</v>
          </cell>
          <cell r="E5017" t="str">
            <v>San Pedro y Libertad</v>
          </cell>
          <cell r="H5017" t="str">
            <v>consulta_externa</v>
          </cell>
          <cell r="J5017" t="str">
            <v>bueno</v>
          </cell>
          <cell r="K5017" t="str">
            <v>defsi</v>
          </cell>
        </row>
        <row r="5018">
          <cell r="B5018" t="b">
            <v>1</v>
          </cell>
          <cell r="E5018" t="str">
            <v>San Pedro y Libertad</v>
          </cell>
          <cell r="H5018" t="str">
            <v>laboratorio</v>
          </cell>
          <cell r="J5018" t="str">
            <v>bueno</v>
          </cell>
          <cell r="K5018" t="str">
            <v>defsi</v>
          </cell>
        </row>
        <row r="5019">
          <cell r="B5019" t="b">
            <v>1</v>
          </cell>
          <cell r="E5019" t="str">
            <v>San Pedro y Libertad</v>
          </cell>
          <cell r="H5019" t="str">
            <v>consulta_externa</v>
          </cell>
          <cell r="J5019" t="str">
            <v>bueno</v>
          </cell>
          <cell r="K5019" t="str">
            <v>defsi</v>
          </cell>
        </row>
        <row r="5020">
          <cell r="B5020" t="b">
            <v>1</v>
          </cell>
          <cell r="E5020" t="str">
            <v>San Pedro y Libertad</v>
          </cell>
          <cell r="H5020" t="str">
            <v>salud_oral</v>
          </cell>
          <cell r="J5020" t="str">
            <v>bueno</v>
          </cell>
          <cell r="K5020" t="str">
            <v>defsi</v>
          </cell>
        </row>
        <row r="5021">
          <cell r="B5021" t="b">
            <v>1</v>
          </cell>
          <cell r="E5021" t="str">
            <v>San Pedro y Libertad</v>
          </cell>
          <cell r="H5021" t="str">
            <v>salud_oral</v>
          </cell>
          <cell r="J5021" t="str">
            <v>bueno</v>
          </cell>
          <cell r="K5021" t="str">
            <v>defsi</v>
          </cell>
        </row>
        <row r="5022">
          <cell r="B5022" t="b">
            <v>1</v>
          </cell>
          <cell r="E5022" t="str">
            <v>San Pedro y Libertad</v>
          </cell>
          <cell r="H5022" t="str">
            <v>salud_oral</v>
          </cell>
          <cell r="J5022" t="str">
            <v>bueno</v>
          </cell>
          <cell r="K5022" t="str">
            <v>defsi</v>
          </cell>
        </row>
        <row r="5023">
          <cell r="B5023" t="b">
            <v>1</v>
          </cell>
          <cell r="E5023" t="str">
            <v>Punta Arena</v>
          </cell>
          <cell r="H5023" t="str">
            <v>consulta_externa</v>
          </cell>
          <cell r="J5023" t="str">
            <v>muybueno</v>
          </cell>
          <cell r="K5023" t="str">
            <v>defsi</v>
          </cell>
        </row>
        <row r="5024">
          <cell r="B5024" t="b">
            <v>1</v>
          </cell>
          <cell r="E5024" t="str">
            <v>San Pedro y Libertad</v>
          </cell>
          <cell r="H5024" t="str">
            <v>salud_oral</v>
          </cell>
          <cell r="J5024" t="str">
            <v>bueno</v>
          </cell>
          <cell r="K5024" t="str">
            <v>defsi</v>
          </cell>
        </row>
        <row r="5025">
          <cell r="B5025" t="b">
            <v>1</v>
          </cell>
          <cell r="E5025" t="str">
            <v>San Pedro y Libertad</v>
          </cell>
          <cell r="H5025" t="str">
            <v>salud_oral</v>
          </cell>
          <cell r="J5025" t="str">
            <v>bueno</v>
          </cell>
          <cell r="K5025" t="str">
            <v>defsi</v>
          </cell>
        </row>
        <row r="5026">
          <cell r="B5026" t="b">
            <v>1</v>
          </cell>
          <cell r="E5026" t="str">
            <v>San Pedro y Libertad</v>
          </cell>
          <cell r="H5026" t="str">
            <v>salud_oral</v>
          </cell>
          <cell r="J5026" t="str">
            <v>bueno</v>
          </cell>
          <cell r="K5026" t="str">
            <v>defsi</v>
          </cell>
        </row>
        <row r="5027">
          <cell r="B5027" t="b">
            <v>1</v>
          </cell>
          <cell r="E5027" t="str">
            <v>San Pedro y Libertad</v>
          </cell>
          <cell r="H5027" t="str">
            <v>salud_oral</v>
          </cell>
          <cell r="J5027" t="str">
            <v>bueno</v>
          </cell>
          <cell r="K5027" t="str">
            <v>defsi</v>
          </cell>
        </row>
        <row r="5028">
          <cell r="B5028" t="b">
            <v>1</v>
          </cell>
          <cell r="E5028" t="str">
            <v>Punta Arena</v>
          </cell>
          <cell r="H5028" t="str">
            <v>consulta_externa</v>
          </cell>
          <cell r="J5028" t="str">
            <v>muybueno</v>
          </cell>
          <cell r="K5028" t="str">
            <v>defsi</v>
          </cell>
        </row>
        <row r="5029">
          <cell r="B5029" t="b">
            <v>1</v>
          </cell>
          <cell r="E5029" t="str">
            <v>San Pedro y Libertad</v>
          </cell>
          <cell r="H5029" t="str">
            <v>laboratorio</v>
          </cell>
          <cell r="J5029" t="str">
            <v>bueno</v>
          </cell>
          <cell r="K5029" t="str">
            <v>defsi</v>
          </cell>
        </row>
        <row r="5030">
          <cell r="B5030" t="b">
            <v>1</v>
          </cell>
          <cell r="E5030" t="str">
            <v>San Pedro y Libertad</v>
          </cell>
          <cell r="H5030" t="str">
            <v>laboratorio</v>
          </cell>
          <cell r="J5030" t="str">
            <v>bueno</v>
          </cell>
          <cell r="K5030" t="str">
            <v>defsi</v>
          </cell>
        </row>
        <row r="5031">
          <cell r="B5031" t="b">
            <v>1</v>
          </cell>
          <cell r="E5031" t="str">
            <v>San Pedro y Libertad</v>
          </cell>
          <cell r="H5031" t="str">
            <v>laboratorio</v>
          </cell>
          <cell r="J5031" t="str">
            <v>bueno</v>
          </cell>
          <cell r="K5031" t="str">
            <v>defsi</v>
          </cell>
        </row>
        <row r="5032">
          <cell r="B5032" t="b">
            <v>1</v>
          </cell>
          <cell r="E5032" t="str">
            <v>Candelaria</v>
          </cell>
          <cell r="H5032" t="str">
            <v>consulta_externa</v>
          </cell>
          <cell r="J5032" t="str">
            <v>bueno</v>
          </cell>
          <cell r="K5032" t="str">
            <v>defsi</v>
          </cell>
        </row>
        <row r="5033">
          <cell r="B5033" t="b">
            <v>1</v>
          </cell>
          <cell r="E5033" t="str">
            <v>Candelaria</v>
          </cell>
          <cell r="H5033" t="str">
            <v>salud_oral</v>
          </cell>
          <cell r="J5033" t="str">
            <v>bueno</v>
          </cell>
          <cell r="K5033" t="str">
            <v>defsi</v>
          </cell>
        </row>
        <row r="5034">
          <cell r="B5034" t="b">
            <v>1</v>
          </cell>
          <cell r="E5034" t="str">
            <v>Candelaria</v>
          </cell>
          <cell r="H5034" t="str">
            <v>laboratorio</v>
          </cell>
          <cell r="J5034" t="str">
            <v>bueno</v>
          </cell>
          <cell r="K5034" t="str">
            <v>defsi</v>
          </cell>
        </row>
        <row r="5035">
          <cell r="B5035" t="b">
            <v>1</v>
          </cell>
          <cell r="E5035" t="str">
            <v>Punta Arena</v>
          </cell>
          <cell r="H5035" t="str">
            <v>consulta_externa</v>
          </cell>
          <cell r="J5035" t="str">
            <v>muybueno</v>
          </cell>
          <cell r="K5035" t="str">
            <v>defsi</v>
          </cell>
        </row>
        <row r="5036">
          <cell r="B5036" t="b">
            <v>1</v>
          </cell>
          <cell r="E5036" t="str">
            <v>Candelaria</v>
          </cell>
          <cell r="H5036" t="str">
            <v>urgencia</v>
          </cell>
          <cell r="J5036" t="str">
            <v>bueno</v>
          </cell>
          <cell r="K5036" t="str">
            <v>defsi</v>
          </cell>
        </row>
        <row r="5037">
          <cell r="B5037" t="b">
            <v>1</v>
          </cell>
          <cell r="E5037" t="str">
            <v>Punta Arena</v>
          </cell>
          <cell r="H5037" t="str">
            <v>consulta_externa</v>
          </cell>
          <cell r="J5037" t="str">
            <v>muybueno</v>
          </cell>
          <cell r="K5037" t="str">
            <v>defsi</v>
          </cell>
        </row>
        <row r="5038">
          <cell r="B5038" t="b">
            <v>1</v>
          </cell>
          <cell r="E5038" t="str">
            <v>Punta Arena</v>
          </cell>
          <cell r="H5038" t="str">
            <v>salud_oral</v>
          </cell>
          <cell r="J5038" t="str">
            <v>muybueno</v>
          </cell>
          <cell r="K5038" t="str">
            <v>defsi</v>
          </cell>
        </row>
        <row r="5039">
          <cell r="B5039" t="b">
            <v>1</v>
          </cell>
          <cell r="E5039" t="str">
            <v>Blasdelezo</v>
          </cell>
          <cell r="H5039" t="str">
            <v>consulta_externa</v>
          </cell>
          <cell r="J5039" t="str">
            <v>bueno</v>
          </cell>
          <cell r="K5039" t="str">
            <v>probsi</v>
          </cell>
        </row>
        <row r="5040">
          <cell r="B5040" t="b">
            <v>1</v>
          </cell>
          <cell r="E5040" t="str">
            <v>Blasdelezo</v>
          </cell>
          <cell r="H5040" t="str">
            <v>salud_oral</v>
          </cell>
          <cell r="J5040" t="str">
            <v>bueno</v>
          </cell>
          <cell r="K5040" t="str">
            <v>probsi</v>
          </cell>
        </row>
        <row r="5041">
          <cell r="B5041" t="b">
            <v>1</v>
          </cell>
          <cell r="E5041" t="str">
            <v>Blasdelezo</v>
          </cell>
          <cell r="H5041" t="str">
            <v>salud_oral</v>
          </cell>
          <cell r="J5041" t="str">
            <v>bueno</v>
          </cell>
          <cell r="K5041" t="str">
            <v>probsi</v>
          </cell>
        </row>
        <row r="5042">
          <cell r="B5042" t="b">
            <v>1</v>
          </cell>
          <cell r="E5042" t="str">
            <v>Blasdelezo</v>
          </cell>
          <cell r="H5042" t="str">
            <v>salud_oral</v>
          </cell>
          <cell r="J5042" t="str">
            <v>bueno</v>
          </cell>
          <cell r="K5042" t="str">
            <v>probsi</v>
          </cell>
        </row>
        <row r="5043">
          <cell r="B5043" t="b">
            <v>1</v>
          </cell>
          <cell r="E5043" t="str">
            <v>Blasdelezo</v>
          </cell>
          <cell r="H5043" t="str">
            <v>salud_oral</v>
          </cell>
          <cell r="J5043" t="str">
            <v>bueno</v>
          </cell>
          <cell r="K5043" t="str">
            <v>probsi</v>
          </cell>
        </row>
        <row r="5044">
          <cell r="B5044" t="b">
            <v>1</v>
          </cell>
          <cell r="E5044" t="str">
            <v>Blasdelezo</v>
          </cell>
          <cell r="H5044" t="str">
            <v>salud_oral</v>
          </cell>
          <cell r="J5044" t="str">
            <v>bueno</v>
          </cell>
          <cell r="K5044" t="str">
            <v>probsi</v>
          </cell>
        </row>
        <row r="5045">
          <cell r="B5045" t="b">
            <v>0</v>
          </cell>
          <cell r="E5045" t="str">
            <v>Blasdelezo</v>
          </cell>
          <cell r="H5045" t="str">
            <v>laboratorio</v>
          </cell>
          <cell r="J5045" t="str">
            <v>regular</v>
          </cell>
          <cell r="K5045" t="str">
            <v>probsi</v>
          </cell>
        </row>
        <row r="5046">
          <cell r="B5046" t="b">
            <v>0</v>
          </cell>
          <cell r="E5046" t="str">
            <v>Blasdelezo</v>
          </cell>
          <cell r="H5046" t="str">
            <v>laboratorio</v>
          </cell>
          <cell r="J5046" t="str">
            <v>regular</v>
          </cell>
          <cell r="K5046" t="str">
            <v>probsi</v>
          </cell>
        </row>
        <row r="5047">
          <cell r="B5047" t="b">
            <v>1</v>
          </cell>
          <cell r="E5047" t="str">
            <v>Blasdelezo</v>
          </cell>
          <cell r="H5047" t="str">
            <v>consulta_externa</v>
          </cell>
          <cell r="J5047" t="str">
            <v>bueno</v>
          </cell>
          <cell r="K5047" t="str">
            <v>probsi</v>
          </cell>
        </row>
        <row r="5048">
          <cell r="B5048" t="b">
            <v>1</v>
          </cell>
          <cell r="E5048" t="str">
            <v>Blasdelezo</v>
          </cell>
          <cell r="H5048" t="str">
            <v>salud_oral</v>
          </cell>
          <cell r="J5048" t="str">
            <v>bueno</v>
          </cell>
          <cell r="K5048" t="str">
            <v>probsi</v>
          </cell>
        </row>
        <row r="5049">
          <cell r="B5049" t="b">
            <v>1</v>
          </cell>
          <cell r="E5049" t="str">
            <v>Blasdelezo</v>
          </cell>
          <cell r="H5049" t="str">
            <v>laboratorio</v>
          </cell>
          <cell r="J5049" t="str">
            <v>bueno</v>
          </cell>
          <cell r="K5049" t="str">
            <v>probsi</v>
          </cell>
        </row>
        <row r="5050">
          <cell r="B5050" t="b">
            <v>1</v>
          </cell>
          <cell r="E5050" t="str">
            <v>Blasdelezo</v>
          </cell>
          <cell r="H5050" t="str">
            <v>consulta_externa</v>
          </cell>
          <cell r="J5050" t="str">
            <v>bueno</v>
          </cell>
          <cell r="K5050" t="str">
            <v>probsi</v>
          </cell>
        </row>
        <row r="5051">
          <cell r="B5051" t="b">
            <v>1</v>
          </cell>
          <cell r="E5051" t="str">
            <v>Blasdelezo</v>
          </cell>
          <cell r="H5051" t="str">
            <v>salud_oral</v>
          </cell>
          <cell r="J5051" t="str">
            <v>bueno</v>
          </cell>
          <cell r="K5051" t="str">
            <v>probsi</v>
          </cell>
        </row>
        <row r="5052">
          <cell r="B5052" t="b">
            <v>0</v>
          </cell>
          <cell r="E5052" t="str">
            <v>Blasdelezo</v>
          </cell>
          <cell r="H5052" t="str">
            <v>salud_oral</v>
          </cell>
          <cell r="J5052" t="str">
            <v>regular</v>
          </cell>
          <cell r="K5052" t="str">
            <v>probsi</v>
          </cell>
        </row>
        <row r="5053">
          <cell r="B5053" t="b">
            <v>1</v>
          </cell>
          <cell r="E5053" t="str">
            <v>Punta Arena</v>
          </cell>
          <cell r="H5053" t="str">
            <v>consulta_externa</v>
          </cell>
          <cell r="J5053" t="str">
            <v>muybueno</v>
          </cell>
          <cell r="K5053" t="str">
            <v>defsi</v>
          </cell>
        </row>
        <row r="5054">
          <cell r="B5054" t="b">
            <v>1</v>
          </cell>
          <cell r="E5054" t="str">
            <v>Punta Arena</v>
          </cell>
          <cell r="H5054" t="str">
            <v>salud_oral</v>
          </cell>
          <cell r="J5054" t="str">
            <v>muybueno</v>
          </cell>
          <cell r="K5054" t="str">
            <v>defsi</v>
          </cell>
        </row>
        <row r="5055">
          <cell r="B5055" t="b">
            <v>0</v>
          </cell>
          <cell r="E5055" t="str">
            <v>Blasdelezo</v>
          </cell>
          <cell r="H5055" t="str">
            <v>salud_oral</v>
          </cell>
          <cell r="J5055" t="str">
            <v>regular</v>
          </cell>
          <cell r="K5055" t="str">
            <v>probno</v>
          </cell>
        </row>
        <row r="5056">
          <cell r="B5056" t="b">
            <v>1</v>
          </cell>
          <cell r="E5056" t="str">
            <v>Candelaria</v>
          </cell>
          <cell r="H5056" t="str">
            <v>consulta_externa</v>
          </cell>
          <cell r="J5056" t="str">
            <v>bueno</v>
          </cell>
          <cell r="K5056" t="str">
            <v>defsi</v>
          </cell>
        </row>
        <row r="5057">
          <cell r="B5057" t="b">
            <v>1</v>
          </cell>
          <cell r="E5057" t="str">
            <v>Candelaria</v>
          </cell>
          <cell r="H5057" t="str">
            <v>salud_oral</v>
          </cell>
          <cell r="J5057" t="str">
            <v>bueno</v>
          </cell>
          <cell r="K5057" t="str">
            <v>defsi</v>
          </cell>
        </row>
        <row r="5058">
          <cell r="B5058" t="b">
            <v>1</v>
          </cell>
          <cell r="E5058" t="str">
            <v>Candelaria</v>
          </cell>
          <cell r="H5058" t="str">
            <v>laboratorio</v>
          </cell>
          <cell r="J5058" t="str">
            <v>bueno</v>
          </cell>
          <cell r="K5058" t="str">
            <v>defsi</v>
          </cell>
        </row>
        <row r="5059">
          <cell r="B5059" t="b">
            <v>1</v>
          </cell>
          <cell r="E5059" t="str">
            <v>Candelaria</v>
          </cell>
          <cell r="H5059" t="str">
            <v>urgencia</v>
          </cell>
          <cell r="J5059" t="str">
            <v>bueno</v>
          </cell>
          <cell r="K5059" t="str">
            <v>defsi</v>
          </cell>
        </row>
        <row r="5060">
          <cell r="B5060" t="b">
            <v>1</v>
          </cell>
          <cell r="E5060" t="str">
            <v>Punta Arena</v>
          </cell>
          <cell r="H5060" t="str">
            <v>consulta_externa</v>
          </cell>
          <cell r="J5060" t="str">
            <v>muybueno</v>
          </cell>
          <cell r="K5060" t="str">
            <v>defsi</v>
          </cell>
        </row>
        <row r="5061">
          <cell r="B5061" t="b">
            <v>1</v>
          </cell>
          <cell r="E5061" t="str">
            <v>Blasdelezo</v>
          </cell>
          <cell r="H5061" t="str">
            <v>consulta_externa</v>
          </cell>
          <cell r="J5061" t="str">
            <v>bueno</v>
          </cell>
          <cell r="K5061" t="str">
            <v>probsi</v>
          </cell>
        </row>
        <row r="5062">
          <cell r="B5062" t="b">
            <v>1</v>
          </cell>
          <cell r="E5062" t="str">
            <v>Blasdelezo</v>
          </cell>
          <cell r="H5062" t="str">
            <v>laboratorio</v>
          </cell>
          <cell r="J5062" t="str">
            <v>bueno</v>
          </cell>
          <cell r="K5062" t="str">
            <v>probsi</v>
          </cell>
        </row>
        <row r="5063">
          <cell r="B5063" t="b">
            <v>1</v>
          </cell>
          <cell r="E5063" t="str">
            <v>Blasdelezo</v>
          </cell>
          <cell r="H5063" t="str">
            <v>consulta_externa</v>
          </cell>
          <cell r="J5063" t="str">
            <v>bueno</v>
          </cell>
          <cell r="K5063" t="str">
            <v>probsi</v>
          </cell>
        </row>
        <row r="5064">
          <cell r="B5064" t="b">
            <v>1</v>
          </cell>
          <cell r="E5064" t="str">
            <v>Blasdelezo</v>
          </cell>
          <cell r="H5064" t="str">
            <v>consulta_externa</v>
          </cell>
          <cell r="J5064" t="str">
            <v>bueno</v>
          </cell>
          <cell r="K5064" t="str">
            <v>probsi</v>
          </cell>
        </row>
        <row r="5065">
          <cell r="B5065" t="b">
            <v>0</v>
          </cell>
          <cell r="E5065" t="str">
            <v>Blasdelezo</v>
          </cell>
          <cell r="H5065" t="str">
            <v>consulta_externa</v>
          </cell>
          <cell r="J5065" t="str">
            <v>regular</v>
          </cell>
          <cell r="K5065" t="str">
            <v>probsi</v>
          </cell>
        </row>
        <row r="5066">
          <cell r="B5066" t="b">
            <v>0</v>
          </cell>
          <cell r="E5066" t="str">
            <v>Blasdelezo</v>
          </cell>
          <cell r="H5066" t="str">
            <v>urgencia</v>
          </cell>
          <cell r="J5066" t="str">
            <v>regular</v>
          </cell>
          <cell r="K5066" t="str">
            <v>probsi</v>
          </cell>
        </row>
        <row r="5067">
          <cell r="B5067" t="b">
            <v>0</v>
          </cell>
          <cell r="E5067" t="str">
            <v>Blasdelezo</v>
          </cell>
          <cell r="H5067" t="str">
            <v>consulta_externa</v>
          </cell>
          <cell r="J5067" t="str">
            <v>regular</v>
          </cell>
          <cell r="K5067" t="str">
            <v>probsi</v>
          </cell>
        </row>
        <row r="5068">
          <cell r="B5068" t="b">
            <v>1</v>
          </cell>
          <cell r="E5068" t="str">
            <v>Punta Arena</v>
          </cell>
          <cell r="H5068" t="str">
            <v>consulta_externa</v>
          </cell>
          <cell r="J5068" t="str">
            <v>muybueno</v>
          </cell>
          <cell r="K5068" t="str">
            <v>defsi</v>
          </cell>
        </row>
        <row r="5069">
          <cell r="B5069" t="b">
            <v>1</v>
          </cell>
          <cell r="E5069" t="str">
            <v>Candelaria</v>
          </cell>
          <cell r="H5069" t="str">
            <v>consulta_externa</v>
          </cell>
          <cell r="J5069" t="str">
            <v>bueno</v>
          </cell>
          <cell r="K5069" t="str">
            <v>defsi</v>
          </cell>
        </row>
        <row r="5070">
          <cell r="B5070" t="b">
            <v>1</v>
          </cell>
          <cell r="E5070" t="str">
            <v>Candelaria</v>
          </cell>
          <cell r="H5070" t="str">
            <v>salud_oral</v>
          </cell>
          <cell r="J5070" t="str">
            <v>bueno</v>
          </cell>
          <cell r="K5070" t="str">
            <v>defsi</v>
          </cell>
        </row>
        <row r="5071">
          <cell r="B5071" t="b">
            <v>1</v>
          </cell>
          <cell r="E5071" t="str">
            <v>Candelaria</v>
          </cell>
          <cell r="H5071" t="str">
            <v>laboratorio</v>
          </cell>
          <cell r="J5071" t="str">
            <v>bueno</v>
          </cell>
          <cell r="K5071" t="str">
            <v>defsi</v>
          </cell>
        </row>
        <row r="5072">
          <cell r="B5072" t="b">
            <v>1</v>
          </cell>
          <cell r="E5072" t="str">
            <v>Candelaria</v>
          </cell>
          <cell r="H5072" t="str">
            <v>urgencia</v>
          </cell>
          <cell r="J5072" t="str">
            <v>bueno</v>
          </cell>
          <cell r="K5072" t="str">
            <v>defsi</v>
          </cell>
        </row>
        <row r="5073">
          <cell r="B5073" t="b">
            <v>1</v>
          </cell>
          <cell r="E5073" t="str">
            <v>Punta Arena</v>
          </cell>
          <cell r="H5073" t="str">
            <v>consulta_externa</v>
          </cell>
          <cell r="J5073" t="str">
            <v>muybueno</v>
          </cell>
          <cell r="K5073" t="str">
            <v>defsi</v>
          </cell>
        </row>
        <row r="5074">
          <cell r="B5074" t="b">
            <v>1</v>
          </cell>
          <cell r="E5074" t="str">
            <v>Punta Arena</v>
          </cell>
          <cell r="H5074" t="str">
            <v>laboratorio</v>
          </cell>
          <cell r="J5074" t="str">
            <v>muybueno</v>
          </cell>
          <cell r="K5074" t="str">
            <v>defsi</v>
          </cell>
        </row>
        <row r="5075">
          <cell r="B5075" t="b">
            <v>1</v>
          </cell>
          <cell r="E5075" t="str">
            <v>Candelaria</v>
          </cell>
          <cell r="H5075" t="str">
            <v>consulta_externa</v>
          </cell>
          <cell r="J5075" t="str">
            <v>bueno</v>
          </cell>
          <cell r="K5075" t="str">
            <v>defsi</v>
          </cell>
        </row>
        <row r="5076">
          <cell r="B5076" t="b">
            <v>1</v>
          </cell>
          <cell r="E5076" t="str">
            <v>Candelaria</v>
          </cell>
          <cell r="H5076" t="str">
            <v>salud_oral</v>
          </cell>
          <cell r="J5076" t="str">
            <v>bueno</v>
          </cell>
          <cell r="K5076" t="str">
            <v>defsi</v>
          </cell>
        </row>
        <row r="5077">
          <cell r="B5077" t="b">
            <v>0</v>
          </cell>
          <cell r="E5077" t="str">
            <v>Blasdelezo</v>
          </cell>
          <cell r="H5077" t="str">
            <v>consulta_externa</v>
          </cell>
          <cell r="J5077" t="str">
            <v>malo</v>
          </cell>
          <cell r="K5077" t="str">
            <v>probno</v>
          </cell>
        </row>
        <row r="5078">
          <cell r="B5078" t="b">
            <v>0</v>
          </cell>
          <cell r="E5078" t="str">
            <v>Blasdelezo</v>
          </cell>
          <cell r="H5078" t="str">
            <v>urgencia</v>
          </cell>
          <cell r="J5078" t="str">
            <v>regular</v>
          </cell>
          <cell r="K5078" t="str">
            <v>probno</v>
          </cell>
        </row>
        <row r="5079">
          <cell r="B5079" t="b">
            <v>1</v>
          </cell>
          <cell r="E5079" t="str">
            <v>Blasdelezo</v>
          </cell>
          <cell r="H5079" t="str">
            <v>consulta_externa</v>
          </cell>
          <cell r="J5079" t="str">
            <v>bueno</v>
          </cell>
          <cell r="K5079" t="str">
            <v>probsi</v>
          </cell>
        </row>
        <row r="5080">
          <cell r="B5080" t="b">
            <v>0</v>
          </cell>
          <cell r="E5080" t="str">
            <v>Blasdelezo</v>
          </cell>
          <cell r="H5080" t="str">
            <v>salud_oral</v>
          </cell>
          <cell r="J5080" t="str">
            <v>regular</v>
          </cell>
          <cell r="K5080" t="str">
            <v>probsi</v>
          </cell>
        </row>
        <row r="5081">
          <cell r="B5081" t="b">
            <v>0</v>
          </cell>
          <cell r="E5081" t="str">
            <v>Blasdelezo</v>
          </cell>
          <cell r="H5081" t="str">
            <v>consulta_externa</v>
          </cell>
          <cell r="J5081" t="str">
            <v>regular</v>
          </cell>
          <cell r="K5081" t="str">
            <v>probsi</v>
          </cell>
        </row>
        <row r="5082">
          <cell r="B5082" t="b">
            <v>0</v>
          </cell>
          <cell r="E5082" t="str">
            <v>Blasdelezo</v>
          </cell>
          <cell r="H5082" t="str">
            <v>salud_oral</v>
          </cell>
          <cell r="J5082" t="str">
            <v>regular</v>
          </cell>
          <cell r="K5082" t="str">
            <v>probsi</v>
          </cell>
        </row>
        <row r="5083">
          <cell r="B5083" t="b">
            <v>0</v>
          </cell>
          <cell r="E5083" t="str">
            <v>Blasdelezo</v>
          </cell>
          <cell r="H5083" t="str">
            <v>pediatria</v>
          </cell>
          <cell r="J5083" t="str">
            <v>regular</v>
          </cell>
          <cell r="K5083" t="str">
            <v>probsi</v>
          </cell>
        </row>
        <row r="5084">
          <cell r="B5084" t="b">
            <v>0</v>
          </cell>
          <cell r="E5084" t="str">
            <v>Blasdelezo</v>
          </cell>
          <cell r="H5084" t="str">
            <v>pediatria</v>
          </cell>
          <cell r="J5084" t="str">
            <v>regular</v>
          </cell>
          <cell r="K5084" t="str">
            <v>probsi</v>
          </cell>
        </row>
        <row r="5085">
          <cell r="B5085" t="b">
            <v>0</v>
          </cell>
          <cell r="E5085" t="str">
            <v>Blasdelezo</v>
          </cell>
          <cell r="H5085" t="str">
            <v>pediatria</v>
          </cell>
          <cell r="J5085" t="str">
            <v>regular</v>
          </cell>
          <cell r="K5085" t="str">
            <v>probsi</v>
          </cell>
        </row>
        <row r="5086">
          <cell r="B5086" t="b">
            <v>1</v>
          </cell>
          <cell r="E5086" t="str">
            <v>Blasdelezo</v>
          </cell>
          <cell r="H5086" t="str">
            <v>pediatria</v>
          </cell>
          <cell r="J5086" t="str">
            <v>bueno</v>
          </cell>
          <cell r="K5086" t="str">
            <v>probsi</v>
          </cell>
        </row>
        <row r="5087">
          <cell r="B5087" t="b">
            <v>1</v>
          </cell>
          <cell r="E5087" t="str">
            <v>Blasdelezo</v>
          </cell>
          <cell r="H5087" t="str">
            <v>pediatria</v>
          </cell>
          <cell r="J5087" t="str">
            <v>bueno</v>
          </cell>
          <cell r="K5087" t="str">
            <v>probsi</v>
          </cell>
        </row>
        <row r="5088">
          <cell r="B5088" t="b">
            <v>1</v>
          </cell>
          <cell r="E5088" t="str">
            <v>Punta Arena</v>
          </cell>
          <cell r="H5088" t="str">
            <v>consulta_externa</v>
          </cell>
          <cell r="J5088" t="str">
            <v>muybueno</v>
          </cell>
          <cell r="K5088" t="str">
            <v>defsi</v>
          </cell>
        </row>
        <row r="5089">
          <cell r="B5089" t="b">
            <v>1</v>
          </cell>
          <cell r="E5089" t="str">
            <v>Blasdelezo</v>
          </cell>
          <cell r="H5089" t="str">
            <v>consulta_externa</v>
          </cell>
          <cell r="J5089" t="str">
            <v>bueno</v>
          </cell>
          <cell r="K5089" t="str">
            <v>probsi</v>
          </cell>
        </row>
        <row r="5090">
          <cell r="B5090" t="b">
            <v>1</v>
          </cell>
          <cell r="E5090" t="str">
            <v>Punta Arena</v>
          </cell>
          <cell r="H5090" t="str">
            <v>laboratorio</v>
          </cell>
          <cell r="J5090" t="str">
            <v>muybueno</v>
          </cell>
          <cell r="K5090" t="str">
            <v>defsi</v>
          </cell>
        </row>
        <row r="5091">
          <cell r="B5091" t="b">
            <v>1</v>
          </cell>
          <cell r="E5091" t="str">
            <v>Punta Arena</v>
          </cell>
          <cell r="H5091" t="str">
            <v>consulta_externa</v>
          </cell>
          <cell r="J5091" t="str">
            <v>muybueno</v>
          </cell>
          <cell r="K5091" t="str">
            <v>defsi</v>
          </cell>
        </row>
        <row r="5092">
          <cell r="B5092" t="b">
            <v>1</v>
          </cell>
          <cell r="E5092" t="str">
            <v>Punta Arena</v>
          </cell>
          <cell r="H5092" t="str">
            <v>laboratorio</v>
          </cell>
          <cell r="J5092" t="str">
            <v>muybueno</v>
          </cell>
          <cell r="K5092" t="str">
            <v>defsi</v>
          </cell>
        </row>
        <row r="5093">
          <cell r="B5093" t="b">
            <v>1</v>
          </cell>
          <cell r="E5093" t="str">
            <v>Blasdelezo</v>
          </cell>
          <cell r="H5093" t="str">
            <v>consulta_externa</v>
          </cell>
          <cell r="J5093" t="str">
            <v>bueno</v>
          </cell>
          <cell r="K5093" t="str">
            <v>probsi</v>
          </cell>
        </row>
        <row r="5094">
          <cell r="B5094" t="b">
            <v>1</v>
          </cell>
          <cell r="E5094" t="str">
            <v>Candelaria</v>
          </cell>
          <cell r="H5094" t="str">
            <v>laboratorio</v>
          </cell>
          <cell r="J5094" t="str">
            <v>bueno</v>
          </cell>
          <cell r="K5094" t="str">
            <v>defsi</v>
          </cell>
        </row>
        <row r="5095">
          <cell r="B5095" t="b">
            <v>0</v>
          </cell>
          <cell r="E5095" t="str">
            <v>Blasdelezo</v>
          </cell>
          <cell r="H5095" t="str">
            <v>consulta_externa</v>
          </cell>
          <cell r="J5095" t="str">
            <v>regular</v>
          </cell>
          <cell r="K5095" t="str">
            <v>probsi</v>
          </cell>
        </row>
        <row r="5096">
          <cell r="B5096" t="b">
            <v>1</v>
          </cell>
          <cell r="E5096" t="str">
            <v>Candelaria</v>
          </cell>
          <cell r="H5096" t="str">
            <v>urgencia</v>
          </cell>
          <cell r="J5096" t="str">
            <v>bueno</v>
          </cell>
          <cell r="K5096" t="str">
            <v>defsi</v>
          </cell>
        </row>
        <row r="5097">
          <cell r="B5097" t="b">
            <v>1</v>
          </cell>
          <cell r="E5097" t="str">
            <v>Candelaria</v>
          </cell>
          <cell r="H5097" t="str">
            <v>consulta_externa</v>
          </cell>
          <cell r="J5097" t="str">
            <v>bueno</v>
          </cell>
          <cell r="K5097" t="str">
            <v>defsi</v>
          </cell>
        </row>
        <row r="5098">
          <cell r="B5098" t="b">
            <v>1</v>
          </cell>
          <cell r="E5098" t="str">
            <v>Candelaria</v>
          </cell>
          <cell r="H5098" t="str">
            <v>salud_oral</v>
          </cell>
          <cell r="J5098" t="str">
            <v>bueno</v>
          </cell>
          <cell r="K5098" t="str">
            <v>defsi</v>
          </cell>
        </row>
        <row r="5099">
          <cell r="B5099" t="b">
            <v>1</v>
          </cell>
          <cell r="E5099" t="str">
            <v>Candelaria</v>
          </cell>
          <cell r="H5099" t="str">
            <v>laboratorio</v>
          </cell>
          <cell r="J5099" t="str">
            <v>bueno</v>
          </cell>
          <cell r="K5099" t="str">
            <v>defsi</v>
          </cell>
        </row>
        <row r="5100">
          <cell r="B5100" t="b">
            <v>1</v>
          </cell>
          <cell r="E5100" t="str">
            <v>Candelaria</v>
          </cell>
          <cell r="H5100" t="str">
            <v>urgencia</v>
          </cell>
          <cell r="J5100" t="str">
            <v>bueno</v>
          </cell>
          <cell r="K5100" t="str">
            <v>defsi</v>
          </cell>
        </row>
        <row r="5101">
          <cell r="B5101" t="b">
            <v>1</v>
          </cell>
          <cell r="E5101" t="str">
            <v>Candelaria</v>
          </cell>
          <cell r="H5101" t="str">
            <v>electros</v>
          </cell>
          <cell r="J5101" t="str">
            <v>bueno</v>
          </cell>
          <cell r="K5101" t="str">
            <v>defsi</v>
          </cell>
        </row>
        <row r="5102">
          <cell r="B5102" t="b">
            <v>1</v>
          </cell>
          <cell r="E5102" t="str">
            <v>Candelaria</v>
          </cell>
          <cell r="H5102" t="str">
            <v>electros</v>
          </cell>
          <cell r="J5102" t="str">
            <v>bueno</v>
          </cell>
          <cell r="K5102" t="str">
            <v>defsi</v>
          </cell>
        </row>
        <row r="5103">
          <cell r="B5103" t="b">
            <v>1</v>
          </cell>
          <cell r="E5103" t="str">
            <v>Blasdelezo</v>
          </cell>
          <cell r="H5103" t="str">
            <v>consulta_externa</v>
          </cell>
          <cell r="J5103" t="str">
            <v>bueno</v>
          </cell>
          <cell r="K5103" t="str">
            <v>probsi</v>
          </cell>
        </row>
        <row r="5104">
          <cell r="B5104" t="b">
            <v>1</v>
          </cell>
          <cell r="E5104" t="str">
            <v>Candelaria</v>
          </cell>
          <cell r="H5104" t="str">
            <v>electros</v>
          </cell>
          <cell r="J5104" t="str">
            <v>bueno</v>
          </cell>
          <cell r="K5104" t="str">
            <v>defsi</v>
          </cell>
        </row>
        <row r="5105">
          <cell r="B5105" t="b">
            <v>1</v>
          </cell>
          <cell r="E5105" t="str">
            <v>Candelaria</v>
          </cell>
          <cell r="H5105" t="str">
            <v>electros</v>
          </cell>
          <cell r="J5105" t="str">
            <v>bueno</v>
          </cell>
          <cell r="K5105" t="str">
            <v>defsi</v>
          </cell>
        </row>
        <row r="5106">
          <cell r="B5106" t="b">
            <v>1</v>
          </cell>
          <cell r="E5106" t="str">
            <v>Blasdelezo</v>
          </cell>
          <cell r="H5106" t="str">
            <v>consulta_externa</v>
          </cell>
          <cell r="J5106" t="str">
            <v>bueno</v>
          </cell>
          <cell r="K5106" t="str">
            <v>probsi</v>
          </cell>
        </row>
        <row r="5107">
          <cell r="B5107" t="b">
            <v>1</v>
          </cell>
          <cell r="E5107" t="str">
            <v>Candelaria</v>
          </cell>
          <cell r="H5107" t="str">
            <v>electros</v>
          </cell>
          <cell r="J5107" t="str">
            <v>bueno</v>
          </cell>
          <cell r="K5107" t="str">
            <v>defsi</v>
          </cell>
        </row>
        <row r="5108">
          <cell r="B5108" t="b">
            <v>1</v>
          </cell>
          <cell r="E5108" t="str">
            <v>Candelaria</v>
          </cell>
          <cell r="H5108" t="str">
            <v>electros</v>
          </cell>
          <cell r="J5108" t="str">
            <v>bueno</v>
          </cell>
          <cell r="K5108" t="str">
            <v>defsi</v>
          </cell>
        </row>
        <row r="5109">
          <cell r="B5109" t="b">
            <v>1</v>
          </cell>
          <cell r="E5109" t="str">
            <v>Candelaria</v>
          </cell>
          <cell r="H5109" t="str">
            <v>electros</v>
          </cell>
          <cell r="J5109" t="str">
            <v>bueno</v>
          </cell>
          <cell r="K5109" t="str">
            <v>defsi</v>
          </cell>
        </row>
        <row r="5110">
          <cell r="B5110" t="b">
            <v>0</v>
          </cell>
          <cell r="E5110" t="str">
            <v>Blasdelezo</v>
          </cell>
          <cell r="H5110" t="str">
            <v>consulta_externa</v>
          </cell>
          <cell r="J5110" t="str">
            <v>regular</v>
          </cell>
          <cell r="K5110" t="str">
            <v>probsi</v>
          </cell>
        </row>
        <row r="5111">
          <cell r="B5111" t="b">
            <v>1</v>
          </cell>
          <cell r="E5111" t="str">
            <v>Candelaria</v>
          </cell>
          <cell r="H5111" t="str">
            <v>electros</v>
          </cell>
          <cell r="J5111" t="str">
            <v>bueno</v>
          </cell>
          <cell r="K5111" t="str">
            <v>defsi</v>
          </cell>
        </row>
        <row r="5112">
          <cell r="B5112" t="b">
            <v>1</v>
          </cell>
          <cell r="E5112" t="str">
            <v>Candelaria</v>
          </cell>
          <cell r="H5112" t="str">
            <v>electros</v>
          </cell>
          <cell r="J5112" t="str">
            <v>bueno</v>
          </cell>
          <cell r="K5112" t="str">
            <v>defsi</v>
          </cell>
        </row>
        <row r="5113">
          <cell r="B5113" t="b">
            <v>0</v>
          </cell>
          <cell r="E5113" t="str">
            <v>Blasdelezo</v>
          </cell>
          <cell r="H5113" t="str">
            <v>consulta_externa</v>
          </cell>
          <cell r="J5113" t="str">
            <v>regular</v>
          </cell>
          <cell r="K5113" t="str">
            <v>probsi</v>
          </cell>
        </row>
        <row r="5114">
          <cell r="B5114" t="b">
            <v>0</v>
          </cell>
          <cell r="E5114" t="str">
            <v>Blasdelezo</v>
          </cell>
          <cell r="H5114" t="str">
            <v>salud_oral</v>
          </cell>
          <cell r="J5114" t="str">
            <v>regular</v>
          </cell>
          <cell r="K5114" t="str">
            <v>probsi</v>
          </cell>
        </row>
        <row r="5115">
          <cell r="B5115" t="b">
            <v>1</v>
          </cell>
          <cell r="E5115" t="str">
            <v>Candelaria</v>
          </cell>
          <cell r="H5115" t="str">
            <v>electros</v>
          </cell>
          <cell r="J5115" t="str">
            <v>bueno</v>
          </cell>
          <cell r="K5115" t="str">
            <v>defsi</v>
          </cell>
        </row>
        <row r="5116">
          <cell r="B5116" t="b">
            <v>1</v>
          </cell>
          <cell r="E5116" t="str">
            <v>Blasdelezo</v>
          </cell>
          <cell r="H5116" t="str">
            <v>consulta_externa</v>
          </cell>
          <cell r="J5116" t="str">
            <v>bueno</v>
          </cell>
          <cell r="K5116" t="str">
            <v>probsi</v>
          </cell>
        </row>
        <row r="5117">
          <cell r="B5117" t="b">
            <v>1</v>
          </cell>
          <cell r="E5117" t="str">
            <v>Blasdelezo</v>
          </cell>
          <cell r="H5117" t="str">
            <v>urgencia</v>
          </cell>
          <cell r="J5117" t="str">
            <v>bueno</v>
          </cell>
          <cell r="K5117" t="str">
            <v>probsi</v>
          </cell>
        </row>
        <row r="5118">
          <cell r="B5118" t="b">
            <v>0</v>
          </cell>
          <cell r="E5118" t="str">
            <v>Blasdelezo</v>
          </cell>
          <cell r="H5118" t="str">
            <v>consulta_externa</v>
          </cell>
          <cell r="J5118" t="str">
            <v>regular</v>
          </cell>
          <cell r="K5118" t="str">
            <v>probsi</v>
          </cell>
        </row>
        <row r="5119">
          <cell r="B5119" t="b">
            <v>1</v>
          </cell>
          <cell r="E5119" t="str">
            <v>Punta Arena</v>
          </cell>
          <cell r="H5119" t="str">
            <v>consulta_externa</v>
          </cell>
          <cell r="J5119" t="str">
            <v>muybueno</v>
          </cell>
          <cell r="K5119" t="str">
            <v>defsi</v>
          </cell>
        </row>
        <row r="5120">
          <cell r="B5120" t="b">
            <v>1</v>
          </cell>
          <cell r="E5120" t="str">
            <v>Punta Arena</v>
          </cell>
          <cell r="H5120" t="str">
            <v>salud_oral</v>
          </cell>
          <cell r="J5120" t="str">
            <v>muybueno</v>
          </cell>
          <cell r="K5120" t="str">
            <v>defsi</v>
          </cell>
        </row>
        <row r="5121">
          <cell r="B5121" t="b">
            <v>1</v>
          </cell>
          <cell r="E5121" t="str">
            <v>Punta Arena</v>
          </cell>
          <cell r="H5121" t="str">
            <v>consulta_externa</v>
          </cell>
          <cell r="J5121" t="str">
            <v>muybueno</v>
          </cell>
          <cell r="K5121" t="str">
            <v>defsi</v>
          </cell>
        </row>
        <row r="5122">
          <cell r="B5122" t="b">
            <v>1</v>
          </cell>
          <cell r="E5122" t="str">
            <v>Punta Arena</v>
          </cell>
          <cell r="H5122" t="str">
            <v>laboratorio</v>
          </cell>
          <cell r="J5122" t="str">
            <v>muybueno</v>
          </cell>
          <cell r="K5122" t="str">
            <v>defsi</v>
          </cell>
        </row>
        <row r="5123">
          <cell r="B5123" t="b">
            <v>1</v>
          </cell>
          <cell r="E5123" t="str">
            <v>Punta Arena</v>
          </cell>
          <cell r="H5123" t="str">
            <v>consulta_externa</v>
          </cell>
          <cell r="J5123" t="str">
            <v>muybueno</v>
          </cell>
          <cell r="K5123" t="str">
            <v>defsi</v>
          </cell>
        </row>
        <row r="5124">
          <cell r="B5124" t="b">
            <v>1</v>
          </cell>
          <cell r="E5124" t="str">
            <v>Punta Arena</v>
          </cell>
          <cell r="H5124" t="str">
            <v>laboratorio</v>
          </cell>
          <cell r="J5124" t="str">
            <v>muybueno</v>
          </cell>
          <cell r="K5124" t="str">
            <v>defsi</v>
          </cell>
        </row>
        <row r="5125">
          <cell r="B5125" t="b">
            <v>1</v>
          </cell>
          <cell r="E5125" t="str">
            <v>Blasdelezo</v>
          </cell>
          <cell r="H5125" t="str">
            <v>pediatria</v>
          </cell>
          <cell r="J5125" t="str">
            <v>bueno</v>
          </cell>
          <cell r="K5125" t="str">
            <v>probsi</v>
          </cell>
        </row>
        <row r="5126">
          <cell r="B5126" t="b">
            <v>1</v>
          </cell>
          <cell r="E5126" t="str">
            <v>Blasdelezo</v>
          </cell>
          <cell r="H5126" t="str">
            <v>pediatria</v>
          </cell>
          <cell r="J5126" t="str">
            <v>bueno</v>
          </cell>
          <cell r="K5126" t="str">
            <v>probsi</v>
          </cell>
        </row>
        <row r="5127">
          <cell r="B5127" t="b">
            <v>1</v>
          </cell>
          <cell r="E5127" t="str">
            <v>Blasdelezo</v>
          </cell>
          <cell r="H5127" t="str">
            <v>pediatria</v>
          </cell>
          <cell r="J5127" t="str">
            <v>bueno</v>
          </cell>
          <cell r="K5127" t="str">
            <v>probsi</v>
          </cell>
        </row>
        <row r="5128">
          <cell r="B5128" t="b">
            <v>1</v>
          </cell>
          <cell r="E5128" t="str">
            <v>Blasdelezo</v>
          </cell>
          <cell r="H5128" t="str">
            <v>pediatria</v>
          </cell>
          <cell r="J5128" t="str">
            <v>bueno</v>
          </cell>
          <cell r="K5128" t="str">
            <v>probsi</v>
          </cell>
        </row>
        <row r="5129">
          <cell r="B5129" t="b">
            <v>1</v>
          </cell>
          <cell r="E5129" t="str">
            <v>Blasdelezo</v>
          </cell>
          <cell r="H5129" t="str">
            <v>pediatria</v>
          </cell>
          <cell r="J5129" t="str">
            <v>bueno</v>
          </cell>
          <cell r="K5129" t="str">
            <v>probsi</v>
          </cell>
        </row>
        <row r="5130">
          <cell r="B5130" t="b">
            <v>1</v>
          </cell>
          <cell r="E5130" t="str">
            <v>Blasdelezo</v>
          </cell>
          <cell r="H5130" t="str">
            <v>pediatria</v>
          </cell>
          <cell r="J5130" t="str">
            <v>bueno</v>
          </cell>
          <cell r="K5130" t="str">
            <v>probsi</v>
          </cell>
        </row>
        <row r="5131">
          <cell r="B5131" t="b">
            <v>1</v>
          </cell>
          <cell r="E5131" t="str">
            <v>Esperanza</v>
          </cell>
          <cell r="H5131" t="str">
            <v>consulta_externa</v>
          </cell>
          <cell r="J5131" t="str">
            <v>bueno</v>
          </cell>
          <cell r="K5131" t="str">
            <v>defsi</v>
          </cell>
        </row>
        <row r="5132">
          <cell r="B5132" t="b">
            <v>1</v>
          </cell>
          <cell r="E5132" t="str">
            <v>Esperanza</v>
          </cell>
          <cell r="H5132" t="str">
            <v>laboratorio</v>
          </cell>
          <cell r="J5132" t="str">
            <v>bueno</v>
          </cell>
          <cell r="K5132" t="str">
            <v>defsi</v>
          </cell>
        </row>
        <row r="5133">
          <cell r="B5133" t="b">
            <v>1</v>
          </cell>
          <cell r="E5133" t="str">
            <v>Esperanza</v>
          </cell>
          <cell r="H5133" t="str">
            <v>laboratorio</v>
          </cell>
          <cell r="J5133" t="str">
            <v>bueno</v>
          </cell>
          <cell r="K5133" t="str">
            <v>defsi</v>
          </cell>
        </row>
        <row r="5134">
          <cell r="B5134" t="b">
            <v>1</v>
          </cell>
          <cell r="E5134" t="str">
            <v>Esperanza</v>
          </cell>
          <cell r="H5134" t="str">
            <v>laboratorio</v>
          </cell>
          <cell r="J5134" t="str">
            <v>bueno</v>
          </cell>
          <cell r="K5134" t="str">
            <v>defsi</v>
          </cell>
        </row>
        <row r="5135">
          <cell r="B5135" t="b">
            <v>1</v>
          </cell>
          <cell r="E5135" t="str">
            <v>Esperanza</v>
          </cell>
          <cell r="H5135" t="str">
            <v>consulta_externa</v>
          </cell>
          <cell r="J5135" t="str">
            <v>bueno</v>
          </cell>
          <cell r="K5135" t="str">
            <v>defsi</v>
          </cell>
        </row>
        <row r="5136">
          <cell r="B5136" t="b">
            <v>1</v>
          </cell>
          <cell r="E5136" t="str">
            <v>Esperanza</v>
          </cell>
          <cell r="H5136" t="str">
            <v>consulta_externa</v>
          </cell>
          <cell r="J5136" t="str">
            <v>bueno</v>
          </cell>
          <cell r="K5136" t="str">
            <v>defsi</v>
          </cell>
        </row>
        <row r="5137">
          <cell r="B5137" t="b">
            <v>1</v>
          </cell>
          <cell r="E5137" t="str">
            <v>Esperanza</v>
          </cell>
          <cell r="H5137" t="str">
            <v>laboratorio</v>
          </cell>
          <cell r="J5137" t="str">
            <v>bueno</v>
          </cell>
          <cell r="K5137" t="str">
            <v>defsi</v>
          </cell>
        </row>
        <row r="5138">
          <cell r="B5138" t="b">
            <v>1</v>
          </cell>
          <cell r="E5138" t="str">
            <v>Esperanza</v>
          </cell>
          <cell r="H5138" t="str">
            <v>laboratorio</v>
          </cell>
          <cell r="J5138" t="str">
            <v>bueno</v>
          </cell>
          <cell r="K5138" t="str">
            <v>defsi</v>
          </cell>
        </row>
        <row r="5139">
          <cell r="B5139" t="b">
            <v>1</v>
          </cell>
          <cell r="E5139" t="str">
            <v>Esperanza</v>
          </cell>
          <cell r="H5139" t="str">
            <v>laboratorio</v>
          </cell>
          <cell r="J5139" t="str">
            <v>bueno</v>
          </cell>
          <cell r="K5139" t="str">
            <v>defsi</v>
          </cell>
        </row>
        <row r="5140">
          <cell r="B5140" t="b">
            <v>1</v>
          </cell>
          <cell r="E5140" t="str">
            <v>Esperanza</v>
          </cell>
          <cell r="H5140" t="str">
            <v>salud_oral</v>
          </cell>
          <cell r="J5140" t="str">
            <v>bueno</v>
          </cell>
          <cell r="K5140" t="str">
            <v>defsi</v>
          </cell>
        </row>
        <row r="5141">
          <cell r="B5141" t="b">
            <v>1</v>
          </cell>
          <cell r="E5141" t="str">
            <v>Esperanza</v>
          </cell>
          <cell r="H5141" t="str">
            <v>consulta_externa</v>
          </cell>
          <cell r="J5141" t="str">
            <v>bueno</v>
          </cell>
          <cell r="K5141" t="str">
            <v>defsi</v>
          </cell>
        </row>
        <row r="5142">
          <cell r="B5142" t="b">
            <v>1</v>
          </cell>
          <cell r="E5142" t="str">
            <v>Esperanza</v>
          </cell>
          <cell r="H5142" t="str">
            <v>salud_oral</v>
          </cell>
          <cell r="J5142" t="str">
            <v>bueno</v>
          </cell>
          <cell r="K5142" t="str">
            <v>defsi</v>
          </cell>
        </row>
        <row r="5143">
          <cell r="B5143" t="b">
            <v>1</v>
          </cell>
          <cell r="E5143" t="str">
            <v>Esperanza</v>
          </cell>
          <cell r="H5143" t="str">
            <v>salud_oral</v>
          </cell>
          <cell r="J5143" t="str">
            <v>bueno</v>
          </cell>
          <cell r="K5143" t="str">
            <v>defsi</v>
          </cell>
        </row>
        <row r="5144">
          <cell r="B5144" t="b">
            <v>1</v>
          </cell>
          <cell r="E5144" t="str">
            <v>Esperanza</v>
          </cell>
          <cell r="H5144" t="str">
            <v>consulta_externa</v>
          </cell>
          <cell r="J5144" t="str">
            <v>bueno</v>
          </cell>
          <cell r="K5144" t="str">
            <v>defsi</v>
          </cell>
        </row>
        <row r="5145">
          <cell r="B5145" t="b">
            <v>1</v>
          </cell>
          <cell r="E5145" t="str">
            <v>Esperanza</v>
          </cell>
          <cell r="H5145" t="str">
            <v>consulta_externa</v>
          </cell>
          <cell r="J5145" t="str">
            <v>bueno</v>
          </cell>
          <cell r="K5145" t="str">
            <v>defsi</v>
          </cell>
        </row>
        <row r="5146">
          <cell r="B5146" t="b">
            <v>1</v>
          </cell>
          <cell r="E5146" t="str">
            <v>Esperanza</v>
          </cell>
          <cell r="H5146" t="str">
            <v>consulta_externa</v>
          </cell>
          <cell r="J5146" t="str">
            <v>bueno</v>
          </cell>
          <cell r="K5146" t="str">
            <v>defsi</v>
          </cell>
        </row>
        <row r="5147">
          <cell r="B5147" t="b">
            <v>1</v>
          </cell>
          <cell r="E5147" t="str">
            <v>Esperanza</v>
          </cell>
          <cell r="H5147" t="str">
            <v>consulta_externa</v>
          </cell>
          <cell r="J5147" t="str">
            <v>bueno</v>
          </cell>
          <cell r="K5147" t="str">
            <v>defsi</v>
          </cell>
        </row>
        <row r="5148">
          <cell r="B5148" t="b">
            <v>1</v>
          </cell>
          <cell r="E5148" t="str">
            <v>Esperanza</v>
          </cell>
          <cell r="H5148" t="str">
            <v>laboratorio</v>
          </cell>
          <cell r="J5148" t="str">
            <v>bueno</v>
          </cell>
          <cell r="K5148" t="str">
            <v>defsi</v>
          </cell>
        </row>
        <row r="5149">
          <cell r="B5149" t="b">
            <v>1</v>
          </cell>
          <cell r="E5149" t="str">
            <v>Esperanza</v>
          </cell>
          <cell r="H5149" t="str">
            <v>consulta_externa</v>
          </cell>
          <cell r="J5149" t="str">
            <v>bueno</v>
          </cell>
          <cell r="K5149" t="str">
            <v>defsi</v>
          </cell>
        </row>
        <row r="5150">
          <cell r="B5150" t="b">
            <v>1</v>
          </cell>
          <cell r="E5150" t="str">
            <v>Esperanza</v>
          </cell>
          <cell r="H5150" t="str">
            <v>salud_oral</v>
          </cell>
          <cell r="J5150" t="str">
            <v>bueno</v>
          </cell>
          <cell r="K5150" t="str">
            <v>defsi</v>
          </cell>
        </row>
        <row r="5151">
          <cell r="B5151" t="b">
            <v>1</v>
          </cell>
          <cell r="E5151" t="str">
            <v>Esperanza</v>
          </cell>
          <cell r="H5151" t="str">
            <v>consulta_externa</v>
          </cell>
          <cell r="J5151" t="str">
            <v>bueno</v>
          </cell>
          <cell r="K5151" t="str">
            <v>defsi</v>
          </cell>
        </row>
        <row r="5152">
          <cell r="B5152" t="b">
            <v>1</v>
          </cell>
          <cell r="E5152" t="str">
            <v>Esperanza</v>
          </cell>
          <cell r="H5152" t="str">
            <v>laboratorio</v>
          </cell>
          <cell r="J5152" t="str">
            <v>bueno</v>
          </cell>
          <cell r="K5152" t="str">
            <v>defsi</v>
          </cell>
        </row>
        <row r="5153">
          <cell r="B5153" t="b">
            <v>1</v>
          </cell>
          <cell r="E5153" t="str">
            <v>Esperanza</v>
          </cell>
          <cell r="H5153" t="str">
            <v>consulta_externa</v>
          </cell>
          <cell r="J5153" t="str">
            <v>muybueno</v>
          </cell>
          <cell r="K5153" t="str">
            <v>defsi</v>
          </cell>
        </row>
        <row r="5154">
          <cell r="B5154" t="b">
            <v>1</v>
          </cell>
          <cell r="E5154" t="str">
            <v>Esperanza</v>
          </cell>
          <cell r="H5154" t="str">
            <v>laboratorio</v>
          </cell>
          <cell r="J5154" t="str">
            <v>bueno</v>
          </cell>
          <cell r="K5154" t="str">
            <v>defsi</v>
          </cell>
        </row>
        <row r="5155">
          <cell r="B5155" t="b">
            <v>1</v>
          </cell>
          <cell r="E5155" t="str">
            <v>Gaviotas</v>
          </cell>
          <cell r="H5155" t="str">
            <v>consulta_externa</v>
          </cell>
          <cell r="J5155" t="str">
            <v>bueno</v>
          </cell>
          <cell r="K5155" t="str">
            <v>defsi</v>
          </cell>
        </row>
        <row r="5156">
          <cell r="B5156" t="b">
            <v>1</v>
          </cell>
          <cell r="E5156" t="str">
            <v>Gaviotas</v>
          </cell>
          <cell r="H5156" t="str">
            <v>salud_oral</v>
          </cell>
          <cell r="J5156" t="str">
            <v>bueno</v>
          </cell>
          <cell r="K5156" t="str">
            <v>defsi</v>
          </cell>
        </row>
        <row r="5157">
          <cell r="B5157" t="b">
            <v>1</v>
          </cell>
          <cell r="E5157" t="str">
            <v>Gaviotas</v>
          </cell>
          <cell r="H5157" t="str">
            <v>laboratorio</v>
          </cell>
          <cell r="J5157" t="str">
            <v>bueno</v>
          </cell>
          <cell r="K5157" t="str">
            <v>defsi</v>
          </cell>
        </row>
        <row r="5158">
          <cell r="B5158" t="b">
            <v>1</v>
          </cell>
          <cell r="E5158" t="str">
            <v>Esperanza</v>
          </cell>
          <cell r="H5158" t="str">
            <v>consulta_externa</v>
          </cell>
          <cell r="J5158" t="str">
            <v>bueno</v>
          </cell>
          <cell r="K5158" t="str">
            <v>defsi</v>
          </cell>
        </row>
        <row r="5159">
          <cell r="B5159" t="b">
            <v>1</v>
          </cell>
          <cell r="E5159" t="str">
            <v>Punta Arena</v>
          </cell>
          <cell r="H5159" t="str">
            <v>consulta_externa</v>
          </cell>
          <cell r="J5159" t="str">
            <v>muybueno</v>
          </cell>
          <cell r="K5159" t="str">
            <v>defsi</v>
          </cell>
        </row>
        <row r="5160">
          <cell r="B5160" t="b">
            <v>1</v>
          </cell>
          <cell r="E5160" t="str">
            <v>Punta Arena</v>
          </cell>
          <cell r="H5160" t="str">
            <v>consulta_externa</v>
          </cell>
          <cell r="J5160" t="str">
            <v>muybueno</v>
          </cell>
          <cell r="K5160" t="str">
            <v>defsi</v>
          </cell>
        </row>
        <row r="5161">
          <cell r="B5161" t="b">
            <v>1</v>
          </cell>
          <cell r="E5161" t="str">
            <v>Esperanza</v>
          </cell>
          <cell r="H5161" t="str">
            <v>laboratorio</v>
          </cell>
          <cell r="J5161" t="str">
            <v>bueno</v>
          </cell>
          <cell r="K5161" t="str">
            <v>defsi</v>
          </cell>
        </row>
        <row r="5162">
          <cell r="B5162" t="b">
            <v>1</v>
          </cell>
          <cell r="E5162" t="str">
            <v>Esperanza</v>
          </cell>
          <cell r="H5162" t="str">
            <v>laboratorio</v>
          </cell>
          <cell r="J5162" t="str">
            <v>bueno</v>
          </cell>
          <cell r="K5162" t="str">
            <v>defsi</v>
          </cell>
        </row>
        <row r="5163">
          <cell r="B5163" t="b">
            <v>1</v>
          </cell>
          <cell r="E5163" t="str">
            <v>Esperanza</v>
          </cell>
          <cell r="H5163" t="str">
            <v>salud_oral</v>
          </cell>
          <cell r="J5163" t="str">
            <v>bueno</v>
          </cell>
          <cell r="K5163" t="str">
            <v>defsi</v>
          </cell>
        </row>
        <row r="5164">
          <cell r="B5164" t="b">
            <v>1</v>
          </cell>
          <cell r="E5164" t="str">
            <v>Esperanza</v>
          </cell>
          <cell r="H5164" t="str">
            <v>electros</v>
          </cell>
          <cell r="J5164" t="str">
            <v>muybueno</v>
          </cell>
          <cell r="K5164" t="str">
            <v>defsi</v>
          </cell>
        </row>
        <row r="5165">
          <cell r="B5165" t="b">
            <v>1</v>
          </cell>
          <cell r="E5165" t="str">
            <v>Gaviotas</v>
          </cell>
          <cell r="H5165" t="str">
            <v>consulta_externa</v>
          </cell>
          <cell r="J5165" t="str">
            <v>bueno</v>
          </cell>
          <cell r="K5165" t="str">
            <v>defsi</v>
          </cell>
        </row>
        <row r="5166">
          <cell r="B5166" t="b">
            <v>1</v>
          </cell>
          <cell r="E5166" t="str">
            <v>Punta Arena</v>
          </cell>
          <cell r="H5166" t="str">
            <v>consulta_externa</v>
          </cell>
          <cell r="J5166" t="str">
            <v>muybueno</v>
          </cell>
          <cell r="K5166" t="str">
            <v>defsi</v>
          </cell>
        </row>
        <row r="5167">
          <cell r="B5167" t="b">
            <v>1</v>
          </cell>
          <cell r="E5167" t="str">
            <v>Punta Arena</v>
          </cell>
          <cell r="H5167" t="str">
            <v>salud_oral</v>
          </cell>
          <cell r="J5167" t="str">
            <v>muybueno</v>
          </cell>
          <cell r="K5167" t="str">
            <v>defsi</v>
          </cell>
        </row>
        <row r="5168">
          <cell r="B5168" t="b">
            <v>1</v>
          </cell>
          <cell r="E5168" t="str">
            <v>Gaviotas</v>
          </cell>
          <cell r="H5168" t="str">
            <v>salud_oral</v>
          </cell>
          <cell r="J5168" t="str">
            <v>bueno</v>
          </cell>
          <cell r="K5168" t="str">
            <v>defsi</v>
          </cell>
        </row>
        <row r="5169">
          <cell r="B5169" t="b">
            <v>1</v>
          </cell>
          <cell r="E5169" t="str">
            <v>Esperanza</v>
          </cell>
          <cell r="H5169" t="str">
            <v>electros</v>
          </cell>
          <cell r="J5169" t="str">
            <v>bueno</v>
          </cell>
          <cell r="K5169" t="str">
            <v>defsi</v>
          </cell>
        </row>
        <row r="5170">
          <cell r="B5170" t="b">
            <v>1</v>
          </cell>
          <cell r="E5170" t="str">
            <v>Esperanza</v>
          </cell>
          <cell r="H5170" t="str">
            <v>electros</v>
          </cell>
          <cell r="J5170" t="str">
            <v>bueno</v>
          </cell>
          <cell r="K5170" t="str">
            <v>defsi</v>
          </cell>
        </row>
        <row r="5171">
          <cell r="B5171" t="b">
            <v>1</v>
          </cell>
          <cell r="E5171" t="str">
            <v>Gaviotas</v>
          </cell>
          <cell r="H5171" t="str">
            <v>laboratorio</v>
          </cell>
          <cell r="J5171" t="str">
            <v>bueno</v>
          </cell>
          <cell r="K5171" t="str">
            <v>defsi</v>
          </cell>
        </row>
        <row r="5172">
          <cell r="B5172" t="b">
            <v>1</v>
          </cell>
          <cell r="E5172" t="str">
            <v>Gaviotas</v>
          </cell>
          <cell r="H5172" t="str">
            <v>consulta_externa</v>
          </cell>
          <cell r="J5172" t="str">
            <v>bueno</v>
          </cell>
          <cell r="K5172" t="str">
            <v>defsi</v>
          </cell>
        </row>
        <row r="5173">
          <cell r="B5173" t="b">
            <v>1</v>
          </cell>
          <cell r="E5173" t="str">
            <v>Punta Arena</v>
          </cell>
          <cell r="H5173" t="str">
            <v>salud_oral</v>
          </cell>
          <cell r="J5173" t="str">
            <v>muybueno</v>
          </cell>
          <cell r="K5173" t="str">
            <v>defsi</v>
          </cell>
        </row>
        <row r="5174">
          <cell r="B5174" t="b">
            <v>1</v>
          </cell>
          <cell r="E5174" t="str">
            <v>Gaviotas</v>
          </cell>
          <cell r="H5174" t="str">
            <v>salud_oral</v>
          </cell>
          <cell r="J5174" t="str">
            <v>bueno</v>
          </cell>
          <cell r="K5174" t="str">
            <v>defsi</v>
          </cell>
        </row>
        <row r="5175">
          <cell r="B5175" t="b">
            <v>1</v>
          </cell>
          <cell r="E5175" t="str">
            <v>Gaviotas</v>
          </cell>
          <cell r="H5175" t="str">
            <v>laboratorio</v>
          </cell>
          <cell r="J5175" t="str">
            <v>bueno</v>
          </cell>
          <cell r="K5175" t="str">
            <v>defsi</v>
          </cell>
        </row>
        <row r="5176">
          <cell r="B5176" t="b">
            <v>1</v>
          </cell>
          <cell r="E5176" t="str">
            <v>Esperanza</v>
          </cell>
          <cell r="H5176" t="str">
            <v>salud_oral</v>
          </cell>
          <cell r="J5176" t="str">
            <v>bueno</v>
          </cell>
          <cell r="K5176" t="str">
            <v>defsi</v>
          </cell>
        </row>
        <row r="5177">
          <cell r="B5177" t="b">
            <v>1</v>
          </cell>
          <cell r="E5177" t="str">
            <v>Esperanza</v>
          </cell>
          <cell r="H5177" t="str">
            <v>salud_oral</v>
          </cell>
          <cell r="J5177" t="str">
            <v>bueno</v>
          </cell>
          <cell r="K5177" t="str">
            <v>defsi</v>
          </cell>
        </row>
        <row r="5178">
          <cell r="B5178" t="b">
            <v>0</v>
          </cell>
          <cell r="E5178" t="str">
            <v>Esperanza</v>
          </cell>
          <cell r="H5178" t="str">
            <v>consulta_externa</v>
          </cell>
          <cell r="J5178" t="str">
            <v>regular</v>
          </cell>
          <cell r="K5178" t="str">
            <v>defsi</v>
          </cell>
        </row>
        <row r="5179">
          <cell r="B5179" t="b">
            <v>1</v>
          </cell>
          <cell r="E5179" t="str">
            <v>Punta Arena</v>
          </cell>
          <cell r="H5179" t="str">
            <v>consulta_externa</v>
          </cell>
          <cell r="J5179" t="str">
            <v>muybueno</v>
          </cell>
          <cell r="K5179" t="str">
            <v>defsi</v>
          </cell>
        </row>
        <row r="5180">
          <cell r="B5180" t="b">
            <v>1</v>
          </cell>
          <cell r="E5180" t="str">
            <v>Punta Arena</v>
          </cell>
          <cell r="H5180" t="str">
            <v>laboratorio</v>
          </cell>
          <cell r="J5180" t="str">
            <v>muybueno</v>
          </cell>
          <cell r="K5180" t="str">
            <v>defsi</v>
          </cell>
        </row>
        <row r="5181">
          <cell r="B5181" t="b">
            <v>1</v>
          </cell>
          <cell r="E5181" t="str">
            <v>Punta Arena</v>
          </cell>
          <cell r="H5181" t="str">
            <v>salud_oral</v>
          </cell>
          <cell r="J5181" t="str">
            <v>muybueno</v>
          </cell>
          <cell r="K5181" t="str">
            <v>defsi</v>
          </cell>
        </row>
        <row r="5182">
          <cell r="B5182" t="b">
            <v>1</v>
          </cell>
          <cell r="E5182" t="str">
            <v>Esperanza</v>
          </cell>
          <cell r="H5182" t="str">
            <v>salud_oral</v>
          </cell>
          <cell r="J5182" t="str">
            <v>bueno</v>
          </cell>
          <cell r="K5182" t="str">
            <v>defsi</v>
          </cell>
        </row>
        <row r="5183">
          <cell r="B5183" t="b">
            <v>1</v>
          </cell>
          <cell r="E5183" t="str">
            <v>Esperanza</v>
          </cell>
          <cell r="H5183" t="str">
            <v>salud_oral</v>
          </cell>
          <cell r="J5183" t="str">
            <v>bueno</v>
          </cell>
          <cell r="K5183" t="str">
            <v>defsi</v>
          </cell>
        </row>
        <row r="5184">
          <cell r="B5184" t="b">
            <v>1</v>
          </cell>
          <cell r="E5184" t="str">
            <v>Punta Arena</v>
          </cell>
          <cell r="H5184" t="str">
            <v>consulta_externa</v>
          </cell>
          <cell r="J5184" t="str">
            <v>muybueno</v>
          </cell>
          <cell r="K5184" t="str">
            <v>defsi</v>
          </cell>
        </row>
        <row r="5185">
          <cell r="B5185" t="b">
            <v>1</v>
          </cell>
          <cell r="E5185" t="str">
            <v>Punta Arena</v>
          </cell>
          <cell r="H5185" t="str">
            <v>salud_oral</v>
          </cell>
          <cell r="J5185" t="str">
            <v>muybueno</v>
          </cell>
          <cell r="K5185" t="str">
            <v>defsi</v>
          </cell>
        </row>
        <row r="5186">
          <cell r="B5186" t="b">
            <v>1</v>
          </cell>
          <cell r="E5186" t="str">
            <v>Punta Arena</v>
          </cell>
          <cell r="H5186" t="str">
            <v>consulta_externa</v>
          </cell>
          <cell r="J5186" t="str">
            <v>muybueno</v>
          </cell>
          <cell r="K5186" t="str">
            <v>defsi</v>
          </cell>
        </row>
        <row r="5187">
          <cell r="B5187" t="b">
            <v>1</v>
          </cell>
          <cell r="E5187" t="str">
            <v>Punta Arena</v>
          </cell>
          <cell r="H5187" t="str">
            <v>laboratorio</v>
          </cell>
          <cell r="J5187" t="str">
            <v>muybueno</v>
          </cell>
          <cell r="K5187" t="str">
            <v>defsi</v>
          </cell>
        </row>
        <row r="5188">
          <cell r="B5188" t="b">
            <v>1</v>
          </cell>
          <cell r="E5188" t="str">
            <v>Esperanza</v>
          </cell>
          <cell r="H5188" t="str">
            <v>salud_oral</v>
          </cell>
          <cell r="J5188" t="str">
            <v>bueno</v>
          </cell>
          <cell r="K5188" t="str">
            <v>defsi</v>
          </cell>
        </row>
        <row r="5189">
          <cell r="B5189" t="b">
            <v>1</v>
          </cell>
          <cell r="E5189" t="str">
            <v>Punta Arena</v>
          </cell>
          <cell r="H5189" t="str">
            <v>salud_oral</v>
          </cell>
          <cell r="J5189" t="str">
            <v>muybueno</v>
          </cell>
          <cell r="K5189" t="str">
            <v>defsi</v>
          </cell>
        </row>
        <row r="5190">
          <cell r="B5190" t="b">
            <v>1</v>
          </cell>
          <cell r="E5190" t="str">
            <v>Esperanza</v>
          </cell>
          <cell r="H5190" t="str">
            <v>urgencia</v>
          </cell>
          <cell r="J5190" t="str">
            <v>bueno</v>
          </cell>
          <cell r="K5190" t="str">
            <v>defsi</v>
          </cell>
        </row>
        <row r="5191">
          <cell r="B5191" t="b">
            <v>1</v>
          </cell>
          <cell r="E5191" t="str">
            <v>Esperanza</v>
          </cell>
          <cell r="H5191" t="str">
            <v>urgencia</v>
          </cell>
          <cell r="J5191" t="str">
            <v>bueno</v>
          </cell>
          <cell r="K5191" t="str">
            <v>defsi</v>
          </cell>
        </row>
        <row r="5192">
          <cell r="B5192" t="b">
            <v>1</v>
          </cell>
          <cell r="E5192" t="str">
            <v>Esperanza</v>
          </cell>
          <cell r="H5192" t="str">
            <v>urgencia</v>
          </cell>
          <cell r="J5192" t="str">
            <v>bueno</v>
          </cell>
          <cell r="K5192" t="str">
            <v>defsi</v>
          </cell>
        </row>
        <row r="5193">
          <cell r="B5193" t="b">
            <v>1</v>
          </cell>
          <cell r="E5193" t="str">
            <v>Punta Arena</v>
          </cell>
          <cell r="H5193" t="str">
            <v>consulta_externa</v>
          </cell>
          <cell r="J5193" t="str">
            <v>muybueno</v>
          </cell>
          <cell r="K5193" t="str">
            <v>defsi</v>
          </cell>
        </row>
        <row r="5194">
          <cell r="B5194" t="b">
            <v>1</v>
          </cell>
          <cell r="E5194" t="str">
            <v>Punta Arena</v>
          </cell>
          <cell r="H5194" t="str">
            <v>consulta_externa</v>
          </cell>
          <cell r="J5194" t="str">
            <v>muybueno</v>
          </cell>
          <cell r="K5194" t="str">
            <v>defsi</v>
          </cell>
        </row>
        <row r="5195">
          <cell r="B5195" t="b">
            <v>1</v>
          </cell>
          <cell r="E5195" t="str">
            <v>Punta Arena</v>
          </cell>
          <cell r="H5195" t="str">
            <v>salud_oral</v>
          </cell>
          <cell r="J5195" t="str">
            <v>muybueno</v>
          </cell>
          <cell r="K5195" t="str">
            <v>defsi</v>
          </cell>
        </row>
        <row r="5196">
          <cell r="B5196" t="b">
            <v>1</v>
          </cell>
          <cell r="E5196" t="str">
            <v>Blasdelezo</v>
          </cell>
          <cell r="H5196" t="str">
            <v>laboratorio</v>
          </cell>
          <cell r="J5196" t="str">
            <v>bueno</v>
          </cell>
          <cell r="K5196" t="str">
            <v>probsi</v>
          </cell>
        </row>
        <row r="5197">
          <cell r="B5197" t="b">
            <v>1</v>
          </cell>
          <cell r="E5197" t="str">
            <v>Blasdelezo</v>
          </cell>
          <cell r="H5197" t="str">
            <v>laboratorio</v>
          </cell>
          <cell r="J5197" t="str">
            <v>bueno</v>
          </cell>
          <cell r="K5197" t="str">
            <v>probsi</v>
          </cell>
        </row>
        <row r="5198">
          <cell r="B5198" t="b">
            <v>1</v>
          </cell>
          <cell r="E5198" t="str">
            <v>Blasdelezo</v>
          </cell>
          <cell r="H5198" t="str">
            <v>laboratorio</v>
          </cell>
          <cell r="J5198" t="str">
            <v>bueno</v>
          </cell>
          <cell r="K5198" t="str">
            <v>probsi</v>
          </cell>
        </row>
        <row r="5199">
          <cell r="B5199" t="b">
            <v>1</v>
          </cell>
          <cell r="E5199" t="str">
            <v>Punta Arena</v>
          </cell>
          <cell r="H5199" t="str">
            <v>consulta_externa</v>
          </cell>
          <cell r="J5199" t="str">
            <v>muybueno</v>
          </cell>
          <cell r="K5199" t="str">
            <v>defsi</v>
          </cell>
        </row>
        <row r="5200">
          <cell r="B5200" t="b">
            <v>1</v>
          </cell>
          <cell r="E5200" t="str">
            <v>Blasdelezo</v>
          </cell>
          <cell r="H5200" t="str">
            <v>laboratorio</v>
          </cell>
          <cell r="J5200" t="str">
            <v>bueno</v>
          </cell>
          <cell r="K5200" t="str">
            <v>probsi</v>
          </cell>
        </row>
        <row r="5201">
          <cell r="B5201" t="b">
            <v>1</v>
          </cell>
          <cell r="E5201" t="str">
            <v>Punta Arena</v>
          </cell>
          <cell r="H5201" t="str">
            <v>laboratorio</v>
          </cell>
          <cell r="J5201" t="str">
            <v>muybueno</v>
          </cell>
          <cell r="K5201" t="str">
            <v>defsi</v>
          </cell>
        </row>
        <row r="5202">
          <cell r="B5202" t="b">
            <v>0</v>
          </cell>
          <cell r="E5202" t="str">
            <v>Blasdelezo</v>
          </cell>
          <cell r="H5202" t="str">
            <v>laboratorio</v>
          </cell>
          <cell r="J5202" t="str">
            <v>regular</v>
          </cell>
          <cell r="K5202" t="str">
            <v>probsi</v>
          </cell>
        </row>
        <row r="5203">
          <cell r="B5203" t="b">
            <v>0</v>
          </cell>
          <cell r="E5203" t="str">
            <v>Blasdelezo</v>
          </cell>
          <cell r="H5203" t="str">
            <v>laboratorio</v>
          </cell>
          <cell r="J5203" t="str">
            <v>regular</v>
          </cell>
          <cell r="K5203" t="str">
            <v>probsi</v>
          </cell>
        </row>
        <row r="5204">
          <cell r="B5204" t="b">
            <v>0</v>
          </cell>
          <cell r="E5204" t="str">
            <v>Blasdelezo</v>
          </cell>
          <cell r="H5204" t="str">
            <v>laboratorio</v>
          </cell>
          <cell r="J5204" t="str">
            <v>regular</v>
          </cell>
          <cell r="K5204" t="str">
            <v>probsi</v>
          </cell>
        </row>
        <row r="5205">
          <cell r="B5205" t="b">
            <v>1</v>
          </cell>
          <cell r="E5205" t="str">
            <v>Punta Arena</v>
          </cell>
          <cell r="H5205" t="str">
            <v>consulta_externa</v>
          </cell>
          <cell r="J5205" t="str">
            <v>muybueno</v>
          </cell>
          <cell r="K5205" t="str">
            <v>defsi</v>
          </cell>
        </row>
        <row r="5206">
          <cell r="B5206" t="b">
            <v>1</v>
          </cell>
          <cell r="E5206" t="str">
            <v>Punta Arena</v>
          </cell>
          <cell r="H5206" t="str">
            <v>consulta_externa</v>
          </cell>
          <cell r="J5206" t="str">
            <v>muybueno</v>
          </cell>
          <cell r="K5206" t="str">
            <v>defsi</v>
          </cell>
        </row>
        <row r="5207">
          <cell r="B5207" t="b">
            <v>1</v>
          </cell>
          <cell r="E5207" t="str">
            <v>Punta Arena</v>
          </cell>
          <cell r="H5207" t="str">
            <v>salud_oral</v>
          </cell>
          <cell r="J5207" t="str">
            <v>muybueno</v>
          </cell>
          <cell r="K5207" t="str">
            <v>defsi</v>
          </cell>
        </row>
        <row r="5208">
          <cell r="B5208" t="b">
            <v>1</v>
          </cell>
          <cell r="E5208" t="str">
            <v>Punta Arena</v>
          </cell>
          <cell r="H5208" t="str">
            <v>laboratorio</v>
          </cell>
          <cell r="J5208" t="str">
            <v>muybueno</v>
          </cell>
          <cell r="K5208" t="str">
            <v>defsi</v>
          </cell>
        </row>
        <row r="5209">
          <cell r="B5209" t="b">
            <v>1</v>
          </cell>
          <cell r="E5209" t="str">
            <v>Punta Arena</v>
          </cell>
          <cell r="H5209" t="str">
            <v>consulta_externa</v>
          </cell>
          <cell r="J5209" t="str">
            <v>muybueno</v>
          </cell>
          <cell r="K5209" t="str">
            <v>defsi</v>
          </cell>
        </row>
        <row r="5210">
          <cell r="B5210" t="b">
            <v>1</v>
          </cell>
          <cell r="E5210" t="str">
            <v>Punta Arena</v>
          </cell>
          <cell r="H5210" t="str">
            <v>salud_oral</v>
          </cell>
          <cell r="J5210" t="str">
            <v>muybueno</v>
          </cell>
          <cell r="K5210" t="str">
            <v>defsi</v>
          </cell>
        </row>
        <row r="5211">
          <cell r="B5211" t="b">
            <v>1</v>
          </cell>
          <cell r="E5211" t="str">
            <v>Punta Arena</v>
          </cell>
          <cell r="H5211" t="str">
            <v>consulta_externa</v>
          </cell>
          <cell r="J5211" t="str">
            <v>muybueno</v>
          </cell>
          <cell r="K5211" t="str">
            <v>defsi</v>
          </cell>
        </row>
        <row r="5212">
          <cell r="B5212" t="b">
            <v>1</v>
          </cell>
          <cell r="E5212" t="str">
            <v>Punta Arena</v>
          </cell>
          <cell r="H5212" t="str">
            <v>laboratorio</v>
          </cell>
          <cell r="J5212" t="str">
            <v>muybueno</v>
          </cell>
          <cell r="K5212" t="str">
            <v>defsi</v>
          </cell>
        </row>
        <row r="5213">
          <cell r="B5213" t="b">
            <v>1</v>
          </cell>
          <cell r="E5213" t="str">
            <v>Punta Arena</v>
          </cell>
          <cell r="H5213" t="str">
            <v>salud_oral</v>
          </cell>
          <cell r="J5213" t="str">
            <v>muybueno</v>
          </cell>
          <cell r="K5213" t="str">
            <v>defsi</v>
          </cell>
        </row>
        <row r="5214">
          <cell r="B5214" t="b">
            <v>1</v>
          </cell>
          <cell r="E5214" t="str">
            <v>Punta Arena</v>
          </cell>
          <cell r="H5214" t="str">
            <v>consulta_externa</v>
          </cell>
          <cell r="J5214" t="str">
            <v>muybueno</v>
          </cell>
          <cell r="K5214" t="str">
            <v>defsi</v>
          </cell>
        </row>
        <row r="5215">
          <cell r="B5215" t="b">
            <v>1</v>
          </cell>
          <cell r="E5215" t="str">
            <v>Punta Arena</v>
          </cell>
          <cell r="H5215" t="str">
            <v>laboratorio</v>
          </cell>
          <cell r="J5215" t="str">
            <v>muybueno</v>
          </cell>
          <cell r="K5215" t="str">
            <v>defsi</v>
          </cell>
        </row>
        <row r="5216">
          <cell r="B5216" t="b">
            <v>1</v>
          </cell>
          <cell r="E5216" t="str">
            <v>Gaviotas</v>
          </cell>
          <cell r="H5216" t="str">
            <v>consulta_externa</v>
          </cell>
          <cell r="J5216" t="str">
            <v>bueno</v>
          </cell>
          <cell r="K5216" t="str">
            <v>defsi</v>
          </cell>
        </row>
        <row r="5217">
          <cell r="B5217" t="b">
            <v>1</v>
          </cell>
          <cell r="E5217" t="str">
            <v>Gaviotas</v>
          </cell>
          <cell r="H5217" t="str">
            <v>salud_oral</v>
          </cell>
          <cell r="J5217" t="str">
            <v>bueno</v>
          </cell>
          <cell r="K5217" t="str">
            <v>defsi</v>
          </cell>
        </row>
        <row r="5218">
          <cell r="B5218" t="b">
            <v>1</v>
          </cell>
          <cell r="E5218" t="str">
            <v>Gaviotas</v>
          </cell>
          <cell r="H5218" t="str">
            <v>laboratorio</v>
          </cell>
          <cell r="J5218" t="str">
            <v>bueno</v>
          </cell>
          <cell r="K5218" t="str">
            <v>defsi</v>
          </cell>
        </row>
        <row r="5219">
          <cell r="B5219" t="b">
            <v>1</v>
          </cell>
          <cell r="E5219" t="str">
            <v>Gaviotas</v>
          </cell>
          <cell r="H5219" t="str">
            <v>consulta_externa</v>
          </cell>
          <cell r="J5219" t="str">
            <v>bueno</v>
          </cell>
          <cell r="K5219" t="str">
            <v>defsi</v>
          </cell>
        </row>
        <row r="5220">
          <cell r="B5220" t="b">
            <v>1</v>
          </cell>
          <cell r="E5220" t="str">
            <v>Gaviotas</v>
          </cell>
          <cell r="H5220" t="str">
            <v>salud_oral</v>
          </cell>
          <cell r="J5220" t="str">
            <v>bueno</v>
          </cell>
          <cell r="K5220" t="str">
            <v>defsi</v>
          </cell>
        </row>
        <row r="5221">
          <cell r="B5221" t="b">
            <v>1</v>
          </cell>
          <cell r="E5221" t="str">
            <v>Gaviotas</v>
          </cell>
          <cell r="H5221" t="str">
            <v>laboratorio</v>
          </cell>
          <cell r="J5221" t="str">
            <v>bueno</v>
          </cell>
          <cell r="K5221" t="str">
            <v>defsi</v>
          </cell>
        </row>
        <row r="5222">
          <cell r="B5222" t="b">
            <v>1</v>
          </cell>
          <cell r="E5222" t="str">
            <v>Blasdelezo</v>
          </cell>
          <cell r="H5222" t="str">
            <v>urgencia</v>
          </cell>
          <cell r="J5222" t="str">
            <v>bueno</v>
          </cell>
          <cell r="K5222" t="str">
            <v>probsi</v>
          </cell>
        </row>
        <row r="5223">
          <cell r="B5223" t="b">
            <v>1</v>
          </cell>
          <cell r="E5223" t="str">
            <v>Blasdelezo</v>
          </cell>
          <cell r="H5223" t="str">
            <v>urgencia</v>
          </cell>
          <cell r="J5223" t="str">
            <v>bueno</v>
          </cell>
          <cell r="K5223" t="str">
            <v>probsi</v>
          </cell>
        </row>
        <row r="5224">
          <cell r="B5224" t="b">
            <v>1</v>
          </cell>
          <cell r="E5224" t="str">
            <v>Blasdelezo</v>
          </cell>
          <cell r="H5224" t="str">
            <v>urgencia</v>
          </cell>
          <cell r="J5224" t="str">
            <v>bueno</v>
          </cell>
          <cell r="K5224" t="str">
            <v>probsi</v>
          </cell>
        </row>
        <row r="5225">
          <cell r="B5225" t="b">
            <v>1</v>
          </cell>
          <cell r="E5225" t="str">
            <v>Blasdelezo</v>
          </cell>
          <cell r="H5225" t="str">
            <v>urgencia</v>
          </cell>
          <cell r="J5225" t="str">
            <v>bueno</v>
          </cell>
          <cell r="K5225" t="str">
            <v>probsi</v>
          </cell>
        </row>
        <row r="5226">
          <cell r="B5226" t="b">
            <v>0</v>
          </cell>
          <cell r="E5226" t="str">
            <v>Blasdelezo</v>
          </cell>
          <cell r="H5226" t="str">
            <v>urgencia</v>
          </cell>
          <cell r="J5226" t="str">
            <v>regular</v>
          </cell>
          <cell r="K5226" t="str">
            <v>probsi</v>
          </cell>
        </row>
        <row r="5227">
          <cell r="B5227" t="b">
            <v>1</v>
          </cell>
          <cell r="E5227" t="str">
            <v>Blasdelezo</v>
          </cell>
          <cell r="H5227" t="str">
            <v>urgencia</v>
          </cell>
          <cell r="J5227" t="str">
            <v>bueno</v>
          </cell>
          <cell r="K5227" t="str">
            <v>probsi</v>
          </cell>
        </row>
        <row r="5228">
          <cell r="B5228" t="b">
            <v>1</v>
          </cell>
          <cell r="E5228" t="str">
            <v>Blasdelezo</v>
          </cell>
          <cell r="H5228" t="str">
            <v>urgencia</v>
          </cell>
          <cell r="J5228" t="str">
            <v>bueno</v>
          </cell>
          <cell r="K5228" t="str">
            <v>probsi</v>
          </cell>
        </row>
        <row r="5229">
          <cell r="B5229" t="b">
            <v>1</v>
          </cell>
          <cell r="E5229" t="str">
            <v>Blasdelezo</v>
          </cell>
          <cell r="H5229" t="str">
            <v>urgencia</v>
          </cell>
          <cell r="J5229" t="str">
            <v>bueno</v>
          </cell>
          <cell r="K5229" t="str">
            <v>probsi</v>
          </cell>
        </row>
        <row r="5230">
          <cell r="B5230" t="b">
            <v>1</v>
          </cell>
          <cell r="E5230" t="str">
            <v>Blasdelezo</v>
          </cell>
          <cell r="H5230" t="str">
            <v>urgencia</v>
          </cell>
          <cell r="J5230" t="str">
            <v>bueno</v>
          </cell>
          <cell r="K5230" t="str">
            <v>probsi</v>
          </cell>
        </row>
        <row r="5231">
          <cell r="B5231" t="b">
            <v>1</v>
          </cell>
          <cell r="E5231" t="str">
            <v>Blasdelezo</v>
          </cell>
          <cell r="H5231" t="str">
            <v>urgencia</v>
          </cell>
          <cell r="J5231" t="str">
            <v>bueno</v>
          </cell>
          <cell r="K5231" t="str">
            <v>probsi</v>
          </cell>
        </row>
        <row r="5232">
          <cell r="B5232" t="b">
            <v>1</v>
          </cell>
          <cell r="E5232" t="str">
            <v>Blasdelezo</v>
          </cell>
          <cell r="H5232" t="str">
            <v>urgencia</v>
          </cell>
          <cell r="J5232" t="str">
            <v>bueno</v>
          </cell>
          <cell r="K5232" t="str">
            <v>probsi</v>
          </cell>
        </row>
        <row r="5233">
          <cell r="B5233" t="b">
            <v>1</v>
          </cell>
          <cell r="E5233" t="str">
            <v>Blasdelezo</v>
          </cell>
          <cell r="H5233" t="str">
            <v>urgencia</v>
          </cell>
          <cell r="J5233" t="str">
            <v>bueno</v>
          </cell>
          <cell r="K5233" t="str">
            <v>probsi</v>
          </cell>
        </row>
        <row r="5234">
          <cell r="B5234" t="b">
            <v>1</v>
          </cell>
          <cell r="E5234" t="str">
            <v>Gaviotas</v>
          </cell>
          <cell r="H5234" t="str">
            <v>consulta_externa</v>
          </cell>
          <cell r="J5234" t="str">
            <v>bueno</v>
          </cell>
          <cell r="K5234" t="str">
            <v>defsi</v>
          </cell>
        </row>
        <row r="5235">
          <cell r="B5235" t="b">
            <v>1</v>
          </cell>
          <cell r="E5235" t="str">
            <v>Gaviotas</v>
          </cell>
          <cell r="H5235" t="str">
            <v>salud_oral</v>
          </cell>
          <cell r="J5235" t="str">
            <v>bueno</v>
          </cell>
          <cell r="K5235" t="str">
            <v>defsi</v>
          </cell>
        </row>
        <row r="5236">
          <cell r="B5236" t="b">
            <v>1</v>
          </cell>
          <cell r="E5236" t="str">
            <v>Gaviotas</v>
          </cell>
          <cell r="H5236" t="str">
            <v>laboratorio</v>
          </cell>
          <cell r="J5236" t="str">
            <v>bueno</v>
          </cell>
          <cell r="K5236" t="str">
            <v>defsi</v>
          </cell>
        </row>
        <row r="5237">
          <cell r="B5237" t="b">
            <v>1</v>
          </cell>
          <cell r="E5237" t="str">
            <v>Gaviotas</v>
          </cell>
          <cell r="H5237" t="str">
            <v>consulta_externa</v>
          </cell>
          <cell r="J5237" t="str">
            <v>bueno</v>
          </cell>
          <cell r="K5237" t="str">
            <v>defsi</v>
          </cell>
        </row>
        <row r="5238">
          <cell r="B5238" t="b">
            <v>1</v>
          </cell>
          <cell r="E5238" t="str">
            <v>Gaviotas</v>
          </cell>
          <cell r="H5238" t="str">
            <v>salud_oral</v>
          </cell>
          <cell r="J5238" t="str">
            <v>bueno</v>
          </cell>
          <cell r="K5238" t="str">
            <v>defsi</v>
          </cell>
        </row>
        <row r="5239">
          <cell r="B5239" t="b">
            <v>1</v>
          </cell>
          <cell r="E5239" t="str">
            <v>Gaviotas</v>
          </cell>
          <cell r="H5239" t="str">
            <v>laboratorio</v>
          </cell>
          <cell r="J5239" t="str">
            <v>bueno</v>
          </cell>
          <cell r="K5239" t="str">
            <v>defsi</v>
          </cell>
        </row>
        <row r="5240">
          <cell r="B5240" t="b">
            <v>1</v>
          </cell>
          <cell r="E5240" t="str">
            <v>Blasdelezo</v>
          </cell>
          <cell r="H5240" t="str">
            <v>salud_oral</v>
          </cell>
          <cell r="J5240" t="str">
            <v>bueno</v>
          </cell>
          <cell r="K5240" t="str">
            <v>probsi</v>
          </cell>
        </row>
        <row r="5241">
          <cell r="B5241" t="b">
            <v>1</v>
          </cell>
          <cell r="E5241" t="str">
            <v>Blasdelezo</v>
          </cell>
          <cell r="H5241" t="str">
            <v>salud_oral</v>
          </cell>
          <cell r="J5241" t="str">
            <v>bueno</v>
          </cell>
          <cell r="K5241" t="str">
            <v>probsi</v>
          </cell>
        </row>
        <row r="5242">
          <cell r="B5242" t="b">
            <v>1</v>
          </cell>
          <cell r="E5242" t="str">
            <v>Blasdelezo</v>
          </cell>
          <cell r="H5242" t="str">
            <v>salud_oral</v>
          </cell>
          <cell r="J5242" t="str">
            <v>bueno</v>
          </cell>
          <cell r="K5242" t="str">
            <v>probsi</v>
          </cell>
        </row>
        <row r="5243">
          <cell r="B5243" t="b">
            <v>1</v>
          </cell>
          <cell r="E5243" t="str">
            <v>Blasdelezo</v>
          </cell>
          <cell r="H5243" t="str">
            <v>salud_oral</v>
          </cell>
          <cell r="J5243" t="str">
            <v>bueno</v>
          </cell>
          <cell r="K5243" t="str">
            <v>probsi</v>
          </cell>
        </row>
        <row r="5244">
          <cell r="B5244" t="b">
            <v>1</v>
          </cell>
          <cell r="E5244" t="str">
            <v>Blasdelezo</v>
          </cell>
          <cell r="H5244" t="str">
            <v>salud_oral</v>
          </cell>
          <cell r="J5244" t="str">
            <v>bueno</v>
          </cell>
          <cell r="K5244" t="str">
            <v>probsi</v>
          </cell>
        </row>
        <row r="5245">
          <cell r="B5245" t="b">
            <v>1</v>
          </cell>
          <cell r="E5245" t="str">
            <v>Blasdelezo</v>
          </cell>
          <cell r="H5245" t="str">
            <v>laboratorio</v>
          </cell>
          <cell r="J5245" t="str">
            <v>bueno</v>
          </cell>
          <cell r="K5245" t="str">
            <v>probsi</v>
          </cell>
        </row>
        <row r="5246">
          <cell r="B5246" t="b">
            <v>0</v>
          </cell>
          <cell r="E5246" t="str">
            <v>Blasdelezo</v>
          </cell>
          <cell r="H5246" t="str">
            <v>laboratorio</v>
          </cell>
          <cell r="J5246" t="str">
            <v>regular</v>
          </cell>
          <cell r="K5246" t="str">
            <v>probsi</v>
          </cell>
        </row>
        <row r="5247">
          <cell r="B5247" t="b">
            <v>0</v>
          </cell>
          <cell r="E5247" t="str">
            <v>Blasdelezo</v>
          </cell>
          <cell r="H5247" t="str">
            <v>laboratorio</v>
          </cell>
          <cell r="J5247" t="str">
            <v>regular</v>
          </cell>
          <cell r="K5247" t="str">
            <v>probsi</v>
          </cell>
        </row>
        <row r="5248">
          <cell r="B5248" t="b">
            <v>1</v>
          </cell>
          <cell r="E5248" t="str">
            <v>Blasdelezo</v>
          </cell>
          <cell r="H5248" t="str">
            <v>laboratorio</v>
          </cell>
          <cell r="J5248" t="str">
            <v>bueno</v>
          </cell>
          <cell r="K5248" t="str">
            <v>probsi</v>
          </cell>
        </row>
        <row r="5249">
          <cell r="B5249" t="b">
            <v>1</v>
          </cell>
          <cell r="E5249" t="str">
            <v>Blasdelezo</v>
          </cell>
          <cell r="H5249" t="str">
            <v>laboratorio</v>
          </cell>
          <cell r="J5249" t="str">
            <v>bueno</v>
          </cell>
          <cell r="K5249" t="str">
            <v>probsi</v>
          </cell>
        </row>
        <row r="5250">
          <cell r="B5250" t="b">
            <v>0</v>
          </cell>
          <cell r="E5250" t="str">
            <v>Blasdelezo</v>
          </cell>
          <cell r="H5250" t="str">
            <v>medicina_interna</v>
          </cell>
          <cell r="J5250" t="str">
            <v>regular</v>
          </cell>
          <cell r="K5250" t="str">
            <v>probsi</v>
          </cell>
        </row>
        <row r="5251">
          <cell r="B5251" t="b">
            <v>1</v>
          </cell>
          <cell r="E5251" t="str">
            <v>Blasdelezo</v>
          </cell>
          <cell r="H5251" t="str">
            <v>medicina_interna</v>
          </cell>
          <cell r="J5251" t="str">
            <v>bueno</v>
          </cell>
          <cell r="K5251" t="str">
            <v>probsi</v>
          </cell>
        </row>
        <row r="5252">
          <cell r="B5252" t="b">
            <v>1</v>
          </cell>
          <cell r="E5252" t="str">
            <v>Blasdelezo</v>
          </cell>
          <cell r="H5252" t="str">
            <v>medicina_interna</v>
          </cell>
          <cell r="J5252" t="str">
            <v>bueno</v>
          </cell>
          <cell r="K5252" t="str">
            <v>probsi</v>
          </cell>
        </row>
        <row r="5253">
          <cell r="B5253" t="b">
            <v>1</v>
          </cell>
          <cell r="E5253" t="str">
            <v>Blasdelezo</v>
          </cell>
          <cell r="H5253" t="str">
            <v>medicina_interna</v>
          </cell>
          <cell r="J5253" t="str">
            <v>bueno</v>
          </cell>
          <cell r="K5253" t="str">
            <v>probsi</v>
          </cell>
        </row>
        <row r="5254">
          <cell r="B5254" t="b">
            <v>1</v>
          </cell>
          <cell r="E5254" t="str">
            <v>Blasdelezo</v>
          </cell>
          <cell r="H5254" t="str">
            <v>medicina_interna</v>
          </cell>
          <cell r="J5254" t="str">
            <v>bueno</v>
          </cell>
          <cell r="K5254" t="str">
            <v>probsi</v>
          </cell>
        </row>
        <row r="5255">
          <cell r="B5255" t="b">
            <v>1</v>
          </cell>
          <cell r="E5255" t="str">
            <v>Blasdelezo</v>
          </cell>
          <cell r="H5255" t="str">
            <v>medicina_interna</v>
          </cell>
          <cell r="J5255" t="str">
            <v>bueno</v>
          </cell>
          <cell r="K5255" t="str">
            <v>probsi</v>
          </cell>
        </row>
        <row r="5256">
          <cell r="B5256" t="b">
            <v>1</v>
          </cell>
          <cell r="E5256" t="str">
            <v>Gaviotas</v>
          </cell>
          <cell r="H5256" t="str">
            <v>consulta_externa</v>
          </cell>
          <cell r="J5256" t="str">
            <v>bueno</v>
          </cell>
          <cell r="K5256" t="str">
            <v>defno</v>
          </cell>
        </row>
        <row r="5257">
          <cell r="B5257" t="b">
            <v>1</v>
          </cell>
          <cell r="E5257" t="str">
            <v>Gaviotas</v>
          </cell>
          <cell r="H5257" t="str">
            <v>salud_oral</v>
          </cell>
          <cell r="J5257" t="str">
            <v>bueno</v>
          </cell>
          <cell r="K5257" t="str">
            <v>defsi</v>
          </cell>
        </row>
        <row r="5258">
          <cell r="B5258" t="b">
            <v>1</v>
          </cell>
          <cell r="E5258" t="str">
            <v>Gaviotas</v>
          </cell>
          <cell r="H5258" t="str">
            <v>laboratorio</v>
          </cell>
          <cell r="J5258" t="str">
            <v>bueno</v>
          </cell>
          <cell r="K5258" t="str">
            <v>defsi</v>
          </cell>
        </row>
        <row r="5259">
          <cell r="B5259" t="b">
            <v>1</v>
          </cell>
          <cell r="E5259" t="str">
            <v>Gaviotas</v>
          </cell>
          <cell r="H5259" t="str">
            <v>consulta_externa</v>
          </cell>
          <cell r="J5259" t="str">
            <v>bueno</v>
          </cell>
          <cell r="K5259" t="str">
            <v>defsi</v>
          </cell>
        </row>
        <row r="5260">
          <cell r="B5260" t="b">
            <v>1</v>
          </cell>
          <cell r="E5260" t="str">
            <v>Gaviotas</v>
          </cell>
          <cell r="H5260" t="str">
            <v>salud_oral</v>
          </cell>
          <cell r="J5260" t="str">
            <v>bueno</v>
          </cell>
          <cell r="K5260" t="str">
            <v>defsi</v>
          </cell>
        </row>
        <row r="5261">
          <cell r="B5261" t="b">
            <v>1</v>
          </cell>
          <cell r="E5261" t="str">
            <v>Gaviotas</v>
          </cell>
          <cell r="H5261" t="str">
            <v>laboratorio</v>
          </cell>
          <cell r="J5261" t="str">
            <v>bueno</v>
          </cell>
          <cell r="K5261" t="str">
            <v>defsi</v>
          </cell>
        </row>
        <row r="5262">
          <cell r="B5262" t="b">
            <v>1</v>
          </cell>
          <cell r="E5262" t="str">
            <v>Gaviotas</v>
          </cell>
          <cell r="H5262" t="str">
            <v>consulta_externa</v>
          </cell>
          <cell r="J5262" t="str">
            <v>bueno</v>
          </cell>
          <cell r="K5262" t="str">
            <v>defsi</v>
          </cell>
        </row>
        <row r="5263">
          <cell r="B5263" t="b">
            <v>1</v>
          </cell>
          <cell r="E5263" t="str">
            <v>Gaviotas</v>
          </cell>
          <cell r="H5263" t="str">
            <v>salud_oral</v>
          </cell>
          <cell r="J5263" t="str">
            <v>bueno</v>
          </cell>
          <cell r="K5263" t="str">
            <v>defsi</v>
          </cell>
        </row>
        <row r="5264">
          <cell r="B5264" t="b">
            <v>1</v>
          </cell>
          <cell r="E5264" t="str">
            <v>Gaviotas</v>
          </cell>
          <cell r="H5264" t="str">
            <v>laboratorio</v>
          </cell>
          <cell r="J5264" t="str">
            <v>bueno</v>
          </cell>
          <cell r="K5264" t="str">
            <v>defsi</v>
          </cell>
        </row>
        <row r="5265">
          <cell r="B5265" t="b">
            <v>1</v>
          </cell>
          <cell r="E5265" t="str">
            <v>Esperanza</v>
          </cell>
          <cell r="H5265" t="str">
            <v>salud_oral</v>
          </cell>
          <cell r="J5265" t="str">
            <v>bueno</v>
          </cell>
          <cell r="K5265" t="str">
            <v>defsi</v>
          </cell>
        </row>
        <row r="5266">
          <cell r="B5266" t="b">
            <v>1</v>
          </cell>
          <cell r="E5266" t="str">
            <v>Esperanza</v>
          </cell>
          <cell r="H5266" t="str">
            <v>salud_oral</v>
          </cell>
          <cell r="J5266" t="str">
            <v>bueno</v>
          </cell>
          <cell r="K5266" t="str">
            <v>defsi</v>
          </cell>
        </row>
        <row r="5267">
          <cell r="B5267" t="b">
            <v>1</v>
          </cell>
          <cell r="E5267" t="str">
            <v>Gaviotas</v>
          </cell>
          <cell r="H5267" t="str">
            <v>consulta_externa</v>
          </cell>
          <cell r="J5267" t="str">
            <v>bueno</v>
          </cell>
          <cell r="K5267" t="str">
            <v>defsi</v>
          </cell>
        </row>
        <row r="5268">
          <cell r="B5268" t="b">
            <v>1</v>
          </cell>
          <cell r="E5268" t="str">
            <v>Esperanza</v>
          </cell>
          <cell r="H5268" t="str">
            <v>electros</v>
          </cell>
          <cell r="J5268" t="str">
            <v>bueno</v>
          </cell>
          <cell r="K5268" t="str">
            <v>defsi</v>
          </cell>
        </row>
        <row r="5269">
          <cell r="B5269" t="b">
            <v>1</v>
          </cell>
          <cell r="E5269" t="str">
            <v>Gaviotas</v>
          </cell>
          <cell r="H5269" t="str">
            <v>salud_oral</v>
          </cell>
          <cell r="J5269" t="str">
            <v>bueno</v>
          </cell>
          <cell r="K5269" t="str">
            <v>defsi</v>
          </cell>
        </row>
        <row r="5270">
          <cell r="B5270" t="b">
            <v>1</v>
          </cell>
          <cell r="E5270" t="str">
            <v>Esperanza</v>
          </cell>
          <cell r="H5270" t="str">
            <v>electros</v>
          </cell>
          <cell r="J5270" t="str">
            <v>bueno</v>
          </cell>
          <cell r="K5270" t="str">
            <v>defsi</v>
          </cell>
        </row>
        <row r="5271">
          <cell r="B5271" t="b">
            <v>1</v>
          </cell>
          <cell r="E5271" t="str">
            <v>Esperanza</v>
          </cell>
          <cell r="H5271" t="str">
            <v>electros</v>
          </cell>
          <cell r="J5271" t="str">
            <v>muybueno</v>
          </cell>
          <cell r="K5271" t="str">
            <v>defsi</v>
          </cell>
        </row>
        <row r="5272">
          <cell r="B5272" t="b">
            <v>1</v>
          </cell>
          <cell r="E5272" t="str">
            <v>Gaviotas</v>
          </cell>
          <cell r="H5272" t="str">
            <v>laboratorio</v>
          </cell>
          <cell r="J5272" t="str">
            <v>bueno</v>
          </cell>
          <cell r="K5272" t="str">
            <v>defsi</v>
          </cell>
        </row>
        <row r="5273">
          <cell r="B5273" t="b">
            <v>1</v>
          </cell>
          <cell r="E5273" t="str">
            <v>Esperanza</v>
          </cell>
          <cell r="H5273" t="str">
            <v>salud_oral</v>
          </cell>
          <cell r="J5273" t="str">
            <v>bueno</v>
          </cell>
          <cell r="K5273" t="str">
            <v>defsi</v>
          </cell>
        </row>
        <row r="5274">
          <cell r="B5274" t="b">
            <v>1</v>
          </cell>
          <cell r="E5274" t="str">
            <v>Esperanza</v>
          </cell>
          <cell r="H5274" t="str">
            <v>salud_oral</v>
          </cell>
          <cell r="J5274" t="str">
            <v>bueno</v>
          </cell>
          <cell r="K5274" t="str">
            <v>defsi</v>
          </cell>
        </row>
        <row r="5275">
          <cell r="B5275" t="b">
            <v>1</v>
          </cell>
          <cell r="E5275" t="str">
            <v>Esperanza</v>
          </cell>
          <cell r="H5275" t="str">
            <v>salud_oral</v>
          </cell>
          <cell r="J5275" t="str">
            <v>bueno</v>
          </cell>
          <cell r="K5275" t="str">
            <v>defsi</v>
          </cell>
        </row>
        <row r="5276">
          <cell r="B5276" t="b">
            <v>1</v>
          </cell>
          <cell r="E5276" t="str">
            <v>Gaviotas</v>
          </cell>
          <cell r="H5276" t="str">
            <v>consulta_externa</v>
          </cell>
          <cell r="J5276" t="str">
            <v>bueno</v>
          </cell>
          <cell r="K5276" t="str">
            <v>defsi</v>
          </cell>
        </row>
        <row r="5277">
          <cell r="B5277" t="b">
            <v>1</v>
          </cell>
          <cell r="E5277" t="str">
            <v>Gaviotas</v>
          </cell>
          <cell r="H5277" t="str">
            <v>salud_oral</v>
          </cell>
          <cell r="J5277" t="str">
            <v>bueno</v>
          </cell>
          <cell r="K5277" t="str">
            <v>defsi</v>
          </cell>
        </row>
        <row r="5278">
          <cell r="B5278" t="b">
            <v>1</v>
          </cell>
          <cell r="E5278" t="str">
            <v>Esperanza</v>
          </cell>
          <cell r="H5278" t="str">
            <v>salud_oral</v>
          </cell>
          <cell r="J5278" t="str">
            <v>bueno</v>
          </cell>
          <cell r="K5278" t="str">
            <v>defsi</v>
          </cell>
        </row>
        <row r="5279">
          <cell r="B5279" t="b">
            <v>1</v>
          </cell>
          <cell r="E5279" t="str">
            <v>Gaviotas</v>
          </cell>
          <cell r="H5279" t="str">
            <v>laboratorio</v>
          </cell>
          <cell r="J5279" t="str">
            <v>bueno</v>
          </cell>
          <cell r="K5279" t="str">
            <v>defsi</v>
          </cell>
        </row>
        <row r="5280">
          <cell r="B5280" t="b">
            <v>0</v>
          </cell>
          <cell r="E5280" t="str">
            <v>Esperanza</v>
          </cell>
          <cell r="H5280" t="str">
            <v>salud_oral</v>
          </cell>
          <cell r="J5280" t="str">
            <v>regular</v>
          </cell>
          <cell r="K5280" t="str">
            <v>defsi</v>
          </cell>
        </row>
        <row r="5281">
          <cell r="B5281" t="b">
            <v>0</v>
          </cell>
          <cell r="E5281" t="str">
            <v>Esperanza</v>
          </cell>
          <cell r="H5281" t="str">
            <v>urgencia</v>
          </cell>
          <cell r="J5281" t="str">
            <v>regular</v>
          </cell>
          <cell r="K5281" t="str">
            <v>probsi</v>
          </cell>
        </row>
        <row r="5282">
          <cell r="B5282" t="b">
            <v>1</v>
          </cell>
          <cell r="E5282" t="str">
            <v>Esperanza</v>
          </cell>
          <cell r="H5282" t="str">
            <v>urgencia</v>
          </cell>
          <cell r="J5282" t="str">
            <v>bueno</v>
          </cell>
          <cell r="K5282" t="str">
            <v>defsi</v>
          </cell>
        </row>
        <row r="5283">
          <cell r="B5283" t="b">
            <v>0</v>
          </cell>
          <cell r="E5283" t="str">
            <v>Blasdelezo</v>
          </cell>
          <cell r="H5283" t="str">
            <v>salud_oral</v>
          </cell>
          <cell r="J5283" t="str">
            <v>regular</v>
          </cell>
          <cell r="K5283" t="str">
            <v>probsi</v>
          </cell>
        </row>
        <row r="5284">
          <cell r="B5284" t="b">
            <v>1</v>
          </cell>
          <cell r="E5284" t="str">
            <v>Blasdelezo</v>
          </cell>
          <cell r="H5284" t="str">
            <v>salud_oral</v>
          </cell>
          <cell r="J5284" t="str">
            <v>bueno</v>
          </cell>
          <cell r="K5284" t="str">
            <v>probsi</v>
          </cell>
        </row>
        <row r="5285">
          <cell r="B5285" t="b">
            <v>1</v>
          </cell>
          <cell r="E5285" t="str">
            <v>Blasdelezo</v>
          </cell>
          <cell r="H5285" t="str">
            <v>salud_oral</v>
          </cell>
          <cell r="J5285" t="str">
            <v>bueno</v>
          </cell>
          <cell r="K5285" t="str">
            <v>probsi</v>
          </cell>
        </row>
        <row r="5286">
          <cell r="B5286" t="b">
            <v>1</v>
          </cell>
          <cell r="E5286" t="str">
            <v>Blasdelezo</v>
          </cell>
          <cell r="H5286" t="str">
            <v>salud_oral</v>
          </cell>
          <cell r="J5286" t="str">
            <v>bueno</v>
          </cell>
          <cell r="K5286" t="str">
            <v>probsi</v>
          </cell>
        </row>
        <row r="5287">
          <cell r="B5287" t="b">
            <v>1</v>
          </cell>
          <cell r="E5287" t="str">
            <v>Blasdelezo</v>
          </cell>
          <cell r="H5287" t="str">
            <v>salud_oral</v>
          </cell>
          <cell r="J5287" t="str">
            <v>bueno</v>
          </cell>
          <cell r="K5287" t="str">
            <v>probsi</v>
          </cell>
        </row>
        <row r="5288">
          <cell r="B5288" t="b">
            <v>1</v>
          </cell>
          <cell r="E5288" t="str">
            <v>Blasdelezo</v>
          </cell>
          <cell r="H5288" t="str">
            <v>laboratorio</v>
          </cell>
          <cell r="J5288" t="str">
            <v>bueno</v>
          </cell>
          <cell r="K5288" t="str">
            <v>probsi</v>
          </cell>
        </row>
        <row r="5289">
          <cell r="B5289" t="b">
            <v>1</v>
          </cell>
          <cell r="E5289" t="str">
            <v>Blasdelezo</v>
          </cell>
          <cell r="H5289" t="str">
            <v>laboratorio</v>
          </cell>
          <cell r="J5289" t="str">
            <v>bueno</v>
          </cell>
          <cell r="K5289" t="str">
            <v>probsi</v>
          </cell>
        </row>
        <row r="5290">
          <cell r="B5290" t="b">
            <v>0</v>
          </cell>
          <cell r="E5290" t="str">
            <v>Blasdelezo</v>
          </cell>
          <cell r="H5290" t="str">
            <v>laboratorio</v>
          </cell>
          <cell r="J5290" t="str">
            <v>regular</v>
          </cell>
          <cell r="K5290" t="str">
            <v>probsi</v>
          </cell>
        </row>
        <row r="5291">
          <cell r="B5291" t="b">
            <v>0</v>
          </cell>
          <cell r="E5291" t="str">
            <v>Blasdelezo</v>
          </cell>
          <cell r="H5291" t="str">
            <v>laboratorio</v>
          </cell>
          <cell r="J5291" t="str">
            <v>regular</v>
          </cell>
          <cell r="K5291" t="str">
            <v>probsi</v>
          </cell>
        </row>
        <row r="5292">
          <cell r="B5292" t="b">
            <v>0</v>
          </cell>
          <cell r="E5292" t="str">
            <v>Blasdelezo</v>
          </cell>
          <cell r="H5292" t="str">
            <v>laboratorio</v>
          </cell>
          <cell r="J5292" t="str">
            <v>regular</v>
          </cell>
          <cell r="K5292" t="str">
            <v>probsi</v>
          </cell>
        </row>
        <row r="5293">
          <cell r="B5293" t="b">
            <v>1</v>
          </cell>
          <cell r="E5293" t="str">
            <v>Gaviotas</v>
          </cell>
          <cell r="H5293" t="str">
            <v>consulta_externa</v>
          </cell>
          <cell r="J5293" t="str">
            <v>bueno</v>
          </cell>
          <cell r="K5293" t="str">
            <v>defsi</v>
          </cell>
        </row>
        <row r="5294">
          <cell r="B5294" t="b">
            <v>0</v>
          </cell>
          <cell r="E5294" t="str">
            <v>Blasdelezo</v>
          </cell>
          <cell r="H5294" t="str">
            <v>urgencia</v>
          </cell>
          <cell r="J5294" t="str">
            <v>regular</v>
          </cell>
          <cell r="K5294" t="str">
            <v>probsi</v>
          </cell>
        </row>
        <row r="5295">
          <cell r="B5295" t="b">
            <v>0</v>
          </cell>
          <cell r="E5295" t="str">
            <v>Blasdelezo</v>
          </cell>
          <cell r="H5295" t="str">
            <v>urgencia</v>
          </cell>
          <cell r="J5295" t="str">
            <v>regular</v>
          </cell>
          <cell r="K5295" t="str">
            <v>probsi</v>
          </cell>
        </row>
        <row r="5296">
          <cell r="B5296" t="b">
            <v>0</v>
          </cell>
          <cell r="E5296" t="str">
            <v>Blasdelezo</v>
          </cell>
          <cell r="H5296" t="str">
            <v>urgencia</v>
          </cell>
          <cell r="J5296" t="str">
            <v>regular</v>
          </cell>
          <cell r="K5296" t="str">
            <v>probsi</v>
          </cell>
        </row>
        <row r="5297">
          <cell r="B5297" t="b">
            <v>1</v>
          </cell>
          <cell r="E5297" t="str">
            <v>Blasdelezo</v>
          </cell>
          <cell r="H5297" t="str">
            <v>urgencia</v>
          </cell>
          <cell r="J5297" t="str">
            <v>bueno</v>
          </cell>
          <cell r="K5297" t="str">
            <v>probsi</v>
          </cell>
        </row>
        <row r="5298">
          <cell r="B5298" t="b">
            <v>1</v>
          </cell>
          <cell r="E5298" t="str">
            <v>Blasdelezo</v>
          </cell>
          <cell r="H5298" t="str">
            <v>urgencia</v>
          </cell>
          <cell r="J5298" t="str">
            <v>bueno</v>
          </cell>
          <cell r="K5298" t="str">
            <v>probsi</v>
          </cell>
        </row>
        <row r="5299">
          <cell r="B5299" t="b">
            <v>1</v>
          </cell>
          <cell r="E5299" t="str">
            <v>Gaviotas</v>
          </cell>
          <cell r="H5299" t="str">
            <v>salud_oral</v>
          </cell>
          <cell r="J5299" t="str">
            <v>bueno</v>
          </cell>
          <cell r="K5299" t="str">
            <v>defsi</v>
          </cell>
        </row>
        <row r="5300">
          <cell r="B5300" t="b">
            <v>1</v>
          </cell>
          <cell r="E5300" t="str">
            <v>Blasdelezo</v>
          </cell>
          <cell r="H5300" t="str">
            <v>urgencia</v>
          </cell>
          <cell r="J5300" t="str">
            <v>bueno</v>
          </cell>
          <cell r="K5300" t="str">
            <v>probsi</v>
          </cell>
        </row>
        <row r="5301">
          <cell r="B5301" t="b">
            <v>1</v>
          </cell>
          <cell r="E5301" t="str">
            <v>Blasdelezo</v>
          </cell>
          <cell r="H5301" t="str">
            <v>medicina_interna</v>
          </cell>
          <cell r="J5301" t="str">
            <v>bueno</v>
          </cell>
          <cell r="K5301" t="str">
            <v>probsi</v>
          </cell>
        </row>
        <row r="5302">
          <cell r="B5302" t="b">
            <v>1</v>
          </cell>
          <cell r="E5302" t="str">
            <v>Blasdelezo</v>
          </cell>
          <cell r="H5302" t="str">
            <v>medicina_interna</v>
          </cell>
          <cell r="J5302" t="str">
            <v>bueno</v>
          </cell>
          <cell r="K5302" t="str">
            <v>probsi</v>
          </cell>
        </row>
        <row r="5303">
          <cell r="B5303" t="b">
            <v>1</v>
          </cell>
          <cell r="E5303" t="str">
            <v>Blasdelezo</v>
          </cell>
          <cell r="H5303" t="str">
            <v>medicina_interna</v>
          </cell>
          <cell r="J5303" t="str">
            <v>bueno</v>
          </cell>
          <cell r="K5303" t="str">
            <v>probsi</v>
          </cell>
        </row>
        <row r="5304">
          <cell r="B5304" t="b">
            <v>1</v>
          </cell>
          <cell r="E5304" t="str">
            <v>Blasdelezo</v>
          </cell>
          <cell r="H5304" t="str">
            <v>medicina_interna</v>
          </cell>
          <cell r="J5304" t="str">
            <v>bueno</v>
          </cell>
          <cell r="K5304" t="str">
            <v>probsi</v>
          </cell>
        </row>
        <row r="5305">
          <cell r="B5305" t="b">
            <v>1</v>
          </cell>
          <cell r="E5305" t="str">
            <v>Blasdelezo</v>
          </cell>
          <cell r="H5305" t="str">
            <v>medicina_interna</v>
          </cell>
          <cell r="J5305" t="str">
            <v>bueno</v>
          </cell>
          <cell r="K5305" t="str">
            <v>probsi</v>
          </cell>
        </row>
        <row r="5306">
          <cell r="B5306" t="b">
            <v>1</v>
          </cell>
          <cell r="E5306" t="str">
            <v>Gaviotas</v>
          </cell>
          <cell r="H5306" t="str">
            <v>laboratorio</v>
          </cell>
          <cell r="J5306" t="str">
            <v>bueno</v>
          </cell>
          <cell r="K5306" t="str">
            <v>defsi</v>
          </cell>
        </row>
        <row r="5307">
          <cell r="B5307" t="b">
            <v>1</v>
          </cell>
          <cell r="E5307" t="str">
            <v>Gaviotas</v>
          </cell>
          <cell r="H5307" t="str">
            <v>consulta_externa</v>
          </cell>
          <cell r="J5307" t="str">
            <v>bueno</v>
          </cell>
          <cell r="K5307" t="str">
            <v>defsi</v>
          </cell>
        </row>
        <row r="5308">
          <cell r="B5308" t="b">
            <v>1</v>
          </cell>
          <cell r="E5308" t="str">
            <v>Gaviotas</v>
          </cell>
          <cell r="H5308" t="str">
            <v>salud_oral</v>
          </cell>
          <cell r="J5308" t="str">
            <v>bueno</v>
          </cell>
          <cell r="K5308" t="str">
            <v>defsi</v>
          </cell>
        </row>
        <row r="5309">
          <cell r="B5309" t="b">
            <v>1</v>
          </cell>
          <cell r="E5309" t="str">
            <v>Gaviotas</v>
          </cell>
          <cell r="H5309" t="str">
            <v>laboratorio</v>
          </cell>
          <cell r="J5309" t="str">
            <v>bueno</v>
          </cell>
          <cell r="K5309" t="str">
            <v>defsi</v>
          </cell>
        </row>
        <row r="5310">
          <cell r="B5310" t="b">
            <v>1</v>
          </cell>
          <cell r="E5310" t="str">
            <v>Esperanza</v>
          </cell>
          <cell r="H5310" t="str">
            <v>urgencia</v>
          </cell>
          <cell r="J5310" t="str">
            <v>bueno</v>
          </cell>
          <cell r="K5310" t="str">
            <v>defsi</v>
          </cell>
        </row>
        <row r="5311">
          <cell r="B5311" t="b">
            <v>0</v>
          </cell>
          <cell r="E5311" t="str">
            <v>Esperanza</v>
          </cell>
          <cell r="H5311" t="str">
            <v>urgencia</v>
          </cell>
          <cell r="J5311" t="str">
            <v>regular</v>
          </cell>
          <cell r="K5311" t="str">
            <v>probsi</v>
          </cell>
        </row>
        <row r="5312">
          <cell r="B5312" t="b">
            <v>1</v>
          </cell>
          <cell r="E5312" t="str">
            <v>Esperanza</v>
          </cell>
          <cell r="H5312" t="str">
            <v>urgencia</v>
          </cell>
          <cell r="J5312" t="str">
            <v>bueno</v>
          </cell>
          <cell r="K5312" t="str">
            <v>defsi</v>
          </cell>
        </row>
        <row r="5313">
          <cell r="B5313" t="b">
            <v>1</v>
          </cell>
          <cell r="E5313" t="str">
            <v>Gaviotas</v>
          </cell>
          <cell r="H5313" t="str">
            <v>consulta_externa</v>
          </cell>
          <cell r="J5313" t="str">
            <v>bueno</v>
          </cell>
          <cell r="K5313" t="str">
            <v>defsi</v>
          </cell>
        </row>
        <row r="5314">
          <cell r="B5314" t="b">
            <v>1</v>
          </cell>
          <cell r="E5314" t="str">
            <v>Gaviotas</v>
          </cell>
          <cell r="H5314" t="str">
            <v>salud_oral</v>
          </cell>
          <cell r="J5314" t="str">
            <v>bueno</v>
          </cell>
          <cell r="K5314" t="str">
            <v>defsi</v>
          </cell>
        </row>
        <row r="5315">
          <cell r="B5315" t="b">
            <v>1</v>
          </cell>
          <cell r="E5315" t="str">
            <v>Gaviotas</v>
          </cell>
          <cell r="H5315" t="str">
            <v>laboratorio</v>
          </cell>
          <cell r="J5315" t="str">
            <v>bueno</v>
          </cell>
          <cell r="K5315" t="str">
            <v>defsi</v>
          </cell>
        </row>
        <row r="5316">
          <cell r="B5316" t="b">
            <v>1</v>
          </cell>
          <cell r="E5316" t="str">
            <v>Gaviotas</v>
          </cell>
          <cell r="H5316" t="str">
            <v>consulta_externa</v>
          </cell>
          <cell r="J5316" t="str">
            <v>bueno</v>
          </cell>
          <cell r="K5316" t="str">
            <v>defsi</v>
          </cell>
        </row>
        <row r="5317">
          <cell r="B5317" t="b">
            <v>1</v>
          </cell>
          <cell r="E5317" t="str">
            <v>Gaviotas</v>
          </cell>
          <cell r="H5317" t="str">
            <v>salud_oral</v>
          </cell>
          <cell r="J5317" t="str">
            <v>bueno</v>
          </cell>
          <cell r="K5317" t="str">
            <v>defsi</v>
          </cell>
        </row>
        <row r="5318">
          <cell r="B5318" t="b">
            <v>1</v>
          </cell>
          <cell r="E5318" t="str">
            <v>Gaviotas</v>
          </cell>
          <cell r="H5318" t="str">
            <v>laboratorio</v>
          </cell>
          <cell r="J5318" t="str">
            <v>bueno</v>
          </cell>
          <cell r="K5318" t="str">
            <v>defsi</v>
          </cell>
        </row>
        <row r="5319">
          <cell r="B5319" t="b">
            <v>1</v>
          </cell>
          <cell r="E5319" t="str">
            <v>Gaviotas</v>
          </cell>
          <cell r="H5319" t="str">
            <v>consulta_externa</v>
          </cell>
          <cell r="J5319" t="str">
            <v>bueno</v>
          </cell>
          <cell r="K5319" t="str">
            <v>defsi</v>
          </cell>
        </row>
        <row r="5320">
          <cell r="B5320" t="b">
            <v>1</v>
          </cell>
          <cell r="E5320" t="str">
            <v>Gaviotas</v>
          </cell>
          <cell r="H5320" t="str">
            <v>salud_oral</v>
          </cell>
          <cell r="J5320" t="str">
            <v>bueno</v>
          </cell>
          <cell r="K5320" t="str">
            <v>defsi</v>
          </cell>
        </row>
        <row r="5321">
          <cell r="B5321" t="b">
            <v>1</v>
          </cell>
          <cell r="E5321" t="str">
            <v>Blasdelezo</v>
          </cell>
          <cell r="H5321" t="str">
            <v>consulta_externa</v>
          </cell>
          <cell r="J5321" t="str">
            <v>bueno</v>
          </cell>
          <cell r="K5321" t="str">
            <v>probsi</v>
          </cell>
        </row>
        <row r="5322">
          <cell r="B5322" t="b">
            <v>1</v>
          </cell>
          <cell r="E5322" t="str">
            <v>Blasdelezo</v>
          </cell>
          <cell r="H5322" t="str">
            <v>consulta_externa</v>
          </cell>
          <cell r="J5322" t="str">
            <v>bueno</v>
          </cell>
          <cell r="K5322" t="str">
            <v>probsi</v>
          </cell>
        </row>
        <row r="5323">
          <cell r="B5323" t="b">
            <v>1</v>
          </cell>
          <cell r="E5323" t="str">
            <v>Blasdelezo</v>
          </cell>
          <cell r="H5323" t="str">
            <v>salud_oral</v>
          </cell>
          <cell r="J5323" t="str">
            <v>bueno</v>
          </cell>
          <cell r="K5323" t="str">
            <v>probsi</v>
          </cell>
        </row>
        <row r="5324">
          <cell r="B5324" t="b">
            <v>1</v>
          </cell>
          <cell r="E5324" t="str">
            <v>Blasdelezo</v>
          </cell>
          <cell r="H5324" t="str">
            <v>salud_oral</v>
          </cell>
          <cell r="J5324" t="str">
            <v>bueno</v>
          </cell>
          <cell r="K5324" t="str">
            <v>probsi</v>
          </cell>
        </row>
        <row r="5325">
          <cell r="B5325" t="b">
            <v>1</v>
          </cell>
          <cell r="E5325" t="str">
            <v>Blasdelezo</v>
          </cell>
          <cell r="H5325" t="str">
            <v>salud_oral</v>
          </cell>
          <cell r="J5325" t="str">
            <v>bueno</v>
          </cell>
          <cell r="K5325" t="str">
            <v>probsi</v>
          </cell>
        </row>
        <row r="5326">
          <cell r="B5326" t="b">
            <v>1</v>
          </cell>
          <cell r="E5326" t="str">
            <v>Blasdelezo</v>
          </cell>
          <cell r="H5326" t="str">
            <v>salud_oral</v>
          </cell>
          <cell r="J5326" t="str">
            <v>bueno</v>
          </cell>
          <cell r="K5326" t="str">
            <v>probsi</v>
          </cell>
        </row>
        <row r="5327">
          <cell r="B5327" t="b">
            <v>1</v>
          </cell>
          <cell r="E5327" t="str">
            <v>Blasdelezo</v>
          </cell>
          <cell r="H5327" t="str">
            <v>salud_oral</v>
          </cell>
          <cell r="J5327" t="str">
            <v>bueno</v>
          </cell>
          <cell r="K5327" t="str">
            <v>probsi</v>
          </cell>
        </row>
        <row r="5328">
          <cell r="B5328" t="b">
            <v>0</v>
          </cell>
          <cell r="E5328" t="str">
            <v>Blasdelezo</v>
          </cell>
          <cell r="H5328" t="str">
            <v>laboratorio</v>
          </cell>
          <cell r="J5328" t="str">
            <v>regular</v>
          </cell>
          <cell r="K5328" t="str">
            <v>probsi</v>
          </cell>
        </row>
        <row r="5329">
          <cell r="B5329" t="b">
            <v>0</v>
          </cell>
          <cell r="E5329" t="str">
            <v>Blasdelezo</v>
          </cell>
          <cell r="H5329" t="str">
            <v>laboratorio</v>
          </cell>
          <cell r="J5329" t="str">
            <v>regular</v>
          </cell>
          <cell r="K5329" t="str">
            <v>probsi</v>
          </cell>
        </row>
        <row r="5330">
          <cell r="B5330" t="b">
            <v>1</v>
          </cell>
          <cell r="E5330" t="str">
            <v>Blasdelezo</v>
          </cell>
          <cell r="H5330" t="str">
            <v>laboratorio</v>
          </cell>
          <cell r="J5330" t="str">
            <v>bueno</v>
          </cell>
          <cell r="K5330" t="str">
            <v>probsi</v>
          </cell>
        </row>
        <row r="5331">
          <cell r="B5331" t="b">
            <v>1</v>
          </cell>
          <cell r="E5331" t="str">
            <v>Blasdelezo</v>
          </cell>
          <cell r="H5331" t="str">
            <v>laboratorio</v>
          </cell>
          <cell r="J5331" t="str">
            <v>bueno</v>
          </cell>
          <cell r="K5331" t="str">
            <v>probsi</v>
          </cell>
        </row>
        <row r="5332">
          <cell r="B5332" t="b">
            <v>1</v>
          </cell>
          <cell r="E5332" t="str">
            <v>Blasdelezo</v>
          </cell>
          <cell r="H5332" t="str">
            <v>laboratorio</v>
          </cell>
          <cell r="J5332" t="str">
            <v>bueno</v>
          </cell>
          <cell r="K5332" t="str">
            <v>probsi</v>
          </cell>
        </row>
        <row r="5333">
          <cell r="B5333" t="b">
            <v>1</v>
          </cell>
          <cell r="E5333" t="str">
            <v>Blasdelezo</v>
          </cell>
          <cell r="H5333" t="str">
            <v>urgencia</v>
          </cell>
          <cell r="J5333" t="str">
            <v>bueno</v>
          </cell>
          <cell r="K5333" t="str">
            <v>probsi</v>
          </cell>
        </row>
        <row r="5334">
          <cell r="B5334" t="b">
            <v>1</v>
          </cell>
          <cell r="E5334" t="str">
            <v>Blasdelezo</v>
          </cell>
          <cell r="H5334" t="str">
            <v>urgencia</v>
          </cell>
          <cell r="J5334" t="str">
            <v>bueno</v>
          </cell>
          <cell r="K5334" t="str">
            <v>probsi</v>
          </cell>
        </row>
        <row r="5335">
          <cell r="B5335" t="b">
            <v>1</v>
          </cell>
          <cell r="E5335" t="str">
            <v>Blasdelezo</v>
          </cell>
          <cell r="H5335" t="str">
            <v>urgencia</v>
          </cell>
          <cell r="J5335" t="str">
            <v>bueno</v>
          </cell>
          <cell r="K5335" t="str">
            <v>probsi</v>
          </cell>
        </row>
        <row r="5336">
          <cell r="B5336" t="b">
            <v>0</v>
          </cell>
          <cell r="E5336" t="str">
            <v>Blasdelezo</v>
          </cell>
          <cell r="H5336" t="str">
            <v>urgencia</v>
          </cell>
          <cell r="J5336" t="str">
            <v>regular</v>
          </cell>
          <cell r="K5336" t="str">
            <v>probsi</v>
          </cell>
        </row>
        <row r="5337">
          <cell r="B5337" t="b">
            <v>1</v>
          </cell>
          <cell r="E5337" t="str">
            <v>Gaviotas</v>
          </cell>
          <cell r="H5337" t="str">
            <v>consulta_externa</v>
          </cell>
          <cell r="J5337" t="str">
            <v>bueno</v>
          </cell>
          <cell r="K5337" t="str">
            <v>defsi</v>
          </cell>
        </row>
        <row r="5338">
          <cell r="B5338" t="b">
            <v>0</v>
          </cell>
          <cell r="E5338" t="str">
            <v>Blasdelezo</v>
          </cell>
          <cell r="H5338" t="str">
            <v>urgencia</v>
          </cell>
          <cell r="J5338" t="str">
            <v>regular</v>
          </cell>
          <cell r="K5338" t="str">
            <v>probsi</v>
          </cell>
        </row>
        <row r="5339">
          <cell r="B5339" t="b">
            <v>1</v>
          </cell>
          <cell r="E5339" t="str">
            <v>Gaviotas</v>
          </cell>
          <cell r="H5339" t="str">
            <v>salud_oral</v>
          </cell>
          <cell r="J5339" t="str">
            <v>bueno</v>
          </cell>
          <cell r="K5339" t="str">
            <v>defsi</v>
          </cell>
        </row>
        <row r="5340">
          <cell r="B5340" t="b">
            <v>1</v>
          </cell>
          <cell r="E5340" t="str">
            <v>Gaviotas</v>
          </cell>
          <cell r="H5340" t="str">
            <v>laboratorio</v>
          </cell>
          <cell r="J5340" t="str">
            <v>bueno</v>
          </cell>
          <cell r="K5340" t="str">
            <v>defsi</v>
          </cell>
        </row>
        <row r="5341">
          <cell r="B5341" t="b">
            <v>1</v>
          </cell>
          <cell r="E5341" t="str">
            <v>Gaviotas</v>
          </cell>
          <cell r="H5341" t="str">
            <v>consulta_externa</v>
          </cell>
          <cell r="J5341" t="str">
            <v>bueno</v>
          </cell>
          <cell r="K5341" t="str">
            <v>defsi</v>
          </cell>
        </row>
        <row r="5342">
          <cell r="B5342" t="b">
            <v>1</v>
          </cell>
          <cell r="E5342" t="str">
            <v>Gaviotas</v>
          </cell>
          <cell r="H5342" t="str">
            <v>salud_oral</v>
          </cell>
          <cell r="J5342" t="str">
            <v>bueno</v>
          </cell>
          <cell r="K5342" t="str">
            <v>defsi</v>
          </cell>
        </row>
        <row r="5343">
          <cell r="B5343" t="b">
            <v>1</v>
          </cell>
          <cell r="E5343" t="str">
            <v>Gaviotas</v>
          </cell>
          <cell r="H5343" t="str">
            <v>laboratorio</v>
          </cell>
          <cell r="J5343" t="str">
            <v>bueno</v>
          </cell>
          <cell r="K5343" t="str">
            <v>defsi</v>
          </cell>
        </row>
        <row r="5344">
          <cell r="B5344" t="b">
            <v>1</v>
          </cell>
          <cell r="E5344" t="str">
            <v>Gaviotas</v>
          </cell>
          <cell r="H5344" t="str">
            <v>consulta_externa</v>
          </cell>
          <cell r="J5344" t="str">
            <v>bueno</v>
          </cell>
          <cell r="K5344" t="str">
            <v>defsi</v>
          </cell>
        </row>
        <row r="5345">
          <cell r="B5345" t="b">
            <v>1</v>
          </cell>
          <cell r="E5345" t="str">
            <v>Gaviotas</v>
          </cell>
          <cell r="H5345" t="str">
            <v>salud_oral</v>
          </cell>
          <cell r="J5345" t="str">
            <v>bueno</v>
          </cell>
          <cell r="K5345" t="str">
            <v>defsi</v>
          </cell>
        </row>
        <row r="5346">
          <cell r="B5346" t="b">
            <v>1</v>
          </cell>
          <cell r="E5346" t="str">
            <v>Gaviotas</v>
          </cell>
          <cell r="H5346" t="str">
            <v>laboratorio</v>
          </cell>
          <cell r="J5346" t="str">
            <v>bueno</v>
          </cell>
          <cell r="K5346" t="str">
            <v>defsi</v>
          </cell>
        </row>
        <row r="5347">
          <cell r="B5347" t="b">
            <v>1</v>
          </cell>
          <cell r="E5347" t="str">
            <v>Gaviotas</v>
          </cell>
          <cell r="H5347" t="str">
            <v>consulta_externa</v>
          </cell>
          <cell r="J5347" t="str">
            <v>bueno</v>
          </cell>
          <cell r="K5347" t="str">
            <v>defsi</v>
          </cell>
        </row>
        <row r="5348">
          <cell r="B5348" t="b">
            <v>1</v>
          </cell>
          <cell r="E5348" t="str">
            <v>Gaviotas</v>
          </cell>
          <cell r="H5348" t="str">
            <v>salud_oral</v>
          </cell>
          <cell r="J5348" t="str">
            <v>bueno</v>
          </cell>
          <cell r="K5348" t="str">
            <v>defsi</v>
          </cell>
        </row>
        <row r="5349">
          <cell r="B5349" t="b">
            <v>1</v>
          </cell>
          <cell r="E5349" t="str">
            <v>Esperanza</v>
          </cell>
          <cell r="H5349" t="str">
            <v>urgencia</v>
          </cell>
          <cell r="J5349" t="str">
            <v>bueno</v>
          </cell>
          <cell r="K5349" t="str">
            <v>defsi</v>
          </cell>
        </row>
        <row r="5350">
          <cell r="B5350" t="b">
            <v>1</v>
          </cell>
          <cell r="E5350" t="str">
            <v>Esperanza</v>
          </cell>
          <cell r="H5350" t="str">
            <v>urgencia</v>
          </cell>
          <cell r="J5350" t="str">
            <v>bueno</v>
          </cell>
          <cell r="K5350" t="str">
            <v>defsi</v>
          </cell>
        </row>
        <row r="5351">
          <cell r="B5351" t="b">
            <v>0</v>
          </cell>
          <cell r="E5351" t="str">
            <v>Esperanza</v>
          </cell>
          <cell r="H5351" t="str">
            <v>urgencia</v>
          </cell>
          <cell r="J5351" t="str">
            <v>regular</v>
          </cell>
          <cell r="K5351" t="str">
            <v>probsi</v>
          </cell>
        </row>
        <row r="5352">
          <cell r="B5352" t="b">
            <v>1</v>
          </cell>
          <cell r="E5352" t="str">
            <v>Esperanza</v>
          </cell>
          <cell r="H5352" t="str">
            <v>electros</v>
          </cell>
          <cell r="J5352" t="str">
            <v>bueno</v>
          </cell>
          <cell r="K5352" t="str">
            <v>probsi</v>
          </cell>
        </row>
        <row r="5353">
          <cell r="B5353" t="b">
            <v>1</v>
          </cell>
          <cell r="E5353" t="str">
            <v>Esperanza</v>
          </cell>
          <cell r="H5353" t="str">
            <v>urgencia</v>
          </cell>
          <cell r="J5353" t="str">
            <v>bueno</v>
          </cell>
          <cell r="K5353" t="str">
            <v>defsi</v>
          </cell>
        </row>
        <row r="5354">
          <cell r="B5354" t="b">
            <v>1</v>
          </cell>
          <cell r="E5354" t="str">
            <v>Esperanza</v>
          </cell>
          <cell r="H5354" t="str">
            <v>electros</v>
          </cell>
          <cell r="J5354" t="str">
            <v>muybueno</v>
          </cell>
          <cell r="K5354" t="str">
            <v>defsi</v>
          </cell>
        </row>
        <row r="5355">
          <cell r="B5355" t="b">
            <v>1</v>
          </cell>
          <cell r="E5355" t="str">
            <v>Esperanza</v>
          </cell>
          <cell r="H5355" t="str">
            <v>electros</v>
          </cell>
          <cell r="J5355" t="str">
            <v>bueno</v>
          </cell>
          <cell r="K5355" t="str">
            <v>defsi</v>
          </cell>
        </row>
        <row r="5356">
          <cell r="B5356" t="b">
            <v>1</v>
          </cell>
          <cell r="E5356" t="str">
            <v>Bocachica</v>
          </cell>
          <cell r="H5356" t="str">
            <v>consulta_externa</v>
          </cell>
          <cell r="J5356" t="str">
            <v>muybueno</v>
          </cell>
          <cell r="K5356" t="str">
            <v>defsi</v>
          </cell>
        </row>
        <row r="5357">
          <cell r="B5357" t="b">
            <v>1</v>
          </cell>
          <cell r="E5357" t="str">
            <v>Bocachica</v>
          </cell>
          <cell r="H5357" t="str">
            <v>laboratorio</v>
          </cell>
          <cell r="J5357" t="str">
            <v>muybueno</v>
          </cell>
          <cell r="K5357" t="str">
            <v>defsi</v>
          </cell>
        </row>
        <row r="5358">
          <cell r="B5358" t="b">
            <v>1</v>
          </cell>
          <cell r="E5358" t="str">
            <v>Bocachica</v>
          </cell>
          <cell r="H5358" t="str">
            <v>consulta_externa</v>
          </cell>
          <cell r="J5358" t="str">
            <v>muybueno</v>
          </cell>
          <cell r="K5358" t="str">
            <v>defsi</v>
          </cell>
        </row>
        <row r="5359">
          <cell r="B5359" t="b">
            <v>1</v>
          </cell>
          <cell r="E5359" t="str">
            <v>Bocachica</v>
          </cell>
          <cell r="H5359" t="str">
            <v>salud_oral</v>
          </cell>
          <cell r="J5359" t="str">
            <v>muybueno</v>
          </cell>
          <cell r="K5359" t="str">
            <v>defsi</v>
          </cell>
        </row>
        <row r="5360">
          <cell r="B5360" t="b">
            <v>1</v>
          </cell>
          <cell r="E5360" t="str">
            <v>Bocachica</v>
          </cell>
          <cell r="H5360" t="str">
            <v>consulta_externa</v>
          </cell>
          <cell r="J5360" t="str">
            <v>muybueno</v>
          </cell>
          <cell r="K5360" t="str">
            <v>defsi</v>
          </cell>
        </row>
        <row r="5361">
          <cell r="B5361" t="b">
            <v>1</v>
          </cell>
          <cell r="E5361" t="str">
            <v>Bocachica</v>
          </cell>
          <cell r="H5361" t="str">
            <v>salud_oral</v>
          </cell>
          <cell r="J5361" t="str">
            <v>muybueno</v>
          </cell>
          <cell r="K5361" t="str">
            <v>defsi</v>
          </cell>
        </row>
        <row r="5362">
          <cell r="B5362" t="b">
            <v>1</v>
          </cell>
          <cell r="E5362" t="str">
            <v>Bocachica</v>
          </cell>
          <cell r="H5362" t="str">
            <v>consulta_externa</v>
          </cell>
          <cell r="J5362" t="str">
            <v>muybueno</v>
          </cell>
          <cell r="K5362" t="str">
            <v>defsi</v>
          </cell>
        </row>
        <row r="5363">
          <cell r="B5363" t="b">
            <v>1</v>
          </cell>
          <cell r="E5363" t="str">
            <v>Bocachica</v>
          </cell>
          <cell r="H5363" t="str">
            <v>laboratorio</v>
          </cell>
          <cell r="J5363" t="str">
            <v>muybueno</v>
          </cell>
          <cell r="K5363" t="str">
            <v>defsi</v>
          </cell>
        </row>
        <row r="5364">
          <cell r="B5364" t="b">
            <v>1</v>
          </cell>
          <cell r="E5364" t="str">
            <v>Bocachica</v>
          </cell>
          <cell r="H5364" t="str">
            <v>consulta_externa</v>
          </cell>
          <cell r="J5364" t="str">
            <v>muybueno</v>
          </cell>
          <cell r="K5364" t="str">
            <v>defsi</v>
          </cell>
        </row>
        <row r="5365">
          <cell r="B5365" t="b">
            <v>1</v>
          </cell>
          <cell r="E5365" t="str">
            <v>Arroyo Grande</v>
          </cell>
          <cell r="H5365" t="str">
            <v>consulta_externa</v>
          </cell>
          <cell r="J5365" t="str">
            <v>bueno</v>
          </cell>
          <cell r="K5365" t="str">
            <v>defsi</v>
          </cell>
        </row>
        <row r="5366">
          <cell r="B5366" t="b">
            <v>1</v>
          </cell>
          <cell r="E5366" t="str">
            <v>Arroyo Grande</v>
          </cell>
          <cell r="H5366" t="str">
            <v>salud_oral</v>
          </cell>
          <cell r="J5366" t="str">
            <v>bueno</v>
          </cell>
          <cell r="K5366" t="str">
            <v>defsi</v>
          </cell>
        </row>
        <row r="5367">
          <cell r="B5367" t="b">
            <v>1</v>
          </cell>
          <cell r="E5367" t="str">
            <v>Arroyo Grande</v>
          </cell>
          <cell r="H5367" t="str">
            <v>laboratorio</v>
          </cell>
          <cell r="J5367" t="str">
            <v>bueno</v>
          </cell>
          <cell r="K5367" t="str">
            <v>defsi</v>
          </cell>
        </row>
        <row r="5368">
          <cell r="B5368" t="b">
            <v>1</v>
          </cell>
          <cell r="E5368" t="str">
            <v>Arroyo Grande</v>
          </cell>
          <cell r="H5368" t="str">
            <v>consulta_externa</v>
          </cell>
          <cell r="J5368" t="str">
            <v>bueno</v>
          </cell>
          <cell r="K5368" t="str">
            <v>defsi</v>
          </cell>
        </row>
        <row r="5369">
          <cell r="B5369" t="b">
            <v>1</v>
          </cell>
          <cell r="E5369" t="str">
            <v>Bocachica</v>
          </cell>
          <cell r="H5369" t="str">
            <v>consulta_externa</v>
          </cell>
          <cell r="J5369" t="str">
            <v>muybueno</v>
          </cell>
          <cell r="K5369" t="str">
            <v>defsi</v>
          </cell>
        </row>
        <row r="5370">
          <cell r="B5370" t="b">
            <v>1</v>
          </cell>
          <cell r="E5370" t="str">
            <v>Arroyo Grande</v>
          </cell>
          <cell r="H5370" t="str">
            <v>salud_oral</v>
          </cell>
          <cell r="J5370" t="str">
            <v>bueno</v>
          </cell>
          <cell r="K5370" t="str">
            <v>defsi</v>
          </cell>
        </row>
        <row r="5371">
          <cell r="B5371" t="b">
            <v>1</v>
          </cell>
          <cell r="E5371" t="str">
            <v>Arroyo Grande</v>
          </cell>
          <cell r="H5371" t="str">
            <v>laboratorio</v>
          </cell>
          <cell r="J5371" t="str">
            <v>bueno</v>
          </cell>
          <cell r="K5371" t="str">
            <v>defsi</v>
          </cell>
        </row>
        <row r="5372">
          <cell r="B5372" t="b">
            <v>1</v>
          </cell>
          <cell r="E5372" t="str">
            <v>Arroyo Grande</v>
          </cell>
          <cell r="H5372" t="str">
            <v>consulta_externa</v>
          </cell>
          <cell r="J5372" t="str">
            <v>bueno</v>
          </cell>
          <cell r="K5372" t="str">
            <v>defsi</v>
          </cell>
        </row>
        <row r="5373">
          <cell r="B5373" t="b">
            <v>1</v>
          </cell>
          <cell r="E5373" t="str">
            <v>Arroyo Grande</v>
          </cell>
          <cell r="H5373" t="str">
            <v>salud_oral</v>
          </cell>
          <cell r="J5373" t="str">
            <v>bueno</v>
          </cell>
          <cell r="K5373" t="str">
            <v>defsi</v>
          </cell>
        </row>
        <row r="5374">
          <cell r="B5374" t="b">
            <v>1</v>
          </cell>
          <cell r="E5374" t="str">
            <v>Bocachica</v>
          </cell>
          <cell r="H5374" t="str">
            <v>laboratorio</v>
          </cell>
          <cell r="J5374" t="str">
            <v>muybueno</v>
          </cell>
          <cell r="K5374" t="str">
            <v>defsi</v>
          </cell>
        </row>
        <row r="5375">
          <cell r="B5375" t="b">
            <v>1</v>
          </cell>
          <cell r="E5375" t="str">
            <v>Bocachica</v>
          </cell>
          <cell r="H5375" t="str">
            <v>consulta_externa</v>
          </cell>
          <cell r="J5375" t="str">
            <v>muybueno</v>
          </cell>
          <cell r="K5375" t="str">
            <v>defsi</v>
          </cell>
        </row>
        <row r="5376">
          <cell r="B5376" t="b">
            <v>1</v>
          </cell>
          <cell r="E5376" t="str">
            <v>Arroyo Grande</v>
          </cell>
          <cell r="H5376" t="str">
            <v>laboratorio</v>
          </cell>
          <cell r="J5376" t="str">
            <v>bueno</v>
          </cell>
          <cell r="K5376" t="str">
            <v>defsi</v>
          </cell>
        </row>
        <row r="5377">
          <cell r="B5377" t="b">
            <v>1</v>
          </cell>
          <cell r="E5377" t="str">
            <v>Arroz Barato</v>
          </cell>
          <cell r="H5377" t="str">
            <v>consulta_externa</v>
          </cell>
          <cell r="J5377" t="str">
            <v>bueno</v>
          </cell>
          <cell r="K5377" t="str">
            <v>probsi</v>
          </cell>
        </row>
        <row r="5378">
          <cell r="B5378" t="b">
            <v>1</v>
          </cell>
          <cell r="E5378" t="str">
            <v>Arroyo Grande</v>
          </cell>
          <cell r="H5378" t="str">
            <v>consulta_externa</v>
          </cell>
          <cell r="J5378" t="str">
            <v>bueno</v>
          </cell>
          <cell r="K5378" t="str">
            <v>defsi</v>
          </cell>
        </row>
        <row r="5379">
          <cell r="B5379" t="b">
            <v>1</v>
          </cell>
          <cell r="E5379" t="str">
            <v>Bocachica</v>
          </cell>
          <cell r="H5379" t="str">
            <v>consulta_externa</v>
          </cell>
          <cell r="J5379" t="str">
            <v>muybueno</v>
          </cell>
          <cell r="K5379" t="str">
            <v>defsi</v>
          </cell>
        </row>
        <row r="5380">
          <cell r="B5380" t="b">
            <v>1</v>
          </cell>
          <cell r="E5380" t="str">
            <v>Arroyo Grande</v>
          </cell>
          <cell r="H5380" t="str">
            <v>salud_oral</v>
          </cell>
          <cell r="J5380" t="str">
            <v>bueno</v>
          </cell>
          <cell r="K5380" t="str">
            <v>defsi</v>
          </cell>
        </row>
        <row r="5381">
          <cell r="B5381" t="b">
            <v>1</v>
          </cell>
          <cell r="E5381" t="str">
            <v>Arroyo Grande</v>
          </cell>
          <cell r="H5381" t="str">
            <v>laboratorio</v>
          </cell>
          <cell r="J5381" t="str">
            <v>bueno</v>
          </cell>
          <cell r="K5381" t="str">
            <v>defsi</v>
          </cell>
        </row>
        <row r="5382">
          <cell r="B5382" t="b">
            <v>1</v>
          </cell>
          <cell r="E5382" t="str">
            <v>Arroz Barato</v>
          </cell>
          <cell r="H5382" t="str">
            <v>rx</v>
          </cell>
          <cell r="J5382" t="str">
            <v>bueno</v>
          </cell>
          <cell r="K5382" t="str">
            <v>probsi</v>
          </cell>
        </row>
        <row r="5383">
          <cell r="B5383" t="b">
            <v>1</v>
          </cell>
          <cell r="E5383" t="str">
            <v>Arroz Barato</v>
          </cell>
          <cell r="H5383" t="str">
            <v>rx</v>
          </cell>
          <cell r="J5383" t="str">
            <v>bueno</v>
          </cell>
          <cell r="K5383" t="str">
            <v>probsi</v>
          </cell>
        </row>
        <row r="5384">
          <cell r="B5384" t="b">
            <v>1</v>
          </cell>
          <cell r="E5384" t="str">
            <v>Arroz Barato</v>
          </cell>
          <cell r="H5384" t="str">
            <v>rx</v>
          </cell>
          <cell r="J5384" t="str">
            <v>bueno</v>
          </cell>
          <cell r="K5384" t="str">
            <v>probsi</v>
          </cell>
        </row>
        <row r="5385">
          <cell r="B5385" t="b">
            <v>1</v>
          </cell>
          <cell r="E5385" t="str">
            <v>Bocachica</v>
          </cell>
          <cell r="H5385" t="str">
            <v>consulta_externa</v>
          </cell>
          <cell r="J5385" t="str">
            <v>muybueno</v>
          </cell>
          <cell r="K5385" t="str">
            <v>defsi</v>
          </cell>
        </row>
        <row r="5386">
          <cell r="B5386" t="b">
            <v>1</v>
          </cell>
          <cell r="E5386" t="str">
            <v>Arroyo Grande</v>
          </cell>
          <cell r="H5386" t="str">
            <v>consulta_externa</v>
          </cell>
          <cell r="J5386" t="str">
            <v>bueno</v>
          </cell>
          <cell r="K5386" t="str">
            <v>defsi</v>
          </cell>
        </row>
        <row r="5387">
          <cell r="B5387" t="b">
            <v>1</v>
          </cell>
          <cell r="E5387" t="str">
            <v>Arroyo Grande</v>
          </cell>
          <cell r="H5387" t="str">
            <v>salud_oral</v>
          </cell>
          <cell r="J5387" t="str">
            <v>bueno</v>
          </cell>
          <cell r="K5387" t="str">
            <v>defsi</v>
          </cell>
        </row>
        <row r="5388">
          <cell r="B5388" t="b">
            <v>1</v>
          </cell>
          <cell r="E5388" t="str">
            <v>Bocachica</v>
          </cell>
          <cell r="H5388" t="str">
            <v>consulta_externa</v>
          </cell>
          <cell r="J5388" t="str">
            <v>muybueno</v>
          </cell>
          <cell r="K5388" t="str">
            <v>defsi</v>
          </cell>
        </row>
        <row r="5389">
          <cell r="B5389" t="b">
            <v>1</v>
          </cell>
          <cell r="E5389" t="str">
            <v>Arroyo Grande</v>
          </cell>
          <cell r="H5389" t="str">
            <v>laboratorio</v>
          </cell>
          <cell r="J5389" t="str">
            <v>bueno</v>
          </cell>
          <cell r="K5389" t="str">
            <v>defsi</v>
          </cell>
        </row>
        <row r="5390">
          <cell r="B5390" t="b">
            <v>1</v>
          </cell>
          <cell r="E5390" t="str">
            <v>Bocachica</v>
          </cell>
          <cell r="H5390" t="str">
            <v>salud_oral</v>
          </cell>
          <cell r="J5390" t="str">
            <v>muybueno</v>
          </cell>
          <cell r="K5390" t="str">
            <v>defsi</v>
          </cell>
        </row>
        <row r="5391">
          <cell r="B5391" t="b">
            <v>1</v>
          </cell>
          <cell r="E5391" t="str">
            <v>Arroz Barato</v>
          </cell>
          <cell r="H5391" t="str">
            <v>consulta_externa</v>
          </cell>
          <cell r="J5391" t="str">
            <v>bueno</v>
          </cell>
          <cell r="K5391" t="str">
            <v>probsi</v>
          </cell>
        </row>
        <row r="5392">
          <cell r="B5392" t="b">
            <v>1</v>
          </cell>
          <cell r="E5392" t="str">
            <v>Arroz Barato</v>
          </cell>
          <cell r="H5392" t="str">
            <v>salud_oral</v>
          </cell>
          <cell r="J5392" t="str">
            <v>bueno</v>
          </cell>
          <cell r="K5392" t="str">
            <v>probsi</v>
          </cell>
        </row>
        <row r="5393">
          <cell r="B5393" t="b">
            <v>1</v>
          </cell>
          <cell r="E5393" t="str">
            <v>Arroz Barato</v>
          </cell>
          <cell r="H5393" t="str">
            <v>laboratorio</v>
          </cell>
          <cell r="J5393" t="str">
            <v>bueno</v>
          </cell>
          <cell r="K5393" t="str">
            <v>probsi</v>
          </cell>
        </row>
        <row r="5394">
          <cell r="B5394" t="b">
            <v>1</v>
          </cell>
          <cell r="E5394" t="str">
            <v>Arroz Barato</v>
          </cell>
          <cell r="H5394" t="str">
            <v>consulta_externa</v>
          </cell>
          <cell r="J5394" t="str">
            <v>bueno</v>
          </cell>
          <cell r="K5394" t="str">
            <v>probsi</v>
          </cell>
        </row>
        <row r="5395">
          <cell r="B5395" t="b">
            <v>1</v>
          </cell>
          <cell r="E5395" t="str">
            <v>Bocachica</v>
          </cell>
          <cell r="H5395" t="str">
            <v>consulta_externa</v>
          </cell>
          <cell r="J5395" t="str">
            <v>muybueno</v>
          </cell>
          <cell r="K5395" t="str">
            <v>defsi</v>
          </cell>
        </row>
        <row r="5396">
          <cell r="B5396" t="b">
            <v>1</v>
          </cell>
          <cell r="E5396" t="str">
            <v>Arroz Barato</v>
          </cell>
          <cell r="H5396" t="str">
            <v>laboratorio</v>
          </cell>
          <cell r="J5396" t="str">
            <v>bueno</v>
          </cell>
          <cell r="K5396" t="str">
            <v>probsi</v>
          </cell>
        </row>
        <row r="5397">
          <cell r="B5397" t="b">
            <v>0</v>
          </cell>
          <cell r="E5397" t="str">
            <v>Arroz Barato</v>
          </cell>
          <cell r="H5397" t="str">
            <v>consulta_externa</v>
          </cell>
          <cell r="J5397" t="str">
            <v>regular</v>
          </cell>
          <cell r="K5397" t="str">
            <v>probsi</v>
          </cell>
        </row>
        <row r="5398">
          <cell r="B5398" t="b">
            <v>1</v>
          </cell>
          <cell r="E5398" t="str">
            <v>Arroz Barato</v>
          </cell>
          <cell r="H5398" t="str">
            <v>laboratorio</v>
          </cell>
          <cell r="J5398" t="str">
            <v>bueno</v>
          </cell>
          <cell r="K5398" t="str">
            <v>probsi</v>
          </cell>
        </row>
        <row r="5399">
          <cell r="B5399" t="b">
            <v>1</v>
          </cell>
          <cell r="E5399" t="str">
            <v>Arroz Barato</v>
          </cell>
          <cell r="H5399" t="str">
            <v>laboratorio</v>
          </cell>
          <cell r="J5399" t="str">
            <v>bueno</v>
          </cell>
          <cell r="K5399" t="str">
            <v>probsi</v>
          </cell>
        </row>
        <row r="5400">
          <cell r="B5400" t="b">
            <v>1</v>
          </cell>
          <cell r="E5400" t="str">
            <v>Bocachica</v>
          </cell>
          <cell r="H5400" t="str">
            <v>consulta_externa</v>
          </cell>
          <cell r="J5400" t="str">
            <v>muybueno</v>
          </cell>
          <cell r="K5400" t="str">
            <v>defsi</v>
          </cell>
        </row>
        <row r="5401">
          <cell r="B5401" t="b">
            <v>1</v>
          </cell>
          <cell r="E5401" t="str">
            <v>Bocachica</v>
          </cell>
          <cell r="H5401" t="str">
            <v>laboratorio</v>
          </cell>
          <cell r="J5401" t="str">
            <v>muybueno</v>
          </cell>
          <cell r="K5401" t="str">
            <v>defsi</v>
          </cell>
        </row>
        <row r="5402">
          <cell r="B5402" t="b">
            <v>1</v>
          </cell>
          <cell r="E5402" t="str">
            <v>Arroyo Grande</v>
          </cell>
          <cell r="H5402" t="str">
            <v>consulta_externa</v>
          </cell>
          <cell r="J5402" t="str">
            <v>bueno</v>
          </cell>
          <cell r="K5402" t="str">
            <v>defsi</v>
          </cell>
        </row>
        <row r="5403">
          <cell r="B5403" t="b">
            <v>1</v>
          </cell>
          <cell r="E5403" t="str">
            <v>Arroyo Grande</v>
          </cell>
          <cell r="H5403" t="str">
            <v>salud_oral</v>
          </cell>
          <cell r="J5403" t="str">
            <v>bueno</v>
          </cell>
          <cell r="K5403" t="str">
            <v>defsi</v>
          </cell>
        </row>
        <row r="5404">
          <cell r="B5404" t="b">
            <v>1</v>
          </cell>
          <cell r="E5404" t="str">
            <v>Arroz Barato</v>
          </cell>
          <cell r="H5404" t="str">
            <v>laboratorio</v>
          </cell>
          <cell r="J5404" t="str">
            <v>bueno</v>
          </cell>
          <cell r="K5404" t="str">
            <v>probsi</v>
          </cell>
        </row>
        <row r="5405">
          <cell r="B5405" t="b">
            <v>1</v>
          </cell>
          <cell r="E5405" t="str">
            <v>Arroz Barato</v>
          </cell>
          <cell r="H5405" t="str">
            <v>laboratorio</v>
          </cell>
          <cell r="J5405" t="str">
            <v>bueno</v>
          </cell>
          <cell r="K5405" t="str">
            <v>probsi</v>
          </cell>
        </row>
        <row r="5406">
          <cell r="B5406" t="b">
            <v>1</v>
          </cell>
          <cell r="E5406" t="str">
            <v>Arroz Barato</v>
          </cell>
          <cell r="H5406" t="str">
            <v>laboratorio</v>
          </cell>
          <cell r="J5406" t="str">
            <v>bueno</v>
          </cell>
          <cell r="K5406" t="str">
            <v>probsi</v>
          </cell>
        </row>
        <row r="5407">
          <cell r="B5407" t="b">
            <v>1</v>
          </cell>
          <cell r="E5407" t="str">
            <v>Arroyo Grande</v>
          </cell>
          <cell r="H5407" t="str">
            <v>laboratorio</v>
          </cell>
          <cell r="J5407" t="str">
            <v>bueno</v>
          </cell>
          <cell r="K5407" t="str">
            <v>defsi</v>
          </cell>
        </row>
        <row r="5408">
          <cell r="B5408" t="b">
            <v>1</v>
          </cell>
          <cell r="E5408" t="str">
            <v>Ternera</v>
          </cell>
          <cell r="H5408" t="str">
            <v>consulta_externa</v>
          </cell>
          <cell r="J5408" t="str">
            <v>bueno</v>
          </cell>
          <cell r="K5408" t="str">
            <v>defsi</v>
          </cell>
        </row>
        <row r="5409">
          <cell r="B5409" t="b">
            <v>1</v>
          </cell>
          <cell r="E5409" t="str">
            <v>Arroyo Grande</v>
          </cell>
          <cell r="H5409" t="str">
            <v>consulta_externa</v>
          </cell>
          <cell r="J5409" t="str">
            <v>bueno</v>
          </cell>
          <cell r="K5409" t="str">
            <v>defsi</v>
          </cell>
        </row>
        <row r="5410">
          <cell r="B5410" t="b">
            <v>1</v>
          </cell>
          <cell r="E5410" t="str">
            <v>Arroyo Grande</v>
          </cell>
          <cell r="H5410" t="str">
            <v>salud_oral</v>
          </cell>
          <cell r="J5410" t="str">
            <v>bueno</v>
          </cell>
          <cell r="K5410" t="str">
            <v>defsi</v>
          </cell>
        </row>
        <row r="5411">
          <cell r="B5411" t="b">
            <v>1</v>
          </cell>
          <cell r="E5411" t="str">
            <v>Bocachica</v>
          </cell>
          <cell r="H5411" t="str">
            <v>consulta_externa</v>
          </cell>
          <cell r="J5411" t="str">
            <v>muybueno</v>
          </cell>
          <cell r="K5411" t="str">
            <v>defsi</v>
          </cell>
        </row>
        <row r="5412">
          <cell r="B5412" t="b">
            <v>1</v>
          </cell>
          <cell r="E5412" t="str">
            <v>Bocachica</v>
          </cell>
          <cell r="H5412" t="str">
            <v>laboratorio</v>
          </cell>
          <cell r="J5412" t="str">
            <v>muybueno</v>
          </cell>
          <cell r="K5412" t="str">
            <v>defsi</v>
          </cell>
        </row>
        <row r="5413">
          <cell r="B5413" t="b">
            <v>1</v>
          </cell>
          <cell r="E5413" t="str">
            <v>Ternera</v>
          </cell>
          <cell r="H5413" t="str">
            <v>consulta_externa</v>
          </cell>
          <cell r="J5413" t="str">
            <v>bueno</v>
          </cell>
          <cell r="K5413" t="str">
            <v>defsi</v>
          </cell>
        </row>
        <row r="5414">
          <cell r="B5414" t="b">
            <v>1</v>
          </cell>
          <cell r="E5414" t="str">
            <v>Ternera</v>
          </cell>
          <cell r="H5414" t="str">
            <v>consulta_externa</v>
          </cell>
          <cell r="J5414" t="str">
            <v>bueno</v>
          </cell>
          <cell r="K5414" t="str">
            <v>defsi</v>
          </cell>
        </row>
        <row r="5415">
          <cell r="B5415" t="b">
            <v>1</v>
          </cell>
          <cell r="E5415" t="str">
            <v>Arroyo Grande</v>
          </cell>
          <cell r="H5415" t="str">
            <v>laboratorio</v>
          </cell>
          <cell r="J5415" t="str">
            <v>bueno</v>
          </cell>
          <cell r="K5415" t="str">
            <v>defsi</v>
          </cell>
        </row>
        <row r="5416">
          <cell r="B5416" t="b">
            <v>1</v>
          </cell>
          <cell r="E5416" t="str">
            <v>Arroyo Grande</v>
          </cell>
          <cell r="H5416" t="str">
            <v>consulta_externa</v>
          </cell>
          <cell r="J5416" t="str">
            <v>bueno</v>
          </cell>
          <cell r="K5416" t="str">
            <v>defsi</v>
          </cell>
        </row>
        <row r="5417">
          <cell r="B5417" t="b">
            <v>1</v>
          </cell>
          <cell r="E5417" t="str">
            <v>Arroyo Grande</v>
          </cell>
          <cell r="H5417" t="str">
            <v>salud_oral</v>
          </cell>
          <cell r="J5417" t="str">
            <v>bueno</v>
          </cell>
          <cell r="K5417" t="str">
            <v>defsi</v>
          </cell>
        </row>
        <row r="5418">
          <cell r="B5418" t="b">
            <v>1</v>
          </cell>
          <cell r="E5418" t="str">
            <v>Arroyo Grande</v>
          </cell>
          <cell r="H5418" t="str">
            <v>laboratorio</v>
          </cell>
          <cell r="J5418" t="str">
            <v>bueno</v>
          </cell>
          <cell r="K5418" t="str">
            <v>defsi</v>
          </cell>
        </row>
        <row r="5419">
          <cell r="B5419" t="b">
            <v>1</v>
          </cell>
          <cell r="E5419" t="str">
            <v>Arroyo Grande</v>
          </cell>
          <cell r="H5419" t="str">
            <v>consulta_externa</v>
          </cell>
          <cell r="J5419" t="str">
            <v>bueno</v>
          </cell>
          <cell r="K5419" t="str">
            <v>defsi</v>
          </cell>
        </row>
        <row r="5420">
          <cell r="B5420" t="b">
            <v>1</v>
          </cell>
          <cell r="E5420" t="str">
            <v>Ternera</v>
          </cell>
          <cell r="H5420" t="str">
            <v>salud_oral</v>
          </cell>
          <cell r="J5420" t="str">
            <v>bueno</v>
          </cell>
          <cell r="K5420" t="str">
            <v>defsi</v>
          </cell>
        </row>
        <row r="5421">
          <cell r="B5421" t="b">
            <v>1</v>
          </cell>
          <cell r="E5421" t="str">
            <v>Arroyo Grande</v>
          </cell>
          <cell r="H5421" t="str">
            <v>salud_oral</v>
          </cell>
          <cell r="J5421" t="str">
            <v>bueno</v>
          </cell>
          <cell r="K5421" t="str">
            <v>defsi</v>
          </cell>
        </row>
        <row r="5422">
          <cell r="B5422" t="b">
            <v>1</v>
          </cell>
          <cell r="E5422" t="str">
            <v>Arroyo Grande</v>
          </cell>
          <cell r="H5422" t="str">
            <v>laboratorio</v>
          </cell>
          <cell r="J5422" t="str">
            <v>bueno</v>
          </cell>
          <cell r="K5422" t="str">
            <v>defsi</v>
          </cell>
        </row>
        <row r="5423">
          <cell r="B5423" t="b">
            <v>1</v>
          </cell>
          <cell r="E5423" t="str">
            <v>Ternera</v>
          </cell>
          <cell r="H5423" t="str">
            <v>salud_oral</v>
          </cell>
          <cell r="J5423" t="str">
            <v>bueno</v>
          </cell>
          <cell r="K5423" t="str">
            <v>defsi</v>
          </cell>
        </row>
        <row r="5424">
          <cell r="B5424" t="b">
            <v>1</v>
          </cell>
          <cell r="E5424" t="str">
            <v>Ternera</v>
          </cell>
          <cell r="H5424" t="str">
            <v>consulta_externa</v>
          </cell>
          <cell r="J5424" t="str">
            <v>bueno</v>
          </cell>
          <cell r="K5424" t="str">
            <v>defsi</v>
          </cell>
        </row>
        <row r="5425">
          <cell r="B5425" t="b">
            <v>1</v>
          </cell>
          <cell r="E5425" t="str">
            <v>Arroyo Grande</v>
          </cell>
          <cell r="H5425" t="str">
            <v>consulta_externa</v>
          </cell>
          <cell r="J5425" t="str">
            <v>bueno</v>
          </cell>
          <cell r="K5425" t="str">
            <v>defsi</v>
          </cell>
        </row>
        <row r="5426">
          <cell r="B5426" t="b">
            <v>1</v>
          </cell>
          <cell r="E5426" t="str">
            <v>Arroyo Grande</v>
          </cell>
          <cell r="H5426" t="str">
            <v>salud_oral</v>
          </cell>
          <cell r="J5426" t="str">
            <v>bueno</v>
          </cell>
          <cell r="K5426" t="str">
            <v>defsi</v>
          </cell>
        </row>
        <row r="5427">
          <cell r="B5427" t="b">
            <v>1</v>
          </cell>
          <cell r="E5427" t="str">
            <v>Ternera</v>
          </cell>
          <cell r="H5427" t="str">
            <v>consulta_externa</v>
          </cell>
          <cell r="J5427" t="str">
            <v>bueno</v>
          </cell>
          <cell r="K5427" t="str">
            <v>defsi</v>
          </cell>
        </row>
        <row r="5428">
          <cell r="B5428" t="b">
            <v>1</v>
          </cell>
          <cell r="E5428" t="str">
            <v>Arroyo Grande</v>
          </cell>
          <cell r="H5428" t="str">
            <v>laboratorio</v>
          </cell>
          <cell r="J5428" t="str">
            <v>bueno</v>
          </cell>
          <cell r="K5428" t="str">
            <v>defsi</v>
          </cell>
        </row>
        <row r="5429">
          <cell r="B5429" t="b">
            <v>1</v>
          </cell>
          <cell r="E5429" t="str">
            <v>Arroyo Grande</v>
          </cell>
          <cell r="H5429" t="str">
            <v>consulta_externa</v>
          </cell>
          <cell r="J5429" t="str">
            <v>bueno</v>
          </cell>
          <cell r="K5429" t="str">
            <v>defsi</v>
          </cell>
        </row>
        <row r="5430">
          <cell r="B5430" t="b">
            <v>1</v>
          </cell>
          <cell r="E5430" t="str">
            <v>Arroyo Grande</v>
          </cell>
          <cell r="H5430" t="str">
            <v>salud_oral</v>
          </cell>
          <cell r="J5430" t="str">
            <v>bueno</v>
          </cell>
          <cell r="K5430" t="str">
            <v>defsi</v>
          </cell>
        </row>
        <row r="5431">
          <cell r="B5431" t="b">
            <v>0</v>
          </cell>
          <cell r="E5431" t="str">
            <v>Ternera</v>
          </cell>
          <cell r="H5431" t="str">
            <v>consulta_externa</v>
          </cell>
          <cell r="J5431" t="str">
            <v>regular</v>
          </cell>
          <cell r="K5431" t="str">
            <v>defsi</v>
          </cell>
        </row>
        <row r="5432">
          <cell r="B5432" t="b">
            <v>1</v>
          </cell>
          <cell r="E5432" t="str">
            <v>Arroyo Grande</v>
          </cell>
          <cell r="H5432" t="str">
            <v>laboratorio</v>
          </cell>
          <cell r="J5432" t="str">
            <v>bueno</v>
          </cell>
          <cell r="K5432" t="str">
            <v>defsi</v>
          </cell>
        </row>
        <row r="5433">
          <cell r="B5433" t="b">
            <v>1</v>
          </cell>
          <cell r="E5433" t="str">
            <v>Bocachica</v>
          </cell>
          <cell r="H5433" t="str">
            <v>consulta_externa</v>
          </cell>
          <cell r="J5433" t="str">
            <v>muybueno</v>
          </cell>
          <cell r="K5433" t="str">
            <v>defsi</v>
          </cell>
        </row>
        <row r="5434">
          <cell r="B5434" t="b">
            <v>1</v>
          </cell>
          <cell r="E5434" t="str">
            <v>Bocachica</v>
          </cell>
          <cell r="H5434" t="str">
            <v>laboratorio</v>
          </cell>
          <cell r="J5434" t="str">
            <v>muybueno</v>
          </cell>
          <cell r="K5434" t="str">
            <v>defsi</v>
          </cell>
        </row>
        <row r="5435">
          <cell r="B5435" t="b">
            <v>1</v>
          </cell>
          <cell r="E5435" t="str">
            <v>Ternera</v>
          </cell>
          <cell r="H5435" t="str">
            <v>consulta_externa</v>
          </cell>
          <cell r="J5435" t="str">
            <v>bueno</v>
          </cell>
          <cell r="K5435" t="str">
            <v>defsi</v>
          </cell>
        </row>
        <row r="5436">
          <cell r="B5436" t="b">
            <v>1</v>
          </cell>
          <cell r="E5436" t="str">
            <v>Ternera</v>
          </cell>
          <cell r="H5436" t="str">
            <v>salud_oral</v>
          </cell>
          <cell r="J5436" t="str">
            <v>bueno</v>
          </cell>
          <cell r="K5436" t="str">
            <v>defsi</v>
          </cell>
        </row>
        <row r="5437">
          <cell r="B5437" t="b">
            <v>1</v>
          </cell>
          <cell r="E5437" t="str">
            <v>Arroz Barato</v>
          </cell>
          <cell r="H5437" t="str">
            <v>rx</v>
          </cell>
          <cell r="J5437" t="str">
            <v>bueno</v>
          </cell>
          <cell r="K5437" t="str">
            <v>probsi</v>
          </cell>
        </row>
        <row r="5438">
          <cell r="B5438" t="b">
            <v>1</v>
          </cell>
          <cell r="E5438" t="str">
            <v>Arroz Barato</v>
          </cell>
          <cell r="H5438" t="str">
            <v>rx</v>
          </cell>
          <cell r="J5438" t="str">
            <v>bueno</v>
          </cell>
          <cell r="K5438" t="str">
            <v>probsi</v>
          </cell>
        </row>
        <row r="5439">
          <cell r="B5439" t="b">
            <v>1</v>
          </cell>
          <cell r="E5439" t="str">
            <v>Ternera</v>
          </cell>
          <cell r="H5439" t="str">
            <v>laboratorio</v>
          </cell>
          <cell r="J5439" t="str">
            <v>bueno</v>
          </cell>
          <cell r="K5439" t="str">
            <v>defsi</v>
          </cell>
        </row>
        <row r="5440">
          <cell r="B5440" t="b">
            <v>1</v>
          </cell>
          <cell r="E5440" t="str">
            <v>Ternera</v>
          </cell>
          <cell r="H5440" t="str">
            <v>consulta_externa</v>
          </cell>
          <cell r="J5440" t="str">
            <v>bueno</v>
          </cell>
          <cell r="K5440" t="str">
            <v>defsi</v>
          </cell>
        </row>
        <row r="5441">
          <cell r="B5441" t="b">
            <v>0</v>
          </cell>
          <cell r="E5441" t="str">
            <v>Arroz Barato</v>
          </cell>
          <cell r="H5441" t="str">
            <v>consulta_externa</v>
          </cell>
          <cell r="J5441" t="str">
            <v>regular</v>
          </cell>
          <cell r="K5441" t="str">
            <v>probsi</v>
          </cell>
        </row>
        <row r="5442">
          <cell r="B5442" t="b">
            <v>1</v>
          </cell>
          <cell r="E5442" t="str">
            <v>Arroyo Grande</v>
          </cell>
          <cell r="H5442" t="str">
            <v>consulta_externa</v>
          </cell>
          <cell r="J5442" t="str">
            <v>bueno</v>
          </cell>
          <cell r="K5442" t="str">
            <v>defsi</v>
          </cell>
        </row>
        <row r="5443">
          <cell r="B5443" t="b">
            <v>1</v>
          </cell>
          <cell r="E5443" t="str">
            <v>Ternera</v>
          </cell>
          <cell r="H5443" t="str">
            <v>laboratorio</v>
          </cell>
          <cell r="J5443" t="str">
            <v>bueno</v>
          </cell>
          <cell r="K5443" t="str">
            <v>defsi</v>
          </cell>
        </row>
        <row r="5444">
          <cell r="B5444" t="b">
            <v>1</v>
          </cell>
          <cell r="E5444" t="str">
            <v>Arroyo Grande</v>
          </cell>
          <cell r="H5444" t="str">
            <v>salud_oral</v>
          </cell>
          <cell r="J5444" t="str">
            <v>bueno</v>
          </cell>
          <cell r="K5444" t="str">
            <v>defsi</v>
          </cell>
        </row>
        <row r="5445">
          <cell r="B5445" t="b">
            <v>0</v>
          </cell>
          <cell r="E5445" t="str">
            <v>Arroz Barato</v>
          </cell>
          <cell r="H5445" t="str">
            <v>consulta_externa</v>
          </cell>
          <cell r="J5445" t="str">
            <v>regular</v>
          </cell>
          <cell r="K5445" t="str">
            <v>probsi</v>
          </cell>
        </row>
        <row r="5446">
          <cell r="B5446" t="b">
            <v>1</v>
          </cell>
          <cell r="E5446" t="str">
            <v>Bocachica</v>
          </cell>
          <cell r="H5446" t="str">
            <v>consulta_externa</v>
          </cell>
          <cell r="J5446" t="str">
            <v>muybueno</v>
          </cell>
          <cell r="K5446" t="str">
            <v>defsi</v>
          </cell>
        </row>
        <row r="5447">
          <cell r="B5447" t="b">
            <v>1</v>
          </cell>
          <cell r="E5447" t="str">
            <v>Arroz Barato</v>
          </cell>
          <cell r="H5447" t="str">
            <v>salud_oral</v>
          </cell>
          <cell r="J5447" t="str">
            <v>bueno</v>
          </cell>
          <cell r="K5447" t="str">
            <v>probsi</v>
          </cell>
        </row>
        <row r="5448">
          <cell r="B5448" t="b">
            <v>1</v>
          </cell>
          <cell r="E5448" t="str">
            <v>Arroz Barato</v>
          </cell>
          <cell r="H5448" t="str">
            <v>salud_oral</v>
          </cell>
          <cell r="J5448" t="str">
            <v>bueno</v>
          </cell>
          <cell r="K5448" t="str">
            <v>probsi</v>
          </cell>
        </row>
        <row r="5449">
          <cell r="B5449" t="b">
            <v>1</v>
          </cell>
          <cell r="E5449" t="str">
            <v>Arroyo Grande</v>
          </cell>
          <cell r="H5449" t="str">
            <v>laboratorio</v>
          </cell>
          <cell r="J5449" t="str">
            <v>bueno</v>
          </cell>
          <cell r="K5449" t="str">
            <v>defsi</v>
          </cell>
        </row>
        <row r="5450">
          <cell r="B5450" t="b">
            <v>1</v>
          </cell>
          <cell r="E5450" t="str">
            <v>Bocachica</v>
          </cell>
          <cell r="H5450" t="str">
            <v>salud_oral</v>
          </cell>
          <cell r="J5450" t="str">
            <v>muybueno</v>
          </cell>
          <cell r="K5450" t="str">
            <v>defsi</v>
          </cell>
        </row>
        <row r="5451">
          <cell r="B5451" t="b">
            <v>0</v>
          </cell>
          <cell r="E5451" t="str">
            <v>Arroz Barato</v>
          </cell>
          <cell r="H5451" t="str">
            <v>salud_oral</v>
          </cell>
          <cell r="J5451" t="str">
            <v>regular</v>
          </cell>
          <cell r="K5451" t="str">
            <v>probsi</v>
          </cell>
        </row>
        <row r="5452">
          <cell r="B5452" t="b">
            <v>0</v>
          </cell>
          <cell r="E5452" t="str">
            <v>Arroz Barato</v>
          </cell>
          <cell r="H5452" t="str">
            <v>salud_oral</v>
          </cell>
          <cell r="J5452" t="str">
            <v>regular</v>
          </cell>
          <cell r="K5452" t="str">
            <v>probsi</v>
          </cell>
        </row>
        <row r="5453">
          <cell r="B5453" t="b">
            <v>1</v>
          </cell>
          <cell r="E5453" t="str">
            <v>Ternera</v>
          </cell>
          <cell r="H5453" t="str">
            <v>consulta_externa</v>
          </cell>
          <cell r="J5453" t="str">
            <v>bueno</v>
          </cell>
          <cell r="K5453" t="str">
            <v>defsi</v>
          </cell>
        </row>
        <row r="5454">
          <cell r="B5454" t="b">
            <v>1</v>
          </cell>
          <cell r="E5454" t="str">
            <v>Arroyo Grande</v>
          </cell>
          <cell r="H5454" t="str">
            <v>consulta_externa</v>
          </cell>
          <cell r="J5454" t="str">
            <v>bueno</v>
          </cell>
          <cell r="K5454" t="str">
            <v>defsi</v>
          </cell>
        </row>
        <row r="5455">
          <cell r="B5455" t="b">
            <v>1</v>
          </cell>
          <cell r="E5455" t="str">
            <v>Bocachica</v>
          </cell>
          <cell r="H5455" t="str">
            <v>consulta_externa</v>
          </cell>
          <cell r="J5455" t="str">
            <v>muybueno</v>
          </cell>
          <cell r="K5455" t="str">
            <v>defsi</v>
          </cell>
        </row>
        <row r="5456">
          <cell r="B5456" t="b">
            <v>1</v>
          </cell>
          <cell r="E5456" t="str">
            <v>Arroyo Grande</v>
          </cell>
          <cell r="H5456" t="str">
            <v>salud_oral</v>
          </cell>
          <cell r="J5456" t="str">
            <v>bueno</v>
          </cell>
          <cell r="K5456" t="str">
            <v>defsi</v>
          </cell>
        </row>
        <row r="5457">
          <cell r="B5457" t="b">
            <v>1</v>
          </cell>
          <cell r="E5457" t="str">
            <v>Bocachica</v>
          </cell>
          <cell r="H5457" t="str">
            <v>laboratorio</v>
          </cell>
          <cell r="J5457" t="str">
            <v>muybueno</v>
          </cell>
          <cell r="K5457" t="str">
            <v>defsi</v>
          </cell>
        </row>
        <row r="5458">
          <cell r="B5458" t="b">
            <v>1</v>
          </cell>
          <cell r="E5458" t="str">
            <v>Arroyo Grande</v>
          </cell>
          <cell r="H5458" t="str">
            <v>laboratorio</v>
          </cell>
          <cell r="J5458" t="str">
            <v>bueno</v>
          </cell>
          <cell r="K5458" t="str">
            <v>defsi</v>
          </cell>
        </row>
        <row r="5459">
          <cell r="B5459" t="b">
            <v>1</v>
          </cell>
          <cell r="E5459" t="str">
            <v>Bocachica</v>
          </cell>
          <cell r="H5459" t="str">
            <v>consulta_externa</v>
          </cell>
          <cell r="J5459" t="str">
            <v>muybueno</v>
          </cell>
          <cell r="K5459" t="str">
            <v>defsi</v>
          </cell>
        </row>
        <row r="5460">
          <cell r="B5460" t="b">
            <v>1</v>
          </cell>
          <cell r="E5460" t="str">
            <v>Bocachica</v>
          </cell>
          <cell r="H5460" t="str">
            <v>salud_oral</v>
          </cell>
          <cell r="J5460" t="str">
            <v>muybueno</v>
          </cell>
          <cell r="K5460" t="str">
            <v>defsi</v>
          </cell>
        </row>
        <row r="5461">
          <cell r="B5461" t="b">
            <v>0</v>
          </cell>
          <cell r="E5461" t="str">
            <v>Arroz Barato</v>
          </cell>
          <cell r="H5461" t="str">
            <v>consulta_externa</v>
          </cell>
          <cell r="J5461" t="str">
            <v>regular</v>
          </cell>
          <cell r="K5461" t="str">
            <v>probsi</v>
          </cell>
        </row>
        <row r="5462">
          <cell r="B5462" t="b">
            <v>0</v>
          </cell>
          <cell r="E5462" t="str">
            <v>Arroz Barato</v>
          </cell>
          <cell r="H5462" t="str">
            <v>salud_oral</v>
          </cell>
          <cell r="J5462" t="str">
            <v>regular</v>
          </cell>
          <cell r="K5462" t="str">
            <v>probsi</v>
          </cell>
        </row>
        <row r="5463">
          <cell r="B5463" t="b">
            <v>1</v>
          </cell>
          <cell r="E5463" t="str">
            <v>Arroz Barato</v>
          </cell>
          <cell r="H5463" t="str">
            <v>laboratorio</v>
          </cell>
          <cell r="J5463" t="str">
            <v>bueno</v>
          </cell>
          <cell r="K5463" t="str">
            <v>probsi</v>
          </cell>
        </row>
        <row r="5464">
          <cell r="B5464" t="b">
            <v>1</v>
          </cell>
          <cell r="E5464" t="str">
            <v>Arroz Barato</v>
          </cell>
          <cell r="H5464" t="str">
            <v>consulta_externa</v>
          </cell>
          <cell r="J5464" t="str">
            <v>bueno</v>
          </cell>
          <cell r="K5464" t="str">
            <v>probsi</v>
          </cell>
        </row>
        <row r="5465">
          <cell r="B5465" t="b">
            <v>1</v>
          </cell>
          <cell r="E5465" t="str">
            <v>Bocachica</v>
          </cell>
          <cell r="H5465" t="str">
            <v>consulta_externa</v>
          </cell>
          <cell r="J5465" t="str">
            <v>muybueno</v>
          </cell>
          <cell r="K5465" t="str">
            <v>defsi</v>
          </cell>
        </row>
        <row r="5466">
          <cell r="B5466" t="b">
            <v>1</v>
          </cell>
          <cell r="E5466" t="str">
            <v>Bocachica</v>
          </cell>
          <cell r="H5466" t="str">
            <v>urgencia</v>
          </cell>
          <cell r="J5466" t="str">
            <v>muybueno</v>
          </cell>
          <cell r="K5466" t="str">
            <v>defsi</v>
          </cell>
        </row>
        <row r="5467">
          <cell r="B5467" t="b">
            <v>1</v>
          </cell>
          <cell r="E5467" t="str">
            <v>Bocachica</v>
          </cell>
          <cell r="H5467" t="str">
            <v>consulta_externa</v>
          </cell>
          <cell r="J5467" t="str">
            <v>muybueno</v>
          </cell>
          <cell r="K5467" t="str">
            <v>defsi</v>
          </cell>
        </row>
        <row r="5468">
          <cell r="B5468" t="b">
            <v>1</v>
          </cell>
          <cell r="E5468" t="str">
            <v>Bocachica</v>
          </cell>
          <cell r="H5468" t="str">
            <v>consulta_externa</v>
          </cell>
          <cell r="J5468" t="str">
            <v>muybueno</v>
          </cell>
          <cell r="K5468" t="str">
            <v>defsi</v>
          </cell>
        </row>
        <row r="5469">
          <cell r="B5469" t="b">
            <v>1</v>
          </cell>
          <cell r="E5469" t="str">
            <v>Bocachica</v>
          </cell>
          <cell r="H5469" t="str">
            <v>laboratorio</v>
          </cell>
          <cell r="J5469" t="str">
            <v>muybueno</v>
          </cell>
          <cell r="K5469" t="str">
            <v>defsi</v>
          </cell>
        </row>
        <row r="5470">
          <cell r="B5470" t="b">
            <v>1</v>
          </cell>
          <cell r="E5470" t="str">
            <v>Arroyo Grande</v>
          </cell>
          <cell r="H5470" t="str">
            <v>consulta_externa</v>
          </cell>
          <cell r="J5470" t="str">
            <v>bueno</v>
          </cell>
          <cell r="K5470" t="str">
            <v>defsi</v>
          </cell>
        </row>
        <row r="5471">
          <cell r="B5471" t="b">
            <v>1</v>
          </cell>
          <cell r="E5471" t="str">
            <v>Arroyo Grande</v>
          </cell>
          <cell r="H5471" t="str">
            <v>salud_oral</v>
          </cell>
          <cell r="J5471" t="str">
            <v>bueno</v>
          </cell>
          <cell r="K5471" t="str">
            <v>defsi</v>
          </cell>
        </row>
        <row r="5472">
          <cell r="B5472" t="b">
            <v>1</v>
          </cell>
          <cell r="E5472" t="str">
            <v>Bocachica</v>
          </cell>
          <cell r="H5472" t="str">
            <v>consulta_externa</v>
          </cell>
          <cell r="J5472" t="str">
            <v>muybueno</v>
          </cell>
          <cell r="K5472" t="str">
            <v>defsi</v>
          </cell>
        </row>
        <row r="5473">
          <cell r="B5473" t="b">
            <v>1</v>
          </cell>
          <cell r="E5473" t="str">
            <v>Bocachica</v>
          </cell>
          <cell r="H5473" t="str">
            <v>laboratorio</v>
          </cell>
          <cell r="J5473" t="str">
            <v>muybueno</v>
          </cell>
          <cell r="K5473" t="str">
            <v>defsi</v>
          </cell>
        </row>
        <row r="5474">
          <cell r="B5474" t="b">
            <v>1</v>
          </cell>
          <cell r="E5474" t="str">
            <v>Ternera</v>
          </cell>
          <cell r="H5474" t="str">
            <v>salud_oral</v>
          </cell>
          <cell r="J5474" t="str">
            <v>bueno</v>
          </cell>
          <cell r="K5474" t="str">
            <v>defsi</v>
          </cell>
        </row>
        <row r="5475">
          <cell r="B5475" t="b">
            <v>1</v>
          </cell>
          <cell r="E5475" t="str">
            <v>Ternera</v>
          </cell>
          <cell r="H5475" t="str">
            <v>salud_oral</v>
          </cell>
          <cell r="J5475" t="str">
            <v>bueno</v>
          </cell>
          <cell r="K5475" t="str">
            <v>defsi</v>
          </cell>
        </row>
        <row r="5476">
          <cell r="B5476" t="b">
            <v>1</v>
          </cell>
          <cell r="E5476" t="str">
            <v>Arroyo Grande</v>
          </cell>
          <cell r="H5476" t="str">
            <v>consulta_externa</v>
          </cell>
          <cell r="J5476" t="str">
            <v>bueno</v>
          </cell>
          <cell r="K5476" t="str">
            <v>defsi</v>
          </cell>
        </row>
        <row r="5477">
          <cell r="B5477" t="b">
            <v>1</v>
          </cell>
          <cell r="E5477" t="str">
            <v>Arroyo Grande</v>
          </cell>
          <cell r="H5477" t="str">
            <v>consulta_externa</v>
          </cell>
          <cell r="J5477" t="str">
            <v>bueno</v>
          </cell>
          <cell r="K5477" t="str">
            <v>defsi</v>
          </cell>
        </row>
        <row r="5478">
          <cell r="B5478" t="b">
            <v>1</v>
          </cell>
          <cell r="E5478" t="str">
            <v>Bocachica</v>
          </cell>
          <cell r="H5478" t="str">
            <v>consulta_externa</v>
          </cell>
          <cell r="J5478" t="str">
            <v>muybueno</v>
          </cell>
          <cell r="K5478" t="str">
            <v>defsi</v>
          </cell>
        </row>
        <row r="5479">
          <cell r="B5479" t="b">
            <v>1</v>
          </cell>
          <cell r="E5479" t="str">
            <v>Arroyo Grande</v>
          </cell>
          <cell r="H5479" t="str">
            <v>salud_oral</v>
          </cell>
          <cell r="J5479" t="str">
            <v>bueno</v>
          </cell>
          <cell r="K5479" t="str">
            <v>defsi</v>
          </cell>
        </row>
        <row r="5480">
          <cell r="B5480" t="b">
            <v>1</v>
          </cell>
          <cell r="E5480" t="str">
            <v>Bocachica</v>
          </cell>
          <cell r="H5480" t="str">
            <v>consulta_externa</v>
          </cell>
          <cell r="J5480" t="str">
            <v>muybueno</v>
          </cell>
          <cell r="K5480" t="str">
            <v>defsi</v>
          </cell>
        </row>
        <row r="5481">
          <cell r="B5481" t="b">
            <v>1</v>
          </cell>
          <cell r="E5481" t="str">
            <v>Bocachica</v>
          </cell>
          <cell r="H5481" t="str">
            <v>laboratorio</v>
          </cell>
          <cell r="J5481" t="str">
            <v>muybueno</v>
          </cell>
          <cell r="K5481" t="str">
            <v>defsi</v>
          </cell>
        </row>
        <row r="5482">
          <cell r="B5482" t="b">
            <v>1</v>
          </cell>
          <cell r="E5482" t="str">
            <v>Arroyo Grande</v>
          </cell>
          <cell r="H5482" t="str">
            <v>laboratorio</v>
          </cell>
          <cell r="J5482" t="str">
            <v>bueno</v>
          </cell>
          <cell r="K5482" t="str">
            <v>defsi</v>
          </cell>
        </row>
        <row r="5483">
          <cell r="B5483" t="b">
            <v>1</v>
          </cell>
          <cell r="E5483" t="str">
            <v>Bocachica</v>
          </cell>
          <cell r="H5483" t="str">
            <v>consulta_externa</v>
          </cell>
          <cell r="J5483" t="str">
            <v>muybueno</v>
          </cell>
          <cell r="K5483" t="str">
            <v>defsi</v>
          </cell>
        </row>
        <row r="5484">
          <cell r="B5484" t="b">
            <v>1</v>
          </cell>
          <cell r="E5484" t="str">
            <v>Ternera</v>
          </cell>
          <cell r="H5484" t="str">
            <v>consulta_externa</v>
          </cell>
          <cell r="J5484" t="str">
            <v>bueno</v>
          </cell>
          <cell r="K5484" t="str">
            <v>defsi</v>
          </cell>
        </row>
        <row r="5485">
          <cell r="B5485" t="b">
            <v>1</v>
          </cell>
          <cell r="E5485" t="str">
            <v>Ternera</v>
          </cell>
          <cell r="H5485" t="str">
            <v>salud_oral</v>
          </cell>
          <cell r="J5485" t="str">
            <v>bueno</v>
          </cell>
          <cell r="K5485" t="str">
            <v>defsi</v>
          </cell>
        </row>
        <row r="5486">
          <cell r="B5486" t="b">
            <v>1</v>
          </cell>
          <cell r="E5486" t="str">
            <v>Ternera</v>
          </cell>
          <cell r="H5486" t="str">
            <v>consulta_externa</v>
          </cell>
          <cell r="J5486" t="str">
            <v>bueno</v>
          </cell>
          <cell r="K5486" t="str">
            <v>defsi</v>
          </cell>
        </row>
        <row r="5487">
          <cell r="B5487" t="b">
            <v>1</v>
          </cell>
          <cell r="E5487" t="str">
            <v>Ternera</v>
          </cell>
          <cell r="H5487" t="str">
            <v>consulta_externa</v>
          </cell>
          <cell r="J5487" t="str">
            <v>bueno</v>
          </cell>
          <cell r="K5487" t="str">
            <v>defsi</v>
          </cell>
        </row>
        <row r="5488">
          <cell r="B5488" t="b">
            <v>1</v>
          </cell>
          <cell r="E5488" t="str">
            <v>Ternera</v>
          </cell>
          <cell r="H5488" t="str">
            <v>laboratorio</v>
          </cell>
          <cell r="J5488" t="str">
            <v>bueno</v>
          </cell>
          <cell r="K5488" t="str">
            <v>defsi</v>
          </cell>
        </row>
        <row r="5489">
          <cell r="B5489" t="b">
            <v>1</v>
          </cell>
          <cell r="E5489" t="str">
            <v>Ternera</v>
          </cell>
          <cell r="H5489" t="str">
            <v>consulta_externa</v>
          </cell>
          <cell r="J5489" t="str">
            <v>bueno</v>
          </cell>
          <cell r="K5489" t="str">
            <v>defsi</v>
          </cell>
        </row>
        <row r="5490">
          <cell r="B5490" t="b">
            <v>1</v>
          </cell>
          <cell r="E5490" t="str">
            <v>Ternera</v>
          </cell>
          <cell r="H5490" t="str">
            <v>laboratorio</v>
          </cell>
          <cell r="J5490" t="str">
            <v>bueno</v>
          </cell>
          <cell r="K5490" t="str">
            <v>defsi</v>
          </cell>
        </row>
        <row r="5491">
          <cell r="B5491" t="b">
            <v>1</v>
          </cell>
          <cell r="E5491" t="str">
            <v>Bocachica</v>
          </cell>
          <cell r="H5491" t="str">
            <v>consulta_externa</v>
          </cell>
          <cell r="J5491" t="str">
            <v>muybueno</v>
          </cell>
          <cell r="K5491" t="str">
            <v>defsi</v>
          </cell>
        </row>
        <row r="5492">
          <cell r="B5492" t="b">
            <v>1</v>
          </cell>
          <cell r="E5492" t="str">
            <v>Ternera</v>
          </cell>
          <cell r="H5492" t="str">
            <v>consulta_externa</v>
          </cell>
          <cell r="J5492" t="str">
            <v>bueno</v>
          </cell>
          <cell r="K5492" t="str">
            <v>defsi</v>
          </cell>
        </row>
        <row r="5493">
          <cell r="B5493" t="b">
            <v>1</v>
          </cell>
          <cell r="E5493" t="str">
            <v>Bocachica</v>
          </cell>
          <cell r="H5493" t="str">
            <v>laboratorio</v>
          </cell>
          <cell r="J5493" t="str">
            <v>muybueno</v>
          </cell>
          <cell r="K5493" t="str">
            <v>defsi</v>
          </cell>
        </row>
        <row r="5494">
          <cell r="B5494" t="b">
            <v>1</v>
          </cell>
          <cell r="E5494" t="str">
            <v>Ternera</v>
          </cell>
          <cell r="H5494" t="str">
            <v>laboratorio</v>
          </cell>
          <cell r="J5494" t="str">
            <v>bueno</v>
          </cell>
          <cell r="K5494" t="str">
            <v>defsi</v>
          </cell>
        </row>
        <row r="5495">
          <cell r="B5495" t="b">
            <v>0</v>
          </cell>
          <cell r="E5495" t="str">
            <v>Arroz Barato</v>
          </cell>
          <cell r="H5495" t="str">
            <v>urgencia</v>
          </cell>
          <cell r="J5495" t="str">
            <v>regular</v>
          </cell>
          <cell r="K5495" t="str">
            <v>probsi</v>
          </cell>
        </row>
        <row r="5496">
          <cell r="B5496" t="b">
            <v>0</v>
          </cell>
          <cell r="E5496" t="str">
            <v>Arroz Barato</v>
          </cell>
          <cell r="H5496" t="str">
            <v>urgencia</v>
          </cell>
          <cell r="J5496" t="str">
            <v>regular</v>
          </cell>
          <cell r="K5496" t="str">
            <v>probsi</v>
          </cell>
        </row>
        <row r="5497">
          <cell r="B5497" t="b">
            <v>1</v>
          </cell>
          <cell r="E5497" t="str">
            <v>Arroz Barato</v>
          </cell>
          <cell r="H5497" t="str">
            <v>urgencia</v>
          </cell>
          <cell r="J5497" t="str">
            <v>bueno</v>
          </cell>
          <cell r="K5497" t="str">
            <v>probsi</v>
          </cell>
        </row>
        <row r="5498">
          <cell r="B5498" t="b">
            <v>1</v>
          </cell>
          <cell r="E5498" t="str">
            <v>Arroz Barato</v>
          </cell>
          <cell r="H5498" t="str">
            <v>urgencia</v>
          </cell>
          <cell r="J5498" t="str">
            <v>bueno</v>
          </cell>
          <cell r="K5498" t="str">
            <v>probsi</v>
          </cell>
        </row>
        <row r="5499">
          <cell r="B5499" t="b">
            <v>1</v>
          </cell>
          <cell r="E5499" t="str">
            <v>Ternera</v>
          </cell>
          <cell r="H5499" t="str">
            <v>salud_oral</v>
          </cell>
          <cell r="J5499" t="str">
            <v>bueno</v>
          </cell>
          <cell r="K5499" t="str">
            <v>defsi</v>
          </cell>
        </row>
        <row r="5500">
          <cell r="B5500" t="b">
            <v>1</v>
          </cell>
          <cell r="E5500" t="str">
            <v>Arroz Barato</v>
          </cell>
          <cell r="H5500" t="str">
            <v>urgencia</v>
          </cell>
          <cell r="J5500" t="str">
            <v>bueno</v>
          </cell>
          <cell r="K5500" t="str">
            <v>probsi</v>
          </cell>
        </row>
        <row r="5501">
          <cell r="B5501" t="b">
            <v>1</v>
          </cell>
          <cell r="E5501" t="str">
            <v>Ternera</v>
          </cell>
          <cell r="H5501" t="str">
            <v>consulta_externa</v>
          </cell>
          <cell r="J5501" t="str">
            <v>bueno</v>
          </cell>
          <cell r="K5501" t="str">
            <v>defsi</v>
          </cell>
        </row>
        <row r="5502">
          <cell r="B5502" t="b">
            <v>1</v>
          </cell>
          <cell r="E5502" t="str">
            <v>Arroz Barato</v>
          </cell>
          <cell r="H5502" t="str">
            <v>urgencia</v>
          </cell>
          <cell r="J5502" t="str">
            <v>bueno</v>
          </cell>
          <cell r="K5502" t="str">
            <v>probsi</v>
          </cell>
        </row>
        <row r="5503">
          <cell r="B5503" t="b">
            <v>1</v>
          </cell>
          <cell r="E5503" t="str">
            <v>Arroz Barato</v>
          </cell>
          <cell r="H5503" t="str">
            <v>urgencia</v>
          </cell>
          <cell r="J5503" t="str">
            <v>bueno</v>
          </cell>
          <cell r="K5503" t="str">
            <v>probsi</v>
          </cell>
        </row>
        <row r="5504">
          <cell r="B5504" t="b">
            <v>1</v>
          </cell>
          <cell r="E5504" t="str">
            <v>Arroz Barato</v>
          </cell>
          <cell r="H5504" t="str">
            <v>urgencia</v>
          </cell>
          <cell r="J5504" t="str">
            <v>bueno</v>
          </cell>
          <cell r="K5504" t="str">
            <v>probsi</v>
          </cell>
        </row>
        <row r="5505">
          <cell r="B5505" t="b">
            <v>1</v>
          </cell>
          <cell r="E5505" t="str">
            <v>Arroz Barato</v>
          </cell>
          <cell r="H5505" t="str">
            <v>urgencia</v>
          </cell>
          <cell r="J5505" t="str">
            <v>bueno</v>
          </cell>
          <cell r="K5505" t="str">
            <v>probsi</v>
          </cell>
        </row>
        <row r="5506">
          <cell r="B5506" t="b">
            <v>1</v>
          </cell>
          <cell r="E5506" t="str">
            <v>Arroz Barato</v>
          </cell>
          <cell r="H5506" t="str">
            <v>urgencia</v>
          </cell>
          <cell r="J5506" t="str">
            <v>bueno</v>
          </cell>
          <cell r="K5506" t="str">
            <v>probsi</v>
          </cell>
        </row>
        <row r="5507">
          <cell r="B5507" t="b">
            <v>1</v>
          </cell>
          <cell r="E5507" t="str">
            <v>Ternera</v>
          </cell>
          <cell r="H5507" t="str">
            <v>consulta_externa</v>
          </cell>
          <cell r="J5507" t="str">
            <v>bueno</v>
          </cell>
          <cell r="K5507" t="str">
            <v>defsi</v>
          </cell>
        </row>
        <row r="5508">
          <cell r="B5508" t="b">
            <v>1</v>
          </cell>
          <cell r="E5508" t="str">
            <v>Bocachica</v>
          </cell>
          <cell r="H5508" t="str">
            <v>consulta_externa</v>
          </cell>
          <cell r="J5508" t="str">
            <v>muybueno</v>
          </cell>
          <cell r="K5508" t="str">
            <v>defsi</v>
          </cell>
        </row>
        <row r="5509">
          <cell r="B5509" t="b">
            <v>1</v>
          </cell>
          <cell r="E5509" t="str">
            <v>Ternera</v>
          </cell>
          <cell r="H5509" t="str">
            <v>salud_oral</v>
          </cell>
          <cell r="J5509" t="str">
            <v>bueno</v>
          </cell>
          <cell r="K5509" t="str">
            <v>defsi</v>
          </cell>
        </row>
        <row r="5510">
          <cell r="B5510" t="b">
            <v>1</v>
          </cell>
          <cell r="E5510" t="str">
            <v>Ternera</v>
          </cell>
          <cell r="H5510" t="str">
            <v>salud_oral</v>
          </cell>
          <cell r="J5510" t="str">
            <v>bueno</v>
          </cell>
          <cell r="K5510" t="str">
            <v>defsi</v>
          </cell>
        </row>
        <row r="5511">
          <cell r="B5511" t="b">
            <v>0</v>
          </cell>
          <cell r="E5511" t="str">
            <v>Arroz Barato</v>
          </cell>
          <cell r="H5511" t="str">
            <v>consulta_externa</v>
          </cell>
          <cell r="J5511" t="str">
            <v>regular</v>
          </cell>
          <cell r="K5511" t="str">
            <v>probsi</v>
          </cell>
        </row>
        <row r="5512">
          <cell r="B5512" t="b">
            <v>0</v>
          </cell>
          <cell r="E5512" t="str">
            <v>Arroz Barato</v>
          </cell>
          <cell r="H5512" t="str">
            <v>consulta_externa</v>
          </cell>
          <cell r="J5512" t="str">
            <v>regular</v>
          </cell>
          <cell r="K5512" t="str">
            <v>probsi</v>
          </cell>
        </row>
        <row r="5513">
          <cell r="B5513" t="b">
            <v>0</v>
          </cell>
          <cell r="E5513" t="str">
            <v>Arroz Barato</v>
          </cell>
          <cell r="H5513" t="str">
            <v>consulta_externa</v>
          </cell>
          <cell r="J5513" t="str">
            <v>regular</v>
          </cell>
          <cell r="K5513" t="str">
            <v>probsi</v>
          </cell>
        </row>
        <row r="5514">
          <cell r="B5514" t="b">
            <v>1</v>
          </cell>
          <cell r="E5514" t="str">
            <v>Arroyo Grande</v>
          </cell>
          <cell r="H5514" t="str">
            <v>consulta_externa</v>
          </cell>
          <cell r="J5514" t="str">
            <v>bueno</v>
          </cell>
          <cell r="K5514" t="str">
            <v>defsi</v>
          </cell>
        </row>
        <row r="5515">
          <cell r="B5515" t="b">
            <v>1</v>
          </cell>
          <cell r="E5515" t="str">
            <v>Arroz Barato</v>
          </cell>
          <cell r="H5515" t="str">
            <v>consulta_externa</v>
          </cell>
          <cell r="J5515" t="str">
            <v>bueno</v>
          </cell>
          <cell r="K5515" t="str">
            <v>probsi</v>
          </cell>
        </row>
        <row r="5516">
          <cell r="B5516" t="b">
            <v>1</v>
          </cell>
          <cell r="E5516" t="str">
            <v>Ternera</v>
          </cell>
          <cell r="H5516" t="str">
            <v>laboratorio</v>
          </cell>
          <cell r="J5516" t="str">
            <v>bueno</v>
          </cell>
          <cell r="K5516" t="str">
            <v>defsi</v>
          </cell>
        </row>
        <row r="5517">
          <cell r="B5517" t="b">
            <v>1</v>
          </cell>
          <cell r="E5517" t="str">
            <v>Arroz Barato</v>
          </cell>
          <cell r="H5517" t="str">
            <v>salud_oral</v>
          </cell>
          <cell r="J5517" t="str">
            <v>bueno</v>
          </cell>
          <cell r="K5517" t="str">
            <v>probsi</v>
          </cell>
        </row>
        <row r="5518">
          <cell r="B5518" t="b">
            <v>0</v>
          </cell>
          <cell r="E5518" t="str">
            <v>Ternera</v>
          </cell>
          <cell r="H5518" t="str">
            <v>laboratorio</v>
          </cell>
          <cell r="J5518" t="str">
            <v>regular</v>
          </cell>
          <cell r="K5518" t="str">
            <v>defsi</v>
          </cell>
        </row>
        <row r="5519">
          <cell r="B5519" t="b">
            <v>1</v>
          </cell>
          <cell r="E5519" t="str">
            <v>Arroyo Grande</v>
          </cell>
          <cell r="H5519" t="str">
            <v>salud_oral</v>
          </cell>
          <cell r="J5519" t="str">
            <v>bueno</v>
          </cell>
          <cell r="K5519" t="str">
            <v>defsi</v>
          </cell>
        </row>
        <row r="5520">
          <cell r="B5520" t="b">
            <v>1</v>
          </cell>
          <cell r="E5520" t="str">
            <v>Arroz Barato</v>
          </cell>
          <cell r="H5520" t="str">
            <v>salud_oral</v>
          </cell>
          <cell r="J5520" t="str">
            <v>bueno</v>
          </cell>
          <cell r="K5520" t="str">
            <v>probsi</v>
          </cell>
        </row>
        <row r="5521">
          <cell r="B5521" t="b">
            <v>1</v>
          </cell>
          <cell r="E5521" t="str">
            <v>Bocachica</v>
          </cell>
          <cell r="H5521" t="str">
            <v>consulta_externa</v>
          </cell>
          <cell r="J5521" t="str">
            <v>muybueno</v>
          </cell>
          <cell r="K5521" t="str">
            <v>defsi</v>
          </cell>
        </row>
        <row r="5522">
          <cell r="B5522" t="b">
            <v>1</v>
          </cell>
          <cell r="E5522" t="str">
            <v>Arroz Barato</v>
          </cell>
          <cell r="H5522" t="str">
            <v>salud_oral</v>
          </cell>
          <cell r="J5522" t="str">
            <v>bueno</v>
          </cell>
          <cell r="K5522" t="str">
            <v>probsi</v>
          </cell>
        </row>
        <row r="5523">
          <cell r="B5523" t="b">
            <v>1</v>
          </cell>
          <cell r="E5523" t="str">
            <v>Arroz Barato</v>
          </cell>
          <cell r="H5523" t="str">
            <v>salud_oral</v>
          </cell>
          <cell r="J5523" t="str">
            <v>bueno</v>
          </cell>
          <cell r="K5523" t="str">
            <v>probsi</v>
          </cell>
        </row>
        <row r="5524">
          <cell r="B5524" t="b">
            <v>0</v>
          </cell>
          <cell r="E5524" t="str">
            <v>Ternera</v>
          </cell>
          <cell r="H5524" t="str">
            <v>laboratorio</v>
          </cell>
          <cell r="J5524" t="str">
            <v>regular</v>
          </cell>
          <cell r="K5524" t="str">
            <v>defsi</v>
          </cell>
        </row>
        <row r="5525">
          <cell r="B5525" t="b">
            <v>1</v>
          </cell>
          <cell r="E5525" t="str">
            <v>Bocachica</v>
          </cell>
          <cell r="H5525" t="str">
            <v>salud_oral</v>
          </cell>
          <cell r="J5525" t="str">
            <v>muybueno</v>
          </cell>
          <cell r="K5525" t="str">
            <v>defsi</v>
          </cell>
        </row>
        <row r="5526">
          <cell r="B5526" t="b">
            <v>1</v>
          </cell>
          <cell r="E5526" t="str">
            <v>Arroz Barato</v>
          </cell>
          <cell r="H5526" t="str">
            <v>salud_oral</v>
          </cell>
          <cell r="J5526" t="str">
            <v>bueno</v>
          </cell>
          <cell r="K5526" t="str">
            <v>probsi</v>
          </cell>
        </row>
        <row r="5527">
          <cell r="B5527" t="b">
            <v>1</v>
          </cell>
          <cell r="E5527" t="str">
            <v>Arroz Barato</v>
          </cell>
          <cell r="H5527" t="str">
            <v>salud_oral</v>
          </cell>
          <cell r="J5527" t="str">
            <v>bueno</v>
          </cell>
          <cell r="K5527" t="str">
            <v>probsi</v>
          </cell>
        </row>
        <row r="5528">
          <cell r="B5528" t="b">
            <v>1</v>
          </cell>
          <cell r="E5528" t="str">
            <v>Arroyo Grande</v>
          </cell>
          <cell r="H5528" t="str">
            <v>laboratorio</v>
          </cell>
          <cell r="J5528" t="str">
            <v>bueno</v>
          </cell>
          <cell r="K5528" t="str">
            <v>defsi</v>
          </cell>
        </row>
        <row r="5529">
          <cell r="B5529" t="b">
            <v>1</v>
          </cell>
          <cell r="E5529" t="str">
            <v>Arroyo Grande</v>
          </cell>
          <cell r="H5529" t="str">
            <v>consulta_externa</v>
          </cell>
          <cell r="J5529" t="str">
            <v>bueno</v>
          </cell>
          <cell r="K5529" t="str">
            <v>defsi</v>
          </cell>
        </row>
        <row r="5530">
          <cell r="B5530" t="b">
            <v>1</v>
          </cell>
          <cell r="E5530" t="str">
            <v>Arroyo Grande</v>
          </cell>
          <cell r="H5530" t="str">
            <v>salud_oral</v>
          </cell>
          <cell r="J5530" t="str">
            <v>bueno</v>
          </cell>
          <cell r="K5530" t="str">
            <v>defsi</v>
          </cell>
        </row>
        <row r="5531">
          <cell r="B5531" t="b">
            <v>1</v>
          </cell>
          <cell r="E5531" t="str">
            <v>Arroyo Grande</v>
          </cell>
          <cell r="H5531" t="str">
            <v>laboratorio</v>
          </cell>
          <cell r="J5531" t="str">
            <v>bueno</v>
          </cell>
          <cell r="K5531" t="str">
            <v>defsi</v>
          </cell>
        </row>
        <row r="5532">
          <cell r="B5532" t="b">
            <v>1</v>
          </cell>
          <cell r="E5532" t="str">
            <v>Bocachica</v>
          </cell>
          <cell r="H5532" t="str">
            <v>consulta_externa</v>
          </cell>
          <cell r="J5532" t="str">
            <v>muybueno</v>
          </cell>
          <cell r="K5532" t="str">
            <v>defsi</v>
          </cell>
        </row>
        <row r="5533">
          <cell r="B5533" t="b">
            <v>1</v>
          </cell>
          <cell r="E5533" t="str">
            <v>Bocachica</v>
          </cell>
          <cell r="H5533" t="str">
            <v>salud_oral</v>
          </cell>
          <cell r="J5533" t="str">
            <v>muybueno</v>
          </cell>
          <cell r="K5533" t="str">
            <v>defsi</v>
          </cell>
        </row>
        <row r="5534">
          <cell r="B5534" t="b">
            <v>1</v>
          </cell>
          <cell r="E5534" t="str">
            <v>Bocachica</v>
          </cell>
          <cell r="H5534" t="str">
            <v>consulta_externa</v>
          </cell>
          <cell r="J5534" t="str">
            <v>muybueno</v>
          </cell>
          <cell r="K5534" t="str">
            <v>defsi</v>
          </cell>
        </row>
        <row r="5535">
          <cell r="B5535" t="b">
            <v>1</v>
          </cell>
          <cell r="E5535" t="str">
            <v>Arroyo Grande</v>
          </cell>
          <cell r="H5535" t="str">
            <v>consulta_externa</v>
          </cell>
          <cell r="J5535" t="str">
            <v>bueno</v>
          </cell>
          <cell r="K5535" t="str">
            <v>defsi</v>
          </cell>
        </row>
        <row r="5536">
          <cell r="B5536" t="b">
            <v>1</v>
          </cell>
          <cell r="E5536" t="str">
            <v>Arroyo Grande</v>
          </cell>
          <cell r="H5536" t="str">
            <v>salud_oral</v>
          </cell>
          <cell r="J5536" t="str">
            <v>bueno</v>
          </cell>
          <cell r="K5536" t="str">
            <v>defsi</v>
          </cell>
        </row>
        <row r="5537">
          <cell r="B5537" t="b">
            <v>1</v>
          </cell>
          <cell r="E5537" t="str">
            <v>Arroyo Grande</v>
          </cell>
          <cell r="H5537" t="str">
            <v>laboratorio</v>
          </cell>
          <cell r="J5537" t="str">
            <v>bueno</v>
          </cell>
          <cell r="K5537" t="str">
            <v>defsi</v>
          </cell>
        </row>
        <row r="5538">
          <cell r="B5538" t="b">
            <v>1</v>
          </cell>
          <cell r="E5538" t="str">
            <v>Bocachica</v>
          </cell>
          <cell r="H5538" t="str">
            <v>consulta_externa</v>
          </cell>
          <cell r="J5538" t="str">
            <v>muybueno</v>
          </cell>
          <cell r="K5538" t="str">
            <v>defsi</v>
          </cell>
        </row>
        <row r="5539">
          <cell r="B5539" t="b">
            <v>1</v>
          </cell>
          <cell r="E5539" t="str">
            <v>Bocachica</v>
          </cell>
          <cell r="H5539" t="str">
            <v>consulta_externa</v>
          </cell>
          <cell r="J5539" t="str">
            <v>muybueno</v>
          </cell>
          <cell r="K5539" t="str">
            <v>defsi</v>
          </cell>
        </row>
        <row r="5540">
          <cell r="B5540" t="b">
            <v>1</v>
          </cell>
          <cell r="E5540" t="str">
            <v>Bocachica</v>
          </cell>
          <cell r="H5540" t="str">
            <v>laboratorio</v>
          </cell>
          <cell r="J5540" t="str">
            <v>muybueno</v>
          </cell>
          <cell r="K5540" t="str">
            <v>defsi</v>
          </cell>
        </row>
        <row r="5541">
          <cell r="B5541" t="b">
            <v>1</v>
          </cell>
          <cell r="E5541" t="str">
            <v>Bocachica</v>
          </cell>
          <cell r="H5541" t="str">
            <v>salud_oral</v>
          </cell>
          <cell r="J5541" t="str">
            <v>muybueno</v>
          </cell>
          <cell r="K5541" t="str">
            <v>defsi</v>
          </cell>
        </row>
        <row r="5542">
          <cell r="B5542" t="b">
            <v>1</v>
          </cell>
          <cell r="E5542" t="str">
            <v>Bocachica</v>
          </cell>
          <cell r="H5542" t="str">
            <v>consulta_externa</v>
          </cell>
          <cell r="J5542" t="str">
            <v>muybueno</v>
          </cell>
          <cell r="K5542" t="str">
            <v>defsi</v>
          </cell>
        </row>
        <row r="5543">
          <cell r="B5543" t="b">
            <v>1</v>
          </cell>
          <cell r="E5543" t="str">
            <v>Pasacaballos</v>
          </cell>
          <cell r="H5543" t="str">
            <v>consulta_externa</v>
          </cell>
          <cell r="J5543" t="str">
            <v>bueno</v>
          </cell>
          <cell r="K5543" t="str">
            <v>probsi</v>
          </cell>
        </row>
        <row r="5544">
          <cell r="B5544" t="b">
            <v>1</v>
          </cell>
          <cell r="E5544" t="str">
            <v>Pasacaballos</v>
          </cell>
          <cell r="H5544" t="str">
            <v>laboratorio</v>
          </cell>
          <cell r="J5544" t="str">
            <v>bueno</v>
          </cell>
          <cell r="K5544" t="str">
            <v>probsi</v>
          </cell>
        </row>
        <row r="5545">
          <cell r="B5545" t="b">
            <v>0</v>
          </cell>
          <cell r="E5545" t="str">
            <v>Pasacaballos</v>
          </cell>
          <cell r="H5545" t="str">
            <v>consulta_externa</v>
          </cell>
          <cell r="J5545" t="str">
            <v>regular</v>
          </cell>
          <cell r="K5545" t="str">
            <v>probsi</v>
          </cell>
        </row>
        <row r="5546">
          <cell r="B5546" t="b">
            <v>1</v>
          </cell>
          <cell r="E5546" t="str">
            <v>Pasacaballos</v>
          </cell>
          <cell r="H5546" t="str">
            <v>salud_oral</v>
          </cell>
          <cell r="J5546" t="str">
            <v>bueno</v>
          </cell>
          <cell r="K5546" t="str">
            <v>probsi</v>
          </cell>
        </row>
        <row r="5547">
          <cell r="B5547" t="b">
            <v>0</v>
          </cell>
          <cell r="E5547" t="str">
            <v>Pasacaballos</v>
          </cell>
          <cell r="H5547" t="str">
            <v>laboratorio</v>
          </cell>
          <cell r="J5547" t="str">
            <v>regular</v>
          </cell>
          <cell r="K5547" t="str">
            <v>probsi</v>
          </cell>
        </row>
        <row r="5548">
          <cell r="B5548" t="b">
            <v>1</v>
          </cell>
          <cell r="E5548" t="str">
            <v>Pasacaballos</v>
          </cell>
          <cell r="H5548" t="str">
            <v>consulta_externa</v>
          </cell>
          <cell r="J5548" t="str">
            <v>bueno</v>
          </cell>
          <cell r="K5548" t="str">
            <v>probsi</v>
          </cell>
        </row>
        <row r="5549">
          <cell r="B5549" t="b">
            <v>1</v>
          </cell>
          <cell r="E5549" t="str">
            <v>Pasacaballos</v>
          </cell>
          <cell r="H5549" t="str">
            <v>salud_oral</v>
          </cell>
          <cell r="J5549" t="str">
            <v>bueno</v>
          </cell>
          <cell r="K5549" t="str">
            <v>probsi</v>
          </cell>
        </row>
        <row r="5550">
          <cell r="B5550" t="b">
            <v>1</v>
          </cell>
          <cell r="E5550" t="str">
            <v>Pasacaballos</v>
          </cell>
          <cell r="H5550" t="str">
            <v>laboratorio</v>
          </cell>
          <cell r="J5550" t="str">
            <v>bueno</v>
          </cell>
          <cell r="K5550" t="str">
            <v>probsi</v>
          </cell>
        </row>
        <row r="5551">
          <cell r="B5551" t="b">
            <v>1</v>
          </cell>
          <cell r="E5551" t="str">
            <v>Pasacaballos</v>
          </cell>
          <cell r="H5551" t="str">
            <v>salud_oral</v>
          </cell>
          <cell r="J5551" t="str">
            <v>bueno</v>
          </cell>
          <cell r="K5551" t="str">
            <v>probsi</v>
          </cell>
        </row>
        <row r="5552">
          <cell r="B5552" t="b">
            <v>1</v>
          </cell>
          <cell r="E5552" t="str">
            <v>Pasacaballos</v>
          </cell>
          <cell r="H5552" t="str">
            <v>consulta_externa</v>
          </cell>
          <cell r="J5552" t="str">
            <v>bueno</v>
          </cell>
          <cell r="K5552" t="str">
            <v>probsi</v>
          </cell>
        </row>
        <row r="5553">
          <cell r="B5553" t="b">
            <v>1</v>
          </cell>
          <cell r="E5553" t="str">
            <v>Pasacaballos</v>
          </cell>
          <cell r="H5553" t="str">
            <v>salud_oral</v>
          </cell>
          <cell r="J5553" t="str">
            <v>bueno</v>
          </cell>
          <cell r="K5553" t="str">
            <v>probsi</v>
          </cell>
        </row>
        <row r="5554">
          <cell r="B5554" t="b">
            <v>1</v>
          </cell>
          <cell r="E5554" t="str">
            <v>Pasacaballos</v>
          </cell>
          <cell r="H5554" t="str">
            <v>laboratorio</v>
          </cell>
          <cell r="J5554" t="str">
            <v>bueno</v>
          </cell>
          <cell r="K5554" t="str">
            <v>probsi</v>
          </cell>
        </row>
        <row r="5555">
          <cell r="B5555" t="b">
            <v>1</v>
          </cell>
          <cell r="E5555" t="str">
            <v>Pasacaballos</v>
          </cell>
          <cell r="H5555" t="str">
            <v>laboratorio</v>
          </cell>
          <cell r="J5555" t="str">
            <v>bueno</v>
          </cell>
          <cell r="K5555" t="str">
            <v>probsi</v>
          </cell>
        </row>
        <row r="5556">
          <cell r="B5556" t="b">
            <v>1</v>
          </cell>
          <cell r="E5556" t="str">
            <v>Pasacaballos</v>
          </cell>
          <cell r="H5556" t="str">
            <v>laboratorio</v>
          </cell>
          <cell r="J5556" t="str">
            <v>bueno</v>
          </cell>
          <cell r="K5556" t="str">
            <v>probsi</v>
          </cell>
        </row>
        <row r="5557">
          <cell r="B5557" t="b">
            <v>0</v>
          </cell>
          <cell r="E5557" t="str">
            <v>Pasacaballos</v>
          </cell>
          <cell r="H5557" t="str">
            <v>salud_oral</v>
          </cell>
          <cell r="J5557" t="str">
            <v>regular</v>
          </cell>
          <cell r="K5557" t="str">
            <v>probsi</v>
          </cell>
        </row>
        <row r="5558">
          <cell r="B5558" t="b">
            <v>1</v>
          </cell>
          <cell r="E5558" t="str">
            <v>Bocachica</v>
          </cell>
          <cell r="H5558" t="str">
            <v>salud_oral</v>
          </cell>
          <cell r="J5558" t="str">
            <v>muybueno</v>
          </cell>
          <cell r="K5558" t="str">
            <v>defsi</v>
          </cell>
        </row>
        <row r="5559">
          <cell r="B5559" t="b">
            <v>0</v>
          </cell>
          <cell r="E5559" t="str">
            <v>Pasacaballos</v>
          </cell>
          <cell r="H5559" t="str">
            <v>urgencia</v>
          </cell>
          <cell r="J5559" t="str">
            <v>regular</v>
          </cell>
          <cell r="K5559" t="str">
            <v>probsi</v>
          </cell>
        </row>
        <row r="5560">
          <cell r="B5560" t="b">
            <v>1</v>
          </cell>
          <cell r="E5560" t="str">
            <v>Bocachica</v>
          </cell>
          <cell r="H5560" t="str">
            <v>consulta_externa</v>
          </cell>
          <cell r="J5560" t="str">
            <v>muybueno</v>
          </cell>
          <cell r="K5560" t="str">
            <v>defsi</v>
          </cell>
        </row>
        <row r="5561">
          <cell r="B5561" t="b">
            <v>1</v>
          </cell>
          <cell r="E5561" t="str">
            <v>Bocachica</v>
          </cell>
          <cell r="H5561" t="str">
            <v>laboratorio</v>
          </cell>
          <cell r="J5561" t="str">
            <v>muybueno</v>
          </cell>
          <cell r="K5561" t="str">
            <v>defsi</v>
          </cell>
        </row>
        <row r="5562">
          <cell r="B5562" t="b">
            <v>0</v>
          </cell>
          <cell r="E5562" t="str">
            <v>Pasacaballos</v>
          </cell>
          <cell r="H5562" t="str">
            <v>urgencia</v>
          </cell>
          <cell r="J5562" t="str">
            <v>regular</v>
          </cell>
          <cell r="K5562" t="str">
            <v>probsi</v>
          </cell>
        </row>
        <row r="5563">
          <cell r="B5563" t="b">
            <v>1</v>
          </cell>
          <cell r="E5563" t="str">
            <v>Bocachica</v>
          </cell>
          <cell r="H5563" t="str">
            <v>consulta_externa</v>
          </cell>
          <cell r="J5563" t="str">
            <v>muybueno</v>
          </cell>
          <cell r="K5563" t="str">
            <v>defsi</v>
          </cell>
        </row>
        <row r="5564">
          <cell r="B5564" t="b">
            <v>1</v>
          </cell>
          <cell r="E5564" t="str">
            <v>Pasacaballos</v>
          </cell>
          <cell r="H5564" t="str">
            <v>salud_oral</v>
          </cell>
          <cell r="J5564" t="str">
            <v>bueno</v>
          </cell>
          <cell r="K5564" t="str">
            <v>probsi</v>
          </cell>
        </row>
        <row r="5565">
          <cell r="B5565" t="b">
            <v>1</v>
          </cell>
          <cell r="E5565" t="str">
            <v>Pasacaballos</v>
          </cell>
          <cell r="H5565" t="str">
            <v>salud_oral</v>
          </cell>
          <cell r="J5565" t="str">
            <v>bueno</v>
          </cell>
          <cell r="K5565" t="str">
            <v>probsi</v>
          </cell>
        </row>
        <row r="5566">
          <cell r="B5566" t="b">
            <v>1</v>
          </cell>
          <cell r="E5566" t="str">
            <v>Bocachica</v>
          </cell>
          <cell r="H5566" t="str">
            <v>consulta_externa</v>
          </cell>
          <cell r="J5566" t="str">
            <v>muybueno</v>
          </cell>
          <cell r="K5566" t="str">
            <v>defsi</v>
          </cell>
        </row>
        <row r="5567">
          <cell r="B5567" t="b">
            <v>1</v>
          </cell>
          <cell r="E5567" t="str">
            <v>Bocachica</v>
          </cell>
          <cell r="H5567" t="str">
            <v>laboratorio</v>
          </cell>
          <cell r="J5567" t="str">
            <v>muybueno</v>
          </cell>
          <cell r="K5567" t="str">
            <v>defsi</v>
          </cell>
        </row>
        <row r="5568">
          <cell r="B5568" t="b">
            <v>1</v>
          </cell>
          <cell r="E5568" t="str">
            <v>Bocachica</v>
          </cell>
          <cell r="H5568" t="str">
            <v>salud_oral</v>
          </cell>
          <cell r="J5568" t="str">
            <v>muybueno</v>
          </cell>
          <cell r="K5568" t="str">
            <v>defsi</v>
          </cell>
        </row>
        <row r="5569">
          <cell r="B5569" t="b">
            <v>0</v>
          </cell>
          <cell r="E5569" t="str">
            <v>Pasacaballos</v>
          </cell>
          <cell r="H5569" t="str">
            <v>urgencia</v>
          </cell>
          <cell r="J5569" t="str">
            <v>regular</v>
          </cell>
          <cell r="K5569" t="str">
            <v>probsi</v>
          </cell>
        </row>
        <row r="5570">
          <cell r="B5570" t="b">
            <v>1</v>
          </cell>
          <cell r="E5570" t="str">
            <v>Bocachica</v>
          </cell>
          <cell r="H5570" t="str">
            <v>consulta_externa</v>
          </cell>
          <cell r="J5570" t="str">
            <v>muybueno</v>
          </cell>
          <cell r="K5570" t="str">
            <v>defsi</v>
          </cell>
        </row>
        <row r="5571">
          <cell r="B5571" t="b">
            <v>1</v>
          </cell>
          <cell r="E5571" t="str">
            <v>Bocachica</v>
          </cell>
          <cell r="H5571" t="str">
            <v>consulta_externa</v>
          </cell>
          <cell r="J5571" t="str">
            <v>muybueno</v>
          </cell>
          <cell r="K5571" t="str">
            <v>defsi</v>
          </cell>
        </row>
        <row r="5572">
          <cell r="B5572" t="b">
            <v>1</v>
          </cell>
          <cell r="E5572" t="str">
            <v>Bocachica</v>
          </cell>
          <cell r="H5572" t="str">
            <v>laboratorio</v>
          </cell>
          <cell r="J5572" t="str">
            <v>muybueno</v>
          </cell>
          <cell r="K5572" t="str">
            <v>defsi</v>
          </cell>
        </row>
        <row r="5573">
          <cell r="B5573" t="b">
            <v>1</v>
          </cell>
          <cell r="E5573" t="str">
            <v>Bocachica</v>
          </cell>
          <cell r="H5573" t="str">
            <v>consulta_externa</v>
          </cell>
          <cell r="J5573" t="str">
            <v>muybueno</v>
          </cell>
          <cell r="K5573" t="str">
            <v>defsi</v>
          </cell>
        </row>
        <row r="5574">
          <cell r="B5574" t="b">
            <v>1</v>
          </cell>
          <cell r="E5574" t="str">
            <v>Arroyo Grande</v>
          </cell>
          <cell r="H5574" t="str">
            <v>consulta_externa</v>
          </cell>
          <cell r="J5574" t="str">
            <v>bueno</v>
          </cell>
          <cell r="K5574" t="str">
            <v>defsi</v>
          </cell>
        </row>
        <row r="5575">
          <cell r="B5575" t="b">
            <v>1</v>
          </cell>
          <cell r="E5575" t="str">
            <v>Arroyo Grande</v>
          </cell>
          <cell r="H5575" t="str">
            <v>salud_oral</v>
          </cell>
          <cell r="J5575" t="str">
            <v>bueno</v>
          </cell>
          <cell r="K5575" t="str">
            <v>defsi</v>
          </cell>
        </row>
        <row r="5576">
          <cell r="B5576" t="b">
            <v>1</v>
          </cell>
          <cell r="E5576" t="str">
            <v>Arroyo Grande</v>
          </cell>
          <cell r="H5576" t="str">
            <v>laboratorio</v>
          </cell>
          <cell r="J5576" t="str">
            <v>bueno</v>
          </cell>
          <cell r="K5576" t="str">
            <v>defsi</v>
          </cell>
        </row>
        <row r="5577">
          <cell r="B5577" t="b">
            <v>1</v>
          </cell>
          <cell r="E5577" t="str">
            <v>Arroyo Grande</v>
          </cell>
          <cell r="H5577" t="str">
            <v>consulta_externa</v>
          </cell>
          <cell r="J5577" t="str">
            <v>bueno</v>
          </cell>
          <cell r="K5577" t="str">
            <v>defsi</v>
          </cell>
        </row>
        <row r="5578">
          <cell r="B5578" t="b">
            <v>1</v>
          </cell>
          <cell r="E5578" t="str">
            <v>Bocachica</v>
          </cell>
          <cell r="H5578" t="str">
            <v>consulta_externa</v>
          </cell>
          <cell r="J5578" t="str">
            <v>muybueno</v>
          </cell>
          <cell r="K5578" t="str">
            <v>defsi</v>
          </cell>
        </row>
        <row r="5579">
          <cell r="B5579" t="b">
            <v>1</v>
          </cell>
          <cell r="E5579" t="str">
            <v>Bocachica</v>
          </cell>
          <cell r="H5579" t="str">
            <v>laboratorio</v>
          </cell>
          <cell r="J5579" t="str">
            <v>muybueno</v>
          </cell>
          <cell r="K5579" t="str">
            <v>defsi</v>
          </cell>
        </row>
        <row r="5580">
          <cell r="B5580" t="b">
            <v>1</v>
          </cell>
          <cell r="E5580" t="str">
            <v>Arroyo Grande</v>
          </cell>
          <cell r="H5580" t="str">
            <v>salud_oral</v>
          </cell>
          <cell r="J5580" t="str">
            <v>bueno</v>
          </cell>
          <cell r="K5580" t="str">
            <v>defsi</v>
          </cell>
        </row>
        <row r="5581">
          <cell r="B5581" t="b">
            <v>1</v>
          </cell>
          <cell r="E5581" t="str">
            <v>Arroyo Grande</v>
          </cell>
          <cell r="H5581" t="str">
            <v>laboratorio</v>
          </cell>
          <cell r="J5581" t="str">
            <v>bueno</v>
          </cell>
          <cell r="K5581" t="str">
            <v>defsi</v>
          </cell>
        </row>
        <row r="5582">
          <cell r="B5582" t="b">
            <v>1</v>
          </cell>
          <cell r="E5582" t="str">
            <v>Bocachica</v>
          </cell>
          <cell r="H5582" t="str">
            <v>consulta_externa</v>
          </cell>
          <cell r="J5582" t="str">
            <v>muybueno</v>
          </cell>
          <cell r="K5582" t="str">
            <v>defsi</v>
          </cell>
        </row>
        <row r="5583">
          <cell r="B5583" t="b">
            <v>1</v>
          </cell>
          <cell r="E5583" t="str">
            <v>Bocachica</v>
          </cell>
          <cell r="H5583" t="str">
            <v>laboratorio</v>
          </cell>
          <cell r="J5583" t="str">
            <v>muybueno</v>
          </cell>
          <cell r="K5583" t="str">
            <v>defsi</v>
          </cell>
        </row>
        <row r="5584">
          <cell r="B5584" t="b">
            <v>1</v>
          </cell>
          <cell r="E5584" t="str">
            <v>Bocachica</v>
          </cell>
          <cell r="H5584" t="str">
            <v>consulta_externa</v>
          </cell>
          <cell r="J5584" t="str">
            <v>muybueno</v>
          </cell>
          <cell r="K5584" t="str">
            <v>defsi</v>
          </cell>
        </row>
        <row r="5585">
          <cell r="B5585" t="b">
            <v>1</v>
          </cell>
          <cell r="E5585" t="str">
            <v>Bocachica</v>
          </cell>
          <cell r="H5585" t="str">
            <v>laboratorio</v>
          </cell>
          <cell r="J5585" t="str">
            <v>muybueno</v>
          </cell>
          <cell r="K5585" t="str">
            <v>defsi</v>
          </cell>
        </row>
        <row r="5586">
          <cell r="B5586" t="b">
            <v>1</v>
          </cell>
          <cell r="E5586" t="str">
            <v>Bocachica</v>
          </cell>
          <cell r="H5586" t="str">
            <v>consulta_externa</v>
          </cell>
          <cell r="J5586" t="str">
            <v>muybueno</v>
          </cell>
          <cell r="K5586" t="str">
            <v>defsi</v>
          </cell>
        </row>
        <row r="5587">
          <cell r="B5587" t="b">
            <v>1</v>
          </cell>
          <cell r="E5587" t="str">
            <v>Bocachica</v>
          </cell>
          <cell r="H5587" t="str">
            <v>laboratorio</v>
          </cell>
          <cell r="J5587" t="str">
            <v>muybueno</v>
          </cell>
          <cell r="K5587" t="str">
            <v>defsi</v>
          </cell>
        </row>
        <row r="5588">
          <cell r="B5588" t="b">
            <v>1</v>
          </cell>
          <cell r="E5588" t="str">
            <v>Bocachica</v>
          </cell>
          <cell r="H5588" t="str">
            <v>consulta_externa</v>
          </cell>
          <cell r="J5588" t="str">
            <v>muybueno</v>
          </cell>
          <cell r="K5588" t="str">
            <v>defsi</v>
          </cell>
        </row>
        <row r="5589">
          <cell r="B5589" t="b">
            <v>1</v>
          </cell>
          <cell r="E5589" t="str">
            <v>Bocachica</v>
          </cell>
          <cell r="H5589" t="str">
            <v>salud_oral</v>
          </cell>
          <cell r="J5589" t="str">
            <v>muybueno</v>
          </cell>
          <cell r="K5589" t="str">
            <v>defsi</v>
          </cell>
        </row>
        <row r="5590">
          <cell r="B5590" t="b">
            <v>1</v>
          </cell>
          <cell r="E5590" t="str">
            <v>Ternera</v>
          </cell>
          <cell r="H5590" t="str">
            <v>consulta_externa</v>
          </cell>
          <cell r="J5590" t="str">
            <v>bueno</v>
          </cell>
          <cell r="K5590" t="str">
            <v>defsi</v>
          </cell>
        </row>
        <row r="5591">
          <cell r="B5591" t="b">
            <v>1</v>
          </cell>
          <cell r="E5591" t="str">
            <v>Ternera</v>
          </cell>
          <cell r="H5591" t="str">
            <v>laboratorio</v>
          </cell>
          <cell r="J5591" t="str">
            <v>bueno</v>
          </cell>
          <cell r="K5591" t="str">
            <v>defsi</v>
          </cell>
        </row>
        <row r="5592">
          <cell r="B5592" t="b">
            <v>1</v>
          </cell>
          <cell r="E5592" t="str">
            <v>Ternera</v>
          </cell>
          <cell r="H5592" t="str">
            <v>laboratorio</v>
          </cell>
          <cell r="J5592" t="str">
            <v>bueno</v>
          </cell>
          <cell r="K5592" t="str">
            <v>defsi</v>
          </cell>
        </row>
        <row r="5593">
          <cell r="B5593" t="b">
            <v>1</v>
          </cell>
          <cell r="E5593" t="str">
            <v>Bocachica</v>
          </cell>
          <cell r="H5593" t="str">
            <v>consulta_externa</v>
          </cell>
          <cell r="J5593" t="str">
            <v>muybueno</v>
          </cell>
          <cell r="K5593" t="str">
            <v>defsi</v>
          </cell>
        </row>
        <row r="5594">
          <cell r="B5594" t="b">
            <v>1</v>
          </cell>
          <cell r="E5594" t="str">
            <v>Ternera</v>
          </cell>
          <cell r="H5594" t="str">
            <v>consulta_externa</v>
          </cell>
          <cell r="J5594" t="str">
            <v>bueno</v>
          </cell>
          <cell r="K5594" t="str">
            <v>defsi</v>
          </cell>
        </row>
        <row r="5595">
          <cell r="B5595" t="b">
            <v>1</v>
          </cell>
          <cell r="E5595" t="str">
            <v>Bocachica</v>
          </cell>
          <cell r="H5595" t="str">
            <v>salud_oral</v>
          </cell>
          <cell r="J5595" t="str">
            <v>muybueno</v>
          </cell>
          <cell r="K5595" t="str">
            <v>defsi</v>
          </cell>
        </row>
        <row r="5596">
          <cell r="B5596" t="b">
            <v>1</v>
          </cell>
          <cell r="E5596" t="str">
            <v>Pasacaballos</v>
          </cell>
          <cell r="H5596" t="str">
            <v>urgencia</v>
          </cell>
          <cell r="J5596" t="str">
            <v>bueno</v>
          </cell>
          <cell r="K5596" t="str">
            <v>probsi</v>
          </cell>
        </row>
        <row r="5597">
          <cell r="B5597" t="b">
            <v>0</v>
          </cell>
          <cell r="E5597" t="str">
            <v>Pasacaballos</v>
          </cell>
          <cell r="H5597" t="str">
            <v>urgencia</v>
          </cell>
          <cell r="J5597" t="str">
            <v>regular</v>
          </cell>
          <cell r="K5597" t="str">
            <v>probsi</v>
          </cell>
        </row>
        <row r="5598">
          <cell r="B5598" t="b">
            <v>0</v>
          </cell>
          <cell r="E5598" t="str">
            <v>Pasacaballos</v>
          </cell>
          <cell r="H5598" t="str">
            <v>urgencia</v>
          </cell>
          <cell r="J5598" t="str">
            <v>regular</v>
          </cell>
          <cell r="K5598" t="str">
            <v>probsi</v>
          </cell>
        </row>
        <row r="5599">
          <cell r="B5599" t="b">
            <v>1</v>
          </cell>
          <cell r="E5599" t="str">
            <v>Pasacaballos</v>
          </cell>
          <cell r="H5599" t="str">
            <v>salud_oral</v>
          </cell>
          <cell r="J5599" t="str">
            <v>bueno</v>
          </cell>
          <cell r="K5599" t="str">
            <v>probsi</v>
          </cell>
        </row>
        <row r="5600">
          <cell r="B5600" t="b">
            <v>0</v>
          </cell>
          <cell r="E5600" t="str">
            <v>Pasacaballos</v>
          </cell>
          <cell r="H5600" t="str">
            <v>salud_oral</v>
          </cell>
          <cell r="J5600" t="str">
            <v>regular</v>
          </cell>
          <cell r="K5600" t="str">
            <v>probsi</v>
          </cell>
        </row>
        <row r="5601">
          <cell r="B5601" t="b">
            <v>1</v>
          </cell>
          <cell r="E5601" t="str">
            <v>Ternera</v>
          </cell>
          <cell r="H5601" t="str">
            <v>salud_oral</v>
          </cell>
          <cell r="J5601" t="str">
            <v>bueno</v>
          </cell>
          <cell r="K5601" t="str">
            <v>defsi</v>
          </cell>
        </row>
        <row r="5602">
          <cell r="B5602" t="b">
            <v>1</v>
          </cell>
          <cell r="E5602" t="str">
            <v>Ternera</v>
          </cell>
          <cell r="H5602" t="str">
            <v>salud_oral</v>
          </cell>
          <cell r="J5602" t="str">
            <v>bueno</v>
          </cell>
          <cell r="K5602" t="str">
            <v>defsi</v>
          </cell>
        </row>
        <row r="5603">
          <cell r="B5603" t="b">
            <v>0</v>
          </cell>
          <cell r="E5603" t="str">
            <v>Ternera</v>
          </cell>
          <cell r="H5603" t="str">
            <v>salud_oral</v>
          </cell>
          <cell r="J5603" t="str">
            <v>regular</v>
          </cell>
          <cell r="K5603" t="str">
            <v>probsi</v>
          </cell>
        </row>
        <row r="5604">
          <cell r="B5604" t="b">
            <v>1</v>
          </cell>
          <cell r="E5604" t="str">
            <v>Ternera</v>
          </cell>
          <cell r="H5604" t="str">
            <v>salud_oral</v>
          </cell>
          <cell r="J5604" t="str">
            <v>bueno</v>
          </cell>
          <cell r="K5604" t="str">
            <v>defsi</v>
          </cell>
        </row>
        <row r="5605">
          <cell r="B5605" t="b">
            <v>1</v>
          </cell>
          <cell r="E5605" t="str">
            <v>Ternera</v>
          </cell>
          <cell r="H5605" t="str">
            <v>consulta_externa</v>
          </cell>
          <cell r="J5605" t="str">
            <v>bueno</v>
          </cell>
          <cell r="K5605" t="str">
            <v>defsi</v>
          </cell>
        </row>
        <row r="5606">
          <cell r="B5606" t="b">
            <v>0</v>
          </cell>
          <cell r="E5606" t="str">
            <v>Pasacaballos</v>
          </cell>
          <cell r="H5606" t="str">
            <v>urgencia</v>
          </cell>
          <cell r="J5606" t="str">
            <v>regular</v>
          </cell>
          <cell r="K5606" t="str">
            <v>probsi</v>
          </cell>
        </row>
        <row r="5607">
          <cell r="B5607" t="b">
            <v>0</v>
          </cell>
          <cell r="E5607" t="str">
            <v>Ternera</v>
          </cell>
          <cell r="H5607" t="str">
            <v>consulta_externa</v>
          </cell>
          <cell r="J5607" t="str">
            <v>regular</v>
          </cell>
          <cell r="K5607" t="str">
            <v>probsi</v>
          </cell>
        </row>
        <row r="5608">
          <cell r="B5608" t="b">
            <v>0</v>
          </cell>
          <cell r="E5608" t="str">
            <v>Ternera</v>
          </cell>
          <cell r="H5608" t="str">
            <v>laboratorio</v>
          </cell>
          <cell r="J5608" t="str">
            <v>regular</v>
          </cell>
          <cell r="K5608" t="str">
            <v>probsi</v>
          </cell>
        </row>
        <row r="5609">
          <cell r="B5609" t="b">
            <v>1</v>
          </cell>
          <cell r="E5609" t="str">
            <v>Ternera</v>
          </cell>
          <cell r="H5609" t="str">
            <v>salud_oral</v>
          </cell>
          <cell r="J5609" t="str">
            <v>bueno</v>
          </cell>
          <cell r="K5609" t="str">
            <v>defsi</v>
          </cell>
        </row>
        <row r="5610">
          <cell r="B5610" t="b">
            <v>0</v>
          </cell>
          <cell r="E5610" t="str">
            <v>Ternera</v>
          </cell>
          <cell r="H5610" t="str">
            <v>consulta_externa</v>
          </cell>
          <cell r="J5610" t="str">
            <v>regular</v>
          </cell>
          <cell r="K5610" t="str">
            <v>defsi</v>
          </cell>
        </row>
        <row r="5611">
          <cell r="B5611" t="b">
            <v>1</v>
          </cell>
          <cell r="E5611" t="str">
            <v>Ternera</v>
          </cell>
          <cell r="H5611" t="str">
            <v>laboratorio</v>
          </cell>
          <cell r="J5611" t="str">
            <v>bueno</v>
          </cell>
          <cell r="K5611" t="str">
            <v>defsi</v>
          </cell>
        </row>
        <row r="5612">
          <cell r="B5612" t="b">
            <v>1</v>
          </cell>
          <cell r="E5612" t="str">
            <v>Ternera</v>
          </cell>
          <cell r="H5612" t="str">
            <v>laboratorio</v>
          </cell>
          <cell r="J5612" t="str">
            <v>bueno</v>
          </cell>
          <cell r="K5612" t="str">
            <v>defsi</v>
          </cell>
        </row>
        <row r="5613">
          <cell r="B5613" t="b">
            <v>1</v>
          </cell>
          <cell r="E5613" t="str">
            <v>Ternera</v>
          </cell>
          <cell r="H5613" t="str">
            <v>laboratorio</v>
          </cell>
          <cell r="J5613" t="str">
            <v>bueno</v>
          </cell>
          <cell r="K5613" t="str">
            <v>defsi</v>
          </cell>
        </row>
        <row r="5614">
          <cell r="B5614" t="b">
            <v>0</v>
          </cell>
          <cell r="E5614" t="str">
            <v>Ternera</v>
          </cell>
          <cell r="H5614" t="str">
            <v>laboratorio</v>
          </cell>
          <cell r="J5614" t="str">
            <v>regular</v>
          </cell>
          <cell r="K5614" t="str">
            <v>probsi</v>
          </cell>
        </row>
        <row r="5615">
          <cell r="B5615" t="b">
            <v>1</v>
          </cell>
          <cell r="E5615" t="str">
            <v>Ternera</v>
          </cell>
          <cell r="H5615" t="str">
            <v>consulta_externa</v>
          </cell>
          <cell r="J5615" t="str">
            <v>bueno</v>
          </cell>
          <cell r="K5615" t="str">
            <v>defsi</v>
          </cell>
        </row>
        <row r="5616">
          <cell r="B5616" t="b">
            <v>1</v>
          </cell>
          <cell r="E5616" t="str">
            <v>Ternera</v>
          </cell>
          <cell r="H5616" t="str">
            <v>laboratorio</v>
          </cell>
          <cell r="J5616" t="str">
            <v>bueno</v>
          </cell>
          <cell r="K5616" t="str">
            <v>defsi</v>
          </cell>
        </row>
        <row r="5617">
          <cell r="B5617" t="b">
            <v>1</v>
          </cell>
          <cell r="E5617" t="str">
            <v>Ternera</v>
          </cell>
          <cell r="H5617" t="str">
            <v>laboratorio</v>
          </cell>
          <cell r="J5617" t="str">
            <v>bueno</v>
          </cell>
          <cell r="K5617" t="str">
            <v>defsi</v>
          </cell>
        </row>
        <row r="5618">
          <cell r="B5618" t="b">
            <v>1</v>
          </cell>
          <cell r="E5618" t="str">
            <v>Ternera</v>
          </cell>
          <cell r="H5618" t="str">
            <v>laboratorio</v>
          </cell>
          <cell r="J5618" t="str">
            <v>bueno</v>
          </cell>
          <cell r="K5618" t="str">
            <v>defsi</v>
          </cell>
        </row>
        <row r="5619">
          <cell r="B5619" t="b">
            <v>1</v>
          </cell>
          <cell r="E5619" t="str">
            <v>Bocachica</v>
          </cell>
          <cell r="H5619" t="str">
            <v>laboratorio</v>
          </cell>
          <cell r="J5619" t="str">
            <v>muybueno</v>
          </cell>
          <cell r="K5619" t="str">
            <v>defsi</v>
          </cell>
        </row>
        <row r="5620">
          <cell r="B5620" t="b">
            <v>1</v>
          </cell>
          <cell r="E5620" t="str">
            <v>Boquilla</v>
          </cell>
          <cell r="H5620" t="str">
            <v>consulta_externa</v>
          </cell>
          <cell r="J5620" t="str">
            <v>bueno</v>
          </cell>
          <cell r="K5620" t="str">
            <v>defsi</v>
          </cell>
        </row>
        <row r="5621">
          <cell r="B5621" t="b">
            <v>1</v>
          </cell>
          <cell r="E5621" t="str">
            <v>Boquilla</v>
          </cell>
          <cell r="H5621" t="str">
            <v>laboratorio</v>
          </cell>
          <cell r="J5621" t="str">
            <v>bueno</v>
          </cell>
          <cell r="K5621" t="str">
            <v>defsi</v>
          </cell>
        </row>
        <row r="5622">
          <cell r="B5622" t="b">
            <v>1</v>
          </cell>
          <cell r="E5622" t="str">
            <v>Bocachica</v>
          </cell>
          <cell r="H5622" t="str">
            <v>consulta_externa</v>
          </cell>
          <cell r="J5622" t="str">
            <v>muybueno</v>
          </cell>
          <cell r="K5622" t="str">
            <v>defsi</v>
          </cell>
        </row>
        <row r="5623">
          <cell r="B5623" t="b">
            <v>1</v>
          </cell>
          <cell r="E5623" t="str">
            <v>Bocachica</v>
          </cell>
          <cell r="H5623" t="str">
            <v>laboratorio</v>
          </cell>
          <cell r="J5623" t="str">
            <v>muybueno</v>
          </cell>
          <cell r="K5623" t="str">
            <v>defsi</v>
          </cell>
        </row>
        <row r="5624">
          <cell r="B5624" t="b">
            <v>1</v>
          </cell>
          <cell r="E5624" t="str">
            <v>Boquilla</v>
          </cell>
          <cell r="H5624" t="str">
            <v>laboratorio</v>
          </cell>
          <cell r="J5624" t="str">
            <v>bueno</v>
          </cell>
          <cell r="K5624" t="str">
            <v>defsi</v>
          </cell>
        </row>
        <row r="5625">
          <cell r="B5625" t="b">
            <v>1</v>
          </cell>
          <cell r="E5625" t="str">
            <v>Boquilla</v>
          </cell>
          <cell r="H5625" t="str">
            <v>salud_oral</v>
          </cell>
          <cell r="J5625" t="str">
            <v>bueno</v>
          </cell>
          <cell r="K5625" t="str">
            <v>defsi</v>
          </cell>
        </row>
        <row r="5626">
          <cell r="B5626" t="b">
            <v>1</v>
          </cell>
          <cell r="E5626" t="str">
            <v>Bocachica</v>
          </cell>
          <cell r="H5626" t="str">
            <v>salud_oral</v>
          </cell>
          <cell r="J5626" t="str">
            <v>muybueno</v>
          </cell>
          <cell r="K5626" t="str">
            <v>defsi</v>
          </cell>
        </row>
        <row r="5627">
          <cell r="B5627" t="b">
            <v>1</v>
          </cell>
          <cell r="E5627" t="str">
            <v>Bocachica</v>
          </cell>
          <cell r="H5627" t="str">
            <v>laboratorio</v>
          </cell>
          <cell r="J5627" t="str">
            <v>muybueno</v>
          </cell>
          <cell r="K5627" t="str">
            <v>defsi</v>
          </cell>
        </row>
        <row r="5628">
          <cell r="B5628" t="b">
            <v>1</v>
          </cell>
          <cell r="E5628" t="str">
            <v>Bocachica</v>
          </cell>
          <cell r="H5628" t="str">
            <v>urgencia</v>
          </cell>
          <cell r="J5628" t="str">
            <v>muybueno</v>
          </cell>
          <cell r="K5628" t="str">
            <v>defsi</v>
          </cell>
        </row>
        <row r="5629">
          <cell r="B5629" t="b">
            <v>1</v>
          </cell>
          <cell r="E5629" t="str">
            <v>Bocachica</v>
          </cell>
          <cell r="H5629" t="str">
            <v>consulta_externa</v>
          </cell>
          <cell r="J5629" t="str">
            <v>muybueno</v>
          </cell>
          <cell r="K5629" t="str">
            <v>defsi</v>
          </cell>
        </row>
        <row r="5630">
          <cell r="B5630" t="b">
            <v>1</v>
          </cell>
          <cell r="E5630" t="str">
            <v>Bocachica</v>
          </cell>
          <cell r="H5630" t="str">
            <v>laboratorio</v>
          </cell>
          <cell r="J5630" t="str">
            <v>muybueno</v>
          </cell>
          <cell r="K5630" t="str">
            <v>defsi</v>
          </cell>
        </row>
        <row r="5631">
          <cell r="B5631" t="b">
            <v>1</v>
          </cell>
          <cell r="E5631" t="str">
            <v>Bocachica</v>
          </cell>
          <cell r="H5631" t="str">
            <v>consulta_externa</v>
          </cell>
          <cell r="J5631" t="str">
            <v>muybueno</v>
          </cell>
          <cell r="K5631" t="str">
            <v>defsi</v>
          </cell>
        </row>
        <row r="5632">
          <cell r="B5632" t="b">
            <v>1</v>
          </cell>
          <cell r="E5632" t="str">
            <v>Bocachica</v>
          </cell>
          <cell r="H5632" t="str">
            <v>consulta_externa</v>
          </cell>
          <cell r="J5632" t="str">
            <v>muybueno</v>
          </cell>
          <cell r="K5632" t="str">
            <v>defsi</v>
          </cell>
        </row>
        <row r="5633">
          <cell r="B5633" t="b">
            <v>1</v>
          </cell>
          <cell r="E5633" t="str">
            <v>Bocachica</v>
          </cell>
          <cell r="H5633" t="str">
            <v>laboratorio</v>
          </cell>
          <cell r="J5633" t="str">
            <v>muybueno</v>
          </cell>
          <cell r="K5633" t="str">
            <v>defsi</v>
          </cell>
        </row>
        <row r="5634">
          <cell r="B5634" t="b">
            <v>1</v>
          </cell>
          <cell r="E5634" t="str">
            <v>Bocachica</v>
          </cell>
          <cell r="H5634" t="str">
            <v>salud_oral</v>
          </cell>
          <cell r="J5634" t="str">
            <v>muybueno</v>
          </cell>
          <cell r="K5634" t="str">
            <v>defsi</v>
          </cell>
        </row>
        <row r="5635">
          <cell r="B5635" t="b">
            <v>1</v>
          </cell>
          <cell r="E5635" t="str">
            <v>Bocachica</v>
          </cell>
          <cell r="H5635" t="str">
            <v>consulta_externa</v>
          </cell>
          <cell r="J5635" t="str">
            <v>muybueno</v>
          </cell>
          <cell r="K5635" t="str">
            <v>defsi</v>
          </cell>
        </row>
        <row r="5636">
          <cell r="B5636" t="b">
            <v>1</v>
          </cell>
          <cell r="E5636" t="str">
            <v>Arroyo Grande</v>
          </cell>
          <cell r="H5636" t="str">
            <v>consulta_externa</v>
          </cell>
          <cell r="J5636" t="str">
            <v>bueno</v>
          </cell>
          <cell r="K5636" t="str">
            <v>defsi</v>
          </cell>
        </row>
        <row r="5637">
          <cell r="B5637" t="b">
            <v>1</v>
          </cell>
          <cell r="E5637" t="str">
            <v>Arroyo Grande</v>
          </cell>
          <cell r="H5637" t="str">
            <v>salud_oral</v>
          </cell>
          <cell r="J5637" t="str">
            <v>bueno</v>
          </cell>
          <cell r="K5637" t="str">
            <v>defsi</v>
          </cell>
        </row>
        <row r="5638">
          <cell r="B5638" t="b">
            <v>1</v>
          </cell>
          <cell r="E5638" t="str">
            <v>Bocachica</v>
          </cell>
          <cell r="H5638" t="str">
            <v>consulta_externa</v>
          </cell>
          <cell r="J5638" t="str">
            <v>muybueno</v>
          </cell>
          <cell r="K5638" t="str">
            <v>defsi</v>
          </cell>
        </row>
        <row r="5639">
          <cell r="B5639" t="b">
            <v>1</v>
          </cell>
          <cell r="E5639" t="str">
            <v>Bocachica</v>
          </cell>
          <cell r="H5639" t="str">
            <v>laboratorio</v>
          </cell>
          <cell r="J5639" t="str">
            <v>muybueno</v>
          </cell>
          <cell r="K5639" t="str">
            <v>defsi</v>
          </cell>
        </row>
        <row r="5640">
          <cell r="B5640" t="b">
            <v>1</v>
          </cell>
          <cell r="E5640" t="str">
            <v>Bocachica</v>
          </cell>
          <cell r="H5640" t="str">
            <v>consulta_externa</v>
          </cell>
          <cell r="J5640" t="str">
            <v>muybueno</v>
          </cell>
          <cell r="K5640" t="str">
            <v>defsi</v>
          </cell>
        </row>
        <row r="5641">
          <cell r="B5641" t="b">
            <v>1</v>
          </cell>
          <cell r="E5641" t="str">
            <v>Bocachica</v>
          </cell>
          <cell r="H5641" t="str">
            <v>consulta_externa</v>
          </cell>
          <cell r="J5641" t="str">
            <v>muybueno</v>
          </cell>
          <cell r="K5641" t="str">
            <v>defsi</v>
          </cell>
        </row>
        <row r="5642">
          <cell r="B5642" t="b">
            <v>1</v>
          </cell>
          <cell r="E5642" t="str">
            <v>Bocachica</v>
          </cell>
          <cell r="H5642" t="str">
            <v>laboratorio</v>
          </cell>
          <cell r="J5642" t="str">
            <v>muybueno</v>
          </cell>
          <cell r="K5642" t="str">
            <v>defsi</v>
          </cell>
        </row>
        <row r="5643">
          <cell r="B5643" t="b">
            <v>1</v>
          </cell>
          <cell r="E5643" t="str">
            <v>Bocachica</v>
          </cell>
          <cell r="H5643" t="str">
            <v>consulta_externa</v>
          </cell>
          <cell r="J5643" t="str">
            <v>muybueno</v>
          </cell>
          <cell r="K5643" t="str">
            <v>defsi</v>
          </cell>
        </row>
        <row r="5644">
          <cell r="B5644" t="b">
            <v>1</v>
          </cell>
          <cell r="E5644" t="str">
            <v>Bocachica</v>
          </cell>
          <cell r="H5644" t="str">
            <v>consulta_externa</v>
          </cell>
          <cell r="J5644" t="str">
            <v>muybueno</v>
          </cell>
          <cell r="K5644" t="str">
            <v>defsi</v>
          </cell>
        </row>
        <row r="5645">
          <cell r="B5645" t="b">
            <v>1</v>
          </cell>
          <cell r="E5645" t="str">
            <v>Bocachica</v>
          </cell>
          <cell r="H5645" t="str">
            <v>laboratorio</v>
          </cell>
          <cell r="J5645" t="str">
            <v>muybueno</v>
          </cell>
          <cell r="K5645" t="str">
            <v>defsi</v>
          </cell>
        </row>
        <row r="5646">
          <cell r="B5646" t="b">
            <v>1</v>
          </cell>
          <cell r="E5646" t="str">
            <v>Arroyo Grande</v>
          </cell>
          <cell r="H5646" t="str">
            <v>laboratorio</v>
          </cell>
          <cell r="J5646" t="str">
            <v>bueno</v>
          </cell>
          <cell r="K5646" t="str">
            <v>defsi</v>
          </cell>
        </row>
        <row r="5647">
          <cell r="B5647" t="b">
            <v>1</v>
          </cell>
          <cell r="E5647" t="str">
            <v>Arroyo Grande</v>
          </cell>
          <cell r="H5647" t="str">
            <v>consulta_externa</v>
          </cell>
          <cell r="J5647" t="str">
            <v>bueno</v>
          </cell>
          <cell r="K5647" t="str">
            <v>defsi</v>
          </cell>
        </row>
        <row r="5648">
          <cell r="B5648" t="b">
            <v>1</v>
          </cell>
          <cell r="E5648" t="str">
            <v>Arroyo Grande</v>
          </cell>
          <cell r="H5648" t="str">
            <v>salud_oral</v>
          </cell>
          <cell r="J5648" t="str">
            <v>bueno</v>
          </cell>
          <cell r="K5648" t="str">
            <v>defsi</v>
          </cell>
        </row>
        <row r="5649">
          <cell r="B5649" t="b">
            <v>1</v>
          </cell>
          <cell r="E5649" t="str">
            <v>Arroyo Grande</v>
          </cell>
          <cell r="H5649" t="str">
            <v>laboratorio</v>
          </cell>
          <cell r="J5649" t="str">
            <v>bueno</v>
          </cell>
          <cell r="K5649" t="str">
            <v>defsi</v>
          </cell>
        </row>
        <row r="5650">
          <cell r="B5650" t="b">
            <v>1</v>
          </cell>
          <cell r="E5650" t="str">
            <v>Bocachica</v>
          </cell>
          <cell r="H5650" t="str">
            <v>salud_oral</v>
          </cell>
          <cell r="J5650" t="str">
            <v>muybueno</v>
          </cell>
          <cell r="K5650" t="str">
            <v>defsi</v>
          </cell>
        </row>
        <row r="5651">
          <cell r="B5651" t="b">
            <v>1</v>
          </cell>
          <cell r="E5651" t="str">
            <v>Bocachica</v>
          </cell>
          <cell r="H5651" t="str">
            <v>consulta_externa</v>
          </cell>
          <cell r="J5651" t="str">
            <v>muybueno</v>
          </cell>
          <cell r="K5651" t="str">
            <v>defsi</v>
          </cell>
        </row>
        <row r="5652">
          <cell r="B5652" t="b">
            <v>1</v>
          </cell>
          <cell r="E5652" t="str">
            <v>Bocachica</v>
          </cell>
          <cell r="H5652" t="str">
            <v>laboratorio</v>
          </cell>
          <cell r="J5652" t="str">
            <v>muybueno</v>
          </cell>
          <cell r="K5652" t="str">
            <v>defsi</v>
          </cell>
        </row>
        <row r="5653">
          <cell r="B5653" t="b">
            <v>1</v>
          </cell>
          <cell r="E5653" t="str">
            <v>Bocachica</v>
          </cell>
          <cell r="H5653" t="str">
            <v>consulta_externa</v>
          </cell>
          <cell r="J5653" t="str">
            <v>muybueno</v>
          </cell>
          <cell r="K5653" t="str">
            <v>defsi</v>
          </cell>
        </row>
        <row r="5654">
          <cell r="B5654" t="b">
            <v>1</v>
          </cell>
          <cell r="E5654" t="str">
            <v>Bocachica</v>
          </cell>
          <cell r="H5654" t="str">
            <v>salud_oral</v>
          </cell>
          <cell r="J5654" t="str">
            <v>muybueno</v>
          </cell>
          <cell r="K5654" t="str">
            <v>defsi</v>
          </cell>
        </row>
        <row r="5655">
          <cell r="B5655" t="b">
            <v>1</v>
          </cell>
          <cell r="E5655" t="str">
            <v>Pasacaballos</v>
          </cell>
          <cell r="H5655" t="str">
            <v>consulta_externa</v>
          </cell>
          <cell r="J5655" t="str">
            <v>bueno</v>
          </cell>
          <cell r="K5655" t="str">
            <v>probsi</v>
          </cell>
        </row>
        <row r="5656">
          <cell r="B5656" t="b">
            <v>1</v>
          </cell>
          <cell r="E5656" t="str">
            <v>Pasacaballos</v>
          </cell>
          <cell r="H5656" t="str">
            <v>consulta_externa</v>
          </cell>
          <cell r="J5656" t="str">
            <v>bueno</v>
          </cell>
          <cell r="K5656" t="str">
            <v>probsi</v>
          </cell>
        </row>
        <row r="5657">
          <cell r="B5657" t="b">
            <v>1</v>
          </cell>
          <cell r="E5657" t="str">
            <v>Arroyo Grande</v>
          </cell>
          <cell r="H5657" t="str">
            <v>consulta_externa</v>
          </cell>
          <cell r="J5657" t="str">
            <v>bueno</v>
          </cell>
          <cell r="K5657" t="str">
            <v>defsi</v>
          </cell>
        </row>
        <row r="5658">
          <cell r="B5658" t="b">
            <v>1</v>
          </cell>
          <cell r="E5658" t="str">
            <v>Arroyo Grande</v>
          </cell>
          <cell r="H5658" t="str">
            <v>salud_oral</v>
          </cell>
          <cell r="J5658" t="str">
            <v>bueno</v>
          </cell>
          <cell r="K5658" t="str">
            <v>defsi</v>
          </cell>
        </row>
        <row r="5659">
          <cell r="B5659" t="b">
            <v>0</v>
          </cell>
          <cell r="E5659" t="str">
            <v>Pasacaballos</v>
          </cell>
          <cell r="H5659" t="str">
            <v>laboratorio</v>
          </cell>
          <cell r="J5659" t="str">
            <v>regular</v>
          </cell>
          <cell r="K5659" t="str">
            <v>probsi</v>
          </cell>
        </row>
        <row r="5660">
          <cell r="B5660" t="b">
            <v>0</v>
          </cell>
          <cell r="E5660" t="str">
            <v>Pasacaballos</v>
          </cell>
          <cell r="H5660" t="str">
            <v>laboratorio</v>
          </cell>
          <cell r="J5660" t="str">
            <v>regular</v>
          </cell>
          <cell r="K5660" t="str">
            <v>probsi</v>
          </cell>
        </row>
        <row r="5661">
          <cell r="B5661" t="b">
            <v>1</v>
          </cell>
          <cell r="E5661" t="str">
            <v>Pasacaballos</v>
          </cell>
          <cell r="H5661" t="str">
            <v>laboratorio</v>
          </cell>
          <cell r="J5661" t="str">
            <v>bueno</v>
          </cell>
          <cell r="K5661" t="str">
            <v>probsi</v>
          </cell>
        </row>
        <row r="5662">
          <cell r="B5662" t="b">
            <v>1</v>
          </cell>
          <cell r="E5662" t="str">
            <v>Pasacaballos</v>
          </cell>
          <cell r="H5662" t="str">
            <v>laboratorio</v>
          </cell>
          <cell r="J5662" t="str">
            <v>bueno</v>
          </cell>
          <cell r="K5662" t="str">
            <v>probsi</v>
          </cell>
        </row>
        <row r="5663">
          <cell r="B5663" t="b">
            <v>1</v>
          </cell>
          <cell r="E5663" t="str">
            <v>Pasacaballos</v>
          </cell>
          <cell r="H5663" t="str">
            <v>laboratorio</v>
          </cell>
          <cell r="J5663" t="str">
            <v>bueno</v>
          </cell>
          <cell r="K5663" t="str">
            <v>probsi</v>
          </cell>
        </row>
        <row r="5664">
          <cell r="B5664" t="b">
            <v>0</v>
          </cell>
          <cell r="E5664" t="str">
            <v>Pasacaballos</v>
          </cell>
          <cell r="H5664" t="str">
            <v>urgencia</v>
          </cell>
          <cell r="J5664" t="str">
            <v>regular</v>
          </cell>
          <cell r="K5664" t="str">
            <v>probsi</v>
          </cell>
        </row>
        <row r="5665">
          <cell r="B5665" t="b">
            <v>0</v>
          </cell>
          <cell r="E5665" t="str">
            <v>Pasacaballos</v>
          </cell>
          <cell r="H5665" t="str">
            <v>urgencia</v>
          </cell>
          <cell r="J5665" t="str">
            <v>regular</v>
          </cell>
          <cell r="K5665" t="str">
            <v>probsi</v>
          </cell>
        </row>
        <row r="5666">
          <cell r="B5666" t="b">
            <v>1</v>
          </cell>
          <cell r="E5666" t="str">
            <v>Pasacaballos</v>
          </cell>
          <cell r="H5666" t="str">
            <v>urgencia</v>
          </cell>
          <cell r="J5666" t="str">
            <v>bueno</v>
          </cell>
          <cell r="K5666" t="str">
            <v>probsi</v>
          </cell>
        </row>
        <row r="5667">
          <cell r="B5667" t="b">
            <v>1</v>
          </cell>
          <cell r="E5667" t="str">
            <v>Pasacaballos</v>
          </cell>
          <cell r="H5667" t="str">
            <v>urgencia</v>
          </cell>
          <cell r="J5667" t="str">
            <v>bueno</v>
          </cell>
          <cell r="K5667" t="str">
            <v>probsi</v>
          </cell>
        </row>
        <row r="5668">
          <cell r="B5668" t="b">
            <v>1</v>
          </cell>
          <cell r="E5668" t="str">
            <v>Pasacaballos</v>
          </cell>
          <cell r="H5668" t="str">
            <v>urgencia</v>
          </cell>
          <cell r="J5668" t="str">
            <v>bueno</v>
          </cell>
          <cell r="K5668" t="str">
            <v>probsi</v>
          </cell>
        </row>
        <row r="5669">
          <cell r="B5669" t="b">
            <v>1</v>
          </cell>
          <cell r="E5669" t="str">
            <v>Pasacaballos</v>
          </cell>
          <cell r="H5669" t="str">
            <v>urgencia</v>
          </cell>
          <cell r="J5669" t="str">
            <v>bueno</v>
          </cell>
          <cell r="K5669" t="str">
            <v>probsi</v>
          </cell>
        </row>
        <row r="5670">
          <cell r="B5670" t="b">
            <v>1</v>
          </cell>
          <cell r="E5670" t="str">
            <v>Pasacaballos</v>
          </cell>
          <cell r="H5670" t="str">
            <v>urgencia</v>
          </cell>
          <cell r="J5670" t="str">
            <v>bueno</v>
          </cell>
          <cell r="K5670" t="str">
            <v>probsi</v>
          </cell>
        </row>
        <row r="5671">
          <cell r="B5671" t="b">
            <v>1</v>
          </cell>
          <cell r="E5671" t="str">
            <v>Bocachica</v>
          </cell>
          <cell r="H5671" t="str">
            <v>consulta_externa</v>
          </cell>
          <cell r="J5671" t="str">
            <v>muybueno</v>
          </cell>
          <cell r="K5671" t="str">
            <v>defsi</v>
          </cell>
        </row>
        <row r="5672">
          <cell r="B5672" t="b">
            <v>1</v>
          </cell>
          <cell r="E5672" t="str">
            <v>Ternera</v>
          </cell>
          <cell r="H5672" t="str">
            <v>consulta_externa</v>
          </cell>
          <cell r="J5672" t="str">
            <v>bueno</v>
          </cell>
          <cell r="K5672" t="str">
            <v>defsi</v>
          </cell>
        </row>
        <row r="5673">
          <cell r="B5673" t="b">
            <v>1</v>
          </cell>
          <cell r="E5673" t="str">
            <v>Ternera</v>
          </cell>
          <cell r="H5673" t="str">
            <v>consulta_externa</v>
          </cell>
          <cell r="J5673" t="str">
            <v>bueno</v>
          </cell>
          <cell r="K5673" t="str">
            <v>defsi</v>
          </cell>
        </row>
        <row r="5674">
          <cell r="B5674" t="b">
            <v>1</v>
          </cell>
          <cell r="E5674" t="str">
            <v>Ternera</v>
          </cell>
          <cell r="H5674" t="str">
            <v>laboratorio</v>
          </cell>
          <cell r="J5674" t="str">
            <v>bueno</v>
          </cell>
          <cell r="K5674" t="str">
            <v>defsi</v>
          </cell>
        </row>
        <row r="5675">
          <cell r="B5675" t="b">
            <v>1</v>
          </cell>
          <cell r="E5675" t="str">
            <v>Bocachica</v>
          </cell>
          <cell r="H5675" t="str">
            <v>consulta_externa</v>
          </cell>
          <cell r="J5675" t="str">
            <v>muybueno</v>
          </cell>
          <cell r="K5675" t="str">
            <v>defsi</v>
          </cell>
        </row>
        <row r="5676">
          <cell r="B5676" t="b">
            <v>1</v>
          </cell>
          <cell r="E5676" t="str">
            <v>Bocachica</v>
          </cell>
          <cell r="H5676" t="str">
            <v>laboratorio</v>
          </cell>
          <cell r="J5676" t="str">
            <v>muybueno</v>
          </cell>
          <cell r="K5676" t="str">
            <v>defsi</v>
          </cell>
        </row>
        <row r="5677">
          <cell r="B5677" t="b">
            <v>1</v>
          </cell>
          <cell r="E5677" t="str">
            <v>Ternera</v>
          </cell>
          <cell r="H5677" t="str">
            <v>salud_oral</v>
          </cell>
          <cell r="J5677" t="str">
            <v>bueno</v>
          </cell>
          <cell r="K5677" t="str">
            <v>defsi</v>
          </cell>
        </row>
        <row r="5678">
          <cell r="B5678" t="b">
            <v>1</v>
          </cell>
          <cell r="E5678" t="str">
            <v>Bocachica</v>
          </cell>
          <cell r="H5678" t="str">
            <v>consulta_externa</v>
          </cell>
          <cell r="J5678" t="str">
            <v>muybueno</v>
          </cell>
          <cell r="K5678" t="str">
            <v>defsi</v>
          </cell>
        </row>
        <row r="5679">
          <cell r="B5679" t="b">
            <v>1</v>
          </cell>
          <cell r="E5679" t="str">
            <v>Bocachica</v>
          </cell>
          <cell r="H5679" t="str">
            <v>salud_oral</v>
          </cell>
          <cell r="J5679" t="str">
            <v>muybueno</v>
          </cell>
          <cell r="K5679" t="str">
            <v>defsi</v>
          </cell>
        </row>
        <row r="5680">
          <cell r="B5680" t="b">
            <v>1</v>
          </cell>
          <cell r="E5680" t="str">
            <v>Bocachica</v>
          </cell>
          <cell r="H5680" t="str">
            <v>consulta_externa</v>
          </cell>
          <cell r="J5680" t="str">
            <v>muybueno</v>
          </cell>
          <cell r="K5680" t="str">
            <v>defsi</v>
          </cell>
        </row>
        <row r="5681">
          <cell r="B5681" t="b">
            <v>1</v>
          </cell>
          <cell r="E5681" t="str">
            <v>Bocachica</v>
          </cell>
          <cell r="H5681" t="str">
            <v>consulta_externa</v>
          </cell>
          <cell r="J5681" t="str">
            <v>muybueno</v>
          </cell>
          <cell r="K5681" t="str">
            <v>defsi</v>
          </cell>
        </row>
        <row r="5682">
          <cell r="B5682" t="b">
            <v>1</v>
          </cell>
          <cell r="E5682" t="str">
            <v>Bocachica</v>
          </cell>
          <cell r="H5682" t="str">
            <v>laboratorio</v>
          </cell>
          <cell r="J5682" t="str">
            <v>muybueno</v>
          </cell>
          <cell r="K5682" t="str">
            <v>defsi</v>
          </cell>
        </row>
        <row r="5683">
          <cell r="B5683" t="b">
            <v>1</v>
          </cell>
          <cell r="E5683" t="str">
            <v>Bocachica</v>
          </cell>
          <cell r="H5683" t="str">
            <v>salud_oral</v>
          </cell>
          <cell r="J5683" t="str">
            <v>muybueno</v>
          </cell>
          <cell r="K5683" t="str">
            <v>defsi</v>
          </cell>
        </row>
        <row r="5684">
          <cell r="B5684" t="b">
            <v>1</v>
          </cell>
          <cell r="E5684" t="str">
            <v>Arroyo Grande</v>
          </cell>
          <cell r="H5684" t="str">
            <v>laboratorio</v>
          </cell>
          <cell r="J5684" t="str">
            <v>bueno</v>
          </cell>
          <cell r="K5684" t="str">
            <v>defsi</v>
          </cell>
        </row>
        <row r="5685">
          <cell r="B5685" t="b">
            <v>1</v>
          </cell>
          <cell r="E5685" t="str">
            <v>Arroyo Grande</v>
          </cell>
          <cell r="H5685" t="str">
            <v>consulta_externa</v>
          </cell>
          <cell r="J5685" t="str">
            <v>bueno</v>
          </cell>
          <cell r="K5685" t="str">
            <v>defsi</v>
          </cell>
        </row>
        <row r="5686">
          <cell r="B5686" t="b">
            <v>1</v>
          </cell>
          <cell r="E5686" t="str">
            <v>Arroyo Grande</v>
          </cell>
          <cell r="H5686" t="str">
            <v>consulta_externa</v>
          </cell>
          <cell r="J5686" t="str">
            <v>bueno</v>
          </cell>
          <cell r="K5686" t="str">
            <v>defsi</v>
          </cell>
        </row>
        <row r="5687">
          <cell r="B5687" t="b">
            <v>1</v>
          </cell>
          <cell r="E5687" t="str">
            <v>Bocachica</v>
          </cell>
          <cell r="H5687" t="str">
            <v>consulta_externa</v>
          </cell>
          <cell r="J5687" t="str">
            <v>muybueno</v>
          </cell>
          <cell r="K5687" t="str">
            <v>defsi</v>
          </cell>
        </row>
        <row r="5688">
          <cell r="B5688" t="b">
            <v>1</v>
          </cell>
          <cell r="E5688" t="str">
            <v>Bocachica</v>
          </cell>
          <cell r="H5688" t="str">
            <v>consulta_externa</v>
          </cell>
          <cell r="J5688" t="str">
            <v>muybueno</v>
          </cell>
          <cell r="K5688" t="str">
            <v>defsi</v>
          </cell>
        </row>
        <row r="5689">
          <cell r="B5689" t="b">
            <v>0</v>
          </cell>
          <cell r="E5689" t="str">
            <v>Pasacaballos</v>
          </cell>
          <cell r="H5689" t="str">
            <v>urgencia</v>
          </cell>
          <cell r="J5689" t="str">
            <v>regular</v>
          </cell>
          <cell r="K5689" t="str">
            <v>probsi</v>
          </cell>
        </row>
        <row r="5690">
          <cell r="B5690" t="b">
            <v>0</v>
          </cell>
          <cell r="E5690" t="str">
            <v>Pasacaballos</v>
          </cell>
          <cell r="H5690" t="str">
            <v>urgencia</v>
          </cell>
          <cell r="J5690" t="str">
            <v>regular</v>
          </cell>
          <cell r="K5690" t="str">
            <v>probsi</v>
          </cell>
        </row>
        <row r="5691">
          <cell r="B5691" t="b">
            <v>1</v>
          </cell>
          <cell r="E5691" t="str">
            <v>Pasacaballos</v>
          </cell>
          <cell r="H5691" t="str">
            <v>urgencia</v>
          </cell>
          <cell r="J5691" t="str">
            <v>bueno</v>
          </cell>
          <cell r="K5691" t="str">
            <v>probsi</v>
          </cell>
        </row>
        <row r="5692">
          <cell r="B5692" t="b">
            <v>0</v>
          </cell>
          <cell r="E5692" t="str">
            <v>Pasacaballos</v>
          </cell>
          <cell r="H5692" t="str">
            <v>urgencia</v>
          </cell>
          <cell r="J5692" t="str">
            <v>regular</v>
          </cell>
          <cell r="K5692" t="str">
            <v>probno</v>
          </cell>
        </row>
        <row r="5693">
          <cell r="B5693" t="b">
            <v>1</v>
          </cell>
          <cell r="E5693" t="str">
            <v>Pasacaballos</v>
          </cell>
          <cell r="H5693" t="str">
            <v>urgencia</v>
          </cell>
          <cell r="J5693" t="str">
            <v>bueno</v>
          </cell>
          <cell r="K5693" t="str">
            <v>probsi</v>
          </cell>
        </row>
        <row r="5694">
          <cell r="B5694" t="b">
            <v>1</v>
          </cell>
          <cell r="E5694" t="str">
            <v>Pasacaballos</v>
          </cell>
          <cell r="H5694" t="str">
            <v>urgencia</v>
          </cell>
          <cell r="J5694" t="str">
            <v>bueno</v>
          </cell>
          <cell r="K5694" t="str">
            <v>probsi</v>
          </cell>
        </row>
        <row r="5695">
          <cell r="B5695" t="b">
            <v>1</v>
          </cell>
          <cell r="E5695" t="str">
            <v>Pasacaballos</v>
          </cell>
          <cell r="H5695" t="str">
            <v>urgencia</v>
          </cell>
          <cell r="J5695" t="str">
            <v>bueno</v>
          </cell>
          <cell r="K5695" t="str">
            <v>probsi</v>
          </cell>
        </row>
        <row r="5696">
          <cell r="B5696" t="b">
            <v>1</v>
          </cell>
          <cell r="E5696" t="str">
            <v>Pasacaballos</v>
          </cell>
          <cell r="H5696" t="str">
            <v>urgencia</v>
          </cell>
          <cell r="J5696" t="str">
            <v>bueno</v>
          </cell>
          <cell r="K5696" t="str">
            <v>probsi</v>
          </cell>
        </row>
        <row r="5697">
          <cell r="B5697" t="b">
            <v>1</v>
          </cell>
          <cell r="E5697" t="str">
            <v>Bocachica</v>
          </cell>
          <cell r="H5697" t="str">
            <v>consulta_externa</v>
          </cell>
          <cell r="J5697" t="str">
            <v>muybueno</v>
          </cell>
          <cell r="K5697" t="str">
            <v>defsi</v>
          </cell>
        </row>
        <row r="5698">
          <cell r="B5698" t="b">
            <v>1</v>
          </cell>
          <cell r="E5698" t="str">
            <v>Bocachica</v>
          </cell>
          <cell r="H5698" t="str">
            <v>consulta_externa</v>
          </cell>
          <cell r="J5698" t="str">
            <v>muybueno</v>
          </cell>
          <cell r="K5698" t="str">
            <v>defsi</v>
          </cell>
        </row>
        <row r="5699">
          <cell r="B5699" t="b">
            <v>1</v>
          </cell>
          <cell r="E5699" t="str">
            <v>Bocachica</v>
          </cell>
          <cell r="H5699" t="str">
            <v>salud_oral</v>
          </cell>
          <cell r="J5699" t="str">
            <v>muybueno</v>
          </cell>
          <cell r="K5699" t="str">
            <v>defsi</v>
          </cell>
        </row>
        <row r="5700">
          <cell r="B5700" t="b">
            <v>1</v>
          </cell>
          <cell r="E5700" t="str">
            <v>Bocachica</v>
          </cell>
          <cell r="H5700" t="str">
            <v>consulta_externa</v>
          </cell>
          <cell r="J5700" t="str">
            <v>muybueno</v>
          </cell>
          <cell r="K5700" t="str">
            <v>defsi</v>
          </cell>
        </row>
        <row r="5701">
          <cell r="B5701" t="b">
            <v>1</v>
          </cell>
          <cell r="E5701" t="str">
            <v>Bocachica</v>
          </cell>
          <cell r="H5701" t="str">
            <v>laboratorio</v>
          </cell>
          <cell r="J5701" t="str">
            <v>muybueno</v>
          </cell>
          <cell r="K5701" t="str">
            <v>defsi</v>
          </cell>
        </row>
        <row r="5702">
          <cell r="B5702" t="b">
            <v>1</v>
          </cell>
          <cell r="E5702" t="str">
            <v>Bocachica</v>
          </cell>
          <cell r="H5702" t="str">
            <v>consulta_externa</v>
          </cell>
          <cell r="J5702" t="str">
            <v>muybueno</v>
          </cell>
          <cell r="K5702" t="str">
            <v>defsi</v>
          </cell>
        </row>
        <row r="5703">
          <cell r="B5703" t="b">
            <v>1</v>
          </cell>
          <cell r="E5703" t="str">
            <v>Bocachica</v>
          </cell>
          <cell r="H5703" t="str">
            <v>laboratorio</v>
          </cell>
          <cell r="J5703" t="str">
            <v>muybueno</v>
          </cell>
          <cell r="K5703" t="str">
            <v>defsi</v>
          </cell>
        </row>
        <row r="5704">
          <cell r="B5704" t="b">
            <v>1</v>
          </cell>
          <cell r="E5704" t="str">
            <v>Bocachica</v>
          </cell>
          <cell r="H5704" t="str">
            <v>salud_oral</v>
          </cell>
          <cell r="J5704" t="str">
            <v>muybueno</v>
          </cell>
          <cell r="K5704" t="str">
            <v>defsi</v>
          </cell>
        </row>
        <row r="5705">
          <cell r="B5705" t="b">
            <v>1</v>
          </cell>
          <cell r="E5705" t="str">
            <v>Arroyo Grande</v>
          </cell>
          <cell r="H5705" t="str">
            <v>consulta_externa</v>
          </cell>
          <cell r="J5705" t="str">
            <v>bueno</v>
          </cell>
          <cell r="K5705" t="str">
            <v>defsi</v>
          </cell>
        </row>
        <row r="5706">
          <cell r="B5706" t="b">
            <v>1</v>
          </cell>
          <cell r="E5706" t="str">
            <v>Arroyo Grande</v>
          </cell>
          <cell r="H5706" t="str">
            <v>salud_oral</v>
          </cell>
          <cell r="J5706" t="str">
            <v>bueno</v>
          </cell>
          <cell r="K5706" t="str">
            <v>defsi</v>
          </cell>
        </row>
        <row r="5707">
          <cell r="B5707" t="b">
            <v>1</v>
          </cell>
          <cell r="E5707" t="str">
            <v>Isla del Rosario</v>
          </cell>
          <cell r="H5707" t="str">
            <v>consulta_externa</v>
          </cell>
          <cell r="J5707" t="str">
            <v>muybueno</v>
          </cell>
          <cell r="K5707" t="str">
            <v>defsi</v>
          </cell>
        </row>
        <row r="5708">
          <cell r="B5708" t="b">
            <v>1</v>
          </cell>
          <cell r="E5708" t="str">
            <v>Isla del Rosario</v>
          </cell>
          <cell r="H5708" t="str">
            <v>salud_oral</v>
          </cell>
          <cell r="J5708" t="str">
            <v>muybueno</v>
          </cell>
          <cell r="K5708" t="str">
            <v>defsi</v>
          </cell>
        </row>
        <row r="5709">
          <cell r="B5709" t="b">
            <v>1</v>
          </cell>
          <cell r="E5709" t="str">
            <v>Isla del Rosario</v>
          </cell>
          <cell r="H5709" t="str">
            <v>consulta_externa</v>
          </cell>
          <cell r="J5709" t="str">
            <v>muybueno</v>
          </cell>
          <cell r="K5709" t="str">
            <v>defsi</v>
          </cell>
        </row>
        <row r="5710">
          <cell r="B5710" t="b">
            <v>1</v>
          </cell>
          <cell r="E5710" t="str">
            <v>Isla del Rosario</v>
          </cell>
          <cell r="H5710" t="str">
            <v>laboratorio</v>
          </cell>
          <cell r="J5710" t="str">
            <v>muybueno</v>
          </cell>
          <cell r="K5710" t="str">
            <v>defsi</v>
          </cell>
        </row>
        <row r="5711">
          <cell r="B5711" t="b">
            <v>1</v>
          </cell>
          <cell r="E5711" t="str">
            <v>Isla del Rosario</v>
          </cell>
          <cell r="H5711" t="str">
            <v>consulta_externa</v>
          </cell>
          <cell r="J5711" t="str">
            <v>muybueno</v>
          </cell>
          <cell r="K5711" t="str">
            <v>defsi</v>
          </cell>
        </row>
        <row r="5712">
          <cell r="B5712" t="b">
            <v>1</v>
          </cell>
          <cell r="E5712" t="str">
            <v>Isla del Rosario</v>
          </cell>
          <cell r="H5712" t="str">
            <v>salud_oral</v>
          </cell>
          <cell r="J5712" t="str">
            <v>muybueno</v>
          </cell>
          <cell r="K5712" t="str">
            <v>defsi</v>
          </cell>
        </row>
        <row r="5713">
          <cell r="B5713" t="b">
            <v>1</v>
          </cell>
          <cell r="E5713" t="str">
            <v>Isla del Rosario</v>
          </cell>
          <cell r="H5713" t="str">
            <v>consulta_externa</v>
          </cell>
          <cell r="J5713" t="str">
            <v>muybueno</v>
          </cell>
          <cell r="K5713" t="str">
            <v>defsi</v>
          </cell>
        </row>
        <row r="5714">
          <cell r="B5714" t="b">
            <v>1</v>
          </cell>
          <cell r="E5714" t="str">
            <v>Isla del Rosario</v>
          </cell>
          <cell r="H5714" t="str">
            <v>laboratorio</v>
          </cell>
          <cell r="J5714" t="str">
            <v>muybueno</v>
          </cell>
          <cell r="K5714" t="str">
            <v>defsi</v>
          </cell>
        </row>
        <row r="5715">
          <cell r="B5715" t="b">
            <v>1</v>
          </cell>
          <cell r="E5715" t="str">
            <v>Isla del Rosario</v>
          </cell>
          <cell r="H5715" t="str">
            <v>consulta_externa</v>
          </cell>
          <cell r="J5715" t="str">
            <v>muybueno</v>
          </cell>
          <cell r="K5715" t="str">
            <v>defsi</v>
          </cell>
        </row>
        <row r="5716">
          <cell r="B5716" t="b">
            <v>1</v>
          </cell>
          <cell r="E5716" t="str">
            <v>Isla del Rosario</v>
          </cell>
          <cell r="H5716" t="str">
            <v>laboratorio</v>
          </cell>
          <cell r="J5716" t="str">
            <v>muybueno</v>
          </cell>
          <cell r="K5716" t="str">
            <v>defsi</v>
          </cell>
        </row>
        <row r="5717">
          <cell r="B5717" t="b">
            <v>0</v>
          </cell>
          <cell r="E5717" t="str">
            <v>Pasacaballos</v>
          </cell>
          <cell r="H5717" t="str">
            <v>urgencia</v>
          </cell>
          <cell r="J5717" t="str">
            <v>regular</v>
          </cell>
          <cell r="K5717" t="str">
            <v>probsi</v>
          </cell>
        </row>
        <row r="5718">
          <cell r="B5718" t="b">
            <v>1</v>
          </cell>
          <cell r="E5718" t="str">
            <v>Pasacaballos</v>
          </cell>
          <cell r="H5718" t="str">
            <v>urgencia</v>
          </cell>
          <cell r="J5718" t="str">
            <v>bueno</v>
          </cell>
          <cell r="K5718" t="str">
            <v>probsi</v>
          </cell>
        </row>
        <row r="5719">
          <cell r="B5719" t="b">
            <v>1</v>
          </cell>
          <cell r="E5719" t="str">
            <v>Pasacaballos</v>
          </cell>
          <cell r="H5719" t="str">
            <v>urgencia</v>
          </cell>
          <cell r="J5719" t="str">
            <v>bueno</v>
          </cell>
          <cell r="K5719" t="str">
            <v>probsi</v>
          </cell>
        </row>
        <row r="5720">
          <cell r="B5720" t="b">
            <v>1</v>
          </cell>
          <cell r="E5720" t="str">
            <v>Pasacaballos</v>
          </cell>
          <cell r="H5720" t="str">
            <v>urgencia</v>
          </cell>
          <cell r="J5720" t="str">
            <v>bueno</v>
          </cell>
          <cell r="K5720" t="str">
            <v>probsi</v>
          </cell>
        </row>
        <row r="5721">
          <cell r="B5721" t="b">
            <v>0</v>
          </cell>
          <cell r="E5721" t="str">
            <v>Pasacaballos</v>
          </cell>
          <cell r="H5721" t="str">
            <v>urgencia</v>
          </cell>
          <cell r="J5721" t="str">
            <v>regular</v>
          </cell>
          <cell r="K5721" t="str">
            <v>probsi</v>
          </cell>
        </row>
        <row r="5722">
          <cell r="B5722" t="b">
            <v>0</v>
          </cell>
          <cell r="E5722" t="str">
            <v>Pasacaballos</v>
          </cell>
          <cell r="H5722" t="str">
            <v>urgencia</v>
          </cell>
          <cell r="J5722" t="str">
            <v>regular</v>
          </cell>
          <cell r="K5722" t="str">
            <v>probsi</v>
          </cell>
        </row>
        <row r="5723">
          <cell r="B5723" t="b">
            <v>0</v>
          </cell>
          <cell r="E5723" t="str">
            <v>Pasacaballos</v>
          </cell>
          <cell r="H5723" t="str">
            <v>urgencia</v>
          </cell>
          <cell r="J5723" t="str">
            <v>regular</v>
          </cell>
          <cell r="K5723" t="str">
            <v>probsi</v>
          </cell>
        </row>
        <row r="5724">
          <cell r="B5724" t="b">
            <v>1</v>
          </cell>
          <cell r="E5724" t="str">
            <v>Pasacaballos</v>
          </cell>
          <cell r="H5724" t="str">
            <v>urgencia</v>
          </cell>
          <cell r="J5724" t="str">
            <v>bueno</v>
          </cell>
          <cell r="K5724" t="str">
            <v>probsi</v>
          </cell>
        </row>
        <row r="5725">
          <cell r="B5725" t="b">
            <v>1</v>
          </cell>
          <cell r="E5725" t="str">
            <v>Pasacaballos</v>
          </cell>
          <cell r="H5725" t="str">
            <v>urgencia</v>
          </cell>
          <cell r="J5725" t="str">
            <v>bueno</v>
          </cell>
          <cell r="K5725" t="str">
            <v>probsi</v>
          </cell>
        </row>
        <row r="5726">
          <cell r="B5726" t="b">
            <v>1</v>
          </cell>
          <cell r="E5726" t="str">
            <v>Arroz Barato</v>
          </cell>
          <cell r="H5726" t="str">
            <v>laboratorio</v>
          </cell>
          <cell r="J5726" t="str">
            <v>bueno</v>
          </cell>
          <cell r="K5726" t="str">
            <v>probsi</v>
          </cell>
        </row>
        <row r="5727">
          <cell r="B5727" t="b">
            <v>1</v>
          </cell>
          <cell r="E5727" t="str">
            <v>Arroz Barato</v>
          </cell>
          <cell r="H5727" t="str">
            <v>laboratorio</v>
          </cell>
          <cell r="J5727" t="str">
            <v>bueno</v>
          </cell>
          <cell r="K5727" t="str">
            <v>probsi</v>
          </cell>
        </row>
        <row r="5728">
          <cell r="B5728" t="b">
            <v>1</v>
          </cell>
          <cell r="E5728" t="str">
            <v>Arroz Barato</v>
          </cell>
          <cell r="H5728" t="str">
            <v>laboratorio</v>
          </cell>
          <cell r="J5728" t="str">
            <v>bueno</v>
          </cell>
          <cell r="K5728" t="str">
            <v>probsi</v>
          </cell>
        </row>
        <row r="5729">
          <cell r="B5729" t="b">
            <v>1</v>
          </cell>
          <cell r="E5729" t="str">
            <v>Arroz Barato</v>
          </cell>
          <cell r="H5729" t="str">
            <v>laboratorio</v>
          </cell>
          <cell r="J5729" t="str">
            <v>bueno</v>
          </cell>
          <cell r="K5729" t="str">
            <v>probsi</v>
          </cell>
        </row>
        <row r="5730">
          <cell r="B5730" t="b">
            <v>1</v>
          </cell>
          <cell r="E5730" t="str">
            <v>Arroz Barato</v>
          </cell>
          <cell r="H5730" t="str">
            <v>laboratorio</v>
          </cell>
          <cell r="J5730" t="str">
            <v>bueno</v>
          </cell>
          <cell r="K5730" t="str">
            <v>probsi</v>
          </cell>
        </row>
        <row r="5731">
          <cell r="B5731" t="b">
            <v>1</v>
          </cell>
          <cell r="E5731" t="str">
            <v>Arroz Barato</v>
          </cell>
          <cell r="H5731" t="str">
            <v>rx</v>
          </cell>
          <cell r="J5731" t="str">
            <v>bueno</v>
          </cell>
          <cell r="K5731" t="str">
            <v>probsi</v>
          </cell>
        </row>
        <row r="5732">
          <cell r="B5732" t="b">
            <v>1</v>
          </cell>
          <cell r="E5732" t="str">
            <v>Arroz Barato</v>
          </cell>
          <cell r="H5732" t="str">
            <v>rx</v>
          </cell>
          <cell r="J5732" t="str">
            <v>bueno</v>
          </cell>
          <cell r="K5732" t="str">
            <v>probsi</v>
          </cell>
        </row>
        <row r="5733">
          <cell r="B5733" t="b">
            <v>0</v>
          </cell>
          <cell r="E5733" t="str">
            <v>Arroz Barato</v>
          </cell>
          <cell r="H5733" t="str">
            <v>rx</v>
          </cell>
          <cell r="J5733" t="str">
            <v>regular</v>
          </cell>
          <cell r="K5733" t="str">
            <v>probsi</v>
          </cell>
        </row>
        <row r="5734">
          <cell r="B5734" t="b">
            <v>1</v>
          </cell>
          <cell r="E5734" t="str">
            <v>Arroz Barato</v>
          </cell>
          <cell r="H5734" t="str">
            <v>rx</v>
          </cell>
          <cell r="J5734" t="str">
            <v>bueno</v>
          </cell>
          <cell r="K5734" t="str">
            <v>probsi</v>
          </cell>
        </row>
        <row r="5735">
          <cell r="B5735" t="b">
            <v>1</v>
          </cell>
          <cell r="E5735" t="str">
            <v>Arroz Barato</v>
          </cell>
          <cell r="H5735" t="str">
            <v>rx</v>
          </cell>
          <cell r="J5735" t="str">
            <v>bueno</v>
          </cell>
          <cell r="K5735" t="str">
            <v>probsi</v>
          </cell>
        </row>
        <row r="5736">
          <cell r="B5736" t="b">
            <v>1</v>
          </cell>
          <cell r="E5736" t="str">
            <v>Arroz Barato</v>
          </cell>
          <cell r="H5736" t="str">
            <v>rx</v>
          </cell>
          <cell r="J5736" t="str">
            <v>bueno</v>
          </cell>
          <cell r="K5736" t="str">
            <v>probsi</v>
          </cell>
        </row>
        <row r="5737">
          <cell r="B5737" t="b">
            <v>1</v>
          </cell>
          <cell r="E5737" t="str">
            <v>Arroz Barato</v>
          </cell>
          <cell r="H5737" t="str">
            <v>rx</v>
          </cell>
          <cell r="J5737" t="str">
            <v>bueno</v>
          </cell>
          <cell r="K5737" t="str">
            <v>probsi</v>
          </cell>
        </row>
        <row r="5738">
          <cell r="B5738" t="b">
            <v>1</v>
          </cell>
          <cell r="E5738" t="str">
            <v>Arroz Barato</v>
          </cell>
          <cell r="H5738" t="str">
            <v>rx</v>
          </cell>
          <cell r="J5738" t="str">
            <v>bueno</v>
          </cell>
          <cell r="K5738" t="str">
            <v>probsi</v>
          </cell>
        </row>
        <row r="5739">
          <cell r="B5739" t="b">
            <v>1</v>
          </cell>
          <cell r="E5739" t="str">
            <v>Baru</v>
          </cell>
          <cell r="H5739" t="str">
            <v>consulta_externa</v>
          </cell>
          <cell r="J5739" t="str">
            <v>muybueno</v>
          </cell>
          <cell r="K5739" t="str">
            <v>defsi</v>
          </cell>
        </row>
        <row r="5740">
          <cell r="B5740" t="b">
            <v>1</v>
          </cell>
          <cell r="E5740" t="str">
            <v>Baru</v>
          </cell>
          <cell r="H5740" t="str">
            <v>salud_oral</v>
          </cell>
          <cell r="J5740" t="str">
            <v>muybueno</v>
          </cell>
          <cell r="K5740" t="str">
            <v>defsi</v>
          </cell>
        </row>
        <row r="5741">
          <cell r="B5741" t="b">
            <v>1</v>
          </cell>
          <cell r="E5741" t="str">
            <v>Arroyo Grande</v>
          </cell>
          <cell r="H5741" t="str">
            <v>laboratorio</v>
          </cell>
          <cell r="J5741" t="str">
            <v>bueno</v>
          </cell>
          <cell r="K5741" t="str">
            <v>defsi</v>
          </cell>
        </row>
        <row r="5742">
          <cell r="B5742" t="b">
            <v>1</v>
          </cell>
          <cell r="E5742" t="str">
            <v>Arroyo Grande</v>
          </cell>
          <cell r="H5742" t="str">
            <v>consulta_externa</v>
          </cell>
          <cell r="J5742" t="str">
            <v>bueno</v>
          </cell>
          <cell r="K5742" t="str">
            <v>defsi</v>
          </cell>
        </row>
        <row r="5743">
          <cell r="B5743" t="b">
            <v>1</v>
          </cell>
          <cell r="E5743" t="str">
            <v>Arroyo Grande</v>
          </cell>
          <cell r="H5743" t="str">
            <v>salud_oral</v>
          </cell>
          <cell r="J5743" t="str">
            <v>bueno</v>
          </cell>
          <cell r="K5743" t="str">
            <v>defsi</v>
          </cell>
        </row>
        <row r="5744">
          <cell r="B5744" t="b">
            <v>1</v>
          </cell>
          <cell r="E5744" t="str">
            <v>Baru</v>
          </cell>
          <cell r="H5744" t="str">
            <v>consulta_externa</v>
          </cell>
          <cell r="J5744" t="str">
            <v>muybueno</v>
          </cell>
          <cell r="K5744" t="str">
            <v>defsi</v>
          </cell>
        </row>
        <row r="5745">
          <cell r="B5745" t="b">
            <v>1</v>
          </cell>
          <cell r="E5745" t="str">
            <v>Baru</v>
          </cell>
          <cell r="H5745" t="str">
            <v>laboratorio</v>
          </cell>
          <cell r="J5745" t="str">
            <v>muybueno</v>
          </cell>
          <cell r="K5745" t="str">
            <v>defsi</v>
          </cell>
        </row>
        <row r="5746">
          <cell r="B5746" t="b">
            <v>1</v>
          </cell>
          <cell r="E5746" t="str">
            <v>Baru</v>
          </cell>
          <cell r="H5746" t="str">
            <v>salud_oral</v>
          </cell>
          <cell r="J5746" t="str">
            <v>muybueno</v>
          </cell>
          <cell r="K5746" t="str">
            <v>defsi</v>
          </cell>
        </row>
        <row r="5747">
          <cell r="B5747" t="b">
            <v>1</v>
          </cell>
          <cell r="E5747" t="str">
            <v>Baru</v>
          </cell>
          <cell r="H5747" t="str">
            <v>consulta_externa</v>
          </cell>
          <cell r="J5747" t="str">
            <v>muybueno</v>
          </cell>
          <cell r="K5747" t="str">
            <v>defsi</v>
          </cell>
        </row>
        <row r="5748">
          <cell r="B5748" t="b">
            <v>1</v>
          </cell>
          <cell r="E5748" t="str">
            <v>Baru</v>
          </cell>
          <cell r="H5748" t="str">
            <v>laboratorio</v>
          </cell>
          <cell r="J5748" t="str">
            <v>muybueno</v>
          </cell>
          <cell r="K5748" t="str">
            <v>defsi</v>
          </cell>
        </row>
        <row r="5749">
          <cell r="B5749" t="b">
            <v>1</v>
          </cell>
          <cell r="E5749" t="str">
            <v>Baru</v>
          </cell>
          <cell r="H5749" t="str">
            <v>salud_oral</v>
          </cell>
          <cell r="J5749" t="str">
            <v>muybueno</v>
          </cell>
          <cell r="K5749" t="str">
            <v>defsi</v>
          </cell>
        </row>
        <row r="5750">
          <cell r="B5750" t="b">
            <v>1</v>
          </cell>
          <cell r="E5750" t="str">
            <v>Arroyo Grande</v>
          </cell>
          <cell r="H5750" t="str">
            <v>laboratorio</v>
          </cell>
          <cell r="J5750" t="str">
            <v>bueno</v>
          </cell>
          <cell r="K5750" t="str">
            <v>defsi</v>
          </cell>
        </row>
        <row r="5751">
          <cell r="B5751" t="b">
            <v>1</v>
          </cell>
          <cell r="E5751" t="str">
            <v>Baru</v>
          </cell>
          <cell r="H5751" t="str">
            <v>consulta_externa</v>
          </cell>
          <cell r="J5751" t="str">
            <v>muybueno</v>
          </cell>
          <cell r="K5751" t="str">
            <v>defsi</v>
          </cell>
        </row>
        <row r="5752">
          <cell r="B5752" t="b">
            <v>1</v>
          </cell>
          <cell r="E5752" t="str">
            <v>Arroyo Grande</v>
          </cell>
          <cell r="H5752" t="str">
            <v>consulta_externa</v>
          </cell>
          <cell r="J5752" t="str">
            <v>bueno</v>
          </cell>
          <cell r="K5752" t="str">
            <v>defsi</v>
          </cell>
        </row>
        <row r="5753">
          <cell r="B5753" t="b">
            <v>1</v>
          </cell>
          <cell r="E5753" t="str">
            <v>Arroyo Grande</v>
          </cell>
          <cell r="H5753" t="str">
            <v>salud_oral</v>
          </cell>
          <cell r="J5753" t="str">
            <v>bueno</v>
          </cell>
          <cell r="K5753" t="str">
            <v>defsi</v>
          </cell>
        </row>
        <row r="5754">
          <cell r="B5754" t="b">
            <v>1</v>
          </cell>
          <cell r="E5754" t="str">
            <v>Baru</v>
          </cell>
          <cell r="H5754" t="str">
            <v>consulta_externa</v>
          </cell>
          <cell r="J5754" t="str">
            <v>muybueno</v>
          </cell>
          <cell r="K5754" t="str">
            <v>defsi</v>
          </cell>
        </row>
        <row r="5755">
          <cell r="B5755" t="b">
            <v>1</v>
          </cell>
          <cell r="E5755" t="str">
            <v>Isla del Rosario</v>
          </cell>
          <cell r="H5755" t="str">
            <v>laboratorio</v>
          </cell>
          <cell r="J5755" t="str">
            <v>muybueno</v>
          </cell>
          <cell r="K5755" t="str">
            <v>defsi</v>
          </cell>
        </row>
        <row r="5756">
          <cell r="B5756" t="b">
            <v>1</v>
          </cell>
          <cell r="E5756" t="str">
            <v>Ternera</v>
          </cell>
          <cell r="H5756" t="str">
            <v>consulta_externa</v>
          </cell>
          <cell r="J5756" t="str">
            <v>bueno</v>
          </cell>
          <cell r="K5756" t="str">
            <v>defsi</v>
          </cell>
        </row>
        <row r="5757">
          <cell r="B5757" t="b">
            <v>1</v>
          </cell>
          <cell r="E5757" t="str">
            <v>Ternera</v>
          </cell>
          <cell r="H5757" t="str">
            <v>laboratorio</v>
          </cell>
          <cell r="J5757" t="str">
            <v>bueno</v>
          </cell>
          <cell r="K5757" t="str">
            <v>defsi</v>
          </cell>
        </row>
        <row r="5758">
          <cell r="B5758" t="b">
            <v>1</v>
          </cell>
          <cell r="E5758" t="str">
            <v>Arroyo de Piedra</v>
          </cell>
          <cell r="H5758" t="str">
            <v>consulta_externa</v>
          </cell>
          <cell r="J5758" t="str">
            <v>bueno</v>
          </cell>
          <cell r="K5758" t="str">
            <v>defsi</v>
          </cell>
        </row>
        <row r="5759">
          <cell r="B5759" t="b">
            <v>1</v>
          </cell>
          <cell r="E5759" t="str">
            <v>Arroyo de Piedra</v>
          </cell>
          <cell r="H5759" t="str">
            <v>salud_oral</v>
          </cell>
          <cell r="J5759" t="str">
            <v>bueno</v>
          </cell>
          <cell r="K5759" t="str">
            <v>defsi</v>
          </cell>
        </row>
        <row r="5760">
          <cell r="B5760" t="b">
            <v>1</v>
          </cell>
          <cell r="E5760" t="str">
            <v>Arroyo de Piedra</v>
          </cell>
          <cell r="H5760" t="str">
            <v>laboratorio</v>
          </cell>
          <cell r="J5760" t="str">
            <v>bueno</v>
          </cell>
          <cell r="K5760" t="str">
            <v>defsi</v>
          </cell>
        </row>
        <row r="5761">
          <cell r="B5761" t="b">
            <v>1</v>
          </cell>
          <cell r="E5761" t="str">
            <v>Arroyo de Piedra</v>
          </cell>
          <cell r="H5761" t="str">
            <v>consulta_externa</v>
          </cell>
          <cell r="J5761" t="str">
            <v>bueno</v>
          </cell>
          <cell r="K5761" t="str">
            <v>defsi</v>
          </cell>
        </row>
        <row r="5762">
          <cell r="B5762" t="b">
            <v>1</v>
          </cell>
          <cell r="E5762" t="str">
            <v>Arroyo de Piedra</v>
          </cell>
          <cell r="H5762" t="str">
            <v>laboratorio</v>
          </cell>
          <cell r="J5762" t="str">
            <v>bueno</v>
          </cell>
          <cell r="K5762" t="str">
            <v>defsi</v>
          </cell>
        </row>
        <row r="5763">
          <cell r="B5763" t="b">
            <v>1</v>
          </cell>
          <cell r="E5763" t="str">
            <v>Arroyo de Piedra</v>
          </cell>
          <cell r="H5763" t="str">
            <v>consulta_externa</v>
          </cell>
          <cell r="J5763" t="str">
            <v>bueno</v>
          </cell>
          <cell r="K5763" t="str">
            <v>defsi</v>
          </cell>
        </row>
        <row r="5764">
          <cell r="B5764" t="b">
            <v>1</v>
          </cell>
          <cell r="E5764" t="str">
            <v>Arroyo de Piedra</v>
          </cell>
          <cell r="H5764" t="str">
            <v>salud_oral</v>
          </cell>
          <cell r="J5764" t="str">
            <v>bueno</v>
          </cell>
          <cell r="K5764" t="str">
            <v>defsi</v>
          </cell>
        </row>
        <row r="5765">
          <cell r="B5765" t="b">
            <v>1</v>
          </cell>
          <cell r="E5765" t="str">
            <v>Ternera</v>
          </cell>
          <cell r="H5765" t="str">
            <v>laboratorio</v>
          </cell>
          <cell r="J5765" t="str">
            <v>bueno</v>
          </cell>
          <cell r="K5765" t="str">
            <v>defsi</v>
          </cell>
        </row>
        <row r="5766">
          <cell r="B5766" t="b">
            <v>1</v>
          </cell>
          <cell r="E5766" t="str">
            <v>Ternera</v>
          </cell>
          <cell r="H5766" t="str">
            <v>consulta_externa</v>
          </cell>
          <cell r="J5766" t="str">
            <v>bueno</v>
          </cell>
          <cell r="K5766" t="str">
            <v>defsi</v>
          </cell>
        </row>
        <row r="5767">
          <cell r="B5767" t="b">
            <v>1</v>
          </cell>
          <cell r="E5767" t="str">
            <v>Ternera</v>
          </cell>
          <cell r="H5767" t="str">
            <v>consulta_externa</v>
          </cell>
          <cell r="J5767" t="str">
            <v>bueno</v>
          </cell>
          <cell r="K5767" t="str">
            <v>defsi</v>
          </cell>
        </row>
        <row r="5768">
          <cell r="B5768" t="b">
            <v>1</v>
          </cell>
          <cell r="E5768" t="str">
            <v>Ternera</v>
          </cell>
          <cell r="H5768" t="str">
            <v>laboratorio</v>
          </cell>
          <cell r="J5768" t="str">
            <v>bueno</v>
          </cell>
          <cell r="K5768" t="str">
            <v>defsi</v>
          </cell>
        </row>
        <row r="5769">
          <cell r="B5769" t="b">
            <v>1</v>
          </cell>
          <cell r="E5769" t="str">
            <v>Ternera</v>
          </cell>
          <cell r="H5769" t="str">
            <v>laboratorio</v>
          </cell>
          <cell r="J5769" t="str">
            <v>bueno</v>
          </cell>
          <cell r="K5769" t="str">
            <v>defsi</v>
          </cell>
        </row>
        <row r="5770">
          <cell r="B5770" t="b">
            <v>1</v>
          </cell>
          <cell r="E5770" t="str">
            <v>Ternera</v>
          </cell>
          <cell r="H5770" t="str">
            <v>salud_oral</v>
          </cell>
          <cell r="J5770" t="str">
            <v>bueno</v>
          </cell>
          <cell r="K5770" t="str">
            <v>defsi</v>
          </cell>
        </row>
        <row r="5771">
          <cell r="B5771" t="b">
            <v>1</v>
          </cell>
          <cell r="E5771" t="str">
            <v>Ternera</v>
          </cell>
          <cell r="H5771" t="str">
            <v>consulta_externa</v>
          </cell>
          <cell r="J5771" t="str">
            <v>bueno</v>
          </cell>
          <cell r="K5771" t="str">
            <v>defsi</v>
          </cell>
        </row>
        <row r="5772">
          <cell r="B5772" t="b">
            <v>1</v>
          </cell>
          <cell r="E5772" t="str">
            <v>Ternera</v>
          </cell>
          <cell r="H5772" t="str">
            <v>salud_oral</v>
          </cell>
          <cell r="J5772" t="str">
            <v>bueno</v>
          </cell>
          <cell r="K5772" t="str">
            <v>defsi</v>
          </cell>
        </row>
        <row r="5773">
          <cell r="B5773" t="b">
            <v>0</v>
          </cell>
          <cell r="E5773" t="str">
            <v>Ternera</v>
          </cell>
          <cell r="H5773" t="str">
            <v>salud_oral</v>
          </cell>
          <cell r="J5773" t="str">
            <v>regular</v>
          </cell>
          <cell r="K5773" t="str">
            <v>probsi</v>
          </cell>
        </row>
        <row r="5774">
          <cell r="B5774" t="b">
            <v>1</v>
          </cell>
          <cell r="E5774" t="str">
            <v>Ternera</v>
          </cell>
          <cell r="H5774" t="str">
            <v>salud_oral</v>
          </cell>
          <cell r="J5774" t="str">
            <v>bueno</v>
          </cell>
          <cell r="K5774" t="str">
            <v>defno</v>
          </cell>
        </row>
        <row r="5775">
          <cell r="B5775" t="b">
            <v>1</v>
          </cell>
          <cell r="E5775" t="str">
            <v>Ternera</v>
          </cell>
          <cell r="H5775" t="str">
            <v>salud_oral</v>
          </cell>
          <cell r="J5775" t="str">
            <v>bueno</v>
          </cell>
          <cell r="K5775" t="str">
            <v>defno</v>
          </cell>
        </row>
        <row r="5776">
          <cell r="B5776" t="b">
            <v>1</v>
          </cell>
          <cell r="E5776" t="str">
            <v>Ternera</v>
          </cell>
          <cell r="H5776" t="str">
            <v>consulta_externa</v>
          </cell>
          <cell r="J5776" t="str">
            <v>bueno</v>
          </cell>
          <cell r="K5776" t="str">
            <v>defsi</v>
          </cell>
        </row>
        <row r="5777">
          <cell r="B5777" t="b">
            <v>1</v>
          </cell>
          <cell r="E5777" t="str">
            <v>Ternera</v>
          </cell>
          <cell r="H5777" t="str">
            <v>salud_oral</v>
          </cell>
          <cell r="J5777" t="str">
            <v>bueno</v>
          </cell>
          <cell r="K5777" t="str">
            <v>defsi</v>
          </cell>
        </row>
        <row r="5778">
          <cell r="B5778" t="b">
            <v>0</v>
          </cell>
          <cell r="E5778" t="str">
            <v>Ternera</v>
          </cell>
          <cell r="H5778" t="str">
            <v>salud_oral</v>
          </cell>
          <cell r="J5778" t="str">
            <v>regular</v>
          </cell>
          <cell r="K5778" t="str">
            <v>defsi</v>
          </cell>
        </row>
        <row r="5779">
          <cell r="B5779" t="b">
            <v>1</v>
          </cell>
          <cell r="E5779" t="str">
            <v>Ternera</v>
          </cell>
          <cell r="H5779" t="str">
            <v>consulta_externa</v>
          </cell>
          <cell r="J5779" t="str">
            <v>bueno</v>
          </cell>
          <cell r="K5779" t="str">
            <v>defsi</v>
          </cell>
        </row>
        <row r="5780">
          <cell r="B5780" t="b">
            <v>1</v>
          </cell>
          <cell r="E5780" t="str">
            <v>Ternera</v>
          </cell>
          <cell r="H5780" t="str">
            <v>laboratorio</v>
          </cell>
          <cell r="J5780" t="str">
            <v>bueno</v>
          </cell>
          <cell r="K5780" t="str">
            <v>defsi</v>
          </cell>
        </row>
        <row r="5781">
          <cell r="B5781" t="b">
            <v>1</v>
          </cell>
          <cell r="E5781" t="str">
            <v>Ternera</v>
          </cell>
          <cell r="H5781" t="str">
            <v>laboratorio</v>
          </cell>
          <cell r="J5781" t="str">
            <v>bueno</v>
          </cell>
          <cell r="K5781" t="str">
            <v>defsi</v>
          </cell>
        </row>
        <row r="5782">
          <cell r="B5782" t="b">
            <v>0</v>
          </cell>
          <cell r="E5782" t="str">
            <v>Ternera</v>
          </cell>
          <cell r="H5782" t="str">
            <v>laboratorio</v>
          </cell>
          <cell r="J5782" t="str">
            <v>regular</v>
          </cell>
          <cell r="K5782" t="str">
            <v>defsi</v>
          </cell>
        </row>
        <row r="5783">
          <cell r="B5783" t="b">
            <v>0</v>
          </cell>
          <cell r="E5783" t="str">
            <v>Ternera</v>
          </cell>
          <cell r="H5783" t="str">
            <v>laboratorio</v>
          </cell>
          <cell r="J5783" t="str">
            <v>regular</v>
          </cell>
          <cell r="K5783" t="str">
            <v>defsi</v>
          </cell>
        </row>
        <row r="5784">
          <cell r="B5784" t="b">
            <v>1</v>
          </cell>
          <cell r="E5784" t="str">
            <v>Ternera</v>
          </cell>
          <cell r="H5784" t="str">
            <v>salud_oral</v>
          </cell>
          <cell r="J5784" t="str">
            <v>bueno</v>
          </cell>
          <cell r="K5784" t="str">
            <v>defsi</v>
          </cell>
        </row>
        <row r="5785">
          <cell r="B5785" t="b">
            <v>0</v>
          </cell>
          <cell r="E5785" t="str">
            <v>Ternera</v>
          </cell>
          <cell r="H5785" t="str">
            <v>salud_oral</v>
          </cell>
          <cell r="J5785" t="str">
            <v>regular</v>
          </cell>
          <cell r="K5785" t="str">
            <v>defsi</v>
          </cell>
        </row>
        <row r="5786">
          <cell r="B5786" t="b">
            <v>1</v>
          </cell>
          <cell r="E5786" t="str">
            <v>Ternera</v>
          </cell>
          <cell r="H5786" t="str">
            <v>salud_oral</v>
          </cell>
          <cell r="J5786" t="str">
            <v>bueno</v>
          </cell>
          <cell r="K5786" t="str">
            <v>defsi</v>
          </cell>
        </row>
        <row r="5787">
          <cell r="B5787" t="b">
            <v>1</v>
          </cell>
          <cell r="E5787" t="str">
            <v>Ternera</v>
          </cell>
          <cell r="H5787" t="str">
            <v>salud_oral</v>
          </cell>
          <cell r="J5787" t="str">
            <v>bueno</v>
          </cell>
          <cell r="K5787" t="str">
            <v>defsi</v>
          </cell>
        </row>
        <row r="5788">
          <cell r="B5788" t="b">
            <v>1</v>
          </cell>
          <cell r="E5788" t="str">
            <v>Ternera</v>
          </cell>
          <cell r="H5788" t="str">
            <v>salud_oral</v>
          </cell>
          <cell r="J5788" t="str">
            <v>bueno</v>
          </cell>
          <cell r="K5788" t="str">
            <v>defsi</v>
          </cell>
        </row>
        <row r="5789">
          <cell r="B5789" t="b">
            <v>1</v>
          </cell>
          <cell r="E5789" t="str">
            <v>Ternera</v>
          </cell>
          <cell r="H5789" t="str">
            <v>salud_oral</v>
          </cell>
          <cell r="J5789" t="str">
            <v>bueno</v>
          </cell>
          <cell r="K5789" t="str">
            <v>defsi</v>
          </cell>
        </row>
        <row r="5790">
          <cell r="B5790" t="b">
            <v>0</v>
          </cell>
          <cell r="E5790" t="str">
            <v>Ternera</v>
          </cell>
          <cell r="H5790" t="str">
            <v>consulta_externa</v>
          </cell>
          <cell r="J5790" t="str">
            <v>regular</v>
          </cell>
          <cell r="K5790" t="str">
            <v>defsi</v>
          </cell>
        </row>
        <row r="5791">
          <cell r="B5791" t="b">
            <v>0</v>
          </cell>
          <cell r="E5791" t="str">
            <v>Ternera</v>
          </cell>
          <cell r="H5791" t="str">
            <v>laboratorio</v>
          </cell>
          <cell r="J5791" t="str">
            <v>regular</v>
          </cell>
          <cell r="K5791" t="str">
            <v>defsi</v>
          </cell>
        </row>
        <row r="5792">
          <cell r="B5792" t="b">
            <v>1</v>
          </cell>
          <cell r="E5792" t="str">
            <v>Ternera</v>
          </cell>
          <cell r="H5792" t="str">
            <v>salud_oral</v>
          </cell>
          <cell r="J5792" t="str">
            <v>bueno</v>
          </cell>
          <cell r="K5792" t="str">
            <v>defsi</v>
          </cell>
        </row>
        <row r="5793">
          <cell r="B5793" t="b">
            <v>0</v>
          </cell>
          <cell r="E5793" t="str">
            <v>Ternera</v>
          </cell>
          <cell r="H5793" t="str">
            <v>salud_oral</v>
          </cell>
          <cell r="J5793" t="str">
            <v>regular</v>
          </cell>
          <cell r="K5793" t="str">
            <v>defsi</v>
          </cell>
        </row>
        <row r="5794">
          <cell r="B5794" t="b">
            <v>1</v>
          </cell>
          <cell r="E5794" t="str">
            <v>Ternera</v>
          </cell>
          <cell r="H5794" t="str">
            <v>salud_oral</v>
          </cell>
          <cell r="J5794" t="str">
            <v>bueno</v>
          </cell>
          <cell r="K5794" t="str">
            <v>defsi</v>
          </cell>
        </row>
        <row r="5795">
          <cell r="B5795" t="b">
            <v>0</v>
          </cell>
          <cell r="E5795" t="str">
            <v>Ternera</v>
          </cell>
          <cell r="H5795" t="str">
            <v>salud_oral</v>
          </cell>
          <cell r="J5795" t="str">
            <v>regular</v>
          </cell>
          <cell r="K5795" t="str">
            <v>defsi</v>
          </cell>
        </row>
        <row r="5796">
          <cell r="B5796" t="b">
            <v>1</v>
          </cell>
          <cell r="E5796" t="str">
            <v>Ternera</v>
          </cell>
          <cell r="H5796" t="str">
            <v>salud_oral</v>
          </cell>
          <cell r="J5796" t="str">
            <v>bueno</v>
          </cell>
          <cell r="K5796" t="str">
            <v>defsi</v>
          </cell>
        </row>
        <row r="5797">
          <cell r="B5797" t="b">
            <v>0</v>
          </cell>
          <cell r="E5797" t="str">
            <v>Ternera</v>
          </cell>
          <cell r="H5797" t="str">
            <v>consulta_externa</v>
          </cell>
          <cell r="J5797" t="str">
            <v>regular</v>
          </cell>
          <cell r="K5797" t="str">
            <v>probsi</v>
          </cell>
        </row>
        <row r="5798">
          <cell r="B5798" t="b">
            <v>0</v>
          </cell>
          <cell r="E5798" t="str">
            <v>Ternera</v>
          </cell>
          <cell r="H5798" t="str">
            <v>laboratorio</v>
          </cell>
          <cell r="J5798" t="str">
            <v>regular</v>
          </cell>
          <cell r="K5798" t="str">
            <v>probsi</v>
          </cell>
        </row>
        <row r="5799">
          <cell r="B5799" t="b">
            <v>1</v>
          </cell>
          <cell r="E5799" t="str">
            <v>Ternera</v>
          </cell>
          <cell r="H5799" t="str">
            <v>laboratorio</v>
          </cell>
          <cell r="J5799" t="str">
            <v>bueno</v>
          </cell>
          <cell r="K5799" t="str">
            <v>defsi</v>
          </cell>
        </row>
        <row r="5800">
          <cell r="B5800" t="b">
            <v>0</v>
          </cell>
          <cell r="E5800" t="str">
            <v>Ternera</v>
          </cell>
          <cell r="H5800" t="str">
            <v>laboratorio</v>
          </cell>
          <cell r="J5800" t="str">
            <v>regular</v>
          </cell>
          <cell r="K5800" t="str">
            <v>probsi</v>
          </cell>
        </row>
        <row r="5801">
          <cell r="B5801" t="b">
            <v>1</v>
          </cell>
          <cell r="E5801" t="str">
            <v>Ternera</v>
          </cell>
          <cell r="H5801" t="str">
            <v>consulta_externa</v>
          </cell>
          <cell r="J5801" t="str">
            <v>bueno</v>
          </cell>
          <cell r="K5801" t="str">
            <v>defsi</v>
          </cell>
        </row>
        <row r="5802">
          <cell r="B5802" t="b">
            <v>1</v>
          </cell>
          <cell r="E5802" t="str">
            <v>Ternera</v>
          </cell>
          <cell r="H5802" t="str">
            <v>consulta_externa</v>
          </cell>
          <cell r="J5802" t="str">
            <v>bueno</v>
          </cell>
          <cell r="K5802" t="str">
            <v>defsi</v>
          </cell>
        </row>
        <row r="5803">
          <cell r="B5803" t="b">
            <v>1</v>
          </cell>
          <cell r="E5803" t="str">
            <v>Ternera</v>
          </cell>
          <cell r="H5803" t="str">
            <v>laboratorio</v>
          </cell>
          <cell r="J5803" t="str">
            <v>bueno</v>
          </cell>
          <cell r="K5803" t="str">
            <v>defsi</v>
          </cell>
        </row>
        <row r="5804">
          <cell r="B5804" t="b">
            <v>0</v>
          </cell>
          <cell r="E5804" t="str">
            <v>Ternera</v>
          </cell>
          <cell r="H5804" t="str">
            <v>laboratorio</v>
          </cell>
          <cell r="J5804" t="str">
            <v>regular</v>
          </cell>
          <cell r="K5804" t="str">
            <v>defsi</v>
          </cell>
        </row>
        <row r="5805">
          <cell r="B5805" t="b">
            <v>1</v>
          </cell>
          <cell r="E5805" t="str">
            <v>Ternera</v>
          </cell>
          <cell r="H5805" t="str">
            <v>laboratorio</v>
          </cell>
          <cell r="J5805" t="str">
            <v>bueno</v>
          </cell>
          <cell r="K5805" t="str">
            <v>defsi</v>
          </cell>
        </row>
        <row r="5806">
          <cell r="B5806" t="b">
            <v>1</v>
          </cell>
          <cell r="E5806" t="str">
            <v>Bicentenario</v>
          </cell>
          <cell r="H5806" t="str">
            <v>rx</v>
          </cell>
          <cell r="J5806" t="str">
            <v>bueno</v>
          </cell>
          <cell r="K5806" t="str">
            <v>defsi</v>
          </cell>
        </row>
        <row r="5807">
          <cell r="B5807" t="b">
            <v>1</v>
          </cell>
          <cell r="E5807" t="str">
            <v>Bicentenario</v>
          </cell>
          <cell r="H5807" t="str">
            <v>rx</v>
          </cell>
          <cell r="J5807" t="str">
            <v>bueno</v>
          </cell>
          <cell r="K5807" t="str">
            <v>defsi</v>
          </cell>
        </row>
        <row r="5808">
          <cell r="B5808" t="b">
            <v>1</v>
          </cell>
          <cell r="E5808" t="str">
            <v>Cano de Oro</v>
          </cell>
          <cell r="H5808" t="str">
            <v>consulta_externa</v>
          </cell>
          <cell r="J5808" t="str">
            <v>muybueno</v>
          </cell>
          <cell r="K5808" t="str">
            <v>defsi</v>
          </cell>
        </row>
        <row r="5809">
          <cell r="B5809" t="b">
            <v>1</v>
          </cell>
          <cell r="E5809" t="str">
            <v>Bicentenario</v>
          </cell>
          <cell r="H5809" t="str">
            <v>rx</v>
          </cell>
          <cell r="J5809" t="str">
            <v>bueno</v>
          </cell>
          <cell r="K5809" t="str">
            <v>defsi</v>
          </cell>
        </row>
        <row r="5810">
          <cell r="B5810" t="b">
            <v>1</v>
          </cell>
          <cell r="E5810" t="str">
            <v>Cano de Oro</v>
          </cell>
          <cell r="H5810" t="str">
            <v>salud_oral</v>
          </cell>
          <cell r="J5810" t="str">
            <v>muybueno</v>
          </cell>
          <cell r="K5810" t="str">
            <v>defsi</v>
          </cell>
        </row>
        <row r="5811">
          <cell r="B5811" t="b">
            <v>0</v>
          </cell>
          <cell r="E5811" t="str">
            <v>Bicentenario</v>
          </cell>
          <cell r="H5811" t="str">
            <v>rx</v>
          </cell>
          <cell r="J5811" t="str">
            <v>regular</v>
          </cell>
          <cell r="K5811" t="str">
            <v>defsi</v>
          </cell>
        </row>
        <row r="5812">
          <cell r="B5812" t="b">
            <v>1</v>
          </cell>
          <cell r="E5812" t="str">
            <v>Cano de Oro</v>
          </cell>
          <cell r="H5812" t="str">
            <v>consulta_externa</v>
          </cell>
          <cell r="J5812" t="str">
            <v>muybueno</v>
          </cell>
          <cell r="K5812" t="str">
            <v>defsi</v>
          </cell>
        </row>
        <row r="5813">
          <cell r="B5813" t="b">
            <v>1</v>
          </cell>
          <cell r="E5813" t="str">
            <v>Cano de Oro</v>
          </cell>
          <cell r="H5813" t="str">
            <v>laboratorio</v>
          </cell>
          <cell r="J5813" t="str">
            <v>muybueno</v>
          </cell>
          <cell r="K5813" t="str">
            <v>defsi</v>
          </cell>
        </row>
        <row r="5814">
          <cell r="B5814" t="b">
            <v>1</v>
          </cell>
          <cell r="E5814" t="str">
            <v>Cano de Oro</v>
          </cell>
          <cell r="H5814" t="str">
            <v>consulta_externa</v>
          </cell>
          <cell r="J5814" t="str">
            <v>muybueno</v>
          </cell>
          <cell r="K5814" t="str">
            <v>defsi</v>
          </cell>
        </row>
        <row r="5815">
          <cell r="B5815" t="b">
            <v>1</v>
          </cell>
          <cell r="E5815" t="str">
            <v>Cano de Oro</v>
          </cell>
          <cell r="H5815" t="str">
            <v>salud_oral</v>
          </cell>
          <cell r="J5815" t="str">
            <v>muybueno</v>
          </cell>
          <cell r="K5815" t="str">
            <v>defsi</v>
          </cell>
        </row>
        <row r="5816">
          <cell r="B5816" t="b">
            <v>1</v>
          </cell>
          <cell r="E5816" t="str">
            <v>Bicentenario</v>
          </cell>
          <cell r="H5816" t="str">
            <v>consulta_externa</v>
          </cell>
          <cell r="J5816" t="str">
            <v>bueno</v>
          </cell>
          <cell r="K5816" t="str">
            <v>defsi</v>
          </cell>
        </row>
        <row r="5817">
          <cell r="B5817" t="b">
            <v>1</v>
          </cell>
          <cell r="E5817" t="str">
            <v>Cano de Oro</v>
          </cell>
          <cell r="H5817" t="str">
            <v>consulta_externa</v>
          </cell>
          <cell r="J5817" t="str">
            <v>muybueno</v>
          </cell>
          <cell r="K5817" t="str">
            <v>defsi</v>
          </cell>
        </row>
        <row r="5818">
          <cell r="B5818" t="b">
            <v>1</v>
          </cell>
          <cell r="E5818" t="str">
            <v>Bicentenario</v>
          </cell>
          <cell r="H5818" t="str">
            <v>laboratorio</v>
          </cell>
          <cell r="J5818" t="str">
            <v>bueno</v>
          </cell>
          <cell r="K5818" t="str">
            <v>defsi</v>
          </cell>
        </row>
        <row r="5819">
          <cell r="B5819" t="b">
            <v>1</v>
          </cell>
          <cell r="E5819" t="str">
            <v>Cano de Oro</v>
          </cell>
          <cell r="H5819" t="str">
            <v>laboratorio</v>
          </cell>
          <cell r="J5819" t="str">
            <v>muybueno</v>
          </cell>
          <cell r="K5819" t="str">
            <v>defsi</v>
          </cell>
        </row>
        <row r="5820">
          <cell r="B5820" t="b">
            <v>1</v>
          </cell>
          <cell r="E5820" t="str">
            <v>Punta Canoa</v>
          </cell>
          <cell r="H5820" t="str">
            <v>consulta_externa</v>
          </cell>
          <cell r="J5820" t="str">
            <v>bueno</v>
          </cell>
          <cell r="K5820" t="str">
            <v>probsi</v>
          </cell>
        </row>
        <row r="5821">
          <cell r="B5821" t="b">
            <v>1</v>
          </cell>
          <cell r="E5821" t="str">
            <v>Punta Canoa</v>
          </cell>
          <cell r="H5821" t="str">
            <v>consulta_externa</v>
          </cell>
          <cell r="J5821" t="str">
            <v>bueno</v>
          </cell>
          <cell r="K5821" t="str">
            <v>probsi</v>
          </cell>
        </row>
        <row r="5822">
          <cell r="B5822" t="b">
            <v>1</v>
          </cell>
          <cell r="E5822" t="str">
            <v>Punta Canoa</v>
          </cell>
          <cell r="H5822" t="str">
            <v>consulta_externa</v>
          </cell>
          <cell r="J5822" t="str">
            <v>bueno</v>
          </cell>
          <cell r="K5822" t="str">
            <v>probsi</v>
          </cell>
        </row>
        <row r="5823">
          <cell r="B5823" t="b">
            <v>1</v>
          </cell>
          <cell r="E5823" t="str">
            <v>Punta Canoa</v>
          </cell>
          <cell r="H5823" t="str">
            <v>salud_oral</v>
          </cell>
          <cell r="J5823" t="str">
            <v>muybueno</v>
          </cell>
          <cell r="K5823" t="str">
            <v>probsi</v>
          </cell>
        </row>
        <row r="5824">
          <cell r="B5824" t="b">
            <v>1</v>
          </cell>
          <cell r="E5824" t="str">
            <v>Punta Canoa</v>
          </cell>
          <cell r="H5824" t="str">
            <v>consulta_externa</v>
          </cell>
          <cell r="J5824" t="str">
            <v>muybueno</v>
          </cell>
          <cell r="K5824" t="str">
            <v>probsi</v>
          </cell>
        </row>
        <row r="5825">
          <cell r="B5825" t="b">
            <v>1</v>
          </cell>
          <cell r="E5825" t="str">
            <v>Punta Canoa</v>
          </cell>
          <cell r="H5825" t="str">
            <v>laboratorio</v>
          </cell>
          <cell r="J5825" t="str">
            <v>bueno</v>
          </cell>
          <cell r="K5825" t="str">
            <v>probsi</v>
          </cell>
        </row>
        <row r="5826">
          <cell r="B5826" t="b">
            <v>1</v>
          </cell>
          <cell r="E5826" t="str">
            <v>Punta Canoa</v>
          </cell>
          <cell r="H5826" t="str">
            <v>consulta_externa</v>
          </cell>
          <cell r="J5826" t="str">
            <v>bueno</v>
          </cell>
          <cell r="K5826" t="str">
            <v>probsi</v>
          </cell>
        </row>
        <row r="5827">
          <cell r="B5827" t="b">
            <v>1</v>
          </cell>
          <cell r="E5827" t="str">
            <v>Cano de Oro</v>
          </cell>
          <cell r="H5827" t="str">
            <v>consulta_externa</v>
          </cell>
          <cell r="J5827" t="str">
            <v>muybueno</v>
          </cell>
          <cell r="K5827" t="str">
            <v>defsi</v>
          </cell>
        </row>
        <row r="5828">
          <cell r="B5828" t="b">
            <v>1</v>
          </cell>
          <cell r="E5828" t="str">
            <v>Cano de Oro</v>
          </cell>
          <cell r="H5828" t="str">
            <v>laboratorio</v>
          </cell>
          <cell r="J5828" t="str">
            <v>muybueno</v>
          </cell>
          <cell r="K5828" t="str">
            <v>defsi</v>
          </cell>
        </row>
        <row r="5829">
          <cell r="B5829" t="b">
            <v>1</v>
          </cell>
          <cell r="E5829" t="str">
            <v>Cano de Oro</v>
          </cell>
          <cell r="H5829" t="str">
            <v>consulta_externa</v>
          </cell>
          <cell r="J5829" t="str">
            <v>muybueno</v>
          </cell>
          <cell r="K5829" t="str">
            <v>defsi</v>
          </cell>
        </row>
        <row r="5830">
          <cell r="B5830" t="b">
            <v>1</v>
          </cell>
          <cell r="E5830" t="str">
            <v>Cano de Oro</v>
          </cell>
          <cell r="H5830" t="str">
            <v>salud_oral</v>
          </cell>
          <cell r="J5830" t="str">
            <v>muybueno</v>
          </cell>
          <cell r="K5830" t="str">
            <v>defsi</v>
          </cell>
        </row>
        <row r="5831">
          <cell r="B5831" t="b">
            <v>1</v>
          </cell>
          <cell r="E5831" t="str">
            <v>Cano de Oro</v>
          </cell>
          <cell r="H5831" t="str">
            <v>consulta_externa</v>
          </cell>
          <cell r="J5831" t="str">
            <v>muybueno</v>
          </cell>
          <cell r="K5831" t="str">
            <v>defsi</v>
          </cell>
        </row>
        <row r="5832">
          <cell r="B5832" t="b">
            <v>1</v>
          </cell>
          <cell r="E5832" t="str">
            <v>Nelson Mandela UPA</v>
          </cell>
          <cell r="H5832" t="str">
            <v>consulta_externa</v>
          </cell>
          <cell r="J5832" t="str">
            <v>bueno</v>
          </cell>
          <cell r="K5832" t="str">
            <v>defsi</v>
          </cell>
        </row>
        <row r="5833">
          <cell r="B5833" t="b">
            <v>1</v>
          </cell>
          <cell r="E5833" t="str">
            <v>Nelson Mandela UPA</v>
          </cell>
          <cell r="H5833" t="str">
            <v>salud_oral</v>
          </cell>
          <cell r="J5833" t="str">
            <v>bueno</v>
          </cell>
          <cell r="K5833" t="str">
            <v>defsi</v>
          </cell>
        </row>
        <row r="5834">
          <cell r="B5834" t="b">
            <v>1</v>
          </cell>
          <cell r="E5834" t="str">
            <v>Nelson Mandela UPA</v>
          </cell>
          <cell r="H5834" t="str">
            <v>laboratorio</v>
          </cell>
          <cell r="J5834" t="str">
            <v>bueno</v>
          </cell>
          <cell r="K5834" t="str">
            <v>defsi</v>
          </cell>
        </row>
        <row r="5835">
          <cell r="B5835" t="b">
            <v>1</v>
          </cell>
          <cell r="E5835" t="str">
            <v>Nelson Mandela UPA</v>
          </cell>
          <cell r="H5835" t="str">
            <v>urgencia</v>
          </cell>
          <cell r="J5835" t="str">
            <v>bueno</v>
          </cell>
          <cell r="K5835" t="str">
            <v>defsi</v>
          </cell>
        </row>
        <row r="5836">
          <cell r="B5836" t="b">
            <v>1</v>
          </cell>
          <cell r="E5836" t="str">
            <v>Cano de Oro</v>
          </cell>
          <cell r="H5836" t="str">
            <v>consulta_externa</v>
          </cell>
          <cell r="J5836" t="str">
            <v>muybueno</v>
          </cell>
          <cell r="K5836" t="str">
            <v>defsi</v>
          </cell>
        </row>
        <row r="5837">
          <cell r="B5837" t="b">
            <v>1</v>
          </cell>
          <cell r="E5837" t="str">
            <v>Cano de Oro</v>
          </cell>
          <cell r="H5837" t="str">
            <v>laboratorio</v>
          </cell>
          <cell r="J5837" t="str">
            <v>muybueno</v>
          </cell>
          <cell r="K5837" t="str">
            <v>defsi</v>
          </cell>
        </row>
        <row r="5838">
          <cell r="B5838" t="b">
            <v>1</v>
          </cell>
          <cell r="E5838" t="str">
            <v>Nelson Mandela UPA</v>
          </cell>
          <cell r="H5838" t="str">
            <v>salud_oral</v>
          </cell>
          <cell r="J5838" t="str">
            <v>bueno</v>
          </cell>
          <cell r="K5838" t="str">
            <v>defsi</v>
          </cell>
        </row>
        <row r="5839">
          <cell r="B5839" t="b">
            <v>1</v>
          </cell>
          <cell r="E5839" t="str">
            <v>Nelson Mandela UPA</v>
          </cell>
          <cell r="H5839" t="str">
            <v>consulta_externa</v>
          </cell>
          <cell r="J5839" t="str">
            <v>bueno</v>
          </cell>
          <cell r="K5839" t="str">
            <v>defsi</v>
          </cell>
        </row>
        <row r="5840">
          <cell r="B5840" t="b">
            <v>1</v>
          </cell>
          <cell r="E5840" t="str">
            <v>Nelson Mandela UPA</v>
          </cell>
          <cell r="H5840" t="str">
            <v>laboratorio</v>
          </cell>
          <cell r="J5840" t="str">
            <v>bueno</v>
          </cell>
          <cell r="K5840" t="str">
            <v>defsi</v>
          </cell>
        </row>
        <row r="5841">
          <cell r="B5841" t="b">
            <v>1</v>
          </cell>
          <cell r="E5841" t="str">
            <v>Nelson Mandela UPA</v>
          </cell>
          <cell r="H5841" t="str">
            <v>urgencia</v>
          </cell>
          <cell r="J5841" t="str">
            <v>bueno</v>
          </cell>
          <cell r="K5841" t="str">
            <v>defsi</v>
          </cell>
        </row>
        <row r="5842">
          <cell r="B5842" t="b">
            <v>1</v>
          </cell>
          <cell r="E5842" t="str">
            <v>Nelson Mandela UPA</v>
          </cell>
          <cell r="H5842" t="str">
            <v>consulta_externa</v>
          </cell>
          <cell r="J5842" t="str">
            <v>bueno</v>
          </cell>
          <cell r="K5842" t="str">
            <v>defsi</v>
          </cell>
        </row>
        <row r="5843">
          <cell r="B5843" t="b">
            <v>1</v>
          </cell>
          <cell r="E5843" t="str">
            <v>Nelson Mandela UPA</v>
          </cell>
          <cell r="H5843" t="str">
            <v>salud_oral</v>
          </cell>
          <cell r="J5843" t="str">
            <v>bueno</v>
          </cell>
          <cell r="K5843" t="str">
            <v>defsi</v>
          </cell>
        </row>
        <row r="5844">
          <cell r="B5844" t="b">
            <v>1</v>
          </cell>
          <cell r="E5844" t="str">
            <v>Cano de Oro</v>
          </cell>
          <cell r="H5844" t="str">
            <v>consulta_externa</v>
          </cell>
          <cell r="J5844" t="str">
            <v>muybueno</v>
          </cell>
          <cell r="K5844" t="str">
            <v>defsi</v>
          </cell>
        </row>
        <row r="5845">
          <cell r="B5845" t="b">
            <v>1</v>
          </cell>
          <cell r="E5845" t="str">
            <v>Cano de Oro</v>
          </cell>
          <cell r="H5845" t="str">
            <v>laboratorio</v>
          </cell>
          <cell r="J5845" t="str">
            <v>muybueno</v>
          </cell>
          <cell r="K5845" t="str">
            <v>defsi</v>
          </cell>
        </row>
        <row r="5846">
          <cell r="B5846" t="b">
            <v>1</v>
          </cell>
          <cell r="E5846" t="str">
            <v>Nelson Mandela UPA</v>
          </cell>
          <cell r="H5846" t="str">
            <v>laboratorio</v>
          </cell>
          <cell r="J5846" t="str">
            <v>bueno</v>
          </cell>
          <cell r="K5846" t="str">
            <v>defsi</v>
          </cell>
        </row>
        <row r="5847">
          <cell r="B5847" t="b">
            <v>1</v>
          </cell>
          <cell r="E5847" t="str">
            <v>San Vicente de Paul</v>
          </cell>
          <cell r="H5847" t="str">
            <v>consulta_externa</v>
          </cell>
          <cell r="J5847" t="str">
            <v>bueno</v>
          </cell>
          <cell r="K5847" t="str">
            <v>probsi</v>
          </cell>
        </row>
        <row r="5848">
          <cell r="B5848" t="b">
            <v>1</v>
          </cell>
          <cell r="E5848" t="str">
            <v>Nelson Mandela UPA</v>
          </cell>
          <cell r="H5848" t="str">
            <v>urgencia</v>
          </cell>
          <cell r="J5848" t="str">
            <v>bueno</v>
          </cell>
          <cell r="K5848" t="str">
            <v>defsi</v>
          </cell>
        </row>
        <row r="5849">
          <cell r="B5849" t="b">
            <v>1</v>
          </cell>
          <cell r="E5849" t="str">
            <v>San Vicente de Paul</v>
          </cell>
          <cell r="H5849" t="str">
            <v>salud_oral</v>
          </cell>
          <cell r="J5849" t="str">
            <v>bueno</v>
          </cell>
          <cell r="K5849" t="str">
            <v>probsi</v>
          </cell>
        </row>
        <row r="5850">
          <cell r="B5850" t="b">
            <v>1</v>
          </cell>
          <cell r="E5850" t="str">
            <v>San Vicente de Paul</v>
          </cell>
          <cell r="H5850" t="str">
            <v>salud_oral</v>
          </cell>
          <cell r="J5850" t="str">
            <v>bueno</v>
          </cell>
          <cell r="K5850" t="str">
            <v>probsi</v>
          </cell>
        </row>
        <row r="5851">
          <cell r="B5851" t="b">
            <v>1</v>
          </cell>
          <cell r="E5851" t="str">
            <v>San Vicente de Paul</v>
          </cell>
          <cell r="H5851" t="str">
            <v>salud_oral</v>
          </cell>
          <cell r="J5851" t="str">
            <v>bueno</v>
          </cell>
          <cell r="K5851" t="str">
            <v>probsi</v>
          </cell>
        </row>
        <row r="5852">
          <cell r="B5852" t="b">
            <v>1</v>
          </cell>
          <cell r="E5852" t="str">
            <v>San Vicente de Paul</v>
          </cell>
          <cell r="H5852" t="str">
            <v>salud_oral</v>
          </cell>
          <cell r="J5852" t="str">
            <v>bueno</v>
          </cell>
          <cell r="K5852" t="str">
            <v>probsi</v>
          </cell>
        </row>
        <row r="5853">
          <cell r="B5853" t="b">
            <v>1</v>
          </cell>
          <cell r="E5853" t="str">
            <v>San Vicente de Paul</v>
          </cell>
          <cell r="H5853" t="str">
            <v>salud_oral</v>
          </cell>
          <cell r="J5853" t="str">
            <v>bueno</v>
          </cell>
          <cell r="K5853" t="str">
            <v>probsi</v>
          </cell>
        </row>
        <row r="5854">
          <cell r="B5854" t="b">
            <v>1</v>
          </cell>
          <cell r="E5854" t="str">
            <v>San Vicente de Paul</v>
          </cell>
          <cell r="H5854" t="str">
            <v>salud_oral</v>
          </cell>
          <cell r="J5854" t="str">
            <v>bueno</v>
          </cell>
          <cell r="K5854" t="str">
            <v>probsi</v>
          </cell>
        </row>
        <row r="5855">
          <cell r="B5855" t="b">
            <v>1</v>
          </cell>
          <cell r="E5855" t="str">
            <v>San Vicente de Paul</v>
          </cell>
          <cell r="H5855" t="str">
            <v>salud_oral</v>
          </cell>
          <cell r="J5855" t="str">
            <v>bueno</v>
          </cell>
          <cell r="K5855" t="str">
            <v>probsi</v>
          </cell>
        </row>
        <row r="5856">
          <cell r="B5856" t="b">
            <v>1</v>
          </cell>
          <cell r="E5856" t="str">
            <v>San Vicente de Paul</v>
          </cell>
          <cell r="H5856" t="str">
            <v>salud_oral</v>
          </cell>
          <cell r="J5856" t="str">
            <v>bueno</v>
          </cell>
          <cell r="K5856" t="str">
            <v>probsi</v>
          </cell>
        </row>
        <row r="5857">
          <cell r="B5857" t="b">
            <v>1</v>
          </cell>
          <cell r="E5857" t="str">
            <v>San Vicente de Paul</v>
          </cell>
          <cell r="H5857" t="str">
            <v>salud_oral</v>
          </cell>
          <cell r="J5857" t="str">
            <v>bueno</v>
          </cell>
          <cell r="K5857" t="str">
            <v>probsi</v>
          </cell>
        </row>
        <row r="5858">
          <cell r="B5858" t="b">
            <v>1</v>
          </cell>
          <cell r="E5858" t="str">
            <v>San Vicente de Paul</v>
          </cell>
          <cell r="H5858" t="str">
            <v>salud_oral</v>
          </cell>
          <cell r="J5858" t="str">
            <v>bueno</v>
          </cell>
          <cell r="K5858" t="str">
            <v>probsi</v>
          </cell>
        </row>
        <row r="5859">
          <cell r="B5859" t="b">
            <v>1</v>
          </cell>
          <cell r="E5859" t="str">
            <v>San Vicente de Paul</v>
          </cell>
          <cell r="H5859" t="str">
            <v>salud_oral</v>
          </cell>
          <cell r="J5859" t="str">
            <v>bueno</v>
          </cell>
          <cell r="K5859" t="str">
            <v>probsi</v>
          </cell>
        </row>
        <row r="5860">
          <cell r="B5860" t="b">
            <v>1</v>
          </cell>
          <cell r="E5860" t="str">
            <v>San Vicente de Paul</v>
          </cell>
          <cell r="H5860" t="str">
            <v>laboratorio</v>
          </cell>
          <cell r="J5860" t="str">
            <v>bueno</v>
          </cell>
          <cell r="K5860" t="str">
            <v>probsi</v>
          </cell>
        </row>
        <row r="5861">
          <cell r="B5861" t="b">
            <v>1</v>
          </cell>
          <cell r="E5861" t="str">
            <v>San Vicente de Paul</v>
          </cell>
          <cell r="H5861" t="str">
            <v>laboratorio</v>
          </cell>
          <cell r="J5861" t="str">
            <v>bueno</v>
          </cell>
          <cell r="K5861" t="str">
            <v>probsi</v>
          </cell>
        </row>
        <row r="5862">
          <cell r="B5862" t="b">
            <v>1</v>
          </cell>
          <cell r="E5862" t="str">
            <v>San Vicente de Paul</v>
          </cell>
          <cell r="H5862" t="str">
            <v>laboratorio</v>
          </cell>
          <cell r="J5862" t="str">
            <v>bueno</v>
          </cell>
          <cell r="K5862" t="str">
            <v>probsi</v>
          </cell>
        </row>
        <row r="5863">
          <cell r="B5863" t="b">
            <v>1</v>
          </cell>
          <cell r="E5863" t="str">
            <v>Nelson Mandela UPA</v>
          </cell>
          <cell r="H5863" t="str">
            <v>consulta_externa</v>
          </cell>
          <cell r="J5863" t="str">
            <v>bueno</v>
          </cell>
          <cell r="K5863" t="str">
            <v>defsi</v>
          </cell>
        </row>
        <row r="5864">
          <cell r="B5864" t="b">
            <v>1</v>
          </cell>
          <cell r="E5864" t="str">
            <v>Nelson Mandela UPA</v>
          </cell>
          <cell r="H5864" t="str">
            <v>salud_oral</v>
          </cell>
          <cell r="J5864" t="str">
            <v>bueno</v>
          </cell>
          <cell r="K5864" t="str">
            <v>defsi</v>
          </cell>
        </row>
        <row r="5865">
          <cell r="B5865" t="b">
            <v>1</v>
          </cell>
          <cell r="E5865" t="str">
            <v>Nelson Mandela UPA</v>
          </cell>
          <cell r="H5865" t="str">
            <v>laboratorio</v>
          </cell>
          <cell r="J5865" t="str">
            <v>bueno</v>
          </cell>
          <cell r="K5865" t="str">
            <v>defsi</v>
          </cell>
        </row>
        <row r="5866">
          <cell r="B5866" t="b">
            <v>1</v>
          </cell>
          <cell r="E5866" t="str">
            <v>Nelson Mandela UPA</v>
          </cell>
          <cell r="H5866" t="str">
            <v>urgencia</v>
          </cell>
          <cell r="J5866" t="str">
            <v>bueno</v>
          </cell>
          <cell r="K5866" t="str">
            <v>defsi</v>
          </cell>
        </row>
        <row r="5867">
          <cell r="B5867" t="b">
            <v>1</v>
          </cell>
          <cell r="E5867" t="str">
            <v>Cano de Oro</v>
          </cell>
          <cell r="H5867" t="str">
            <v>consulta_externa</v>
          </cell>
          <cell r="J5867" t="str">
            <v>muybueno</v>
          </cell>
          <cell r="K5867" t="str">
            <v>defsi</v>
          </cell>
        </row>
        <row r="5868">
          <cell r="B5868" t="b">
            <v>1</v>
          </cell>
          <cell r="E5868" t="str">
            <v>Cano de Oro</v>
          </cell>
          <cell r="H5868" t="str">
            <v>salud_oral</v>
          </cell>
          <cell r="J5868" t="str">
            <v>muybueno</v>
          </cell>
          <cell r="K5868" t="str">
            <v>defsi</v>
          </cell>
        </row>
        <row r="5869">
          <cell r="B5869" t="b">
            <v>1</v>
          </cell>
          <cell r="E5869" t="str">
            <v>Nelson Mandela UPA</v>
          </cell>
          <cell r="H5869" t="str">
            <v>consulta_externa</v>
          </cell>
          <cell r="J5869" t="str">
            <v>bueno</v>
          </cell>
          <cell r="K5869" t="str">
            <v>defsi</v>
          </cell>
        </row>
        <row r="5870">
          <cell r="B5870" t="b">
            <v>1</v>
          </cell>
          <cell r="E5870" t="str">
            <v>Nelson Mandela UPA</v>
          </cell>
          <cell r="H5870" t="str">
            <v>salud_oral</v>
          </cell>
          <cell r="J5870" t="str">
            <v>bueno</v>
          </cell>
          <cell r="K5870" t="str">
            <v>defsi</v>
          </cell>
        </row>
        <row r="5871">
          <cell r="B5871" t="b">
            <v>1</v>
          </cell>
          <cell r="E5871" t="str">
            <v>Nelson Mandela UPA</v>
          </cell>
          <cell r="H5871" t="str">
            <v>laboratorio</v>
          </cell>
          <cell r="J5871" t="str">
            <v>bueno</v>
          </cell>
          <cell r="K5871" t="str">
            <v>defsi</v>
          </cell>
        </row>
        <row r="5872">
          <cell r="B5872" t="b">
            <v>1</v>
          </cell>
          <cell r="E5872" t="str">
            <v>Nelson Mandela UPA</v>
          </cell>
          <cell r="H5872" t="str">
            <v>urgencia</v>
          </cell>
          <cell r="J5872" t="str">
            <v>bueno</v>
          </cell>
          <cell r="K5872" t="str">
            <v>defsi</v>
          </cell>
        </row>
        <row r="5873">
          <cell r="B5873" t="b">
            <v>1</v>
          </cell>
          <cell r="E5873" t="str">
            <v>Cano de Oro</v>
          </cell>
          <cell r="H5873" t="str">
            <v>consulta_externa</v>
          </cell>
          <cell r="J5873" t="str">
            <v>muybueno</v>
          </cell>
          <cell r="K5873" t="str">
            <v>defsi</v>
          </cell>
        </row>
        <row r="5874">
          <cell r="B5874" t="b">
            <v>1</v>
          </cell>
          <cell r="E5874" t="str">
            <v>Nelson Mandela UPA</v>
          </cell>
          <cell r="H5874" t="str">
            <v>consulta_externa</v>
          </cell>
          <cell r="J5874" t="str">
            <v>bueno</v>
          </cell>
          <cell r="K5874" t="str">
            <v>defsi</v>
          </cell>
        </row>
        <row r="5875">
          <cell r="B5875" t="b">
            <v>1</v>
          </cell>
          <cell r="E5875" t="str">
            <v>Nelson Mandela UPA</v>
          </cell>
          <cell r="H5875" t="str">
            <v>salud_oral</v>
          </cell>
          <cell r="J5875" t="str">
            <v>bueno</v>
          </cell>
          <cell r="K5875" t="str">
            <v>defsi</v>
          </cell>
        </row>
        <row r="5876">
          <cell r="B5876" t="b">
            <v>1</v>
          </cell>
          <cell r="E5876" t="str">
            <v>Nelson Mandela UPA</v>
          </cell>
          <cell r="H5876" t="str">
            <v>laboratorio</v>
          </cell>
          <cell r="J5876" t="str">
            <v>bueno</v>
          </cell>
          <cell r="K5876" t="str">
            <v>defsi</v>
          </cell>
        </row>
        <row r="5877">
          <cell r="B5877" t="b">
            <v>1</v>
          </cell>
          <cell r="E5877" t="str">
            <v>Nelson Mandela UPA</v>
          </cell>
          <cell r="H5877" t="str">
            <v>urgencia</v>
          </cell>
          <cell r="J5877" t="str">
            <v>bueno</v>
          </cell>
          <cell r="K5877" t="str">
            <v>defsi</v>
          </cell>
        </row>
        <row r="5878">
          <cell r="B5878" t="b">
            <v>1</v>
          </cell>
          <cell r="E5878" t="str">
            <v>Punta Canoa</v>
          </cell>
          <cell r="H5878" t="str">
            <v>consulta_externa</v>
          </cell>
          <cell r="J5878" t="str">
            <v>muybueno</v>
          </cell>
          <cell r="K5878" t="str">
            <v>probsi</v>
          </cell>
        </row>
        <row r="5879">
          <cell r="B5879" t="b">
            <v>1</v>
          </cell>
          <cell r="E5879" t="str">
            <v>Cano de Oro</v>
          </cell>
          <cell r="H5879" t="str">
            <v>consulta_externa</v>
          </cell>
          <cell r="J5879" t="str">
            <v>muybueno</v>
          </cell>
          <cell r="K5879" t="str">
            <v>defsi</v>
          </cell>
        </row>
        <row r="5880">
          <cell r="B5880" t="b">
            <v>1</v>
          </cell>
          <cell r="E5880" t="str">
            <v>Cano de Oro</v>
          </cell>
          <cell r="H5880" t="str">
            <v>laboratorio</v>
          </cell>
          <cell r="J5880" t="str">
            <v>muybueno</v>
          </cell>
          <cell r="K5880" t="str">
            <v>defsi</v>
          </cell>
        </row>
        <row r="5881">
          <cell r="B5881" t="b">
            <v>1</v>
          </cell>
          <cell r="E5881" t="str">
            <v>Bicentenario</v>
          </cell>
          <cell r="H5881" t="str">
            <v>rx</v>
          </cell>
          <cell r="J5881" t="str">
            <v>bueno</v>
          </cell>
          <cell r="K5881" t="str">
            <v>defsi</v>
          </cell>
        </row>
        <row r="5882">
          <cell r="B5882" t="b">
            <v>1</v>
          </cell>
          <cell r="E5882" t="str">
            <v>Punta Canoa</v>
          </cell>
          <cell r="H5882" t="str">
            <v>laboratorio</v>
          </cell>
          <cell r="J5882" t="str">
            <v>bueno</v>
          </cell>
          <cell r="K5882" t="str">
            <v>probsi</v>
          </cell>
        </row>
        <row r="5883">
          <cell r="B5883" t="b">
            <v>1</v>
          </cell>
          <cell r="E5883" t="str">
            <v>Punta Canoa</v>
          </cell>
          <cell r="H5883" t="str">
            <v>laboratorio</v>
          </cell>
          <cell r="J5883" t="str">
            <v>bueno</v>
          </cell>
          <cell r="K5883" t="str">
            <v>probsi</v>
          </cell>
        </row>
        <row r="5884">
          <cell r="B5884" t="b">
            <v>1</v>
          </cell>
          <cell r="E5884" t="str">
            <v>Punta Canoa</v>
          </cell>
          <cell r="H5884" t="str">
            <v>laboratorio</v>
          </cell>
          <cell r="J5884" t="str">
            <v>bueno</v>
          </cell>
          <cell r="K5884" t="str">
            <v>probsi</v>
          </cell>
        </row>
        <row r="5885">
          <cell r="B5885" t="b">
            <v>1</v>
          </cell>
          <cell r="E5885" t="str">
            <v>Punta Canoa</v>
          </cell>
          <cell r="H5885" t="str">
            <v>laboratorio</v>
          </cell>
          <cell r="J5885" t="str">
            <v>bueno</v>
          </cell>
          <cell r="K5885" t="str">
            <v>probsi</v>
          </cell>
        </row>
        <row r="5886">
          <cell r="B5886" t="b">
            <v>1</v>
          </cell>
          <cell r="E5886" t="str">
            <v>Punta Canoa</v>
          </cell>
          <cell r="H5886" t="str">
            <v>laboratorio</v>
          </cell>
          <cell r="J5886" t="str">
            <v>bueno</v>
          </cell>
          <cell r="K5886" t="str">
            <v>probsi</v>
          </cell>
        </row>
        <row r="5887">
          <cell r="B5887" t="b">
            <v>1</v>
          </cell>
          <cell r="E5887" t="str">
            <v>Punta Canoa</v>
          </cell>
          <cell r="H5887" t="str">
            <v>laboratorio</v>
          </cell>
          <cell r="J5887" t="str">
            <v>bueno</v>
          </cell>
          <cell r="K5887" t="str">
            <v>probsi</v>
          </cell>
        </row>
        <row r="5888">
          <cell r="B5888" t="b">
            <v>1</v>
          </cell>
          <cell r="E5888" t="str">
            <v>Cano de Oro</v>
          </cell>
          <cell r="H5888" t="str">
            <v>urgencia</v>
          </cell>
          <cell r="J5888" t="str">
            <v>muybueno</v>
          </cell>
          <cell r="K5888" t="str">
            <v>defsi</v>
          </cell>
        </row>
        <row r="5889">
          <cell r="B5889" t="b">
            <v>1</v>
          </cell>
          <cell r="E5889" t="str">
            <v>Punta Canoa</v>
          </cell>
          <cell r="H5889" t="str">
            <v>laboratorio</v>
          </cell>
          <cell r="J5889" t="str">
            <v>bueno</v>
          </cell>
          <cell r="K5889" t="str">
            <v>probsi</v>
          </cell>
        </row>
        <row r="5890">
          <cell r="B5890" t="b">
            <v>1</v>
          </cell>
          <cell r="E5890" t="str">
            <v>Punta Canoa</v>
          </cell>
          <cell r="H5890" t="str">
            <v>laboratorio</v>
          </cell>
          <cell r="J5890" t="str">
            <v>bueno</v>
          </cell>
          <cell r="K5890" t="str">
            <v>probsi</v>
          </cell>
        </row>
        <row r="5891">
          <cell r="B5891" t="b">
            <v>1</v>
          </cell>
          <cell r="E5891" t="str">
            <v>Bicentenario</v>
          </cell>
          <cell r="H5891" t="str">
            <v>salud_oral</v>
          </cell>
          <cell r="J5891" t="str">
            <v>bueno</v>
          </cell>
          <cell r="K5891" t="str">
            <v>defsi</v>
          </cell>
        </row>
        <row r="5892">
          <cell r="B5892" t="b">
            <v>1</v>
          </cell>
          <cell r="E5892" t="str">
            <v>Bicentenario</v>
          </cell>
          <cell r="H5892" t="str">
            <v>laboratorio</v>
          </cell>
          <cell r="J5892" t="str">
            <v>muybueno</v>
          </cell>
          <cell r="K5892" t="str">
            <v>defsi</v>
          </cell>
        </row>
        <row r="5893">
          <cell r="B5893" t="b">
            <v>1</v>
          </cell>
          <cell r="E5893" t="str">
            <v>Punta Canoa</v>
          </cell>
          <cell r="H5893" t="str">
            <v>consulta_externa</v>
          </cell>
          <cell r="J5893" t="str">
            <v>muybueno</v>
          </cell>
          <cell r="K5893" t="str">
            <v>probsi</v>
          </cell>
        </row>
        <row r="5894">
          <cell r="B5894" t="b">
            <v>1</v>
          </cell>
          <cell r="E5894" t="str">
            <v>Bicentenario</v>
          </cell>
          <cell r="H5894" t="str">
            <v>rx</v>
          </cell>
          <cell r="J5894" t="str">
            <v>muybueno</v>
          </cell>
          <cell r="K5894" t="str">
            <v>defsi</v>
          </cell>
        </row>
        <row r="5895">
          <cell r="B5895" t="b">
            <v>1</v>
          </cell>
          <cell r="E5895" t="str">
            <v>Cano de Oro</v>
          </cell>
          <cell r="H5895" t="str">
            <v>consulta_externa</v>
          </cell>
          <cell r="J5895" t="str">
            <v>muybueno</v>
          </cell>
          <cell r="K5895" t="str">
            <v>defsi</v>
          </cell>
        </row>
        <row r="5896">
          <cell r="B5896" t="b">
            <v>1</v>
          </cell>
          <cell r="E5896" t="str">
            <v>Cano de Oro</v>
          </cell>
          <cell r="H5896" t="str">
            <v>salud_oral</v>
          </cell>
          <cell r="J5896" t="str">
            <v>muybueno</v>
          </cell>
          <cell r="K5896" t="str">
            <v>defsi</v>
          </cell>
        </row>
        <row r="5897">
          <cell r="B5897" t="b">
            <v>1</v>
          </cell>
          <cell r="E5897" t="str">
            <v>Bicentenario</v>
          </cell>
          <cell r="H5897" t="str">
            <v>salud_oral</v>
          </cell>
          <cell r="J5897" t="str">
            <v>bueno</v>
          </cell>
          <cell r="K5897" t="str">
            <v>defsi</v>
          </cell>
        </row>
        <row r="5898">
          <cell r="B5898" t="b">
            <v>1</v>
          </cell>
          <cell r="E5898" t="str">
            <v>Bicentenario</v>
          </cell>
          <cell r="H5898" t="str">
            <v>salud_oral</v>
          </cell>
          <cell r="J5898" t="str">
            <v>bueno</v>
          </cell>
          <cell r="K5898" t="str">
            <v>defsi</v>
          </cell>
        </row>
        <row r="5899">
          <cell r="B5899" t="b">
            <v>1</v>
          </cell>
          <cell r="E5899" t="str">
            <v>Punta Canoa</v>
          </cell>
          <cell r="H5899" t="str">
            <v>consulta_externa</v>
          </cell>
          <cell r="J5899" t="str">
            <v>muybueno</v>
          </cell>
          <cell r="K5899" t="str">
            <v>probsi</v>
          </cell>
        </row>
        <row r="5900">
          <cell r="B5900" t="b">
            <v>0</v>
          </cell>
          <cell r="E5900" t="str">
            <v>Bicentenario</v>
          </cell>
          <cell r="H5900" t="str">
            <v>consulta_externa</v>
          </cell>
          <cell r="J5900" t="str">
            <v>regular</v>
          </cell>
          <cell r="K5900" t="str">
            <v>probno</v>
          </cell>
        </row>
        <row r="5901">
          <cell r="B5901" t="b">
            <v>0</v>
          </cell>
          <cell r="E5901" t="str">
            <v>Bicentenario</v>
          </cell>
          <cell r="H5901" t="str">
            <v>consulta_externa</v>
          </cell>
          <cell r="J5901" t="str">
            <v>regular</v>
          </cell>
          <cell r="K5901" t="str">
            <v>defsi</v>
          </cell>
        </row>
        <row r="5902">
          <cell r="B5902" t="b">
            <v>0</v>
          </cell>
          <cell r="E5902" t="str">
            <v>Bicentenario</v>
          </cell>
          <cell r="H5902" t="str">
            <v>laboratorio</v>
          </cell>
          <cell r="J5902" t="str">
            <v>regular</v>
          </cell>
          <cell r="K5902" t="str">
            <v>defsi</v>
          </cell>
        </row>
        <row r="5903">
          <cell r="B5903" t="b">
            <v>1</v>
          </cell>
          <cell r="E5903" t="str">
            <v>Cano de Oro</v>
          </cell>
          <cell r="H5903" t="str">
            <v>consulta_externa</v>
          </cell>
          <cell r="J5903" t="str">
            <v>muybueno</v>
          </cell>
          <cell r="K5903" t="str">
            <v>defsi</v>
          </cell>
        </row>
        <row r="5904">
          <cell r="B5904" t="b">
            <v>1</v>
          </cell>
          <cell r="E5904" t="str">
            <v>Cano de Oro</v>
          </cell>
          <cell r="H5904" t="str">
            <v>laboratorio</v>
          </cell>
          <cell r="J5904" t="str">
            <v>muybueno</v>
          </cell>
          <cell r="K5904" t="str">
            <v>defsi</v>
          </cell>
        </row>
        <row r="5905">
          <cell r="B5905" t="b">
            <v>1</v>
          </cell>
          <cell r="E5905" t="str">
            <v>Bicentenario</v>
          </cell>
          <cell r="H5905" t="str">
            <v>consulta_externa</v>
          </cell>
          <cell r="J5905" t="str">
            <v>bueno</v>
          </cell>
          <cell r="K5905" t="str">
            <v>defsi</v>
          </cell>
        </row>
        <row r="5906">
          <cell r="B5906" t="b">
            <v>0</v>
          </cell>
          <cell r="E5906" t="str">
            <v>Bicentenario</v>
          </cell>
          <cell r="H5906" t="str">
            <v>consulta_externa</v>
          </cell>
          <cell r="J5906" t="str">
            <v>regular</v>
          </cell>
          <cell r="K5906" t="str">
            <v>probsi</v>
          </cell>
        </row>
        <row r="5907">
          <cell r="B5907" t="b">
            <v>0</v>
          </cell>
          <cell r="E5907" t="str">
            <v>Bicentenario</v>
          </cell>
          <cell r="H5907" t="str">
            <v>consulta_externa</v>
          </cell>
          <cell r="J5907" t="str">
            <v>regular</v>
          </cell>
          <cell r="K5907" t="str">
            <v>probsi</v>
          </cell>
        </row>
        <row r="5908">
          <cell r="B5908" t="b">
            <v>1</v>
          </cell>
          <cell r="E5908" t="str">
            <v>Bicentenario</v>
          </cell>
          <cell r="H5908" t="str">
            <v>laboratorio</v>
          </cell>
          <cell r="J5908" t="str">
            <v>bueno</v>
          </cell>
          <cell r="K5908" t="str">
            <v>probsi</v>
          </cell>
        </row>
        <row r="5909">
          <cell r="B5909" t="b">
            <v>1</v>
          </cell>
          <cell r="E5909" t="str">
            <v>Bicentenario</v>
          </cell>
          <cell r="H5909" t="str">
            <v>laboratorio</v>
          </cell>
          <cell r="J5909" t="str">
            <v>bueno</v>
          </cell>
          <cell r="K5909" t="str">
            <v>probsi</v>
          </cell>
        </row>
        <row r="5910">
          <cell r="B5910" t="b">
            <v>1</v>
          </cell>
          <cell r="E5910" t="str">
            <v>Punta Canoa</v>
          </cell>
          <cell r="H5910" t="str">
            <v>consulta_externa</v>
          </cell>
          <cell r="J5910" t="str">
            <v>muybueno</v>
          </cell>
          <cell r="K5910" t="str">
            <v>probsi</v>
          </cell>
        </row>
        <row r="5911">
          <cell r="B5911" t="b">
            <v>1</v>
          </cell>
          <cell r="E5911" t="str">
            <v>Cano de Oro</v>
          </cell>
          <cell r="H5911" t="str">
            <v>consulta_externa</v>
          </cell>
          <cell r="J5911" t="str">
            <v>muybueno</v>
          </cell>
          <cell r="K5911" t="str">
            <v>defsi</v>
          </cell>
        </row>
        <row r="5912">
          <cell r="B5912" t="b">
            <v>1</v>
          </cell>
          <cell r="E5912" t="str">
            <v>Bicentenario</v>
          </cell>
          <cell r="H5912" t="str">
            <v>rx</v>
          </cell>
          <cell r="J5912" t="str">
            <v>bueno</v>
          </cell>
          <cell r="K5912" t="str">
            <v>defsi</v>
          </cell>
        </row>
        <row r="5913">
          <cell r="B5913" t="b">
            <v>1</v>
          </cell>
          <cell r="E5913" t="str">
            <v>Bicentenario</v>
          </cell>
          <cell r="H5913" t="str">
            <v>rx</v>
          </cell>
          <cell r="J5913" t="str">
            <v>bueno</v>
          </cell>
          <cell r="K5913" t="str">
            <v>defsi</v>
          </cell>
        </row>
        <row r="5914">
          <cell r="B5914" t="b">
            <v>0</v>
          </cell>
          <cell r="E5914" t="str">
            <v>Bicentenario</v>
          </cell>
          <cell r="H5914" t="str">
            <v>consulta_externa</v>
          </cell>
          <cell r="J5914" t="str">
            <v>regular</v>
          </cell>
          <cell r="K5914" t="str">
            <v>probno</v>
          </cell>
        </row>
        <row r="5915">
          <cell r="B5915" t="b">
            <v>1</v>
          </cell>
          <cell r="E5915" t="str">
            <v>Cano de Oro</v>
          </cell>
          <cell r="H5915" t="str">
            <v>consulta_externa</v>
          </cell>
          <cell r="J5915" t="str">
            <v>muybueno</v>
          </cell>
          <cell r="K5915" t="str">
            <v>defsi</v>
          </cell>
        </row>
        <row r="5916">
          <cell r="B5916" t="b">
            <v>1</v>
          </cell>
          <cell r="E5916" t="str">
            <v>Nelson Mandela UPA</v>
          </cell>
          <cell r="H5916" t="str">
            <v>consulta_externa</v>
          </cell>
          <cell r="J5916" t="str">
            <v>bueno</v>
          </cell>
          <cell r="K5916" t="str">
            <v>defsi</v>
          </cell>
        </row>
        <row r="5917">
          <cell r="B5917" t="b">
            <v>1</v>
          </cell>
          <cell r="E5917" t="str">
            <v>Nelson Mandela UPA</v>
          </cell>
          <cell r="H5917" t="str">
            <v>salud_oral</v>
          </cell>
          <cell r="J5917" t="str">
            <v>bueno</v>
          </cell>
          <cell r="K5917" t="str">
            <v>defsi</v>
          </cell>
        </row>
        <row r="5918">
          <cell r="B5918" t="b">
            <v>1</v>
          </cell>
          <cell r="E5918" t="str">
            <v>Bicentenario</v>
          </cell>
          <cell r="H5918" t="str">
            <v>rx</v>
          </cell>
          <cell r="J5918" t="str">
            <v>bueno</v>
          </cell>
          <cell r="K5918" t="str">
            <v>defsi</v>
          </cell>
        </row>
        <row r="5919">
          <cell r="B5919" t="b">
            <v>1</v>
          </cell>
          <cell r="E5919" t="str">
            <v>Bicentenario</v>
          </cell>
          <cell r="H5919" t="str">
            <v>laboratorio</v>
          </cell>
          <cell r="J5919" t="str">
            <v>bueno</v>
          </cell>
          <cell r="K5919" t="str">
            <v>defsi</v>
          </cell>
        </row>
        <row r="5920">
          <cell r="B5920" t="b">
            <v>1</v>
          </cell>
          <cell r="E5920" t="str">
            <v>Bicentenario</v>
          </cell>
          <cell r="H5920" t="str">
            <v>rx</v>
          </cell>
          <cell r="J5920" t="str">
            <v>bueno</v>
          </cell>
          <cell r="K5920" t="str">
            <v>defsi</v>
          </cell>
        </row>
        <row r="5921">
          <cell r="B5921" t="b">
            <v>1</v>
          </cell>
          <cell r="E5921" t="str">
            <v>Nelson Mandela UPA</v>
          </cell>
          <cell r="H5921" t="str">
            <v>laboratorio</v>
          </cell>
          <cell r="J5921" t="str">
            <v>bueno</v>
          </cell>
          <cell r="K5921" t="str">
            <v>defsi</v>
          </cell>
        </row>
        <row r="5922">
          <cell r="B5922" t="b">
            <v>1</v>
          </cell>
          <cell r="E5922" t="str">
            <v>Nelson Mandela UPA</v>
          </cell>
          <cell r="H5922" t="str">
            <v>urgencia</v>
          </cell>
          <cell r="J5922" t="str">
            <v>bueno</v>
          </cell>
          <cell r="K5922" t="str">
            <v>defsi</v>
          </cell>
        </row>
        <row r="5923">
          <cell r="B5923" t="b">
            <v>1</v>
          </cell>
          <cell r="E5923" t="str">
            <v>Nelson Mandela UPA</v>
          </cell>
          <cell r="H5923" t="str">
            <v>consulta_externa</v>
          </cell>
          <cell r="J5923" t="str">
            <v>bueno</v>
          </cell>
          <cell r="K5923" t="str">
            <v>defsi</v>
          </cell>
        </row>
        <row r="5924">
          <cell r="B5924" t="b">
            <v>1</v>
          </cell>
          <cell r="E5924" t="str">
            <v>Nelson Mandela UPA</v>
          </cell>
          <cell r="H5924" t="str">
            <v>salud_oral</v>
          </cell>
          <cell r="J5924" t="str">
            <v>bueno</v>
          </cell>
          <cell r="K5924" t="str">
            <v>defsi</v>
          </cell>
        </row>
        <row r="5925">
          <cell r="B5925" t="b">
            <v>1</v>
          </cell>
          <cell r="E5925" t="str">
            <v>Nelson Mandela UPA</v>
          </cell>
          <cell r="H5925" t="str">
            <v>laboratorio</v>
          </cell>
          <cell r="J5925" t="str">
            <v>bueno</v>
          </cell>
          <cell r="K5925" t="str">
            <v>defsi</v>
          </cell>
        </row>
        <row r="5926">
          <cell r="B5926" t="b">
            <v>1</v>
          </cell>
          <cell r="E5926" t="str">
            <v>Nelson Mandela UPA</v>
          </cell>
          <cell r="H5926" t="str">
            <v>urgencia</v>
          </cell>
          <cell r="J5926" t="str">
            <v>bueno</v>
          </cell>
          <cell r="K5926" t="str">
            <v>defsi</v>
          </cell>
        </row>
        <row r="5927">
          <cell r="B5927" t="b">
            <v>1</v>
          </cell>
          <cell r="E5927" t="str">
            <v>San Vicente de Paul</v>
          </cell>
          <cell r="H5927" t="str">
            <v>laboratorio</v>
          </cell>
          <cell r="J5927" t="str">
            <v>bueno</v>
          </cell>
          <cell r="K5927" t="str">
            <v>probsi</v>
          </cell>
        </row>
        <row r="5928">
          <cell r="B5928" t="b">
            <v>1</v>
          </cell>
          <cell r="E5928" t="str">
            <v>San Vicente de Paul</v>
          </cell>
          <cell r="H5928" t="str">
            <v>laboratorio</v>
          </cell>
          <cell r="J5928" t="str">
            <v>bueno</v>
          </cell>
          <cell r="K5928" t="str">
            <v>probsi</v>
          </cell>
        </row>
        <row r="5929">
          <cell r="B5929" t="b">
            <v>1</v>
          </cell>
          <cell r="E5929" t="str">
            <v>San Vicente de Paul</v>
          </cell>
          <cell r="H5929" t="str">
            <v>laboratorio</v>
          </cell>
          <cell r="J5929" t="str">
            <v>bueno</v>
          </cell>
          <cell r="K5929" t="str">
            <v>probsi</v>
          </cell>
        </row>
        <row r="5930">
          <cell r="B5930" t="b">
            <v>1</v>
          </cell>
          <cell r="E5930" t="str">
            <v>San Vicente de Paul</v>
          </cell>
          <cell r="H5930" t="str">
            <v>laboratorio</v>
          </cell>
          <cell r="J5930" t="str">
            <v>bueno</v>
          </cell>
          <cell r="K5930" t="str">
            <v>probsi</v>
          </cell>
        </row>
        <row r="5931">
          <cell r="B5931" t="b">
            <v>1</v>
          </cell>
          <cell r="E5931" t="str">
            <v>San Vicente de Paul</v>
          </cell>
          <cell r="H5931" t="str">
            <v>laboratorio</v>
          </cell>
          <cell r="J5931" t="str">
            <v>bueno</v>
          </cell>
          <cell r="K5931" t="str">
            <v>probsi</v>
          </cell>
        </row>
        <row r="5932">
          <cell r="B5932" t="b">
            <v>1</v>
          </cell>
          <cell r="E5932" t="str">
            <v>San Vicente de Paul</v>
          </cell>
          <cell r="H5932" t="str">
            <v>laboratorio</v>
          </cell>
          <cell r="J5932" t="str">
            <v>bueno</v>
          </cell>
          <cell r="K5932" t="str">
            <v>probsi</v>
          </cell>
        </row>
        <row r="5933">
          <cell r="B5933" t="b">
            <v>1</v>
          </cell>
          <cell r="E5933" t="str">
            <v>Bicentenario</v>
          </cell>
          <cell r="H5933" t="str">
            <v>rx</v>
          </cell>
          <cell r="J5933" t="str">
            <v>bueno</v>
          </cell>
          <cell r="K5933" t="str">
            <v>defsi</v>
          </cell>
        </row>
        <row r="5934">
          <cell r="B5934" t="b">
            <v>1</v>
          </cell>
          <cell r="E5934" t="str">
            <v>Bicentenario</v>
          </cell>
          <cell r="H5934" t="str">
            <v>rx</v>
          </cell>
          <cell r="J5934" t="str">
            <v>bueno</v>
          </cell>
          <cell r="K5934" t="str">
            <v>defsi</v>
          </cell>
        </row>
        <row r="5935">
          <cell r="B5935" t="b">
            <v>1</v>
          </cell>
          <cell r="E5935" t="str">
            <v>Cano de Oro</v>
          </cell>
          <cell r="H5935" t="str">
            <v>consulta_externa</v>
          </cell>
          <cell r="J5935" t="str">
            <v>muybueno</v>
          </cell>
          <cell r="K5935" t="str">
            <v>defsi</v>
          </cell>
        </row>
        <row r="5936">
          <cell r="B5936" t="b">
            <v>1</v>
          </cell>
          <cell r="E5936" t="str">
            <v>Cano de Oro</v>
          </cell>
          <cell r="H5936" t="str">
            <v>laboratorio</v>
          </cell>
          <cell r="J5936" t="str">
            <v>muybueno</v>
          </cell>
          <cell r="K5936" t="str">
            <v>defsi</v>
          </cell>
        </row>
        <row r="5937">
          <cell r="B5937" t="b">
            <v>1</v>
          </cell>
          <cell r="E5937" t="str">
            <v>Cano de Oro</v>
          </cell>
          <cell r="H5937" t="str">
            <v>salud_oral</v>
          </cell>
          <cell r="J5937" t="str">
            <v>muybueno</v>
          </cell>
          <cell r="K5937" t="str">
            <v>defsi</v>
          </cell>
        </row>
        <row r="5938">
          <cell r="B5938" t="b">
            <v>1</v>
          </cell>
          <cell r="E5938" t="str">
            <v>Cano de Oro</v>
          </cell>
          <cell r="H5938" t="str">
            <v>consulta_externa</v>
          </cell>
          <cell r="J5938" t="str">
            <v>muybueno</v>
          </cell>
          <cell r="K5938" t="str">
            <v>defsi</v>
          </cell>
        </row>
        <row r="5939">
          <cell r="B5939" t="b">
            <v>1</v>
          </cell>
          <cell r="E5939" t="str">
            <v>Cano de Oro</v>
          </cell>
          <cell r="H5939" t="str">
            <v>laboratorio</v>
          </cell>
          <cell r="J5939" t="str">
            <v>muybueno</v>
          </cell>
          <cell r="K5939" t="str">
            <v>defsi</v>
          </cell>
        </row>
        <row r="5940">
          <cell r="B5940" t="b">
            <v>1</v>
          </cell>
          <cell r="E5940" t="str">
            <v>Cano de Oro</v>
          </cell>
          <cell r="H5940" t="str">
            <v>consulta_externa</v>
          </cell>
          <cell r="J5940" t="str">
            <v>muybueno</v>
          </cell>
          <cell r="K5940" t="str">
            <v>defsi</v>
          </cell>
        </row>
        <row r="5941">
          <cell r="B5941" t="b">
            <v>1</v>
          </cell>
          <cell r="E5941" t="str">
            <v>Cano de Oro</v>
          </cell>
          <cell r="H5941" t="str">
            <v>salud_oral</v>
          </cell>
          <cell r="J5941" t="str">
            <v>muybueno</v>
          </cell>
          <cell r="K5941" t="str">
            <v>defsi</v>
          </cell>
        </row>
        <row r="5942">
          <cell r="B5942" t="b">
            <v>1</v>
          </cell>
          <cell r="E5942" t="str">
            <v>Punta Canoa</v>
          </cell>
          <cell r="H5942" t="str">
            <v>consulta_externa</v>
          </cell>
          <cell r="J5942" t="str">
            <v>bueno</v>
          </cell>
          <cell r="K5942" t="str">
            <v>probsi</v>
          </cell>
        </row>
        <row r="5943">
          <cell r="B5943" t="b">
            <v>1</v>
          </cell>
          <cell r="E5943" t="str">
            <v>Punta Canoa</v>
          </cell>
          <cell r="H5943" t="str">
            <v>consulta_externa</v>
          </cell>
          <cell r="J5943" t="str">
            <v>bueno</v>
          </cell>
          <cell r="K5943" t="str">
            <v>probsi</v>
          </cell>
        </row>
        <row r="5944">
          <cell r="B5944" t="b">
            <v>1</v>
          </cell>
          <cell r="E5944" t="str">
            <v>Nelson Mandela UPA</v>
          </cell>
          <cell r="H5944" t="str">
            <v>consulta_externa</v>
          </cell>
          <cell r="J5944" t="str">
            <v>bueno</v>
          </cell>
          <cell r="K5944" t="str">
            <v>defsi</v>
          </cell>
        </row>
        <row r="5945">
          <cell r="B5945" t="b">
            <v>1</v>
          </cell>
          <cell r="E5945" t="str">
            <v>Nelson Mandela UPA</v>
          </cell>
          <cell r="H5945" t="str">
            <v>salud_oral</v>
          </cell>
          <cell r="J5945" t="str">
            <v>bueno</v>
          </cell>
          <cell r="K5945" t="str">
            <v>defsi</v>
          </cell>
        </row>
        <row r="5946">
          <cell r="B5946" t="b">
            <v>1</v>
          </cell>
          <cell r="E5946" t="str">
            <v>Nelson Mandela UPA</v>
          </cell>
          <cell r="H5946" t="str">
            <v>laboratorio</v>
          </cell>
          <cell r="J5946" t="str">
            <v>bueno</v>
          </cell>
          <cell r="K5946" t="str">
            <v>defsi</v>
          </cell>
        </row>
        <row r="5947">
          <cell r="B5947" t="b">
            <v>1</v>
          </cell>
          <cell r="E5947" t="str">
            <v>Nelson Mandela UPA</v>
          </cell>
          <cell r="H5947" t="str">
            <v>urgencia</v>
          </cell>
          <cell r="J5947" t="str">
            <v>bueno</v>
          </cell>
          <cell r="K5947" t="str">
            <v>defsi</v>
          </cell>
        </row>
        <row r="5948">
          <cell r="B5948" t="b">
            <v>1</v>
          </cell>
          <cell r="E5948" t="str">
            <v>Nelson Mandela UPA</v>
          </cell>
          <cell r="H5948" t="str">
            <v>consulta_externa</v>
          </cell>
          <cell r="J5948" t="str">
            <v>bueno</v>
          </cell>
          <cell r="K5948" t="str">
            <v>defsi</v>
          </cell>
        </row>
        <row r="5949">
          <cell r="B5949" t="b">
            <v>1</v>
          </cell>
          <cell r="E5949" t="str">
            <v>Nelson Mandela UPA</v>
          </cell>
          <cell r="H5949" t="str">
            <v>salud_oral</v>
          </cell>
          <cell r="J5949" t="str">
            <v>bueno</v>
          </cell>
          <cell r="K5949" t="str">
            <v>defsi</v>
          </cell>
        </row>
        <row r="5950">
          <cell r="B5950" t="b">
            <v>1</v>
          </cell>
          <cell r="E5950" t="str">
            <v>Nelson Mandela UPA</v>
          </cell>
          <cell r="H5950" t="str">
            <v>laboratorio</v>
          </cell>
          <cell r="J5950" t="str">
            <v>bueno</v>
          </cell>
          <cell r="K5950" t="str">
            <v>defsi</v>
          </cell>
        </row>
        <row r="5951">
          <cell r="B5951" t="b">
            <v>1</v>
          </cell>
          <cell r="E5951" t="str">
            <v>Nelson Mandela UPA</v>
          </cell>
          <cell r="H5951" t="str">
            <v>urgencia</v>
          </cell>
          <cell r="J5951" t="str">
            <v>bueno</v>
          </cell>
          <cell r="K5951" t="str">
            <v>defsi</v>
          </cell>
        </row>
        <row r="5952">
          <cell r="B5952" t="b">
            <v>1</v>
          </cell>
          <cell r="E5952" t="str">
            <v>Nelson Mandela UPA</v>
          </cell>
          <cell r="H5952" t="str">
            <v>consulta_externa</v>
          </cell>
          <cell r="J5952" t="str">
            <v>bueno</v>
          </cell>
          <cell r="K5952" t="str">
            <v>defsi</v>
          </cell>
        </row>
        <row r="5953">
          <cell r="B5953" t="b">
            <v>1</v>
          </cell>
          <cell r="E5953" t="str">
            <v>Cano de Oro</v>
          </cell>
          <cell r="H5953" t="str">
            <v>consulta_externa</v>
          </cell>
          <cell r="J5953" t="str">
            <v>muybueno</v>
          </cell>
          <cell r="K5953" t="str">
            <v>defsi</v>
          </cell>
        </row>
        <row r="5954">
          <cell r="B5954" t="b">
            <v>1</v>
          </cell>
          <cell r="E5954" t="str">
            <v>Cano de Oro</v>
          </cell>
          <cell r="H5954" t="str">
            <v>laboratorio</v>
          </cell>
          <cell r="J5954" t="str">
            <v>muybueno</v>
          </cell>
          <cell r="K5954" t="str">
            <v>defsi</v>
          </cell>
        </row>
        <row r="5955">
          <cell r="B5955" t="b">
            <v>1</v>
          </cell>
          <cell r="E5955" t="str">
            <v>Nelson Mandela UPA</v>
          </cell>
          <cell r="H5955" t="str">
            <v>salud_oral</v>
          </cell>
          <cell r="J5955" t="str">
            <v>bueno</v>
          </cell>
          <cell r="K5955" t="str">
            <v>defsi</v>
          </cell>
        </row>
        <row r="5956">
          <cell r="B5956" t="b">
            <v>1</v>
          </cell>
          <cell r="E5956" t="str">
            <v>Nelson Mandela UPA</v>
          </cell>
          <cell r="H5956" t="str">
            <v>laboratorio</v>
          </cell>
          <cell r="J5956" t="str">
            <v>bueno</v>
          </cell>
          <cell r="K5956" t="str">
            <v>defsi</v>
          </cell>
        </row>
        <row r="5957">
          <cell r="B5957" t="b">
            <v>1</v>
          </cell>
          <cell r="E5957" t="str">
            <v>Nelson Mandela UPA</v>
          </cell>
          <cell r="H5957" t="str">
            <v>urgencia</v>
          </cell>
          <cell r="J5957" t="str">
            <v>bueno</v>
          </cell>
          <cell r="K5957" t="str">
            <v>defsi</v>
          </cell>
        </row>
        <row r="5958">
          <cell r="B5958" t="b">
            <v>1</v>
          </cell>
          <cell r="E5958" t="str">
            <v>Cano de Oro</v>
          </cell>
          <cell r="H5958" t="str">
            <v>consulta_externa</v>
          </cell>
          <cell r="J5958" t="str">
            <v>muybueno</v>
          </cell>
          <cell r="K5958" t="str">
            <v>defsi</v>
          </cell>
        </row>
        <row r="5959">
          <cell r="B5959" t="b">
            <v>1</v>
          </cell>
          <cell r="E5959" t="str">
            <v>Nelson Mandela UPA</v>
          </cell>
          <cell r="H5959" t="str">
            <v>consulta_externa</v>
          </cell>
          <cell r="J5959" t="str">
            <v>bueno</v>
          </cell>
          <cell r="K5959" t="str">
            <v>defsi</v>
          </cell>
        </row>
        <row r="5960">
          <cell r="B5960" t="b">
            <v>1</v>
          </cell>
          <cell r="E5960" t="str">
            <v>Nelson Mandela UPA</v>
          </cell>
          <cell r="H5960" t="str">
            <v>salud_oral</v>
          </cell>
          <cell r="J5960" t="str">
            <v>bueno</v>
          </cell>
          <cell r="K5960" t="str">
            <v>defsi</v>
          </cell>
        </row>
        <row r="5961">
          <cell r="B5961" t="b">
            <v>1</v>
          </cell>
          <cell r="E5961" t="str">
            <v>Nelson Mandela UPA</v>
          </cell>
          <cell r="H5961" t="str">
            <v>laboratorio</v>
          </cell>
          <cell r="J5961" t="str">
            <v>bueno</v>
          </cell>
          <cell r="K5961" t="str">
            <v>defsi</v>
          </cell>
        </row>
        <row r="5962">
          <cell r="B5962" t="b">
            <v>1</v>
          </cell>
          <cell r="E5962" t="str">
            <v>Nelson Mandela UPA</v>
          </cell>
          <cell r="H5962" t="str">
            <v>urgencia</v>
          </cell>
          <cell r="J5962" t="str">
            <v>bueno</v>
          </cell>
          <cell r="K5962" t="str">
            <v>defsi</v>
          </cell>
        </row>
        <row r="5963">
          <cell r="B5963" t="b">
            <v>1</v>
          </cell>
          <cell r="E5963" t="str">
            <v>Nelson Mandela UPA</v>
          </cell>
          <cell r="H5963" t="str">
            <v>consulta_externa</v>
          </cell>
          <cell r="J5963" t="str">
            <v>bueno</v>
          </cell>
          <cell r="K5963" t="str">
            <v>defsi</v>
          </cell>
        </row>
        <row r="5964">
          <cell r="B5964" t="b">
            <v>1</v>
          </cell>
          <cell r="E5964" t="str">
            <v>Cano de Oro</v>
          </cell>
          <cell r="H5964" t="str">
            <v>consulta_externa</v>
          </cell>
          <cell r="J5964" t="str">
            <v>muybueno</v>
          </cell>
          <cell r="K5964" t="str">
            <v>defsi</v>
          </cell>
        </row>
        <row r="5965">
          <cell r="B5965" t="b">
            <v>1</v>
          </cell>
          <cell r="E5965" t="str">
            <v>Cano de Oro</v>
          </cell>
          <cell r="H5965" t="str">
            <v>laboratorio</v>
          </cell>
          <cell r="J5965" t="str">
            <v>muybueno</v>
          </cell>
          <cell r="K5965" t="str">
            <v>defsi</v>
          </cell>
        </row>
        <row r="5966">
          <cell r="B5966" t="b">
            <v>1</v>
          </cell>
          <cell r="E5966" t="str">
            <v>Nelson Mandela UPA</v>
          </cell>
          <cell r="H5966" t="str">
            <v>salud_oral</v>
          </cell>
          <cell r="J5966" t="str">
            <v>bueno</v>
          </cell>
          <cell r="K5966" t="str">
            <v>defsi</v>
          </cell>
        </row>
        <row r="5967">
          <cell r="B5967" t="b">
            <v>1</v>
          </cell>
          <cell r="E5967" t="str">
            <v>Nelson Mandela UPA</v>
          </cell>
          <cell r="H5967" t="str">
            <v>laboratorio</v>
          </cell>
          <cell r="J5967" t="str">
            <v>bueno</v>
          </cell>
          <cell r="K5967" t="str">
            <v>defsi</v>
          </cell>
        </row>
        <row r="5968">
          <cell r="B5968" t="b">
            <v>1</v>
          </cell>
          <cell r="E5968" t="str">
            <v>Nelson Mandela UPA</v>
          </cell>
          <cell r="H5968" t="str">
            <v>urgencia</v>
          </cell>
          <cell r="J5968" t="str">
            <v>bueno</v>
          </cell>
          <cell r="K5968" t="str">
            <v>defsi</v>
          </cell>
        </row>
        <row r="5969">
          <cell r="B5969" t="b">
            <v>1</v>
          </cell>
          <cell r="E5969" t="str">
            <v>Nelson Mandela UPA</v>
          </cell>
          <cell r="H5969" t="str">
            <v>consulta_externa</v>
          </cell>
          <cell r="J5969" t="str">
            <v>bueno</v>
          </cell>
          <cell r="K5969" t="str">
            <v>defsi</v>
          </cell>
        </row>
        <row r="5970">
          <cell r="B5970" t="b">
            <v>1</v>
          </cell>
          <cell r="E5970" t="str">
            <v>Cano de Oro</v>
          </cell>
          <cell r="H5970" t="str">
            <v>consulta_externa</v>
          </cell>
          <cell r="J5970" t="str">
            <v>muybueno</v>
          </cell>
          <cell r="K5970" t="str">
            <v>defsi</v>
          </cell>
        </row>
        <row r="5971">
          <cell r="B5971" t="b">
            <v>1</v>
          </cell>
          <cell r="E5971" t="str">
            <v>Nelson Mandela UPA</v>
          </cell>
          <cell r="H5971" t="str">
            <v>laboratorio</v>
          </cell>
          <cell r="J5971" t="str">
            <v>bueno</v>
          </cell>
          <cell r="K5971" t="str">
            <v>defsi</v>
          </cell>
        </row>
        <row r="5972">
          <cell r="B5972" t="b">
            <v>1</v>
          </cell>
          <cell r="E5972" t="str">
            <v>Cano de Oro</v>
          </cell>
          <cell r="H5972" t="str">
            <v>salud_oral</v>
          </cell>
          <cell r="J5972" t="str">
            <v>muybueno</v>
          </cell>
          <cell r="K5972" t="str">
            <v>defsi</v>
          </cell>
        </row>
        <row r="5973">
          <cell r="B5973" t="b">
            <v>1</v>
          </cell>
          <cell r="E5973" t="str">
            <v>Nelson Mandela UPA</v>
          </cell>
          <cell r="H5973" t="str">
            <v>salud_oral</v>
          </cell>
          <cell r="J5973" t="str">
            <v>bueno</v>
          </cell>
          <cell r="K5973" t="str">
            <v>defsi</v>
          </cell>
        </row>
        <row r="5974">
          <cell r="B5974" t="b">
            <v>1</v>
          </cell>
          <cell r="E5974" t="str">
            <v>Nelson Mandela UPA</v>
          </cell>
          <cell r="H5974" t="str">
            <v>urgencia</v>
          </cell>
          <cell r="J5974" t="str">
            <v>bueno</v>
          </cell>
          <cell r="K5974" t="str">
            <v>defsi</v>
          </cell>
        </row>
        <row r="5975">
          <cell r="B5975" t="b">
            <v>1</v>
          </cell>
          <cell r="E5975" t="str">
            <v>Nelson Mandela UPA</v>
          </cell>
          <cell r="H5975" t="str">
            <v>consulta_externa</v>
          </cell>
          <cell r="J5975" t="str">
            <v>bueno</v>
          </cell>
          <cell r="K5975" t="str">
            <v>defsi</v>
          </cell>
        </row>
        <row r="5976">
          <cell r="B5976" t="b">
            <v>1</v>
          </cell>
          <cell r="E5976" t="str">
            <v>Nelson Mandela UPA</v>
          </cell>
          <cell r="H5976" t="str">
            <v>salud_oral</v>
          </cell>
          <cell r="J5976" t="str">
            <v>bueno</v>
          </cell>
          <cell r="K5976" t="str">
            <v>defsi</v>
          </cell>
        </row>
        <row r="5977">
          <cell r="B5977" t="b">
            <v>1</v>
          </cell>
          <cell r="E5977" t="str">
            <v>Nelson Mandela UPA</v>
          </cell>
          <cell r="H5977" t="str">
            <v>laboratorio</v>
          </cell>
          <cell r="J5977" t="str">
            <v>bueno</v>
          </cell>
          <cell r="K5977" t="str">
            <v>defsi</v>
          </cell>
        </row>
        <row r="5978">
          <cell r="B5978" t="b">
            <v>1</v>
          </cell>
          <cell r="E5978" t="str">
            <v>Nelson Mandela UPA</v>
          </cell>
          <cell r="H5978" t="str">
            <v>urgencia</v>
          </cell>
          <cell r="J5978" t="str">
            <v>bueno</v>
          </cell>
          <cell r="K5978" t="str">
            <v>defsi</v>
          </cell>
        </row>
        <row r="5979">
          <cell r="B5979" t="b">
            <v>1</v>
          </cell>
          <cell r="E5979" t="str">
            <v>Cano de Oro</v>
          </cell>
          <cell r="H5979" t="str">
            <v>consulta_externa</v>
          </cell>
          <cell r="J5979" t="str">
            <v>muybueno</v>
          </cell>
          <cell r="K5979" t="str">
            <v>defsi</v>
          </cell>
        </row>
        <row r="5980">
          <cell r="B5980" t="b">
            <v>1</v>
          </cell>
          <cell r="E5980" t="str">
            <v>Cano de Oro</v>
          </cell>
          <cell r="H5980" t="str">
            <v>laboratorio</v>
          </cell>
          <cell r="J5980" t="str">
            <v>muybueno</v>
          </cell>
          <cell r="K5980" t="str">
            <v>defsi</v>
          </cell>
        </row>
        <row r="5981">
          <cell r="B5981" t="b">
            <v>1</v>
          </cell>
          <cell r="E5981" t="str">
            <v>Cano de Oro</v>
          </cell>
          <cell r="H5981" t="str">
            <v>consulta_externa</v>
          </cell>
          <cell r="J5981" t="str">
            <v>muybueno</v>
          </cell>
          <cell r="K5981" t="str">
            <v>defsi</v>
          </cell>
        </row>
        <row r="5982">
          <cell r="B5982" t="b">
            <v>1</v>
          </cell>
          <cell r="E5982" t="str">
            <v>Cano de Oro</v>
          </cell>
          <cell r="H5982" t="str">
            <v>salud_oral</v>
          </cell>
          <cell r="J5982" t="str">
            <v>muybueno</v>
          </cell>
          <cell r="K5982" t="str">
            <v>defsi</v>
          </cell>
        </row>
        <row r="5983">
          <cell r="B5983" t="b">
            <v>1</v>
          </cell>
          <cell r="E5983" t="str">
            <v>Cano de Oro</v>
          </cell>
          <cell r="H5983" t="str">
            <v>consulta_externa</v>
          </cell>
          <cell r="J5983" t="str">
            <v>muybueno</v>
          </cell>
          <cell r="K5983" t="str">
            <v>defsi</v>
          </cell>
        </row>
        <row r="5984">
          <cell r="B5984" t="b">
            <v>1</v>
          </cell>
          <cell r="E5984" t="str">
            <v>Cano de Oro</v>
          </cell>
          <cell r="H5984" t="str">
            <v>laboratorio</v>
          </cell>
          <cell r="J5984" t="str">
            <v>muybueno</v>
          </cell>
          <cell r="K5984" t="str">
            <v>defsi</v>
          </cell>
        </row>
        <row r="5985">
          <cell r="B5985" t="b">
            <v>1</v>
          </cell>
          <cell r="E5985" t="str">
            <v>Cano de Oro</v>
          </cell>
          <cell r="H5985" t="str">
            <v>consulta_externa</v>
          </cell>
          <cell r="J5985" t="str">
            <v>muybueno</v>
          </cell>
          <cell r="K5985" t="str">
            <v>defsi</v>
          </cell>
        </row>
        <row r="5986">
          <cell r="B5986" t="b">
            <v>1</v>
          </cell>
          <cell r="E5986" t="str">
            <v>Cano de Oro</v>
          </cell>
          <cell r="H5986" t="str">
            <v>laboratorio</v>
          </cell>
          <cell r="J5986" t="str">
            <v>muybueno</v>
          </cell>
          <cell r="K5986" t="str">
            <v>defsi</v>
          </cell>
        </row>
        <row r="5987">
          <cell r="B5987" t="b">
            <v>1</v>
          </cell>
          <cell r="E5987" t="str">
            <v>Nelson Mandela UPA</v>
          </cell>
          <cell r="H5987" t="str">
            <v>consulta_externa</v>
          </cell>
          <cell r="J5987" t="str">
            <v>bueno</v>
          </cell>
          <cell r="K5987" t="str">
            <v>defsi</v>
          </cell>
        </row>
        <row r="5988">
          <cell r="B5988" t="b">
            <v>1</v>
          </cell>
          <cell r="E5988" t="str">
            <v>Nelson Mandela UPA</v>
          </cell>
          <cell r="H5988" t="str">
            <v>salud_oral</v>
          </cell>
          <cell r="J5988" t="str">
            <v>bueno</v>
          </cell>
          <cell r="K5988" t="str">
            <v>defsi</v>
          </cell>
        </row>
        <row r="5989">
          <cell r="B5989" t="b">
            <v>1</v>
          </cell>
          <cell r="E5989" t="str">
            <v>Nelson Mandela UPA</v>
          </cell>
          <cell r="H5989" t="str">
            <v>laboratorio</v>
          </cell>
          <cell r="J5989" t="str">
            <v>bueno</v>
          </cell>
          <cell r="K5989" t="str">
            <v>defsi</v>
          </cell>
        </row>
        <row r="5990">
          <cell r="B5990" t="b">
            <v>1</v>
          </cell>
          <cell r="E5990" t="str">
            <v>Cano de Oro</v>
          </cell>
          <cell r="H5990" t="str">
            <v>consulta_externa</v>
          </cell>
          <cell r="J5990" t="str">
            <v>muybueno</v>
          </cell>
          <cell r="K5990" t="str">
            <v>defsi</v>
          </cell>
        </row>
        <row r="5991">
          <cell r="B5991" t="b">
            <v>1</v>
          </cell>
          <cell r="E5991" t="str">
            <v>Cano de Oro</v>
          </cell>
          <cell r="H5991" t="str">
            <v>laboratorio</v>
          </cell>
          <cell r="J5991" t="str">
            <v>muybueno</v>
          </cell>
          <cell r="K5991" t="str">
            <v>defsi</v>
          </cell>
        </row>
        <row r="5992">
          <cell r="B5992" t="b">
            <v>1</v>
          </cell>
          <cell r="E5992" t="str">
            <v>Cano de Oro</v>
          </cell>
          <cell r="H5992" t="str">
            <v>salud_oral</v>
          </cell>
          <cell r="J5992" t="str">
            <v>muybueno</v>
          </cell>
          <cell r="K5992" t="str">
            <v>defsi</v>
          </cell>
        </row>
        <row r="5993">
          <cell r="B5993" t="b">
            <v>1</v>
          </cell>
          <cell r="E5993" t="str">
            <v>Nelson Mandela UPA</v>
          </cell>
          <cell r="H5993" t="str">
            <v>urgencia</v>
          </cell>
          <cell r="J5993" t="str">
            <v>bueno</v>
          </cell>
          <cell r="K5993" t="str">
            <v>defsi</v>
          </cell>
        </row>
        <row r="5994">
          <cell r="B5994" t="b">
            <v>1</v>
          </cell>
          <cell r="E5994" t="str">
            <v>Cano de Oro</v>
          </cell>
          <cell r="H5994" t="str">
            <v>consulta_externa</v>
          </cell>
          <cell r="J5994" t="str">
            <v>muybueno</v>
          </cell>
          <cell r="K5994" t="str">
            <v>defsi</v>
          </cell>
        </row>
        <row r="5995">
          <cell r="B5995" t="b">
            <v>1</v>
          </cell>
          <cell r="E5995" t="str">
            <v>Cano de Oro</v>
          </cell>
          <cell r="H5995" t="str">
            <v>salud_oral</v>
          </cell>
          <cell r="J5995" t="str">
            <v>muybueno</v>
          </cell>
          <cell r="K5995" t="str">
            <v>defsi</v>
          </cell>
        </row>
        <row r="5996">
          <cell r="B5996" t="b">
            <v>1</v>
          </cell>
          <cell r="E5996" t="str">
            <v>Cano de Oro</v>
          </cell>
          <cell r="H5996" t="str">
            <v>consulta_externa</v>
          </cell>
          <cell r="J5996" t="str">
            <v>muybueno</v>
          </cell>
          <cell r="K5996" t="str">
            <v>defsi</v>
          </cell>
        </row>
        <row r="5997">
          <cell r="B5997" t="b">
            <v>1</v>
          </cell>
          <cell r="E5997" t="str">
            <v>Cano de Oro</v>
          </cell>
          <cell r="H5997" t="str">
            <v>laboratorio</v>
          </cell>
          <cell r="J5997" t="str">
            <v>muybueno</v>
          </cell>
          <cell r="K5997" t="str">
            <v>defsi</v>
          </cell>
        </row>
        <row r="5998">
          <cell r="B5998" t="b">
            <v>0</v>
          </cell>
          <cell r="E5998" t="str">
            <v>Hospital Pozon</v>
          </cell>
          <cell r="H5998" t="str">
            <v>salud_oral</v>
          </cell>
          <cell r="J5998" t="str">
            <v>regular</v>
          </cell>
          <cell r="K5998" t="str">
            <v>probno</v>
          </cell>
        </row>
        <row r="5999">
          <cell r="B5999" t="b">
            <v>1</v>
          </cell>
          <cell r="E5999" t="str">
            <v>Hospital Pozon</v>
          </cell>
          <cell r="H5999" t="str">
            <v>consulta_externa</v>
          </cell>
          <cell r="J5999" t="str">
            <v>bueno</v>
          </cell>
          <cell r="K5999" t="str">
            <v>defsi</v>
          </cell>
        </row>
        <row r="6000">
          <cell r="B6000" t="b">
            <v>1</v>
          </cell>
          <cell r="E6000" t="str">
            <v>Hospital Pozon</v>
          </cell>
          <cell r="H6000" t="str">
            <v>consulta_externa</v>
          </cell>
          <cell r="J6000" t="str">
            <v>bueno</v>
          </cell>
          <cell r="K6000" t="str">
            <v>defsi</v>
          </cell>
        </row>
        <row r="6001">
          <cell r="B6001" t="b">
            <v>1</v>
          </cell>
          <cell r="E6001" t="str">
            <v>Hospital Pozon</v>
          </cell>
          <cell r="H6001" t="str">
            <v>laboratorio</v>
          </cell>
          <cell r="J6001" t="str">
            <v>bueno</v>
          </cell>
          <cell r="K6001" t="str">
            <v>defsi</v>
          </cell>
        </row>
        <row r="6002">
          <cell r="B6002" t="b">
            <v>1</v>
          </cell>
          <cell r="E6002" t="str">
            <v>Hospital Pozon</v>
          </cell>
          <cell r="H6002" t="str">
            <v>consulta_externa</v>
          </cell>
          <cell r="J6002" t="str">
            <v>bueno</v>
          </cell>
          <cell r="K6002" t="str">
            <v>defsi</v>
          </cell>
        </row>
        <row r="6003">
          <cell r="B6003" t="b">
            <v>1</v>
          </cell>
          <cell r="E6003" t="str">
            <v>Hospital Pozon</v>
          </cell>
          <cell r="H6003" t="str">
            <v>laboratorio</v>
          </cell>
          <cell r="J6003" t="str">
            <v>bueno</v>
          </cell>
          <cell r="K6003" t="str">
            <v>defsi</v>
          </cell>
        </row>
        <row r="6004">
          <cell r="B6004" t="b">
            <v>1</v>
          </cell>
          <cell r="E6004" t="str">
            <v>Punta Canoa</v>
          </cell>
          <cell r="H6004" t="str">
            <v>consulta_externa</v>
          </cell>
          <cell r="J6004" t="str">
            <v>muybueno</v>
          </cell>
          <cell r="K6004" t="str">
            <v>probsi</v>
          </cell>
        </row>
        <row r="6005">
          <cell r="B6005" t="b">
            <v>1</v>
          </cell>
          <cell r="E6005" t="str">
            <v>Hospital Pozon</v>
          </cell>
          <cell r="H6005" t="str">
            <v>laboratorio</v>
          </cell>
          <cell r="J6005" t="str">
            <v>bueno</v>
          </cell>
          <cell r="K6005" t="str">
            <v>defsi</v>
          </cell>
        </row>
        <row r="6006">
          <cell r="B6006" t="b">
            <v>1</v>
          </cell>
          <cell r="E6006" t="str">
            <v>Punta Canoa</v>
          </cell>
          <cell r="H6006" t="str">
            <v>laboratorio</v>
          </cell>
          <cell r="J6006" t="str">
            <v>bueno</v>
          </cell>
          <cell r="K6006" t="str">
            <v>probsi</v>
          </cell>
        </row>
        <row r="6007">
          <cell r="B6007" t="b">
            <v>1</v>
          </cell>
          <cell r="E6007" t="str">
            <v>Punta Canoa</v>
          </cell>
          <cell r="H6007" t="str">
            <v>laboratorio</v>
          </cell>
          <cell r="J6007" t="str">
            <v>bueno</v>
          </cell>
          <cell r="K6007" t="str">
            <v>probsi</v>
          </cell>
        </row>
        <row r="6008">
          <cell r="B6008" t="b">
            <v>1</v>
          </cell>
          <cell r="E6008" t="str">
            <v>Punta Canoa</v>
          </cell>
          <cell r="H6008" t="str">
            <v>laboratorio</v>
          </cell>
          <cell r="J6008" t="str">
            <v>bueno</v>
          </cell>
          <cell r="K6008" t="str">
            <v>probsi</v>
          </cell>
        </row>
        <row r="6009">
          <cell r="B6009" t="b">
            <v>1</v>
          </cell>
          <cell r="E6009" t="str">
            <v>Hospital Pozon</v>
          </cell>
          <cell r="H6009" t="str">
            <v>salud_oral</v>
          </cell>
          <cell r="J6009" t="str">
            <v>bueno</v>
          </cell>
          <cell r="K6009" t="str">
            <v>defsi</v>
          </cell>
        </row>
        <row r="6010">
          <cell r="B6010" t="b">
            <v>1</v>
          </cell>
          <cell r="E6010" t="str">
            <v>Hospital Pozon</v>
          </cell>
          <cell r="H6010" t="str">
            <v>salud_oral</v>
          </cell>
          <cell r="J6010" t="str">
            <v>bueno</v>
          </cell>
          <cell r="K6010" t="str">
            <v>defsi</v>
          </cell>
        </row>
        <row r="6011">
          <cell r="B6011" t="b">
            <v>0</v>
          </cell>
          <cell r="E6011" t="str">
            <v>Hospital Pozon</v>
          </cell>
          <cell r="H6011" t="str">
            <v>salud_oral</v>
          </cell>
          <cell r="J6011" t="str">
            <v>regular</v>
          </cell>
          <cell r="K6011" t="str">
            <v>defsi</v>
          </cell>
        </row>
        <row r="6012">
          <cell r="B6012" t="b">
            <v>1</v>
          </cell>
          <cell r="E6012" t="str">
            <v>Cano de Oro</v>
          </cell>
          <cell r="H6012" t="str">
            <v>consulta_externa</v>
          </cell>
          <cell r="J6012" t="str">
            <v>muybueno</v>
          </cell>
          <cell r="K6012" t="str">
            <v>defsi</v>
          </cell>
        </row>
        <row r="6013">
          <cell r="B6013" t="b">
            <v>1</v>
          </cell>
          <cell r="E6013" t="str">
            <v>Cano de Oro</v>
          </cell>
          <cell r="H6013" t="str">
            <v>laboratorio</v>
          </cell>
          <cell r="J6013" t="str">
            <v>muybueno</v>
          </cell>
          <cell r="K6013" t="str">
            <v>defsi</v>
          </cell>
        </row>
        <row r="6014">
          <cell r="B6014" t="b">
            <v>1</v>
          </cell>
          <cell r="E6014" t="str">
            <v>Hospital Pozon</v>
          </cell>
          <cell r="H6014" t="str">
            <v>consulta_externa</v>
          </cell>
          <cell r="J6014" t="str">
            <v>bueno</v>
          </cell>
          <cell r="K6014" t="str">
            <v>defsi</v>
          </cell>
        </row>
        <row r="6015">
          <cell r="B6015" t="b">
            <v>1</v>
          </cell>
          <cell r="E6015" t="str">
            <v>Hospital Pozon</v>
          </cell>
          <cell r="H6015" t="str">
            <v>laboratorio</v>
          </cell>
          <cell r="J6015" t="str">
            <v>bueno</v>
          </cell>
          <cell r="K6015" t="str">
            <v>defsi</v>
          </cell>
        </row>
        <row r="6016">
          <cell r="B6016" t="b">
            <v>1</v>
          </cell>
          <cell r="E6016" t="str">
            <v>Hospital Pozon</v>
          </cell>
          <cell r="H6016" t="str">
            <v>consulta_externa</v>
          </cell>
          <cell r="J6016" t="str">
            <v>bueno</v>
          </cell>
          <cell r="K6016" t="str">
            <v>defsi</v>
          </cell>
        </row>
        <row r="6017">
          <cell r="B6017" t="b">
            <v>1</v>
          </cell>
          <cell r="E6017" t="str">
            <v>Cano de Oro</v>
          </cell>
          <cell r="H6017" t="str">
            <v>consulta_externa</v>
          </cell>
          <cell r="J6017" t="str">
            <v>muybueno</v>
          </cell>
          <cell r="K6017" t="str">
            <v>defsi</v>
          </cell>
        </row>
        <row r="6018">
          <cell r="B6018" t="b">
            <v>1</v>
          </cell>
          <cell r="E6018" t="str">
            <v>Cano de Oro</v>
          </cell>
          <cell r="H6018" t="str">
            <v>salud_oral</v>
          </cell>
          <cell r="J6018" t="str">
            <v>muybueno</v>
          </cell>
          <cell r="K6018" t="str">
            <v>defsi</v>
          </cell>
        </row>
        <row r="6019">
          <cell r="B6019" t="b">
            <v>1</v>
          </cell>
          <cell r="E6019" t="str">
            <v>Cano de Oro</v>
          </cell>
          <cell r="H6019" t="str">
            <v>consulta_externa</v>
          </cell>
          <cell r="J6019" t="str">
            <v>muybueno</v>
          </cell>
          <cell r="K6019" t="str">
            <v>defsi</v>
          </cell>
        </row>
        <row r="6020">
          <cell r="B6020" t="b">
            <v>1</v>
          </cell>
          <cell r="E6020" t="str">
            <v>Cano de Oro</v>
          </cell>
          <cell r="H6020" t="str">
            <v>consulta_externa</v>
          </cell>
          <cell r="J6020" t="str">
            <v>muybueno</v>
          </cell>
          <cell r="K6020" t="str">
            <v>defsi</v>
          </cell>
        </row>
        <row r="6021">
          <cell r="B6021" t="b">
            <v>1</v>
          </cell>
          <cell r="E6021" t="str">
            <v>Cano de Oro</v>
          </cell>
          <cell r="H6021" t="str">
            <v>laboratorio</v>
          </cell>
          <cell r="J6021" t="str">
            <v>muybueno</v>
          </cell>
          <cell r="K6021" t="str">
            <v>defsi</v>
          </cell>
        </row>
        <row r="6022">
          <cell r="B6022" t="b">
            <v>1</v>
          </cell>
          <cell r="E6022" t="str">
            <v>Hospital Pozon</v>
          </cell>
          <cell r="H6022" t="str">
            <v>consulta_externa</v>
          </cell>
          <cell r="J6022" t="str">
            <v>bueno</v>
          </cell>
          <cell r="K6022" t="str">
            <v>defsi</v>
          </cell>
        </row>
        <row r="6023">
          <cell r="B6023" t="b">
            <v>1</v>
          </cell>
          <cell r="E6023" t="str">
            <v>Hospital Pozon</v>
          </cell>
          <cell r="H6023" t="str">
            <v>consulta_externa</v>
          </cell>
          <cell r="J6023" t="str">
            <v>bueno</v>
          </cell>
          <cell r="K6023" t="str">
            <v>defsi</v>
          </cell>
        </row>
        <row r="6024">
          <cell r="B6024" t="b">
            <v>1</v>
          </cell>
          <cell r="E6024" t="str">
            <v>Hospital Pozon</v>
          </cell>
          <cell r="H6024" t="str">
            <v>salud_oral</v>
          </cell>
          <cell r="J6024" t="str">
            <v>bueno</v>
          </cell>
          <cell r="K6024" t="str">
            <v>defsi</v>
          </cell>
        </row>
        <row r="6025">
          <cell r="B6025" t="b">
            <v>1</v>
          </cell>
          <cell r="E6025" t="str">
            <v>Cano de Oro</v>
          </cell>
          <cell r="H6025" t="str">
            <v>consulta_externa</v>
          </cell>
          <cell r="J6025" t="str">
            <v>muybueno</v>
          </cell>
          <cell r="K6025" t="str">
            <v>defsi</v>
          </cell>
        </row>
        <row r="6026">
          <cell r="B6026" t="b">
            <v>1</v>
          </cell>
          <cell r="E6026" t="str">
            <v>Cano de Oro</v>
          </cell>
          <cell r="H6026" t="str">
            <v>salud_oral</v>
          </cell>
          <cell r="J6026" t="str">
            <v>muybueno</v>
          </cell>
          <cell r="K6026" t="str">
            <v>defsi</v>
          </cell>
        </row>
        <row r="6027">
          <cell r="B6027" t="b">
            <v>1</v>
          </cell>
          <cell r="E6027" t="str">
            <v>Cano de Oro</v>
          </cell>
          <cell r="H6027" t="str">
            <v>consulta_externa</v>
          </cell>
          <cell r="J6027" t="str">
            <v>muybueno</v>
          </cell>
          <cell r="K6027" t="str">
            <v>defsi</v>
          </cell>
        </row>
        <row r="6028">
          <cell r="B6028" t="b">
            <v>1</v>
          </cell>
          <cell r="E6028" t="str">
            <v>Hospital Pozon</v>
          </cell>
          <cell r="H6028" t="str">
            <v>rx</v>
          </cell>
          <cell r="J6028" t="str">
            <v>bueno</v>
          </cell>
          <cell r="K6028" t="str">
            <v>defsi</v>
          </cell>
        </row>
        <row r="6029">
          <cell r="B6029" t="b">
            <v>1</v>
          </cell>
          <cell r="E6029" t="str">
            <v>Cano de Oro</v>
          </cell>
          <cell r="H6029" t="str">
            <v>laboratorio</v>
          </cell>
          <cell r="J6029" t="str">
            <v>muybueno</v>
          </cell>
          <cell r="K6029" t="str">
            <v>defsi</v>
          </cell>
        </row>
        <row r="6030">
          <cell r="B6030" t="b">
            <v>1</v>
          </cell>
          <cell r="E6030" t="str">
            <v>Nelson Mandela UPA</v>
          </cell>
          <cell r="H6030" t="str">
            <v>consulta_externa</v>
          </cell>
          <cell r="J6030" t="str">
            <v>bueno</v>
          </cell>
          <cell r="K6030" t="str">
            <v>defsi</v>
          </cell>
        </row>
        <row r="6031">
          <cell r="B6031" t="b">
            <v>1</v>
          </cell>
          <cell r="E6031" t="str">
            <v>Cano de Oro</v>
          </cell>
          <cell r="H6031" t="str">
            <v>consulta_externa</v>
          </cell>
          <cell r="J6031" t="str">
            <v>muybueno</v>
          </cell>
          <cell r="K6031" t="str">
            <v>defsi</v>
          </cell>
        </row>
        <row r="6032">
          <cell r="B6032" t="b">
            <v>1</v>
          </cell>
          <cell r="E6032" t="str">
            <v>Cano de Oro</v>
          </cell>
          <cell r="H6032" t="str">
            <v>laboratorio</v>
          </cell>
          <cell r="J6032" t="str">
            <v>muybueno</v>
          </cell>
          <cell r="K6032" t="str">
            <v>defsi</v>
          </cell>
        </row>
        <row r="6033">
          <cell r="B6033" t="b">
            <v>1</v>
          </cell>
          <cell r="E6033" t="str">
            <v>Nelson Mandela UPA</v>
          </cell>
          <cell r="H6033" t="str">
            <v>salud_oral</v>
          </cell>
          <cell r="J6033" t="str">
            <v>bueno</v>
          </cell>
          <cell r="K6033" t="str">
            <v>defsi</v>
          </cell>
        </row>
        <row r="6034">
          <cell r="B6034" t="b">
            <v>1</v>
          </cell>
          <cell r="E6034" t="str">
            <v>Nelson Mandela UPA</v>
          </cell>
          <cell r="H6034" t="str">
            <v>laboratorio</v>
          </cell>
          <cell r="J6034" t="str">
            <v>bueno</v>
          </cell>
          <cell r="K6034" t="str">
            <v>defsi</v>
          </cell>
        </row>
        <row r="6035">
          <cell r="B6035" t="b">
            <v>1</v>
          </cell>
          <cell r="E6035" t="str">
            <v>Nelson Mandela UPA</v>
          </cell>
          <cell r="H6035" t="str">
            <v>urgencia</v>
          </cell>
          <cell r="J6035" t="str">
            <v>bueno</v>
          </cell>
          <cell r="K6035" t="str">
            <v>defsi</v>
          </cell>
        </row>
        <row r="6036">
          <cell r="B6036" t="b">
            <v>1</v>
          </cell>
          <cell r="E6036" t="str">
            <v>Cano de Oro</v>
          </cell>
          <cell r="H6036" t="str">
            <v>consulta_externa</v>
          </cell>
          <cell r="J6036" t="str">
            <v>muybueno</v>
          </cell>
          <cell r="K6036" t="str">
            <v>defsi</v>
          </cell>
        </row>
        <row r="6037">
          <cell r="B6037" t="b">
            <v>1</v>
          </cell>
          <cell r="E6037" t="str">
            <v>Cano de Oro</v>
          </cell>
          <cell r="H6037" t="str">
            <v>laboratorio</v>
          </cell>
          <cell r="J6037" t="str">
            <v>muybueno</v>
          </cell>
          <cell r="K6037" t="str">
            <v>defsi</v>
          </cell>
        </row>
        <row r="6038">
          <cell r="B6038" t="b">
            <v>1</v>
          </cell>
          <cell r="E6038" t="str">
            <v>Hospital Pozon</v>
          </cell>
          <cell r="H6038" t="str">
            <v>rx</v>
          </cell>
          <cell r="J6038" t="str">
            <v>bueno</v>
          </cell>
          <cell r="K6038" t="str">
            <v>defsi</v>
          </cell>
        </row>
        <row r="6039">
          <cell r="B6039" t="b">
            <v>1</v>
          </cell>
          <cell r="E6039" t="str">
            <v>Cano de Oro</v>
          </cell>
          <cell r="H6039" t="str">
            <v>consulta_externa</v>
          </cell>
          <cell r="J6039" t="str">
            <v>muybueno</v>
          </cell>
          <cell r="K6039" t="str">
            <v>defsi</v>
          </cell>
        </row>
        <row r="6040">
          <cell r="B6040" t="b">
            <v>1</v>
          </cell>
          <cell r="E6040" t="str">
            <v>Cano de Oro</v>
          </cell>
          <cell r="H6040" t="str">
            <v>laboratorio</v>
          </cell>
          <cell r="J6040" t="str">
            <v>muybueno</v>
          </cell>
          <cell r="K6040" t="str">
            <v>defsi</v>
          </cell>
        </row>
        <row r="6041">
          <cell r="B6041" t="b">
            <v>1</v>
          </cell>
          <cell r="E6041" t="str">
            <v>Fredonia</v>
          </cell>
          <cell r="H6041" t="str">
            <v>consulta_externa</v>
          </cell>
          <cell r="J6041" t="str">
            <v>bueno</v>
          </cell>
          <cell r="K6041" t="str">
            <v>defsi</v>
          </cell>
        </row>
        <row r="6042">
          <cell r="B6042" t="b">
            <v>1</v>
          </cell>
          <cell r="E6042" t="str">
            <v>Cano de Oro</v>
          </cell>
          <cell r="H6042" t="str">
            <v>salud_oral</v>
          </cell>
          <cell r="J6042" t="str">
            <v>muybueno</v>
          </cell>
          <cell r="K6042" t="str">
            <v>defsi</v>
          </cell>
        </row>
        <row r="6043">
          <cell r="B6043" t="b">
            <v>1</v>
          </cell>
          <cell r="E6043" t="str">
            <v>Fredonia</v>
          </cell>
          <cell r="H6043" t="str">
            <v>salud_oral</v>
          </cell>
          <cell r="J6043" t="str">
            <v>bueno</v>
          </cell>
          <cell r="K6043" t="str">
            <v>defsi</v>
          </cell>
        </row>
        <row r="6044">
          <cell r="B6044" t="b">
            <v>1</v>
          </cell>
          <cell r="E6044" t="str">
            <v>Fredonia</v>
          </cell>
          <cell r="H6044" t="str">
            <v>laboratorio</v>
          </cell>
          <cell r="J6044" t="str">
            <v>bueno</v>
          </cell>
          <cell r="K6044" t="str">
            <v>defsi</v>
          </cell>
        </row>
        <row r="6045">
          <cell r="B6045" t="b">
            <v>1</v>
          </cell>
          <cell r="E6045" t="str">
            <v>Cano de Oro</v>
          </cell>
          <cell r="H6045" t="str">
            <v>consulta_externa</v>
          </cell>
          <cell r="J6045" t="str">
            <v>muybueno</v>
          </cell>
          <cell r="K6045" t="str">
            <v>defsi</v>
          </cell>
        </row>
        <row r="6046">
          <cell r="B6046" t="b">
            <v>1</v>
          </cell>
          <cell r="E6046" t="str">
            <v>Cano de Oro</v>
          </cell>
          <cell r="H6046" t="str">
            <v>salud_oral</v>
          </cell>
          <cell r="J6046" t="str">
            <v>muybueno</v>
          </cell>
          <cell r="K6046" t="str">
            <v>defsi</v>
          </cell>
        </row>
        <row r="6047">
          <cell r="B6047" t="b">
            <v>1</v>
          </cell>
          <cell r="E6047" t="str">
            <v>Baru</v>
          </cell>
          <cell r="H6047" t="str">
            <v>consulta_externa</v>
          </cell>
          <cell r="J6047" t="str">
            <v>muybueno</v>
          </cell>
          <cell r="K6047" t="str">
            <v>defsi</v>
          </cell>
        </row>
        <row r="6048">
          <cell r="B6048" t="b">
            <v>1</v>
          </cell>
          <cell r="E6048" t="str">
            <v>Baru</v>
          </cell>
          <cell r="H6048" t="str">
            <v>laboratorio</v>
          </cell>
          <cell r="J6048" t="str">
            <v>muybueno</v>
          </cell>
          <cell r="K6048" t="str">
            <v>defsi</v>
          </cell>
        </row>
        <row r="6049">
          <cell r="B6049" t="b">
            <v>1</v>
          </cell>
          <cell r="E6049" t="str">
            <v>Hospital Pozon</v>
          </cell>
          <cell r="H6049" t="str">
            <v>salud_oral</v>
          </cell>
          <cell r="J6049" t="str">
            <v>bueno</v>
          </cell>
          <cell r="K6049" t="str">
            <v>defsi</v>
          </cell>
        </row>
        <row r="6050">
          <cell r="B6050" t="b">
            <v>1</v>
          </cell>
          <cell r="E6050" t="str">
            <v>Hospital Pozon</v>
          </cell>
          <cell r="H6050" t="str">
            <v>salud_oral</v>
          </cell>
          <cell r="J6050" t="str">
            <v>bueno</v>
          </cell>
          <cell r="K6050" t="str">
            <v>defsi</v>
          </cell>
        </row>
        <row r="6051">
          <cell r="B6051" t="b">
            <v>1</v>
          </cell>
          <cell r="E6051" t="str">
            <v>Hospital Pozon</v>
          </cell>
          <cell r="H6051" t="str">
            <v>pediatria</v>
          </cell>
          <cell r="J6051" t="str">
            <v>bueno</v>
          </cell>
          <cell r="K6051" t="str">
            <v>defsi</v>
          </cell>
        </row>
        <row r="6052">
          <cell r="B6052" t="b">
            <v>1</v>
          </cell>
          <cell r="E6052" t="str">
            <v>Hospital Pozon</v>
          </cell>
          <cell r="H6052" t="str">
            <v>rx</v>
          </cell>
          <cell r="J6052" t="str">
            <v>bueno</v>
          </cell>
          <cell r="K6052" t="str">
            <v>defsi</v>
          </cell>
        </row>
        <row r="6053">
          <cell r="B6053" t="b">
            <v>1</v>
          </cell>
          <cell r="E6053" t="str">
            <v>Hospital Pozon</v>
          </cell>
          <cell r="H6053" t="str">
            <v>rx</v>
          </cell>
          <cell r="J6053" t="str">
            <v>bueno</v>
          </cell>
          <cell r="K6053" t="str">
            <v>defsi</v>
          </cell>
        </row>
        <row r="6054">
          <cell r="B6054" t="b">
            <v>1</v>
          </cell>
          <cell r="E6054" t="str">
            <v>Hospital Pozon</v>
          </cell>
          <cell r="H6054" t="str">
            <v>consulta_externa</v>
          </cell>
          <cell r="J6054" t="str">
            <v>bueno</v>
          </cell>
          <cell r="K6054" t="str">
            <v>defsi</v>
          </cell>
        </row>
        <row r="6055">
          <cell r="B6055" t="b">
            <v>1</v>
          </cell>
          <cell r="E6055" t="str">
            <v>Baru</v>
          </cell>
          <cell r="H6055" t="str">
            <v>consulta_externa</v>
          </cell>
          <cell r="J6055" t="str">
            <v>muybueno</v>
          </cell>
          <cell r="K6055" t="str">
            <v>defsi</v>
          </cell>
        </row>
        <row r="6056">
          <cell r="B6056" t="b">
            <v>1</v>
          </cell>
          <cell r="E6056" t="str">
            <v>Fredonia</v>
          </cell>
          <cell r="H6056" t="str">
            <v>consulta_externa</v>
          </cell>
          <cell r="J6056" t="str">
            <v>bueno</v>
          </cell>
          <cell r="K6056" t="str">
            <v>defsi</v>
          </cell>
        </row>
        <row r="6057">
          <cell r="B6057" t="b">
            <v>1</v>
          </cell>
          <cell r="E6057" t="str">
            <v>Fredonia</v>
          </cell>
          <cell r="H6057" t="str">
            <v>salud_oral</v>
          </cell>
          <cell r="J6057" t="str">
            <v>bueno</v>
          </cell>
          <cell r="K6057" t="str">
            <v>defsi</v>
          </cell>
        </row>
        <row r="6058">
          <cell r="B6058" t="b">
            <v>1</v>
          </cell>
          <cell r="E6058" t="str">
            <v>Baru</v>
          </cell>
          <cell r="H6058" t="str">
            <v>laboratorio</v>
          </cell>
          <cell r="J6058" t="str">
            <v>muybueno</v>
          </cell>
          <cell r="K6058" t="str">
            <v>defsi</v>
          </cell>
        </row>
        <row r="6059">
          <cell r="B6059" t="b">
            <v>1</v>
          </cell>
          <cell r="E6059" t="str">
            <v>Hospital Pozon</v>
          </cell>
          <cell r="H6059" t="str">
            <v>pediatria</v>
          </cell>
          <cell r="J6059" t="str">
            <v>bueno</v>
          </cell>
          <cell r="K6059" t="str">
            <v>defsi</v>
          </cell>
        </row>
        <row r="6060">
          <cell r="B6060" t="b">
            <v>0</v>
          </cell>
          <cell r="E6060" t="str">
            <v>Hospital Pozon</v>
          </cell>
          <cell r="H6060" t="str">
            <v>urgencia</v>
          </cell>
          <cell r="J6060" t="str">
            <v>regular</v>
          </cell>
          <cell r="K6060" t="str">
            <v>probsi</v>
          </cell>
        </row>
        <row r="6061">
          <cell r="B6061" t="b">
            <v>1</v>
          </cell>
          <cell r="E6061" t="str">
            <v>Baru</v>
          </cell>
          <cell r="H6061" t="str">
            <v>consulta_externa</v>
          </cell>
          <cell r="J6061" t="str">
            <v>muybueno</v>
          </cell>
          <cell r="K6061" t="str">
            <v>defsi</v>
          </cell>
        </row>
        <row r="6062">
          <cell r="B6062" t="b">
            <v>1</v>
          </cell>
          <cell r="E6062" t="str">
            <v>Baru</v>
          </cell>
          <cell r="H6062" t="str">
            <v>salud_oral</v>
          </cell>
          <cell r="J6062" t="str">
            <v>muybueno</v>
          </cell>
          <cell r="K6062" t="str">
            <v>defsi</v>
          </cell>
        </row>
        <row r="6063">
          <cell r="B6063" t="b">
            <v>1</v>
          </cell>
          <cell r="E6063" t="str">
            <v>Fredonia</v>
          </cell>
          <cell r="H6063" t="str">
            <v>laboratorio</v>
          </cell>
          <cell r="J6063" t="str">
            <v>bueno</v>
          </cell>
          <cell r="K6063" t="str">
            <v>defsi</v>
          </cell>
        </row>
        <row r="6064">
          <cell r="B6064" t="b">
            <v>1</v>
          </cell>
          <cell r="E6064" t="str">
            <v>Fredonia</v>
          </cell>
          <cell r="H6064" t="str">
            <v>consulta_externa</v>
          </cell>
          <cell r="J6064" t="str">
            <v>bueno</v>
          </cell>
          <cell r="K6064" t="str">
            <v>defsi</v>
          </cell>
        </row>
        <row r="6065">
          <cell r="B6065" t="b">
            <v>1</v>
          </cell>
          <cell r="E6065" t="str">
            <v>Fredonia</v>
          </cell>
          <cell r="H6065" t="str">
            <v>salud_oral</v>
          </cell>
          <cell r="J6065" t="str">
            <v>bueno</v>
          </cell>
          <cell r="K6065" t="str">
            <v>defsi</v>
          </cell>
        </row>
        <row r="6066">
          <cell r="B6066" t="b">
            <v>1</v>
          </cell>
          <cell r="E6066" t="str">
            <v>Baru</v>
          </cell>
          <cell r="H6066" t="str">
            <v>consulta_externa</v>
          </cell>
          <cell r="J6066" t="str">
            <v>muybueno</v>
          </cell>
          <cell r="K6066" t="str">
            <v>defsi</v>
          </cell>
        </row>
        <row r="6067">
          <cell r="B6067" t="b">
            <v>1</v>
          </cell>
          <cell r="E6067" t="str">
            <v>Baru</v>
          </cell>
          <cell r="H6067" t="str">
            <v>laboratorio</v>
          </cell>
          <cell r="J6067" t="str">
            <v>muybueno</v>
          </cell>
          <cell r="K6067" t="str">
            <v>defsi</v>
          </cell>
        </row>
        <row r="6068">
          <cell r="B6068" t="b">
            <v>1</v>
          </cell>
          <cell r="E6068" t="str">
            <v>Fredonia</v>
          </cell>
          <cell r="H6068" t="str">
            <v>laboratorio</v>
          </cell>
          <cell r="J6068" t="str">
            <v>bueno</v>
          </cell>
          <cell r="K6068" t="str">
            <v>defsi</v>
          </cell>
        </row>
        <row r="6069">
          <cell r="B6069" t="b">
            <v>1</v>
          </cell>
          <cell r="E6069" t="str">
            <v>Baru</v>
          </cell>
          <cell r="H6069" t="str">
            <v>consulta_externa</v>
          </cell>
          <cell r="J6069" t="str">
            <v>muybueno</v>
          </cell>
          <cell r="K6069" t="str">
            <v>defsi</v>
          </cell>
        </row>
        <row r="6070">
          <cell r="B6070" t="b">
            <v>1</v>
          </cell>
          <cell r="E6070" t="str">
            <v>Hospital Pozon</v>
          </cell>
          <cell r="H6070" t="str">
            <v>rx</v>
          </cell>
          <cell r="J6070" t="str">
            <v>bueno</v>
          </cell>
          <cell r="K6070" t="str">
            <v>defsi</v>
          </cell>
        </row>
        <row r="6071">
          <cell r="B6071" t="b">
            <v>1</v>
          </cell>
          <cell r="E6071" t="str">
            <v>Fredonia</v>
          </cell>
          <cell r="H6071" t="str">
            <v>consulta_externa</v>
          </cell>
          <cell r="J6071" t="str">
            <v>bueno</v>
          </cell>
          <cell r="K6071" t="str">
            <v>defsi</v>
          </cell>
        </row>
        <row r="6072">
          <cell r="B6072" t="b">
            <v>1</v>
          </cell>
          <cell r="E6072" t="str">
            <v>Baru</v>
          </cell>
          <cell r="H6072" t="str">
            <v>consulta_externa</v>
          </cell>
          <cell r="J6072" t="str">
            <v>muybueno</v>
          </cell>
          <cell r="K6072" t="str">
            <v>defsi</v>
          </cell>
        </row>
        <row r="6073">
          <cell r="B6073" t="b">
            <v>1</v>
          </cell>
          <cell r="E6073" t="str">
            <v>Fredonia</v>
          </cell>
          <cell r="H6073" t="str">
            <v>salud_oral</v>
          </cell>
          <cell r="J6073" t="str">
            <v>bueno</v>
          </cell>
          <cell r="K6073" t="str">
            <v>defsi</v>
          </cell>
        </row>
        <row r="6074">
          <cell r="B6074" t="b">
            <v>1</v>
          </cell>
          <cell r="E6074" t="str">
            <v>Baru</v>
          </cell>
          <cell r="H6074" t="str">
            <v>laboratorio</v>
          </cell>
          <cell r="J6074" t="str">
            <v>muybueno</v>
          </cell>
          <cell r="K6074" t="str">
            <v>defsi</v>
          </cell>
        </row>
        <row r="6075">
          <cell r="B6075" t="b">
            <v>1</v>
          </cell>
          <cell r="E6075" t="str">
            <v>Fredonia</v>
          </cell>
          <cell r="H6075" t="str">
            <v>laboratorio</v>
          </cell>
          <cell r="J6075" t="str">
            <v>bueno</v>
          </cell>
          <cell r="K6075" t="str">
            <v>defsi</v>
          </cell>
        </row>
        <row r="6076">
          <cell r="B6076" t="b">
            <v>1</v>
          </cell>
          <cell r="E6076" t="str">
            <v>Baru</v>
          </cell>
          <cell r="H6076" t="str">
            <v>consulta_externa</v>
          </cell>
          <cell r="J6076" t="str">
            <v>muybueno</v>
          </cell>
          <cell r="K6076" t="str">
            <v>defsi</v>
          </cell>
        </row>
        <row r="6077">
          <cell r="B6077" t="b">
            <v>1</v>
          </cell>
          <cell r="E6077" t="str">
            <v>Baru</v>
          </cell>
          <cell r="H6077" t="str">
            <v>laboratorio</v>
          </cell>
          <cell r="J6077" t="str">
            <v>muybueno</v>
          </cell>
          <cell r="K6077" t="str">
            <v>defsi</v>
          </cell>
        </row>
        <row r="6078">
          <cell r="B6078" t="b">
            <v>1</v>
          </cell>
          <cell r="E6078" t="str">
            <v>Baru</v>
          </cell>
          <cell r="H6078" t="str">
            <v>consulta_externa</v>
          </cell>
          <cell r="J6078" t="str">
            <v>muybueno</v>
          </cell>
          <cell r="K6078" t="str">
            <v>defsi</v>
          </cell>
        </row>
        <row r="6079">
          <cell r="B6079" t="b">
            <v>1</v>
          </cell>
          <cell r="E6079" t="str">
            <v>Baru</v>
          </cell>
          <cell r="H6079" t="str">
            <v>laboratorio</v>
          </cell>
          <cell r="J6079" t="str">
            <v>muybueno</v>
          </cell>
          <cell r="K6079" t="str">
            <v>defsi</v>
          </cell>
        </row>
        <row r="6080">
          <cell r="B6080" t="b">
            <v>1</v>
          </cell>
          <cell r="E6080" t="str">
            <v>Baru</v>
          </cell>
          <cell r="H6080" t="str">
            <v>consulta_externa</v>
          </cell>
          <cell r="J6080" t="str">
            <v>muybueno</v>
          </cell>
          <cell r="K6080" t="str">
            <v>defsi</v>
          </cell>
        </row>
        <row r="6081">
          <cell r="B6081" t="b">
            <v>1</v>
          </cell>
          <cell r="E6081" t="str">
            <v>Baru</v>
          </cell>
          <cell r="H6081" t="str">
            <v>laboratorio</v>
          </cell>
          <cell r="J6081" t="str">
            <v>muybueno</v>
          </cell>
          <cell r="K6081" t="str">
            <v>defsi</v>
          </cell>
        </row>
        <row r="6082">
          <cell r="B6082" t="b">
            <v>1</v>
          </cell>
          <cell r="E6082" t="str">
            <v>Fredonia</v>
          </cell>
          <cell r="H6082" t="str">
            <v>consulta_externa</v>
          </cell>
          <cell r="J6082" t="str">
            <v>bueno</v>
          </cell>
          <cell r="K6082" t="str">
            <v>defsi</v>
          </cell>
        </row>
        <row r="6083">
          <cell r="B6083" t="b">
            <v>1</v>
          </cell>
          <cell r="E6083" t="str">
            <v>Fredonia</v>
          </cell>
          <cell r="H6083" t="str">
            <v>salud_oral</v>
          </cell>
          <cell r="J6083" t="str">
            <v>bueno</v>
          </cell>
          <cell r="K6083" t="str">
            <v>defsi</v>
          </cell>
        </row>
        <row r="6084">
          <cell r="B6084" t="b">
            <v>1</v>
          </cell>
          <cell r="E6084" t="str">
            <v>Fredonia</v>
          </cell>
          <cell r="H6084" t="str">
            <v>laboratorio</v>
          </cell>
          <cell r="J6084" t="str">
            <v>bueno</v>
          </cell>
          <cell r="K6084" t="str">
            <v>defsi</v>
          </cell>
        </row>
        <row r="6085">
          <cell r="B6085" t="b">
            <v>1</v>
          </cell>
          <cell r="E6085" t="str">
            <v>Baru</v>
          </cell>
          <cell r="H6085" t="str">
            <v>consulta_externa</v>
          </cell>
          <cell r="J6085" t="str">
            <v>muybueno</v>
          </cell>
          <cell r="K6085" t="str">
            <v>defsi</v>
          </cell>
        </row>
        <row r="6086">
          <cell r="B6086" t="b">
            <v>1</v>
          </cell>
          <cell r="E6086" t="str">
            <v>Baru</v>
          </cell>
          <cell r="H6086" t="str">
            <v>salud_oral</v>
          </cell>
          <cell r="J6086" t="str">
            <v>muybueno</v>
          </cell>
          <cell r="K6086" t="str">
            <v>defsi</v>
          </cell>
        </row>
        <row r="6087">
          <cell r="B6087" t="b">
            <v>1</v>
          </cell>
          <cell r="E6087" t="str">
            <v>Baru</v>
          </cell>
          <cell r="H6087" t="str">
            <v>consulta_externa</v>
          </cell>
          <cell r="J6087" t="str">
            <v>muybueno</v>
          </cell>
          <cell r="K6087" t="str">
            <v>defsi</v>
          </cell>
        </row>
        <row r="6088">
          <cell r="B6088" t="b">
            <v>1</v>
          </cell>
          <cell r="E6088" t="str">
            <v>Baru</v>
          </cell>
          <cell r="H6088" t="str">
            <v>consulta_externa</v>
          </cell>
          <cell r="J6088" t="str">
            <v>muybueno</v>
          </cell>
          <cell r="K6088" t="str">
            <v>defsi</v>
          </cell>
        </row>
        <row r="6089">
          <cell r="B6089" t="b">
            <v>1</v>
          </cell>
          <cell r="E6089" t="str">
            <v>Baru</v>
          </cell>
          <cell r="H6089" t="str">
            <v>laboratorio</v>
          </cell>
          <cell r="J6089" t="str">
            <v>muybueno</v>
          </cell>
          <cell r="K6089" t="str">
            <v>defsi</v>
          </cell>
        </row>
        <row r="6090">
          <cell r="B6090" t="b">
            <v>1</v>
          </cell>
          <cell r="E6090" t="str">
            <v>Fredonia</v>
          </cell>
          <cell r="H6090" t="str">
            <v>consulta_externa</v>
          </cell>
          <cell r="J6090" t="str">
            <v>bueno</v>
          </cell>
          <cell r="K6090" t="str">
            <v>defsi</v>
          </cell>
        </row>
        <row r="6091">
          <cell r="B6091" t="b">
            <v>1</v>
          </cell>
          <cell r="E6091" t="str">
            <v>Fredonia</v>
          </cell>
          <cell r="H6091" t="str">
            <v>salud_oral</v>
          </cell>
          <cell r="J6091" t="str">
            <v>bueno</v>
          </cell>
          <cell r="K6091" t="str">
            <v>defsi</v>
          </cell>
        </row>
        <row r="6092">
          <cell r="B6092" t="b">
            <v>1</v>
          </cell>
          <cell r="E6092" t="str">
            <v>Fredonia</v>
          </cell>
          <cell r="H6092" t="str">
            <v>laboratorio</v>
          </cell>
          <cell r="J6092" t="str">
            <v>bueno</v>
          </cell>
          <cell r="K6092" t="str">
            <v>defsi</v>
          </cell>
        </row>
        <row r="6093">
          <cell r="B6093" t="b">
            <v>1</v>
          </cell>
          <cell r="E6093" t="str">
            <v>Fredonia</v>
          </cell>
          <cell r="H6093" t="str">
            <v>consulta_externa</v>
          </cell>
          <cell r="J6093" t="str">
            <v>bueno</v>
          </cell>
          <cell r="K6093" t="str">
            <v>defsi</v>
          </cell>
        </row>
        <row r="6094">
          <cell r="B6094" t="b">
            <v>1</v>
          </cell>
          <cell r="E6094" t="str">
            <v>Fredonia</v>
          </cell>
          <cell r="H6094" t="str">
            <v>salud_oral</v>
          </cell>
          <cell r="J6094" t="str">
            <v>bueno</v>
          </cell>
          <cell r="K6094" t="str">
            <v>defsi</v>
          </cell>
        </row>
        <row r="6095">
          <cell r="B6095" t="b">
            <v>1</v>
          </cell>
          <cell r="E6095" t="str">
            <v>Fredonia</v>
          </cell>
          <cell r="H6095" t="str">
            <v>laboratorio</v>
          </cell>
          <cell r="J6095" t="str">
            <v>bueno</v>
          </cell>
          <cell r="K6095" t="str">
            <v>defsi</v>
          </cell>
        </row>
        <row r="6096">
          <cell r="B6096" t="b">
            <v>1</v>
          </cell>
          <cell r="E6096" t="str">
            <v>Fredonia</v>
          </cell>
          <cell r="H6096" t="str">
            <v>consulta_externa</v>
          </cell>
          <cell r="J6096" t="str">
            <v>bueno</v>
          </cell>
          <cell r="K6096" t="str">
            <v>defsi</v>
          </cell>
        </row>
        <row r="6097">
          <cell r="B6097" t="b">
            <v>1</v>
          </cell>
          <cell r="E6097" t="str">
            <v>Fredonia</v>
          </cell>
          <cell r="H6097" t="str">
            <v>salud_oral</v>
          </cell>
          <cell r="J6097" t="str">
            <v>bueno</v>
          </cell>
          <cell r="K6097" t="str">
            <v>defsi</v>
          </cell>
        </row>
        <row r="6098">
          <cell r="B6098" t="b">
            <v>1</v>
          </cell>
          <cell r="E6098" t="str">
            <v>Fredonia</v>
          </cell>
          <cell r="H6098" t="str">
            <v>laboratorio</v>
          </cell>
          <cell r="J6098" t="str">
            <v>bueno</v>
          </cell>
          <cell r="K6098" t="str">
            <v>defsi</v>
          </cell>
        </row>
        <row r="6099">
          <cell r="B6099" t="b">
            <v>1</v>
          </cell>
          <cell r="E6099" t="str">
            <v>Fredonia</v>
          </cell>
          <cell r="H6099" t="str">
            <v>consulta_externa</v>
          </cell>
          <cell r="J6099" t="str">
            <v>bueno</v>
          </cell>
          <cell r="K6099" t="str">
            <v>defsi</v>
          </cell>
        </row>
        <row r="6100">
          <cell r="B6100" t="b">
            <v>1</v>
          </cell>
          <cell r="E6100" t="str">
            <v>Fredonia</v>
          </cell>
          <cell r="H6100" t="str">
            <v>salud_oral</v>
          </cell>
          <cell r="J6100" t="str">
            <v>bueno</v>
          </cell>
          <cell r="K6100" t="str">
            <v>defsi</v>
          </cell>
        </row>
        <row r="6101">
          <cell r="B6101" t="b">
            <v>1</v>
          </cell>
          <cell r="E6101" t="str">
            <v>Fredonia</v>
          </cell>
          <cell r="H6101" t="str">
            <v>laboratorio</v>
          </cell>
          <cell r="J6101" t="str">
            <v>bueno</v>
          </cell>
          <cell r="K6101" t="str">
            <v>defsi</v>
          </cell>
        </row>
        <row r="6102">
          <cell r="B6102" t="b">
            <v>1</v>
          </cell>
          <cell r="E6102" t="str">
            <v>Fredonia</v>
          </cell>
          <cell r="H6102" t="str">
            <v>consulta_externa</v>
          </cell>
          <cell r="J6102" t="str">
            <v>bueno</v>
          </cell>
          <cell r="K6102" t="str">
            <v>defsi</v>
          </cell>
        </row>
        <row r="6103">
          <cell r="B6103" t="b">
            <v>1</v>
          </cell>
          <cell r="E6103" t="str">
            <v>Fredonia</v>
          </cell>
          <cell r="H6103" t="str">
            <v>salud_oral</v>
          </cell>
          <cell r="J6103" t="str">
            <v>bueno</v>
          </cell>
          <cell r="K6103" t="str">
            <v>defsi</v>
          </cell>
        </row>
        <row r="6104">
          <cell r="B6104" t="b">
            <v>1</v>
          </cell>
          <cell r="E6104" t="str">
            <v>Fredonia</v>
          </cell>
          <cell r="H6104" t="str">
            <v>laboratorio</v>
          </cell>
          <cell r="J6104" t="str">
            <v>bueno</v>
          </cell>
          <cell r="K6104" t="str">
            <v>defsi</v>
          </cell>
        </row>
        <row r="6105">
          <cell r="B6105" t="b">
            <v>1</v>
          </cell>
          <cell r="E6105" t="str">
            <v>Fredonia</v>
          </cell>
          <cell r="H6105" t="str">
            <v>consulta_externa</v>
          </cell>
          <cell r="J6105" t="str">
            <v>bueno</v>
          </cell>
          <cell r="K6105" t="str">
            <v>defsi</v>
          </cell>
        </row>
        <row r="6106">
          <cell r="B6106" t="b">
            <v>1</v>
          </cell>
          <cell r="E6106" t="str">
            <v>Fredonia</v>
          </cell>
          <cell r="H6106" t="str">
            <v>salud_oral</v>
          </cell>
          <cell r="J6106" t="str">
            <v>bueno</v>
          </cell>
          <cell r="K6106" t="str">
            <v>defsi</v>
          </cell>
        </row>
        <row r="6107">
          <cell r="B6107" t="b">
            <v>1</v>
          </cell>
          <cell r="E6107" t="str">
            <v>Fredonia</v>
          </cell>
          <cell r="H6107" t="str">
            <v>consulta_externa</v>
          </cell>
          <cell r="J6107" t="str">
            <v>bueno</v>
          </cell>
          <cell r="K6107" t="str">
            <v>defsi</v>
          </cell>
        </row>
        <row r="6108">
          <cell r="B6108" t="b">
            <v>1</v>
          </cell>
          <cell r="E6108" t="str">
            <v>Fredonia</v>
          </cell>
          <cell r="H6108" t="str">
            <v>salud_oral</v>
          </cell>
          <cell r="J6108" t="str">
            <v>bueno</v>
          </cell>
          <cell r="K6108" t="str">
            <v>defsi</v>
          </cell>
        </row>
        <row r="6109">
          <cell r="B6109" t="b">
            <v>1</v>
          </cell>
          <cell r="E6109" t="str">
            <v>Fredonia</v>
          </cell>
          <cell r="H6109" t="str">
            <v>laboratorio</v>
          </cell>
          <cell r="J6109" t="str">
            <v>bueno</v>
          </cell>
          <cell r="K6109" t="str">
            <v>defsi</v>
          </cell>
        </row>
        <row r="6110">
          <cell r="B6110" t="b">
            <v>1</v>
          </cell>
          <cell r="E6110" t="str">
            <v>Hospital Pozon</v>
          </cell>
          <cell r="H6110" t="str">
            <v>rx</v>
          </cell>
          <cell r="J6110" t="str">
            <v>bueno</v>
          </cell>
          <cell r="K6110" t="str">
            <v>defsi</v>
          </cell>
        </row>
        <row r="6111">
          <cell r="B6111" t="b">
            <v>1</v>
          </cell>
          <cell r="E6111" t="str">
            <v>Hospital Pozon</v>
          </cell>
          <cell r="H6111" t="str">
            <v>rx</v>
          </cell>
          <cell r="J6111" t="str">
            <v>bueno</v>
          </cell>
          <cell r="K6111" t="str">
            <v>defsi</v>
          </cell>
        </row>
        <row r="6112">
          <cell r="B6112" t="b">
            <v>1</v>
          </cell>
          <cell r="E6112" t="str">
            <v>Hospital Pozon</v>
          </cell>
          <cell r="H6112" t="str">
            <v>salud_oral</v>
          </cell>
          <cell r="J6112" t="str">
            <v>bueno</v>
          </cell>
          <cell r="K6112" t="str">
            <v>defsi</v>
          </cell>
        </row>
        <row r="6113">
          <cell r="B6113" t="b">
            <v>0</v>
          </cell>
          <cell r="E6113" t="str">
            <v>Hospital Pozon</v>
          </cell>
          <cell r="H6113" t="str">
            <v>salud_oral</v>
          </cell>
          <cell r="J6113" t="str">
            <v>regular</v>
          </cell>
          <cell r="K6113" t="str">
            <v>defsi</v>
          </cell>
        </row>
        <row r="6114">
          <cell r="B6114" t="b">
            <v>0</v>
          </cell>
          <cell r="E6114" t="str">
            <v>Hospital Pozon</v>
          </cell>
          <cell r="H6114" t="str">
            <v>salud_oral</v>
          </cell>
          <cell r="J6114" t="str">
            <v>regular</v>
          </cell>
          <cell r="K6114" t="str">
            <v>defsi</v>
          </cell>
        </row>
        <row r="6115">
          <cell r="B6115" t="b">
            <v>1</v>
          </cell>
          <cell r="E6115" t="str">
            <v>Hospital Pozon</v>
          </cell>
          <cell r="H6115" t="str">
            <v>rx</v>
          </cell>
          <cell r="J6115" t="str">
            <v>bueno</v>
          </cell>
          <cell r="K6115" t="str">
            <v>defsi</v>
          </cell>
        </row>
        <row r="6116">
          <cell r="B6116" t="b">
            <v>1</v>
          </cell>
          <cell r="E6116" t="str">
            <v>Hospital Pozon</v>
          </cell>
          <cell r="H6116" t="str">
            <v>rx</v>
          </cell>
          <cell r="J6116" t="str">
            <v>bueno</v>
          </cell>
          <cell r="K6116" t="str">
            <v>defsi</v>
          </cell>
        </row>
        <row r="6117">
          <cell r="B6117" t="b">
            <v>1</v>
          </cell>
          <cell r="E6117" t="str">
            <v>Hospital Pozon</v>
          </cell>
          <cell r="H6117" t="str">
            <v>rx</v>
          </cell>
          <cell r="J6117" t="str">
            <v>bueno</v>
          </cell>
          <cell r="K6117" t="str">
            <v>defsi</v>
          </cell>
        </row>
        <row r="6118">
          <cell r="B6118" t="b">
            <v>1</v>
          </cell>
          <cell r="E6118" t="str">
            <v>Hospital Pozon</v>
          </cell>
          <cell r="H6118" t="str">
            <v>rx</v>
          </cell>
          <cell r="J6118" t="str">
            <v>bueno</v>
          </cell>
          <cell r="K6118" t="str">
            <v>defsi</v>
          </cell>
        </row>
        <row r="6119">
          <cell r="B6119" t="b">
            <v>1</v>
          </cell>
          <cell r="E6119" t="str">
            <v>Hospital Pozon</v>
          </cell>
          <cell r="H6119" t="str">
            <v>rx</v>
          </cell>
          <cell r="J6119" t="str">
            <v>bueno</v>
          </cell>
          <cell r="K6119" t="str">
            <v>defsi</v>
          </cell>
        </row>
        <row r="6120">
          <cell r="B6120" t="b">
            <v>1</v>
          </cell>
          <cell r="E6120" t="str">
            <v>Libano</v>
          </cell>
          <cell r="H6120" t="str">
            <v>consulta_externa</v>
          </cell>
          <cell r="J6120" t="str">
            <v>bueno</v>
          </cell>
          <cell r="K6120" t="str">
            <v>probsi</v>
          </cell>
        </row>
        <row r="6121">
          <cell r="B6121" t="b">
            <v>1</v>
          </cell>
          <cell r="E6121" t="str">
            <v>Libano</v>
          </cell>
          <cell r="H6121" t="str">
            <v>consulta_externa</v>
          </cell>
          <cell r="J6121" t="str">
            <v>bueno</v>
          </cell>
          <cell r="K6121" t="str">
            <v>probsi</v>
          </cell>
        </row>
        <row r="6122">
          <cell r="B6122" t="b">
            <v>1</v>
          </cell>
          <cell r="E6122" t="str">
            <v>Libano</v>
          </cell>
          <cell r="H6122" t="str">
            <v>salud_oral</v>
          </cell>
          <cell r="J6122" t="str">
            <v>bueno</v>
          </cell>
          <cell r="K6122" t="str">
            <v>probsi</v>
          </cell>
        </row>
        <row r="6123">
          <cell r="B6123" t="b">
            <v>1</v>
          </cell>
          <cell r="E6123" t="str">
            <v>Libano</v>
          </cell>
          <cell r="H6123" t="str">
            <v>salud_oral</v>
          </cell>
          <cell r="J6123" t="str">
            <v>bueno</v>
          </cell>
          <cell r="K6123" t="str">
            <v>probsi</v>
          </cell>
        </row>
        <row r="6124">
          <cell r="B6124" t="b">
            <v>1</v>
          </cell>
          <cell r="E6124" t="str">
            <v>Libano</v>
          </cell>
          <cell r="H6124" t="str">
            <v>salud_oral</v>
          </cell>
          <cell r="J6124" t="str">
            <v>bueno</v>
          </cell>
          <cell r="K6124" t="str">
            <v>probsi</v>
          </cell>
        </row>
        <row r="6125">
          <cell r="B6125" t="b">
            <v>1</v>
          </cell>
          <cell r="E6125" t="str">
            <v>Libano</v>
          </cell>
          <cell r="H6125" t="str">
            <v>salud_oral</v>
          </cell>
          <cell r="J6125" t="str">
            <v>bueno</v>
          </cell>
          <cell r="K6125" t="str">
            <v>probsi</v>
          </cell>
        </row>
        <row r="6126">
          <cell r="B6126" t="b">
            <v>1</v>
          </cell>
          <cell r="E6126" t="str">
            <v>Libano</v>
          </cell>
          <cell r="H6126" t="str">
            <v>salud_oral</v>
          </cell>
          <cell r="J6126" t="str">
            <v>bueno</v>
          </cell>
          <cell r="K6126" t="str">
            <v>probsi</v>
          </cell>
        </row>
        <row r="6127">
          <cell r="B6127" t="b">
            <v>1</v>
          </cell>
          <cell r="E6127" t="str">
            <v>Libano</v>
          </cell>
          <cell r="H6127" t="str">
            <v>laboratorio</v>
          </cell>
          <cell r="J6127" t="str">
            <v>bueno</v>
          </cell>
          <cell r="K6127" t="str">
            <v>probsi</v>
          </cell>
        </row>
        <row r="6128">
          <cell r="B6128" t="b">
            <v>1</v>
          </cell>
          <cell r="E6128" t="str">
            <v>Libano</v>
          </cell>
          <cell r="H6128" t="str">
            <v>laboratorio</v>
          </cell>
          <cell r="J6128" t="str">
            <v>bueno</v>
          </cell>
          <cell r="K6128" t="str">
            <v>probsi</v>
          </cell>
        </row>
        <row r="6129">
          <cell r="B6129" t="b">
            <v>1</v>
          </cell>
          <cell r="E6129" t="str">
            <v>Libano</v>
          </cell>
          <cell r="H6129" t="str">
            <v>laboratorio</v>
          </cell>
          <cell r="J6129" t="str">
            <v>bueno</v>
          </cell>
          <cell r="K6129" t="str">
            <v>probsi</v>
          </cell>
        </row>
        <row r="6130">
          <cell r="B6130" t="b">
            <v>1</v>
          </cell>
          <cell r="E6130" t="str">
            <v>Pozon</v>
          </cell>
          <cell r="H6130" t="str">
            <v>rx</v>
          </cell>
          <cell r="J6130" t="str">
            <v>bueno</v>
          </cell>
          <cell r="K6130" t="str">
            <v>defsi</v>
          </cell>
        </row>
        <row r="6131">
          <cell r="B6131" t="b">
            <v>1</v>
          </cell>
          <cell r="E6131" t="str">
            <v>Libano</v>
          </cell>
          <cell r="H6131" t="str">
            <v>laboratorio</v>
          </cell>
          <cell r="J6131" t="str">
            <v>bueno</v>
          </cell>
          <cell r="K6131" t="str">
            <v>probsi</v>
          </cell>
        </row>
        <row r="6132">
          <cell r="B6132" t="b">
            <v>1</v>
          </cell>
          <cell r="E6132" t="str">
            <v>Libano</v>
          </cell>
          <cell r="H6132" t="str">
            <v>laboratorio</v>
          </cell>
          <cell r="J6132" t="str">
            <v>bueno</v>
          </cell>
          <cell r="K6132" t="str">
            <v>probsi</v>
          </cell>
        </row>
        <row r="6133">
          <cell r="B6133" t="b">
            <v>1</v>
          </cell>
          <cell r="E6133" t="str">
            <v>Libano</v>
          </cell>
          <cell r="H6133" t="str">
            <v>laboratorio</v>
          </cell>
          <cell r="J6133" t="str">
            <v>bueno</v>
          </cell>
          <cell r="K6133" t="str">
            <v>probsi</v>
          </cell>
        </row>
        <row r="6134">
          <cell r="B6134" t="b">
            <v>1</v>
          </cell>
          <cell r="E6134" t="str">
            <v>Libano</v>
          </cell>
          <cell r="H6134" t="str">
            <v>consulta_externa</v>
          </cell>
          <cell r="J6134" t="str">
            <v>bueno</v>
          </cell>
          <cell r="K6134" t="str">
            <v>probsi</v>
          </cell>
        </row>
        <row r="6135">
          <cell r="B6135" t="b">
            <v>1</v>
          </cell>
          <cell r="E6135" t="str">
            <v>Libano</v>
          </cell>
          <cell r="H6135" t="str">
            <v>consulta_externa</v>
          </cell>
          <cell r="J6135" t="str">
            <v>bueno</v>
          </cell>
          <cell r="K6135" t="str">
            <v>probsi</v>
          </cell>
        </row>
        <row r="6136">
          <cell r="B6136" t="b">
            <v>1</v>
          </cell>
          <cell r="E6136" t="str">
            <v>Libano</v>
          </cell>
          <cell r="H6136" t="str">
            <v>consulta_externa</v>
          </cell>
          <cell r="J6136" t="str">
            <v>bueno</v>
          </cell>
          <cell r="K6136" t="str">
            <v>probsi</v>
          </cell>
        </row>
        <row r="6137">
          <cell r="B6137" t="b">
            <v>1</v>
          </cell>
          <cell r="E6137" t="str">
            <v>Libano</v>
          </cell>
          <cell r="H6137" t="str">
            <v>consulta_externa</v>
          </cell>
          <cell r="J6137" t="str">
            <v>bueno</v>
          </cell>
          <cell r="K6137" t="str">
            <v>probsi</v>
          </cell>
        </row>
        <row r="6138">
          <cell r="B6138" t="b">
            <v>1</v>
          </cell>
          <cell r="E6138" t="str">
            <v>Libano</v>
          </cell>
          <cell r="H6138" t="str">
            <v>consulta_externa</v>
          </cell>
          <cell r="J6138" t="str">
            <v>bueno</v>
          </cell>
          <cell r="K6138" t="str">
            <v>probsi</v>
          </cell>
        </row>
        <row r="6139">
          <cell r="B6139" t="b">
            <v>1</v>
          </cell>
          <cell r="E6139" t="str">
            <v>Libano</v>
          </cell>
          <cell r="H6139" t="str">
            <v>salud_oral</v>
          </cell>
          <cell r="J6139" t="str">
            <v>bueno</v>
          </cell>
          <cell r="K6139" t="str">
            <v>probsi</v>
          </cell>
        </row>
        <row r="6140">
          <cell r="B6140" t="b">
            <v>1</v>
          </cell>
          <cell r="E6140" t="str">
            <v>Libano</v>
          </cell>
          <cell r="H6140" t="str">
            <v>salud_oral</v>
          </cell>
          <cell r="J6140" t="str">
            <v>bueno</v>
          </cell>
          <cell r="K6140" t="str">
            <v>probsi</v>
          </cell>
        </row>
        <row r="6141">
          <cell r="B6141" t="b">
            <v>1</v>
          </cell>
          <cell r="E6141" t="str">
            <v>Libano</v>
          </cell>
          <cell r="H6141" t="str">
            <v>salud_oral</v>
          </cell>
          <cell r="J6141" t="str">
            <v>bueno</v>
          </cell>
          <cell r="K6141" t="str">
            <v>probsi</v>
          </cell>
        </row>
        <row r="6142">
          <cell r="B6142" t="b">
            <v>1</v>
          </cell>
          <cell r="E6142" t="str">
            <v>Libano</v>
          </cell>
          <cell r="H6142" t="str">
            <v>salud_oral</v>
          </cell>
          <cell r="J6142" t="str">
            <v>bueno</v>
          </cell>
          <cell r="K6142" t="str">
            <v>probsi</v>
          </cell>
        </row>
        <row r="6143">
          <cell r="B6143" t="b">
            <v>1</v>
          </cell>
          <cell r="E6143" t="str">
            <v>Pozon</v>
          </cell>
          <cell r="H6143" t="str">
            <v>consulta_externa</v>
          </cell>
          <cell r="J6143" t="str">
            <v>bueno</v>
          </cell>
          <cell r="K6143" t="str">
            <v>defsi</v>
          </cell>
        </row>
        <row r="6144">
          <cell r="B6144" t="b">
            <v>0</v>
          </cell>
          <cell r="E6144" t="str">
            <v>Libano</v>
          </cell>
          <cell r="H6144" t="str">
            <v>laboratorio</v>
          </cell>
          <cell r="J6144" t="str">
            <v>regular</v>
          </cell>
          <cell r="K6144" t="str">
            <v>probsi</v>
          </cell>
        </row>
        <row r="6145">
          <cell r="B6145" t="b">
            <v>1</v>
          </cell>
          <cell r="E6145" t="str">
            <v>Libano</v>
          </cell>
          <cell r="H6145" t="str">
            <v>laboratorio</v>
          </cell>
          <cell r="J6145" t="str">
            <v>bueno</v>
          </cell>
          <cell r="K6145" t="str">
            <v>probsi</v>
          </cell>
        </row>
        <row r="6146">
          <cell r="B6146" t="b">
            <v>1</v>
          </cell>
          <cell r="E6146" t="str">
            <v>Libano</v>
          </cell>
          <cell r="H6146" t="str">
            <v>laboratorio</v>
          </cell>
          <cell r="J6146" t="str">
            <v>bueno</v>
          </cell>
          <cell r="K6146" t="str">
            <v>probsi</v>
          </cell>
        </row>
        <row r="6147">
          <cell r="B6147" t="b">
            <v>0</v>
          </cell>
          <cell r="E6147" t="str">
            <v>Libano</v>
          </cell>
          <cell r="H6147" t="str">
            <v>laboratorio</v>
          </cell>
          <cell r="J6147" t="str">
            <v>regular</v>
          </cell>
          <cell r="K6147" t="str">
            <v>probsi</v>
          </cell>
        </row>
        <row r="6148">
          <cell r="B6148" t="b">
            <v>0</v>
          </cell>
          <cell r="E6148" t="str">
            <v>Libano</v>
          </cell>
          <cell r="H6148" t="str">
            <v>laboratorio</v>
          </cell>
          <cell r="J6148" t="str">
            <v>regular</v>
          </cell>
          <cell r="K6148" t="str">
            <v>probsi</v>
          </cell>
        </row>
        <row r="6149">
          <cell r="B6149" t="b">
            <v>1</v>
          </cell>
          <cell r="E6149" t="str">
            <v>Pozon</v>
          </cell>
          <cell r="H6149" t="str">
            <v>consulta_externa</v>
          </cell>
          <cell r="J6149" t="str">
            <v>bueno</v>
          </cell>
          <cell r="K6149" t="str">
            <v>defsi</v>
          </cell>
        </row>
        <row r="6150">
          <cell r="B6150" t="b">
            <v>1</v>
          </cell>
          <cell r="E6150" t="str">
            <v>Pozon</v>
          </cell>
          <cell r="H6150" t="str">
            <v>laboratorio</v>
          </cell>
          <cell r="J6150" t="str">
            <v>bueno</v>
          </cell>
          <cell r="K6150" t="str">
            <v>defsi</v>
          </cell>
        </row>
        <row r="6151">
          <cell r="B6151" t="b">
            <v>1</v>
          </cell>
          <cell r="E6151" t="str">
            <v>Pozon</v>
          </cell>
          <cell r="H6151" t="str">
            <v>consulta_externa</v>
          </cell>
          <cell r="J6151" t="str">
            <v>bueno</v>
          </cell>
          <cell r="K6151" t="str">
            <v>defsi</v>
          </cell>
        </row>
        <row r="6152">
          <cell r="B6152" t="b">
            <v>1</v>
          </cell>
          <cell r="E6152" t="str">
            <v>Pozon</v>
          </cell>
          <cell r="H6152" t="str">
            <v>salud_oral</v>
          </cell>
          <cell r="J6152" t="str">
            <v>bueno</v>
          </cell>
          <cell r="K6152" t="str">
            <v>defsi</v>
          </cell>
        </row>
        <row r="6153">
          <cell r="B6153" t="b">
            <v>0</v>
          </cell>
          <cell r="E6153" t="str">
            <v>Pozon</v>
          </cell>
          <cell r="H6153" t="str">
            <v>consulta_externa</v>
          </cell>
          <cell r="J6153" t="str">
            <v>regular</v>
          </cell>
          <cell r="K6153" t="str">
            <v>probno</v>
          </cell>
        </row>
        <row r="6154">
          <cell r="B6154" t="b">
            <v>1</v>
          </cell>
          <cell r="E6154" t="str">
            <v>Libano</v>
          </cell>
          <cell r="H6154" t="str">
            <v>consulta_externa</v>
          </cell>
          <cell r="J6154" t="str">
            <v>bueno</v>
          </cell>
          <cell r="K6154" t="str">
            <v>probsi</v>
          </cell>
        </row>
        <row r="6155">
          <cell r="B6155" t="b">
            <v>0</v>
          </cell>
          <cell r="E6155" t="str">
            <v>Pozon</v>
          </cell>
          <cell r="H6155" t="str">
            <v>salud_oral</v>
          </cell>
          <cell r="J6155" t="str">
            <v>regular</v>
          </cell>
          <cell r="K6155" t="str">
            <v>probno</v>
          </cell>
        </row>
        <row r="6156">
          <cell r="B6156" t="b">
            <v>1</v>
          </cell>
          <cell r="E6156" t="str">
            <v>Libano</v>
          </cell>
          <cell r="H6156" t="str">
            <v>consulta_externa</v>
          </cell>
          <cell r="J6156" t="str">
            <v>bueno</v>
          </cell>
          <cell r="K6156" t="str">
            <v>probsi</v>
          </cell>
        </row>
        <row r="6157">
          <cell r="B6157" t="b">
            <v>1</v>
          </cell>
          <cell r="E6157" t="str">
            <v>Libano</v>
          </cell>
          <cell r="H6157" t="str">
            <v>consulta_externa</v>
          </cell>
          <cell r="J6157" t="str">
            <v>bueno</v>
          </cell>
          <cell r="K6157" t="str">
            <v>probsi</v>
          </cell>
        </row>
        <row r="6158">
          <cell r="B6158" t="b">
            <v>1</v>
          </cell>
          <cell r="E6158" t="str">
            <v>Libano</v>
          </cell>
          <cell r="H6158" t="str">
            <v>consulta_externa</v>
          </cell>
          <cell r="J6158" t="str">
            <v>bueno</v>
          </cell>
          <cell r="K6158" t="str">
            <v>probsi</v>
          </cell>
        </row>
        <row r="6159">
          <cell r="B6159" t="b">
            <v>1</v>
          </cell>
          <cell r="E6159" t="str">
            <v>Libano</v>
          </cell>
          <cell r="H6159" t="str">
            <v>salud_oral</v>
          </cell>
          <cell r="J6159" t="str">
            <v>bueno</v>
          </cell>
          <cell r="K6159" t="str">
            <v>probsi</v>
          </cell>
        </row>
        <row r="6160">
          <cell r="B6160" t="b">
            <v>1</v>
          </cell>
          <cell r="E6160" t="str">
            <v>Libano</v>
          </cell>
          <cell r="H6160" t="str">
            <v>salud_oral</v>
          </cell>
          <cell r="J6160" t="str">
            <v>bueno</v>
          </cell>
          <cell r="K6160" t="str">
            <v>probsi</v>
          </cell>
        </row>
        <row r="6161">
          <cell r="B6161" t="b">
            <v>1</v>
          </cell>
          <cell r="E6161" t="str">
            <v>Libano</v>
          </cell>
          <cell r="H6161" t="str">
            <v>salud_oral</v>
          </cell>
          <cell r="J6161" t="str">
            <v>bueno</v>
          </cell>
          <cell r="K6161" t="str">
            <v>probsi</v>
          </cell>
        </row>
        <row r="6162">
          <cell r="B6162" t="b">
            <v>1</v>
          </cell>
          <cell r="E6162" t="str">
            <v>Libano</v>
          </cell>
          <cell r="H6162" t="str">
            <v>salud_oral</v>
          </cell>
          <cell r="J6162" t="str">
            <v>bueno</v>
          </cell>
          <cell r="K6162" t="str">
            <v>probsi</v>
          </cell>
        </row>
        <row r="6163">
          <cell r="B6163" t="b">
            <v>0</v>
          </cell>
          <cell r="E6163" t="str">
            <v>Pozon</v>
          </cell>
          <cell r="H6163" t="str">
            <v>consulta_externa</v>
          </cell>
          <cell r="J6163" t="str">
            <v>regular</v>
          </cell>
          <cell r="K6163" t="str">
            <v>probno</v>
          </cell>
        </row>
        <row r="6164">
          <cell r="B6164" t="b">
            <v>1</v>
          </cell>
          <cell r="E6164" t="str">
            <v>Pozon</v>
          </cell>
          <cell r="H6164" t="str">
            <v>salud_oral</v>
          </cell>
          <cell r="J6164" t="str">
            <v>bueno</v>
          </cell>
          <cell r="K6164" t="str">
            <v>defsi</v>
          </cell>
        </row>
        <row r="6165">
          <cell r="B6165" t="b">
            <v>1</v>
          </cell>
          <cell r="E6165" t="str">
            <v>Fredonia</v>
          </cell>
          <cell r="H6165" t="str">
            <v>consulta_externa</v>
          </cell>
          <cell r="J6165" t="str">
            <v>bueno</v>
          </cell>
          <cell r="K6165" t="str">
            <v>defsi</v>
          </cell>
        </row>
        <row r="6166">
          <cell r="B6166" t="b">
            <v>1</v>
          </cell>
          <cell r="E6166" t="str">
            <v>Fredonia</v>
          </cell>
          <cell r="H6166" t="str">
            <v>salud_oral</v>
          </cell>
          <cell r="J6166" t="str">
            <v>bueno</v>
          </cell>
          <cell r="K6166" t="str">
            <v>defsi</v>
          </cell>
        </row>
        <row r="6167">
          <cell r="B6167" t="b">
            <v>1</v>
          </cell>
          <cell r="E6167" t="str">
            <v>Fredonia</v>
          </cell>
          <cell r="H6167" t="str">
            <v>laboratorio</v>
          </cell>
          <cell r="J6167" t="str">
            <v>bueno</v>
          </cell>
          <cell r="K6167" t="str">
            <v>defsi</v>
          </cell>
        </row>
        <row r="6168">
          <cell r="B6168" t="b">
            <v>1</v>
          </cell>
          <cell r="E6168" t="str">
            <v>Pozon</v>
          </cell>
          <cell r="H6168" t="str">
            <v>salud_oral</v>
          </cell>
          <cell r="J6168" t="str">
            <v>bueno</v>
          </cell>
          <cell r="K6168" t="str">
            <v>defsi</v>
          </cell>
        </row>
        <row r="6169">
          <cell r="B6169" t="b">
            <v>1</v>
          </cell>
          <cell r="E6169" t="str">
            <v>Pozon</v>
          </cell>
          <cell r="H6169" t="str">
            <v>salud_oral</v>
          </cell>
          <cell r="J6169" t="str">
            <v>bueno</v>
          </cell>
          <cell r="K6169" t="str">
            <v>defsi</v>
          </cell>
        </row>
        <row r="6170">
          <cell r="B6170" t="b">
            <v>1</v>
          </cell>
          <cell r="E6170" t="str">
            <v>Pozon</v>
          </cell>
          <cell r="H6170" t="str">
            <v>salud_oral</v>
          </cell>
          <cell r="J6170" t="str">
            <v>muybueno</v>
          </cell>
          <cell r="K6170" t="str">
            <v>defsi</v>
          </cell>
        </row>
        <row r="6171">
          <cell r="B6171" t="b">
            <v>1</v>
          </cell>
          <cell r="E6171" t="str">
            <v>Pozon</v>
          </cell>
          <cell r="H6171" t="str">
            <v>salud_oral</v>
          </cell>
          <cell r="J6171" t="str">
            <v>bueno</v>
          </cell>
          <cell r="K6171" t="str">
            <v>defsi</v>
          </cell>
        </row>
        <row r="6172">
          <cell r="B6172" t="b">
            <v>1</v>
          </cell>
          <cell r="E6172" t="str">
            <v>Pozon</v>
          </cell>
          <cell r="H6172" t="str">
            <v>salud_oral</v>
          </cell>
          <cell r="J6172" t="str">
            <v>bueno</v>
          </cell>
          <cell r="K6172" t="str">
            <v>defsi</v>
          </cell>
        </row>
        <row r="6173">
          <cell r="B6173" t="b">
            <v>1</v>
          </cell>
          <cell r="E6173" t="str">
            <v>Pozon</v>
          </cell>
          <cell r="H6173" t="str">
            <v>salud_oral</v>
          </cell>
          <cell r="J6173" t="str">
            <v>bueno</v>
          </cell>
          <cell r="K6173" t="str">
            <v>defsi</v>
          </cell>
        </row>
        <row r="6174">
          <cell r="B6174" t="b">
            <v>1</v>
          </cell>
          <cell r="E6174" t="str">
            <v>Pozon</v>
          </cell>
          <cell r="H6174" t="str">
            <v>consulta_externa</v>
          </cell>
          <cell r="J6174" t="str">
            <v>bueno</v>
          </cell>
          <cell r="K6174" t="str">
            <v>defsi</v>
          </cell>
        </row>
        <row r="6175">
          <cell r="B6175" t="b">
            <v>1</v>
          </cell>
          <cell r="E6175" t="str">
            <v>Pozon</v>
          </cell>
          <cell r="H6175" t="str">
            <v>laboratorio</v>
          </cell>
          <cell r="J6175" t="str">
            <v>bueno</v>
          </cell>
          <cell r="K6175" t="str">
            <v>defsi</v>
          </cell>
        </row>
        <row r="6176">
          <cell r="B6176" t="b">
            <v>1</v>
          </cell>
          <cell r="E6176" t="str">
            <v>Pozon</v>
          </cell>
          <cell r="H6176" t="str">
            <v>laboratorio</v>
          </cell>
          <cell r="J6176" t="str">
            <v>bueno</v>
          </cell>
          <cell r="K6176" t="str">
            <v>defsi</v>
          </cell>
        </row>
        <row r="6177">
          <cell r="B6177" t="b">
            <v>1</v>
          </cell>
          <cell r="E6177" t="str">
            <v>Pozon</v>
          </cell>
          <cell r="H6177" t="str">
            <v>laboratorio</v>
          </cell>
          <cell r="J6177" t="str">
            <v>bueno</v>
          </cell>
          <cell r="K6177" t="str">
            <v>defsi</v>
          </cell>
        </row>
        <row r="6178">
          <cell r="B6178" t="b">
            <v>1</v>
          </cell>
          <cell r="E6178" t="str">
            <v>Pozon</v>
          </cell>
          <cell r="H6178" t="str">
            <v>laboratorio</v>
          </cell>
          <cell r="J6178" t="str">
            <v>bueno</v>
          </cell>
          <cell r="K6178" t="str">
            <v>defsi</v>
          </cell>
        </row>
        <row r="6179">
          <cell r="B6179" t="b">
            <v>1</v>
          </cell>
          <cell r="E6179" t="str">
            <v>Pozon</v>
          </cell>
          <cell r="H6179" t="str">
            <v>laboratorio</v>
          </cell>
          <cell r="J6179" t="str">
            <v>bueno</v>
          </cell>
          <cell r="K6179" t="str">
            <v>defsi</v>
          </cell>
        </row>
        <row r="6180">
          <cell r="B6180" t="b">
            <v>1</v>
          </cell>
          <cell r="E6180" t="str">
            <v>Pozon</v>
          </cell>
          <cell r="H6180" t="str">
            <v>laboratorio</v>
          </cell>
          <cell r="J6180" t="str">
            <v>bueno</v>
          </cell>
          <cell r="K6180" t="str">
            <v>defsi</v>
          </cell>
        </row>
        <row r="6181">
          <cell r="B6181" t="b">
            <v>1</v>
          </cell>
          <cell r="E6181" t="str">
            <v>Pozon</v>
          </cell>
          <cell r="H6181" t="str">
            <v>consulta_externa</v>
          </cell>
          <cell r="J6181" t="str">
            <v>bueno</v>
          </cell>
          <cell r="K6181" t="str">
            <v>defsi</v>
          </cell>
        </row>
        <row r="6182">
          <cell r="B6182" t="b">
            <v>1</v>
          </cell>
          <cell r="E6182" t="str">
            <v>Pozon</v>
          </cell>
          <cell r="H6182" t="str">
            <v>salud_oral</v>
          </cell>
          <cell r="J6182" t="str">
            <v>bueno</v>
          </cell>
          <cell r="K6182" t="str">
            <v>defsi</v>
          </cell>
        </row>
        <row r="6183">
          <cell r="B6183" t="b">
            <v>1</v>
          </cell>
          <cell r="E6183" t="str">
            <v>Pozon</v>
          </cell>
          <cell r="H6183" t="str">
            <v>salud_oral</v>
          </cell>
          <cell r="J6183" t="str">
            <v>bueno</v>
          </cell>
          <cell r="K6183" t="str">
            <v>defsi</v>
          </cell>
        </row>
        <row r="6184">
          <cell r="B6184" t="b">
            <v>0</v>
          </cell>
          <cell r="E6184" t="str">
            <v>Pozon</v>
          </cell>
          <cell r="H6184" t="str">
            <v>laboratorio</v>
          </cell>
          <cell r="J6184" t="str">
            <v>regular</v>
          </cell>
          <cell r="K6184" t="str">
            <v>defsi</v>
          </cell>
        </row>
        <row r="6185">
          <cell r="B6185" t="b">
            <v>1</v>
          </cell>
          <cell r="E6185" t="str">
            <v>Pozon</v>
          </cell>
          <cell r="H6185" t="str">
            <v>consulta_externa</v>
          </cell>
          <cell r="J6185" t="str">
            <v>bueno</v>
          </cell>
          <cell r="K6185" t="str">
            <v>defsi</v>
          </cell>
        </row>
        <row r="6186">
          <cell r="B6186" t="b">
            <v>1</v>
          </cell>
          <cell r="E6186" t="str">
            <v>Pozon</v>
          </cell>
          <cell r="H6186" t="str">
            <v>laboratorio</v>
          </cell>
          <cell r="J6186" t="str">
            <v>bueno</v>
          </cell>
          <cell r="K6186" t="str">
            <v>defsi</v>
          </cell>
        </row>
        <row r="6187">
          <cell r="B6187" t="b">
            <v>1</v>
          </cell>
          <cell r="E6187" t="str">
            <v>Pozon</v>
          </cell>
          <cell r="H6187" t="str">
            <v>laboratorio</v>
          </cell>
          <cell r="J6187" t="str">
            <v>bueno</v>
          </cell>
          <cell r="K6187" t="str">
            <v>defsi</v>
          </cell>
        </row>
        <row r="6188">
          <cell r="B6188" t="b">
            <v>1</v>
          </cell>
          <cell r="E6188" t="str">
            <v>Fredonia</v>
          </cell>
          <cell r="H6188" t="str">
            <v>consulta_externa</v>
          </cell>
          <cell r="J6188" t="str">
            <v>bueno</v>
          </cell>
          <cell r="K6188" t="str">
            <v>defsi</v>
          </cell>
        </row>
        <row r="6189">
          <cell r="B6189" t="b">
            <v>1</v>
          </cell>
          <cell r="E6189" t="str">
            <v>Fredonia</v>
          </cell>
          <cell r="H6189" t="str">
            <v>salud_oral</v>
          </cell>
          <cell r="J6189" t="str">
            <v>bueno</v>
          </cell>
          <cell r="K6189" t="str">
            <v>defsi</v>
          </cell>
        </row>
        <row r="6190">
          <cell r="B6190" t="b">
            <v>1</v>
          </cell>
          <cell r="E6190" t="str">
            <v>Fredonia</v>
          </cell>
          <cell r="H6190" t="str">
            <v>laboratorio</v>
          </cell>
          <cell r="J6190" t="str">
            <v>bueno</v>
          </cell>
          <cell r="K6190" t="str">
            <v>defsi</v>
          </cell>
        </row>
        <row r="6191">
          <cell r="B6191" t="b">
            <v>1</v>
          </cell>
          <cell r="E6191" t="str">
            <v>Fredonia</v>
          </cell>
          <cell r="H6191" t="str">
            <v>consulta_externa</v>
          </cell>
          <cell r="J6191" t="str">
            <v>bueno</v>
          </cell>
          <cell r="K6191" t="str">
            <v>defsi</v>
          </cell>
        </row>
        <row r="6192">
          <cell r="B6192" t="b">
            <v>1</v>
          </cell>
          <cell r="E6192" t="str">
            <v>Fredonia</v>
          </cell>
          <cell r="H6192" t="str">
            <v>salud_oral</v>
          </cell>
          <cell r="J6192" t="str">
            <v>bueno</v>
          </cell>
          <cell r="K6192" t="str">
            <v>defsi</v>
          </cell>
        </row>
        <row r="6193">
          <cell r="B6193" t="b">
            <v>1</v>
          </cell>
          <cell r="E6193" t="str">
            <v>Fredonia</v>
          </cell>
          <cell r="H6193" t="str">
            <v>laboratorio</v>
          </cell>
          <cell r="J6193" t="str">
            <v>bueno</v>
          </cell>
          <cell r="K6193" t="str">
            <v>defsi</v>
          </cell>
        </row>
        <row r="6194">
          <cell r="B6194" t="b">
            <v>1</v>
          </cell>
          <cell r="E6194" t="str">
            <v>Pozon</v>
          </cell>
          <cell r="H6194" t="str">
            <v>consulta_externa</v>
          </cell>
          <cell r="J6194" t="str">
            <v>bueno</v>
          </cell>
          <cell r="K6194" t="str">
            <v>probsi</v>
          </cell>
        </row>
        <row r="6195">
          <cell r="B6195" t="b">
            <v>1</v>
          </cell>
          <cell r="E6195" t="str">
            <v>Pozon</v>
          </cell>
          <cell r="H6195" t="str">
            <v>consulta_externa</v>
          </cell>
          <cell r="J6195" t="str">
            <v>bueno</v>
          </cell>
          <cell r="K6195" t="str">
            <v>defsi</v>
          </cell>
        </row>
        <row r="6196">
          <cell r="B6196" t="b">
            <v>1</v>
          </cell>
          <cell r="E6196" t="str">
            <v>Pozon</v>
          </cell>
          <cell r="H6196" t="str">
            <v>consulta_externa</v>
          </cell>
          <cell r="J6196" t="str">
            <v>bueno</v>
          </cell>
          <cell r="K6196" t="str">
            <v>defsi</v>
          </cell>
        </row>
        <row r="6197">
          <cell r="B6197" t="b">
            <v>1</v>
          </cell>
          <cell r="E6197" t="str">
            <v>Pozon</v>
          </cell>
          <cell r="H6197" t="str">
            <v>laboratorio</v>
          </cell>
          <cell r="J6197" t="str">
            <v>bueno</v>
          </cell>
          <cell r="K6197" t="str">
            <v>defsi</v>
          </cell>
        </row>
        <row r="6198">
          <cell r="B6198" t="b">
            <v>1</v>
          </cell>
          <cell r="E6198" t="str">
            <v>Pozon</v>
          </cell>
          <cell r="H6198" t="str">
            <v>laboratorio</v>
          </cell>
          <cell r="J6198" t="str">
            <v>bueno</v>
          </cell>
          <cell r="K6198" t="str">
            <v>defsi</v>
          </cell>
        </row>
        <row r="6199">
          <cell r="B6199" t="b">
            <v>1</v>
          </cell>
          <cell r="E6199" t="str">
            <v>Fredonia</v>
          </cell>
          <cell r="H6199" t="str">
            <v>consulta_externa</v>
          </cell>
          <cell r="J6199" t="str">
            <v>bueno</v>
          </cell>
          <cell r="K6199" t="str">
            <v>defsi</v>
          </cell>
        </row>
        <row r="6200">
          <cell r="B6200" t="b">
            <v>0</v>
          </cell>
          <cell r="E6200" t="str">
            <v>Pozon</v>
          </cell>
          <cell r="H6200" t="str">
            <v>laboratorio</v>
          </cell>
          <cell r="J6200" t="str">
            <v>regular</v>
          </cell>
          <cell r="K6200" t="str">
            <v>defsi</v>
          </cell>
        </row>
        <row r="6201">
          <cell r="B6201" t="b">
            <v>1</v>
          </cell>
          <cell r="E6201" t="str">
            <v>Pozon</v>
          </cell>
          <cell r="H6201" t="str">
            <v>laboratorio</v>
          </cell>
          <cell r="J6201" t="str">
            <v>bueno</v>
          </cell>
          <cell r="K6201" t="str">
            <v>defsi</v>
          </cell>
        </row>
        <row r="6202">
          <cell r="B6202" t="b">
            <v>1</v>
          </cell>
          <cell r="E6202" t="str">
            <v>Fredonia</v>
          </cell>
          <cell r="H6202" t="str">
            <v>salud_oral</v>
          </cell>
          <cell r="J6202" t="str">
            <v>bueno</v>
          </cell>
          <cell r="K6202" t="str">
            <v>defsi</v>
          </cell>
        </row>
        <row r="6203">
          <cell r="B6203" t="b">
            <v>1</v>
          </cell>
          <cell r="E6203" t="str">
            <v>Fredonia</v>
          </cell>
          <cell r="H6203" t="str">
            <v>laboratorio</v>
          </cell>
          <cell r="J6203" t="str">
            <v>bueno</v>
          </cell>
          <cell r="K6203" t="str">
            <v>defsi</v>
          </cell>
        </row>
        <row r="6204">
          <cell r="B6204" t="b">
            <v>1</v>
          </cell>
          <cell r="E6204" t="str">
            <v>Pozon</v>
          </cell>
          <cell r="H6204" t="str">
            <v>consulta_externa</v>
          </cell>
          <cell r="J6204" t="str">
            <v>bueno</v>
          </cell>
          <cell r="K6204" t="str">
            <v>defsi</v>
          </cell>
        </row>
        <row r="6205">
          <cell r="B6205" t="b">
            <v>1</v>
          </cell>
          <cell r="E6205" t="str">
            <v>Pozon</v>
          </cell>
          <cell r="H6205" t="str">
            <v>salud_oral</v>
          </cell>
          <cell r="J6205" t="str">
            <v>bueno</v>
          </cell>
          <cell r="K6205" t="str">
            <v>defsi</v>
          </cell>
        </row>
        <row r="6206">
          <cell r="B6206" t="b">
            <v>1</v>
          </cell>
          <cell r="E6206" t="str">
            <v>Pozon</v>
          </cell>
          <cell r="H6206" t="str">
            <v>salud_oral</v>
          </cell>
          <cell r="J6206" t="str">
            <v>bueno</v>
          </cell>
          <cell r="K6206" t="str">
            <v>defsi</v>
          </cell>
        </row>
        <row r="6207">
          <cell r="B6207" t="b">
            <v>0</v>
          </cell>
          <cell r="E6207" t="str">
            <v>Pozon</v>
          </cell>
          <cell r="H6207" t="str">
            <v>laboratorio</v>
          </cell>
          <cell r="J6207" t="str">
            <v>regular</v>
          </cell>
          <cell r="K6207" t="str">
            <v>defsi</v>
          </cell>
        </row>
        <row r="6208">
          <cell r="B6208" t="b">
            <v>1</v>
          </cell>
          <cell r="E6208" t="str">
            <v>Pozon</v>
          </cell>
          <cell r="H6208" t="str">
            <v>laboratorio</v>
          </cell>
          <cell r="J6208" t="str">
            <v>bueno</v>
          </cell>
          <cell r="K6208" t="str">
            <v>defsi</v>
          </cell>
        </row>
        <row r="6209">
          <cell r="B6209" t="b">
            <v>1</v>
          </cell>
          <cell r="E6209" t="str">
            <v>Pozon</v>
          </cell>
          <cell r="H6209" t="str">
            <v>laboratorio</v>
          </cell>
          <cell r="J6209" t="str">
            <v>bueno</v>
          </cell>
          <cell r="K6209" t="str">
            <v>defsi</v>
          </cell>
        </row>
        <row r="6210">
          <cell r="B6210" t="b">
            <v>1</v>
          </cell>
          <cell r="E6210" t="str">
            <v>Fredonia</v>
          </cell>
          <cell r="H6210" t="str">
            <v>consulta_externa</v>
          </cell>
          <cell r="J6210" t="str">
            <v>bueno</v>
          </cell>
          <cell r="K6210" t="str">
            <v>defsi</v>
          </cell>
        </row>
        <row r="6211">
          <cell r="B6211" t="b">
            <v>1</v>
          </cell>
          <cell r="E6211" t="str">
            <v>Fredonia</v>
          </cell>
          <cell r="H6211" t="str">
            <v>salud_oral</v>
          </cell>
          <cell r="J6211" t="str">
            <v>bueno</v>
          </cell>
          <cell r="K6211" t="str">
            <v>defsi</v>
          </cell>
        </row>
        <row r="6212">
          <cell r="B6212" t="b">
            <v>1</v>
          </cell>
          <cell r="E6212" t="str">
            <v>Fredonia</v>
          </cell>
          <cell r="H6212" t="str">
            <v>salud_oral</v>
          </cell>
          <cell r="J6212" t="str">
            <v>bueno</v>
          </cell>
          <cell r="K6212" t="str">
            <v>defsi</v>
          </cell>
        </row>
        <row r="6213">
          <cell r="B6213" t="b">
            <v>1</v>
          </cell>
          <cell r="E6213" t="str">
            <v>Fredonia</v>
          </cell>
          <cell r="H6213" t="str">
            <v>consulta_externa</v>
          </cell>
          <cell r="J6213" t="str">
            <v>bueno</v>
          </cell>
          <cell r="K6213" t="str">
            <v>defsi</v>
          </cell>
        </row>
        <row r="6214">
          <cell r="B6214" t="b">
            <v>1</v>
          </cell>
          <cell r="E6214" t="str">
            <v>Pozon</v>
          </cell>
          <cell r="H6214" t="str">
            <v>consulta_externa</v>
          </cell>
          <cell r="J6214" t="str">
            <v>bueno</v>
          </cell>
          <cell r="K6214" t="str">
            <v>defsi</v>
          </cell>
        </row>
        <row r="6215">
          <cell r="B6215" t="b">
            <v>1</v>
          </cell>
          <cell r="E6215" t="str">
            <v>Pozon</v>
          </cell>
          <cell r="H6215" t="str">
            <v>consulta_externa</v>
          </cell>
          <cell r="J6215" t="str">
            <v>bueno</v>
          </cell>
          <cell r="K6215" t="str">
            <v>defsi</v>
          </cell>
        </row>
        <row r="6216">
          <cell r="B6216" t="b">
            <v>1</v>
          </cell>
          <cell r="E6216" t="str">
            <v>Pozon</v>
          </cell>
          <cell r="H6216" t="str">
            <v>laboratorio</v>
          </cell>
          <cell r="J6216" t="str">
            <v>bueno</v>
          </cell>
          <cell r="K6216" t="str">
            <v>defsi</v>
          </cell>
        </row>
        <row r="6217">
          <cell r="B6217" t="b">
            <v>1</v>
          </cell>
          <cell r="E6217" t="str">
            <v>Pozon</v>
          </cell>
          <cell r="H6217" t="str">
            <v>laboratorio</v>
          </cell>
          <cell r="J6217" t="str">
            <v>bueno</v>
          </cell>
          <cell r="K6217" t="str">
            <v>defsi</v>
          </cell>
        </row>
        <row r="6218">
          <cell r="B6218" t="b">
            <v>0</v>
          </cell>
          <cell r="E6218" t="str">
            <v>Pozon</v>
          </cell>
          <cell r="H6218" t="str">
            <v>laboratorio</v>
          </cell>
          <cell r="J6218" t="str">
            <v>regular</v>
          </cell>
          <cell r="K6218" t="str">
            <v>defsi</v>
          </cell>
        </row>
        <row r="6219">
          <cell r="B6219" t="b">
            <v>1</v>
          </cell>
          <cell r="E6219" t="str">
            <v>Fredonia</v>
          </cell>
          <cell r="H6219" t="str">
            <v>salud_oral</v>
          </cell>
          <cell r="J6219" t="str">
            <v>bueno</v>
          </cell>
          <cell r="K6219" t="str">
            <v>defsi</v>
          </cell>
        </row>
        <row r="6220">
          <cell r="B6220" t="b">
            <v>1</v>
          </cell>
          <cell r="E6220" t="str">
            <v>Pozon</v>
          </cell>
          <cell r="H6220" t="str">
            <v>laboratorio</v>
          </cell>
          <cell r="J6220" t="str">
            <v>bueno</v>
          </cell>
          <cell r="K6220" t="str">
            <v>defsi</v>
          </cell>
        </row>
        <row r="6221">
          <cell r="B6221" t="b">
            <v>1</v>
          </cell>
          <cell r="E6221" t="str">
            <v>Fredonia</v>
          </cell>
          <cell r="H6221" t="str">
            <v>laboratorio</v>
          </cell>
          <cell r="J6221" t="str">
            <v>bueno</v>
          </cell>
          <cell r="K6221" t="str">
            <v>defsi</v>
          </cell>
        </row>
        <row r="6222">
          <cell r="B6222" t="b">
            <v>1</v>
          </cell>
          <cell r="E6222" t="str">
            <v>Pozon</v>
          </cell>
          <cell r="H6222" t="str">
            <v>laboratorio</v>
          </cell>
          <cell r="J6222" t="str">
            <v>bueno</v>
          </cell>
          <cell r="K6222" t="str">
            <v>probsi</v>
          </cell>
        </row>
        <row r="6223">
          <cell r="B6223" t="b">
            <v>1</v>
          </cell>
          <cell r="E6223" t="str">
            <v>Pozon</v>
          </cell>
          <cell r="H6223" t="str">
            <v>laboratorio</v>
          </cell>
          <cell r="J6223" t="str">
            <v>bueno</v>
          </cell>
          <cell r="K6223" t="str">
            <v>defsi</v>
          </cell>
        </row>
        <row r="6224">
          <cell r="B6224" t="b">
            <v>1</v>
          </cell>
          <cell r="E6224" t="str">
            <v>Fredonia</v>
          </cell>
          <cell r="H6224" t="str">
            <v>consulta_externa</v>
          </cell>
          <cell r="J6224" t="str">
            <v>bueno</v>
          </cell>
          <cell r="K6224" t="str">
            <v>defsi</v>
          </cell>
        </row>
        <row r="6225">
          <cell r="B6225" t="b">
            <v>1</v>
          </cell>
          <cell r="E6225" t="str">
            <v>Fredonia</v>
          </cell>
          <cell r="H6225" t="str">
            <v>salud_oral</v>
          </cell>
          <cell r="J6225" t="str">
            <v>bueno</v>
          </cell>
          <cell r="K6225" t="str">
            <v>defsi</v>
          </cell>
        </row>
        <row r="6226">
          <cell r="B6226" t="b">
            <v>1</v>
          </cell>
          <cell r="E6226" t="str">
            <v>Fredonia</v>
          </cell>
          <cell r="H6226" t="str">
            <v>laboratorio</v>
          </cell>
          <cell r="J6226" t="str">
            <v>bueno</v>
          </cell>
          <cell r="K6226" t="str">
            <v>defsi</v>
          </cell>
        </row>
        <row r="6227">
          <cell r="B6227" t="b">
            <v>1</v>
          </cell>
          <cell r="E6227" t="str">
            <v>Hospital Pozon</v>
          </cell>
          <cell r="H6227" t="str">
            <v>consulta_externa</v>
          </cell>
          <cell r="J6227" t="str">
            <v>bueno</v>
          </cell>
          <cell r="K6227" t="str">
            <v>defsi</v>
          </cell>
        </row>
        <row r="6228">
          <cell r="B6228" t="b">
            <v>1</v>
          </cell>
          <cell r="E6228" t="str">
            <v>Fredonia</v>
          </cell>
          <cell r="H6228" t="str">
            <v>consulta_externa</v>
          </cell>
          <cell r="J6228" t="str">
            <v>bueno</v>
          </cell>
          <cell r="K6228" t="str">
            <v>defsi</v>
          </cell>
        </row>
        <row r="6229">
          <cell r="B6229" t="b">
            <v>1</v>
          </cell>
          <cell r="E6229" t="str">
            <v>Hospital Pozon</v>
          </cell>
          <cell r="H6229" t="str">
            <v>salud_oral</v>
          </cell>
          <cell r="J6229" t="str">
            <v>bueno</v>
          </cell>
          <cell r="K6229" t="str">
            <v>defsi</v>
          </cell>
        </row>
        <row r="6230">
          <cell r="B6230" t="b">
            <v>1</v>
          </cell>
          <cell r="E6230" t="str">
            <v>Hospital Pozon</v>
          </cell>
          <cell r="H6230" t="str">
            <v>salud_oral</v>
          </cell>
          <cell r="J6230" t="str">
            <v>bueno</v>
          </cell>
          <cell r="K6230" t="str">
            <v>defsi</v>
          </cell>
        </row>
        <row r="6231">
          <cell r="B6231" t="b">
            <v>1</v>
          </cell>
          <cell r="E6231" t="str">
            <v>Fredonia</v>
          </cell>
          <cell r="H6231" t="str">
            <v>salud_oral</v>
          </cell>
          <cell r="J6231" t="str">
            <v>bueno</v>
          </cell>
          <cell r="K6231" t="str">
            <v>defsi</v>
          </cell>
        </row>
        <row r="6232">
          <cell r="B6232" t="b">
            <v>1</v>
          </cell>
          <cell r="E6232" t="str">
            <v>Hospital Pozon</v>
          </cell>
          <cell r="H6232" t="str">
            <v>salud_oral</v>
          </cell>
          <cell r="J6232" t="str">
            <v>bueno</v>
          </cell>
          <cell r="K6232" t="str">
            <v>defsi</v>
          </cell>
        </row>
        <row r="6233">
          <cell r="B6233" t="b">
            <v>1</v>
          </cell>
          <cell r="E6233" t="str">
            <v>Fredonia</v>
          </cell>
          <cell r="H6233" t="str">
            <v>laboratorio</v>
          </cell>
          <cell r="J6233" t="str">
            <v>bueno</v>
          </cell>
          <cell r="K6233" t="str">
            <v>defsi</v>
          </cell>
        </row>
        <row r="6234">
          <cell r="B6234" t="b">
            <v>1</v>
          </cell>
          <cell r="E6234" t="str">
            <v>Hospital Pozon</v>
          </cell>
          <cell r="H6234" t="str">
            <v>salud_oral</v>
          </cell>
          <cell r="J6234" t="str">
            <v>bueno</v>
          </cell>
          <cell r="K6234" t="str">
            <v>defsi</v>
          </cell>
        </row>
        <row r="6235">
          <cell r="B6235" t="b">
            <v>1</v>
          </cell>
          <cell r="E6235" t="str">
            <v>Hospital Pozon</v>
          </cell>
          <cell r="H6235" t="str">
            <v>salud_oral</v>
          </cell>
          <cell r="J6235" t="str">
            <v>bueno</v>
          </cell>
          <cell r="K6235" t="str">
            <v>defsi</v>
          </cell>
        </row>
        <row r="6236">
          <cell r="B6236" t="b">
            <v>1</v>
          </cell>
          <cell r="E6236" t="str">
            <v>Hospital Pozon</v>
          </cell>
          <cell r="H6236" t="str">
            <v>medicina_interna</v>
          </cell>
          <cell r="J6236" t="str">
            <v>bueno</v>
          </cell>
          <cell r="K6236" t="str">
            <v>defsi</v>
          </cell>
        </row>
        <row r="6237">
          <cell r="B6237" t="b">
            <v>1</v>
          </cell>
          <cell r="E6237" t="str">
            <v>Hospital Pozon</v>
          </cell>
          <cell r="H6237" t="str">
            <v>medicina_interna</v>
          </cell>
          <cell r="J6237" t="str">
            <v>bueno</v>
          </cell>
          <cell r="K6237" t="str">
            <v>defsi</v>
          </cell>
        </row>
        <row r="6238">
          <cell r="B6238" t="b">
            <v>1</v>
          </cell>
          <cell r="E6238" t="str">
            <v>Hospital Pozon</v>
          </cell>
          <cell r="H6238" t="str">
            <v>laboratorio</v>
          </cell>
          <cell r="J6238" t="str">
            <v>bueno</v>
          </cell>
          <cell r="K6238" t="str">
            <v>defsi</v>
          </cell>
        </row>
        <row r="6239">
          <cell r="B6239" t="b">
            <v>1</v>
          </cell>
          <cell r="E6239" t="str">
            <v>Hospital Pozon</v>
          </cell>
          <cell r="H6239" t="str">
            <v>medicina_interna</v>
          </cell>
          <cell r="J6239" t="str">
            <v>bueno</v>
          </cell>
          <cell r="K6239" t="str">
            <v>defsi</v>
          </cell>
        </row>
        <row r="6240">
          <cell r="B6240" t="b">
            <v>1</v>
          </cell>
          <cell r="E6240" t="str">
            <v>Hospital Pozon</v>
          </cell>
          <cell r="H6240" t="str">
            <v>medicina_interna</v>
          </cell>
          <cell r="J6240" t="str">
            <v>bueno</v>
          </cell>
          <cell r="K6240" t="str">
            <v>defsi</v>
          </cell>
        </row>
        <row r="6241">
          <cell r="B6241" t="b">
            <v>1</v>
          </cell>
          <cell r="E6241" t="str">
            <v>Hospital Pozon</v>
          </cell>
          <cell r="H6241" t="str">
            <v>medicina_interna</v>
          </cell>
          <cell r="J6241" t="str">
            <v>bueno</v>
          </cell>
          <cell r="K6241" t="str">
            <v>defsi</v>
          </cell>
        </row>
        <row r="6242">
          <cell r="B6242" t="b">
            <v>1</v>
          </cell>
          <cell r="E6242" t="str">
            <v>Hospital Pozon</v>
          </cell>
          <cell r="H6242" t="str">
            <v>rx</v>
          </cell>
          <cell r="J6242" t="str">
            <v>bueno</v>
          </cell>
          <cell r="K6242" t="str">
            <v>defsi</v>
          </cell>
        </row>
        <row r="6243">
          <cell r="B6243" t="b">
            <v>1</v>
          </cell>
          <cell r="E6243" t="str">
            <v>Hospital Pozon</v>
          </cell>
          <cell r="H6243" t="str">
            <v>rx</v>
          </cell>
          <cell r="J6243" t="str">
            <v>bueno</v>
          </cell>
          <cell r="K6243" t="str">
            <v>defsi</v>
          </cell>
        </row>
        <row r="6244">
          <cell r="B6244" t="b">
            <v>1</v>
          </cell>
          <cell r="E6244" t="str">
            <v>Hospital Pozon</v>
          </cell>
          <cell r="H6244" t="str">
            <v>rx</v>
          </cell>
          <cell r="J6244" t="str">
            <v>bueno</v>
          </cell>
          <cell r="K6244" t="str">
            <v>defsi</v>
          </cell>
        </row>
        <row r="6245">
          <cell r="B6245" t="b">
            <v>1</v>
          </cell>
          <cell r="E6245" t="str">
            <v>Hospital Pozon</v>
          </cell>
          <cell r="H6245" t="str">
            <v>rx</v>
          </cell>
          <cell r="J6245" t="str">
            <v>bueno</v>
          </cell>
          <cell r="K6245" t="str">
            <v>defsi</v>
          </cell>
        </row>
        <row r="6246">
          <cell r="B6246" t="b">
            <v>1</v>
          </cell>
          <cell r="E6246" t="str">
            <v>Fredonia</v>
          </cell>
          <cell r="H6246" t="str">
            <v>consulta_externa</v>
          </cell>
          <cell r="J6246" t="str">
            <v>bueno</v>
          </cell>
          <cell r="K6246" t="str">
            <v>defsi</v>
          </cell>
        </row>
        <row r="6247">
          <cell r="B6247" t="b">
            <v>1</v>
          </cell>
          <cell r="E6247" t="str">
            <v>Hospital Pozon</v>
          </cell>
          <cell r="H6247" t="str">
            <v>rx</v>
          </cell>
          <cell r="J6247" t="str">
            <v>bueno</v>
          </cell>
          <cell r="K6247" t="str">
            <v>defsi</v>
          </cell>
        </row>
        <row r="6248">
          <cell r="B6248" t="b">
            <v>1</v>
          </cell>
          <cell r="E6248" t="str">
            <v>Fredonia</v>
          </cell>
          <cell r="H6248" t="str">
            <v>salud_oral</v>
          </cell>
          <cell r="J6248" t="str">
            <v>bueno</v>
          </cell>
          <cell r="K6248" t="str">
            <v>defsi</v>
          </cell>
        </row>
        <row r="6249">
          <cell r="B6249" t="b">
            <v>1</v>
          </cell>
          <cell r="E6249" t="str">
            <v>Hospital Pozon</v>
          </cell>
          <cell r="H6249" t="str">
            <v>rx</v>
          </cell>
          <cell r="J6249" t="str">
            <v>bueno</v>
          </cell>
          <cell r="K6249" t="str">
            <v>defsi</v>
          </cell>
        </row>
        <row r="6250">
          <cell r="B6250" t="b">
            <v>1</v>
          </cell>
          <cell r="E6250" t="str">
            <v>Fredonia</v>
          </cell>
          <cell r="H6250" t="str">
            <v>laboratorio</v>
          </cell>
          <cell r="J6250" t="str">
            <v>bueno</v>
          </cell>
          <cell r="K6250" t="str">
            <v>defsi</v>
          </cell>
        </row>
        <row r="6251">
          <cell r="B6251" t="b">
            <v>1</v>
          </cell>
          <cell r="E6251" t="str">
            <v>Hospital Pozon</v>
          </cell>
          <cell r="H6251" t="str">
            <v>rx</v>
          </cell>
          <cell r="J6251" t="str">
            <v>bueno</v>
          </cell>
          <cell r="K6251" t="str">
            <v>defsi</v>
          </cell>
        </row>
        <row r="6252">
          <cell r="B6252" t="b">
            <v>1</v>
          </cell>
          <cell r="E6252" t="str">
            <v>Hospital Pozon</v>
          </cell>
          <cell r="H6252" t="str">
            <v>rx</v>
          </cell>
          <cell r="J6252" t="str">
            <v>bueno</v>
          </cell>
          <cell r="K6252" t="str">
            <v>defsi</v>
          </cell>
        </row>
        <row r="6253">
          <cell r="B6253" t="b">
            <v>1</v>
          </cell>
          <cell r="E6253" t="str">
            <v>Hospital Pozon</v>
          </cell>
          <cell r="H6253" t="str">
            <v>ginecologia</v>
          </cell>
          <cell r="J6253" t="str">
            <v>bueno</v>
          </cell>
          <cell r="K6253" t="str">
            <v>defsi</v>
          </cell>
        </row>
        <row r="6254">
          <cell r="B6254" t="b">
            <v>1</v>
          </cell>
          <cell r="E6254" t="str">
            <v>Hospital Pozon</v>
          </cell>
          <cell r="H6254" t="str">
            <v>ginecologia</v>
          </cell>
          <cell r="J6254" t="str">
            <v>bueno</v>
          </cell>
          <cell r="K6254" t="str">
            <v>defsi</v>
          </cell>
        </row>
        <row r="6255">
          <cell r="B6255" t="b">
            <v>1</v>
          </cell>
          <cell r="E6255" t="str">
            <v>Nelson Mandela UPA</v>
          </cell>
          <cell r="H6255" t="str">
            <v>consulta_externa</v>
          </cell>
          <cell r="J6255" t="str">
            <v>bueno</v>
          </cell>
          <cell r="K6255" t="str">
            <v>defsi</v>
          </cell>
        </row>
        <row r="6256">
          <cell r="B6256" t="b">
            <v>1</v>
          </cell>
          <cell r="E6256" t="str">
            <v>Nelson Mandela UPA</v>
          </cell>
          <cell r="H6256" t="str">
            <v>salud_oral</v>
          </cell>
          <cell r="J6256" t="str">
            <v>bueno</v>
          </cell>
          <cell r="K6256" t="str">
            <v>defsi</v>
          </cell>
        </row>
        <row r="6257">
          <cell r="B6257" t="b">
            <v>1</v>
          </cell>
          <cell r="E6257" t="str">
            <v>Nelson Mandela UPA</v>
          </cell>
          <cell r="H6257" t="str">
            <v>laboratorio</v>
          </cell>
          <cell r="J6257" t="str">
            <v>bueno</v>
          </cell>
          <cell r="K6257" t="str">
            <v>defsi</v>
          </cell>
        </row>
        <row r="6258">
          <cell r="B6258" t="b">
            <v>1</v>
          </cell>
          <cell r="E6258" t="str">
            <v>Nelson Mandela UPA</v>
          </cell>
          <cell r="H6258" t="str">
            <v>urgencia</v>
          </cell>
          <cell r="J6258" t="str">
            <v>bueno</v>
          </cell>
          <cell r="K6258" t="str">
            <v>defsi</v>
          </cell>
        </row>
        <row r="6259">
          <cell r="B6259" t="b">
            <v>1</v>
          </cell>
          <cell r="E6259" t="str">
            <v>Nelson Mandela UPA</v>
          </cell>
          <cell r="H6259" t="str">
            <v>consulta_externa</v>
          </cell>
          <cell r="J6259" t="str">
            <v>bueno</v>
          </cell>
          <cell r="K6259" t="str">
            <v>defsi</v>
          </cell>
        </row>
        <row r="6260">
          <cell r="B6260" t="b">
            <v>1</v>
          </cell>
          <cell r="E6260" t="str">
            <v>Nelson Mandela UPA</v>
          </cell>
          <cell r="H6260" t="str">
            <v>salud_oral</v>
          </cell>
          <cell r="J6260" t="str">
            <v>bueno</v>
          </cell>
          <cell r="K6260" t="str">
            <v>defsi</v>
          </cell>
        </row>
        <row r="6261">
          <cell r="B6261" t="b">
            <v>1</v>
          </cell>
          <cell r="E6261" t="str">
            <v>Nelson Mandela UPA</v>
          </cell>
          <cell r="H6261" t="str">
            <v>laboratorio</v>
          </cell>
          <cell r="J6261" t="str">
            <v>bueno</v>
          </cell>
          <cell r="K6261" t="str">
            <v>defsi</v>
          </cell>
        </row>
        <row r="6262">
          <cell r="B6262" t="b">
            <v>1</v>
          </cell>
          <cell r="E6262" t="str">
            <v>Nelson Mandela UPA</v>
          </cell>
          <cell r="H6262" t="str">
            <v>urgencia</v>
          </cell>
          <cell r="J6262" t="str">
            <v>bueno</v>
          </cell>
          <cell r="K6262" t="str">
            <v>defsi</v>
          </cell>
        </row>
        <row r="6263">
          <cell r="B6263" t="b">
            <v>1</v>
          </cell>
          <cell r="E6263" t="str">
            <v>Bicentenario</v>
          </cell>
          <cell r="H6263" t="str">
            <v>salud_oral</v>
          </cell>
          <cell r="J6263" t="str">
            <v>bueno</v>
          </cell>
          <cell r="K6263" t="str">
            <v>defsi</v>
          </cell>
        </row>
        <row r="6264">
          <cell r="B6264" t="b">
            <v>1</v>
          </cell>
          <cell r="E6264" t="str">
            <v>Bicentenario</v>
          </cell>
          <cell r="H6264" t="str">
            <v>salud_oral</v>
          </cell>
          <cell r="J6264" t="str">
            <v>bueno</v>
          </cell>
          <cell r="K6264" t="str">
            <v>defsi</v>
          </cell>
        </row>
        <row r="6265">
          <cell r="B6265" t="b">
            <v>1</v>
          </cell>
          <cell r="E6265" t="str">
            <v>Bicentenario</v>
          </cell>
          <cell r="H6265" t="str">
            <v>salud_oral</v>
          </cell>
          <cell r="J6265" t="str">
            <v>bueno</v>
          </cell>
          <cell r="K6265" t="str">
            <v>defsi</v>
          </cell>
        </row>
        <row r="6266">
          <cell r="B6266" t="b">
            <v>1</v>
          </cell>
          <cell r="E6266" t="str">
            <v>Bicentenario</v>
          </cell>
          <cell r="H6266" t="str">
            <v>salud_oral</v>
          </cell>
          <cell r="J6266" t="str">
            <v>bueno</v>
          </cell>
          <cell r="K6266" t="str">
            <v>defsi</v>
          </cell>
        </row>
        <row r="6267">
          <cell r="B6267" t="b">
            <v>1</v>
          </cell>
          <cell r="E6267" t="str">
            <v>Bicentenario</v>
          </cell>
          <cell r="H6267" t="str">
            <v>salud_oral</v>
          </cell>
          <cell r="J6267" t="str">
            <v>bueno</v>
          </cell>
          <cell r="K6267" t="str">
            <v>defsi</v>
          </cell>
        </row>
        <row r="6268">
          <cell r="B6268" t="b">
            <v>1</v>
          </cell>
          <cell r="E6268" t="str">
            <v>Bicentenario</v>
          </cell>
          <cell r="H6268" t="str">
            <v>urgencia</v>
          </cell>
          <cell r="J6268" t="str">
            <v>bueno</v>
          </cell>
          <cell r="K6268" t="str">
            <v>defsi</v>
          </cell>
        </row>
        <row r="6269">
          <cell r="B6269" t="b">
            <v>1</v>
          </cell>
          <cell r="E6269" t="str">
            <v>Bicentenario</v>
          </cell>
          <cell r="H6269" t="str">
            <v>urgencia</v>
          </cell>
          <cell r="J6269" t="str">
            <v>bueno</v>
          </cell>
          <cell r="K6269" t="str">
            <v>defsi</v>
          </cell>
        </row>
        <row r="6270">
          <cell r="B6270" t="b">
            <v>0</v>
          </cell>
          <cell r="E6270" t="str">
            <v>Bicentenario</v>
          </cell>
          <cell r="H6270" t="str">
            <v>urgencia</v>
          </cell>
          <cell r="J6270" t="str">
            <v>regular</v>
          </cell>
          <cell r="K6270" t="str">
            <v>probsi</v>
          </cell>
        </row>
        <row r="6271">
          <cell r="B6271" t="b">
            <v>0</v>
          </cell>
          <cell r="E6271" t="str">
            <v>Bicentenario</v>
          </cell>
          <cell r="H6271" t="str">
            <v>urgencia</v>
          </cell>
          <cell r="J6271" t="str">
            <v>regular</v>
          </cell>
          <cell r="K6271" t="str">
            <v>probsi</v>
          </cell>
        </row>
        <row r="6272">
          <cell r="B6272" t="b">
            <v>0</v>
          </cell>
          <cell r="E6272" t="str">
            <v>Bicentenario</v>
          </cell>
          <cell r="H6272" t="str">
            <v>urgencia</v>
          </cell>
          <cell r="J6272" t="str">
            <v>regular</v>
          </cell>
          <cell r="K6272" t="str">
            <v>probsi</v>
          </cell>
        </row>
        <row r="6273">
          <cell r="B6273" t="b">
            <v>1</v>
          </cell>
          <cell r="E6273" t="str">
            <v>Nelson Mandela UPA</v>
          </cell>
          <cell r="H6273" t="str">
            <v>consulta_externa</v>
          </cell>
          <cell r="J6273" t="str">
            <v>bueno</v>
          </cell>
          <cell r="K6273" t="str">
            <v>defsi</v>
          </cell>
        </row>
        <row r="6274">
          <cell r="B6274" t="b">
            <v>1</v>
          </cell>
          <cell r="E6274" t="str">
            <v>Nelson Mandela UPA</v>
          </cell>
          <cell r="H6274" t="str">
            <v>salud_oral</v>
          </cell>
          <cell r="J6274" t="str">
            <v>bueno</v>
          </cell>
          <cell r="K6274" t="str">
            <v>defsi</v>
          </cell>
        </row>
        <row r="6275">
          <cell r="B6275" t="b">
            <v>1</v>
          </cell>
          <cell r="E6275" t="str">
            <v>Nelson Mandela UPA</v>
          </cell>
          <cell r="H6275" t="str">
            <v>laboratorio</v>
          </cell>
          <cell r="J6275" t="str">
            <v>bueno</v>
          </cell>
          <cell r="K6275" t="str">
            <v>defsi</v>
          </cell>
        </row>
        <row r="6276">
          <cell r="B6276" t="b">
            <v>1</v>
          </cell>
          <cell r="E6276" t="str">
            <v>Nelson Mandela UPA</v>
          </cell>
          <cell r="H6276" t="str">
            <v>urgencia</v>
          </cell>
          <cell r="J6276" t="str">
            <v>bueno</v>
          </cell>
          <cell r="K6276" t="str">
            <v>defsi</v>
          </cell>
        </row>
        <row r="6277">
          <cell r="B6277" t="b">
            <v>1</v>
          </cell>
          <cell r="E6277" t="str">
            <v>San Vicente de Paul</v>
          </cell>
          <cell r="H6277" t="str">
            <v>consulta_externa</v>
          </cell>
          <cell r="J6277" t="str">
            <v>bueno</v>
          </cell>
          <cell r="K6277" t="str">
            <v>probsi</v>
          </cell>
        </row>
        <row r="6278">
          <cell r="B6278" t="b">
            <v>1</v>
          </cell>
          <cell r="E6278" t="str">
            <v>San Vicente de Paul</v>
          </cell>
          <cell r="H6278" t="str">
            <v>laboratorio</v>
          </cell>
          <cell r="J6278" t="str">
            <v>bueno</v>
          </cell>
          <cell r="K6278" t="str">
            <v>probsi</v>
          </cell>
        </row>
        <row r="6279">
          <cell r="B6279" t="b">
            <v>1</v>
          </cell>
          <cell r="E6279" t="str">
            <v>San Vicente de Paul</v>
          </cell>
          <cell r="H6279" t="str">
            <v>laboratorio</v>
          </cell>
          <cell r="J6279" t="str">
            <v>bueno</v>
          </cell>
          <cell r="K6279" t="str">
            <v>probsi</v>
          </cell>
        </row>
        <row r="6280">
          <cell r="B6280" t="b">
            <v>1</v>
          </cell>
          <cell r="E6280" t="str">
            <v>San Vicente de Paul</v>
          </cell>
          <cell r="H6280" t="str">
            <v>consulta_externa</v>
          </cell>
          <cell r="J6280" t="str">
            <v>bueno</v>
          </cell>
          <cell r="K6280" t="str">
            <v>probsi</v>
          </cell>
        </row>
        <row r="6281">
          <cell r="B6281" t="b">
            <v>1</v>
          </cell>
          <cell r="E6281" t="str">
            <v>San Vicente de Paul</v>
          </cell>
          <cell r="H6281" t="str">
            <v>laboratorio</v>
          </cell>
          <cell r="J6281" t="str">
            <v>bueno</v>
          </cell>
          <cell r="K6281" t="str">
            <v>probsi</v>
          </cell>
        </row>
        <row r="6282">
          <cell r="B6282" t="b">
            <v>1</v>
          </cell>
          <cell r="E6282" t="str">
            <v>San Vicente de Paul</v>
          </cell>
          <cell r="H6282" t="str">
            <v>consulta_externa</v>
          </cell>
          <cell r="J6282" t="str">
            <v>bueno</v>
          </cell>
          <cell r="K6282" t="str">
            <v>probsi</v>
          </cell>
        </row>
        <row r="6283">
          <cell r="B6283" t="b">
            <v>1</v>
          </cell>
          <cell r="E6283" t="str">
            <v>San Vicente de Paul</v>
          </cell>
          <cell r="H6283" t="str">
            <v>salud_oral</v>
          </cell>
          <cell r="J6283" t="str">
            <v>bueno</v>
          </cell>
          <cell r="K6283" t="str">
            <v>probsi</v>
          </cell>
        </row>
        <row r="6284">
          <cell r="B6284" t="b">
            <v>1</v>
          </cell>
          <cell r="E6284" t="str">
            <v>San Vicente de Paul</v>
          </cell>
          <cell r="H6284" t="str">
            <v>laboratorio</v>
          </cell>
          <cell r="J6284" t="str">
            <v>bueno</v>
          </cell>
          <cell r="K6284" t="str">
            <v>probsi</v>
          </cell>
        </row>
        <row r="6285">
          <cell r="B6285" t="b">
            <v>1</v>
          </cell>
          <cell r="E6285" t="str">
            <v>San Vicente de Paul</v>
          </cell>
          <cell r="H6285" t="str">
            <v>consulta_externa</v>
          </cell>
          <cell r="J6285" t="str">
            <v>bueno</v>
          </cell>
          <cell r="K6285" t="str">
            <v>probsi</v>
          </cell>
        </row>
        <row r="6286">
          <cell r="B6286" t="b">
            <v>1</v>
          </cell>
          <cell r="E6286" t="str">
            <v>San Vicente de Paul</v>
          </cell>
          <cell r="H6286" t="str">
            <v>laboratorio</v>
          </cell>
          <cell r="J6286" t="str">
            <v>bueno</v>
          </cell>
          <cell r="K6286" t="str">
            <v>probsi</v>
          </cell>
        </row>
        <row r="6287">
          <cell r="B6287" t="b">
            <v>0</v>
          </cell>
          <cell r="E6287" t="str">
            <v>Bicentenario</v>
          </cell>
          <cell r="H6287" t="str">
            <v>salud_oral</v>
          </cell>
          <cell r="J6287" t="str">
            <v>regular</v>
          </cell>
          <cell r="K6287" t="str">
            <v>defsi</v>
          </cell>
        </row>
        <row r="6288">
          <cell r="B6288" t="b">
            <v>0</v>
          </cell>
          <cell r="E6288" t="str">
            <v>Bicentenario</v>
          </cell>
          <cell r="H6288" t="str">
            <v>salud_oral</v>
          </cell>
          <cell r="J6288" t="str">
            <v>regular</v>
          </cell>
          <cell r="K6288" t="str">
            <v>defsi</v>
          </cell>
        </row>
        <row r="6289">
          <cell r="B6289" t="b">
            <v>1</v>
          </cell>
          <cell r="E6289" t="str">
            <v>Bicentenario</v>
          </cell>
          <cell r="H6289" t="str">
            <v>salud_oral</v>
          </cell>
          <cell r="J6289" t="str">
            <v>bueno</v>
          </cell>
          <cell r="K6289" t="str">
            <v>defsi</v>
          </cell>
        </row>
        <row r="6290">
          <cell r="B6290" t="b">
            <v>1</v>
          </cell>
          <cell r="E6290" t="str">
            <v>Bicentenario</v>
          </cell>
          <cell r="H6290" t="str">
            <v>salud_oral</v>
          </cell>
          <cell r="J6290" t="str">
            <v>bueno</v>
          </cell>
          <cell r="K6290" t="str">
            <v>probsi</v>
          </cell>
        </row>
        <row r="6291">
          <cell r="B6291" t="b">
            <v>1</v>
          </cell>
          <cell r="E6291" t="str">
            <v>Bicentenario</v>
          </cell>
          <cell r="H6291" t="str">
            <v>salud_oral</v>
          </cell>
          <cell r="J6291" t="str">
            <v>bueno</v>
          </cell>
          <cell r="K6291" t="str">
            <v>defsi</v>
          </cell>
        </row>
        <row r="6292">
          <cell r="B6292" t="b">
            <v>1</v>
          </cell>
          <cell r="E6292" t="str">
            <v>Bicentenario</v>
          </cell>
          <cell r="H6292" t="str">
            <v>consulta_externa</v>
          </cell>
          <cell r="J6292" t="str">
            <v>bueno</v>
          </cell>
          <cell r="K6292" t="str">
            <v>defsi</v>
          </cell>
        </row>
        <row r="6293">
          <cell r="B6293" t="b">
            <v>0</v>
          </cell>
          <cell r="E6293" t="str">
            <v>Bicentenario</v>
          </cell>
          <cell r="H6293" t="str">
            <v>urgencia</v>
          </cell>
          <cell r="J6293" t="str">
            <v>regular</v>
          </cell>
          <cell r="K6293" t="str">
            <v>probsi</v>
          </cell>
        </row>
        <row r="6294">
          <cell r="B6294" t="b">
            <v>0</v>
          </cell>
          <cell r="E6294" t="str">
            <v>Bicentenario</v>
          </cell>
          <cell r="H6294" t="str">
            <v>laboratorio</v>
          </cell>
          <cell r="J6294" t="str">
            <v>regular</v>
          </cell>
          <cell r="K6294" t="str">
            <v>probsi</v>
          </cell>
        </row>
        <row r="6295">
          <cell r="B6295" t="b">
            <v>1</v>
          </cell>
          <cell r="E6295" t="str">
            <v>Bicentenario</v>
          </cell>
          <cell r="H6295" t="str">
            <v>urgencia</v>
          </cell>
          <cell r="J6295" t="str">
            <v>bueno</v>
          </cell>
          <cell r="K6295" t="str">
            <v>defsi</v>
          </cell>
        </row>
        <row r="6296">
          <cell r="B6296" t="b">
            <v>0</v>
          </cell>
          <cell r="E6296" t="str">
            <v>Bicentenario</v>
          </cell>
          <cell r="H6296" t="str">
            <v>urgencia</v>
          </cell>
          <cell r="J6296" t="str">
            <v>regular</v>
          </cell>
          <cell r="K6296" t="str">
            <v>defsi</v>
          </cell>
        </row>
        <row r="6297">
          <cell r="B6297" t="b">
            <v>1</v>
          </cell>
          <cell r="E6297" t="str">
            <v>Bicentenario</v>
          </cell>
          <cell r="H6297" t="str">
            <v>urgencia</v>
          </cell>
          <cell r="J6297" t="str">
            <v>bueno</v>
          </cell>
          <cell r="K6297" t="str">
            <v>defsi</v>
          </cell>
        </row>
        <row r="6298">
          <cell r="B6298" t="b">
            <v>0</v>
          </cell>
          <cell r="E6298" t="str">
            <v>Bicentenario</v>
          </cell>
          <cell r="H6298" t="str">
            <v>urgencia</v>
          </cell>
          <cell r="J6298" t="str">
            <v>regular</v>
          </cell>
          <cell r="K6298" t="str">
            <v>defsi</v>
          </cell>
        </row>
        <row r="6299">
          <cell r="B6299" t="b">
            <v>0</v>
          </cell>
          <cell r="E6299" t="str">
            <v>Bicentenario</v>
          </cell>
          <cell r="H6299" t="str">
            <v>urgencia</v>
          </cell>
          <cell r="J6299" t="str">
            <v>regular</v>
          </cell>
          <cell r="K6299" t="str">
            <v>defsi</v>
          </cell>
        </row>
        <row r="6300">
          <cell r="B6300" t="b">
            <v>0</v>
          </cell>
          <cell r="E6300" t="str">
            <v>Bicentenario</v>
          </cell>
          <cell r="H6300" t="str">
            <v>urgencia</v>
          </cell>
          <cell r="J6300" t="str">
            <v>regular</v>
          </cell>
          <cell r="K6300" t="str">
            <v>probsi</v>
          </cell>
        </row>
        <row r="6301">
          <cell r="B6301" t="b">
            <v>0</v>
          </cell>
          <cell r="E6301" t="str">
            <v>Bicentenario</v>
          </cell>
          <cell r="H6301" t="str">
            <v>laboratorio</v>
          </cell>
          <cell r="J6301" t="str">
            <v>regular</v>
          </cell>
          <cell r="K6301" t="str">
            <v>probsi</v>
          </cell>
        </row>
        <row r="6302">
          <cell r="B6302" t="b">
            <v>1</v>
          </cell>
          <cell r="E6302" t="str">
            <v>Bicentenario</v>
          </cell>
          <cell r="H6302" t="str">
            <v>urgencia</v>
          </cell>
          <cell r="J6302" t="str">
            <v>bueno</v>
          </cell>
          <cell r="K6302" t="str">
            <v>defsi</v>
          </cell>
        </row>
        <row r="6303">
          <cell r="B6303" t="b">
            <v>1</v>
          </cell>
          <cell r="E6303" t="str">
            <v>Bicentenario</v>
          </cell>
          <cell r="H6303" t="str">
            <v>urgencia</v>
          </cell>
          <cell r="J6303" t="str">
            <v>bueno</v>
          </cell>
          <cell r="K6303" t="str">
            <v>defsi</v>
          </cell>
        </row>
        <row r="6304">
          <cell r="B6304" t="b">
            <v>1</v>
          </cell>
          <cell r="E6304" t="str">
            <v>Hospital Pozon</v>
          </cell>
          <cell r="H6304" t="str">
            <v>ginecologia</v>
          </cell>
          <cell r="J6304" t="str">
            <v>bueno</v>
          </cell>
          <cell r="K6304" t="str">
            <v>defsi</v>
          </cell>
        </row>
        <row r="6305">
          <cell r="B6305" t="b">
            <v>1</v>
          </cell>
          <cell r="E6305" t="str">
            <v>Hospital Pozon</v>
          </cell>
          <cell r="H6305" t="str">
            <v>ginecologia</v>
          </cell>
          <cell r="J6305" t="str">
            <v>bueno</v>
          </cell>
          <cell r="K6305" t="str">
            <v>defsi</v>
          </cell>
        </row>
        <row r="6306">
          <cell r="B6306" t="b">
            <v>1</v>
          </cell>
          <cell r="E6306" t="str">
            <v>Hospital Pozon</v>
          </cell>
          <cell r="H6306" t="str">
            <v>ginecologia</v>
          </cell>
          <cell r="J6306" t="str">
            <v>muybueno</v>
          </cell>
          <cell r="K6306" t="str">
            <v>defsi</v>
          </cell>
        </row>
        <row r="6307">
          <cell r="B6307" t="b">
            <v>1</v>
          </cell>
          <cell r="E6307" t="str">
            <v>Hospital Pozon</v>
          </cell>
          <cell r="H6307" t="str">
            <v>ginecologia</v>
          </cell>
          <cell r="J6307" t="str">
            <v>muybueno</v>
          </cell>
          <cell r="K6307" t="str">
            <v>defsi</v>
          </cell>
        </row>
        <row r="6308">
          <cell r="B6308" t="b">
            <v>1</v>
          </cell>
          <cell r="E6308" t="str">
            <v>Hospital Pozon</v>
          </cell>
          <cell r="H6308" t="str">
            <v>ginecologia</v>
          </cell>
          <cell r="J6308" t="str">
            <v>bueno</v>
          </cell>
          <cell r="K6308" t="str">
            <v>defsi</v>
          </cell>
        </row>
        <row r="6309">
          <cell r="B6309" t="b">
            <v>1</v>
          </cell>
          <cell r="E6309" t="str">
            <v>Hospital Pozon</v>
          </cell>
          <cell r="H6309" t="str">
            <v>ginecologia</v>
          </cell>
          <cell r="J6309" t="str">
            <v>bueno</v>
          </cell>
          <cell r="K6309" t="str">
            <v>defsi</v>
          </cell>
        </row>
        <row r="6310">
          <cell r="B6310" t="b">
            <v>1</v>
          </cell>
          <cell r="E6310" t="str">
            <v>Hospital Pozon</v>
          </cell>
          <cell r="H6310" t="str">
            <v>ginecologia</v>
          </cell>
          <cell r="J6310" t="str">
            <v>bueno</v>
          </cell>
          <cell r="K6310" t="str">
            <v>defsi</v>
          </cell>
        </row>
        <row r="6311">
          <cell r="B6311" t="b">
            <v>1</v>
          </cell>
          <cell r="E6311" t="str">
            <v>San Vicente de Paul</v>
          </cell>
          <cell r="H6311" t="str">
            <v>consulta_externa</v>
          </cell>
          <cell r="J6311" t="str">
            <v>bueno</v>
          </cell>
          <cell r="K6311" t="str">
            <v>probsi</v>
          </cell>
        </row>
        <row r="6312">
          <cell r="B6312" t="b">
            <v>1</v>
          </cell>
          <cell r="E6312" t="str">
            <v>San Vicente de Paul</v>
          </cell>
          <cell r="H6312" t="str">
            <v>salud_oral</v>
          </cell>
          <cell r="J6312" t="str">
            <v>bueno</v>
          </cell>
          <cell r="K6312" t="str">
            <v>probsi</v>
          </cell>
        </row>
        <row r="6313">
          <cell r="B6313" t="b">
            <v>1</v>
          </cell>
          <cell r="E6313" t="str">
            <v>San Vicente de Paul</v>
          </cell>
          <cell r="H6313" t="str">
            <v>salud_oral</v>
          </cell>
          <cell r="J6313" t="str">
            <v>bueno</v>
          </cell>
          <cell r="K6313" t="str">
            <v>probsi</v>
          </cell>
        </row>
        <row r="6314">
          <cell r="B6314" t="b">
            <v>1</v>
          </cell>
          <cell r="E6314" t="str">
            <v>San Vicente de Paul</v>
          </cell>
          <cell r="H6314" t="str">
            <v>consulta_externa</v>
          </cell>
          <cell r="J6314" t="str">
            <v>bueno</v>
          </cell>
          <cell r="K6314" t="str">
            <v>probsi</v>
          </cell>
        </row>
        <row r="6315">
          <cell r="B6315" t="b">
            <v>1</v>
          </cell>
          <cell r="E6315" t="str">
            <v>San Vicente de Paul</v>
          </cell>
          <cell r="H6315" t="str">
            <v>salud_oral</v>
          </cell>
          <cell r="J6315" t="str">
            <v>bueno</v>
          </cell>
          <cell r="K6315" t="str">
            <v>probsi</v>
          </cell>
        </row>
        <row r="6316">
          <cell r="B6316" t="b">
            <v>1</v>
          </cell>
          <cell r="E6316" t="str">
            <v>San Vicente de Paul</v>
          </cell>
          <cell r="H6316" t="str">
            <v>salud_oral</v>
          </cell>
          <cell r="J6316" t="str">
            <v>bueno</v>
          </cell>
          <cell r="K6316" t="str">
            <v>probsi</v>
          </cell>
        </row>
        <row r="6317">
          <cell r="B6317" t="b">
            <v>1</v>
          </cell>
          <cell r="E6317" t="str">
            <v>San Vicente de Paul</v>
          </cell>
          <cell r="H6317" t="str">
            <v>salud_oral</v>
          </cell>
          <cell r="J6317" t="str">
            <v>bueno</v>
          </cell>
          <cell r="K6317" t="str">
            <v>probsi</v>
          </cell>
        </row>
        <row r="6318">
          <cell r="B6318" t="b">
            <v>1</v>
          </cell>
          <cell r="E6318" t="str">
            <v>San Vicente de Paul</v>
          </cell>
          <cell r="H6318" t="str">
            <v>salud_oral</v>
          </cell>
          <cell r="J6318" t="str">
            <v>muybueno</v>
          </cell>
          <cell r="K6318" t="str">
            <v>probsi</v>
          </cell>
        </row>
        <row r="6319">
          <cell r="B6319" t="b">
            <v>1</v>
          </cell>
          <cell r="E6319" t="str">
            <v>San Vicente de Paul</v>
          </cell>
          <cell r="H6319" t="str">
            <v>laboratorio</v>
          </cell>
          <cell r="J6319" t="str">
            <v>bueno</v>
          </cell>
          <cell r="K6319" t="str">
            <v>probsi</v>
          </cell>
        </row>
        <row r="6320">
          <cell r="B6320" t="b">
            <v>1</v>
          </cell>
          <cell r="E6320" t="str">
            <v>Tierra Bomba</v>
          </cell>
          <cell r="H6320" t="str">
            <v>consulta_externa</v>
          </cell>
          <cell r="J6320" t="str">
            <v>muybueno</v>
          </cell>
          <cell r="K6320" t="str">
            <v>defsi</v>
          </cell>
        </row>
        <row r="6321">
          <cell r="B6321" t="b">
            <v>0</v>
          </cell>
          <cell r="E6321" t="str">
            <v>San Vicente de Paul</v>
          </cell>
          <cell r="H6321" t="str">
            <v>laboratorio</v>
          </cell>
          <cell r="J6321" t="str">
            <v>regular</v>
          </cell>
          <cell r="K6321" t="str">
            <v>probsi</v>
          </cell>
        </row>
        <row r="6322">
          <cell r="B6322" t="b">
            <v>1</v>
          </cell>
          <cell r="E6322" t="str">
            <v>San Vicente de Paul</v>
          </cell>
          <cell r="H6322" t="str">
            <v>salud_oral</v>
          </cell>
          <cell r="J6322" t="str">
            <v>bueno</v>
          </cell>
          <cell r="K6322" t="str">
            <v>probsi</v>
          </cell>
        </row>
        <row r="6323">
          <cell r="B6323" t="b">
            <v>1</v>
          </cell>
          <cell r="E6323" t="str">
            <v>Tierra Bomba</v>
          </cell>
          <cell r="H6323" t="str">
            <v>consulta_externa</v>
          </cell>
          <cell r="J6323" t="str">
            <v>muybueno</v>
          </cell>
          <cell r="K6323" t="str">
            <v>defsi</v>
          </cell>
        </row>
        <row r="6324">
          <cell r="B6324" t="b">
            <v>1</v>
          </cell>
          <cell r="E6324" t="str">
            <v>Tierra Bomba</v>
          </cell>
          <cell r="H6324" t="str">
            <v>salud_oral</v>
          </cell>
          <cell r="J6324" t="str">
            <v>muybueno</v>
          </cell>
          <cell r="K6324" t="str">
            <v>defsi</v>
          </cell>
        </row>
        <row r="6325">
          <cell r="B6325" t="b">
            <v>1</v>
          </cell>
          <cell r="E6325" t="str">
            <v>Tierra Bomba</v>
          </cell>
          <cell r="H6325" t="str">
            <v>consulta_externa</v>
          </cell>
          <cell r="J6325" t="str">
            <v>muybueno</v>
          </cell>
          <cell r="K6325" t="str">
            <v>defsi</v>
          </cell>
        </row>
        <row r="6326">
          <cell r="B6326" t="b">
            <v>1</v>
          </cell>
          <cell r="E6326" t="str">
            <v>Tierra Bomba</v>
          </cell>
          <cell r="H6326" t="str">
            <v>laboratorio</v>
          </cell>
          <cell r="J6326" t="str">
            <v>muybueno</v>
          </cell>
          <cell r="K6326" t="str">
            <v>defsi</v>
          </cell>
        </row>
        <row r="6327">
          <cell r="B6327" t="b">
            <v>1</v>
          </cell>
          <cell r="E6327" t="str">
            <v>Tierra Bomba</v>
          </cell>
          <cell r="H6327" t="str">
            <v>consulta_externa</v>
          </cell>
          <cell r="J6327" t="str">
            <v>muybueno</v>
          </cell>
          <cell r="K6327" t="str">
            <v>defsi</v>
          </cell>
        </row>
        <row r="6328">
          <cell r="B6328" t="b">
            <v>1</v>
          </cell>
          <cell r="E6328" t="str">
            <v>Tierra Bomba</v>
          </cell>
          <cell r="H6328" t="str">
            <v>salud_oral</v>
          </cell>
          <cell r="J6328" t="str">
            <v>muybueno</v>
          </cell>
          <cell r="K6328" t="str">
            <v>defsi</v>
          </cell>
        </row>
        <row r="6329">
          <cell r="B6329" t="b">
            <v>1</v>
          </cell>
          <cell r="E6329" t="str">
            <v>Tierra Bomba</v>
          </cell>
          <cell r="H6329" t="str">
            <v>consulta_externa</v>
          </cell>
          <cell r="J6329" t="str">
            <v>muybueno</v>
          </cell>
          <cell r="K6329" t="str">
            <v>defsi</v>
          </cell>
        </row>
        <row r="6330">
          <cell r="B6330" t="b">
            <v>1</v>
          </cell>
          <cell r="E6330" t="str">
            <v>Tierra Bomba</v>
          </cell>
          <cell r="H6330" t="str">
            <v>consulta_externa</v>
          </cell>
          <cell r="J6330" t="str">
            <v>muybueno</v>
          </cell>
          <cell r="K6330" t="str">
            <v>defsi</v>
          </cell>
        </row>
        <row r="6331">
          <cell r="B6331" t="b">
            <v>1</v>
          </cell>
          <cell r="E6331" t="str">
            <v>San Vicente de Paul</v>
          </cell>
          <cell r="H6331" t="str">
            <v>laboratorio</v>
          </cell>
          <cell r="J6331" t="str">
            <v>bueno</v>
          </cell>
          <cell r="K6331" t="str">
            <v>probsi</v>
          </cell>
        </row>
        <row r="6332">
          <cell r="B6332" t="b">
            <v>1</v>
          </cell>
          <cell r="E6332" t="str">
            <v>San Vicente de Paul</v>
          </cell>
          <cell r="H6332" t="str">
            <v>laboratorio</v>
          </cell>
          <cell r="J6332" t="str">
            <v>bueno</v>
          </cell>
          <cell r="K6332" t="str">
            <v>probsi</v>
          </cell>
        </row>
        <row r="6333">
          <cell r="B6333" t="b">
            <v>1</v>
          </cell>
          <cell r="E6333" t="str">
            <v>Tierra Bomba</v>
          </cell>
          <cell r="H6333" t="str">
            <v>laboratorio</v>
          </cell>
          <cell r="J6333" t="str">
            <v>muybueno</v>
          </cell>
          <cell r="K6333" t="str">
            <v>defsi</v>
          </cell>
        </row>
        <row r="6334">
          <cell r="B6334" t="b">
            <v>0</v>
          </cell>
          <cell r="E6334" t="str">
            <v>San Vicente de Paul</v>
          </cell>
          <cell r="H6334" t="str">
            <v>laboratorio</v>
          </cell>
          <cell r="J6334" t="str">
            <v>regular</v>
          </cell>
          <cell r="K6334" t="str">
            <v>probsi</v>
          </cell>
        </row>
        <row r="6335">
          <cell r="B6335" t="b">
            <v>0</v>
          </cell>
          <cell r="E6335" t="str">
            <v>San Vicente de Paul</v>
          </cell>
          <cell r="H6335" t="str">
            <v>laboratorio</v>
          </cell>
          <cell r="J6335" t="str">
            <v>regular</v>
          </cell>
          <cell r="K6335" t="str">
            <v>probsi</v>
          </cell>
        </row>
        <row r="6336">
          <cell r="B6336" t="b">
            <v>1</v>
          </cell>
          <cell r="E6336" t="str">
            <v>San Vicente de Paul</v>
          </cell>
          <cell r="H6336" t="str">
            <v>laboratorio</v>
          </cell>
          <cell r="J6336" t="str">
            <v>bueno</v>
          </cell>
          <cell r="K6336" t="str">
            <v>probsi</v>
          </cell>
        </row>
        <row r="6337">
          <cell r="B6337" t="b">
            <v>1</v>
          </cell>
          <cell r="E6337" t="str">
            <v>San Vicente de Paul</v>
          </cell>
          <cell r="H6337" t="str">
            <v>laboratorio</v>
          </cell>
          <cell r="J6337" t="str">
            <v>bueno</v>
          </cell>
          <cell r="K6337" t="str">
            <v>probsi</v>
          </cell>
        </row>
        <row r="6338">
          <cell r="B6338" t="b">
            <v>1</v>
          </cell>
          <cell r="E6338" t="str">
            <v>San Vicente de Paul</v>
          </cell>
          <cell r="H6338" t="str">
            <v>laboratorio</v>
          </cell>
          <cell r="J6338" t="str">
            <v>bueno</v>
          </cell>
          <cell r="K6338" t="str">
            <v>probsi</v>
          </cell>
        </row>
        <row r="6339">
          <cell r="B6339" t="b">
            <v>1</v>
          </cell>
          <cell r="E6339" t="str">
            <v>Tierra Bomba</v>
          </cell>
          <cell r="H6339" t="str">
            <v>consulta_externa</v>
          </cell>
          <cell r="J6339" t="str">
            <v>muybueno</v>
          </cell>
          <cell r="K6339" t="str">
            <v>defsi</v>
          </cell>
        </row>
        <row r="6340">
          <cell r="B6340" t="b">
            <v>1</v>
          </cell>
          <cell r="E6340" t="str">
            <v>Tierra Bomba</v>
          </cell>
          <cell r="H6340" t="str">
            <v>consulta_externa</v>
          </cell>
          <cell r="J6340" t="str">
            <v>muybueno</v>
          </cell>
          <cell r="K6340" t="str">
            <v>defsi</v>
          </cell>
        </row>
        <row r="6341">
          <cell r="B6341" t="b">
            <v>1</v>
          </cell>
          <cell r="E6341" t="str">
            <v>Tierra Bomba</v>
          </cell>
          <cell r="H6341" t="str">
            <v>laboratorio</v>
          </cell>
          <cell r="J6341" t="str">
            <v>muybueno</v>
          </cell>
          <cell r="K6341" t="str">
            <v>defsi</v>
          </cell>
        </row>
        <row r="6342">
          <cell r="B6342" t="b">
            <v>1</v>
          </cell>
          <cell r="E6342" t="str">
            <v>Tierra Bomba</v>
          </cell>
          <cell r="H6342" t="str">
            <v>consulta_externa</v>
          </cell>
          <cell r="J6342" t="str">
            <v>muybueno</v>
          </cell>
          <cell r="K6342" t="str">
            <v>defsi</v>
          </cell>
        </row>
        <row r="6343">
          <cell r="B6343" t="b">
            <v>1</v>
          </cell>
          <cell r="E6343" t="str">
            <v>Tierra Bomba</v>
          </cell>
          <cell r="H6343" t="str">
            <v>salud_oral</v>
          </cell>
          <cell r="J6343" t="str">
            <v>muybueno</v>
          </cell>
          <cell r="K6343" t="str">
            <v>defsi</v>
          </cell>
        </row>
        <row r="6344">
          <cell r="B6344" t="b">
            <v>1</v>
          </cell>
          <cell r="E6344" t="str">
            <v>Tierra Bomba</v>
          </cell>
          <cell r="H6344" t="str">
            <v>consulta_externa</v>
          </cell>
          <cell r="J6344" t="str">
            <v>muybueno</v>
          </cell>
          <cell r="K6344" t="str">
            <v>defsi</v>
          </cell>
        </row>
        <row r="6345">
          <cell r="B6345" t="b">
            <v>1</v>
          </cell>
          <cell r="E6345" t="str">
            <v>Tierra Bomba</v>
          </cell>
          <cell r="H6345" t="str">
            <v>consulta_externa</v>
          </cell>
          <cell r="J6345" t="str">
            <v>muybueno</v>
          </cell>
          <cell r="K6345" t="str">
            <v>defsi</v>
          </cell>
        </row>
        <row r="6346">
          <cell r="B6346" t="b">
            <v>1</v>
          </cell>
          <cell r="E6346" t="str">
            <v>Tierra Bomba</v>
          </cell>
          <cell r="H6346" t="str">
            <v>laboratorio</v>
          </cell>
          <cell r="J6346" t="str">
            <v>muybueno</v>
          </cell>
          <cell r="K6346" t="str">
            <v>defsi</v>
          </cell>
        </row>
        <row r="6347">
          <cell r="B6347" t="b">
            <v>1</v>
          </cell>
          <cell r="E6347" t="str">
            <v>Libano</v>
          </cell>
          <cell r="H6347" t="str">
            <v>pediatria</v>
          </cell>
          <cell r="J6347" t="str">
            <v>bueno</v>
          </cell>
          <cell r="K6347" t="str">
            <v>probsi</v>
          </cell>
        </row>
        <row r="6348">
          <cell r="B6348" t="b">
            <v>1</v>
          </cell>
          <cell r="E6348" t="str">
            <v>Libano</v>
          </cell>
          <cell r="H6348" t="str">
            <v>pediatria</v>
          </cell>
          <cell r="J6348" t="str">
            <v>bueno</v>
          </cell>
          <cell r="K6348" t="str">
            <v>probsi</v>
          </cell>
        </row>
        <row r="6349">
          <cell r="B6349" t="b">
            <v>1</v>
          </cell>
          <cell r="E6349" t="str">
            <v>Socorro</v>
          </cell>
          <cell r="H6349" t="str">
            <v>ecografias</v>
          </cell>
          <cell r="J6349" t="str">
            <v>bueno</v>
          </cell>
          <cell r="K6349" t="str">
            <v>defsi</v>
          </cell>
        </row>
        <row r="6350">
          <cell r="B6350" t="b">
            <v>1</v>
          </cell>
          <cell r="E6350" t="str">
            <v>Tierra Bomba</v>
          </cell>
          <cell r="H6350" t="str">
            <v>consulta_externa</v>
          </cell>
          <cell r="J6350" t="str">
            <v>muybueno</v>
          </cell>
          <cell r="K6350" t="str">
            <v>defsi</v>
          </cell>
        </row>
        <row r="6351">
          <cell r="B6351" t="b">
            <v>1</v>
          </cell>
          <cell r="E6351" t="str">
            <v>Tierra Bomba</v>
          </cell>
          <cell r="H6351" t="str">
            <v>salud_oral</v>
          </cell>
          <cell r="J6351" t="str">
            <v>muybueno</v>
          </cell>
          <cell r="K6351" t="str">
            <v>defsi</v>
          </cell>
        </row>
        <row r="6352">
          <cell r="B6352" t="b">
            <v>1</v>
          </cell>
          <cell r="E6352" t="str">
            <v>Socorro</v>
          </cell>
          <cell r="H6352" t="str">
            <v>consulta_externa</v>
          </cell>
          <cell r="J6352" t="str">
            <v>bueno</v>
          </cell>
          <cell r="K6352" t="str">
            <v>defsi</v>
          </cell>
        </row>
        <row r="6353">
          <cell r="B6353" t="b">
            <v>1</v>
          </cell>
          <cell r="E6353" t="str">
            <v>Tierra Bomba</v>
          </cell>
          <cell r="H6353" t="str">
            <v>consulta_externa</v>
          </cell>
          <cell r="J6353" t="str">
            <v>muybueno</v>
          </cell>
          <cell r="K6353" t="str">
            <v>defsi</v>
          </cell>
        </row>
        <row r="6354">
          <cell r="B6354" t="b">
            <v>1</v>
          </cell>
          <cell r="E6354" t="str">
            <v>Tierra Bomba</v>
          </cell>
          <cell r="H6354" t="str">
            <v>consulta_externa</v>
          </cell>
          <cell r="J6354" t="str">
            <v>muybueno</v>
          </cell>
          <cell r="K6354" t="str">
            <v>defsi</v>
          </cell>
        </row>
        <row r="6355">
          <cell r="B6355" t="b">
            <v>1</v>
          </cell>
          <cell r="E6355" t="str">
            <v>Tierra Bomba</v>
          </cell>
          <cell r="H6355" t="str">
            <v>laboratorio</v>
          </cell>
          <cell r="J6355" t="str">
            <v>muybueno</v>
          </cell>
          <cell r="K6355" t="str">
            <v>defsi</v>
          </cell>
        </row>
        <row r="6356">
          <cell r="B6356" t="b">
            <v>1</v>
          </cell>
          <cell r="E6356" t="str">
            <v>Tierra Bomba</v>
          </cell>
          <cell r="H6356" t="str">
            <v>consulta_externa</v>
          </cell>
          <cell r="J6356" t="str">
            <v>muybueno</v>
          </cell>
          <cell r="K6356" t="str">
            <v>defsi</v>
          </cell>
        </row>
        <row r="6357">
          <cell r="B6357" t="b">
            <v>1</v>
          </cell>
          <cell r="E6357" t="str">
            <v>Foco Rojo</v>
          </cell>
          <cell r="H6357" t="str">
            <v>consulta_externa</v>
          </cell>
          <cell r="J6357" t="str">
            <v>bueno</v>
          </cell>
          <cell r="K6357" t="str">
            <v>defsi</v>
          </cell>
        </row>
        <row r="6358">
          <cell r="B6358" t="b">
            <v>1</v>
          </cell>
          <cell r="E6358" t="str">
            <v>Tierra Bomba</v>
          </cell>
          <cell r="H6358" t="str">
            <v>laboratorio</v>
          </cell>
          <cell r="J6358" t="str">
            <v>muybueno</v>
          </cell>
          <cell r="K6358" t="str">
            <v>defsi</v>
          </cell>
        </row>
        <row r="6359">
          <cell r="B6359" t="b">
            <v>1</v>
          </cell>
          <cell r="E6359" t="str">
            <v>Foco Rojo</v>
          </cell>
          <cell r="H6359" t="str">
            <v>salud_oral</v>
          </cell>
          <cell r="J6359" t="str">
            <v>bueno</v>
          </cell>
          <cell r="K6359" t="str">
            <v>defsi</v>
          </cell>
        </row>
        <row r="6360">
          <cell r="B6360" t="b">
            <v>1</v>
          </cell>
          <cell r="E6360" t="str">
            <v>Foco Rojo</v>
          </cell>
          <cell r="H6360" t="str">
            <v>laboratorio</v>
          </cell>
          <cell r="J6360" t="str">
            <v>bueno</v>
          </cell>
          <cell r="K6360" t="str">
            <v>defsi</v>
          </cell>
        </row>
        <row r="6361">
          <cell r="B6361" t="b">
            <v>1</v>
          </cell>
          <cell r="E6361" t="str">
            <v>Foco Rojo</v>
          </cell>
          <cell r="H6361" t="str">
            <v>consulta_externa</v>
          </cell>
          <cell r="J6361" t="str">
            <v>bueno</v>
          </cell>
          <cell r="K6361" t="str">
            <v>defsi</v>
          </cell>
        </row>
        <row r="6362">
          <cell r="B6362" t="b">
            <v>1</v>
          </cell>
          <cell r="E6362" t="str">
            <v>Tierra Bomba</v>
          </cell>
          <cell r="H6362" t="str">
            <v>consulta_externa</v>
          </cell>
          <cell r="J6362" t="str">
            <v>muybueno</v>
          </cell>
          <cell r="K6362" t="str">
            <v>defsi</v>
          </cell>
        </row>
        <row r="6363">
          <cell r="B6363" t="b">
            <v>1</v>
          </cell>
          <cell r="E6363" t="str">
            <v>Tierra Bomba</v>
          </cell>
          <cell r="H6363" t="str">
            <v>consulta_externa</v>
          </cell>
          <cell r="J6363" t="str">
            <v>muybueno</v>
          </cell>
          <cell r="K6363" t="str">
            <v>defsi</v>
          </cell>
        </row>
        <row r="6364">
          <cell r="B6364" t="b">
            <v>1</v>
          </cell>
          <cell r="E6364" t="str">
            <v>Tierra Bomba</v>
          </cell>
          <cell r="H6364" t="str">
            <v>salud_oral</v>
          </cell>
          <cell r="J6364" t="str">
            <v>muybueno</v>
          </cell>
          <cell r="K6364" t="str">
            <v>defsi</v>
          </cell>
        </row>
        <row r="6365">
          <cell r="B6365" t="b">
            <v>1</v>
          </cell>
          <cell r="E6365" t="str">
            <v>Foco Rojo</v>
          </cell>
          <cell r="H6365" t="str">
            <v>salud_oral</v>
          </cell>
          <cell r="J6365" t="str">
            <v>bueno</v>
          </cell>
          <cell r="K6365" t="str">
            <v>defsi</v>
          </cell>
        </row>
        <row r="6366">
          <cell r="B6366" t="b">
            <v>1</v>
          </cell>
          <cell r="E6366" t="str">
            <v>Foco Rojo</v>
          </cell>
          <cell r="H6366" t="str">
            <v>laboratorio</v>
          </cell>
          <cell r="J6366" t="str">
            <v>bueno</v>
          </cell>
          <cell r="K6366" t="str">
            <v>defsi</v>
          </cell>
        </row>
        <row r="6367">
          <cell r="B6367" t="b">
            <v>1</v>
          </cell>
          <cell r="E6367" t="str">
            <v>Tierra Bomba</v>
          </cell>
          <cell r="H6367" t="str">
            <v>consulta_externa</v>
          </cell>
          <cell r="J6367" t="str">
            <v>muybueno</v>
          </cell>
          <cell r="K6367" t="str">
            <v>defsi</v>
          </cell>
        </row>
        <row r="6368">
          <cell r="B6368" t="b">
            <v>1</v>
          </cell>
          <cell r="E6368" t="str">
            <v>Foco Rojo</v>
          </cell>
          <cell r="H6368" t="str">
            <v>consulta_externa</v>
          </cell>
          <cell r="J6368" t="str">
            <v>bueno</v>
          </cell>
          <cell r="K6368" t="str">
            <v>defsi</v>
          </cell>
        </row>
        <row r="6369">
          <cell r="B6369" t="b">
            <v>1</v>
          </cell>
          <cell r="E6369" t="str">
            <v>Foco Rojo</v>
          </cell>
          <cell r="H6369" t="str">
            <v>salud_oral</v>
          </cell>
          <cell r="J6369" t="str">
            <v>bueno</v>
          </cell>
          <cell r="K6369" t="str">
            <v>defsi</v>
          </cell>
        </row>
        <row r="6370">
          <cell r="B6370" t="b">
            <v>1</v>
          </cell>
          <cell r="E6370" t="str">
            <v>Socorro</v>
          </cell>
          <cell r="H6370" t="str">
            <v>consulta_externa</v>
          </cell>
          <cell r="J6370" t="str">
            <v>bueno</v>
          </cell>
          <cell r="K6370" t="str">
            <v>defsi</v>
          </cell>
        </row>
        <row r="6371">
          <cell r="B6371" t="b">
            <v>1</v>
          </cell>
          <cell r="E6371" t="str">
            <v>Socorro</v>
          </cell>
          <cell r="H6371" t="str">
            <v>salud_oral</v>
          </cell>
          <cell r="J6371" t="str">
            <v>bueno</v>
          </cell>
          <cell r="K6371" t="str">
            <v>defsi</v>
          </cell>
        </row>
        <row r="6372">
          <cell r="B6372" t="b">
            <v>1</v>
          </cell>
          <cell r="E6372" t="str">
            <v>Socorro</v>
          </cell>
          <cell r="H6372" t="str">
            <v>salud_oral</v>
          </cell>
          <cell r="J6372" t="str">
            <v>bueno</v>
          </cell>
          <cell r="K6372" t="str">
            <v>defsi</v>
          </cell>
        </row>
        <row r="6373">
          <cell r="B6373" t="b">
            <v>1</v>
          </cell>
          <cell r="E6373" t="str">
            <v>Foco Rojo</v>
          </cell>
          <cell r="H6373" t="str">
            <v>laboratorio</v>
          </cell>
          <cell r="J6373" t="str">
            <v>bueno</v>
          </cell>
          <cell r="K6373" t="str">
            <v>defsi</v>
          </cell>
        </row>
        <row r="6374">
          <cell r="B6374" t="b">
            <v>1</v>
          </cell>
          <cell r="E6374" t="str">
            <v>Socorro</v>
          </cell>
          <cell r="H6374" t="str">
            <v>salud_oral</v>
          </cell>
          <cell r="J6374" t="str">
            <v>bueno</v>
          </cell>
          <cell r="K6374" t="str">
            <v>defsi</v>
          </cell>
        </row>
        <row r="6375">
          <cell r="B6375" t="b">
            <v>1</v>
          </cell>
          <cell r="E6375" t="str">
            <v>Tierra Bomba</v>
          </cell>
          <cell r="H6375" t="str">
            <v>consulta_externa</v>
          </cell>
          <cell r="J6375" t="str">
            <v>muybueno</v>
          </cell>
          <cell r="K6375" t="str">
            <v>defsi</v>
          </cell>
        </row>
        <row r="6376">
          <cell r="B6376" t="b">
            <v>1</v>
          </cell>
          <cell r="E6376" t="str">
            <v>Tierra Bomba</v>
          </cell>
          <cell r="H6376" t="str">
            <v>laboratorio</v>
          </cell>
          <cell r="J6376" t="str">
            <v>muybueno</v>
          </cell>
          <cell r="K6376" t="str">
            <v>defsi</v>
          </cell>
        </row>
        <row r="6377">
          <cell r="B6377" t="b">
            <v>1</v>
          </cell>
          <cell r="E6377" t="str">
            <v>Tierra Bomba</v>
          </cell>
          <cell r="H6377" t="str">
            <v>consulta_externa</v>
          </cell>
          <cell r="J6377" t="str">
            <v>muybueno</v>
          </cell>
          <cell r="K6377" t="str">
            <v>defsi</v>
          </cell>
        </row>
        <row r="6378">
          <cell r="B6378" t="b">
            <v>1</v>
          </cell>
          <cell r="E6378" t="str">
            <v>Socorro</v>
          </cell>
          <cell r="H6378" t="str">
            <v>consulta_externa</v>
          </cell>
          <cell r="J6378" t="str">
            <v>bueno</v>
          </cell>
          <cell r="K6378" t="str">
            <v>defsi</v>
          </cell>
        </row>
        <row r="6379">
          <cell r="B6379" t="b">
            <v>1</v>
          </cell>
          <cell r="E6379" t="str">
            <v>Socorro</v>
          </cell>
          <cell r="H6379" t="str">
            <v>laboratorio</v>
          </cell>
          <cell r="J6379" t="str">
            <v>bueno</v>
          </cell>
          <cell r="K6379" t="str">
            <v>defsi</v>
          </cell>
        </row>
        <row r="6380">
          <cell r="B6380" t="b">
            <v>1</v>
          </cell>
          <cell r="E6380" t="str">
            <v>Socorro</v>
          </cell>
          <cell r="H6380" t="str">
            <v>consulta_externa</v>
          </cell>
          <cell r="J6380" t="str">
            <v>bueno</v>
          </cell>
          <cell r="K6380" t="str">
            <v>defsi</v>
          </cell>
        </row>
        <row r="6381">
          <cell r="B6381" t="b">
            <v>1</v>
          </cell>
          <cell r="E6381" t="str">
            <v>Socorro</v>
          </cell>
          <cell r="H6381" t="str">
            <v>salud_oral</v>
          </cell>
          <cell r="J6381" t="str">
            <v>bueno</v>
          </cell>
          <cell r="K6381" t="str">
            <v>defsi</v>
          </cell>
        </row>
        <row r="6382">
          <cell r="B6382" t="b">
            <v>1</v>
          </cell>
          <cell r="E6382" t="str">
            <v>Socorro</v>
          </cell>
          <cell r="H6382" t="str">
            <v>consulta_externa</v>
          </cell>
          <cell r="J6382" t="str">
            <v>bueno</v>
          </cell>
          <cell r="K6382" t="str">
            <v>defsi</v>
          </cell>
        </row>
        <row r="6383">
          <cell r="B6383" t="b">
            <v>1</v>
          </cell>
          <cell r="E6383" t="str">
            <v>Socorro</v>
          </cell>
          <cell r="H6383" t="str">
            <v>salud_oral</v>
          </cell>
          <cell r="J6383" t="str">
            <v>bueno</v>
          </cell>
          <cell r="K6383" t="str">
            <v>defsi</v>
          </cell>
        </row>
        <row r="6384">
          <cell r="B6384" t="b">
            <v>1</v>
          </cell>
          <cell r="E6384" t="str">
            <v>Socorro</v>
          </cell>
          <cell r="H6384" t="str">
            <v>consulta_externa</v>
          </cell>
          <cell r="J6384" t="str">
            <v>bueno</v>
          </cell>
          <cell r="K6384" t="str">
            <v>defsi</v>
          </cell>
        </row>
        <row r="6385">
          <cell r="B6385" t="b">
            <v>0</v>
          </cell>
          <cell r="E6385" t="str">
            <v>Socorro</v>
          </cell>
          <cell r="H6385" t="str">
            <v>salud_oral</v>
          </cell>
          <cell r="J6385" t="str">
            <v>regular</v>
          </cell>
          <cell r="K6385" t="str">
            <v>defsi</v>
          </cell>
        </row>
        <row r="6386">
          <cell r="B6386" t="b">
            <v>1</v>
          </cell>
          <cell r="E6386" t="str">
            <v>Socorro</v>
          </cell>
          <cell r="H6386" t="str">
            <v>consulta_externa</v>
          </cell>
          <cell r="J6386" t="str">
            <v>bueno</v>
          </cell>
          <cell r="K6386" t="str">
            <v>defsi</v>
          </cell>
        </row>
        <row r="6387">
          <cell r="B6387" t="b">
            <v>1</v>
          </cell>
          <cell r="E6387" t="str">
            <v>Socorro</v>
          </cell>
          <cell r="H6387" t="str">
            <v>salud_oral</v>
          </cell>
          <cell r="J6387" t="str">
            <v>bueno</v>
          </cell>
          <cell r="K6387" t="str">
            <v>defsi</v>
          </cell>
        </row>
        <row r="6388">
          <cell r="B6388" t="b">
            <v>1</v>
          </cell>
          <cell r="E6388" t="str">
            <v>Foco Rojo</v>
          </cell>
          <cell r="H6388" t="str">
            <v>consulta_externa</v>
          </cell>
          <cell r="J6388" t="str">
            <v>bueno</v>
          </cell>
          <cell r="K6388" t="str">
            <v>defsi</v>
          </cell>
        </row>
        <row r="6389">
          <cell r="B6389" t="b">
            <v>0</v>
          </cell>
          <cell r="E6389" t="str">
            <v>Socorro</v>
          </cell>
          <cell r="H6389" t="str">
            <v>laboratorio</v>
          </cell>
          <cell r="J6389" t="str">
            <v>regular</v>
          </cell>
          <cell r="K6389" t="str">
            <v>defsi</v>
          </cell>
        </row>
        <row r="6390">
          <cell r="B6390" t="b">
            <v>0</v>
          </cell>
          <cell r="E6390" t="str">
            <v>Socorro</v>
          </cell>
          <cell r="H6390" t="str">
            <v>consulta_externa</v>
          </cell>
          <cell r="J6390" t="str">
            <v>regular</v>
          </cell>
          <cell r="K6390" t="str">
            <v>defsi</v>
          </cell>
        </row>
        <row r="6391">
          <cell r="B6391" t="b">
            <v>1</v>
          </cell>
          <cell r="E6391" t="str">
            <v>Foco Rojo</v>
          </cell>
          <cell r="H6391" t="str">
            <v>salud_oral</v>
          </cell>
          <cell r="J6391" t="str">
            <v>bueno</v>
          </cell>
          <cell r="K6391" t="str">
            <v>defsi</v>
          </cell>
        </row>
        <row r="6392">
          <cell r="B6392" t="b">
            <v>1</v>
          </cell>
          <cell r="E6392" t="str">
            <v>Socorro</v>
          </cell>
          <cell r="H6392" t="str">
            <v>consulta_externa</v>
          </cell>
          <cell r="J6392" t="str">
            <v>muybueno</v>
          </cell>
          <cell r="K6392" t="str">
            <v>defsi</v>
          </cell>
        </row>
        <row r="6393">
          <cell r="B6393" t="b">
            <v>1</v>
          </cell>
          <cell r="E6393" t="str">
            <v>Tierra Bomba</v>
          </cell>
          <cell r="H6393" t="str">
            <v>consulta_externa</v>
          </cell>
          <cell r="J6393" t="str">
            <v>muybueno</v>
          </cell>
          <cell r="K6393" t="str">
            <v>defsi</v>
          </cell>
        </row>
        <row r="6394">
          <cell r="B6394" t="b">
            <v>1</v>
          </cell>
          <cell r="E6394" t="str">
            <v>Socorro</v>
          </cell>
          <cell r="H6394" t="str">
            <v>consulta_externa</v>
          </cell>
          <cell r="J6394" t="str">
            <v>bueno</v>
          </cell>
          <cell r="K6394" t="str">
            <v>defsi</v>
          </cell>
        </row>
        <row r="6395">
          <cell r="B6395" t="b">
            <v>1</v>
          </cell>
          <cell r="E6395" t="str">
            <v>Tierra Bomba</v>
          </cell>
          <cell r="H6395" t="str">
            <v>laboratorio</v>
          </cell>
          <cell r="J6395" t="str">
            <v>muybueno</v>
          </cell>
          <cell r="K6395" t="str">
            <v>defsi</v>
          </cell>
        </row>
        <row r="6396">
          <cell r="B6396" t="b">
            <v>1</v>
          </cell>
          <cell r="E6396" t="str">
            <v>Socorro</v>
          </cell>
          <cell r="H6396" t="str">
            <v>consulta_externa</v>
          </cell>
          <cell r="J6396" t="str">
            <v>bueno</v>
          </cell>
          <cell r="K6396" t="str">
            <v>defsi</v>
          </cell>
        </row>
        <row r="6397">
          <cell r="B6397" t="b">
            <v>0</v>
          </cell>
          <cell r="E6397" t="str">
            <v>Socorro</v>
          </cell>
          <cell r="H6397" t="str">
            <v>consulta_externa</v>
          </cell>
          <cell r="J6397" t="str">
            <v>regular</v>
          </cell>
          <cell r="K6397" t="str">
            <v>probno</v>
          </cell>
        </row>
        <row r="6398">
          <cell r="B6398" t="b">
            <v>1</v>
          </cell>
          <cell r="E6398" t="str">
            <v>Socorro</v>
          </cell>
          <cell r="H6398" t="str">
            <v>consulta_externa</v>
          </cell>
          <cell r="J6398" t="str">
            <v>bueno</v>
          </cell>
          <cell r="K6398" t="str">
            <v>defsi</v>
          </cell>
        </row>
        <row r="6399">
          <cell r="B6399" t="b">
            <v>1</v>
          </cell>
          <cell r="E6399" t="str">
            <v>Foco Rojo</v>
          </cell>
          <cell r="H6399" t="str">
            <v>laboratorio</v>
          </cell>
          <cell r="J6399" t="str">
            <v>bueno</v>
          </cell>
          <cell r="K6399" t="str">
            <v>defsi</v>
          </cell>
        </row>
        <row r="6400">
          <cell r="B6400" t="b">
            <v>1</v>
          </cell>
          <cell r="E6400" t="str">
            <v>Socorro</v>
          </cell>
          <cell r="H6400" t="str">
            <v>laboratorio</v>
          </cell>
          <cell r="J6400" t="str">
            <v>bueno</v>
          </cell>
          <cell r="K6400" t="str">
            <v>defsi</v>
          </cell>
        </row>
        <row r="6401">
          <cell r="B6401" t="b">
            <v>1</v>
          </cell>
          <cell r="E6401" t="str">
            <v>Socorro</v>
          </cell>
          <cell r="H6401" t="str">
            <v>consulta_externa</v>
          </cell>
          <cell r="J6401" t="str">
            <v>bueno</v>
          </cell>
          <cell r="K6401" t="str">
            <v>defsi</v>
          </cell>
        </row>
        <row r="6402">
          <cell r="B6402" t="b">
            <v>1</v>
          </cell>
          <cell r="E6402" t="str">
            <v>Tierra Bomba</v>
          </cell>
          <cell r="H6402" t="str">
            <v>consulta_externa</v>
          </cell>
          <cell r="J6402" t="str">
            <v>muybueno</v>
          </cell>
          <cell r="K6402" t="str">
            <v>defsi</v>
          </cell>
        </row>
        <row r="6403">
          <cell r="B6403" t="b">
            <v>1</v>
          </cell>
          <cell r="E6403" t="str">
            <v>Foco Rojo</v>
          </cell>
          <cell r="H6403" t="str">
            <v>consulta_externa</v>
          </cell>
          <cell r="J6403" t="str">
            <v>bueno</v>
          </cell>
          <cell r="K6403" t="str">
            <v>defsi</v>
          </cell>
        </row>
        <row r="6404">
          <cell r="B6404" t="b">
            <v>1</v>
          </cell>
          <cell r="E6404" t="str">
            <v>Foco Rojo</v>
          </cell>
          <cell r="H6404" t="str">
            <v>salud_oral</v>
          </cell>
          <cell r="J6404" t="str">
            <v>bueno</v>
          </cell>
          <cell r="K6404" t="str">
            <v>defsi</v>
          </cell>
        </row>
        <row r="6405">
          <cell r="B6405" t="b">
            <v>1</v>
          </cell>
          <cell r="E6405" t="str">
            <v>Libano</v>
          </cell>
          <cell r="H6405" t="str">
            <v>pediatria</v>
          </cell>
          <cell r="J6405" t="str">
            <v>bueno</v>
          </cell>
          <cell r="K6405" t="str">
            <v>probsi</v>
          </cell>
        </row>
        <row r="6406">
          <cell r="B6406" t="b">
            <v>1</v>
          </cell>
          <cell r="E6406" t="str">
            <v>Libano</v>
          </cell>
          <cell r="H6406" t="str">
            <v>pediatria</v>
          </cell>
          <cell r="J6406" t="str">
            <v>bueno</v>
          </cell>
          <cell r="K6406" t="str">
            <v>probsi</v>
          </cell>
        </row>
        <row r="6407">
          <cell r="B6407" t="b">
            <v>1</v>
          </cell>
          <cell r="E6407" t="str">
            <v>Foco Rojo</v>
          </cell>
          <cell r="H6407" t="str">
            <v>laboratorio</v>
          </cell>
          <cell r="J6407" t="str">
            <v>bueno</v>
          </cell>
          <cell r="K6407" t="str">
            <v>defsi</v>
          </cell>
        </row>
        <row r="6408">
          <cell r="B6408" t="b">
            <v>1</v>
          </cell>
          <cell r="E6408" t="str">
            <v>Tierra Bomba</v>
          </cell>
          <cell r="H6408" t="str">
            <v>consulta_externa</v>
          </cell>
          <cell r="J6408" t="str">
            <v>muybueno</v>
          </cell>
          <cell r="K6408" t="str">
            <v>defsi</v>
          </cell>
        </row>
        <row r="6409">
          <cell r="B6409" t="b">
            <v>1</v>
          </cell>
          <cell r="E6409" t="str">
            <v>Tierra Bomba</v>
          </cell>
          <cell r="H6409" t="str">
            <v>salud_oral</v>
          </cell>
          <cell r="J6409" t="str">
            <v>muybueno</v>
          </cell>
          <cell r="K6409" t="str">
            <v>defsi</v>
          </cell>
        </row>
        <row r="6410">
          <cell r="B6410" t="b">
            <v>1</v>
          </cell>
          <cell r="E6410" t="str">
            <v>Tierra Bomba</v>
          </cell>
          <cell r="H6410" t="str">
            <v>consulta_externa</v>
          </cell>
          <cell r="J6410" t="str">
            <v>muybueno</v>
          </cell>
          <cell r="K6410" t="str">
            <v>defsi</v>
          </cell>
        </row>
        <row r="6411">
          <cell r="B6411" t="b">
            <v>1</v>
          </cell>
          <cell r="E6411" t="str">
            <v>Libano</v>
          </cell>
          <cell r="H6411" t="str">
            <v>ginecologia</v>
          </cell>
          <cell r="J6411" t="str">
            <v>bueno</v>
          </cell>
          <cell r="K6411" t="str">
            <v>probsi</v>
          </cell>
        </row>
        <row r="6412">
          <cell r="B6412" t="b">
            <v>1</v>
          </cell>
          <cell r="E6412" t="str">
            <v>Libano</v>
          </cell>
          <cell r="H6412" t="str">
            <v>ginecologia</v>
          </cell>
          <cell r="J6412" t="str">
            <v>bueno</v>
          </cell>
          <cell r="K6412" t="str">
            <v>probsi</v>
          </cell>
        </row>
        <row r="6413">
          <cell r="B6413" t="b">
            <v>1</v>
          </cell>
          <cell r="E6413" t="str">
            <v>Libano</v>
          </cell>
          <cell r="H6413" t="str">
            <v>ginecologia</v>
          </cell>
          <cell r="J6413" t="str">
            <v>bueno</v>
          </cell>
          <cell r="K6413" t="str">
            <v>probsi</v>
          </cell>
        </row>
        <row r="6414">
          <cell r="B6414" t="b">
            <v>1</v>
          </cell>
          <cell r="E6414" t="str">
            <v>Libano</v>
          </cell>
          <cell r="H6414" t="str">
            <v>ginecologia</v>
          </cell>
          <cell r="J6414" t="str">
            <v>bueno</v>
          </cell>
          <cell r="K6414" t="str">
            <v>probsi</v>
          </cell>
        </row>
        <row r="6415">
          <cell r="B6415" t="b">
            <v>1</v>
          </cell>
          <cell r="E6415" t="str">
            <v>Libano</v>
          </cell>
          <cell r="H6415" t="str">
            <v>ecografias</v>
          </cell>
          <cell r="J6415" t="str">
            <v>bueno</v>
          </cell>
          <cell r="K6415" t="str">
            <v>probsi</v>
          </cell>
        </row>
        <row r="6416">
          <cell r="B6416" t="b">
            <v>1</v>
          </cell>
          <cell r="E6416" t="str">
            <v>Libano</v>
          </cell>
          <cell r="H6416" t="str">
            <v>ecografias</v>
          </cell>
          <cell r="J6416" t="str">
            <v>bueno</v>
          </cell>
          <cell r="K6416" t="str">
            <v>probsi</v>
          </cell>
        </row>
        <row r="6417">
          <cell r="B6417" t="b">
            <v>1</v>
          </cell>
          <cell r="E6417" t="str">
            <v>Tierra Bomba</v>
          </cell>
          <cell r="H6417" t="str">
            <v>consulta_externa</v>
          </cell>
          <cell r="J6417" t="str">
            <v>muybueno</v>
          </cell>
          <cell r="K6417" t="str">
            <v>defsi</v>
          </cell>
        </row>
        <row r="6418">
          <cell r="B6418" t="b">
            <v>1</v>
          </cell>
          <cell r="E6418" t="str">
            <v>Tierra Bomba</v>
          </cell>
          <cell r="H6418" t="str">
            <v>laboratorio</v>
          </cell>
          <cell r="J6418" t="str">
            <v>muybueno</v>
          </cell>
          <cell r="K6418" t="str">
            <v>defsi</v>
          </cell>
        </row>
        <row r="6419">
          <cell r="B6419" t="b">
            <v>1</v>
          </cell>
          <cell r="E6419" t="str">
            <v>Libano</v>
          </cell>
          <cell r="H6419" t="str">
            <v>pediatria</v>
          </cell>
          <cell r="J6419" t="str">
            <v>bueno</v>
          </cell>
          <cell r="K6419" t="str">
            <v>probsi</v>
          </cell>
        </row>
        <row r="6420">
          <cell r="B6420" t="b">
            <v>1</v>
          </cell>
          <cell r="E6420" t="str">
            <v>Libano</v>
          </cell>
          <cell r="H6420" t="str">
            <v>pediatria</v>
          </cell>
          <cell r="J6420" t="str">
            <v>bueno</v>
          </cell>
          <cell r="K6420" t="str">
            <v>probsi</v>
          </cell>
        </row>
        <row r="6421">
          <cell r="B6421" t="b">
            <v>1</v>
          </cell>
          <cell r="E6421" t="str">
            <v>Tierra Bomba</v>
          </cell>
          <cell r="H6421" t="str">
            <v>salud_oral</v>
          </cell>
          <cell r="J6421" t="str">
            <v>muybueno</v>
          </cell>
          <cell r="K6421" t="str">
            <v>defsi</v>
          </cell>
        </row>
        <row r="6422">
          <cell r="B6422" t="b">
            <v>1</v>
          </cell>
          <cell r="E6422" t="str">
            <v>Libano</v>
          </cell>
          <cell r="H6422" t="str">
            <v>ginecologia</v>
          </cell>
          <cell r="J6422" t="str">
            <v>bueno</v>
          </cell>
          <cell r="K6422" t="str">
            <v>probsi</v>
          </cell>
        </row>
        <row r="6423">
          <cell r="B6423" t="b">
            <v>1</v>
          </cell>
          <cell r="E6423" t="str">
            <v>Libano</v>
          </cell>
          <cell r="H6423" t="str">
            <v>ecografias</v>
          </cell>
          <cell r="J6423" t="str">
            <v>bueno</v>
          </cell>
          <cell r="K6423" t="str">
            <v>probsi</v>
          </cell>
        </row>
        <row r="6424">
          <cell r="B6424" t="b">
            <v>1</v>
          </cell>
          <cell r="E6424" t="str">
            <v>Libano</v>
          </cell>
          <cell r="H6424" t="str">
            <v>ginecologia</v>
          </cell>
          <cell r="J6424" t="str">
            <v>bueno</v>
          </cell>
          <cell r="K6424" t="str">
            <v>probsi</v>
          </cell>
        </row>
        <row r="6425">
          <cell r="B6425" t="b">
            <v>1</v>
          </cell>
          <cell r="E6425" t="str">
            <v>Tierra Bomba</v>
          </cell>
          <cell r="H6425" t="str">
            <v>consulta_externa</v>
          </cell>
          <cell r="J6425" t="str">
            <v>muybueno</v>
          </cell>
          <cell r="K6425" t="str">
            <v>defsi</v>
          </cell>
        </row>
        <row r="6426">
          <cell r="B6426" t="b">
            <v>1</v>
          </cell>
          <cell r="E6426" t="str">
            <v>Socorro</v>
          </cell>
          <cell r="H6426" t="str">
            <v>laboratorio</v>
          </cell>
          <cell r="J6426" t="str">
            <v>bueno</v>
          </cell>
          <cell r="K6426" t="str">
            <v>defsi</v>
          </cell>
        </row>
        <row r="6427">
          <cell r="B6427" t="b">
            <v>1</v>
          </cell>
          <cell r="E6427" t="str">
            <v>Tierra Bomba</v>
          </cell>
          <cell r="H6427" t="str">
            <v>laboratorio</v>
          </cell>
          <cell r="J6427" t="str">
            <v>muybueno</v>
          </cell>
          <cell r="K6427" t="str">
            <v>defsi</v>
          </cell>
        </row>
        <row r="6428">
          <cell r="B6428" t="b">
            <v>1</v>
          </cell>
          <cell r="E6428" t="str">
            <v>Socorro</v>
          </cell>
          <cell r="H6428" t="str">
            <v>laboratorio</v>
          </cell>
          <cell r="J6428" t="str">
            <v>bueno</v>
          </cell>
          <cell r="K6428" t="str">
            <v>defsi</v>
          </cell>
        </row>
        <row r="6429">
          <cell r="B6429" t="b">
            <v>1</v>
          </cell>
          <cell r="E6429" t="str">
            <v>Libano</v>
          </cell>
          <cell r="H6429" t="str">
            <v>ginecologia</v>
          </cell>
          <cell r="J6429" t="str">
            <v>bueno</v>
          </cell>
          <cell r="K6429" t="str">
            <v>probsi</v>
          </cell>
        </row>
        <row r="6430">
          <cell r="B6430" t="b">
            <v>1</v>
          </cell>
          <cell r="E6430" t="str">
            <v>Socorro</v>
          </cell>
          <cell r="H6430" t="str">
            <v>salud_oral</v>
          </cell>
          <cell r="J6430" t="str">
            <v>bueno</v>
          </cell>
          <cell r="K6430" t="str">
            <v>defsi</v>
          </cell>
        </row>
        <row r="6431">
          <cell r="B6431" t="b">
            <v>1</v>
          </cell>
          <cell r="E6431" t="str">
            <v>Libano</v>
          </cell>
          <cell r="H6431" t="str">
            <v>ginecologia</v>
          </cell>
          <cell r="J6431" t="str">
            <v>bueno</v>
          </cell>
          <cell r="K6431" t="str">
            <v>probsi</v>
          </cell>
        </row>
        <row r="6432">
          <cell r="B6432" t="b">
            <v>1</v>
          </cell>
          <cell r="E6432" t="str">
            <v>Libano</v>
          </cell>
          <cell r="H6432" t="str">
            <v>pediatria</v>
          </cell>
          <cell r="J6432" t="str">
            <v>bueno</v>
          </cell>
          <cell r="K6432" t="str">
            <v>probsi</v>
          </cell>
        </row>
        <row r="6433">
          <cell r="B6433" t="b">
            <v>0</v>
          </cell>
          <cell r="E6433" t="str">
            <v>Socorro</v>
          </cell>
          <cell r="H6433" t="str">
            <v>salud_oral</v>
          </cell>
          <cell r="J6433" t="str">
            <v>regular</v>
          </cell>
          <cell r="K6433" t="str">
            <v>probsi</v>
          </cell>
        </row>
        <row r="6434">
          <cell r="B6434" t="b">
            <v>0</v>
          </cell>
          <cell r="E6434" t="str">
            <v>Socorro</v>
          </cell>
          <cell r="H6434" t="str">
            <v>salud_oral</v>
          </cell>
          <cell r="J6434" t="str">
            <v>regular</v>
          </cell>
          <cell r="K6434" t="str">
            <v>probsi</v>
          </cell>
        </row>
        <row r="6435">
          <cell r="B6435" t="b">
            <v>1</v>
          </cell>
          <cell r="E6435" t="str">
            <v>Socorro</v>
          </cell>
          <cell r="H6435" t="str">
            <v>consulta_externa</v>
          </cell>
          <cell r="J6435" t="str">
            <v>bueno</v>
          </cell>
          <cell r="K6435" t="str">
            <v>defsi</v>
          </cell>
        </row>
        <row r="6436">
          <cell r="B6436" t="b">
            <v>1</v>
          </cell>
          <cell r="E6436" t="str">
            <v>Libano</v>
          </cell>
          <cell r="H6436" t="str">
            <v>ginecologia</v>
          </cell>
          <cell r="J6436" t="str">
            <v>bueno</v>
          </cell>
          <cell r="K6436" t="str">
            <v>probsi</v>
          </cell>
        </row>
        <row r="6437">
          <cell r="B6437" t="b">
            <v>1</v>
          </cell>
          <cell r="E6437" t="str">
            <v>Socorro</v>
          </cell>
          <cell r="H6437" t="str">
            <v>laboratorio</v>
          </cell>
          <cell r="J6437" t="str">
            <v>bueno</v>
          </cell>
          <cell r="K6437" t="str">
            <v>defsi</v>
          </cell>
        </row>
        <row r="6438">
          <cell r="B6438" t="b">
            <v>1</v>
          </cell>
          <cell r="E6438" t="str">
            <v>Tierra Bomba</v>
          </cell>
          <cell r="H6438" t="str">
            <v>consulta_externa</v>
          </cell>
          <cell r="J6438" t="str">
            <v>muybueno</v>
          </cell>
          <cell r="K6438" t="str">
            <v>defsi</v>
          </cell>
        </row>
        <row r="6439">
          <cell r="B6439" t="b">
            <v>1</v>
          </cell>
          <cell r="E6439" t="str">
            <v>Libano</v>
          </cell>
          <cell r="H6439" t="str">
            <v>ecografias</v>
          </cell>
          <cell r="J6439" t="str">
            <v>bueno</v>
          </cell>
          <cell r="K6439" t="str">
            <v>probsi</v>
          </cell>
        </row>
        <row r="6440">
          <cell r="B6440" t="b">
            <v>1</v>
          </cell>
          <cell r="E6440" t="str">
            <v>Libano</v>
          </cell>
          <cell r="H6440" t="str">
            <v>ecografias</v>
          </cell>
          <cell r="J6440" t="str">
            <v>bueno</v>
          </cell>
          <cell r="K6440" t="str">
            <v>probsi</v>
          </cell>
        </row>
        <row r="6441">
          <cell r="B6441" t="b">
            <v>1</v>
          </cell>
          <cell r="E6441" t="str">
            <v>Tierra Bomba</v>
          </cell>
          <cell r="H6441" t="str">
            <v>salud_oral</v>
          </cell>
          <cell r="J6441" t="str">
            <v>muybueno</v>
          </cell>
          <cell r="K6441" t="str">
            <v>defsi</v>
          </cell>
        </row>
        <row r="6442">
          <cell r="B6442" t="b">
            <v>1</v>
          </cell>
          <cell r="E6442" t="str">
            <v>Libano</v>
          </cell>
          <cell r="H6442" t="str">
            <v>pediatria</v>
          </cell>
          <cell r="J6442" t="str">
            <v>bueno</v>
          </cell>
          <cell r="K6442" t="str">
            <v>probsi</v>
          </cell>
        </row>
        <row r="6443">
          <cell r="B6443" t="b">
            <v>1</v>
          </cell>
          <cell r="E6443" t="str">
            <v>Libano</v>
          </cell>
          <cell r="H6443" t="str">
            <v>ecografias</v>
          </cell>
          <cell r="J6443" t="str">
            <v>bueno</v>
          </cell>
          <cell r="K6443" t="str">
            <v>probsi</v>
          </cell>
        </row>
        <row r="6444">
          <cell r="B6444" t="b">
            <v>1</v>
          </cell>
          <cell r="E6444" t="str">
            <v>Libano</v>
          </cell>
          <cell r="H6444" t="str">
            <v>ecografias</v>
          </cell>
          <cell r="J6444" t="str">
            <v>bueno</v>
          </cell>
          <cell r="K6444" t="str">
            <v>probsi</v>
          </cell>
        </row>
        <row r="6445">
          <cell r="B6445" t="b">
            <v>1</v>
          </cell>
          <cell r="E6445" t="str">
            <v>Libano</v>
          </cell>
          <cell r="H6445" t="str">
            <v>ecografias</v>
          </cell>
          <cell r="J6445" t="str">
            <v>bueno</v>
          </cell>
          <cell r="K6445" t="str">
            <v>probsi</v>
          </cell>
        </row>
        <row r="6446">
          <cell r="B6446" t="b">
            <v>1</v>
          </cell>
          <cell r="E6446" t="str">
            <v>Libano</v>
          </cell>
          <cell r="H6446" t="str">
            <v>ecografias</v>
          </cell>
          <cell r="J6446" t="str">
            <v>bueno</v>
          </cell>
          <cell r="K6446" t="str">
            <v>probsi</v>
          </cell>
        </row>
        <row r="6447">
          <cell r="B6447" t="b">
            <v>1</v>
          </cell>
          <cell r="E6447" t="str">
            <v>Libano</v>
          </cell>
          <cell r="H6447" t="str">
            <v>ecografias</v>
          </cell>
          <cell r="J6447" t="str">
            <v>bueno</v>
          </cell>
          <cell r="K6447" t="str">
            <v>probsi</v>
          </cell>
        </row>
        <row r="6448">
          <cell r="B6448" t="b">
            <v>1</v>
          </cell>
          <cell r="E6448" t="str">
            <v>Libano</v>
          </cell>
          <cell r="H6448" t="str">
            <v>ecografias</v>
          </cell>
          <cell r="J6448" t="str">
            <v>bueno</v>
          </cell>
          <cell r="K6448" t="str">
            <v>probsi</v>
          </cell>
        </row>
        <row r="6449">
          <cell r="B6449" t="b">
            <v>1</v>
          </cell>
          <cell r="E6449" t="str">
            <v>Libano</v>
          </cell>
          <cell r="H6449" t="str">
            <v>ecografias</v>
          </cell>
          <cell r="J6449" t="str">
            <v>bueno</v>
          </cell>
          <cell r="K6449" t="str">
            <v>probsi</v>
          </cell>
        </row>
        <row r="6450">
          <cell r="B6450" t="b">
            <v>1</v>
          </cell>
          <cell r="E6450" t="str">
            <v>Libano</v>
          </cell>
          <cell r="H6450" t="str">
            <v>ecografias</v>
          </cell>
          <cell r="J6450" t="str">
            <v>bueno</v>
          </cell>
          <cell r="K6450" t="str">
            <v>probsi</v>
          </cell>
        </row>
        <row r="6451">
          <cell r="B6451" t="b">
            <v>1</v>
          </cell>
          <cell r="E6451" t="str">
            <v>Libano</v>
          </cell>
          <cell r="H6451" t="str">
            <v>laboratorio</v>
          </cell>
          <cell r="J6451" t="str">
            <v>bueno</v>
          </cell>
          <cell r="K6451" t="str">
            <v>probsi</v>
          </cell>
        </row>
        <row r="6452">
          <cell r="B6452" t="b">
            <v>1</v>
          </cell>
          <cell r="E6452" t="str">
            <v>Libano</v>
          </cell>
          <cell r="H6452" t="str">
            <v>ecografias</v>
          </cell>
          <cell r="J6452" t="str">
            <v>bueno</v>
          </cell>
          <cell r="K6452" t="str">
            <v>probsi</v>
          </cell>
        </row>
        <row r="6453">
          <cell r="B6453" t="b">
            <v>1</v>
          </cell>
          <cell r="E6453" t="str">
            <v>Tierra Bomba</v>
          </cell>
          <cell r="H6453" t="str">
            <v>consulta_externa</v>
          </cell>
          <cell r="J6453" t="str">
            <v>muybueno</v>
          </cell>
          <cell r="K6453" t="str">
            <v>defsi</v>
          </cell>
        </row>
        <row r="6454">
          <cell r="B6454" t="b">
            <v>1</v>
          </cell>
          <cell r="E6454" t="str">
            <v>Tierra Bomba</v>
          </cell>
          <cell r="H6454" t="str">
            <v>laboratorio</v>
          </cell>
          <cell r="J6454" t="str">
            <v>muybueno</v>
          </cell>
          <cell r="K6454" t="str">
            <v>defsi</v>
          </cell>
        </row>
        <row r="6455">
          <cell r="B6455" t="b">
            <v>1</v>
          </cell>
          <cell r="E6455" t="str">
            <v>Socorro</v>
          </cell>
          <cell r="H6455" t="str">
            <v>salud_oral</v>
          </cell>
          <cell r="J6455" t="str">
            <v>bueno</v>
          </cell>
          <cell r="K6455" t="str">
            <v>defsi</v>
          </cell>
        </row>
        <row r="6456">
          <cell r="B6456" t="b">
            <v>1</v>
          </cell>
          <cell r="E6456" t="str">
            <v>Socorro</v>
          </cell>
          <cell r="H6456" t="str">
            <v>salud_oral</v>
          </cell>
          <cell r="J6456" t="str">
            <v>bueno</v>
          </cell>
          <cell r="K6456" t="str">
            <v>defsi</v>
          </cell>
        </row>
        <row r="6457">
          <cell r="B6457" t="b">
            <v>0</v>
          </cell>
          <cell r="E6457" t="str">
            <v>Socorro</v>
          </cell>
          <cell r="H6457" t="str">
            <v>salud_oral</v>
          </cell>
          <cell r="J6457" t="str">
            <v>regular</v>
          </cell>
          <cell r="K6457" t="str">
            <v>defsi</v>
          </cell>
        </row>
        <row r="6458">
          <cell r="B6458" t="b">
            <v>1</v>
          </cell>
          <cell r="E6458" t="str">
            <v>Libano</v>
          </cell>
          <cell r="H6458" t="str">
            <v>pediatria</v>
          </cell>
          <cell r="J6458" t="str">
            <v>bueno</v>
          </cell>
          <cell r="K6458" t="str">
            <v>probsi</v>
          </cell>
        </row>
        <row r="6459">
          <cell r="B6459" t="b">
            <v>1</v>
          </cell>
          <cell r="E6459" t="str">
            <v>Libano</v>
          </cell>
          <cell r="H6459" t="str">
            <v>pediatria</v>
          </cell>
          <cell r="J6459" t="str">
            <v>bueno</v>
          </cell>
          <cell r="K6459" t="str">
            <v>probsi</v>
          </cell>
        </row>
        <row r="6460">
          <cell r="B6460" t="b">
            <v>1</v>
          </cell>
          <cell r="E6460" t="str">
            <v>Libano</v>
          </cell>
          <cell r="H6460" t="str">
            <v>pediatria</v>
          </cell>
          <cell r="J6460" t="str">
            <v>bueno</v>
          </cell>
          <cell r="K6460" t="str">
            <v>probsi</v>
          </cell>
        </row>
        <row r="6461">
          <cell r="B6461" t="b">
            <v>1</v>
          </cell>
          <cell r="E6461" t="str">
            <v>Libano</v>
          </cell>
          <cell r="H6461" t="str">
            <v>pediatria</v>
          </cell>
          <cell r="J6461" t="str">
            <v>bueno</v>
          </cell>
          <cell r="K6461" t="str">
            <v>probsi</v>
          </cell>
        </row>
        <row r="6462">
          <cell r="B6462" t="b">
            <v>1</v>
          </cell>
          <cell r="E6462" t="str">
            <v>Libano</v>
          </cell>
          <cell r="H6462" t="str">
            <v>pediatria</v>
          </cell>
          <cell r="J6462" t="str">
            <v>bueno</v>
          </cell>
          <cell r="K6462" t="str">
            <v>probsi</v>
          </cell>
        </row>
        <row r="6463">
          <cell r="B6463" t="b">
            <v>1</v>
          </cell>
          <cell r="E6463" t="str">
            <v>Libano</v>
          </cell>
          <cell r="H6463" t="str">
            <v>pediatria</v>
          </cell>
          <cell r="J6463" t="str">
            <v>bueno</v>
          </cell>
          <cell r="K6463" t="str">
            <v>probsi</v>
          </cell>
        </row>
        <row r="6464">
          <cell r="B6464" t="b">
            <v>1</v>
          </cell>
          <cell r="E6464" t="str">
            <v>Libano</v>
          </cell>
          <cell r="H6464" t="str">
            <v>pediatria</v>
          </cell>
          <cell r="J6464" t="str">
            <v>bueno</v>
          </cell>
          <cell r="K6464" t="str">
            <v>probsi</v>
          </cell>
        </row>
        <row r="6465">
          <cell r="B6465" t="b">
            <v>1</v>
          </cell>
          <cell r="E6465" t="str">
            <v>Libano</v>
          </cell>
          <cell r="H6465" t="str">
            <v>pediatria</v>
          </cell>
          <cell r="J6465" t="str">
            <v>bueno</v>
          </cell>
          <cell r="K6465" t="str">
            <v>probsi</v>
          </cell>
        </row>
        <row r="6466">
          <cell r="B6466" t="b">
            <v>1</v>
          </cell>
          <cell r="E6466" t="str">
            <v>Libano</v>
          </cell>
          <cell r="H6466" t="str">
            <v>pediatria</v>
          </cell>
          <cell r="J6466" t="str">
            <v>bueno</v>
          </cell>
          <cell r="K6466" t="str">
            <v>probsi</v>
          </cell>
        </row>
        <row r="6467">
          <cell r="B6467" t="b">
            <v>1</v>
          </cell>
          <cell r="E6467" t="str">
            <v>Libano</v>
          </cell>
          <cell r="H6467" t="str">
            <v>pediatria</v>
          </cell>
          <cell r="J6467" t="str">
            <v>bueno</v>
          </cell>
          <cell r="K6467" t="str">
            <v>probsi</v>
          </cell>
        </row>
        <row r="6468">
          <cell r="B6468" t="b">
            <v>1</v>
          </cell>
          <cell r="E6468" t="str">
            <v>Libano</v>
          </cell>
          <cell r="H6468" t="str">
            <v>pediatria</v>
          </cell>
          <cell r="J6468" t="str">
            <v>muybueno</v>
          </cell>
          <cell r="K6468" t="str">
            <v>probsi</v>
          </cell>
        </row>
        <row r="6469">
          <cell r="B6469" t="b">
            <v>1</v>
          </cell>
          <cell r="E6469" t="str">
            <v>Socorro</v>
          </cell>
          <cell r="H6469" t="str">
            <v>salud_oral</v>
          </cell>
          <cell r="J6469" t="str">
            <v>bueno</v>
          </cell>
          <cell r="K6469" t="str">
            <v>defsi</v>
          </cell>
        </row>
        <row r="6470">
          <cell r="B6470" t="b">
            <v>0</v>
          </cell>
          <cell r="E6470" t="str">
            <v>Socorro</v>
          </cell>
          <cell r="H6470" t="str">
            <v>salud_oral</v>
          </cell>
          <cell r="J6470" t="str">
            <v>regular</v>
          </cell>
          <cell r="K6470" t="str">
            <v>defsi</v>
          </cell>
        </row>
        <row r="6471">
          <cell r="B6471" t="b">
            <v>1</v>
          </cell>
          <cell r="E6471" t="str">
            <v>Tierra Bomba</v>
          </cell>
          <cell r="H6471" t="str">
            <v>consulta_externa</v>
          </cell>
          <cell r="J6471" t="str">
            <v>muybueno</v>
          </cell>
          <cell r="K6471" t="str">
            <v>defsi</v>
          </cell>
        </row>
        <row r="6472">
          <cell r="B6472" t="b">
            <v>1</v>
          </cell>
          <cell r="E6472" t="str">
            <v>Tierra Bomba</v>
          </cell>
          <cell r="H6472" t="str">
            <v>salud_oral</v>
          </cell>
          <cell r="J6472" t="str">
            <v>muybueno</v>
          </cell>
          <cell r="K6472" t="str">
            <v>defsi</v>
          </cell>
        </row>
        <row r="6473">
          <cell r="B6473" t="b">
            <v>0</v>
          </cell>
          <cell r="E6473" t="str">
            <v>Socorro</v>
          </cell>
          <cell r="H6473" t="str">
            <v>salud_oral</v>
          </cell>
          <cell r="J6473" t="str">
            <v>regular</v>
          </cell>
          <cell r="K6473" t="str">
            <v>defsi</v>
          </cell>
        </row>
        <row r="6474">
          <cell r="B6474" t="b">
            <v>1</v>
          </cell>
          <cell r="E6474" t="str">
            <v>Tierra Bomba</v>
          </cell>
          <cell r="H6474" t="str">
            <v>consulta_externa</v>
          </cell>
          <cell r="J6474" t="str">
            <v>muybueno</v>
          </cell>
          <cell r="K6474" t="str">
            <v>defsi</v>
          </cell>
        </row>
        <row r="6475">
          <cell r="B6475" t="b">
            <v>1</v>
          </cell>
          <cell r="E6475" t="str">
            <v>Tierra Bomba</v>
          </cell>
          <cell r="H6475" t="str">
            <v>salud_oral</v>
          </cell>
          <cell r="J6475" t="str">
            <v>muybueno</v>
          </cell>
          <cell r="K6475" t="str">
            <v>defsi</v>
          </cell>
        </row>
        <row r="6476">
          <cell r="B6476" t="b">
            <v>1</v>
          </cell>
          <cell r="E6476" t="str">
            <v>Socorro</v>
          </cell>
          <cell r="H6476" t="str">
            <v>laboratorio</v>
          </cell>
          <cell r="J6476" t="str">
            <v>bueno</v>
          </cell>
          <cell r="K6476" t="str">
            <v>defsi</v>
          </cell>
        </row>
        <row r="6477">
          <cell r="B6477" t="b">
            <v>1</v>
          </cell>
          <cell r="E6477" t="str">
            <v>Socorro</v>
          </cell>
          <cell r="H6477" t="str">
            <v>laboratorio</v>
          </cell>
          <cell r="J6477" t="str">
            <v>bueno</v>
          </cell>
          <cell r="K6477" t="str">
            <v>defsi</v>
          </cell>
        </row>
        <row r="6478">
          <cell r="B6478" t="b">
            <v>0</v>
          </cell>
          <cell r="E6478" t="str">
            <v>Socorro</v>
          </cell>
          <cell r="H6478" t="str">
            <v>laboratorio</v>
          </cell>
          <cell r="J6478" t="str">
            <v>regular</v>
          </cell>
          <cell r="K6478" t="str">
            <v>probsi</v>
          </cell>
        </row>
        <row r="6479">
          <cell r="B6479" t="b">
            <v>1</v>
          </cell>
          <cell r="E6479" t="str">
            <v>Socorro</v>
          </cell>
          <cell r="H6479" t="str">
            <v>laboratorio</v>
          </cell>
          <cell r="J6479" t="str">
            <v>muybueno</v>
          </cell>
          <cell r="K6479" t="str">
            <v>defsi</v>
          </cell>
        </row>
        <row r="6480">
          <cell r="B6480" t="b">
            <v>1</v>
          </cell>
          <cell r="E6480" t="str">
            <v>Socorro</v>
          </cell>
          <cell r="H6480" t="str">
            <v>laboratorio</v>
          </cell>
          <cell r="J6480" t="str">
            <v>bueno</v>
          </cell>
          <cell r="K6480" t="str">
            <v>defsi</v>
          </cell>
        </row>
        <row r="6481">
          <cell r="B6481" t="b">
            <v>1</v>
          </cell>
          <cell r="E6481" t="str">
            <v>Socorro</v>
          </cell>
          <cell r="H6481" t="str">
            <v>laboratorio</v>
          </cell>
          <cell r="J6481" t="str">
            <v>bueno</v>
          </cell>
          <cell r="K6481" t="str">
            <v>defsi</v>
          </cell>
        </row>
        <row r="6482">
          <cell r="B6482" t="b">
            <v>1</v>
          </cell>
          <cell r="E6482" t="str">
            <v>Tierra Bomba</v>
          </cell>
          <cell r="H6482" t="str">
            <v>consulta_externa</v>
          </cell>
          <cell r="J6482" t="str">
            <v>muybueno</v>
          </cell>
          <cell r="K6482" t="str">
            <v>defsi</v>
          </cell>
        </row>
        <row r="6483">
          <cell r="B6483" t="b">
            <v>1</v>
          </cell>
          <cell r="E6483" t="str">
            <v>Tierra Bomba</v>
          </cell>
          <cell r="H6483" t="str">
            <v>salud_oral</v>
          </cell>
          <cell r="J6483" t="str">
            <v>muybueno</v>
          </cell>
          <cell r="K6483" t="str">
            <v>defsi</v>
          </cell>
        </row>
        <row r="6484">
          <cell r="B6484" t="b">
            <v>1</v>
          </cell>
          <cell r="E6484" t="str">
            <v>Tierra Bomba</v>
          </cell>
          <cell r="H6484" t="str">
            <v>consulta_externa</v>
          </cell>
          <cell r="J6484" t="str">
            <v>muybueno</v>
          </cell>
          <cell r="K6484" t="str">
            <v>defsi</v>
          </cell>
        </row>
        <row r="6485">
          <cell r="B6485" t="b">
            <v>1</v>
          </cell>
          <cell r="E6485" t="str">
            <v>Tierra Bomba</v>
          </cell>
          <cell r="H6485" t="str">
            <v>salud_oral</v>
          </cell>
          <cell r="J6485" t="str">
            <v>muybueno</v>
          </cell>
          <cell r="K6485" t="str">
            <v>defsi</v>
          </cell>
        </row>
        <row r="6486">
          <cell r="B6486" t="b">
            <v>1</v>
          </cell>
          <cell r="E6486" t="str">
            <v>Socorro</v>
          </cell>
          <cell r="H6486" t="str">
            <v>salud_oral</v>
          </cell>
          <cell r="J6486" t="str">
            <v>bueno</v>
          </cell>
          <cell r="K6486" t="str">
            <v>defsi</v>
          </cell>
        </row>
        <row r="6487">
          <cell r="B6487" t="b">
            <v>0</v>
          </cell>
          <cell r="E6487" t="str">
            <v>Socorro</v>
          </cell>
          <cell r="H6487" t="str">
            <v>salud_oral</v>
          </cell>
          <cell r="J6487" t="str">
            <v>regular</v>
          </cell>
          <cell r="K6487" t="str">
            <v>defsi</v>
          </cell>
        </row>
        <row r="6488">
          <cell r="B6488" t="b">
            <v>1</v>
          </cell>
          <cell r="E6488" t="str">
            <v>Socorro</v>
          </cell>
          <cell r="H6488" t="str">
            <v>salud_oral</v>
          </cell>
          <cell r="J6488" t="str">
            <v>bueno</v>
          </cell>
          <cell r="K6488" t="str">
            <v>defsi</v>
          </cell>
        </row>
        <row r="6489">
          <cell r="B6489" t="b">
            <v>1</v>
          </cell>
          <cell r="E6489" t="str">
            <v>Socorro</v>
          </cell>
          <cell r="H6489" t="str">
            <v>laboratorio</v>
          </cell>
          <cell r="J6489" t="str">
            <v>bueno</v>
          </cell>
          <cell r="K6489" t="str">
            <v>defsi</v>
          </cell>
        </row>
        <row r="6490">
          <cell r="B6490" t="b">
            <v>1</v>
          </cell>
          <cell r="E6490" t="str">
            <v>Socorro</v>
          </cell>
          <cell r="H6490" t="str">
            <v>laboratorio</v>
          </cell>
          <cell r="J6490" t="str">
            <v>bueno</v>
          </cell>
          <cell r="K6490" t="str">
            <v>defsi</v>
          </cell>
        </row>
        <row r="6491">
          <cell r="B6491" t="b">
            <v>1</v>
          </cell>
          <cell r="E6491" t="str">
            <v>Socorro</v>
          </cell>
          <cell r="H6491" t="str">
            <v>laboratorio</v>
          </cell>
          <cell r="J6491" t="str">
            <v>bueno</v>
          </cell>
          <cell r="K6491" t="str">
            <v>defsi</v>
          </cell>
        </row>
        <row r="6492">
          <cell r="B6492" t="b">
            <v>1</v>
          </cell>
          <cell r="E6492" t="str">
            <v>Socorro</v>
          </cell>
          <cell r="H6492" t="str">
            <v>salud_oral</v>
          </cell>
          <cell r="J6492" t="str">
            <v>bueno</v>
          </cell>
          <cell r="K6492" t="str">
            <v>defsi</v>
          </cell>
        </row>
        <row r="6493">
          <cell r="B6493" t="b">
            <v>1</v>
          </cell>
          <cell r="E6493" t="str">
            <v>Socorro</v>
          </cell>
          <cell r="H6493" t="str">
            <v>salud_oral</v>
          </cell>
          <cell r="J6493" t="str">
            <v>bueno</v>
          </cell>
          <cell r="K6493" t="str">
            <v>defsi</v>
          </cell>
        </row>
        <row r="6494">
          <cell r="B6494" t="b">
            <v>1</v>
          </cell>
          <cell r="E6494" t="str">
            <v>Socorro</v>
          </cell>
          <cell r="H6494" t="str">
            <v>salud_oral</v>
          </cell>
          <cell r="J6494" t="str">
            <v>bueno</v>
          </cell>
          <cell r="K6494" t="str">
            <v>defsi</v>
          </cell>
        </row>
        <row r="6495">
          <cell r="B6495" t="b">
            <v>1</v>
          </cell>
          <cell r="E6495" t="str">
            <v>Tierra Bomba</v>
          </cell>
          <cell r="H6495" t="str">
            <v>consulta_externa</v>
          </cell>
          <cell r="J6495" t="str">
            <v>muybueno</v>
          </cell>
          <cell r="K6495" t="str">
            <v>defsi</v>
          </cell>
        </row>
        <row r="6496">
          <cell r="B6496" t="b">
            <v>1</v>
          </cell>
          <cell r="E6496" t="str">
            <v>Socorro</v>
          </cell>
          <cell r="H6496" t="str">
            <v>salud_oral</v>
          </cell>
          <cell r="J6496" t="str">
            <v>bueno</v>
          </cell>
          <cell r="K6496" t="str">
            <v>defsi</v>
          </cell>
        </row>
        <row r="6497">
          <cell r="B6497" t="b">
            <v>1</v>
          </cell>
          <cell r="E6497" t="str">
            <v>Tierra Bomba</v>
          </cell>
          <cell r="H6497" t="str">
            <v>laboratorio</v>
          </cell>
          <cell r="J6497" t="str">
            <v>muybueno</v>
          </cell>
          <cell r="K6497" t="str">
            <v>defsi</v>
          </cell>
        </row>
        <row r="6498">
          <cell r="B6498" t="b">
            <v>1</v>
          </cell>
          <cell r="E6498" t="str">
            <v>Tierra Bomba</v>
          </cell>
          <cell r="H6498" t="str">
            <v>consulta_externa</v>
          </cell>
          <cell r="J6498" t="str">
            <v>muybueno</v>
          </cell>
          <cell r="K6498" t="str">
            <v>defsi</v>
          </cell>
        </row>
        <row r="6499">
          <cell r="B6499" t="b">
            <v>1</v>
          </cell>
          <cell r="E6499" t="str">
            <v>Tierra Bomba</v>
          </cell>
          <cell r="H6499" t="str">
            <v>consulta_externa</v>
          </cell>
          <cell r="J6499" t="str">
            <v>muybueno</v>
          </cell>
          <cell r="K6499" t="str">
            <v>defsi</v>
          </cell>
        </row>
        <row r="6500">
          <cell r="B6500" t="b">
            <v>1</v>
          </cell>
          <cell r="E6500" t="str">
            <v>Tierra Bomba</v>
          </cell>
          <cell r="H6500" t="str">
            <v>laboratorio</v>
          </cell>
          <cell r="J6500" t="str">
            <v>muybueno</v>
          </cell>
          <cell r="K6500" t="str">
            <v>defsi</v>
          </cell>
        </row>
        <row r="6501">
          <cell r="B6501" t="b">
            <v>1</v>
          </cell>
          <cell r="E6501" t="str">
            <v>Tierra Bomba</v>
          </cell>
          <cell r="H6501" t="str">
            <v>consulta_externa</v>
          </cell>
          <cell r="J6501" t="str">
            <v>muybueno</v>
          </cell>
          <cell r="K6501" t="str">
            <v>defsi</v>
          </cell>
        </row>
        <row r="6502">
          <cell r="B6502" t="b">
            <v>1</v>
          </cell>
          <cell r="E6502" t="str">
            <v>Tierra Bomba</v>
          </cell>
          <cell r="H6502" t="str">
            <v>laboratorio</v>
          </cell>
          <cell r="J6502" t="str">
            <v>muybueno</v>
          </cell>
          <cell r="K6502" t="str">
            <v>defsi</v>
          </cell>
        </row>
        <row r="6503">
          <cell r="B6503" t="b">
            <v>1</v>
          </cell>
          <cell r="E6503" t="str">
            <v>Libano</v>
          </cell>
          <cell r="H6503" t="str">
            <v>ginecologia</v>
          </cell>
          <cell r="J6503" t="str">
            <v>bueno</v>
          </cell>
          <cell r="K6503" t="str">
            <v>probsi</v>
          </cell>
        </row>
        <row r="6504">
          <cell r="B6504" t="b">
            <v>1</v>
          </cell>
          <cell r="E6504" t="str">
            <v>Libano</v>
          </cell>
          <cell r="H6504" t="str">
            <v>ginecologia</v>
          </cell>
          <cell r="J6504" t="str">
            <v>bueno</v>
          </cell>
          <cell r="K6504" t="str">
            <v>probsi</v>
          </cell>
        </row>
        <row r="6505">
          <cell r="B6505" t="b">
            <v>1</v>
          </cell>
          <cell r="E6505" t="str">
            <v>Libano</v>
          </cell>
          <cell r="H6505" t="str">
            <v>ginecologia</v>
          </cell>
          <cell r="J6505" t="str">
            <v>bueno</v>
          </cell>
          <cell r="K6505" t="str">
            <v>probsi</v>
          </cell>
        </row>
        <row r="6506">
          <cell r="B6506" t="b">
            <v>1</v>
          </cell>
          <cell r="E6506" t="str">
            <v>Boston</v>
          </cell>
          <cell r="H6506" t="str">
            <v>consulta_externa</v>
          </cell>
          <cell r="J6506" t="str">
            <v>bueno</v>
          </cell>
          <cell r="K6506" t="str">
            <v>probsi</v>
          </cell>
        </row>
        <row r="6507">
          <cell r="B6507" t="b">
            <v>1</v>
          </cell>
          <cell r="E6507" t="str">
            <v>Boston</v>
          </cell>
          <cell r="H6507" t="str">
            <v>consulta_externa</v>
          </cell>
          <cell r="J6507" t="str">
            <v>bueno</v>
          </cell>
          <cell r="K6507" t="str">
            <v>probsi</v>
          </cell>
        </row>
        <row r="6508">
          <cell r="B6508" t="b">
            <v>1</v>
          </cell>
          <cell r="E6508" t="str">
            <v>Boston</v>
          </cell>
          <cell r="H6508" t="str">
            <v>consulta_externa</v>
          </cell>
          <cell r="J6508" t="str">
            <v>bueno</v>
          </cell>
          <cell r="K6508" t="str">
            <v>probsi</v>
          </cell>
        </row>
        <row r="6509">
          <cell r="B6509" t="b">
            <v>0</v>
          </cell>
          <cell r="E6509" t="str">
            <v>Boston</v>
          </cell>
          <cell r="H6509" t="str">
            <v>consulta_externa</v>
          </cell>
          <cell r="J6509" t="str">
            <v>regular</v>
          </cell>
          <cell r="K6509" t="str">
            <v>probsi</v>
          </cell>
        </row>
        <row r="6510">
          <cell r="B6510" t="b">
            <v>1</v>
          </cell>
          <cell r="E6510" t="str">
            <v>Foco Rojo</v>
          </cell>
          <cell r="H6510" t="str">
            <v>consulta_externa</v>
          </cell>
          <cell r="J6510" t="str">
            <v>bueno</v>
          </cell>
          <cell r="K6510" t="str">
            <v>defsi</v>
          </cell>
        </row>
        <row r="6511">
          <cell r="B6511" t="b">
            <v>1</v>
          </cell>
          <cell r="E6511" t="str">
            <v>Foco Rojo</v>
          </cell>
          <cell r="H6511" t="str">
            <v>salud_oral</v>
          </cell>
          <cell r="J6511" t="str">
            <v>bueno</v>
          </cell>
          <cell r="K6511" t="str">
            <v>defsi</v>
          </cell>
        </row>
        <row r="6512">
          <cell r="B6512" t="b">
            <v>1</v>
          </cell>
          <cell r="E6512" t="str">
            <v>Foco Rojo</v>
          </cell>
          <cell r="H6512" t="str">
            <v>laboratorio</v>
          </cell>
          <cell r="J6512" t="str">
            <v>bueno</v>
          </cell>
          <cell r="K6512" t="str">
            <v>defsi</v>
          </cell>
        </row>
        <row r="6513">
          <cell r="B6513" t="b">
            <v>1</v>
          </cell>
          <cell r="E6513" t="str">
            <v>Foco Rojo</v>
          </cell>
          <cell r="H6513" t="str">
            <v>consulta_externa</v>
          </cell>
          <cell r="J6513" t="str">
            <v>bueno</v>
          </cell>
          <cell r="K6513" t="str">
            <v>defsi</v>
          </cell>
        </row>
        <row r="6514">
          <cell r="B6514" t="b">
            <v>1</v>
          </cell>
          <cell r="E6514" t="str">
            <v>Foco Rojo</v>
          </cell>
          <cell r="H6514" t="str">
            <v>salud_oral</v>
          </cell>
          <cell r="J6514" t="str">
            <v>bueno</v>
          </cell>
          <cell r="K6514" t="str">
            <v>defsi</v>
          </cell>
        </row>
        <row r="6515">
          <cell r="B6515" t="b">
            <v>1</v>
          </cell>
          <cell r="E6515" t="str">
            <v>Foco Rojo</v>
          </cell>
          <cell r="H6515" t="str">
            <v>laboratorio</v>
          </cell>
          <cell r="J6515" t="str">
            <v>bueno</v>
          </cell>
          <cell r="K6515" t="str">
            <v>defsi</v>
          </cell>
        </row>
        <row r="6516">
          <cell r="B6516" t="b">
            <v>1</v>
          </cell>
          <cell r="E6516" t="str">
            <v>Boston</v>
          </cell>
          <cell r="H6516" t="str">
            <v>consulta_externa</v>
          </cell>
          <cell r="J6516" t="str">
            <v>bueno</v>
          </cell>
          <cell r="K6516" t="str">
            <v>probsi</v>
          </cell>
        </row>
        <row r="6517">
          <cell r="B6517" t="b">
            <v>1</v>
          </cell>
          <cell r="E6517" t="str">
            <v>Boston</v>
          </cell>
          <cell r="H6517" t="str">
            <v>consulta_externa</v>
          </cell>
          <cell r="J6517" t="str">
            <v>bueno</v>
          </cell>
          <cell r="K6517" t="str">
            <v>probsi</v>
          </cell>
        </row>
        <row r="6518">
          <cell r="B6518" t="b">
            <v>1</v>
          </cell>
          <cell r="E6518" t="str">
            <v>Boston</v>
          </cell>
          <cell r="H6518" t="str">
            <v>consulta_externa</v>
          </cell>
          <cell r="J6518" t="str">
            <v>bueno</v>
          </cell>
          <cell r="K6518" t="str">
            <v>probsi</v>
          </cell>
        </row>
        <row r="6519">
          <cell r="B6519" t="b">
            <v>1</v>
          </cell>
          <cell r="E6519" t="str">
            <v>Foco Rojo</v>
          </cell>
          <cell r="H6519" t="str">
            <v>laboratorio</v>
          </cell>
          <cell r="J6519" t="str">
            <v>bueno</v>
          </cell>
          <cell r="K6519" t="str">
            <v>defsi</v>
          </cell>
        </row>
        <row r="6520">
          <cell r="B6520" t="b">
            <v>1</v>
          </cell>
          <cell r="E6520" t="str">
            <v>Foco Rojo</v>
          </cell>
          <cell r="H6520" t="str">
            <v>consulta_externa</v>
          </cell>
          <cell r="J6520" t="str">
            <v>bueno</v>
          </cell>
          <cell r="K6520" t="str">
            <v>defsi</v>
          </cell>
        </row>
        <row r="6521">
          <cell r="B6521" t="b">
            <v>1</v>
          </cell>
          <cell r="E6521" t="str">
            <v>Foco Rojo</v>
          </cell>
          <cell r="H6521" t="str">
            <v>salud_oral</v>
          </cell>
          <cell r="J6521" t="str">
            <v>bueno</v>
          </cell>
          <cell r="K6521" t="str">
            <v>defsi</v>
          </cell>
        </row>
        <row r="6522">
          <cell r="B6522" t="b">
            <v>1</v>
          </cell>
          <cell r="E6522" t="str">
            <v>Boston</v>
          </cell>
          <cell r="H6522" t="str">
            <v>consulta_externa</v>
          </cell>
          <cell r="J6522" t="str">
            <v>bueno</v>
          </cell>
          <cell r="K6522" t="str">
            <v>probsi</v>
          </cell>
        </row>
        <row r="6523">
          <cell r="B6523" t="b">
            <v>1</v>
          </cell>
          <cell r="E6523" t="str">
            <v>Boston</v>
          </cell>
          <cell r="H6523" t="str">
            <v>consulta_externa</v>
          </cell>
          <cell r="J6523" t="str">
            <v>bueno</v>
          </cell>
          <cell r="K6523" t="str">
            <v>probsi</v>
          </cell>
        </row>
        <row r="6524">
          <cell r="B6524" t="b">
            <v>1</v>
          </cell>
          <cell r="E6524" t="str">
            <v>Boston</v>
          </cell>
          <cell r="H6524" t="str">
            <v>consulta_externa</v>
          </cell>
          <cell r="J6524" t="str">
            <v>bueno</v>
          </cell>
          <cell r="K6524" t="str">
            <v>probsi</v>
          </cell>
        </row>
        <row r="6525">
          <cell r="B6525" t="b">
            <v>1</v>
          </cell>
          <cell r="E6525" t="str">
            <v>Boston</v>
          </cell>
          <cell r="H6525" t="str">
            <v>consulta_externa</v>
          </cell>
          <cell r="J6525" t="str">
            <v>bueno</v>
          </cell>
          <cell r="K6525" t="str">
            <v>probsi</v>
          </cell>
        </row>
        <row r="6526">
          <cell r="B6526" t="b">
            <v>1</v>
          </cell>
          <cell r="E6526" t="str">
            <v>Boston</v>
          </cell>
          <cell r="H6526" t="str">
            <v>consulta_externa</v>
          </cell>
          <cell r="J6526" t="str">
            <v>bueno</v>
          </cell>
          <cell r="K6526" t="str">
            <v>probsi</v>
          </cell>
        </row>
        <row r="6527">
          <cell r="B6527" t="b">
            <v>1</v>
          </cell>
          <cell r="E6527" t="str">
            <v>Boston</v>
          </cell>
          <cell r="H6527" t="str">
            <v>consulta_externa</v>
          </cell>
          <cell r="J6527" t="str">
            <v>bueno</v>
          </cell>
          <cell r="K6527" t="str">
            <v>probsi</v>
          </cell>
        </row>
        <row r="6528">
          <cell r="B6528" t="b">
            <v>1</v>
          </cell>
          <cell r="E6528" t="str">
            <v>Boston</v>
          </cell>
          <cell r="H6528" t="str">
            <v>consulta_externa</v>
          </cell>
          <cell r="J6528" t="str">
            <v>bueno</v>
          </cell>
          <cell r="K6528" t="str">
            <v>probsi</v>
          </cell>
        </row>
        <row r="6529">
          <cell r="B6529" t="b">
            <v>1</v>
          </cell>
          <cell r="E6529" t="str">
            <v>Boston</v>
          </cell>
          <cell r="H6529" t="str">
            <v>consulta_externa</v>
          </cell>
          <cell r="J6529" t="str">
            <v>muybueno</v>
          </cell>
          <cell r="K6529" t="str">
            <v>probsi</v>
          </cell>
        </row>
        <row r="6530">
          <cell r="B6530" t="b">
            <v>1</v>
          </cell>
          <cell r="E6530" t="str">
            <v>Tierra Bomba</v>
          </cell>
          <cell r="H6530" t="str">
            <v>consulta_externa</v>
          </cell>
          <cell r="J6530" t="str">
            <v>muybueno</v>
          </cell>
          <cell r="K6530" t="str">
            <v>defsi</v>
          </cell>
        </row>
        <row r="6531">
          <cell r="B6531" t="b">
            <v>1</v>
          </cell>
          <cell r="E6531" t="str">
            <v>Tierra Bomba</v>
          </cell>
          <cell r="H6531" t="str">
            <v>laboratorio</v>
          </cell>
          <cell r="J6531" t="str">
            <v>muybueno</v>
          </cell>
          <cell r="K6531" t="str">
            <v>defsi</v>
          </cell>
        </row>
        <row r="6532">
          <cell r="B6532" t="b">
            <v>1</v>
          </cell>
          <cell r="E6532" t="str">
            <v>Tierra Bomba</v>
          </cell>
          <cell r="H6532" t="str">
            <v>salud_oral</v>
          </cell>
          <cell r="J6532" t="str">
            <v>muybueno</v>
          </cell>
          <cell r="K6532" t="str">
            <v>defsi</v>
          </cell>
        </row>
        <row r="6533">
          <cell r="B6533" t="b">
            <v>1</v>
          </cell>
          <cell r="E6533" t="str">
            <v>Tierra Bomba</v>
          </cell>
          <cell r="H6533" t="str">
            <v>consulta_externa</v>
          </cell>
          <cell r="J6533" t="str">
            <v>muybueno</v>
          </cell>
          <cell r="K6533" t="str">
            <v>defsi</v>
          </cell>
        </row>
        <row r="6534">
          <cell r="B6534" t="b">
            <v>1</v>
          </cell>
          <cell r="E6534" t="str">
            <v>Tierra Bomba</v>
          </cell>
          <cell r="H6534" t="str">
            <v>laboratorio</v>
          </cell>
          <cell r="J6534" t="str">
            <v>muybueno</v>
          </cell>
          <cell r="K6534" t="str">
            <v>defsi</v>
          </cell>
        </row>
        <row r="6535">
          <cell r="B6535" t="b">
            <v>1</v>
          </cell>
          <cell r="E6535" t="str">
            <v>Tierra Bomba</v>
          </cell>
          <cell r="H6535" t="str">
            <v>consulta_externa</v>
          </cell>
          <cell r="J6535" t="str">
            <v>muybueno</v>
          </cell>
          <cell r="K6535" t="str">
            <v>defsi</v>
          </cell>
        </row>
        <row r="6536">
          <cell r="B6536" t="b">
            <v>1</v>
          </cell>
          <cell r="E6536" t="str">
            <v>Tierra Bomba</v>
          </cell>
          <cell r="H6536" t="str">
            <v>salud_oral</v>
          </cell>
          <cell r="J6536" t="str">
            <v>muybueno</v>
          </cell>
          <cell r="K6536" t="str">
            <v>defsi</v>
          </cell>
        </row>
        <row r="6537">
          <cell r="B6537" t="b">
            <v>1</v>
          </cell>
          <cell r="E6537" t="str">
            <v>Tierra Bomba</v>
          </cell>
          <cell r="H6537" t="str">
            <v>consulta_externa</v>
          </cell>
          <cell r="J6537" t="str">
            <v>muybueno</v>
          </cell>
          <cell r="K6537" t="str">
            <v>defsi</v>
          </cell>
        </row>
        <row r="6538">
          <cell r="B6538" t="b">
            <v>1</v>
          </cell>
          <cell r="E6538" t="str">
            <v>Tierra Bomba</v>
          </cell>
          <cell r="H6538" t="str">
            <v>laboratorio</v>
          </cell>
          <cell r="J6538" t="str">
            <v>muybueno</v>
          </cell>
          <cell r="K6538" t="str">
            <v>defsi</v>
          </cell>
        </row>
        <row r="6539">
          <cell r="B6539" t="b">
            <v>1</v>
          </cell>
          <cell r="E6539" t="str">
            <v>Tierra Bomba</v>
          </cell>
          <cell r="H6539" t="str">
            <v>salud_oral</v>
          </cell>
          <cell r="J6539" t="str">
            <v>muybueno</v>
          </cell>
          <cell r="K6539" t="str">
            <v>defsi</v>
          </cell>
        </row>
        <row r="6540">
          <cell r="B6540" t="b">
            <v>1</v>
          </cell>
          <cell r="E6540" t="str">
            <v>Tierra Bomba</v>
          </cell>
          <cell r="H6540" t="str">
            <v>consulta_externa</v>
          </cell>
          <cell r="J6540" t="str">
            <v>muybueno</v>
          </cell>
          <cell r="K6540" t="str">
            <v>defsi</v>
          </cell>
        </row>
        <row r="6541">
          <cell r="B6541" t="b">
            <v>1</v>
          </cell>
          <cell r="E6541" t="str">
            <v>Tierra Bomba</v>
          </cell>
          <cell r="H6541" t="str">
            <v>consulta_externa</v>
          </cell>
          <cell r="J6541" t="str">
            <v>muybueno</v>
          </cell>
          <cell r="K6541" t="str">
            <v>defsi</v>
          </cell>
        </row>
        <row r="6542">
          <cell r="B6542" t="b">
            <v>1</v>
          </cell>
          <cell r="E6542" t="str">
            <v>Tierra Bomba</v>
          </cell>
          <cell r="H6542" t="str">
            <v>consulta_externa</v>
          </cell>
          <cell r="J6542" t="str">
            <v>muybueno</v>
          </cell>
          <cell r="K6542" t="str">
            <v>defsi</v>
          </cell>
        </row>
        <row r="6543">
          <cell r="B6543" t="b">
            <v>1</v>
          </cell>
          <cell r="E6543" t="str">
            <v>Tierra Bomba</v>
          </cell>
          <cell r="H6543" t="str">
            <v>salud_oral</v>
          </cell>
          <cell r="J6543" t="str">
            <v>muybueno</v>
          </cell>
          <cell r="K6543" t="str">
            <v>defsi</v>
          </cell>
        </row>
        <row r="6544">
          <cell r="B6544" t="b">
            <v>1</v>
          </cell>
          <cell r="E6544" t="str">
            <v>Tierra Bomba</v>
          </cell>
          <cell r="H6544" t="str">
            <v>consulta_externa</v>
          </cell>
          <cell r="J6544" t="str">
            <v>muybueno</v>
          </cell>
          <cell r="K6544" t="str">
            <v>defsi</v>
          </cell>
        </row>
        <row r="6545">
          <cell r="B6545" t="b">
            <v>1</v>
          </cell>
          <cell r="E6545" t="str">
            <v>Tierra Bomba</v>
          </cell>
          <cell r="H6545" t="str">
            <v>laboratorio</v>
          </cell>
          <cell r="J6545" t="str">
            <v>muybueno</v>
          </cell>
          <cell r="K6545" t="str">
            <v>defsi</v>
          </cell>
        </row>
        <row r="6546">
          <cell r="B6546" t="b">
            <v>1</v>
          </cell>
          <cell r="E6546" t="str">
            <v>Tierra Bomba</v>
          </cell>
          <cell r="H6546" t="str">
            <v>consulta_externa</v>
          </cell>
          <cell r="J6546" t="str">
            <v>muybueno</v>
          </cell>
          <cell r="K6546" t="str">
            <v>defsi</v>
          </cell>
        </row>
        <row r="6547">
          <cell r="B6547" t="b">
            <v>1</v>
          </cell>
          <cell r="E6547" t="str">
            <v>Tierra Bomba</v>
          </cell>
          <cell r="H6547" t="str">
            <v>laboratorio</v>
          </cell>
          <cell r="J6547" t="str">
            <v>muybueno</v>
          </cell>
          <cell r="K6547" t="str">
            <v>defsi</v>
          </cell>
        </row>
        <row r="6548">
          <cell r="B6548" t="b">
            <v>1</v>
          </cell>
          <cell r="E6548" t="str">
            <v>Tierra Bomba</v>
          </cell>
          <cell r="H6548" t="str">
            <v>consulta_externa</v>
          </cell>
          <cell r="J6548" t="str">
            <v>muybueno</v>
          </cell>
          <cell r="K6548" t="str">
            <v>defsi</v>
          </cell>
        </row>
        <row r="6549">
          <cell r="B6549" t="b">
            <v>1</v>
          </cell>
          <cell r="E6549" t="str">
            <v>Tierra Bomba</v>
          </cell>
          <cell r="H6549" t="str">
            <v>consulta_externa</v>
          </cell>
          <cell r="J6549" t="str">
            <v>muybueno</v>
          </cell>
          <cell r="K6549" t="str">
            <v>defsi</v>
          </cell>
        </row>
        <row r="6550">
          <cell r="B6550" t="b">
            <v>1</v>
          </cell>
          <cell r="E6550" t="str">
            <v>Tierra Bomba</v>
          </cell>
          <cell r="H6550" t="str">
            <v>consulta_externa</v>
          </cell>
          <cell r="J6550" t="str">
            <v>muybueno</v>
          </cell>
          <cell r="K6550" t="str">
            <v>defsi</v>
          </cell>
        </row>
        <row r="6551">
          <cell r="B6551" t="b">
            <v>1</v>
          </cell>
          <cell r="E6551" t="str">
            <v>Tierra Bomba</v>
          </cell>
          <cell r="H6551" t="str">
            <v>laboratorio</v>
          </cell>
          <cell r="J6551" t="str">
            <v>muybueno</v>
          </cell>
          <cell r="K6551" t="str">
            <v>defsi</v>
          </cell>
        </row>
        <row r="6552">
          <cell r="B6552" t="b">
            <v>1</v>
          </cell>
          <cell r="E6552" t="str">
            <v>Tierra Bomba</v>
          </cell>
          <cell r="H6552" t="str">
            <v>salud_oral</v>
          </cell>
          <cell r="J6552" t="str">
            <v>muybueno</v>
          </cell>
          <cell r="K6552" t="str">
            <v>defsi</v>
          </cell>
        </row>
        <row r="6553">
          <cell r="B6553" t="b">
            <v>1</v>
          </cell>
          <cell r="E6553" t="str">
            <v>Tierra Bomba</v>
          </cell>
          <cell r="H6553" t="str">
            <v>consulta_externa</v>
          </cell>
          <cell r="J6553" t="str">
            <v>muybueno</v>
          </cell>
          <cell r="K6553" t="str">
            <v>defsi</v>
          </cell>
        </row>
        <row r="6554">
          <cell r="B6554" t="b">
            <v>1</v>
          </cell>
          <cell r="E6554" t="str">
            <v>Tierra Bomba</v>
          </cell>
          <cell r="H6554" t="str">
            <v>consulta_externa</v>
          </cell>
          <cell r="J6554" t="str">
            <v>muybueno</v>
          </cell>
          <cell r="K6554" t="str">
            <v>defsi</v>
          </cell>
        </row>
        <row r="6555">
          <cell r="B6555" t="b">
            <v>1</v>
          </cell>
          <cell r="E6555" t="str">
            <v>Tierra Bomba</v>
          </cell>
          <cell r="H6555" t="str">
            <v>consulta_externa</v>
          </cell>
          <cell r="J6555" t="str">
            <v>muybueno</v>
          </cell>
          <cell r="K6555" t="str">
            <v>defsi</v>
          </cell>
        </row>
        <row r="6556">
          <cell r="B6556" t="b">
            <v>1</v>
          </cell>
          <cell r="E6556" t="str">
            <v>Tierra Bomba</v>
          </cell>
          <cell r="H6556" t="str">
            <v>laboratorio</v>
          </cell>
          <cell r="J6556" t="str">
            <v>muybueno</v>
          </cell>
          <cell r="K6556" t="str">
            <v>defsi</v>
          </cell>
        </row>
        <row r="6557">
          <cell r="B6557" t="b">
            <v>1</v>
          </cell>
          <cell r="E6557" t="str">
            <v>Tierra Bomba</v>
          </cell>
          <cell r="H6557" t="str">
            <v>consulta_externa</v>
          </cell>
          <cell r="J6557" t="str">
            <v>muybueno</v>
          </cell>
          <cell r="K6557" t="str">
            <v>defsi</v>
          </cell>
        </row>
        <row r="6558">
          <cell r="B6558" t="b">
            <v>1</v>
          </cell>
          <cell r="E6558" t="str">
            <v>Tierra Bomba</v>
          </cell>
          <cell r="H6558" t="str">
            <v>laboratorio</v>
          </cell>
          <cell r="J6558" t="str">
            <v>muybueno</v>
          </cell>
          <cell r="K6558" t="str">
            <v>defsi</v>
          </cell>
        </row>
        <row r="6559">
          <cell r="B6559" t="b">
            <v>1</v>
          </cell>
          <cell r="E6559" t="str">
            <v>Tierra Bomba</v>
          </cell>
          <cell r="H6559" t="str">
            <v>consulta_externa</v>
          </cell>
          <cell r="J6559" t="str">
            <v>muybueno</v>
          </cell>
          <cell r="K6559" t="str">
            <v>defsi</v>
          </cell>
        </row>
        <row r="6560">
          <cell r="B6560" t="b">
            <v>1</v>
          </cell>
          <cell r="E6560" t="str">
            <v>Tierra Bomba</v>
          </cell>
          <cell r="H6560" t="str">
            <v>salud_oral</v>
          </cell>
          <cell r="J6560" t="str">
            <v>muybueno</v>
          </cell>
          <cell r="K6560" t="str">
            <v>defsi</v>
          </cell>
        </row>
        <row r="6561">
          <cell r="B6561" t="b">
            <v>1</v>
          </cell>
          <cell r="E6561" t="str">
            <v>Tierra Bomba</v>
          </cell>
          <cell r="H6561" t="str">
            <v>consulta_externa</v>
          </cell>
          <cell r="J6561" t="str">
            <v>muybueno</v>
          </cell>
          <cell r="K6561" t="str">
            <v>defsi</v>
          </cell>
        </row>
        <row r="6562">
          <cell r="B6562" t="b">
            <v>1</v>
          </cell>
          <cell r="E6562" t="str">
            <v>Tierra Bomba</v>
          </cell>
          <cell r="H6562" t="str">
            <v>consulta_externa</v>
          </cell>
          <cell r="J6562" t="str">
            <v>muybueno</v>
          </cell>
          <cell r="K6562" t="str">
            <v>defsi</v>
          </cell>
        </row>
        <row r="6563">
          <cell r="B6563" t="b">
            <v>1</v>
          </cell>
          <cell r="E6563" t="str">
            <v>Tierra Bomba</v>
          </cell>
          <cell r="H6563" t="str">
            <v>laboratorio</v>
          </cell>
          <cell r="J6563" t="str">
            <v>muybueno</v>
          </cell>
          <cell r="K6563" t="str">
            <v>defsi</v>
          </cell>
        </row>
        <row r="6564">
          <cell r="B6564" t="b">
            <v>1</v>
          </cell>
          <cell r="E6564" t="str">
            <v>Tierra Bomba</v>
          </cell>
          <cell r="H6564" t="str">
            <v>consulta_externa</v>
          </cell>
          <cell r="J6564" t="str">
            <v>muybueno</v>
          </cell>
          <cell r="K6564" t="str">
            <v>defsi</v>
          </cell>
        </row>
        <row r="6565">
          <cell r="B6565" t="b">
            <v>1</v>
          </cell>
          <cell r="E6565" t="str">
            <v>Tierra Bomba</v>
          </cell>
          <cell r="H6565" t="str">
            <v>consulta_externa</v>
          </cell>
          <cell r="J6565" t="str">
            <v>muybueno</v>
          </cell>
          <cell r="K6565" t="str">
            <v>defsi</v>
          </cell>
        </row>
        <row r="6566">
          <cell r="B6566" t="b">
            <v>1</v>
          </cell>
          <cell r="E6566" t="str">
            <v>Tierra Bomba</v>
          </cell>
          <cell r="H6566" t="str">
            <v>laboratorio</v>
          </cell>
          <cell r="J6566" t="str">
            <v>muybueno</v>
          </cell>
          <cell r="K6566" t="str">
            <v>defsi</v>
          </cell>
        </row>
        <row r="6567">
          <cell r="B6567" t="b">
            <v>1</v>
          </cell>
          <cell r="E6567" t="str">
            <v>Tierra Bomba</v>
          </cell>
          <cell r="H6567" t="str">
            <v>consulta_externa</v>
          </cell>
          <cell r="J6567" t="str">
            <v>muybueno</v>
          </cell>
          <cell r="K6567" t="str">
            <v>defsi</v>
          </cell>
        </row>
        <row r="6568">
          <cell r="B6568" t="b">
            <v>1</v>
          </cell>
          <cell r="E6568" t="str">
            <v>Tierra Bomba</v>
          </cell>
          <cell r="H6568" t="str">
            <v>laboratorio</v>
          </cell>
          <cell r="J6568" t="str">
            <v>muybueno</v>
          </cell>
          <cell r="K6568" t="str">
            <v>defsi</v>
          </cell>
        </row>
        <row r="6569">
          <cell r="B6569" t="b">
            <v>1</v>
          </cell>
          <cell r="E6569" t="str">
            <v>Tierra Bomba</v>
          </cell>
          <cell r="H6569" t="str">
            <v>consulta_externa</v>
          </cell>
          <cell r="J6569" t="str">
            <v>muybueno</v>
          </cell>
          <cell r="K6569" t="str">
            <v>defsi</v>
          </cell>
        </row>
        <row r="6570">
          <cell r="B6570" t="b">
            <v>1</v>
          </cell>
          <cell r="E6570" t="str">
            <v>Tierra Bomba</v>
          </cell>
          <cell r="H6570" t="str">
            <v>laboratorio</v>
          </cell>
          <cell r="J6570" t="str">
            <v>muybueno</v>
          </cell>
          <cell r="K6570" t="str">
            <v>defsi</v>
          </cell>
        </row>
        <row r="6571">
          <cell r="B6571" t="b">
            <v>1</v>
          </cell>
          <cell r="E6571" t="str">
            <v>Tierra Bomba</v>
          </cell>
          <cell r="H6571" t="str">
            <v>consulta_externa</v>
          </cell>
          <cell r="J6571" t="str">
            <v>muybueno</v>
          </cell>
          <cell r="K6571" t="str">
            <v>defsi</v>
          </cell>
        </row>
        <row r="6572">
          <cell r="B6572" t="b">
            <v>1</v>
          </cell>
          <cell r="E6572" t="str">
            <v>Tierra Bomba</v>
          </cell>
          <cell r="H6572" t="str">
            <v>salud_oral</v>
          </cell>
          <cell r="J6572" t="str">
            <v>muybueno</v>
          </cell>
          <cell r="K6572" t="str">
            <v>defsi</v>
          </cell>
        </row>
        <row r="6573">
          <cell r="B6573" t="b">
            <v>1</v>
          </cell>
          <cell r="E6573" t="str">
            <v>Tierra Bomba</v>
          </cell>
          <cell r="H6573" t="str">
            <v>consulta_externa</v>
          </cell>
          <cell r="J6573" t="str">
            <v>muybueno</v>
          </cell>
          <cell r="K6573" t="str">
            <v>defsi</v>
          </cell>
        </row>
        <row r="6574">
          <cell r="B6574" t="b">
            <v>1</v>
          </cell>
          <cell r="E6574" t="str">
            <v>Tierra Bomba</v>
          </cell>
          <cell r="H6574" t="str">
            <v>consulta_externa</v>
          </cell>
          <cell r="J6574" t="str">
            <v>muybueno</v>
          </cell>
          <cell r="K6574" t="str">
            <v>defsi</v>
          </cell>
        </row>
        <row r="6575">
          <cell r="B6575" t="b">
            <v>1</v>
          </cell>
          <cell r="E6575" t="str">
            <v>Tierra Bomba</v>
          </cell>
          <cell r="H6575" t="str">
            <v>laboratorio</v>
          </cell>
          <cell r="J6575" t="str">
            <v>muybueno</v>
          </cell>
          <cell r="K6575" t="str">
            <v>defsi</v>
          </cell>
        </row>
        <row r="6576">
          <cell r="B6576" t="b">
            <v>1</v>
          </cell>
          <cell r="E6576" t="str">
            <v>Tierra Bomba</v>
          </cell>
          <cell r="H6576" t="str">
            <v>salud_oral</v>
          </cell>
          <cell r="J6576" t="str">
            <v>muybueno</v>
          </cell>
          <cell r="K6576" t="str">
            <v>defsi</v>
          </cell>
        </row>
        <row r="6577">
          <cell r="B6577" t="b">
            <v>1</v>
          </cell>
          <cell r="E6577" t="str">
            <v>Tierra Bomba</v>
          </cell>
          <cell r="H6577" t="str">
            <v>consulta_externa</v>
          </cell>
          <cell r="J6577" t="str">
            <v>muybueno</v>
          </cell>
          <cell r="K6577" t="str">
            <v>defsi</v>
          </cell>
        </row>
        <row r="6578">
          <cell r="B6578" t="b">
            <v>1</v>
          </cell>
          <cell r="E6578" t="str">
            <v>Tierra Bomba</v>
          </cell>
          <cell r="H6578" t="str">
            <v>laboratorio</v>
          </cell>
          <cell r="J6578" t="str">
            <v>muybueno</v>
          </cell>
          <cell r="K6578" t="str">
            <v>defsi</v>
          </cell>
        </row>
        <row r="6579">
          <cell r="B6579" t="b">
            <v>1</v>
          </cell>
          <cell r="E6579" t="str">
            <v>Tierra Bomba</v>
          </cell>
          <cell r="H6579" t="str">
            <v>consulta_externa</v>
          </cell>
          <cell r="J6579" t="str">
            <v>muybueno</v>
          </cell>
          <cell r="K6579" t="str">
            <v>defsi</v>
          </cell>
        </row>
        <row r="6580">
          <cell r="B6580" t="b">
            <v>1</v>
          </cell>
          <cell r="E6580" t="str">
            <v>Tierra Bomba</v>
          </cell>
          <cell r="H6580" t="str">
            <v>consulta_externa</v>
          </cell>
          <cell r="J6580" t="str">
            <v>muybueno</v>
          </cell>
          <cell r="K6580" t="str">
            <v>defsi</v>
          </cell>
        </row>
        <row r="6581">
          <cell r="B6581" t="b">
            <v>1</v>
          </cell>
          <cell r="E6581" t="str">
            <v>Tierra Bomba</v>
          </cell>
          <cell r="H6581" t="str">
            <v>laboratorio</v>
          </cell>
          <cell r="J6581" t="str">
            <v>muybueno</v>
          </cell>
          <cell r="K6581" t="str">
            <v>defsi</v>
          </cell>
        </row>
        <row r="6582">
          <cell r="B6582" t="b">
            <v>1</v>
          </cell>
          <cell r="E6582" t="str">
            <v>Tierra Bomba</v>
          </cell>
          <cell r="H6582" t="str">
            <v>consulta_externa</v>
          </cell>
          <cell r="J6582" t="str">
            <v>muybueno</v>
          </cell>
          <cell r="K6582" t="str">
            <v>defsi</v>
          </cell>
        </row>
        <row r="6583">
          <cell r="B6583" t="b">
            <v>1</v>
          </cell>
          <cell r="E6583" t="str">
            <v>Tierra Bomba</v>
          </cell>
          <cell r="H6583" t="str">
            <v>salud_oral</v>
          </cell>
          <cell r="J6583" t="str">
            <v>muybueno</v>
          </cell>
          <cell r="K6583" t="str">
            <v>defsi</v>
          </cell>
        </row>
        <row r="6584">
          <cell r="B6584" t="b">
            <v>1</v>
          </cell>
          <cell r="E6584" t="str">
            <v>Tierra Bomba</v>
          </cell>
          <cell r="H6584" t="str">
            <v>consulta_externa</v>
          </cell>
          <cell r="J6584" t="str">
            <v>muybueno</v>
          </cell>
          <cell r="K6584" t="str">
            <v>defsi</v>
          </cell>
        </row>
        <row r="6585">
          <cell r="B6585" t="b">
            <v>1</v>
          </cell>
          <cell r="E6585" t="str">
            <v>Tierra Bomba</v>
          </cell>
          <cell r="H6585" t="str">
            <v>consulta_externa</v>
          </cell>
          <cell r="J6585" t="str">
            <v>muybueno</v>
          </cell>
          <cell r="K6585" t="str">
            <v>defsi</v>
          </cell>
        </row>
        <row r="6586">
          <cell r="B6586" t="b">
            <v>1</v>
          </cell>
          <cell r="E6586" t="str">
            <v>Tierra Bomba</v>
          </cell>
          <cell r="H6586" t="str">
            <v>consulta_externa</v>
          </cell>
          <cell r="J6586" t="str">
            <v>muybueno</v>
          </cell>
          <cell r="K6586" t="str">
            <v>defsi</v>
          </cell>
        </row>
        <row r="6587">
          <cell r="B6587" t="b">
            <v>1</v>
          </cell>
          <cell r="E6587" t="str">
            <v>Tierra Bomba</v>
          </cell>
          <cell r="H6587" t="str">
            <v>laboratorio</v>
          </cell>
          <cell r="J6587" t="str">
            <v>muybueno</v>
          </cell>
          <cell r="K6587" t="str">
            <v>defsi</v>
          </cell>
        </row>
        <row r="6588">
          <cell r="B6588" t="b">
            <v>1</v>
          </cell>
          <cell r="E6588" t="str">
            <v>Tierra Bomba</v>
          </cell>
          <cell r="H6588" t="str">
            <v>consulta_externa</v>
          </cell>
          <cell r="J6588" t="str">
            <v>muybueno</v>
          </cell>
          <cell r="K6588" t="str">
            <v>defsi</v>
          </cell>
        </row>
        <row r="6589">
          <cell r="B6589" t="b">
            <v>1</v>
          </cell>
          <cell r="E6589" t="str">
            <v>Tierra Bomba</v>
          </cell>
          <cell r="H6589" t="str">
            <v>salud_oral</v>
          </cell>
          <cell r="J6589" t="str">
            <v>muybueno</v>
          </cell>
          <cell r="K6589" t="str">
            <v>defsi</v>
          </cell>
        </row>
        <row r="6590">
          <cell r="B6590" t="b">
            <v>1</v>
          </cell>
          <cell r="E6590" t="str">
            <v>Socorro</v>
          </cell>
          <cell r="H6590" t="str">
            <v>ecografias</v>
          </cell>
          <cell r="J6590" t="str">
            <v>bueno</v>
          </cell>
          <cell r="K6590" t="str">
            <v>defsi</v>
          </cell>
        </row>
        <row r="6591">
          <cell r="B6591" t="b">
            <v>1</v>
          </cell>
          <cell r="E6591" t="str">
            <v>Socorro</v>
          </cell>
          <cell r="H6591" t="str">
            <v>ecografias</v>
          </cell>
          <cell r="J6591" t="str">
            <v>bueno</v>
          </cell>
          <cell r="K6591" t="str">
            <v>defsi</v>
          </cell>
        </row>
        <row r="6592">
          <cell r="B6592" t="b">
            <v>1</v>
          </cell>
          <cell r="E6592" t="str">
            <v>Socorro</v>
          </cell>
          <cell r="H6592" t="str">
            <v>ecografias</v>
          </cell>
          <cell r="J6592" t="str">
            <v>bueno</v>
          </cell>
          <cell r="K6592" t="str">
            <v>defsi</v>
          </cell>
        </row>
        <row r="6593">
          <cell r="B6593" t="b">
            <v>1</v>
          </cell>
          <cell r="E6593" t="str">
            <v>Socorro</v>
          </cell>
          <cell r="H6593" t="str">
            <v>ecografias</v>
          </cell>
          <cell r="J6593" t="str">
            <v>bueno</v>
          </cell>
          <cell r="K6593" t="str">
            <v>defsi</v>
          </cell>
        </row>
        <row r="6594">
          <cell r="B6594" t="b">
            <v>1</v>
          </cell>
          <cell r="E6594" t="str">
            <v>Socorro</v>
          </cell>
          <cell r="H6594" t="str">
            <v>ecografias</v>
          </cell>
          <cell r="J6594" t="str">
            <v>bueno</v>
          </cell>
          <cell r="K6594" t="str">
            <v>defsi</v>
          </cell>
        </row>
        <row r="6595">
          <cell r="B6595" t="b">
            <v>0</v>
          </cell>
          <cell r="E6595" t="str">
            <v>Socorro</v>
          </cell>
          <cell r="H6595" t="str">
            <v>ecografias</v>
          </cell>
          <cell r="J6595" t="str">
            <v>regular</v>
          </cell>
          <cell r="K6595" t="str">
            <v>defsi</v>
          </cell>
        </row>
        <row r="6596">
          <cell r="B6596" t="b">
            <v>1</v>
          </cell>
          <cell r="E6596" t="str">
            <v>Socorro</v>
          </cell>
          <cell r="H6596" t="str">
            <v>ecografias</v>
          </cell>
          <cell r="J6596" t="str">
            <v>bueno</v>
          </cell>
          <cell r="K6596" t="str">
            <v>defsi</v>
          </cell>
        </row>
        <row r="6597">
          <cell r="B6597" t="b">
            <v>0</v>
          </cell>
          <cell r="E6597" t="str">
            <v>Socorro</v>
          </cell>
          <cell r="H6597" t="str">
            <v>ecografias</v>
          </cell>
          <cell r="J6597" t="str">
            <v>regular</v>
          </cell>
          <cell r="K6597" t="str">
            <v>probsi</v>
          </cell>
        </row>
        <row r="6598">
          <cell r="B6598" t="b">
            <v>1</v>
          </cell>
          <cell r="E6598" t="str">
            <v>Socorro</v>
          </cell>
          <cell r="H6598" t="str">
            <v>ecografias</v>
          </cell>
          <cell r="J6598" t="str">
            <v>bueno</v>
          </cell>
          <cell r="K6598" t="str">
            <v>defsi</v>
          </cell>
        </row>
        <row r="6599">
          <cell r="B6599" t="b">
            <v>1</v>
          </cell>
          <cell r="E6599" t="str">
            <v>Socorro</v>
          </cell>
          <cell r="H6599" t="str">
            <v>ecografias</v>
          </cell>
          <cell r="J6599" t="str">
            <v>bueno</v>
          </cell>
          <cell r="K6599" t="str">
            <v>defsi</v>
          </cell>
        </row>
        <row r="6600">
          <cell r="B6600" t="b">
            <v>1</v>
          </cell>
          <cell r="E6600" t="str">
            <v>Socorro</v>
          </cell>
          <cell r="H6600" t="str">
            <v>salud_oral</v>
          </cell>
          <cell r="J6600" t="str">
            <v>bueno</v>
          </cell>
          <cell r="K6600" t="str">
            <v>defsi</v>
          </cell>
        </row>
        <row r="6601">
          <cell r="B6601" t="b">
            <v>1</v>
          </cell>
          <cell r="E6601" t="str">
            <v>Socorro</v>
          </cell>
          <cell r="H6601" t="str">
            <v>salud_oral</v>
          </cell>
          <cell r="J6601" t="str">
            <v>bueno</v>
          </cell>
          <cell r="K6601" t="str">
            <v>defsi</v>
          </cell>
        </row>
        <row r="6602">
          <cell r="B6602" t="b">
            <v>1</v>
          </cell>
          <cell r="E6602" t="str">
            <v>Socorro</v>
          </cell>
          <cell r="H6602" t="str">
            <v>salud_oral</v>
          </cell>
          <cell r="J6602" t="str">
            <v>bueno</v>
          </cell>
          <cell r="K6602" t="str">
            <v>defsi</v>
          </cell>
        </row>
        <row r="6603">
          <cell r="B6603" t="b">
            <v>1</v>
          </cell>
          <cell r="E6603" t="str">
            <v>Socorro</v>
          </cell>
          <cell r="H6603" t="str">
            <v>ecografias</v>
          </cell>
          <cell r="J6603" t="str">
            <v>bueno</v>
          </cell>
          <cell r="K6603" t="str">
            <v>defsi</v>
          </cell>
        </row>
        <row r="6604">
          <cell r="B6604" t="b">
            <v>1</v>
          </cell>
          <cell r="E6604" t="str">
            <v>Socorro</v>
          </cell>
          <cell r="H6604" t="str">
            <v>ecografias</v>
          </cell>
          <cell r="J6604" t="str">
            <v>bueno</v>
          </cell>
          <cell r="K6604" t="str">
            <v>defsi</v>
          </cell>
        </row>
        <row r="6605">
          <cell r="B6605" t="b">
            <v>1</v>
          </cell>
          <cell r="E6605" t="str">
            <v>Socorro</v>
          </cell>
          <cell r="H6605" t="str">
            <v>ecografias</v>
          </cell>
          <cell r="J6605" t="str">
            <v>bueno</v>
          </cell>
          <cell r="K6605" t="str">
            <v>defsi</v>
          </cell>
        </row>
        <row r="6606">
          <cell r="B6606" t="b">
            <v>1</v>
          </cell>
          <cell r="E6606" t="str">
            <v>Socorro</v>
          </cell>
          <cell r="H6606" t="str">
            <v>ecografias</v>
          </cell>
          <cell r="J6606" t="str">
            <v>bueno</v>
          </cell>
          <cell r="K6606" t="str">
            <v>defsi</v>
          </cell>
        </row>
        <row r="6607">
          <cell r="B6607" t="b">
            <v>1</v>
          </cell>
          <cell r="E6607" t="str">
            <v>Socorro</v>
          </cell>
          <cell r="H6607" t="str">
            <v>ecografias</v>
          </cell>
          <cell r="J6607" t="str">
            <v>bueno</v>
          </cell>
          <cell r="K6607" t="str">
            <v>defsi</v>
          </cell>
        </row>
        <row r="6608">
          <cell r="B6608" t="b">
            <v>1</v>
          </cell>
          <cell r="E6608" t="str">
            <v>Socorro</v>
          </cell>
          <cell r="H6608" t="str">
            <v>ecografias</v>
          </cell>
          <cell r="J6608" t="str">
            <v>bueno</v>
          </cell>
          <cell r="K6608" t="str">
            <v>defsi</v>
          </cell>
        </row>
        <row r="6609">
          <cell r="B6609" t="b">
            <v>0</v>
          </cell>
          <cell r="E6609" t="str">
            <v>Socorro</v>
          </cell>
          <cell r="H6609" t="str">
            <v>ecografias</v>
          </cell>
          <cell r="J6609" t="str">
            <v>regular</v>
          </cell>
          <cell r="K6609" t="str">
            <v>defsi</v>
          </cell>
        </row>
        <row r="6610">
          <cell r="B6610" t="b">
            <v>1</v>
          </cell>
          <cell r="E6610" t="str">
            <v>Socorro</v>
          </cell>
          <cell r="H6610" t="str">
            <v>ecografias</v>
          </cell>
          <cell r="J6610" t="str">
            <v>muybueno</v>
          </cell>
          <cell r="K6610" t="str">
            <v>defsi</v>
          </cell>
        </row>
        <row r="6611">
          <cell r="B6611" t="b">
            <v>1</v>
          </cell>
          <cell r="E6611" t="str">
            <v>Socorro</v>
          </cell>
          <cell r="H6611" t="str">
            <v>ecografias</v>
          </cell>
          <cell r="J6611" t="str">
            <v>muybueno</v>
          </cell>
          <cell r="K6611" t="str">
            <v>defsi</v>
          </cell>
        </row>
        <row r="6612">
          <cell r="B6612" t="b">
            <v>1</v>
          </cell>
          <cell r="E6612" t="str">
            <v>Socorro</v>
          </cell>
          <cell r="H6612" t="str">
            <v>ecografias</v>
          </cell>
          <cell r="J6612" t="str">
            <v>bueno</v>
          </cell>
          <cell r="K6612" t="str">
            <v>defsi</v>
          </cell>
        </row>
        <row r="6613">
          <cell r="B6613" t="b">
            <v>0</v>
          </cell>
          <cell r="E6613" t="str">
            <v>Socorro</v>
          </cell>
          <cell r="H6613" t="str">
            <v>ecografias</v>
          </cell>
          <cell r="J6613" t="str">
            <v>regular</v>
          </cell>
          <cell r="K6613" t="str">
            <v>probsi</v>
          </cell>
        </row>
        <row r="6614">
          <cell r="B6614" t="b">
            <v>1</v>
          </cell>
          <cell r="E6614" t="str">
            <v>Socorro</v>
          </cell>
          <cell r="H6614" t="str">
            <v>ecografias</v>
          </cell>
          <cell r="J6614" t="str">
            <v>bueno</v>
          </cell>
          <cell r="K6614" t="str">
            <v>defsi</v>
          </cell>
        </row>
        <row r="6615">
          <cell r="B6615" t="b">
            <v>1</v>
          </cell>
          <cell r="E6615" t="str">
            <v>Socorro</v>
          </cell>
          <cell r="H6615" t="str">
            <v>ecografias</v>
          </cell>
          <cell r="J6615" t="str">
            <v>bueno</v>
          </cell>
          <cell r="K6615" t="str">
            <v>defsi</v>
          </cell>
        </row>
        <row r="6616">
          <cell r="B6616" t="b">
            <v>1</v>
          </cell>
          <cell r="E6616" t="str">
            <v>Socorro</v>
          </cell>
          <cell r="H6616" t="str">
            <v>ecografias</v>
          </cell>
          <cell r="J6616" t="str">
            <v>bueno</v>
          </cell>
          <cell r="K6616" t="str">
            <v>defsi</v>
          </cell>
        </row>
        <row r="6617">
          <cell r="B6617" t="b">
            <v>1</v>
          </cell>
          <cell r="E6617" t="str">
            <v>Socorro</v>
          </cell>
          <cell r="H6617" t="str">
            <v>ecografias</v>
          </cell>
          <cell r="J6617" t="str">
            <v>bueno</v>
          </cell>
          <cell r="K6617" t="str">
            <v>defsi</v>
          </cell>
        </row>
        <row r="6618">
          <cell r="B6618" t="b">
            <v>1</v>
          </cell>
          <cell r="E6618" t="str">
            <v>Canapote</v>
          </cell>
          <cell r="H6618" t="str">
            <v>consulta_externa</v>
          </cell>
          <cell r="J6618" t="str">
            <v>bueno</v>
          </cell>
          <cell r="K6618" t="str">
            <v>defsi</v>
          </cell>
        </row>
        <row r="6619">
          <cell r="B6619" t="b">
            <v>1</v>
          </cell>
          <cell r="E6619" t="str">
            <v>Canapote</v>
          </cell>
          <cell r="H6619" t="str">
            <v>consulta_externa</v>
          </cell>
          <cell r="J6619" t="str">
            <v>bueno</v>
          </cell>
          <cell r="K6619" t="str">
            <v>defsi</v>
          </cell>
        </row>
        <row r="6620">
          <cell r="B6620" t="b">
            <v>1</v>
          </cell>
          <cell r="E6620" t="str">
            <v>Canapote</v>
          </cell>
          <cell r="H6620" t="str">
            <v>salud_oral</v>
          </cell>
          <cell r="J6620" t="str">
            <v>bueno</v>
          </cell>
          <cell r="K6620" t="str">
            <v>defsi</v>
          </cell>
        </row>
        <row r="6621">
          <cell r="B6621" t="b">
            <v>1</v>
          </cell>
          <cell r="E6621" t="str">
            <v>Canapote</v>
          </cell>
          <cell r="H6621" t="str">
            <v>consulta_externa</v>
          </cell>
          <cell r="J6621" t="str">
            <v>bueno</v>
          </cell>
          <cell r="K6621" t="str">
            <v>defsi</v>
          </cell>
        </row>
        <row r="6622">
          <cell r="B6622" t="b">
            <v>1</v>
          </cell>
          <cell r="E6622" t="str">
            <v>Canapote</v>
          </cell>
          <cell r="H6622" t="str">
            <v>salud_oral</v>
          </cell>
          <cell r="J6622" t="str">
            <v>bueno</v>
          </cell>
          <cell r="K6622" t="str">
            <v>defsi</v>
          </cell>
        </row>
        <row r="6623">
          <cell r="B6623" t="b">
            <v>1</v>
          </cell>
          <cell r="E6623" t="str">
            <v>Canapote</v>
          </cell>
          <cell r="H6623" t="str">
            <v>salud_oral</v>
          </cell>
          <cell r="J6623" t="str">
            <v>bueno</v>
          </cell>
          <cell r="K6623" t="str">
            <v>defsi</v>
          </cell>
        </row>
        <row r="6624">
          <cell r="B6624" t="b">
            <v>1</v>
          </cell>
          <cell r="E6624" t="str">
            <v>Canapote</v>
          </cell>
          <cell r="H6624" t="str">
            <v>salud_oral</v>
          </cell>
          <cell r="J6624" t="str">
            <v>bueno</v>
          </cell>
          <cell r="K6624" t="str">
            <v>defsi</v>
          </cell>
        </row>
        <row r="6625">
          <cell r="B6625" t="b">
            <v>1</v>
          </cell>
          <cell r="E6625" t="str">
            <v>Canapote</v>
          </cell>
          <cell r="H6625" t="str">
            <v>salud_oral</v>
          </cell>
          <cell r="J6625" t="str">
            <v>bueno</v>
          </cell>
          <cell r="K6625" t="str">
            <v>defsi</v>
          </cell>
        </row>
        <row r="6626">
          <cell r="B6626" t="b">
            <v>1</v>
          </cell>
          <cell r="E6626" t="str">
            <v>Canapote</v>
          </cell>
          <cell r="H6626" t="str">
            <v>consulta_externa</v>
          </cell>
          <cell r="J6626" t="str">
            <v>bueno</v>
          </cell>
          <cell r="K6626" t="str">
            <v>defsi</v>
          </cell>
        </row>
        <row r="6627">
          <cell r="B6627" t="b">
            <v>1</v>
          </cell>
          <cell r="E6627" t="str">
            <v>Canapote</v>
          </cell>
          <cell r="H6627" t="str">
            <v>consulta_externa</v>
          </cell>
          <cell r="J6627" t="str">
            <v>bueno</v>
          </cell>
          <cell r="K6627" t="str">
            <v>defsi</v>
          </cell>
        </row>
        <row r="6628">
          <cell r="B6628" t="b">
            <v>1</v>
          </cell>
          <cell r="E6628" t="str">
            <v>Canapote</v>
          </cell>
          <cell r="H6628" t="str">
            <v>laboratorio</v>
          </cell>
          <cell r="J6628" t="str">
            <v>bueno</v>
          </cell>
          <cell r="K6628" t="str">
            <v>defsi</v>
          </cell>
        </row>
        <row r="6629">
          <cell r="B6629" t="b">
            <v>1</v>
          </cell>
          <cell r="E6629" t="str">
            <v>Canapote</v>
          </cell>
          <cell r="H6629" t="str">
            <v>laboratorio</v>
          </cell>
          <cell r="J6629" t="str">
            <v>bueno</v>
          </cell>
          <cell r="K6629" t="str">
            <v>defsi</v>
          </cell>
        </row>
        <row r="6630">
          <cell r="B6630" t="b">
            <v>1</v>
          </cell>
          <cell r="E6630" t="str">
            <v>Canapote</v>
          </cell>
          <cell r="H6630" t="str">
            <v>laboratorio</v>
          </cell>
          <cell r="J6630" t="str">
            <v>bueno</v>
          </cell>
          <cell r="K6630" t="str">
            <v>defsi</v>
          </cell>
        </row>
        <row r="6631">
          <cell r="B6631" t="b">
            <v>1</v>
          </cell>
          <cell r="E6631" t="str">
            <v>Canapote</v>
          </cell>
          <cell r="H6631" t="str">
            <v>salud_oral</v>
          </cell>
          <cell r="J6631" t="str">
            <v>bueno</v>
          </cell>
          <cell r="K6631" t="str">
            <v>defsi</v>
          </cell>
        </row>
        <row r="6632">
          <cell r="B6632" t="b">
            <v>1</v>
          </cell>
          <cell r="E6632" t="str">
            <v>Canapote</v>
          </cell>
          <cell r="H6632" t="str">
            <v>salud_oral</v>
          </cell>
          <cell r="J6632" t="str">
            <v>bueno</v>
          </cell>
          <cell r="K6632" t="str">
            <v>defsi</v>
          </cell>
        </row>
        <row r="6633">
          <cell r="B6633" t="b">
            <v>1</v>
          </cell>
          <cell r="E6633" t="str">
            <v>Foco Rojo</v>
          </cell>
          <cell r="H6633" t="str">
            <v>consulta_externa</v>
          </cell>
          <cell r="J6633" t="str">
            <v>bueno</v>
          </cell>
          <cell r="K6633" t="str">
            <v>defsi</v>
          </cell>
        </row>
        <row r="6634">
          <cell r="B6634" t="b">
            <v>1</v>
          </cell>
          <cell r="E6634" t="str">
            <v>Foco Rojo</v>
          </cell>
          <cell r="H6634" t="str">
            <v>salud_oral</v>
          </cell>
          <cell r="J6634" t="str">
            <v>bueno</v>
          </cell>
          <cell r="K6634" t="str">
            <v>defsi</v>
          </cell>
        </row>
        <row r="6635">
          <cell r="B6635" t="b">
            <v>1</v>
          </cell>
          <cell r="E6635" t="str">
            <v>Foco Rojo</v>
          </cell>
          <cell r="H6635" t="str">
            <v>laboratorio</v>
          </cell>
          <cell r="J6635" t="str">
            <v>bueno</v>
          </cell>
          <cell r="K6635" t="str">
            <v>defsi</v>
          </cell>
        </row>
        <row r="6636">
          <cell r="B6636" t="b">
            <v>1</v>
          </cell>
          <cell r="E6636" t="str">
            <v>Foco Rojo</v>
          </cell>
          <cell r="H6636" t="str">
            <v>consulta_externa</v>
          </cell>
          <cell r="J6636" t="str">
            <v>bueno</v>
          </cell>
          <cell r="K6636" t="str">
            <v>defsi</v>
          </cell>
        </row>
        <row r="6637">
          <cell r="B6637" t="b">
            <v>1</v>
          </cell>
          <cell r="E6637" t="str">
            <v>Foco Rojo</v>
          </cell>
          <cell r="H6637" t="str">
            <v>salud_oral</v>
          </cell>
          <cell r="J6637" t="str">
            <v>bueno</v>
          </cell>
          <cell r="K6637" t="str">
            <v>defsi</v>
          </cell>
        </row>
        <row r="6638">
          <cell r="B6638" t="b">
            <v>1</v>
          </cell>
          <cell r="E6638" t="str">
            <v>Foco Rojo</v>
          </cell>
          <cell r="H6638" t="str">
            <v>laboratorio</v>
          </cell>
          <cell r="J6638" t="str">
            <v>bueno</v>
          </cell>
          <cell r="K6638" t="str">
            <v>defsi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atisfaccionServicio"/>
      <sheetName val="SatisfaccionEPS"/>
      <sheetName val="N. GLOBAL"/>
      <sheetName val="RECOMENDARIA IPS"/>
      <sheetName val="INF DEBERES Y D"/>
      <sheetName val="DEBERES Y DERECHOS"/>
      <sheetName val="InfCualitativo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J1" t="str">
            <v>COMO CALIFICARIA SU SATISFACCION CON RESPECTO A LOS SERVICIOS RECIBIDOS DE LA INSTITUCIÓN</v>
          </cell>
          <cell r="K1" t="str">
            <v>RECOMENDARIA A SUS FAMILIARES Y AMIGOS LA ESE HLCI</v>
          </cell>
        </row>
        <row r="3">
          <cell r="B3" t="str">
            <v>puntaje</v>
          </cell>
          <cell r="E3" t="str">
            <v>centrosalud</v>
          </cell>
          <cell r="H3" t="str">
            <v>servicio</v>
          </cell>
          <cell r="J3" t="str">
            <v>pregunta1</v>
          </cell>
          <cell r="K3" t="str">
            <v>pregunta2</v>
          </cell>
        </row>
        <row r="4">
          <cell r="B4" t="b">
            <v>1</v>
          </cell>
          <cell r="E4" t="str">
            <v>Bosque</v>
          </cell>
          <cell r="H4" t="str">
            <v>consulta_externa</v>
          </cell>
          <cell r="J4" t="str">
            <v>bueno</v>
          </cell>
          <cell r="K4" t="str">
            <v>probsi</v>
          </cell>
        </row>
        <row r="5">
          <cell r="B5" t="b">
            <v>1</v>
          </cell>
          <cell r="E5" t="str">
            <v>Bosque</v>
          </cell>
          <cell r="H5" t="str">
            <v>laboratorio</v>
          </cell>
          <cell r="J5" t="str">
            <v>bueno</v>
          </cell>
          <cell r="K5" t="str">
            <v>probsi</v>
          </cell>
        </row>
        <row r="6">
          <cell r="B6" t="b">
            <v>1</v>
          </cell>
          <cell r="E6" t="str">
            <v>Bosque</v>
          </cell>
          <cell r="H6" t="str">
            <v>consulta_externa</v>
          </cell>
          <cell r="J6" t="str">
            <v>bueno</v>
          </cell>
          <cell r="K6" t="str">
            <v>probsi</v>
          </cell>
        </row>
        <row r="7">
          <cell r="B7" t="b">
            <v>0</v>
          </cell>
          <cell r="E7" t="str">
            <v>Bosque</v>
          </cell>
          <cell r="H7" t="str">
            <v>consulta_externa</v>
          </cell>
          <cell r="J7" t="str">
            <v>regular</v>
          </cell>
          <cell r="K7" t="str">
            <v>probsi</v>
          </cell>
        </row>
        <row r="8">
          <cell r="B8" t="b">
            <v>1</v>
          </cell>
          <cell r="E8" t="str">
            <v>Bosque</v>
          </cell>
          <cell r="H8" t="str">
            <v>salud_oral</v>
          </cell>
          <cell r="J8" t="str">
            <v>bueno</v>
          </cell>
          <cell r="K8" t="str">
            <v>probsi</v>
          </cell>
        </row>
        <row r="9">
          <cell r="B9" t="b">
            <v>1</v>
          </cell>
          <cell r="E9" t="str">
            <v>Bosque</v>
          </cell>
          <cell r="H9" t="str">
            <v>consulta_externa</v>
          </cell>
          <cell r="J9" t="str">
            <v>bueno</v>
          </cell>
          <cell r="K9" t="str">
            <v>probsi</v>
          </cell>
        </row>
        <row r="10">
          <cell r="B10" t="b">
            <v>1</v>
          </cell>
          <cell r="E10" t="str">
            <v>Bosque</v>
          </cell>
          <cell r="H10" t="str">
            <v>laboratorio</v>
          </cell>
          <cell r="J10" t="str">
            <v>bueno</v>
          </cell>
          <cell r="K10" t="str">
            <v>probsi</v>
          </cell>
        </row>
        <row r="11">
          <cell r="B11" t="b">
            <v>1</v>
          </cell>
          <cell r="E11" t="str">
            <v>Bosque</v>
          </cell>
          <cell r="H11" t="str">
            <v>consulta_externa</v>
          </cell>
          <cell r="J11" t="str">
            <v>bueno</v>
          </cell>
          <cell r="K11" t="str">
            <v>probsi</v>
          </cell>
        </row>
        <row r="12">
          <cell r="B12" t="b">
            <v>1</v>
          </cell>
          <cell r="E12" t="str">
            <v>Bosque</v>
          </cell>
          <cell r="H12" t="str">
            <v>laboratorio</v>
          </cell>
          <cell r="J12" t="str">
            <v>bueno</v>
          </cell>
          <cell r="K12" t="str">
            <v>probsi</v>
          </cell>
        </row>
        <row r="13">
          <cell r="B13" t="b">
            <v>1</v>
          </cell>
          <cell r="E13" t="str">
            <v>Bosque</v>
          </cell>
          <cell r="H13" t="str">
            <v>laboratorio</v>
          </cell>
          <cell r="J13" t="str">
            <v>bueno</v>
          </cell>
          <cell r="K13" t="str">
            <v>probsi</v>
          </cell>
        </row>
        <row r="14">
          <cell r="B14" t="b">
            <v>1</v>
          </cell>
          <cell r="E14" t="str">
            <v>Bosque</v>
          </cell>
          <cell r="H14" t="str">
            <v>salud_oral</v>
          </cell>
          <cell r="J14" t="str">
            <v>bueno</v>
          </cell>
          <cell r="K14" t="str">
            <v>probsi</v>
          </cell>
        </row>
        <row r="15">
          <cell r="B15" t="b">
            <v>1</v>
          </cell>
          <cell r="E15" t="str">
            <v>Bosque</v>
          </cell>
          <cell r="H15" t="str">
            <v>consulta_externa</v>
          </cell>
          <cell r="J15" t="str">
            <v>bueno</v>
          </cell>
          <cell r="K15" t="str">
            <v>probsi</v>
          </cell>
        </row>
        <row r="16">
          <cell r="B16" t="b">
            <v>1</v>
          </cell>
          <cell r="E16" t="str">
            <v>Bosque</v>
          </cell>
          <cell r="H16" t="str">
            <v>laboratorio</v>
          </cell>
          <cell r="J16" t="str">
            <v>bueno</v>
          </cell>
          <cell r="K16" t="str">
            <v>probsi</v>
          </cell>
        </row>
        <row r="17">
          <cell r="B17" t="b">
            <v>1</v>
          </cell>
          <cell r="E17" t="str">
            <v>Bosque</v>
          </cell>
          <cell r="H17" t="str">
            <v>salud_oral</v>
          </cell>
          <cell r="J17" t="str">
            <v>bueno</v>
          </cell>
          <cell r="K17" t="str">
            <v>probsi</v>
          </cell>
        </row>
        <row r="18">
          <cell r="B18" t="b">
            <v>1</v>
          </cell>
          <cell r="E18" t="str">
            <v>Bosque</v>
          </cell>
          <cell r="H18" t="str">
            <v>consulta_externa</v>
          </cell>
          <cell r="J18" t="str">
            <v>bueno</v>
          </cell>
          <cell r="K18" t="str">
            <v>probsi</v>
          </cell>
        </row>
        <row r="19">
          <cell r="B19" t="b">
            <v>1</v>
          </cell>
          <cell r="E19" t="str">
            <v>Bosque</v>
          </cell>
          <cell r="H19" t="str">
            <v>laboratorio</v>
          </cell>
          <cell r="J19" t="str">
            <v>bueno</v>
          </cell>
          <cell r="K19" t="str">
            <v>probsi</v>
          </cell>
        </row>
        <row r="20">
          <cell r="B20" t="b">
            <v>1</v>
          </cell>
          <cell r="E20" t="str">
            <v>Bosque</v>
          </cell>
          <cell r="H20" t="str">
            <v>laboratorio</v>
          </cell>
          <cell r="J20" t="str">
            <v>muybueno</v>
          </cell>
          <cell r="K20" t="str">
            <v>probsi</v>
          </cell>
        </row>
        <row r="21">
          <cell r="B21" t="b">
            <v>1</v>
          </cell>
          <cell r="E21" t="str">
            <v>Bosque</v>
          </cell>
          <cell r="H21" t="str">
            <v>consulta_externa</v>
          </cell>
          <cell r="J21" t="str">
            <v>bueno</v>
          </cell>
          <cell r="K21" t="str">
            <v>probsi</v>
          </cell>
        </row>
        <row r="22">
          <cell r="B22" t="b">
            <v>1</v>
          </cell>
          <cell r="E22" t="str">
            <v>Bosque</v>
          </cell>
          <cell r="H22" t="str">
            <v>consulta_externa</v>
          </cell>
          <cell r="J22" t="str">
            <v>bueno</v>
          </cell>
          <cell r="K22" t="str">
            <v>probsi</v>
          </cell>
        </row>
        <row r="23">
          <cell r="B23" t="b">
            <v>1</v>
          </cell>
          <cell r="E23" t="str">
            <v>Bosque</v>
          </cell>
          <cell r="H23" t="str">
            <v>laboratorio</v>
          </cell>
          <cell r="J23" t="str">
            <v>bueno</v>
          </cell>
          <cell r="K23" t="str">
            <v>probsi</v>
          </cell>
        </row>
        <row r="24">
          <cell r="B24" t="b">
            <v>1</v>
          </cell>
          <cell r="E24" t="str">
            <v>Bosque</v>
          </cell>
          <cell r="H24" t="str">
            <v>salud_oral</v>
          </cell>
          <cell r="J24" t="str">
            <v>bueno</v>
          </cell>
          <cell r="K24" t="str">
            <v>probsi</v>
          </cell>
        </row>
        <row r="25">
          <cell r="B25" t="b">
            <v>1</v>
          </cell>
          <cell r="E25" t="str">
            <v>Boston</v>
          </cell>
          <cell r="H25" t="str">
            <v>consulta_externa</v>
          </cell>
          <cell r="J25" t="str">
            <v>bueno</v>
          </cell>
          <cell r="K25" t="str">
            <v>defsi</v>
          </cell>
        </row>
        <row r="26">
          <cell r="B26" t="b">
            <v>1</v>
          </cell>
          <cell r="E26" t="str">
            <v>Boston</v>
          </cell>
          <cell r="H26" t="str">
            <v>consulta_externa</v>
          </cell>
          <cell r="J26" t="str">
            <v>bueno</v>
          </cell>
          <cell r="K26" t="str">
            <v>defsi</v>
          </cell>
        </row>
        <row r="27">
          <cell r="B27" t="b">
            <v>1</v>
          </cell>
          <cell r="E27" t="str">
            <v>Boston</v>
          </cell>
          <cell r="H27" t="str">
            <v>consulta_externa</v>
          </cell>
          <cell r="J27" t="str">
            <v>bueno</v>
          </cell>
          <cell r="K27" t="str">
            <v>defsi</v>
          </cell>
        </row>
        <row r="28">
          <cell r="B28" t="b">
            <v>1</v>
          </cell>
          <cell r="E28" t="str">
            <v>Boston</v>
          </cell>
          <cell r="H28" t="str">
            <v>consulta_externa</v>
          </cell>
          <cell r="J28" t="str">
            <v>bueno</v>
          </cell>
          <cell r="K28" t="str">
            <v>defsi</v>
          </cell>
        </row>
        <row r="29">
          <cell r="B29" t="b">
            <v>1</v>
          </cell>
          <cell r="E29" t="str">
            <v>Boston</v>
          </cell>
          <cell r="H29" t="str">
            <v>consulta_externa</v>
          </cell>
          <cell r="J29" t="str">
            <v>bueno</v>
          </cell>
          <cell r="K29" t="str">
            <v>defsi</v>
          </cell>
        </row>
        <row r="30">
          <cell r="B30" t="b">
            <v>1</v>
          </cell>
          <cell r="E30" t="str">
            <v>Boston</v>
          </cell>
          <cell r="H30" t="str">
            <v>consulta_externa</v>
          </cell>
          <cell r="J30" t="str">
            <v>bueno</v>
          </cell>
          <cell r="K30" t="str">
            <v>defsi</v>
          </cell>
        </row>
        <row r="31">
          <cell r="B31" t="b">
            <v>1</v>
          </cell>
          <cell r="E31" t="str">
            <v>Boston</v>
          </cell>
          <cell r="H31" t="str">
            <v>consulta_externa</v>
          </cell>
          <cell r="J31" t="str">
            <v>bueno</v>
          </cell>
          <cell r="K31" t="str">
            <v>defsi</v>
          </cell>
        </row>
        <row r="32">
          <cell r="B32" t="b">
            <v>1</v>
          </cell>
          <cell r="E32" t="str">
            <v>Boston</v>
          </cell>
          <cell r="H32" t="str">
            <v>consulta_externa</v>
          </cell>
          <cell r="J32" t="str">
            <v>bueno</v>
          </cell>
          <cell r="K32" t="str">
            <v>defsi</v>
          </cell>
        </row>
        <row r="33">
          <cell r="B33" t="b">
            <v>1</v>
          </cell>
          <cell r="E33" t="str">
            <v>Bosque</v>
          </cell>
          <cell r="H33" t="str">
            <v>consulta_externa</v>
          </cell>
          <cell r="J33" t="str">
            <v>bueno</v>
          </cell>
          <cell r="K33" t="str">
            <v>probsi</v>
          </cell>
        </row>
        <row r="34">
          <cell r="B34" t="b">
            <v>1</v>
          </cell>
          <cell r="E34" t="str">
            <v>Bosque</v>
          </cell>
          <cell r="H34" t="str">
            <v>salud_oral</v>
          </cell>
          <cell r="J34" t="str">
            <v>bueno</v>
          </cell>
          <cell r="K34" t="str">
            <v>probsi</v>
          </cell>
        </row>
        <row r="35">
          <cell r="B35" t="b">
            <v>1</v>
          </cell>
          <cell r="E35" t="str">
            <v>Bosque</v>
          </cell>
          <cell r="H35" t="str">
            <v>consulta_externa</v>
          </cell>
          <cell r="J35" t="str">
            <v>bueno</v>
          </cell>
          <cell r="K35" t="str">
            <v>probsi</v>
          </cell>
        </row>
        <row r="36">
          <cell r="B36" t="b">
            <v>1</v>
          </cell>
          <cell r="E36" t="str">
            <v>Bosque</v>
          </cell>
          <cell r="H36" t="str">
            <v>laboratorio</v>
          </cell>
          <cell r="J36" t="str">
            <v>bueno</v>
          </cell>
          <cell r="K36" t="str">
            <v>probsi</v>
          </cell>
        </row>
        <row r="37">
          <cell r="B37" t="b">
            <v>1</v>
          </cell>
          <cell r="E37" t="str">
            <v>Boston</v>
          </cell>
          <cell r="H37" t="str">
            <v>consulta_externa</v>
          </cell>
          <cell r="J37" t="str">
            <v>bueno</v>
          </cell>
          <cell r="K37" t="str">
            <v>defsi</v>
          </cell>
        </row>
        <row r="38">
          <cell r="B38" t="b">
            <v>1</v>
          </cell>
          <cell r="E38" t="str">
            <v>Boston</v>
          </cell>
          <cell r="H38" t="str">
            <v>consulta_externa</v>
          </cell>
          <cell r="J38" t="str">
            <v>bueno</v>
          </cell>
          <cell r="K38" t="str">
            <v>defsi</v>
          </cell>
        </row>
        <row r="39">
          <cell r="B39" t="b">
            <v>1</v>
          </cell>
          <cell r="E39" t="str">
            <v>Bosque</v>
          </cell>
          <cell r="H39" t="str">
            <v>salud_oral</v>
          </cell>
          <cell r="J39" t="str">
            <v>bueno</v>
          </cell>
          <cell r="K39" t="str">
            <v>probsi</v>
          </cell>
        </row>
        <row r="40">
          <cell r="B40" t="b">
            <v>1</v>
          </cell>
          <cell r="E40" t="str">
            <v>Bosque</v>
          </cell>
          <cell r="H40" t="str">
            <v>salud_oral</v>
          </cell>
          <cell r="J40" t="str">
            <v>bueno</v>
          </cell>
          <cell r="K40" t="str">
            <v>probsi</v>
          </cell>
        </row>
        <row r="41">
          <cell r="B41" t="b">
            <v>1</v>
          </cell>
          <cell r="E41" t="str">
            <v>Bosque</v>
          </cell>
          <cell r="H41" t="str">
            <v>laboratorio</v>
          </cell>
          <cell r="J41" t="str">
            <v>bueno</v>
          </cell>
          <cell r="K41" t="str">
            <v>probsi</v>
          </cell>
        </row>
        <row r="42">
          <cell r="B42" t="b">
            <v>1</v>
          </cell>
          <cell r="E42" t="str">
            <v>Bosque</v>
          </cell>
          <cell r="H42" t="str">
            <v>salud_oral</v>
          </cell>
          <cell r="J42" t="str">
            <v>muybueno</v>
          </cell>
          <cell r="K42" t="str">
            <v>probsi</v>
          </cell>
        </row>
        <row r="43">
          <cell r="B43" t="b">
            <v>1</v>
          </cell>
          <cell r="E43" t="str">
            <v>Bicentenario</v>
          </cell>
          <cell r="H43" t="str">
            <v>salud_oral</v>
          </cell>
          <cell r="J43" t="str">
            <v>bueno</v>
          </cell>
          <cell r="K43" t="str">
            <v>defsi</v>
          </cell>
        </row>
        <row r="44">
          <cell r="B44" t="b">
            <v>1</v>
          </cell>
          <cell r="E44" t="str">
            <v>Bicentenario</v>
          </cell>
          <cell r="H44" t="str">
            <v>salud_oral</v>
          </cell>
          <cell r="J44" t="str">
            <v>bueno</v>
          </cell>
          <cell r="K44" t="str">
            <v>defsi</v>
          </cell>
        </row>
        <row r="45">
          <cell r="B45" t="b">
            <v>1</v>
          </cell>
          <cell r="E45" t="str">
            <v>Bicentenario</v>
          </cell>
          <cell r="H45" t="str">
            <v>consulta_externa</v>
          </cell>
          <cell r="J45" t="str">
            <v>bueno</v>
          </cell>
          <cell r="K45" t="str">
            <v>defsi</v>
          </cell>
        </row>
        <row r="46">
          <cell r="B46" t="b">
            <v>1</v>
          </cell>
          <cell r="E46" t="str">
            <v>Bicentenario</v>
          </cell>
          <cell r="H46" t="str">
            <v>laboratorio</v>
          </cell>
          <cell r="J46" t="str">
            <v>bueno</v>
          </cell>
          <cell r="K46" t="str">
            <v>defsi</v>
          </cell>
        </row>
        <row r="47">
          <cell r="B47" t="b">
            <v>1</v>
          </cell>
          <cell r="E47" t="str">
            <v>Boston</v>
          </cell>
          <cell r="H47" t="str">
            <v>consulta_externa</v>
          </cell>
          <cell r="J47" t="str">
            <v>bueno</v>
          </cell>
          <cell r="K47" t="str">
            <v>defsi</v>
          </cell>
        </row>
        <row r="48">
          <cell r="B48" t="b">
            <v>1</v>
          </cell>
          <cell r="E48" t="str">
            <v>Boston</v>
          </cell>
          <cell r="H48" t="str">
            <v>consulta_externa</v>
          </cell>
          <cell r="J48" t="str">
            <v>bueno</v>
          </cell>
          <cell r="K48" t="str">
            <v>defsi</v>
          </cell>
        </row>
        <row r="49">
          <cell r="B49" t="b">
            <v>1</v>
          </cell>
          <cell r="E49" t="str">
            <v>Boston</v>
          </cell>
          <cell r="H49" t="str">
            <v>consulta_externa</v>
          </cell>
          <cell r="J49" t="str">
            <v>bueno</v>
          </cell>
          <cell r="K49" t="str">
            <v>defsi</v>
          </cell>
        </row>
        <row r="50">
          <cell r="B50" t="b">
            <v>1</v>
          </cell>
          <cell r="E50" t="str">
            <v>Boston</v>
          </cell>
          <cell r="H50" t="str">
            <v>consulta_externa</v>
          </cell>
          <cell r="J50" t="str">
            <v>bueno</v>
          </cell>
          <cell r="K50" t="str">
            <v>defsi</v>
          </cell>
        </row>
        <row r="51">
          <cell r="B51" t="b">
            <v>1</v>
          </cell>
          <cell r="E51" t="str">
            <v>Boston</v>
          </cell>
          <cell r="H51" t="str">
            <v>consulta_externa</v>
          </cell>
          <cell r="J51" t="str">
            <v>bueno</v>
          </cell>
          <cell r="K51" t="str">
            <v>defsi</v>
          </cell>
        </row>
        <row r="52">
          <cell r="B52" t="b">
            <v>1</v>
          </cell>
          <cell r="E52" t="str">
            <v>Boston</v>
          </cell>
          <cell r="H52" t="str">
            <v>consulta_externa</v>
          </cell>
          <cell r="J52" t="str">
            <v>bueno</v>
          </cell>
          <cell r="K52" t="str">
            <v>defsi</v>
          </cell>
        </row>
        <row r="53">
          <cell r="B53" t="b">
            <v>1</v>
          </cell>
          <cell r="E53" t="str">
            <v>Boston</v>
          </cell>
          <cell r="H53" t="str">
            <v>consulta_externa</v>
          </cell>
          <cell r="J53" t="str">
            <v>bueno</v>
          </cell>
          <cell r="K53" t="str">
            <v>defsi</v>
          </cell>
        </row>
        <row r="54">
          <cell r="B54" t="b">
            <v>1</v>
          </cell>
          <cell r="E54" t="str">
            <v>Boston</v>
          </cell>
          <cell r="H54" t="str">
            <v>consulta_externa</v>
          </cell>
          <cell r="J54" t="str">
            <v>bueno</v>
          </cell>
          <cell r="K54" t="str">
            <v>defsi</v>
          </cell>
        </row>
        <row r="55">
          <cell r="B55" t="b">
            <v>1</v>
          </cell>
          <cell r="E55" t="str">
            <v>Bicentenario</v>
          </cell>
          <cell r="H55" t="str">
            <v>consulta_externa</v>
          </cell>
          <cell r="J55" t="str">
            <v>bueno</v>
          </cell>
          <cell r="K55" t="str">
            <v>defsi</v>
          </cell>
        </row>
        <row r="56">
          <cell r="B56" t="b">
            <v>1</v>
          </cell>
          <cell r="E56" t="str">
            <v>Bicentenario</v>
          </cell>
          <cell r="H56" t="str">
            <v>consulta_externa</v>
          </cell>
          <cell r="J56" t="str">
            <v>bueno</v>
          </cell>
          <cell r="K56" t="str">
            <v>defsi</v>
          </cell>
        </row>
        <row r="57">
          <cell r="B57" t="b">
            <v>1</v>
          </cell>
          <cell r="E57" t="str">
            <v>Bicentenario</v>
          </cell>
          <cell r="H57" t="str">
            <v>laboratorio</v>
          </cell>
          <cell r="J57" t="str">
            <v>bueno</v>
          </cell>
          <cell r="K57" t="str">
            <v>defsi</v>
          </cell>
        </row>
        <row r="58">
          <cell r="B58" t="b">
            <v>1</v>
          </cell>
          <cell r="E58" t="str">
            <v>Bicentenario</v>
          </cell>
          <cell r="H58" t="str">
            <v>rx</v>
          </cell>
          <cell r="J58" t="str">
            <v>bueno</v>
          </cell>
          <cell r="K58" t="str">
            <v>defsi</v>
          </cell>
        </row>
        <row r="59">
          <cell r="B59" t="b">
            <v>1</v>
          </cell>
          <cell r="E59" t="str">
            <v>Bicentenario</v>
          </cell>
          <cell r="H59" t="str">
            <v>rx</v>
          </cell>
          <cell r="J59" t="str">
            <v>bueno</v>
          </cell>
          <cell r="K59" t="str">
            <v>defsi</v>
          </cell>
        </row>
        <row r="60">
          <cell r="B60" t="b">
            <v>0</v>
          </cell>
          <cell r="E60" t="str">
            <v>Bicentenario</v>
          </cell>
          <cell r="H60" t="str">
            <v>consulta_externa</v>
          </cell>
          <cell r="J60" t="str">
            <v>regular</v>
          </cell>
          <cell r="K60" t="str">
            <v>probsi</v>
          </cell>
        </row>
        <row r="61">
          <cell r="B61" t="b">
            <v>0</v>
          </cell>
          <cell r="E61" t="str">
            <v>Bicentenario</v>
          </cell>
          <cell r="H61" t="str">
            <v>laboratorio</v>
          </cell>
          <cell r="J61" t="str">
            <v>regular</v>
          </cell>
          <cell r="K61" t="str">
            <v>probsi</v>
          </cell>
        </row>
        <row r="62">
          <cell r="B62" t="b">
            <v>1</v>
          </cell>
          <cell r="E62" t="str">
            <v>Blasdelezo</v>
          </cell>
          <cell r="H62" t="str">
            <v>consulta_externa</v>
          </cell>
          <cell r="J62" t="str">
            <v>bueno</v>
          </cell>
          <cell r="K62" t="str">
            <v>probsi</v>
          </cell>
        </row>
        <row r="63">
          <cell r="B63" t="b">
            <v>1</v>
          </cell>
          <cell r="E63" t="str">
            <v>Blasdelezo</v>
          </cell>
          <cell r="H63" t="str">
            <v>consulta_externa</v>
          </cell>
          <cell r="J63" t="str">
            <v>bueno</v>
          </cell>
          <cell r="K63" t="str">
            <v>probsi</v>
          </cell>
        </row>
        <row r="64">
          <cell r="B64" t="b">
            <v>0</v>
          </cell>
          <cell r="E64" t="str">
            <v>Blasdelezo</v>
          </cell>
          <cell r="H64" t="str">
            <v>consulta_externa</v>
          </cell>
          <cell r="J64" t="str">
            <v>regular</v>
          </cell>
          <cell r="K64" t="str">
            <v>probsi</v>
          </cell>
        </row>
        <row r="65">
          <cell r="B65" t="b">
            <v>1</v>
          </cell>
          <cell r="E65" t="str">
            <v>Bicentenario</v>
          </cell>
          <cell r="H65" t="str">
            <v>urgencia</v>
          </cell>
          <cell r="J65" t="str">
            <v>bueno</v>
          </cell>
          <cell r="K65" t="str">
            <v>defsi</v>
          </cell>
        </row>
        <row r="66">
          <cell r="B66" t="b">
            <v>1</v>
          </cell>
          <cell r="E66" t="str">
            <v>Bicentenario</v>
          </cell>
          <cell r="H66" t="str">
            <v>urgencia</v>
          </cell>
          <cell r="J66" t="str">
            <v>bueno</v>
          </cell>
          <cell r="K66" t="str">
            <v>defsi</v>
          </cell>
        </row>
        <row r="67">
          <cell r="B67" t="b">
            <v>1</v>
          </cell>
          <cell r="E67" t="str">
            <v>Bicentenario</v>
          </cell>
          <cell r="H67" t="str">
            <v>urgencia</v>
          </cell>
          <cell r="J67" t="str">
            <v>bueno</v>
          </cell>
          <cell r="K67" t="str">
            <v>defsi</v>
          </cell>
        </row>
        <row r="68">
          <cell r="B68" t="b">
            <v>0</v>
          </cell>
          <cell r="E68" t="str">
            <v>Blasdelezo</v>
          </cell>
          <cell r="H68" t="str">
            <v>consulta_externa</v>
          </cell>
          <cell r="J68" t="str">
            <v>regular</v>
          </cell>
          <cell r="K68" t="str">
            <v>probsi</v>
          </cell>
        </row>
        <row r="69">
          <cell r="B69" t="b">
            <v>1</v>
          </cell>
          <cell r="E69" t="str">
            <v>Blasdelezo</v>
          </cell>
          <cell r="H69" t="str">
            <v>urgencia</v>
          </cell>
          <cell r="J69" t="str">
            <v>bueno</v>
          </cell>
          <cell r="K69" t="str">
            <v>probsi</v>
          </cell>
        </row>
        <row r="70">
          <cell r="B70" t="b">
            <v>1</v>
          </cell>
          <cell r="E70" t="str">
            <v>Bicentenario</v>
          </cell>
          <cell r="H70" t="str">
            <v>urgencia</v>
          </cell>
          <cell r="J70" t="str">
            <v>bueno</v>
          </cell>
          <cell r="K70" t="str">
            <v>defsi</v>
          </cell>
        </row>
        <row r="71">
          <cell r="B71" t="b">
            <v>1</v>
          </cell>
          <cell r="E71" t="str">
            <v>Bicentenario</v>
          </cell>
          <cell r="H71" t="str">
            <v>urgencia</v>
          </cell>
          <cell r="J71" t="str">
            <v>bueno</v>
          </cell>
          <cell r="K71" t="str">
            <v>defsi</v>
          </cell>
        </row>
        <row r="72">
          <cell r="B72" t="b">
            <v>0</v>
          </cell>
          <cell r="E72" t="str">
            <v>Bicentenario</v>
          </cell>
          <cell r="H72" t="str">
            <v>urgencia</v>
          </cell>
          <cell r="J72" t="str">
            <v>regular</v>
          </cell>
          <cell r="K72" t="str">
            <v>defsi</v>
          </cell>
        </row>
        <row r="73">
          <cell r="B73" t="b">
            <v>0</v>
          </cell>
          <cell r="E73" t="str">
            <v>Bicentenario</v>
          </cell>
          <cell r="H73" t="str">
            <v>rx</v>
          </cell>
          <cell r="J73" t="str">
            <v>regular</v>
          </cell>
          <cell r="K73" t="str">
            <v>defsi</v>
          </cell>
        </row>
        <row r="74">
          <cell r="B74" t="b">
            <v>0</v>
          </cell>
          <cell r="E74" t="str">
            <v>Blasdelezo</v>
          </cell>
          <cell r="H74" t="str">
            <v>consulta_externa</v>
          </cell>
          <cell r="J74" t="str">
            <v>regular</v>
          </cell>
          <cell r="K74" t="str">
            <v>probsi</v>
          </cell>
        </row>
        <row r="75">
          <cell r="B75" t="b">
            <v>1</v>
          </cell>
          <cell r="E75" t="str">
            <v>Blasdelezo</v>
          </cell>
          <cell r="H75" t="str">
            <v>urgencia</v>
          </cell>
          <cell r="J75" t="str">
            <v>bueno</v>
          </cell>
          <cell r="K75" t="str">
            <v>probsi</v>
          </cell>
        </row>
        <row r="76">
          <cell r="B76" t="b">
            <v>1</v>
          </cell>
          <cell r="E76" t="str">
            <v>Bicentenario</v>
          </cell>
          <cell r="H76" t="str">
            <v>rx</v>
          </cell>
          <cell r="J76" t="str">
            <v>bueno</v>
          </cell>
          <cell r="K76" t="str">
            <v>defsi</v>
          </cell>
        </row>
        <row r="77">
          <cell r="B77" t="b">
            <v>1</v>
          </cell>
          <cell r="E77" t="str">
            <v>Bicentenario</v>
          </cell>
          <cell r="H77" t="str">
            <v>rx</v>
          </cell>
          <cell r="J77" t="str">
            <v>bueno</v>
          </cell>
          <cell r="K77" t="str">
            <v>defsi</v>
          </cell>
        </row>
        <row r="78">
          <cell r="B78" t="b">
            <v>1</v>
          </cell>
          <cell r="E78" t="str">
            <v>Blasdelezo</v>
          </cell>
          <cell r="H78" t="str">
            <v>consulta_externa</v>
          </cell>
          <cell r="J78" t="str">
            <v>bueno</v>
          </cell>
          <cell r="K78" t="str">
            <v>probsi</v>
          </cell>
        </row>
        <row r="79">
          <cell r="B79" t="b">
            <v>1</v>
          </cell>
          <cell r="E79" t="str">
            <v>Bicentenario</v>
          </cell>
          <cell r="H79" t="str">
            <v>rx</v>
          </cell>
          <cell r="J79" t="str">
            <v>bueno</v>
          </cell>
          <cell r="K79" t="str">
            <v>defsi</v>
          </cell>
        </row>
        <row r="80">
          <cell r="B80" t="b">
            <v>1</v>
          </cell>
          <cell r="E80" t="str">
            <v>Bicentenario</v>
          </cell>
          <cell r="H80" t="str">
            <v>rx</v>
          </cell>
          <cell r="J80" t="str">
            <v>bueno</v>
          </cell>
          <cell r="K80" t="str">
            <v>defsi</v>
          </cell>
        </row>
        <row r="81">
          <cell r="B81" t="b">
            <v>0</v>
          </cell>
          <cell r="E81" t="str">
            <v>Blasdelezo</v>
          </cell>
          <cell r="H81" t="str">
            <v>laboratorio</v>
          </cell>
          <cell r="J81" t="str">
            <v>regular</v>
          </cell>
          <cell r="K81" t="str">
            <v>probsi</v>
          </cell>
        </row>
        <row r="82">
          <cell r="B82" t="b">
            <v>1</v>
          </cell>
          <cell r="E82" t="str">
            <v>Bicentenario</v>
          </cell>
          <cell r="H82" t="str">
            <v>salud_oral</v>
          </cell>
          <cell r="J82" t="str">
            <v>bueno</v>
          </cell>
          <cell r="K82" t="str">
            <v>defsi</v>
          </cell>
        </row>
        <row r="83">
          <cell r="B83" t="b">
            <v>1</v>
          </cell>
          <cell r="E83" t="str">
            <v>Bicentenario</v>
          </cell>
          <cell r="H83" t="str">
            <v>salud_oral</v>
          </cell>
          <cell r="J83" t="str">
            <v>muybueno</v>
          </cell>
          <cell r="K83" t="str">
            <v>defsi</v>
          </cell>
        </row>
        <row r="84">
          <cell r="B84" t="b">
            <v>1</v>
          </cell>
          <cell r="E84" t="str">
            <v>Bicentenario</v>
          </cell>
          <cell r="H84" t="str">
            <v>salud_oral</v>
          </cell>
          <cell r="J84" t="str">
            <v>bueno</v>
          </cell>
          <cell r="K84" t="str">
            <v>defsi</v>
          </cell>
        </row>
        <row r="85">
          <cell r="B85" t="b">
            <v>0</v>
          </cell>
          <cell r="E85" t="str">
            <v>Blasdelezo</v>
          </cell>
          <cell r="H85" t="str">
            <v>salud_oral</v>
          </cell>
          <cell r="J85" t="str">
            <v>regular</v>
          </cell>
          <cell r="K85" t="str">
            <v>probsi</v>
          </cell>
        </row>
        <row r="86">
          <cell r="B86" t="b">
            <v>0</v>
          </cell>
          <cell r="E86" t="str">
            <v>Blasdelezo</v>
          </cell>
          <cell r="H86" t="str">
            <v>salud_oral</v>
          </cell>
          <cell r="J86" t="str">
            <v>regular</v>
          </cell>
          <cell r="K86" t="str">
            <v>probsi</v>
          </cell>
        </row>
        <row r="87">
          <cell r="B87" t="b">
            <v>1</v>
          </cell>
          <cell r="E87" t="str">
            <v>Blasdelezo</v>
          </cell>
          <cell r="H87" t="str">
            <v>salud_oral</v>
          </cell>
          <cell r="J87" t="str">
            <v>bueno</v>
          </cell>
          <cell r="K87" t="str">
            <v>probsi</v>
          </cell>
        </row>
        <row r="88">
          <cell r="B88" t="b">
            <v>1</v>
          </cell>
          <cell r="E88" t="str">
            <v>Blasdelezo</v>
          </cell>
          <cell r="H88" t="str">
            <v>salud_oral</v>
          </cell>
          <cell r="J88" t="str">
            <v>bueno</v>
          </cell>
          <cell r="K88" t="str">
            <v>probsi</v>
          </cell>
        </row>
        <row r="89">
          <cell r="B89" t="b">
            <v>1</v>
          </cell>
          <cell r="E89" t="str">
            <v>Blasdelezo</v>
          </cell>
          <cell r="H89" t="str">
            <v>salud_oral</v>
          </cell>
          <cell r="J89" t="str">
            <v>bueno</v>
          </cell>
          <cell r="K89" t="str">
            <v>probsi</v>
          </cell>
        </row>
        <row r="90">
          <cell r="B90" t="b">
            <v>1</v>
          </cell>
          <cell r="E90" t="str">
            <v>Blasdelezo</v>
          </cell>
          <cell r="H90" t="str">
            <v>salud_oral</v>
          </cell>
          <cell r="J90" t="str">
            <v>bueno</v>
          </cell>
          <cell r="K90" t="str">
            <v>probsi</v>
          </cell>
        </row>
        <row r="91">
          <cell r="B91" t="b">
            <v>1</v>
          </cell>
          <cell r="E91" t="str">
            <v>Boston</v>
          </cell>
          <cell r="H91" t="str">
            <v>consulta_externa</v>
          </cell>
          <cell r="J91" t="str">
            <v>bueno</v>
          </cell>
          <cell r="K91" t="str">
            <v>defsi</v>
          </cell>
        </row>
        <row r="92">
          <cell r="B92" t="b">
            <v>1</v>
          </cell>
          <cell r="E92" t="str">
            <v>Boston</v>
          </cell>
          <cell r="H92" t="str">
            <v>consulta_externa</v>
          </cell>
          <cell r="J92" t="str">
            <v>bueno</v>
          </cell>
          <cell r="K92" t="str">
            <v>defsi</v>
          </cell>
        </row>
        <row r="93">
          <cell r="B93" t="b">
            <v>1</v>
          </cell>
          <cell r="E93" t="str">
            <v>Boston</v>
          </cell>
          <cell r="H93" t="str">
            <v>consulta_externa</v>
          </cell>
          <cell r="J93" t="str">
            <v>bueno</v>
          </cell>
          <cell r="K93" t="str">
            <v>defsi</v>
          </cell>
        </row>
        <row r="94">
          <cell r="B94" t="b">
            <v>1</v>
          </cell>
          <cell r="E94" t="str">
            <v>Bicentenario</v>
          </cell>
          <cell r="H94" t="str">
            <v>consulta_externa</v>
          </cell>
          <cell r="J94" t="str">
            <v>bueno</v>
          </cell>
          <cell r="K94" t="str">
            <v>defsi</v>
          </cell>
        </row>
        <row r="95">
          <cell r="B95" t="b">
            <v>1</v>
          </cell>
          <cell r="E95" t="str">
            <v>Bicentenario</v>
          </cell>
          <cell r="H95" t="str">
            <v>laboratorio</v>
          </cell>
          <cell r="J95" t="str">
            <v>bueno</v>
          </cell>
          <cell r="K95" t="str">
            <v>defsi</v>
          </cell>
        </row>
        <row r="96">
          <cell r="B96" t="b">
            <v>1</v>
          </cell>
          <cell r="E96" t="str">
            <v>Bicentenario</v>
          </cell>
          <cell r="H96" t="str">
            <v>laboratorio</v>
          </cell>
          <cell r="J96" t="str">
            <v>bueno</v>
          </cell>
          <cell r="K96" t="str">
            <v>defsi</v>
          </cell>
        </row>
        <row r="97">
          <cell r="B97" t="b">
            <v>1</v>
          </cell>
          <cell r="E97" t="str">
            <v>Bicentenario</v>
          </cell>
          <cell r="H97" t="str">
            <v>laboratorio</v>
          </cell>
          <cell r="J97" t="str">
            <v>bueno</v>
          </cell>
          <cell r="K97" t="str">
            <v>defsi</v>
          </cell>
        </row>
        <row r="98">
          <cell r="B98" t="b">
            <v>0</v>
          </cell>
          <cell r="E98" t="str">
            <v>Bicentenario</v>
          </cell>
          <cell r="H98" t="str">
            <v>consulta_externa</v>
          </cell>
          <cell r="J98" t="str">
            <v>regular</v>
          </cell>
          <cell r="K98" t="str">
            <v>defsi</v>
          </cell>
        </row>
        <row r="99">
          <cell r="B99" t="b">
            <v>1</v>
          </cell>
          <cell r="E99" t="str">
            <v>Bicentenario</v>
          </cell>
          <cell r="H99" t="str">
            <v>urgencia</v>
          </cell>
          <cell r="J99" t="str">
            <v>bueno</v>
          </cell>
          <cell r="K99" t="str">
            <v>defsi</v>
          </cell>
        </row>
        <row r="100">
          <cell r="B100" t="b">
            <v>1</v>
          </cell>
          <cell r="E100" t="str">
            <v>Bicentenario</v>
          </cell>
          <cell r="H100" t="str">
            <v>urgencia</v>
          </cell>
          <cell r="J100" t="str">
            <v>bueno</v>
          </cell>
          <cell r="K100" t="str">
            <v>defsi</v>
          </cell>
        </row>
        <row r="101">
          <cell r="B101" t="b">
            <v>0</v>
          </cell>
          <cell r="E101" t="str">
            <v>Bicentenario</v>
          </cell>
          <cell r="H101" t="str">
            <v>urgencia</v>
          </cell>
          <cell r="J101" t="str">
            <v>regular</v>
          </cell>
          <cell r="K101" t="str">
            <v>probsi</v>
          </cell>
        </row>
        <row r="102">
          <cell r="B102" t="b">
            <v>1</v>
          </cell>
          <cell r="E102" t="str">
            <v>Bicentenario</v>
          </cell>
          <cell r="H102" t="str">
            <v>urgencia</v>
          </cell>
          <cell r="J102" t="str">
            <v>bueno</v>
          </cell>
          <cell r="K102" t="str">
            <v>defsi</v>
          </cell>
        </row>
        <row r="103">
          <cell r="B103" t="b">
            <v>1</v>
          </cell>
          <cell r="E103" t="str">
            <v>Bicentenario</v>
          </cell>
          <cell r="H103" t="str">
            <v>urgencia</v>
          </cell>
          <cell r="J103" t="str">
            <v>bueno</v>
          </cell>
          <cell r="K103" t="str">
            <v>defsi</v>
          </cell>
        </row>
        <row r="104">
          <cell r="B104" t="b">
            <v>1</v>
          </cell>
          <cell r="E104" t="str">
            <v>Bicentenario</v>
          </cell>
          <cell r="H104" t="str">
            <v>urgencia</v>
          </cell>
          <cell r="J104" t="str">
            <v>bueno</v>
          </cell>
          <cell r="K104" t="str">
            <v>defsi</v>
          </cell>
        </row>
        <row r="105">
          <cell r="B105" t="b">
            <v>1</v>
          </cell>
          <cell r="E105" t="str">
            <v>Bicentenario</v>
          </cell>
          <cell r="H105" t="str">
            <v>consulta_externa</v>
          </cell>
          <cell r="J105" t="str">
            <v>bueno</v>
          </cell>
          <cell r="K105" t="str">
            <v>defsi</v>
          </cell>
        </row>
        <row r="106">
          <cell r="B106" t="b">
            <v>1</v>
          </cell>
          <cell r="E106" t="str">
            <v>Bicentenario</v>
          </cell>
          <cell r="H106" t="str">
            <v>laboratorio</v>
          </cell>
          <cell r="J106" t="str">
            <v>bueno</v>
          </cell>
          <cell r="K106" t="str">
            <v>defsi</v>
          </cell>
        </row>
        <row r="107">
          <cell r="B107" t="b">
            <v>1</v>
          </cell>
          <cell r="E107" t="str">
            <v>Gaviotas</v>
          </cell>
          <cell r="H107" t="str">
            <v>consulta_externa</v>
          </cell>
          <cell r="J107" t="str">
            <v>bueno</v>
          </cell>
          <cell r="K107" t="str">
            <v>defsi</v>
          </cell>
        </row>
        <row r="108">
          <cell r="B108" t="b">
            <v>0</v>
          </cell>
          <cell r="E108" t="str">
            <v>Blasdelezo</v>
          </cell>
          <cell r="H108" t="str">
            <v>laboratorio</v>
          </cell>
          <cell r="J108" t="str">
            <v>regular</v>
          </cell>
          <cell r="K108" t="str">
            <v>probsi</v>
          </cell>
        </row>
        <row r="109">
          <cell r="B109" t="b">
            <v>0</v>
          </cell>
          <cell r="E109" t="str">
            <v>Blasdelezo</v>
          </cell>
          <cell r="H109" t="str">
            <v>laboratorio</v>
          </cell>
          <cell r="J109" t="str">
            <v>regular</v>
          </cell>
          <cell r="K109" t="str">
            <v>probsi</v>
          </cell>
        </row>
        <row r="110">
          <cell r="B110" t="b">
            <v>1</v>
          </cell>
          <cell r="E110" t="str">
            <v>Blasdelezo</v>
          </cell>
          <cell r="H110" t="str">
            <v>laboratorio</v>
          </cell>
          <cell r="J110" t="str">
            <v>bueno</v>
          </cell>
          <cell r="K110" t="str">
            <v>probsi</v>
          </cell>
        </row>
        <row r="111">
          <cell r="B111" t="b">
            <v>1</v>
          </cell>
          <cell r="E111" t="str">
            <v>Blasdelezo</v>
          </cell>
          <cell r="H111" t="str">
            <v>laboratorio</v>
          </cell>
          <cell r="J111" t="str">
            <v>bueno</v>
          </cell>
          <cell r="K111" t="str">
            <v>probsi</v>
          </cell>
        </row>
        <row r="112">
          <cell r="B112" t="b">
            <v>1</v>
          </cell>
          <cell r="E112" t="str">
            <v>Gaviotas</v>
          </cell>
          <cell r="H112" t="str">
            <v>salud_oral</v>
          </cell>
          <cell r="J112" t="str">
            <v>bueno</v>
          </cell>
          <cell r="K112" t="str">
            <v>defsi</v>
          </cell>
        </row>
        <row r="113">
          <cell r="B113" t="b">
            <v>1</v>
          </cell>
          <cell r="E113" t="str">
            <v>Blasdelezo</v>
          </cell>
          <cell r="H113" t="str">
            <v>laboratorio</v>
          </cell>
          <cell r="J113" t="str">
            <v>bueno</v>
          </cell>
          <cell r="K113" t="str">
            <v>probsi</v>
          </cell>
        </row>
        <row r="114">
          <cell r="B114" t="b">
            <v>1</v>
          </cell>
          <cell r="E114" t="str">
            <v>Blasdelezo</v>
          </cell>
          <cell r="H114" t="str">
            <v>laboratorio</v>
          </cell>
          <cell r="J114" t="str">
            <v>bueno</v>
          </cell>
          <cell r="K114" t="str">
            <v>probsi</v>
          </cell>
        </row>
        <row r="115">
          <cell r="B115" t="b">
            <v>1</v>
          </cell>
          <cell r="E115" t="str">
            <v>Blasdelezo</v>
          </cell>
          <cell r="H115" t="str">
            <v>laboratorio</v>
          </cell>
          <cell r="J115" t="str">
            <v>bueno</v>
          </cell>
          <cell r="K115" t="str">
            <v>probsi</v>
          </cell>
        </row>
        <row r="116">
          <cell r="B116" t="b">
            <v>1</v>
          </cell>
          <cell r="E116" t="str">
            <v>Blasdelezo</v>
          </cell>
          <cell r="H116" t="str">
            <v>urgencia</v>
          </cell>
          <cell r="J116" t="str">
            <v>bueno</v>
          </cell>
          <cell r="K116" t="str">
            <v>probsi</v>
          </cell>
        </row>
        <row r="117">
          <cell r="B117" t="b">
            <v>1</v>
          </cell>
          <cell r="E117" t="str">
            <v>Blasdelezo</v>
          </cell>
          <cell r="H117" t="str">
            <v>urgencia</v>
          </cell>
          <cell r="J117" t="str">
            <v>bueno</v>
          </cell>
          <cell r="K117" t="str">
            <v>probsi</v>
          </cell>
        </row>
        <row r="118">
          <cell r="B118" t="b">
            <v>1</v>
          </cell>
          <cell r="E118" t="str">
            <v>Blasdelezo</v>
          </cell>
          <cell r="H118" t="str">
            <v>urgencia</v>
          </cell>
          <cell r="J118" t="str">
            <v>bueno</v>
          </cell>
          <cell r="K118" t="str">
            <v>probsi</v>
          </cell>
        </row>
        <row r="119">
          <cell r="B119" t="b">
            <v>1</v>
          </cell>
          <cell r="E119" t="str">
            <v>Blasdelezo</v>
          </cell>
          <cell r="H119" t="str">
            <v>urgencia</v>
          </cell>
          <cell r="J119" t="str">
            <v>bueno</v>
          </cell>
          <cell r="K119" t="str">
            <v>probsi</v>
          </cell>
        </row>
        <row r="120">
          <cell r="B120" t="b">
            <v>1</v>
          </cell>
          <cell r="E120" t="str">
            <v>Blasdelezo</v>
          </cell>
          <cell r="H120" t="str">
            <v>urgencia</v>
          </cell>
          <cell r="J120" t="str">
            <v>bueno</v>
          </cell>
          <cell r="K120" t="str">
            <v>probsi</v>
          </cell>
        </row>
        <row r="121">
          <cell r="B121" t="b">
            <v>1</v>
          </cell>
          <cell r="E121" t="str">
            <v>Blasdelezo</v>
          </cell>
          <cell r="H121" t="str">
            <v>urgencia</v>
          </cell>
          <cell r="J121" t="str">
            <v>bueno</v>
          </cell>
          <cell r="K121" t="str">
            <v>probsi</v>
          </cell>
        </row>
        <row r="122">
          <cell r="B122" t="b">
            <v>0</v>
          </cell>
          <cell r="E122" t="str">
            <v>Blasdelezo</v>
          </cell>
          <cell r="H122" t="str">
            <v>urgencia</v>
          </cell>
          <cell r="J122" t="str">
            <v>regular</v>
          </cell>
          <cell r="K122" t="str">
            <v>probsi</v>
          </cell>
        </row>
        <row r="123">
          <cell r="B123" t="b">
            <v>0</v>
          </cell>
          <cell r="E123" t="str">
            <v>Blasdelezo</v>
          </cell>
          <cell r="H123" t="str">
            <v>urgencia</v>
          </cell>
          <cell r="J123" t="str">
            <v>regular</v>
          </cell>
          <cell r="K123" t="str">
            <v>probsi</v>
          </cell>
        </row>
        <row r="124">
          <cell r="B124" t="b">
            <v>1</v>
          </cell>
          <cell r="E124" t="str">
            <v>Gaviotas</v>
          </cell>
          <cell r="H124" t="str">
            <v>laboratorio</v>
          </cell>
          <cell r="J124" t="str">
            <v>bueno</v>
          </cell>
          <cell r="K124" t="str">
            <v>defsi</v>
          </cell>
        </row>
        <row r="125">
          <cell r="B125" t="b">
            <v>0</v>
          </cell>
          <cell r="E125" t="str">
            <v>Bicentenario</v>
          </cell>
          <cell r="H125" t="str">
            <v>laboratorio</v>
          </cell>
          <cell r="J125" t="str">
            <v>regular</v>
          </cell>
          <cell r="K125" t="str">
            <v>defsi</v>
          </cell>
        </row>
        <row r="126">
          <cell r="B126" t="b">
            <v>1</v>
          </cell>
          <cell r="E126" t="str">
            <v>Bicentenario</v>
          </cell>
          <cell r="H126" t="str">
            <v>consulta_externa</v>
          </cell>
          <cell r="J126" t="str">
            <v>bueno</v>
          </cell>
          <cell r="K126" t="str">
            <v>defsi</v>
          </cell>
        </row>
        <row r="127">
          <cell r="B127" t="b">
            <v>1</v>
          </cell>
          <cell r="E127" t="str">
            <v>Bicentenario</v>
          </cell>
          <cell r="H127" t="str">
            <v>consulta_externa</v>
          </cell>
          <cell r="J127" t="str">
            <v>bueno</v>
          </cell>
          <cell r="K127" t="str">
            <v>defsi</v>
          </cell>
        </row>
        <row r="128">
          <cell r="B128" t="b">
            <v>1</v>
          </cell>
          <cell r="E128" t="str">
            <v>Bicentenario</v>
          </cell>
          <cell r="H128" t="str">
            <v>consulta_externa</v>
          </cell>
          <cell r="J128" t="str">
            <v>bueno</v>
          </cell>
          <cell r="K128" t="str">
            <v>defsi</v>
          </cell>
        </row>
        <row r="129">
          <cell r="B129" t="b">
            <v>1</v>
          </cell>
          <cell r="E129" t="str">
            <v>Bicentenario</v>
          </cell>
          <cell r="H129" t="str">
            <v>laboratorio</v>
          </cell>
          <cell r="J129" t="str">
            <v>bueno</v>
          </cell>
          <cell r="K129" t="str">
            <v>defsi</v>
          </cell>
        </row>
        <row r="130">
          <cell r="B130" t="b">
            <v>1</v>
          </cell>
          <cell r="E130" t="str">
            <v>Bicentenario</v>
          </cell>
          <cell r="H130" t="str">
            <v>salud_oral</v>
          </cell>
          <cell r="J130" t="str">
            <v>bueno</v>
          </cell>
          <cell r="K130" t="str">
            <v>defsi</v>
          </cell>
        </row>
        <row r="131">
          <cell r="B131" t="b">
            <v>1</v>
          </cell>
          <cell r="E131" t="str">
            <v>Bicentenario</v>
          </cell>
          <cell r="H131" t="str">
            <v>salud_oral</v>
          </cell>
          <cell r="J131" t="str">
            <v>bueno</v>
          </cell>
          <cell r="K131" t="str">
            <v>defsi</v>
          </cell>
        </row>
        <row r="132">
          <cell r="B132" t="b">
            <v>1</v>
          </cell>
          <cell r="E132" t="str">
            <v>Bicentenario</v>
          </cell>
          <cell r="H132" t="str">
            <v>salud_oral</v>
          </cell>
          <cell r="J132" t="str">
            <v>bueno</v>
          </cell>
          <cell r="K132" t="str">
            <v>defsi</v>
          </cell>
        </row>
        <row r="133">
          <cell r="B133" t="b">
            <v>0</v>
          </cell>
          <cell r="E133" t="str">
            <v>Bicentenario</v>
          </cell>
          <cell r="H133" t="str">
            <v>consulta_externa</v>
          </cell>
          <cell r="J133" t="str">
            <v>regular</v>
          </cell>
          <cell r="K133" t="str">
            <v>probsi</v>
          </cell>
        </row>
        <row r="134">
          <cell r="B134" t="b">
            <v>0</v>
          </cell>
          <cell r="E134" t="str">
            <v>Bicentenario</v>
          </cell>
          <cell r="H134" t="str">
            <v>laboratorio</v>
          </cell>
          <cell r="J134" t="str">
            <v>regular</v>
          </cell>
          <cell r="K134" t="str">
            <v>probsi</v>
          </cell>
        </row>
        <row r="135">
          <cell r="B135" t="b">
            <v>1</v>
          </cell>
          <cell r="E135" t="str">
            <v>Bicentenario</v>
          </cell>
          <cell r="H135" t="str">
            <v>laboratorio</v>
          </cell>
          <cell r="J135" t="str">
            <v>bueno</v>
          </cell>
          <cell r="K135" t="str">
            <v>defsi</v>
          </cell>
        </row>
        <row r="136">
          <cell r="B136" t="b">
            <v>1</v>
          </cell>
          <cell r="E136" t="str">
            <v>Bicentenario</v>
          </cell>
          <cell r="H136" t="str">
            <v>salud_oral</v>
          </cell>
          <cell r="J136" t="str">
            <v>bueno</v>
          </cell>
          <cell r="K136" t="str">
            <v>defsi</v>
          </cell>
        </row>
        <row r="137">
          <cell r="B137" t="b">
            <v>1</v>
          </cell>
          <cell r="E137" t="str">
            <v>Bicentenario</v>
          </cell>
          <cell r="H137" t="str">
            <v>laboratorio</v>
          </cell>
          <cell r="J137" t="str">
            <v>bueno</v>
          </cell>
          <cell r="K137" t="str">
            <v>defsi</v>
          </cell>
        </row>
        <row r="138">
          <cell r="B138" t="b">
            <v>1</v>
          </cell>
          <cell r="E138" t="str">
            <v>Bicentenario</v>
          </cell>
          <cell r="H138" t="str">
            <v>salud_oral</v>
          </cell>
          <cell r="J138" t="str">
            <v>bueno</v>
          </cell>
          <cell r="K138" t="str">
            <v>defsi</v>
          </cell>
        </row>
        <row r="139">
          <cell r="B139" t="b">
            <v>1</v>
          </cell>
          <cell r="E139" t="str">
            <v>Bicentenario</v>
          </cell>
          <cell r="H139" t="str">
            <v>urgencia</v>
          </cell>
          <cell r="J139" t="str">
            <v>bueno</v>
          </cell>
          <cell r="K139" t="str">
            <v>defsi</v>
          </cell>
        </row>
        <row r="140">
          <cell r="B140" t="b">
            <v>1</v>
          </cell>
          <cell r="E140" t="str">
            <v>Gaviotas</v>
          </cell>
          <cell r="H140" t="str">
            <v>consulta_externa</v>
          </cell>
          <cell r="J140" t="str">
            <v>bueno</v>
          </cell>
          <cell r="K140" t="str">
            <v>defsi</v>
          </cell>
        </row>
        <row r="141">
          <cell r="B141" t="b">
            <v>1</v>
          </cell>
          <cell r="E141" t="str">
            <v>Gaviotas</v>
          </cell>
          <cell r="H141" t="str">
            <v>salud_oral</v>
          </cell>
          <cell r="J141" t="str">
            <v>bueno</v>
          </cell>
          <cell r="K141" t="str">
            <v>defsi</v>
          </cell>
        </row>
        <row r="142">
          <cell r="B142" t="b">
            <v>1</v>
          </cell>
          <cell r="E142" t="str">
            <v>Gaviotas</v>
          </cell>
          <cell r="H142" t="str">
            <v>laboratorio</v>
          </cell>
          <cell r="J142" t="str">
            <v>bueno</v>
          </cell>
          <cell r="K142" t="str">
            <v>defsi</v>
          </cell>
        </row>
        <row r="143">
          <cell r="B143" t="b">
            <v>1</v>
          </cell>
          <cell r="E143" t="str">
            <v>Gaviotas</v>
          </cell>
          <cell r="H143" t="str">
            <v>consulta_externa</v>
          </cell>
          <cell r="J143" t="str">
            <v>bueno</v>
          </cell>
          <cell r="K143" t="str">
            <v>defsi</v>
          </cell>
        </row>
        <row r="144">
          <cell r="B144" t="b">
            <v>1</v>
          </cell>
          <cell r="E144" t="str">
            <v>Gaviotas</v>
          </cell>
          <cell r="H144" t="str">
            <v>salud_oral</v>
          </cell>
          <cell r="J144" t="str">
            <v>bueno</v>
          </cell>
          <cell r="K144" t="str">
            <v>defsi</v>
          </cell>
        </row>
        <row r="145">
          <cell r="B145" t="b">
            <v>1</v>
          </cell>
          <cell r="E145" t="str">
            <v>Gaviotas</v>
          </cell>
          <cell r="H145" t="str">
            <v>laboratorio</v>
          </cell>
          <cell r="J145" t="str">
            <v>bueno</v>
          </cell>
          <cell r="K145" t="str">
            <v>defsi</v>
          </cell>
        </row>
        <row r="146">
          <cell r="B146" t="b">
            <v>1</v>
          </cell>
          <cell r="E146" t="str">
            <v>Fredonia</v>
          </cell>
          <cell r="H146" t="str">
            <v>consulta_externa</v>
          </cell>
          <cell r="J146" t="str">
            <v>bueno</v>
          </cell>
          <cell r="K146" t="str">
            <v>defsi</v>
          </cell>
        </row>
        <row r="147">
          <cell r="B147" t="b">
            <v>1</v>
          </cell>
          <cell r="E147" t="str">
            <v>Fredonia</v>
          </cell>
          <cell r="H147" t="str">
            <v>consulta_externa</v>
          </cell>
          <cell r="J147" t="str">
            <v>bueno</v>
          </cell>
          <cell r="K147" t="str">
            <v>defsi</v>
          </cell>
        </row>
        <row r="148">
          <cell r="B148" t="b">
            <v>1</v>
          </cell>
          <cell r="E148" t="str">
            <v>Fredonia</v>
          </cell>
          <cell r="H148" t="str">
            <v>laboratorio</v>
          </cell>
          <cell r="J148" t="str">
            <v>bueno</v>
          </cell>
          <cell r="K148" t="str">
            <v>defsi</v>
          </cell>
        </row>
        <row r="149">
          <cell r="B149" t="b">
            <v>1</v>
          </cell>
          <cell r="E149" t="str">
            <v>Fredonia</v>
          </cell>
          <cell r="H149" t="str">
            <v>consulta_externa</v>
          </cell>
          <cell r="J149" t="str">
            <v>muybueno</v>
          </cell>
          <cell r="K149" t="str">
            <v>defsi</v>
          </cell>
        </row>
        <row r="150">
          <cell r="B150" t="b">
            <v>1</v>
          </cell>
          <cell r="E150" t="str">
            <v>Fredonia</v>
          </cell>
          <cell r="H150" t="str">
            <v>laboratorio</v>
          </cell>
          <cell r="J150" t="str">
            <v>muybueno</v>
          </cell>
          <cell r="K150" t="str">
            <v>defsi</v>
          </cell>
        </row>
        <row r="151">
          <cell r="B151" t="b">
            <v>1</v>
          </cell>
          <cell r="E151" t="str">
            <v>Fredonia</v>
          </cell>
          <cell r="H151" t="str">
            <v>consulta_externa</v>
          </cell>
          <cell r="J151" t="str">
            <v>muybueno</v>
          </cell>
          <cell r="K151" t="str">
            <v>defsi</v>
          </cell>
        </row>
        <row r="152">
          <cell r="B152" t="b">
            <v>1</v>
          </cell>
          <cell r="E152" t="str">
            <v>Fredonia</v>
          </cell>
          <cell r="H152" t="str">
            <v>consulta_externa</v>
          </cell>
          <cell r="J152" t="str">
            <v>muybueno</v>
          </cell>
          <cell r="K152" t="str">
            <v>defsi</v>
          </cell>
        </row>
        <row r="153">
          <cell r="B153" t="b">
            <v>1</v>
          </cell>
          <cell r="E153" t="str">
            <v>Fredonia</v>
          </cell>
          <cell r="H153" t="str">
            <v>consulta_externa</v>
          </cell>
          <cell r="J153" t="str">
            <v>bueno</v>
          </cell>
          <cell r="K153" t="str">
            <v>defsi</v>
          </cell>
        </row>
        <row r="154">
          <cell r="B154" t="b">
            <v>1</v>
          </cell>
          <cell r="E154" t="str">
            <v>Fredonia</v>
          </cell>
          <cell r="H154" t="str">
            <v>salud_oral</v>
          </cell>
          <cell r="J154" t="str">
            <v>bueno</v>
          </cell>
          <cell r="K154" t="str">
            <v>defsi</v>
          </cell>
        </row>
        <row r="155">
          <cell r="B155" t="b">
            <v>1</v>
          </cell>
          <cell r="E155" t="str">
            <v>Fredonia</v>
          </cell>
          <cell r="H155" t="str">
            <v>consulta_externa</v>
          </cell>
          <cell r="J155" t="str">
            <v>muybueno</v>
          </cell>
          <cell r="K155" t="str">
            <v>defsi</v>
          </cell>
        </row>
        <row r="156">
          <cell r="B156" t="b">
            <v>1</v>
          </cell>
          <cell r="E156" t="str">
            <v>Fredonia</v>
          </cell>
          <cell r="H156" t="str">
            <v>consulta_externa</v>
          </cell>
          <cell r="J156" t="str">
            <v>bueno</v>
          </cell>
          <cell r="K156" t="str">
            <v>defsi</v>
          </cell>
        </row>
        <row r="157">
          <cell r="B157" t="b">
            <v>1</v>
          </cell>
          <cell r="E157" t="str">
            <v>Fredonia</v>
          </cell>
          <cell r="H157" t="str">
            <v>consulta_externa</v>
          </cell>
          <cell r="J157" t="str">
            <v>bueno</v>
          </cell>
          <cell r="K157" t="str">
            <v>defsi</v>
          </cell>
        </row>
        <row r="158">
          <cell r="B158" t="b">
            <v>1</v>
          </cell>
          <cell r="E158" t="str">
            <v>Fredonia</v>
          </cell>
          <cell r="H158" t="str">
            <v>consulta_externa</v>
          </cell>
          <cell r="J158" t="str">
            <v>bueno</v>
          </cell>
          <cell r="K158" t="str">
            <v>defsi</v>
          </cell>
        </row>
        <row r="159">
          <cell r="B159" t="b">
            <v>1</v>
          </cell>
          <cell r="E159" t="str">
            <v>Fredonia</v>
          </cell>
          <cell r="H159" t="str">
            <v>salud_oral</v>
          </cell>
          <cell r="J159" t="str">
            <v>bueno</v>
          </cell>
          <cell r="K159" t="str">
            <v>defsi</v>
          </cell>
        </row>
        <row r="160">
          <cell r="B160" t="b">
            <v>0</v>
          </cell>
          <cell r="E160" t="str">
            <v>Blasdelezo</v>
          </cell>
          <cell r="H160" t="str">
            <v>consulta_externa</v>
          </cell>
          <cell r="J160" t="str">
            <v>regular</v>
          </cell>
          <cell r="K160" t="str">
            <v>probsi</v>
          </cell>
        </row>
        <row r="161">
          <cell r="B161" t="b">
            <v>0</v>
          </cell>
          <cell r="E161" t="str">
            <v>Blasdelezo</v>
          </cell>
          <cell r="H161" t="str">
            <v>consulta_externa</v>
          </cell>
          <cell r="J161" t="str">
            <v>regular</v>
          </cell>
          <cell r="K161" t="str">
            <v>probsi</v>
          </cell>
        </row>
        <row r="162">
          <cell r="B162" t="b">
            <v>1</v>
          </cell>
          <cell r="E162" t="str">
            <v>Blasdelezo</v>
          </cell>
          <cell r="H162" t="str">
            <v>consulta_externa</v>
          </cell>
          <cell r="J162" t="str">
            <v>bueno</v>
          </cell>
          <cell r="K162" t="str">
            <v>probsi</v>
          </cell>
        </row>
        <row r="163">
          <cell r="B163" t="b">
            <v>1</v>
          </cell>
          <cell r="E163" t="str">
            <v>Blasdelezo</v>
          </cell>
          <cell r="H163" t="str">
            <v>salud_oral</v>
          </cell>
          <cell r="J163" t="str">
            <v>bueno</v>
          </cell>
          <cell r="K163" t="str">
            <v>probsi</v>
          </cell>
        </row>
        <row r="164">
          <cell r="B164" t="b">
            <v>1</v>
          </cell>
          <cell r="E164" t="str">
            <v>Blasdelezo</v>
          </cell>
          <cell r="H164" t="str">
            <v>salud_oral</v>
          </cell>
          <cell r="J164" t="str">
            <v>bueno</v>
          </cell>
          <cell r="K164" t="str">
            <v>probsi</v>
          </cell>
        </row>
        <row r="165">
          <cell r="B165" t="b">
            <v>1</v>
          </cell>
          <cell r="E165" t="str">
            <v>Blasdelezo</v>
          </cell>
          <cell r="H165" t="str">
            <v>salud_oral</v>
          </cell>
          <cell r="J165" t="str">
            <v>bueno</v>
          </cell>
          <cell r="K165" t="str">
            <v>probsi</v>
          </cell>
        </row>
        <row r="166">
          <cell r="B166" t="b">
            <v>1</v>
          </cell>
          <cell r="E166" t="str">
            <v>Blasdelezo</v>
          </cell>
          <cell r="H166" t="str">
            <v>laboratorio</v>
          </cell>
          <cell r="J166" t="str">
            <v>bueno</v>
          </cell>
          <cell r="K166" t="str">
            <v>probsi</v>
          </cell>
        </row>
        <row r="167">
          <cell r="B167" t="b">
            <v>1</v>
          </cell>
          <cell r="E167" t="str">
            <v>Blasdelezo</v>
          </cell>
          <cell r="H167" t="str">
            <v>laboratorio</v>
          </cell>
          <cell r="J167" t="str">
            <v>bueno</v>
          </cell>
          <cell r="K167" t="str">
            <v>probsi</v>
          </cell>
        </row>
        <row r="168">
          <cell r="B168" t="b">
            <v>1</v>
          </cell>
          <cell r="E168" t="str">
            <v>Blasdelezo</v>
          </cell>
          <cell r="H168" t="str">
            <v>laboratorio</v>
          </cell>
          <cell r="J168" t="str">
            <v>bueno</v>
          </cell>
          <cell r="K168" t="str">
            <v>probsi</v>
          </cell>
        </row>
        <row r="169">
          <cell r="B169" t="b">
            <v>1</v>
          </cell>
          <cell r="E169" t="str">
            <v>Blasdelezo</v>
          </cell>
          <cell r="H169" t="str">
            <v>laboratorio</v>
          </cell>
          <cell r="J169" t="str">
            <v>bueno</v>
          </cell>
          <cell r="K169" t="str">
            <v>probsi</v>
          </cell>
        </row>
        <row r="170">
          <cell r="B170" t="b">
            <v>1</v>
          </cell>
          <cell r="E170" t="str">
            <v>Blasdelezo</v>
          </cell>
          <cell r="H170" t="str">
            <v>salud_oral</v>
          </cell>
          <cell r="J170" t="str">
            <v>bueno</v>
          </cell>
          <cell r="K170" t="str">
            <v>probsi</v>
          </cell>
        </row>
        <row r="171">
          <cell r="B171" t="b">
            <v>1</v>
          </cell>
          <cell r="E171" t="str">
            <v>Blasdelezo</v>
          </cell>
          <cell r="H171" t="str">
            <v>salud_oral</v>
          </cell>
          <cell r="J171" t="str">
            <v>bueno</v>
          </cell>
          <cell r="K171" t="str">
            <v>probsi</v>
          </cell>
        </row>
        <row r="172">
          <cell r="B172" t="b">
            <v>1</v>
          </cell>
          <cell r="E172" t="str">
            <v>Blasdelezo</v>
          </cell>
          <cell r="H172" t="str">
            <v>consulta_externa</v>
          </cell>
          <cell r="J172" t="str">
            <v>bueno</v>
          </cell>
          <cell r="K172" t="str">
            <v>probsi</v>
          </cell>
        </row>
        <row r="173">
          <cell r="B173" t="b">
            <v>1</v>
          </cell>
          <cell r="E173" t="str">
            <v>Blasdelezo</v>
          </cell>
          <cell r="H173" t="str">
            <v>consulta_externa</v>
          </cell>
          <cell r="J173" t="str">
            <v>bueno</v>
          </cell>
          <cell r="K173" t="str">
            <v>probsi</v>
          </cell>
        </row>
        <row r="174">
          <cell r="B174" t="b">
            <v>1</v>
          </cell>
          <cell r="E174" t="str">
            <v>Blasdelezo</v>
          </cell>
          <cell r="H174" t="str">
            <v>consulta_externa</v>
          </cell>
          <cell r="J174" t="str">
            <v>bueno</v>
          </cell>
          <cell r="K174" t="str">
            <v>probsi</v>
          </cell>
        </row>
        <row r="175">
          <cell r="B175" t="b">
            <v>1</v>
          </cell>
          <cell r="E175" t="str">
            <v>Blasdelezo</v>
          </cell>
          <cell r="H175" t="str">
            <v>salud_oral</v>
          </cell>
          <cell r="J175" t="str">
            <v>bueno</v>
          </cell>
          <cell r="K175" t="str">
            <v>probsi</v>
          </cell>
        </row>
        <row r="176">
          <cell r="B176" t="b">
            <v>1</v>
          </cell>
          <cell r="E176" t="str">
            <v>Blasdelezo</v>
          </cell>
          <cell r="H176" t="str">
            <v>salud_oral</v>
          </cell>
          <cell r="J176" t="str">
            <v>bueno</v>
          </cell>
          <cell r="K176" t="str">
            <v>probsi</v>
          </cell>
        </row>
        <row r="177">
          <cell r="B177" t="b">
            <v>0</v>
          </cell>
          <cell r="E177" t="str">
            <v>Blasdelezo</v>
          </cell>
          <cell r="H177" t="str">
            <v>laboratorio</v>
          </cell>
          <cell r="J177" t="str">
            <v>regular</v>
          </cell>
          <cell r="K177" t="str">
            <v>probsi</v>
          </cell>
        </row>
        <row r="178">
          <cell r="B178" t="b">
            <v>0</v>
          </cell>
          <cell r="E178" t="str">
            <v>Blasdelezo</v>
          </cell>
          <cell r="H178" t="str">
            <v>laboratorio</v>
          </cell>
          <cell r="J178" t="str">
            <v>regular</v>
          </cell>
          <cell r="K178" t="str">
            <v>probsi</v>
          </cell>
        </row>
        <row r="179">
          <cell r="B179" t="b">
            <v>1</v>
          </cell>
          <cell r="E179" t="str">
            <v>Fredonia</v>
          </cell>
          <cell r="H179" t="str">
            <v>salud_oral</v>
          </cell>
          <cell r="J179" t="str">
            <v>bueno</v>
          </cell>
          <cell r="K179" t="str">
            <v>defsi</v>
          </cell>
        </row>
        <row r="180">
          <cell r="B180" t="b">
            <v>1</v>
          </cell>
          <cell r="E180" t="str">
            <v>Fredonia</v>
          </cell>
          <cell r="H180" t="str">
            <v>salud_oral</v>
          </cell>
          <cell r="J180" t="str">
            <v>bueno</v>
          </cell>
          <cell r="K180" t="str">
            <v>defsi</v>
          </cell>
        </row>
        <row r="181">
          <cell r="B181" t="b">
            <v>1</v>
          </cell>
          <cell r="E181" t="str">
            <v>Fredonia</v>
          </cell>
          <cell r="H181" t="str">
            <v>salud_oral</v>
          </cell>
          <cell r="J181" t="str">
            <v>bueno</v>
          </cell>
          <cell r="K181" t="str">
            <v>defsi</v>
          </cell>
        </row>
        <row r="182">
          <cell r="B182" t="b">
            <v>1</v>
          </cell>
          <cell r="E182" t="str">
            <v>Fredonia</v>
          </cell>
          <cell r="H182" t="str">
            <v>consulta_externa</v>
          </cell>
          <cell r="J182" t="str">
            <v>bueno</v>
          </cell>
          <cell r="K182" t="str">
            <v>defsi</v>
          </cell>
        </row>
        <row r="183">
          <cell r="B183" t="b">
            <v>1</v>
          </cell>
          <cell r="E183" t="str">
            <v>Fredonia</v>
          </cell>
          <cell r="H183" t="str">
            <v>laboratorio</v>
          </cell>
          <cell r="J183" t="str">
            <v>bueno</v>
          </cell>
          <cell r="K183" t="str">
            <v>defsi</v>
          </cell>
        </row>
        <row r="184">
          <cell r="B184" t="b">
            <v>0</v>
          </cell>
          <cell r="E184" t="str">
            <v>Fredonia</v>
          </cell>
          <cell r="H184" t="str">
            <v>laboratorio</v>
          </cell>
          <cell r="J184" t="str">
            <v>regular</v>
          </cell>
          <cell r="K184" t="str">
            <v>defsi</v>
          </cell>
        </row>
        <row r="185">
          <cell r="B185" t="b">
            <v>0</v>
          </cell>
          <cell r="E185" t="str">
            <v>Fredonia</v>
          </cell>
          <cell r="H185" t="str">
            <v>consulta_externa</v>
          </cell>
          <cell r="J185" t="str">
            <v>regular</v>
          </cell>
          <cell r="K185" t="str">
            <v>defsi</v>
          </cell>
        </row>
        <row r="186">
          <cell r="B186" t="b">
            <v>1</v>
          </cell>
          <cell r="E186" t="str">
            <v>Gaviotas</v>
          </cell>
          <cell r="H186" t="str">
            <v>consulta_externa</v>
          </cell>
          <cell r="J186" t="str">
            <v>bueno</v>
          </cell>
          <cell r="K186" t="str">
            <v>defsi</v>
          </cell>
        </row>
        <row r="187">
          <cell r="B187" t="b">
            <v>1</v>
          </cell>
          <cell r="E187" t="str">
            <v>Gaviotas</v>
          </cell>
          <cell r="H187" t="str">
            <v>salud_oral</v>
          </cell>
          <cell r="J187" t="str">
            <v>bueno</v>
          </cell>
          <cell r="K187" t="str">
            <v>defsi</v>
          </cell>
        </row>
        <row r="188">
          <cell r="B188" t="b">
            <v>1</v>
          </cell>
          <cell r="E188" t="str">
            <v>Gaviotas</v>
          </cell>
          <cell r="H188" t="str">
            <v>laboratorio</v>
          </cell>
          <cell r="J188" t="str">
            <v>bueno</v>
          </cell>
          <cell r="K188" t="str">
            <v>defsi</v>
          </cell>
        </row>
        <row r="189">
          <cell r="B189" t="b">
            <v>1</v>
          </cell>
          <cell r="E189" t="str">
            <v>Blasdelezo</v>
          </cell>
          <cell r="H189" t="str">
            <v>pediatria</v>
          </cell>
          <cell r="J189" t="str">
            <v>bueno</v>
          </cell>
          <cell r="K189" t="str">
            <v>probsi</v>
          </cell>
        </row>
        <row r="190">
          <cell r="B190" t="b">
            <v>1</v>
          </cell>
          <cell r="E190" t="str">
            <v>Blasdelezo</v>
          </cell>
          <cell r="H190" t="str">
            <v>pediatria</v>
          </cell>
          <cell r="J190" t="str">
            <v>bueno</v>
          </cell>
          <cell r="K190" t="str">
            <v>probsi</v>
          </cell>
        </row>
        <row r="191">
          <cell r="B191" t="b">
            <v>1</v>
          </cell>
          <cell r="E191" t="str">
            <v>Gaviotas</v>
          </cell>
          <cell r="H191" t="str">
            <v>consulta_externa</v>
          </cell>
          <cell r="J191" t="str">
            <v>bueno</v>
          </cell>
          <cell r="K191" t="str">
            <v>defsi</v>
          </cell>
        </row>
        <row r="192">
          <cell r="B192" t="b">
            <v>1</v>
          </cell>
          <cell r="E192" t="str">
            <v>Blasdelezo</v>
          </cell>
          <cell r="H192" t="str">
            <v>pediatria</v>
          </cell>
          <cell r="J192" t="str">
            <v>bueno</v>
          </cell>
          <cell r="K192" t="str">
            <v>probsi</v>
          </cell>
        </row>
        <row r="193">
          <cell r="B193" t="b">
            <v>1</v>
          </cell>
          <cell r="E193" t="str">
            <v>Blasdelezo</v>
          </cell>
          <cell r="H193" t="str">
            <v>pediatria</v>
          </cell>
          <cell r="J193" t="str">
            <v>bueno</v>
          </cell>
          <cell r="K193" t="str">
            <v>probsi</v>
          </cell>
        </row>
        <row r="194">
          <cell r="B194" t="b">
            <v>1</v>
          </cell>
          <cell r="E194" t="str">
            <v>Blasdelezo</v>
          </cell>
          <cell r="H194" t="str">
            <v>pediatria</v>
          </cell>
          <cell r="J194" t="str">
            <v>bueno</v>
          </cell>
          <cell r="K194" t="str">
            <v>probsi</v>
          </cell>
        </row>
        <row r="195">
          <cell r="B195" t="b">
            <v>1</v>
          </cell>
          <cell r="E195" t="str">
            <v>Blasdelezo</v>
          </cell>
          <cell r="H195" t="str">
            <v>medicina_interna</v>
          </cell>
          <cell r="J195" t="str">
            <v>bueno</v>
          </cell>
          <cell r="K195" t="str">
            <v>probsi</v>
          </cell>
        </row>
        <row r="196">
          <cell r="B196" t="b">
            <v>1</v>
          </cell>
          <cell r="E196" t="str">
            <v>Blasdelezo</v>
          </cell>
          <cell r="H196" t="str">
            <v>medicina_interna</v>
          </cell>
          <cell r="J196" t="str">
            <v>bueno</v>
          </cell>
          <cell r="K196" t="str">
            <v>probsi</v>
          </cell>
        </row>
        <row r="197">
          <cell r="B197" t="b">
            <v>0</v>
          </cell>
          <cell r="E197" t="str">
            <v>Blasdelezo</v>
          </cell>
          <cell r="H197" t="str">
            <v>medicina_interna</v>
          </cell>
          <cell r="J197" t="str">
            <v>regular</v>
          </cell>
          <cell r="K197" t="str">
            <v>probsi</v>
          </cell>
        </row>
        <row r="198">
          <cell r="B198" t="b">
            <v>1</v>
          </cell>
          <cell r="E198" t="str">
            <v>Gaviotas</v>
          </cell>
          <cell r="H198" t="str">
            <v>salud_oral</v>
          </cell>
          <cell r="J198" t="str">
            <v>bueno</v>
          </cell>
          <cell r="K198" t="str">
            <v>defsi</v>
          </cell>
        </row>
        <row r="199">
          <cell r="B199" t="b">
            <v>1</v>
          </cell>
          <cell r="E199" t="str">
            <v>Blasdelezo</v>
          </cell>
          <cell r="H199" t="str">
            <v>medicina_interna</v>
          </cell>
          <cell r="J199" t="str">
            <v>bueno</v>
          </cell>
          <cell r="K199" t="str">
            <v>probsi</v>
          </cell>
        </row>
        <row r="200">
          <cell r="B200" t="b">
            <v>1</v>
          </cell>
          <cell r="E200" t="str">
            <v>Blasdelezo</v>
          </cell>
          <cell r="H200" t="str">
            <v>medicina_interna</v>
          </cell>
          <cell r="J200" t="str">
            <v>bueno</v>
          </cell>
          <cell r="K200" t="str">
            <v>probsi</v>
          </cell>
        </row>
        <row r="201">
          <cell r="B201" t="b">
            <v>1</v>
          </cell>
          <cell r="E201" t="str">
            <v>Gaviotas</v>
          </cell>
          <cell r="H201" t="str">
            <v>laboratorio</v>
          </cell>
          <cell r="J201" t="str">
            <v>bueno</v>
          </cell>
          <cell r="K201" t="str">
            <v>defsi</v>
          </cell>
        </row>
        <row r="202">
          <cell r="B202" t="b">
            <v>1</v>
          </cell>
          <cell r="E202" t="str">
            <v>Gaviotas</v>
          </cell>
          <cell r="H202" t="str">
            <v>salud_oral</v>
          </cell>
          <cell r="J202" t="str">
            <v>bueno</v>
          </cell>
          <cell r="K202" t="str">
            <v>defsi</v>
          </cell>
        </row>
        <row r="203">
          <cell r="B203" t="b">
            <v>1</v>
          </cell>
          <cell r="E203" t="str">
            <v>Gaviotas</v>
          </cell>
          <cell r="H203" t="str">
            <v>laboratorio</v>
          </cell>
          <cell r="J203" t="str">
            <v>bueno</v>
          </cell>
          <cell r="K203" t="str">
            <v>defsi</v>
          </cell>
        </row>
        <row r="204">
          <cell r="B204" t="b">
            <v>1</v>
          </cell>
          <cell r="E204" t="str">
            <v>Gaviotas</v>
          </cell>
          <cell r="H204" t="str">
            <v>consulta_externa</v>
          </cell>
          <cell r="J204" t="str">
            <v>bueno</v>
          </cell>
          <cell r="K204" t="str">
            <v>defsi</v>
          </cell>
        </row>
        <row r="205">
          <cell r="B205" t="b">
            <v>1</v>
          </cell>
          <cell r="E205" t="str">
            <v>Gaviotas</v>
          </cell>
          <cell r="H205" t="str">
            <v>consulta_externa</v>
          </cell>
          <cell r="J205" t="str">
            <v>bueno</v>
          </cell>
          <cell r="K205" t="str">
            <v>defsi</v>
          </cell>
        </row>
        <row r="206">
          <cell r="B206" t="b">
            <v>1</v>
          </cell>
          <cell r="E206" t="str">
            <v>Gaviotas</v>
          </cell>
          <cell r="H206" t="str">
            <v>salud_oral</v>
          </cell>
          <cell r="J206" t="str">
            <v>bueno</v>
          </cell>
          <cell r="K206" t="str">
            <v>defsi</v>
          </cell>
        </row>
        <row r="207">
          <cell r="B207" t="b">
            <v>1</v>
          </cell>
          <cell r="E207" t="str">
            <v>Gaviotas</v>
          </cell>
          <cell r="H207" t="str">
            <v>consulta_externa</v>
          </cell>
          <cell r="J207" t="str">
            <v>bueno</v>
          </cell>
          <cell r="K207" t="str">
            <v>defsi</v>
          </cell>
        </row>
        <row r="208">
          <cell r="B208" t="b">
            <v>1</v>
          </cell>
          <cell r="E208" t="str">
            <v>Gaviotas</v>
          </cell>
          <cell r="H208" t="str">
            <v>salud_oral</v>
          </cell>
          <cell r="J208" t="str">
            <v>bueno</v>
          </cell>
          <cell r="K208" t="str">
            <v>defsi</v>
          </cell>
        </row>
        <row r="209">
          <cell r="B209" t="b">
            <v>1</v>
          </cell>
          <cell r="E209" t="str">
            <v>Gaviotas</v>
          </cell>
          <cell r="H209" t="str">
            <v>laboratorio</v>
          </cell>
          <cell r="J209" t="str">
            <v>bueno</v>
          </cell>
          <cell r="K209" t="str">
            <v>defsi</v>
          </cell>
        </row>
        <row r="210">
          <cell r="B210" t="b">
            <v>1</v>
          </cell>
          <cell r="E210" t="str">
            <v>Fredonia</v>
          </cell>
          <cell r="H210" t="str">
            <v>consulta_externa</v>
          </cell>
          <cell r="J210" t="str">
            <v>bueno</v>
          </cell>
          <cell r="K210" t="str">
            <v>defsi</v>
          </cell>
        </row>
        <row r="211">
          <cell r="B211" t="b">
            <v>1</v>
          </cell>
          <cell r="E211" t="str">
            <v>Fredonia</v>
          </cell>
          <cell r="H211" t="str">
            <v>laboratorio</v>
          </cell>
          <cell r="J211" t="str">
            <v>bueno</v>
          </cell>
          <cell r="K211" t="str">
            <v>defsi</v>
          </cell>
        </row>
        <row r="212">
          <cell r="B212" t="b">
            <v>1</v>
          </cell>
          <cell r="E212" t="str">
            <v>Fredonia</v>
          </cell>
          <cell r="H212" t="str">
            <v>laboratorio</v>
          </cell>
          <cell r="J212" t="str">
            <v>muybueno</v>
          </cell>
          <cell r="K212" t="str">
            <v>defsi</v>
          </cell>
        </row>
        <row r="213">
          <cell r="B213" t="b">
            <v>1</v>
          </cell>
          <cell r="E213" t="str">
            <v>Fredonia</v>
          </cell>
          <cell r="H213" t="str">
            <v>consulta_externa</v>
          </cell>
          <cell r="J213" t="str">
            <v>muybueno</v>
          </cell>
          <cell r="K213" t="str">
            <v>defsi</v>
          </cell>
        </row>
        <row r="214">
          <cell r="B214" t="b">
            <v>1</v>
          </cell>
          <cell r="E214" t="str">
            <v>Fredonia</v>
          </cell>
          <cell r="H214" t="str">
            <v>laboratorio</v>
          </cell>
          <cell r="J214" t="str">
            <v>bueno</v>
          </cell>
          <cell r="K214" t="str">
            <v>defsi</v>
          </cell>
        </row>
        <row r="215">
          <cell r="B215" t="b">
            <v>0</v>
          </cell>
          <cell r="E215" t="str">
            <v>Fredonia</v>
          </cell>
          <cell r="H215" t="str">
            <v>laboratorio</v>
          </cell>
          <cell r="J215" t="str">
            <v>regular</v>
          </cell>
          <cell r="K215" t="str">
            <v>probsi</v>
          </cell>
        </row>
        <row r="216">
          <cell r="B216" t="b">
            <v>1</v>
          </cell>
          <cell r="E216" t="str">
            <v>Fredonia</v>
          </cell>
          <cell r="H216" t="str">
            <v>laboratorio</v>
          </cell>
          <cell r="J216" t="str">
            <v>bueno</v>
          </cell>
          <cell r="K216" t="str">
            <v>defsi</v>
          </cell>
        </row>
        <row r="217">
          <cell r="B217" t="b">
            <v>1</v>
          </cell>
          <cell r="E217" t="str">
            <v>Fredonia</v>
          </cell>
          <cell r="H217" t="str">
            <v>laboratorio</v>
          </cell>
          <cell r="J217" t="str">
            <v>bueno</v>
          </cell>
          <cell r="K217" t="str">
            <v>defsi</v>
          </cell>
        </row>
        <row r="218">
          <cell r="B218" t="b">
            <v>1</v>
          </cell>
          <cell r="E218" t="str">
            <v>Fredonia</v>
          </cell>
          <cell r="H218" t="str">
            <v>laboratorio</v>
          </cell>
          <cell r="J218" t="str">
            <v>muybueno</v>
          </cell>
          <cell r="K218" t="str">
            <v>defsi</v>
          </cell>
        </row>
        <row r="219">
          <cell r="B219" t="b">
            <v>1</v>
          </cell>
          <cell r="E219" t="str">
            <v>Fredonia</v>
          </cell>
          <cell r="H219" t="str">
            <v>salud_oral</v>
          </cell>
          <cell r="J219" t="str">
            <v>bueno</v>
          </cell>
          <cell r="K219" t="str">
            <v>defsi</v>
          </cell>
        </row>
        <row r="220">
          <cell r="B220" t="b">
            <v>1</v>
          </cell>
          <cell r="E220" t="str">
            <v>Fredonia</v>
          </cell>
          <cell r="H220" t="str">
            <v>salud_oral</v>
          </cell>
          <cell r="J220" t="str">
            <v>bueno</v>
          </cell>
          <cell r="K220" t="str">
            <v>defsi</v>
          </cell>
        </row>
        <row r="221">
          <cell r="B221" t="b">
            <v>1</v>
          </cell>
          <cell r="E221" t="str">
            <v>Fredonia</v>
          </cell>
          <cell r="H221" t="str">
            <v>salud_oral</v>
          </cell>
          <cell r="J221" t="str">
            <v>muybueno</v>
          </cell>
          <cell r="K221" t="str">
            <v>defsi</v>
          </cell>
        </row>
        <row r="222">
          <cell r="B222" t="b">
            <v>1</v>
          </cell>
          <cell r="E222" t="str">
            <v>Gaviotas</v>
          </cell>
          <cell r="H222" t="str">
            <v>consulta_externa</v>
          </cell>
          <cell r="J222" t="str">
            <v>bueno</v>
          </cell>
          <cell r="K222" t="str">
            <v>defsi</v>
          </cell>
        </row>
        <row r="223">
          <cell r="B223" t="b">
            <v>1</v>
          </cell>
          <cell r="E223" t="str">
            <v>Gaviotas</v>
          </cell>
          <cell r="H223" t="str">
            <v>salud_oral</v>
          </cell>
          <cell r="J223" t="str">
            <v>bueno</v>
          </cell>
          <cell r="K223" t="str">
            <v>defsi</v>
          </cell>
        </row>
        <row r="224">
          <cell r="B224" t="b">
            <v>1</v>
          </cell>
          <cell r="E224" t="str">
            <v>Gaviotas</v>
          </cell>
          <cell r="H224" t="str">
            <v>laboratorio</v>
          </cell>
          <cell r="J224" t="str">
            <v>bueno</v>
          </cell>
          <cell r="K224" t="str">
            <v>defsi</v>
          </cell>
        </row>
        <row r="225">
          <cell r="B225" t="b">
            <v>1</v>
          </cell>
          <cell r="E225" t="str">
            <v>Gaviotas</v>
          </cell>
          <cell r="H225" t="str">
            <v>consulta_externa</v>
          </cell>
          <cell r="J225" t="str">
            <v>bueno</v>
          </cell>
          <cell r="K225" t="str">
            <v>defsi</v>
          </cell>
        </row>
        <row r="226">
          <cell r="B226" t="b">
            <v>1</v>
          </cell>
          <cell r="E226" t="str">
            <v>Gaviotas</v>
          </cell>
          <cell r="H226" t="str">
            <v>salud_oral</v>
          </cell>
          <cell r="J226" t="str">
            <v>bueno</v>
          </cell>
          <cell r="K226" t="str">
            <v>defsi</v>
          </cell>
        </row>
        <row r="227">
          <cell r="B227" t="b">
            <v>1</v>
          </cell>
          <cell r="E227" t="str">
            <v>Gaviotas</v>
          </cell>
          <cell r="H227" t="str">
            <v>laboratorio</v>
          </cell>
          <cell r="J227" t="str">
            <v>bueno</v>
          </cell>
          <cell r="K227" t="str">
            <v>defsi</v>
          </cell>
        </row>
        <row r="228">
          <cell r="B228" t="b">
            <v>1</v>
          </cell>
          <cell r="E228" t="str">
            <v>Gaviotas</v>
          </cell>
          <cell r="H228" t="str">
            <v>consulta_externa</v>
          </cell>
          <cell r="J228" t="str">
            <v>bueno</v>
          </cell>
          <cell r="K228" t="str">
            <v>defsi</v>
          </cell>
        </row>
        <row r="229">
          <cell r="B229" t="b">
            <v>1</v>
          </cell>
          <cell r="E229" t="str">
            <v>Gaviotas</v>
          </cell>
          <cell r="H229" t="str">
            <v>salud_oral</v>
          </cell>
          <cell r="J229" t="str">
            <v>bueno</v>
          </cell>
          <cell r="K229" t="str">
            <v>defsi</v>
          </cell>
        </row>
        <row r="230">
          <cell r="B230" t="b">
            <v>1</v>
          </cell>
          <cell r="E230" t="str">
            <v>Gaviotas</v>
          </cell>
          <cell r="H230" t="str">
            <v>laboratorio</v>
          </cell>
          <cell r="J230" t="str">
            <v>bueno</v>
          </cell>
          <cell r="K230" t="str">
            <v>defsi</v>
          </cell>
        </row>
        <row r="231">
          <cell r="B231" t="b">
            <v>1</v>
          </cell>
          <cell r="E231" t="str">
            <v>Gaviotas</v>
          </cell>
          <cell r="H231" t="str">
            <v>consulta_externa</v>
          </cell>
          <cell r="J231" t="str">
            <v>bueno</v>
          </cell>
          <cell r="K231" t="str">
            <v>defsi</v>
          </cell>
        </row>
        <row r="232">
          <cell r="B232" t="b">
            <v>1</v>
          </cell>
          <cell r="E232" t="str">
            <v>Gaviotas</v>
          </cell>
          <cell r="H232" t="str">
            <v>salud_oral</v>
          </cell>
          <cell r="J232" t="str">
            <v>bueno</v>
          </cell>
          <cell r="K232" t="str">
            <v>defsi</v>
          </cell>
        </row>
        <row r="233">
          <cell r="B233" t="b">
            <v>1</v>
          </cell>
          <cell r="E233" t="str">
            <v>Gaviotas</v>
          </cell>
          <cell r="H233" t="str">
            <v>laboratorio</v>
          </cell>
          <cell r="J233" t="str">
            <v>bueno</v>
          </cell>
          <cell r="K233" t="str">
            <v>defsi</v>
          </cell>
        </row>
        <row r="234">
          <cell r="B234" t="b">
            <v>1</v>
          </cell>
          <cell r="E234" t="str">
            <v>Gaviotas</v>
          </cell>
          <cell r="H234" t="str">
            <v>consulta_externa</v>
          </cell>
          <cell r="J234" t="str">
            <v>bueno</v>
          </cell>
          <cell r="K234" t="str">
            <v>defsi</v>
          </cell>
        </row>
        <row r="235">
          <cell r="B235" t="b">
            <v>1</v>
          </cell>
          <cell r="E235" t="str">
            <v>Gaviotas</v>
          </cell>
          <cell r="H235" t="str">
            <v>salud_oral</v>
          </cell>
          <cell r="J235" t="str">
            <v>bueno</v>
          </cell>
          <cell r="K235" t="str">
            <v>defsi</v>
          </cell>
        </row>
        <row r="236">
          <cell r="B236" t="b">
            <v>1</v>
          </cell>
          <cell r="E236" t="str">
            <v>Gaviotas</v>
          </cell>
          <cell r="H236" t="str">
            <v>laboratorio</v>
          </cell>
          <cell r="J236" t="str">
            <v>bueno</v>
          </cell>
          <cell r="K236" t="str">
            <v>defsi</v>
          </cell>
        </row>
        <row r="237">
          <cell r="B237" t="b">
            <v>1</v>
          </cell>
          <cell r="E237" t="str">
            <v>Hospital Pozon</v>
          </cell>
          <cell r="H237" t="str">
            <v>consulta_externa</v>
          </cell>
          <cell r="J237" t="str">
            <v>bueno</v>
          </cell>
          <cell r="K237" t="str">
            <v>probsi</v>
          </cell>
        </row>
        <row r="238">
          <cell r="B238" t="b">
            <v>0</v>
          </cell>
          <cell r="E238" t="str">
            <v>Hospital Pozon</v>
          </cell>
          <cell r="H238" t="str">
            <v>urgencia</v>
          </cell>
          <cell r="J238" t="str">
            <v>regular</v>
          </cell>
          <cell r="K238" t="str">
            <v>probsi</v>
          </cell>
        </row>
        <row r="239">
          <cell r="B239" t="b">
            <v>1</v>
          </cell>
          <cell r="E239" t="str">
            <v>Hospital Pozon</v>
          </cell>
          <cell r="H239" t="str">
            <v>pediatria</v>
          </cell>
          <cell r="J239" t="str">
            <v>bueno</v>
          </cell>
          <cell r="K239" t="str">
            <v>probsi</v>
          </cell>
        </row>
        <row r="240">
          <cell r="B240" t="b">
            <v>1</v>
          </cell>
          <cell r="E240" t="str">
            <v>Hospital Pozon</v>
          </cell>
          <cell r="H240" t="str">
            <v>salud_oral</v>
          </cell>
          <cell r="J240" t="str">
            <v>bueno</v>
          </cell>
          <cell r="K240" t="str">
            <v>probsi</v>
          </cell>
        </row>
        <row r="241">
          <cell r="B241" t="b">
            <v>1</v>
          </cell>
          <cell r="E241" t="str">
            <v>Hospital Pozon</v>
          </cell>
          <cell r="H241" t="str">
            <v>laboratorio</v>
          </cell>
          <cell r="J241" t="str">
            <v>bueno</v>
          </cell>
          <cell r="K241" t="str">
            <v>probsi</v>
          </cell>
        </row>
        <row r="242">
          <cell r="B242" t="b">
            <v>1</v>
          </cell>
          <cell r="E242" t="str">
            <v>Hospital Pozon</v>
          </cell>
          <cell r="H242" t="str">
            <v>urgencia</v>
          </cell>
          <cell r="J242" t="str">
            <v>bueno</v>
          </cell>
          <cell r="K242" t="str">
            <v>probsi</v>
          </cell>
        </row>
        <row r="243">
          <cell r="B243" t="b">
            <v>1</v>
          </cell>
          <cell r="E243" t="str">
            <v>Hospital Pozon</v>
          </cell>
          <cell r="H243" t="str">
            <v>consulta_externa</v>
          </cell>
          <cell r="J243" t="str">
            <v>bueno</v>
          </cell>
          <cell r="K243" t="str">
            <v>probsi</v>
          </cell>
        </row>
        <row r="244">
          <cell r="B244" t="b">
            <v>1</v>
          </cell>
          <cell r="E244" t="str">
            <v>Hospital Pozon</v>
          </cell>
          <cell r="H244" t="str">
            <v>salud_oral</v>
          </cell>
          <cell r="J244" t="str">
            <v>bueno</v>
          </cell>
          <cell r="K244" t="str">
            <v>probsi</v>
          </cell>
        </row>
        <row r="245">
          <cell r="B245" t="b">
            <v>1</v>
          </cell>
          <cell r="E245" t="str">
            <v>Hospital Pozon</v>
          </cell>
          <cell r="H245" t="str">
            <v>laboratorio</v>
          </cell>
          <cell r="J245" t="str">
            <v>bueno</v>
          </cell>
          <cell r="K245" t="str">
            <v>probsi</v>
          </cell>
        </row>
        <row r="246">
          <cell r="B246" t="b">
            <v>1</v>
          </cell>
          <cell r="E246" t="str">
            <v>Hospital Pozon</v>
          </cell>
          <cell r="H246" t="str">
            <v>consulta_externa</v>
          </cell>
          <cell r="J246" t="str">
            <v>bueno</v>
          </cell>
          <cell r="K246" t="str">
            <v>probsi</v>
          </cell>
        </row>
        <row r="247">
          <cell r="B247" t="b">
            <v>1</v>
          </cell>
          <cell r="E247" t="str">
            <v>Hospital Pozon</v>
          </cell>
          <cell r="H247" t="str">
            <v>salud_oral</v>
          </cell>
          <cell r="J247" t="str">
            <v>bueno</v>
          </cell>
          <cell r="K247" t="str">
            <v>probsi</v>
          </cell>
        </row>
        <row r="248">
          <cell r="B248" t="b">
            <v>1</v>
          </cell>
          <cell r="E248" t="str">
            <v>Hospital Pozon</v>
          </cell>
          <cell r="H248" t="str">
            <v>medicina_interna</v>
          </cell>
          <cell r="J248" t="str">
            <v>bueno</v>
          </cell>
          <cell r="K248" t="str">
            <v>probsi</v>
          </cell>
        </row>
        <row r="249">
          <cell r="B249" t="b">
            <v>1</v>
          </cell>
          <cell r="E249" t="str">
            <v>Hospital Pozon</v>
          </cell>
          <cell r="H249" t="str">
            <v>medicina_interna</v>
          </cell>
          <cell r="J249" t="str">
            <v>bueno</v>
          </cell>
          <cell r="K249" t="str">
            <v>probsi</v>
          </cell>
        </row>
        <row r="250">
          <cell r="B250" t="b">
            <v>1</v>
          </cell>
          <cell r="E250" t="str">
            <v>Hospital Pozon</v>
          </cell>
          <cell r="H250" t="str">
            <v>urgencia</v>
          </cell>
          <cell r="J250" t="str">
            <v>bueno</v>
          </cell>
          <cell r="K250" t="str">
            <v>probsi</v>
          </cell>
        </row>
        <row r="251">
          <cell r="B251" t="b">
            <v>1</v>
          </cell>
          <cell r="E251" t="str">
            <v>Hospital Pozon</v>
          </cell>
          <cell r="H251" t="str">
            <v>consulta_externa</v>
          </cell>
          <cell r="J251" t="str">
            <v>bueno</v>
          </cell>
          <cell r="K251" t="str">
            <v>probsi</v>
          </cell>
        </row>
        <row r="252">
          <cell r="B252" t="b">
            <v>1</v>
          </cell>
          <cell r="E252" t="str">
            <v>Hospital Pozon</v>
          </cell>
          <cell r="H252" t="str">
            <v>laboratorio</v>
          </cell>
          <cell r="J252" t="str">
            <v>bueno</v>
          </cell>
          <cell r="K252" t="str">
            <v>probsi</v>
          </cell>
        </row>
        <row r="253">
          <cell r="B253" t="b">
            <v>1</v>
          </cell>
          <cell r="E253" t="str">
            <v>Hospital Pozon</v>
          </cell>
          <cell r="H253" t="str">
            <v>consulta_externa</v>
          </cell>
          <cell r="J253" t="str">
            <v>bueno</v>
          </cell>
          <cell r="K253" t="str">
            <v>probsi</v>
          </cell>
        </row>
        <row r="254">
          <cell r="B254" t="b">
            <v>1</v>
          </cell>
          <cell r="E254" t="str">
            <v>Hospital Pozon</v>
          </cell>
          <cell r="H254" t="str">
            <v>rx</v>
          </cell>
          <cell r="J254" t="str">
            <v>bueno</v>
          </cell>
          <cell r="K254" t="str">
            <v>probsi</v>
          </cell>
        </row>
        <row r="255">
          <cell r="B255" t="b">
            <v>1</v>
          </cell>
          <cell r="E255" t="str">
            <v>Hospital Pozon</v>
          </cell>
          <cell r="H255" t="str">
            <v>rx</v>
          </cell>
          <cell r="J255" t="str">
            <v>bueno</v>
          </cell>
          <cell r="K255" t="str">
            <v>probsi</v>
          </cell>
        </row>
        <row r="256">
          <cell r="B256" t="b">
            <v>1</v>
          </cell>
          <cell r="E256" t="str">
            <v>Hospital Pozon</v>
          </cell>
          <cell r="H256" t="str">
            <v>rx</v>
          </cell>
          <cell r="J256" t="str">
            <v>bueno</v>
          </cell>
          <cell r="K256" t="str">
            <v>probsi</v>
          </cell>
        </row>
        <row r="257">
          <cell r="B257" t="b">
            <v>1</v>
          </cell>
          <cell r="E257" t="str">
            <v>Hospital Pozon</v>
          </cell>
          <cell r="H257" t="str">
            <v>rx</v>
          </cell>
          <cell r="J257" t="str">
            <v>bueno</v>
          </cell>
          <cell r="K257" t="str">
            <v>probsi</v>
          </cell>
        </row>
        <row r="258">
          <cell r="B258" t="b">
            <v>1</v>
          </cell>
          <cell r="E258" t="str">
            <v>Hospital Pozon</v>
          </cell>
          <cell r="H258" t="str">
            <v>rx</v>
          </cell>
          <cell r="J258" t="str">
            <v>bueno</v>
          </cell>
          <cell r="K258" t="str">
            <v>probsi</v>
          </cell>
        </row>
        <row r="259">
          <cell r="B259" t="b">
            <v>1</v>
          </cell>
          <cell r="E259" t="str">
            <v>Hospital Pozon</v>
          </cell>
          <cell r="H259" t="str">
            <v>rx</v>
          </cell>
          <cell r="J259" t="str">
            <v>bueno</v>
          </cell>
          <cell r="K259" t="str">
            <v>probsi</v>
          </cell>
        </row>
        <row r="260">
          <cell r="B260" t="b">
            <v>1</v>
          </cell>
          <cell r="E260" t="str">
            <v>Hospital Pozon</v>
          </cell>
          <cell r="H260" t="str">
            <v>consulta_externa</v>
          </cell>
          <cell r="J260" t="str">
            <v>muybueno</v>
          </cell>
          <cell r="K260" t="str">
            <v>probsi</v>
          </cell>
        </row>
        <row r="261">
          <cell r="B261" t="b">
            <v>1</v>
          </cell>
          <cell r="E261" t="str">
            <v>Hospital Pozon</v>
          </cell>
          <cell r="H261" t="str">
            <v>rx</v>
          </cell>
          <cell r="J261" t="str">
            <v>bueno</v>
          </cell>
          <cell r="K261" t="str">
            <v>probsi</v>
          </cell>
        </row>
        <row r="262">
          <cell r="B262" t="b">
            <v>1</v>
          </cell>
          <cell r="E262" t="str">
            <v>Hospital Pozon</v>
          </cell>
          <cell r="H262" t="str">
            <v>rx</v>
          </cell>
          <cell r="J262" t="str">
            <v>bueno</v>
          </cell>
          <cell r="K262" t="str">
            <v>probsi</v>
          </cell>
        </row>
        <row r="263">
          <cell r="B263" t="b">
            <v>1</v>
          </cell>
          <cell r="E263" t="str">
            <v>Hospital Pozon</v>
          </cell>
          <cell r="H263" t="str">
            <v>rx</v>
          </cell>
          <cell r="J263" t="str">
            <v>bueno</v>
          </cell>
          <cell r="K263" t="str">
            <v>probsi</v>
          </cell>
        </row>
        <row r="264">
          <cell r="B264" t="b">
            <v>0</v>
          </cell>
          <cell r="E264" t="str">
            <v>Hospital Pozon</v>
          </cell>
          <cell r="H264" t="str">
            <v>ginecologia</v>
          </cell>
          <cell r="J264" t="str">
            <v>regular</v>
          </cell>
          <cell r="K264" t="str">
            <v>probsi</v>
          </cell>
        </row>
        <row r="265">
          <cell r="B265" t="b">
            <v>1</v>
          </cell>
          <cell r="E265" t="str">
            <v>Hospital Pozon</v>
          </cell>
          <cell r="H265" t="str">
            <v>consulta_externa</v>
          </cell>
          <cell r="J265" t="str">
            <v>bueno</v>
          </cell>
          <cell r="K265" t="str">
            <v>probsi</v>
          </cell>
        </row>
        <row r="266">
          <cell r="B266" t="b">
            <v>1</v>
          </cell>
          <cell r="E266" t="str">
            <v>Hospital Pozon</v>
          </cell>
          <cell r="H266" t="str">
            <v>ecografias</v>
          </cell>
          <cell r="J266" t="str">
            <v>bueno</v>
          </cell>
          <cell r="K266" t="str">
            <v>probsi</v>
          </cell>
        </row>
        <row r="267">
          <cell r="B267" t="b">
            <v>1</v>
          </cell>
          <cell r="E267" t="str">
            <v>Hospital Pozon</v>
          </cell>
          <cell r="H267" t="str">
            <v>salud_oral</v>
          </cell>
          <cell r="J267" t="str">
            <v>bueno</v>
          </cell>
          <cell r="K267" t="str">
            <v>probsi</v>
          </cell>
        </row>
        <row r="268">
          <cell r="B268" t="b">
            <v>1</v>
          </cell>
          <cell r="E268" t="str">
            <v>Hospital Pozon</v>
          </cell>
          <cell r="H268" t="str">
            <v>salud_oral</v>
          </cell>
          <cell r="J268" t="str">
            <v>bueno</v>
          </cell>
          <cell r="K268" t="str">
            <v>probsi</v>
          </cell>
        </row>
        <row r="269">
          <cell r="B269" t="b">
            <v>1</v>
          </cell>
          <cell r="E269" t="str">
            <v>Hospital Pozon</v>
          </cell>
          <cell r="H269" t="str">
            <v>salud_oral</v>
          </cell>
          <cell r="J269" t="str">
            <v>bueno</v>
          </cell>
          <cell r="K269" t="str">
            <v>probsi</v>
          </cell>
        </row>
        <row r="270">
          <cell r="B270" t="b">
            <v>1</v>
          </cell>
          <cell r="E270" t="str">
            <v>Hospital Pozon</v>
          </cell>
          <cell r="H270" t="str">
            <v>salud_oral</v>
          </cell>
          <cell r="J270" t="str">
            <v>bueno</v>
          </cell>
          <cell r="K270" t="str">
            <v>probsi</v>
          </cell>
        </row>
        <row r="271">
          <cell r="B271" t="b">
            <v>1</v>
          </cell>
          <cell r="E271" t="str">
            <v>Hospital Pozon</v>
          </cell>
          <cell r="H271" t="str">
            <v>urgencia</v>
          </cell>
          <cell r="J271" t="str">
            <v>bueno</v>
          </cell>
          <cell r="K271" t="str">
            <v>probsi</v>
          </cell>
        </row>
        <row r="272">
          <cell r="B272" t="b">
            <v>1</v>
          </cell>
          <cell r="E272" t="str">
            <v>Hospital Pozon</v>
          </cell>
          <cell r="H272" t="str">
            <v>consulta_externa</v>
          </cell>
          <cell r="J272" t="str">
            <v>bueno</v>
          </cell>
          <cell r="K272" t="str">
            <v>probsi</v>
          </cell>
        </row>
        <row r="273">
          <cell r="B273" t="b">
            <v>1</v>
          </cell>
          <cell r="E273" t="str">
            <v>Hospital Pozon</v>
          </cell>
          <cell r="H273" t="str">
            <v>ginecologia</v>
          </cell>
          <cell r="J273" t="str">
            <v>bueno</v>
          </cell>
          <cell r="K273" t="str">
            <v>probsi</v>
          </cell>
        </row>
        <row r="274">
          <cell r="B274" t="b">
            <v>1</v>
          </cell>
          <cell r="E274" t="str">
            <v>Hospital Pozon</v>
          </cell>
          <cell r="H274" t="str">
            <v>salud_oral</v>
          </cell>
          <cell r="J274" t="str">
            <v>bueno</v>
          </cell>
          <cell r="K274" t="str">
            <v>probsi</v>
          </cell>
        </row>
        <row r="275">
          <cell r="B275" t="b">
            <v>1</v>
          </cell>
          <cell r="E275" t="str">
            <v>Isla del Rosario</v>
          </cell>
          <cell r="H275" t="str">
            <v>consulta_externa</v>
          </cell>
          <cell r="J275" t="str">
            <v>muybueno</v>
          </cell>
          <cell r="K275" t="str">
            <v>defsi</v>
          </cell>
        </row>
        <row r="276">
          <cell r="B276" t="b">
            <v>1</v>
          </cell>
          <cell r="E276" t="str">
            <v>Isla del Rosario</v>
          </cell>
          <cell r="H276" t="str">
            <v>laboratorio</v>
          </cell>
          <cell r="J276" t="str">
            <v>muybueno</v>
          </cell>
          <cell r="K276" t="str">
            <v>defsi</v>
          </cell>
        </row>
        <row r="277">
          <cell r="B277" t="b">
            <v>1</v>
          </cell>
          <cell r="E277" t="str">
            <v>Hospital Pozon</v>
          </cell>
          <cell r="H277" t="str">
            <v>consulta_externa</v>
          </cell>
          <cell r="J277" t="str">
            <v>bueno</v>
          </cell>
          <cell r="K277" t="str">
            <v>probsi</v>
          </cell>
        </row>
        <row r="278">
          <cell r="B278" t="b">
            <v>1</v>
          </cell>
          <cell r="E278" t="str">
            <v>Hospital Pozon</v>
          </cell>
          <cell r="H278" t="str">
            <v>ginecologia</v>
          </cell>
          <cell r="J278" t="str">
            <v>bueno</v>
          </cell>
          <cell r="K278" t="str">
            <v>probsi</v>
          </cell>
        </row>
        <row r="279">
          <cell r="B279" t="b">
            <v>1</v>
          </cell>
          <cell r="E279" t="str">
            <v>Hospital Pozon</v>
          </cell>
          <cell r="H279" t="str">
            <v>laboratorio</v>
          </cell>
          <cell r="J279" t="str">
            <v>bueno</v>
          </cell>
          <cell r="K279" t="str">
            <v>probsi</v>
          </cell>
        </row>
        <row r="280">
          <cell r="B280" t="b">
            <v>1</v>
          </cell>
          <cell r="E280" t="str">
            <v>Hospital Pozon</v>
          </cell>
          <cell r="H280" t="str">
            <v>laboratorio</v>
          </cell>
          <cell r="J280" t="str">
            <v>bueno</v>
          </cell>
          <cell r="K280" t="str">
            <v>probsi</v>
          </cell>
        </row>
        <row r="281">
          <cell r="B281" t="b">
            <v>1</v>
          </cell>
          <cell r="E281" t="str">
            <v>Hospital Pozon</v>
          </cell>
          <cell r="H281" t="str">
            <v>ginecologia</v>
          </cell>
          <cell r="J281" t="str">
            <v>bueno</v>
          </cell>
          <cell r="K281" t="str">
            <v>probsi</v>
          </cell>
        </row>
        <row r="282">
          <cell r="B282" t="b">
            <v>1</v>
          </cell>
          <cell r="E282" t="str">
            <v>Hospital Pozon</v>
          </cell>
          <cell r="H282" t="str">
            <v>salud_oral</v>
          </cell>
          <cell r="J282" t="str">
            <v>bueno</v>
          </cell>
          <cell r="K282" t="str">
            <v>probsi</v>
          </cell>
        </row>
        <row r="283">
          <cell r="B283" t="b">
            <v>1</v>
          </cell>
          <cell r="E283" t="str">
            <v>Hospital Pozon</v>
          </cell>
          <cell r="H283" t="str">
            <v>urgencia</v>
          </cell>
          <cell r="J283" t="str">
            <v>bueno</v>
          </cell>
          <cell r="K283" t="str">
            <v>probsi</v>
          </cell>
        </row>
        <row r="284">
          <cell r="B284" t="b">
            <v>1</v>
          </cell>
          <cell r="E284" t="str">
            <v>Isla del Rosario</v>
          </cell>
          <cell r="H284" t="str">
            <v>consulta_externa</v>
          </cell>
          <cell r="J284" t="str">
            <v>muybueno</v>
          </cell>
          <cell r="K284" t="str">
            <v>defsi</v>
          </cell>
        </row>
        <row r="285">
          <cell r="B285" t="b">
            <v>1</v>
          </cell>
          <cell r="E285" t="str">
            <v>Isla del Rosario</v>
          </cell>
          <cell r="H285" t="str">
            <v>laboratorio</v>
          </cell>
          <cell r="J285" t="str">
            <v>muybueno</v>
          </cell>
          <cell r="K285" t="str">
            <v>defsi</v>
          </cell>
        </row>
        <row r="286">
          <cell r="B286" t="b">
            <v>1</v>
          </cell>
          <cell r="E286" t="str">
            <v>Isla del Rosario</v>
          </cell>
          <cell r="H286" t="str">
            <v>consulta_externa</v>
          </cell>
          <cell r="J286" t="str">
            <v>muybueno</v>
          </cell>
          <cell r="K286" t="str">
            <v>defsi</v>
          </cell>
        </row>
        <row r="287">
          <cell r="B287" t="b">
            <v>1</v>
          </cell>
          <cell r="E287" t="str">
            <v>Hospital Pozon</v>
          </cell>
          <cell r="H287" t="str">
            <v>consulta_externa</v>
          </cell>
          <cell r="J287" t="str">
            <v>bueno</v>
          </cell>
          <cell r="K287" t="str">
            <v>probsi</v>
          </cell>
        </row>
        <row r="288">
          <cell r="B288" t="b">
            <v>1</v>
          </cell>
          <cell r="E288" t="str">
            <v>Hospital Pozon</v>
          </cell>
          <cell r="H288" t="str">
            <v>laboratorio</v>
          </cell>
          <cell r="J288" t="str">
            <v>bueno</v>
          </cell>
          <cell r="K288" t="str">
            <v>probsi</v>
          </cell>
        </row>
        <row r="289">
          <cell r="B289" t="b">
            <v>0</v>
          </cell>
          <cell r="E289" t="str">
            <v>Hospital Pozon</v>
          </cell>
          <cell r="H289" t="str">
            <v>consulta_externa</v>
          </cell>
          <cell r="J289" t="str">
            <v>regular</v>
          </cell>
          <cell r="K289" t="str">
            <v>probsi</v>
          </cell>
        </row>
        <row r="290">
          <cell r="B290" t="b">
            <v>0</v>
          </cell>
          <cell r="E290" t="str">
            <v>Hospital Pozon</v>
          </cell>
          <cell r="H290" t="str">
            <v>urgencia</v>
          </cell>
          <cell r="J290" t="str">
            <v>malo</v>
          </cell>
          <cell r="K290" t="str">
            <v>probno</v>
          </cell>
        </row>
        <row r="291">
          <cell r="B291" t="b">
            <v>1</v>
          </cell>
          <cell r="E291" t="str">
            <v>Hospital Pozon</v>
          </cell>
          <cell r="H291" t="str">
            <v>pediatria</v>
          </cell>
          <cell r="J291" t="str">
            <v>bueno</v>
          </cell>
          <cell r="K291" t="str">
            <v>probsi</v>
          </cell>
        </row>
        <row r="292">
          <cell r="B292" t="b">
            <v>1</v>
          </cell>
          <cell r="E292" t="str">
            <v>Hospital Pozon</v>
          </cell>
          <cell r="H292" t="str">
            <v>laboratorio</v>
          </cell>
          <cell r="J292" t="str">
            <v>bueno</v>
          </cell>
          <cell r="K292" t="str">
            <v>probsi</v>
          </cell>
        </row>
        <row r="293">
          <cell r="B293" t="b">
            <v>1</v>
          </cell>
          <cell r="E293" t="str">
            <v>Hospital Pozon</v>
          </cell>
          <cell r="H293" t="str">
            <v>urgencia</v>
          </cell>
          <cell r="J293" t="str">
            <v>bueno</v>
          </cell>
          <cell r="K293" t="str">
            <v>probsi</v>
          </cell>
        </row>
        <row r="294">
          <cell r="B294" t="b">
            <v>1</v>
          </cell>
          <cell r="E294" t="str">
            <v>Isla del Rosario</v>
          </cell>
          <cell r="H294" t="str">
            <v>consulta_externa</v>
          </cell>
          <cell r="J294" t="str">
            <v>muybueno</v>
          </cell>
          <cell r="K294" t="str">
            <v>defsi</v>
          </cell>
        </row>
        <row r="295">
          <cell r="B295" t="b">
            <v>1</v>
          </cell>
          <cell r="E295" t="str">
            <v>Isla del Rosario</v>
          </cell>
          <cell r="H295" t="str">
            <v>laboratorio</v>
          </cell>
          <cell r="J295" t="str">
            <v>muybueno</v>
          </cell>
          <cell r="K295" t="str">
            <v>defsi</v>
          </cell>
        </row>
        <row r="296">
          <cell r="B296" t="b">
            <v>1</v>
          </cell>
          <cell r="E296" t="str">
            <v>Isla del Rosario</v>
          </cell>
          <cell r="H296" t="str">
            <v>consulta_externa</v>
          </cell>
          <cell r="J296" t="str">
            <v>muybueno</v>
          </cell>
          <cell r="K296" t="str">
            <v>defsi</v>
          </cell>
        </row>
        <row r="297">
          <cell r="B297" t="b">
            <v>1</v>
          </cell>
          <cell r="E297" t="str">
            <v>Nelson Mandela UPA</v>
          </cell>
          <cell r="H297" t="str">
            <v>consulta_externa</v>
          </cell>
          <cell r="J297" t="str">
            <v>bueno</v>
          </cell>
          <cell r="K297" t="str">
            <v>defsi</v>
          </cell>
        </row>
        <row r="298">
          <cell r="B298" t="b">
            <v>1</v>
          </cell>
          <cell r="E298" t="str">
            <v>Nelson Mandela UPA</v>
          </cell>
          <cell r="H298" t="str">
            <v>laboratorio</v>
          </cell>
          <cell r="J298" t="str">
            <v>bueno</v>
          </cell>
          <cell r="K298" t="str">
            <v>defsi</v>
          </cell>
        </row>
        <row r="299">
          <cell r="B299" t="b">
            <v>1</v>
          </cell>
          <cell r="E299" t="str">
            <v>Isla del Rosario</v>
          </cell>
          <cell r="H299" t="str">
            <v>laboratorio</v>
          </cell>
          <cell r="J299" t="str">
            <v>muybueno</v>
          </cell>
          <cell r="K299" t="str">
            <v>defsi</v>
          </cell>
        </row>
        <row r="300">
          <cell r="B300" t="b">
            <v>1</v>
          </cell>
          <cell r="E300" t="str">
            <v>Isla del Rosario</v>
          </cell>
          <cell r="H300" t="str">
            <v>salud_oral</v>
          </cell>
          <cell r="J300" t="str">
            <v>muybueno</v>
          </cell>
          <cell r="K300" t="str">
            <v>defsi</v>
          </cell>
        </row>
        <row r="301">
          <cell r="B301" t="b">
            <v>1</v>
          </cell>
          <cell r="E301" t="str">
            <v>Arroz Barato</v>
          </cell>
          <cell r="H301" t="str">
            <v>consulta_externa</v>
          </cell>
          <cell r="J301" t="str">
            <v>bueno</v>
          </cell>
          <cell r="K301" t="str">
            <v>defsi</v>
          </cell>
        </row>
        <row r="302">
          <cell r="B302" t="b">
            <v>0</v>
          </cell>
          <cell r="E302" t="str">
            <v>Nelson Mandela UPA</v>
          </cell>
          <cell r="H302" t="str">
            <v>consulta_externa</v>
          </cell>
          <cell r="J302" t="str">
            <v>malo</v>
          </cell>
          <cell r="K302" t="str">
            <v>defno</v>
          </cell>
        </row>
        <row r="303">
          <cell r="B303" t="b">
            <v>1</v>
          </cell>
          <cell r="E303" t="str">
            <v>Nelson Mandela UPA</v>
          </cell>
          <cell r="H303" t="str">
            <v>salud_oral</v>
          </cell>
          <cell r="J303" t="str">
            <v>bueno</v>
          </cell>
          <cell r="K303" t="str">
            <v>defsi</v>
          </cell>
        </row>
        <row r="304">
          <cell r="B304" t="b">
            <v>1</v>
          </cell>
          <cell r="E304" t="str">
            <v>Arroz Barato</v>
          </cell>
          <cell r="H304" t="str">
            <v>salud_oral</v>
          </cell>
          <cell r="J304" t="str">
            <v>bueno</v>
          </cell>
          <cell r="K304" t="str">
            <v>defsi</v>
          </cell>
        </row>
        <row r="305">
          <cell r="B305" t="b">
            <v>1</v>
          </cell>
          <cell r="E305" t="str">
            <v>Arroz Barato</v>
          </cell>
          <cell r="H305" t="str">
            <v>laboratorio</v>
          </cell>
          <cell r="J305" t="str">
            <v>bueno</v>
          </cell>
          <cell r="K305" t="str">
            <v>defsi</v>
          </cell>
        </row>
        <row r="306">
          <cell r="B306" t="b">
            <v>1</v>
          </cell>
          <cell r="E306" t="str">
            <v>Isla del Rosario</v>
          </cell>
          <cell r="H306" t="str">
            <v>consulta_externa</v>
          </cell>
          <cell r="J306" t="str">
            <v>muybueno</v>
          </cell>
          <cell r="K306" t="str">
            <v>defsi</v>
          </cell>
        </row>
        <row r="307">
          <cell r="B307" t="b">
            <v>1</v>
          </cell>
          <cell r="E307" t="str">
            <v>Nelson Mandela UPA</v>
          </cell>
          <cell r="H307" t="str">
            <v>salud_oral</v>
          </cell>
          <cell r="J307" t="str">
            <v>bueno</v>
          </cell>
          <cell r="K307" t="str">
            <v>defsi</v>
          </cell>
        </row>
        <row r="308">
          <cell r="B308" t="b">
            <v>1</v>
          </cell>
          <cell r="E308" t="str">
            <v>Isla del Rosario</v>
          </cell>
          <cell r="H308" t="str">
            <v>laboratorio</v>
          </cell>
          <cell r="J308" t="str">
            <v>muybueno</v>
          </cell>
          <cell r="K308" t="str">
            <v>defsi</v>
          </cell>
        </row>
        <row r="309">
          <cell r="B309" t="b">
            <v>1</v>
          </cell>
          <cell r="E309" t="str">
            <v>Nelson Mandela UPA</v>
          </cell>
          <cell r="H309" t="str">
            <v>consulta_externa</v>
          </cell>
          <cell r="J309" t="str">
            <v>bueno</v>
          </cell>
          <cell r="K309" t="str">
            <v>defsi</v>
          </cell>
        </row>
        <row r="310">
          <cell r="B310" t="b">
            <v>1</v>
          </cell>
          <cell r="E310" t="str">
            <v>Arroz Barato</v>
          </cell>
          <cell r="H310" t="str">
            <v>urgencia</v>
          </cell>
          <cell r="J310" t="str">
            <v>bueno</v>
          </cell>
          <cell r="K310" t="str">
            <v>defsi</v>
          </cell>
        </row>
        <row r="311">
          <cell r="B311" t="b">
            <v>1</v>
          </cell>
          <cell r="E311" t="str">
            <v>Nelson Mandela UPA</v>
          </cell>
          <cell r="H311" t="str">
            <v>salud_oral</v>
          </cell>
          <cell r="J311" t="str">
            <v>bueno</v>
          </cell>
          <cell r="K311" t="str">
            <v>defsi</v>
          </cell>
        </row>
        <row r="312">
          <cell r="B312" t="b">
            <v>1</v>
          </cell>
          <cell r="E312" t="str">
            <v>Nelson Mandela UPA</v>
          </cell>
          <cell r="H312" t="str">
            <v>consulta_externa</v>
          </cell>
          <cell r="J312" t="str">
            <v>bueno</v>
          </cell>
          <cell r="K312" t="str">
            <v>defsi</v>
          </cell>
        </row>
        <row r="313">
          <cell r="B313" t="b">
            <v>1</v>
          </cell>
          <cell r="E313" t="str">
            <v>Nelson Mandela UPA</v>
          </cell>
          <cell r="H313" t="str">
            <v>salud_oral</v>
          </cell>
          <cell r="J313" t="str">
            <v>muybueno</v>
          </cell>
          <cell r="K313" t="str">
            <v>defsi</v>
          </cell>
        </row>
        <row r="314">
          <cell r="B314" t="b">
            <v>1</v>
          </cell>
          <cell r="E314" t="str">
            <v>Nelson Mandela UPA</v>
          </cell>
          <cell r="H314" t="str">
            <v>salud_oral</v>
          </cell>
          <cell r="J314" t="str">
            <v>bueno</v>
          </cell>
          <cell r="K314" t="str">
            <v>defsi</v>
          </cell>
        </row>
        <row r="315">
          <cell r="B315" t="b">
            <v>1</v>
          </cell>
          <cell r="E315" t="str">
            <v>Nelson Mandela UPA</v>
          </cell>
          <cell r="H315" t="str">
            <v>salud_oral</v>
          </cell>
          <cell r="J315" t="str">
            <v>bueno</v>
          </cell>
          <cell r="K315" t="str">
            <v>defsi</v>
          </cell>
        </row>
        <row r="316">
          <cell r="B316" t="b">
            <v>1</v>
          </cell>
          <cell r="E316" t="str">
            <v>Arroz Barato</v>
          </cell>
          <cell r="H316" t="str">
            <v>rx</v>
          </cell>
          <cell r="J316" t="str">
            <v>bueno</v>
          </cell>
          <cell r="K316" t="str">
            <v>defsi</v>
          </cell>
        </row>
        <row r="317">
          <cell r="B317" t="b">
            <v>1</v>
          </cell>
          <cell r="E317" t="str">
            <v>Nelson Mandela UPA</v>
          </cell>
          <cell r="H317" t="str">
            <v>salud_oral</v>
          </cell>
          <cell r="J317" t="str">
            <v>bueno</v>
          </cell>
          <cell r="K317" t="str">
            <v>defsi</v>
          </cell>
        </row>
        <row r="318">
          <cell r="B318" t="b">
            <v>0</v>
          </cell>
          <cell r="E318" t="str">
            <v>Nelson Mandela UPA</v>
          </cell>
          <cell r="H318" t="str">
            <v>consulta_externa</v>
          </cell>
          <cell r="J318" t="str">
            <v>regular</v>
          </cell>
          <cell r="K318" t="str">
            <v>probsi</v>
          </cell>
        </row>
        <row r="319">
          <cell r="B319" t="b">
            <v>0</v>
          </cell>
          <cell r="E319" t="str">
            <v>Nelson Mandela UPA</v>
          </cell>
          <cell r="H319" t="str">
            <v>consulta_externa</v>
          </cell>
          <cell r="J319" t="str">
            <v>regular</v>
          </cell>
          <cell r="K319" t="str">
            <v>probsi</v>
          </cell>
        </row>
        <row r="320">
          <cell r="B320" t="b">
            <v>1</v>
          </cell>
          <cell r="E320" t="str">
            <v>Nelson Mandela UPA</v>
          </cell>
          <cell r="H320" t="str">
            <v>laboratorio</v>
          </cell>
          <cell r="J320" t="str">
            <v>bueno</v>
          </cell>
          <cell r="K320" t="str">
            <v>probsi</v>
          </cell>
        </row>
        <row r="321">
          <cell r="B321" t="b">
            <v>1</v>
          </cell>
          <cell r="E321" t="str">
            <v>Arroz Barato</v>
          </cell>
          <cell r="H321" t="str">
            <v>consulta_externa</v>
          </cell>
          <cell r="J321" t="str">
            <v>bueno</v>
          </cell>
          <cell r="K321" t="str">
            <v>defsi</v>
          </cell>
        </row>
        <row r="322">
          <cell r="B322" t="b">
            <v>1</v>
          </cell>
          <cell r="E322" t="str">
            <v>Arroz Barato</v>
          </cell>
          <cell r="H322" t="str">
            <v>salud_oral</v>
          </cell>
          <cell r="J322" t="str">
            <v>bueno</v>
          </cell>
          <cell r="K322" t="str">
            <v>defsi</v>
          </cell>
        </row>
        <row r="323">
          <cell r="B323" t="b">
            <v>1</v>
          </cell>
          <cell r="E323" t="str">
            <v>Arroz Barato</v>
          </cell>
          <cell r="H323" t="str">
            <v>laboratorio</v>
          </cell>
          <cell r="J323" t="str">
            <v>bueno</v>
          </cell>
          <cell r="K323" t="str">
            <v>defsi</v>
          </cell>
        </row>
        <row r="324">
          <cell r="B324" t="b">
            <v>1</v>
          </cell>
          <cell r="E324" t="str">
            <v>Arroz Barato</v>
          </cell>
          <cell r="H324" t="str">
            <v>urgencia</v>
          </cell>
          <cell r="J324" t="str">
            <v>bueno</v>
          </cell>
          <cell r="K324" t="str">
            <v>defsi</v>
          </cell>
        </row>
        <row r="325">
          <cell r="B325" t="b">
            <v>1</v>
          </cell>
          <cell r="E325" t="str">
            <v>Isla del Rosario</v>
          </cell>
          <cell r="H325" t="str">
            <v>salud_oral</v>
          </cell>
          <cell r="J325" t="str">
            <v>muybueno</v>
          </cell>
          <cell r="K325" t="str">
            <v>defsi</v>
          </cell>
        </row>
        <row r="326">
          <cell r="B326" t="b">
            <v>1</v>
          </cell>
          <cell r="E326" t="str">
            <v>Arroz Barato</v>
          </cell>
          <cell r="H326" t="str">
            <v>rx</v>
          </cell>
          <cell r="J326" t="str">
            <v>bueno</v>
          </cell>
          <cell r="K326" t="str">
            <v>defsi</v>
          </cell>
        </row>
        <row r="327">
          <cell r="B327" t="b">
            <v>1</v>
          </cell>
          <cell r="E327" t="str">
            <v>Arroz Barato</v>
          </cell>
          <cell r="H327" t="str">
            <v>rx</v>
          </cell>
          <cell r="J327" t="str">
            <v>bueno</v>
          </cell>
          <cell r="K327" t="str">
            <v>defsi</v>
          </cell>
        </row>
        <row r="328">
          <cell r="B328" t="b">
            <v>1</v>
          </cell>
          <cell r="E328" t="str">
            <v>Hospital Pozon</v>
          </cell>
          <cell r="H328" t="str">
            <v>pediatria</v>
          </cell>
          <cell r="J328" t="str">
            <v>bueno</v>
          </cell>
          <cell r="K328" t="str">
            <v>probsi</v>
          </cell>
        </row>
        <row r="329">
          <cell r="B329" t="b">
            <v>1</v>
          </cell>
          <cell r="E329" t="str">
            <v>Hospital Pozon</v>
          </cell>
          <cell r="H329" t="str">
            <v>salud_oral</v>
          </cell>
          <cell r="J329" t="str">
            <v>bueno</v>
          </cell>
          <cell r="K329" t="str">
            <v>probsi</v>
          </cell>
        </row>
        <row r="330">
          <cell r="B330" t="b">
            <v>0</v>
          </cell>
          <cell r="E330" t="str">
            <v>Hospital Pozon</v>
          </cell>
          <cell r="H330" t="str">
            <v>salud_oral</v>
          </cell>
          <cell r="J330" t="str">
            <v>regular</v>
          </cell>
          <cell r="K330" t="str">
            <v>probsi</v>
          </cell>
        </row>
        <row r="331">
          <cell r="B331" t="b">
            <v>0</v>
          </cell>
          <cell r="E331" t="str">
            <v>Hospital Pozon</v>
          </cell>
          <cell r="H331" t="str">
            <v>salud_oral</v>
          </cell>
          <cell r="J331" t="str">
            <v>regular</v>
          </cell>
          <cell r="K331" t="str">
            <v>probsi</v>
          </cell>
        </row>
        <row r="332">
          <cell r="B332" t="b">
            <v>1</v>
          </cell>
          <cell r="E332" t="str">
            <v>Nelson Mandela UPA</v>
          </cell>
          <cell r="H332" t="str">
            <v>salud_oral</v>
          </cell>
          <cell r="J332" t="str">
            <v>bueno</v>
          </cell>
          <cell r="K332" t="str">
            <v>defsi</v>
          </cell>
        </row>
        <row r="333">
          <cell r="B333" t="b">
            <v>1</v>
          </cell>
          <cell r="E333" t="str">
            <v>Nelson Mandela UPA</v>
          </cell>
          <cell r="H333" t="str">
            <v>salud_oral</v>
          </cell>
          <cell r="J333" t="str">
            <v>bueno</v>
          </cell>
          <cell r="K333" t="str">
            <v>defsi</v>
          </cell>
        </row>
        <row r="334">
          <cell r="B334" t="b">
            <v>1</v>
          </cell>
          <cell r="E334" t="str">
            <v>Hospital Pozon</v>
          </cell>
          <cell r="H334" t="str">
            <v>laboratorio</v>
          </cell>
          <cell r="J334" t="str">
            <v>bueno</v>
          </cell>
          <cell r="K334" t="str">
            <v>probsi</v>
          </cell>
        </row>
        <row r="335">
          <cell r="B335" t="b">
            <v>1</v>
          </cell>
          <cell r="E335" t="str">
            <v>Hospital Pozon</v>
          </cell>
          <cell r="H335" t="str">
            <v>urgencia</v>
          </cell>
          <cell r="J335" t="str">
            <v>bueno</v>
          </cell>
          <cell r="K335" t="str">
            <v>probsi</v>
          </cell>
        </row>
        <row r="336">
          <cell r="B336" t="b">
            <v>1</v>
          </cell>
          <cell r="E336" t="str">
            <v>Hospital Pozon</v>
          </cell>
          <cell r="H336" t="str">
            <v>consulta_externa</v>
          </cell>
          <cell r="J336" t="str">
            <v>bueno</v>
          </cell>
          <cell r="K336" t="str">
            <v>probsi</v>
          </cell>
        </row>
        <row r="337">
          <cell r="B337" t="b">
            <v>1</v>
          </cell>
          <cell r="E337" t="str">
            <v>Hospital Pozon</v>
          </cell>
          <cell r="H337" t="str">
            <v>salud_oral</v>
          </cell>
          <cell r="J337" t="str">
            <v>bueno</v>
          </cell>
          <cell r="K337" t="str">
            <v>probsi</v>
          </cell>
        </row>
        <row r="338">
          <cell r="B338" t="b">
            <v>0</v>
          </cell>
          <cell r="E338" t="str">
            <v>Hospital Pozon</v>
          </cell>
          <cell r="H338" t="str">
            <v>urgencia</v>
          </cell>
          <cell r="J338" t="str">
            <v>malo</v>
          </cell>
          <cell r="K338" t="str">
            <v>probno</v>
          </cell>
        </row>
        <row r="339">
          <cell r="B339" t="b">
            <v>1</v>
          </cell>
          <cell r="E339" t="str">
            <v>Arroz Barato</v>
          </cell>
          <cell r="H339" t="str">
            <v>salud_oral</v>
          </cell>
          <cell r="J339" t="str">
            <v>bueno</v>
          </cell>
          <cell r="K339" t="str">
            <v>defsi</v>
          </cell>
        </row>
        <row r="340">
          <cell r="B340" t="b">
            <v>1</v>
          </cell>
          <cell r="E340" t="str">
            <v>Nelson Mandela UPA</v>
          </cell>
          <cell r="H340" t="str">
            <v>consulta_externa</v>
          </cell>
          <cell r="J340" t="str">
            <v>muybueno</v>
          </cell>
          <cell r="K340" t="str">
            <v>defsi</v>
          </cell>
        </row>
        <row r="341">
          <cell r="B341" t="b">
            <v>1</v>
          </cell>
          <cell r="E341" t="str">
            <v>Nelson Mandela UPA</v>
          </cell>
          <cell r="H341" t="str">
            <v>laboratorio</v>
          </cell>
          <cell r="J341" t="str">
            <v>muybueno</v>
          </cell>
          <cell r="K341" t="str">
            <v>defsi</v>
          </cell>
        </row>
        <row r="342">
          <cell r="B342" t="b">
            <v>1</v>
          </cell>
          <cell r="E342" t="str">
            <v>Arroz Barato</v>
          </cell>
          <cell r="H342" t="str">
            <v>laboratorio</v>
          </cell>
          <cell r="J342" t="str">
            <v>bueno</v>
          </cell>
          <cell r="K342" t="str">
            <v>defsi</v>
          </cell>
        </row>
        <row r="343">
          <cell r="B343" t="b">
            <v>1</v>
          </cell>
          <cell r="E343" t="str">
            <v>Hospital Pozon</v>
          </cell>
          <cell r="H343" t="str">
            <v>ginecologia</v>
          </cell>
          <cell r="J343" t="str">
            <v>bueno</v>
          </cell>
          <cell r="K343" t="str">
            <v>probsi</v>
          </cell>
        </row>
        <row r="344">
          <cell r="B344" t="b">
            <v>1</v>
          </cell>
          <cell r="E344" t="str">
            <v>Hospital Pozon</v>
          </cell>
          <cell r="H344" t="str">
            <v>laboratorio</v>
          </cell>
          <cell r="J344" t="str">
            <v>bueno</v>
          </cell>
          <cell r="K344" t="str">
            <v>probsi</v>
          </cell>
        </row>
        <row r="345">
          <cell r="B345" t="b">
            <v>1</v>
          </cell>
          <cell r="E345" t="str">
            <v>Arroz Barato</v>
          </cell>
          <cell r="H345" t="str">
            <v>urgencia</v>
          </cell>
          <cell r="J345" t="str">
            <v>bueno</v>
          </cell>
          <cell r="K345" t="str">
            <v>defsi</v>
          </cell>
        </row>
        <row r="346">
          <cell r="B346" t="b">
            <v>1</v>
          </cell>
          <cell r="E346" t="str">
            <v>Nelson Mandela UPA</v>
          </cell>
          <cell r="H346" t="str">
            <v>consulta_externa</v>
          </cell>
          <cell r="J346" t="str">
            <v>bueno</v>
          </cell>
          <cell r="K346" t="str">
            <v>defsi</v>
          </cell>
        </row>
        <row r="347">
          <cell r="B347" t="b">
            <v>0</v>
          </cell>
          <cell r="E347" t="str">
            <v>Nelson Mandela UPA</v>
          </cell>
          <cell r="H347" t="str">
            <v>consulta_externa</v>
          </cell>
          <cell r="J347" t="str">
            <v>regular</v>
          </cell>
          <cell r="K347" t="str">
            <v>probsi</v>
          </cell>
        </row>
        <row r="348">
          <cell r="B348" t="b">
            <v>0</v>
          </cell>
          <cell r="E348" t="str">
            <v>Nelson Mandela UPA</v>
          </cell>
          <cell r="H348" t="str">
            <v>laboratorio</v>
          </cell>
          <cell r="J348" t="str">
            <v>regular</v>
          </cell>
          <cell r="K348" t="str">
            <v>probsi</v>
          </cell>
        </row>
        <row r="349">
          <cell r="B349" t="b">
            <v>1</v>
          </cell>
          <cell r="E349" t="str">
            <v>Nelson Mandela UPA</v>
          </cell>
          <cell r="H349" t="str">
            <v>salud_oral</v>
          </cell>
          <cell r="J349" t="str">
            <v>bueno</v>
          </cell>
          <cell r="K349" t="str">
            <v>defsi</v>
          </cell>
        </row>
        <row r="350">
          <cell r="B350" t="b">
            <v>1</v>
          </cell>
          <cell r="E350" t="str">
            <v>Nelson Mandela UPA</v>
          </cell>
          <cell r="H350" t="str">
            <v>consulta_externa</v>
          </cell>
          <cell r="J350" t="str">
            <v>bueno</v>
          </cell>
          <cell r="K350" t="str">
            <v>defsi</v>
          </cell>
        </row>
        <row r="351">
          <cell r="B351" t="b">
            <v>1</v>
          </cell>
          <cell r="E351" t="str">
            <v>Nelson Mandela UPA</v>
          </cell>
          <cell r="H351" t="str">
            <v>laboratorio</v>
          </cell>
          <cell r="J351" t="str">
            <v>bueno</v>
          </cell>
          <cell r="K351" t="str">
            <v>defsi</v>
          </cell>
        </row>
        <row r="352">
          <cell r="B352" t="b">
            <v>0</v>
          </cell>
          <cell r="E352" t="str">
            <v>Nelson Mandela UPA</v>
          </cell>
          <cell r="H352" t="str">
            <v>salud_oral</v>
          </cell>
          <cell r="J352" t="str">
            <v>malo</v>
          </cell>
          <cell r="K352" t="str">
            <v>probno</v>
          </cell>
        </row>
        <row r="353">
          <cell r="B353" t="b">
            <v>1</v>
          </cell>
          <cell r="E353" t="str">
            <v>Nelson Mandela UPA</v>
          </cell>
          <cell r="H353" t="str">
            <v>consulta_externa</v>
          </cell>
          <cell r="J353" t="str">
            <v>bueno</v>
          </cell>
          <cell r="K353" t="str">
            <v>defsi</v>
          </cell>
        </row>
        <row r="354">
          <cell r="B354" t="b">
            <v>1</v>
          </cell>
          <cell r="E354" t="str">
            <v>Nelson Mandela UPA</v>
          </cell>
          <cell r="H354" t="str">
            <v>laboratorio</v>
          </cell>
          <cell r="J354" t="str">
            <v>bueno</v>
          </cell>
          <cell r="K354" t="str">
            <v>defsi</v>
          </cell>
        </row>
        <row r="355">
          <cell r="B355" t="b">
            <v>1</v>
          </cell>
          <cell r="E355" t="str">
            <v>Arroz Barato</v>
          </cell>
          <cell r="H355" t="str">
            <v>consulta_externa</v>
          </cell>
          <cell r="J355" t="str">
            <v>bueno</v>
          </cell>
          <cell r="K355" t="str">
            <v>defsi</v>
          </cell>
        </row>
        <row r="356">
          <cell r="B356" t="b">
            <v>1</v>
          </cell>
          <cell r="E356" t="str">
            <v>Nelson Mandela UPA</v>
          </cell>
          <cell r="H356" t="str">
            <v>urgencia</v>
          </cell>
          <cell r="J356" t="str">
            <v>bueno</v>
          </cell>
          <cell r="K356" t="str">
            <v>defsi</v>
          </cell>
        </row>
        <row r="357">
          <cell r="B357" t="b">
            <v>1</v>
          </cell>
          <cell r="E357" t="str">
            <v>Arroz Barato</v>
          </cell>
          <cell r="H357" t="str">
            <v>salud_oral</v>
          </cell>
          <cell r="J357" t="str">
            <v>bueno</v>
          </cell>
          <cell r="K357" t="str">
            <v>defsi</v>
          </cell>
        </row>
        <row r="358">
          <cell r="B358" t="b">
            <v>1</v>
          </cell>
          <cell r="E358" t="str">
            <v>Nelson Mandela UPA</v>
          </cell>
          <cell r="H358" t="str">
            <v>laboratorio</v>
          </cell>
          <cell r="J358" t="str">
            <v>bueno</v>
          </cell>
          <cell r="K358" t="str">
            <v>defsi</v>
          </cell>
        </row>
        <row r="359">
          <cell r="B359" t="b">
            <v>1</v>
          </cell>
          <cell r="E359" t="str">
            <v>Arroz Barato</v>
          </cell>
          <cell r="H359" t="str">
            <v>laboratorio</v>
          </cell>
          <cell r="J359" t="str">
            <v>bueno</v>
          </cell>
          <cell r="K359" t="str">
            <v>defsi</v>
          </cell>
        </row>
        <row r="360">
          <cell r="B360" t="b">
            <v>1</v>
          </cell>
          <cell r="E360" t="str">
            <v>Arroz Barato</v>
          </cell>
          <cell r="H360" t="str">
            <v>urgencia</v>
          </cell>
          <cell r="J360" t="str">
            <v>bueno</v>
          </cell>
          <cell r="K360" t="str">
            <v>defsi</v>
          </cell>
        </row>
        <row r="361">
          <cell r="B361" t="b">
            <v>1</v>
          </cell>
          <cell r="E361" t="str">
            <v>Arroz Barato</v>
          </cell>
          <cell r="H361" t="str">
            <v>rx</v>
          </cell>
          <cell r="J361" t="str">
            <v>bueno</v>
          </cell>
          <cell r="K361" t="str">
            <v>defsi</v>
          </cell>
        </row>
        <row r="362">
          <cell r="B362" t="b">
            <v>1</v>
          </cell>
          <cell r="E362" t="str">
            <v>Nelson Mandela UPA</v>
          </cell>
          <cell r="H362" t="str">
            <v>laboratorio</v>
          </cell>
          <cell r="J362" t="str">
            <v>bueno</v>
          </cell>
          <cell r="K362" t="str">
            <v>defsi</v>
          </cell>
        </row>
        <row r="363">
          <cell r="B363" t="b">
            <v>1</v>
          </cell>
          <cell r="E363" t="str">
            <v>Nelson Mandela UPA</v>
          </cell>
          <cell r="H363" t="str">
            <v>laboratorio</v>
          </cell>
          <cell r="J363" t="str">
            <v>bueno</v>
          </cell>
          <cell r="K363" t="str">
            <v>defsi</v>
          </cell>
        </row>
        <row r="364">
          <cell r="B364" t="b">
            <v>1</v>
          </cell>
          <cell r="E364" t="str">
            <v>Nelson Mandela UPA</v>
          </cell>
          <cell r="H364" t="str">
            <v>laboratorio</v>
          </cell>
          <cell r="J364" t="str">
            <v>bueno</v>
          </cell>
          <cell r="K364" t="str">
            <v>defsi</v>
          </cell>
        </row>
        <row r="365">
          <cell r="B365" t="b">
            <v>1</v>
          </cell>
          <cell r="E365" t="str">
            <v>Nelson Mandela UPA</v>
          </cell>
          <cell r="H365" t="str">
            <v>laboratorio</v>
          </cell>
          <cell r="J365" t="str">
            <v>bueno</v>
          </cell>
          <cell r="K365" t="str">
            <v>defsi</v>
          </cell>
        </row>
        <row r="366">
          <cell r="B366" t="b">
            <v>1</v>
          </cell>
          <cell r="E366" t="str">
            <v>Nelson Mandela UPA</v>
          </cell>
          <cell r="H366" t="str">
            <v>laboratorio</v>
          </cell>
          <cell r="J366" t="str">
            <v>bueno</v>
          </cell>
          <cell r="K366" t="str">
            <v>defsi</v>
          </cell>
        </row>
        <row r="367">
          <cell r="B367" t="b">
            <v>1</v>
          </cell>
          <cell r="E367" t="str">
            <v>Arroz Barato</v>
          </cell>
          <cell r="H367" t="str">
            <v>consulta_externa</v>
          </cell>
          <cell r="J367" t="str">
            <v>bueno</v>
          </cell>
          <cell r="K367" t="str">
            <v>defsi</v>
          </cell>
        </row>
        <row r="368">
          <cell r="B368" t="b">
            <v>1</v>
          </cell>
          <cell r="E368" t="str">
            <v>Arroz Barato</v>
          </cell>
          <cell r="H368" t="str">
            <v>salud_oral</v>
          </cell>
          <cell r="J368" t="str">
            <v>bueno</v>
          </cell>
          <cell r="K368" t="str">
            <v>defsi</v>
          </cell>
        </row>
        <row r="369">
          <cell r="B369" t="b">
            <v>1</v>
          </cell>
          <cell r="E369" t="str">
            <v>Arroz Barato</v>
          </cell>
          <cell r="H369" t="str">
            <v>laboratorio</v>
          </cell>
          <cell r="J369" t="str">
            <v>bueno</v>
          </cell>
          <cell r="K369" t="str">
            <v>defsi</v>
          </cell>
        </row>
        <row r="370">
          <cell r="B370" t="b">
            <v>1</v>
          </cell>
          <cell r="E370" t="str">
            <v>Nelson Mandela UPA</v>
          </cell>
          <cell r="H370" t="str">
            <v>laboratorio</v>
          </cell>
          <cell r="J370" t="str">
            <v>bueno</v>
          </cell>
          <cell r="K370" t="str">
            <v>defsi</v>
          </cell>
        </row>
        <row r="371">
          <cell r="B371" t="b">
            <v>1</v>
          </cell>
          <cell r="E371" t="str">
            <v>Arroz Barato</v>
          </cell>
          <cell r="H371" t="str">
            <v>urgencia</v>
          </cell>
          <cell r="J371" t="str">
            <v>bueno</v>
          </cell>
          <cell r="K371" t="str">
            <v>defsi</v>
          </cell>
        </row>
        <row r="372">
          <cell r="B372" t="b">
            <v>1</v>
          </cell>
          <cell r="E372" t="str">
            <v>Arroz Barato</v>
          </cell>
          <cell r="H372" t="str">
            <v>rx</v>
          </cell>
          <cell r="J372" t="str">
            <v>bueno</v>
          </cell>
          <cell r="K372" t="str">
            <v>defsi</v>
          </cell>
        </row>
        <row r="373">
          <cell r="B373" t="b">
            <v>1</v>
          </cell>
          <cell r="E373" t="str">
            <v>Nelson Mandela UPA</v>
          </cell>
          <cell r="H373" t="str">
            <v>urgencia</v>
          </cell>
          <cell r="J373" t="str">
            <v>bueno</v>
          </cell>
          <cell r="K373" t="str">
            <v>defsi</v>
          </cell>
        </row>
        <row r="374">
          <cell r="B374" t="b">
            <v>1</v>
          </cell>
          <cell r="E374" t="str">
            <v>Nelson Mandela UPA</v>
          </cell>
          <cell r="H374" t="str">
            <v>urgencia</v>
          </cell>
          <cell r="J374" t="str">
            <v>bueno</v>
          </cell>
          <cell r="K374" t="str">
            <v>defsi</v>
          </cell>
        </row>
        <row r="375">
          <cell r="B375" t="b">
            <v>1</v>
          </cell>
          <cell r="E375" t="str">
            <v>Arroz Barato</v>
          </cell>
          <cell r="H375" t="str">
            <v>consulta_externa</v>
          </cell>
          <cell r="J375" t="str">
            <v>bueno</v>
          </cell>
          <cell r="K375" t="str">
            <v>defsi</v>
          </cell>
        </row>
        <row r="376">
          <cell r="B376" t="b">
            <v>1</v>
          </cell>
          <cell r="E376" t="str">
            <v>Nelson Mandela UPA</v>
          </cell>
          <cell r="H376" t="str">
            <v>urgencia</v>
          </cell>
          <cell r="J376" t="str">
            <v>bueno</v>
          </cell>
          <cell r="K376" t="str">
            <v>defsi</v>
          </cell>
        </row>
        <row r="377">
          <cell r="B377" t="b">
            <v>1</v>
          </cell>
          <cell r="E377" t="str">
            <v>Arroz Barato</v>
          </cell>
          <cell r="H377" t="str">
            <v>salud_oral</v>
          </cell>
          <cell r="J377" t="str">
            <v>bueno</v>
          </cell>
          <cell r="K377" t="str">
            <v>defsi</v>
          </cell>
        </row>
        <row r="378">
          <cell r="B378" t="b">
            <v>1</v>
          </cell>
          <cell r="E378" t="str">
            <v>Pozon</v>
          </cell>
          <cell r="H378" t="str">
            <v>consulta_externa</v>
          </cell>
          <cell r="J378" t="str">
            <v>bueno</v>
          </cell>
          <cell r="K378" t="str">
            <v>probsi</v>
          </cell>
        </row>
        <row r="379">
          <cell r="B379" t="b">
            <v>1</v>
          </cell>
          <cell r="E379" t="str">
            <v>Pozon</v>
          </cell>
          <cell r="H379" t="str">
            <v>consulta_externa</v>
          </cell>
          <cell r="J379" t="str">
            <v>bueno</v>
          </cell>
          <cell r="K379" t="str">
            <v>probsi</v>
          </cell>
        </row>
        <row r="380">
          <cell r="B380" t="b">
            <v>1</v>
          </cell>
          <cell r="E380" t="str">
            <v>Pozon</v>
          </cell>
          <cell r="H380" t="str">
            <v>consulta_externa</v>
          </cell>
          <cell r="J380" t="str">
            <v>bueno</v>
          </cell>
          <cell r="K380" t="str">
            <v>probsi</v>
          </cell>
        </row>
        <row r="381">
          <cell r="B381" t="b">
            <v>1</v>
          </cell>
          <cell r="E381" t="str">
            <v>Pozon</v>
          </cell>
          <cell r="H381" t="str">
            <v>consulta_externa</v>
          </cell>
          <cell r="J381" t="str">
            <v>bueno</v>
          </cell>
          <cell r="K381" t="str">
            <v>probsi</v>
          </cell>
        </row>
        <row r="382">
          <cell r="B382" t="b">
            <v>1</v>
          </cell>
          <cell r="E382" t="str">
            <v>Pozon</v>
          </cell>
          <cell r="H382" t="str">
            <v>consulta_externa</v>
          </cell>
          <cell r="J382" t="str">
            <v>bueno</v>
          </cell>
          <cell r="K382" t="str">
            <v>probsi</v>
          </cell>
        </row>
        <row r="383">
          <cell r="B383" t="b">
            <v>1</v>
          </cell>
          <cell r="E383" t="str">
            <v>Pozon</v>
          </cell>
          <cell r="H383" t="str">
            <v>salud_oral</v>
          </cell>
          <cell r="J383" t="str">
            <v>bueno</v>
          </cell>
          <cell r="K383" t="str">
            <v>probsi</v>
          </cell>
        </row>
        <row r="384">
          <cell r="B384" t="b">
            <v>1</v>
          </cell>
          <cell r="E384" t="str">
            <v>Pozon</v>
          </cell>
          <cell r="H384" t="str">
            <v>laboratorio</v>
          </cell>
          <cell r="J384" t="str">
            <v>bueno</v>
          </cell>
          <cell r="K384" t="str">
            <v>probsi</v>
          </cell>
        </row>
        <row r="385">
          <cell r="B385" t="b">
            <v>1</v>
          </cell>
          <cell r="E385" t="str">
            <v>Arroz Barato</v>
          </cell>
          <cell r="H385" t="str">
            <v>laboratorio</v>
          </cell>
          <cell r="J385" t="str">
            <v>bueno</v>
          </cell>
          <cell r="K385" t="str">
            <v>defsi</v>
          </cell>
        </row>
        <row r="386">
          <cell r="B386" t="b">
            <v>1</v>
          </cell>
          <cell r="E386" t="str">
            <v>Pozon</v>
          </cell>
          <cell r="H386" t="str">
            <v>consulta_externa</v>
          </cell>
          <cell r="J386" t="str">
            <v>muybueno</v>
          </cell>
          <cell r="K386" t="str">
            <v>probsi</v>
          </cell>
        </row>
        <row r="387">
          <cell r="B387" t="b">
            <v>1</v>
          </cell>
          <cell r="E387" t="str">
            <v>Pozon</v>
          </cell>
          <cell r="H387" t="str">
            <v>laboratorio</v>
          </cell>
          <cell r="J387" t="str">
            <v>bueno</v>
          </cell>
          <cell r="K387" t="str">
            <v>probsi</v>
          </cell>
        </row>
        <row r="388">
          <cell r="B388" t="b">
            <v>1</v>
          </cell>
          <cell r="E388" t="str">
            <v>Arroz Barato</v>
          </cell>
          <cell r="H388" t="str">
            <v>urgencia</v>
          </cell>
          <cell r="J388" t="str">
            <v>bueno</v>
          </cell>
          <cell r="K388" t="str">
            <v>defsi</v>
          </cell>
        </row>
        <row r="389">
          <cell r="B389" t="b">
            <v>1</v>
          </cell>
          <cell r="E389" t="str">
            <v>Arroz Barato</v>
          </cell>
          <cell r="H389" t="str">
            <v>rx</v>
          </cell>
          <cell r="J389" t="str">
            <v>bueno</v>
          </cell>
          <cell r="K389" t="str">
            <v>defsi</v>
          </cell>
        </row>
        <row r="390">
          <cell r="B390" t="b">
            <v>1</v>
          </cell>
          <cell r="E390" t="str">
            <v>Pozon</v>
          </cell>
          <cell r="H390" t="str">
            <v>consulta_externa</v>
          </cell>
          <cell r="J390" t="str">
            <v>bueno</v>
          </cell>
          <cell r="K390" t="str">
            <v>probsi</v>
          </cell>
        </row>
        <row r="391">
          <cell r="B391" t="b">
            <v>1</v>
          </cell>
          <cell r="E391" t="str">
            <v>Pozon</v>
          </cell>
          <cell r="H391" t="str">
            <v>salud_oral</v>
          </cell>
          <cell r="J391" t="str">
            <v>bueno</v>
          </cell>
          <cell r="K391" t="str">
            <v>probsi</v>
          </cell>
        </row>
        <row r="392">
          <cell r="B392" t="b">
            <v>1</v>
          </cell>
          <cell r="E392" t="str">
            <v>Pozon</v>
          </cell>
          <cell r="H392" t="str">
            <v>consulta_externa</v>
          </cell>
          <cell r="J392" t="str">
            <v>bueno</v>
          </cell>
          <cell r="K392" t="str">
            <v>probsi</v>
          </cell>
        </row>
        <row r="393">
          <cell r="B393" t="b">
            <v>1</v>
          </cell>
          <cell r="E393" t="str">
            <v>Pozon</v>
          </cell>
          <cell r="H393" t="str">
            <v>laboratorio</v>
          </cell>
          <cell r="J393" t="str">
            <v>bueno</v>
          </cell>
          <cell r="K393" t="str">
            <v>probsi</v>
          </cell>
        </row>
        <row r="394">
          <cell r="B394" t="b">
            <v>0</v>
          </cell>
          <cell r="E394" t="str">
            <v>Pozon</v>
          </cell>
          <cell r="H394" t="str">
            <v>consulta_externa</v>
          </cell>
          <cell r="J394" t="str">
            <v>regular</v>
          </cell>
          <cell r="K394" t="str">
            <v>probsi</v>
          </cell>
        </row>
        <row r="395">
          <cell r="B395" t="b">
            <v>0</v>
          </cell>
          <cell r="E395" t="str">
            <v>Pozon</v>
          </cell>
          <cell r="H395" t="str">
            <v>consulta_externa</v>
          </cell>
          <cell r="J395" t="str">
            <v>regular</v>
          </cell>
          <cell r="K395" t="str">
            <v>probsi</v>
          </cell>
        </row>
        <row r="396">
          <cell r="B396" t="b">
            <v>0</v>
          </cell>
          <cell r="E396" t="str">
            <v>Pozon</v>
          </cell>
          <cell r="H396" t="str">
            <v>laboratorio</v>
          </cell>
          <cell r="J396" t="str">
            <v>regular</v>
          </cell>
          <cell r="K396" t="str">
            <v>probsi</v>
          </cell>
        </row>
        <row r="397">
          <cell r="B397" t="b">
            <v>1</v>
          </cell>
          <cell r="E397" t="str">
            <v>Pozon</v>
          </cell>
          <cell r="H397" t="str">
            <v>consulta_externa</v>
          </cell>
          <cell r="J397" t="str">
            <v>bueno</v>
          </cell>
          <cell r="K397" t="str">
            <v>probsi</v>
          </cell>
        </row>
        <row r="398">
          <cell r="B398" t="b">
            <v>1</v>
          </cell>
          <cell r="E398" t="str">
            <v>Pozon</v>
          </cell>
          <cell r="H398" t="str">
            <v>laboratorio</v>
          </cell>
          <cell r="J398" t="str">
            <v>bueno</v>
          </cell>
          <cell r="K398" t="str">
            <v>probsi</v>
          </cell>
        </row>
        <row r="399">
          <cell r="B399" t="b">
            <v>1</v>
          </cell>
          <cell r="E399" t="str">
            <v>Pozon</v>
          </cell>
          <cell r="H399" t="str">
            <v>salud_oral</v>
          </cell>
          <cell r="J399" t="str">
            <v>bueno</v>
          </cell>
          <cell r="K399" t="str">
            <v>probsi</v>
          </cell>
        </row>
        <row r="400">
          <cell r="B400" t="b">
            <v>1</v>
          </cell>
          <cell r="E400" t="str">
            <v>Arroz Barato</v>
          </cell>
          <cell r="H400" t="str">
            <v>consulta_externa</v>
          </cell>
          <cell r="J400" t="str">
            <v>bueno</v>
          </cell>
          <cell r="K400" t="str">
            <v>defsi</v>
          </cell>
        </row>
        <row r="401">
          <cell r="B401" t="b">
            <v>1</v>
          </cell>
          <cell r="E401" t="str">
            <v>Arroz Barato</v>
          </cell>
          <cell r="H401" t="str">
            <v>salud_oral</v>
          </cell>
          <cell r="J401" t="str">
            <v>bueno</v>
          </cell>
          <cell r="K401" t="str">
            <v>defsi</v>
          </cell>
        </row>
        <row r="402">
          <cell r="B402" t="b">
            <v>0</v>
          </cell>
          <cell r="E402" t="str">
            <v>Pozon</v>
          </cell>
          <cell r="H402" t="str">
            <v>consulta_externa</v>
          </cell>
          <cell r="J402" t="str">
            <v>regular</v>
          </cell>
          <cell r="K402" t="str">
            <v>probsi</v>
          </cell>
        </row>
        <row r="403">
          <cell r="B403" t="b">
            <v>1</v>
          </cell>
          <cell r="E403" t="str">
            <v>Pozon</v>
          </cell>
          <cell r="H403" t="str">
            <v>laboratorio</v>
          </cell>
          <cell r="J403" t="str">
            <v>bueno</v>
          </cell>
          <cell r="K403" t="str">
            <v>probsi</v>
          </cell>
        </row>
        <row r="404">
          <cell r="B404" t="b">
            <v>1</v>
          </cell>
          <cell r="E404" t="str">
            <v>Arroz Barato</v>
          </cell>
          <cell r="H404" t="str">
            <v>laboratorio</v>
          </cell>
          <cell r="J404" t="str">
            <v>bueno</v>
          </cell>
          <cell r="K404" t="str">
            <v>defsi</v>
          </cell>
        </row>
        <row r="405">
          <cell r="B405" t="b">
            <v>1</v>
          </cell>
          <cell r="E405" t="str">
            <v>Arroz Barato</v>
          </cell>
          <cell r="H405" t="str">
            <v>urgencia</v>
          </cell>
          <cell r="J405" t="str">
            <v>bueno</v>
          </cell>
          <cell r="K405" t="str">
            <v>defsi</v>
          </cell>
        </row>
        <row r="406">
          <cell r="B406" t="b">
            <v>1</v>
          </cell>
          <cell r="E406" t="str">
            <v>Arroz Barato</v>
          </cell>
          <cell r="H406" t="str">
            <v>rx</v>
          </cell>
          <cell r="J406" t="str">
            <v>bueno</v>
          </cell>
          <cell r="K406" t="str">
            <v>defsi</v>
          </cell>
        </row>
        <row r="407">
          <cell r="B407" t="b">
            <v>1</v>
          </cell>
          <cell r="E407" t="str">
            <v>Arroz Barato</v>
          </cell>
          <cell r="H407" t="str">
            <v>consulta_externa</v>
          </cell>
          <cell r="J407" t="str">
            <v>bueno</v>
          </cell>
          <cell r="K407" t="str">
            <v>defsi</v>
          </cell>
        </row>
        <row r="408">
          <cell r="B408" t="b">
            <v>1</v>
          </cell>
          <cell r="E408" t="str">
            <v>Arroz Barato</v>
          </cell>
          <cell r="H408" t="str">
            <v>salud_oral</v>
          </cell>
          <cell r="J408" t="str">
            <v>bueno</v>
          </cell>
          <cell r="K408" t="str">
            <v>defsi</v>
          </cell>
        </row>
        <row r="409">
          <cell r="B409" t="b">
            <v>1</v>
          </cell>
          <cell r="E409" t="str">
            <v>Arroz Barato</v>
          </cell>
          <cell r="H409" t="str">
            <v>laboratorio</v>
          </cell>
          <cell r="J409" t="str">
            <v>bueno</v>
          </cell>
          <cell r="K409" t="str">
            <v>defsi</v>
          </cell>
        </row>
        <row r="410">
          <cell r="B410" t="b">
            <v>1</v>
          </cell>
          <cell r="E410" t="str">
            <v>Arroz Barato</v>
          </cell>
          <cell r="H410" t="str">
            <v>urgencia</v>
          </cell>
          <cell r="J410" t="str">
            <v>bueno</v>
          </cell>
          <cell r="K410" t="str">
            <v>defsi</v>
          </cell>
        </row>
        <row r="411">
          <cell r="B411" t="b">
            <v>1</v>
          </cell>
          <cell r="E411" t="str">
            <v>Arroz Barato</v>
          </cell>
          <cell r="H411" t="str">
            <v>rx</v>
          </cell>
          <cell r="J411" t="str">
            <v>bueno</v>
          </cell>
          <cell r="K411" t="str">
            <v>defsi</v>
          </cell>
        </row>
        <row r="412">
          <cell r="B412" t="b">
            <v>1</v>
          </cell>
          <cell r="E412" t="str">
            <v>Las Reinas</v>
          </cell>
          <cell r="H412" t="str">
            <v>salud_oral</v>
          </cell>
          <cell r="J412" t="str">
            <v>bueno</v>
          </cell>
          <cell r="K412" t="str">
            <v>defsi</v>
          </cell>
        </row>
        <row r="413">
          <cell r="B413" t="b">
            <v>1</v>
          </cell>
          <cell r="E413" t="str">
            <v>Las Reinas</v>
          </cell>
          <cell r="H413" t="str">
            <v>consulta_externa</v>
          </cell>
          <cell r="J413" t="str">
            <v>bueno</v>
          </cell>
          <cell r="K413" t="str">
            <v>defsi</v>
          </cell>
        </row>
        <row r="414">
          <cell r="B414" t="b">
            <v>1</v>
          </cell>
          <cell r="E414" t="str">
            <v>Las Reinas</v>
          </cell>
          <cell r="H414" t="str">
            <v>laboratorio</v>
          </cell>
          <cell r="J414" t="str">
            <v>bueno</v>
          </cell>
          <cell r="K414" t="str">
            <v>defsi</v>
          </cell>
        </row>
        <row r="415">
          <cell r="B415" t="b">
            <v>1</v>
          </cell>
          <cell r="E415" t="str">
            <v>Las Reinas</v>
          </cell>
          <cell r="H415" t="str">
            <v>laboratorio</v>
          </cell>
          <cell r="J415" t="str">
            <v>bueno</v>
          </cell>
          <cell r="K415" t="str">
            <v>defsi</v>
          </cell>
        </row>
        <row r="416">
          <cell r="B416" t="b">
            <v>1</v>
          </cell>
          <cell r="E416" t="str">
            <v>Pozon</v>
          </cell>
          <cell r="H416" t="str">
            <v>salud_oral</v>
          </cell>
          <cell r="J416" t="str">
            <v>bueno</v>
          </cell>
          <cell r="K416" t="str">
            <v>probsi</v>
          </cell>
        </row>
        <row r="417">
          <cell r="B417" t="b">
            <v>1</v>
          </cell>
          <cell r="E417" t="str">
            <v>Pozon</v>
          </cell>
          <cell r="H417" t="str">
            <v>laboratorio</v>
          </cell>
          <cell r="J417" t="str">
            <v>bueno</v>
          </cell>
          <cell r="K417" t="str">
            <v>probsi</v>
          </cell>
        </row>
        <row r="418">
          <cell r="B418" t="b">
            <v>1</v>
          </cell>
          <cell r="E418" t="str">
            <v>Pozon</v>
          </cell>
          <cell r="H418" t="str">
            <v>laboratorio</v>
          </cell>
          <cell r="J418" t="str">
            <v>bueno</v>
          </cell>
          <cell r="K418" t="str">
            <v>probsi</v>
          </cell>
        </row>
        <row r="419">
          <cell r="B419" t="b">
            <v>1</v>
          </cell>
          <cell r="E419" t="str">
            <v>Arroz Barato</v>
          </cell>
          <cell r="H419" t="str">
            <v>consulta_externa</v>
          </cell>
          <cell r="J419" t="str">
            <v>bueno</v>
          </cell>
          <cell r="K419" t="str">
            <v>defsi</v>
          </cell>
        </row>
        <row r="420">
          <cell r="B420" t="b">
            <v>1</v>
          </cell>
          <cell r="E420" t="str">
            <v>Arroz Barato</v>
          </cell>
          <cell r="H420" t="str">
            <v>salud_oral</v>
          </cell>
          <cell r="J420" t="str">
            <v>bueno</v>
          </cell>
          <cell r="K420" t="str">
            <v>defsi</v>
          </cell>
        </row>
        <row r="421">
          <cell r="B421" t="b">
            <v>1</v>
          </cell>
          <cell r="E421" t="str">
            <v>Arroz Barato</v>
          </cell>
          <cell r="H421" t="str">
            <v>laboratorio</v>
          </cell>
          <cell r="J421" t="str">
            <v>bueno</v>
          </cell>
          <cell r="K421" t="str">
            <v>defsi</v>
          </cell>
        </row>
        <row r="422">
          <cell r="B422" t="b">
            <v>1</v>
          </cell>
          <cell r="E422" t="str">
            <v>Arroz Barato</v>
          </cell>
          <cell r="H422" t="str">
            <v>urgencia</v>
          </cell>
          <cell r="J422" t="str">
            <v>bueno</v>
          </cell>
          <cell r="K422" t="str">
            <v>defsi</v>
          </cell>
        </row>
        <row r="423">
          <cell r="B423" t="b">
            <v>1</v>
          </cell>
          <cell r="E423" t="str">
            <v>Arroz Barato</v>
          </cell>
          <cell r="H423" t="str">
            <v>rx</v>
          </cell>
          <cell r="J423" t="str">
            <v>bueno</v>
          </cell>
          <cell r="K423" t="str">
            <v>defsi</v>
          </cell>
        </row>
        <row r="424">
          <cell r="B424" t="b">
            <v>1</v>
          </cell>
          <cell r="E424" t="str">
            <v>Arroz Barato</v>
          </cell>
          <cell r="H424" t="str">
            <v>consulta_externa</v>
          </cell>
          <cell r="J424" t="str">
            <v>bueno</v>
          </cell>
          <cell r="K424" t="str">
            <v>defsi</v>
          </cell>
        </row>
        <row r="425">
          <cell r="B425" t="b">
            <v>1</v>
          </cell>
          <cell r="E425" t="str">
            <v>Arroz Barato</v>
          </cell>
          <cell r="H425" t="str">
            <v>salud_oral</v>
          </cell>
          <cell r="J425" t="str">
            <v>bueno</v>
          </cell>
          <cell r="K425" t="str">
            <v>defsi</v>
          </cell>
        </row>
        <row r="426">
          <cell r="B426" t="b">
            <v>1</v>
          </cell>
          <cell r="E426" t="str">
            <v>Arroz Barato</v>
          </cell>
          <cell r="H426" t="str">
            <v>laboratorio</v>
          </cell>
          <cell r="J426" t="str">
            <v>bueno</v>
          </cell>
          <cell r="K426" t="str">
            <v>defsi</v>
          </cell>
        </row>
        <row r="427">
          <cell r="B427" t="b">
            <v>1</v>
          </cell>
          <cell r="E427" t="str">
            <v>Arroz Barato</v>
          </cell>
          <cell r="H427" t="str">
            <v>urgencia</v>
          </cell>
          <cell r="J427" t="str">
            <v>bueno</v>
          </cell>
          <cell r="K427" t="str">
            <v>defsi</v>
          </cell>
        </row>
        <row r="428">
          <cell r="B428" t="b">
            <v>1</v>
          </cell>
          <cell r="E428" t="str">
            <v>Arroz Barato</v>
          </cell>
          <cell r="H428" t="str">
            <v>rx</v>
          </cell>
          <cell r="J428" t="str">
            <v>bueno</v>
          </cell>
          <cell r="K428" t="str">
            <v>defsi</v>
          </cell>
        </row>
        <row r="429">
          <cell r="B429" t="b">
            <v>1</v>
          </cell>
          <cell r="E429" t="str">
            <v>Las Reinas</v>
          </cell>
          <cell r="H429" t="str">
            <v>consulta_externa</v>
          </cell>
          <cell r="J429" t="str">
            <v>bueno</v>
          </cell>
          <cell r="K429" t="str">
            <v>defsi</v>
          </cell>
        </row>
        <row r="430">
          <cell r="B430" t="b">
            <v>1</v>
          </cell>
          <cell r="E430" t="str">
            <v>Las Reinas</v>
          </cell>
          <cell r="H430" t="str">
            <v>salud_oral</v>
          </cell>
          <cell r="J430" t="str">
            <v>bueno</v>
          </cell>
          <cell r="K430" t="str">
            <v>defsi</v>
          </cell>
        </row>
        <row r="431">
          <cell r="B431" t="b">
            <v>1</v>
          </cell>
          <cell r="E431" t="str">
            <v>Arroz Barato</v>
          </cell>
          <cell r="H431" t="str">
            <v>consulta_externa</v>
          </cell>
          <cell r="J431" t="str">
            <v>bueno</v>
          </cell>
          <cell r="K431" t="str">
            <v>defsi</v>
          </cell>
        </row>
        <row r="432">
          <cell r="B432" t="b">
            <v>1</v>
          </cell>
          <cell r="E432" t="str">
            <v>Arroz Barato</v>
          </cell>
          <cell r="H432" t="str">
            <v>salud_oral</v>
          </cell>
          <cell r="J432" t="str">
            <v>bueno</v>
          </cell>
          <cell r="K432" t="str">
            <v>defsi</v>
          </cell>
        </row>
        <row r="433">
          <cell r="B433" t="b">
            <v>1</v>
          </cell>
          <cell r="E433" t="str">
            <v>Arroz Barato</v>
          </cell>
          <cell r="H433" t="str">
            <v>laboratorio</v>
          </cell>
          <cell r="J433" t="str">
            <v>bueno</v>
          </cell>
          <cell r="K433" t="str">
            <v>defsi</v>
          </cell>
        </row>
        <row r="434">
          <cell r="B434" t="b">
            <v>1</v>
          </cell>
          <cell r="E434" t="str">
            <v>Arroz Barato</v>
          </cell>
          <cell r="H434" t="str">
            <v>urgencia</v>
          </cell>
          <cell r="J434" t="str">
            <v>bueno</v>
          </cell>
          <cell r="K434" t="str">
            <v>defsi</v>
          </cell>
        </row>
        <row r="435">
          <cell r="B435" t="b">
            <v>1</v>
          </cell>
          <cell r="E435" t="str">
            <v>Arroz Barato</v>
          </cell>
          <cell r="H435" t="str">
            <v>rx</v>
          </cell>
          <cell r="J435" t="str">
            <v>bueno</v>
          </cell>
          <cell r="K435" t="str">
            <v>defsi</v>
          </cell>
        </row>
        <row r="436">
          <cell r="B436" t="b">
            <v>1</v>
          </cell>
          <cell r="E436" t="str">
            <v>Arroz Barato</v>
          </cell>
          <cell r="H436" t="str">
            <v>consulta_externa</v>
          </cell>
          <cell r="J436" t="str">
            <v>bueno</v>
          </cell>
          <cell r="K436" t="str">
            <v>defsi</v>
          </cell>
        </row>
        <row r="437">
          <cell r="B437" t="b">
            <v>1</v>
          </cell>
          <cell r="E437" t="str">
            <v>Arroz Barato</v>
          </cell>
          <cell r="H437" t="str">
            <v>salud_oral</v>
          </cell>
          <cell r="J437" t="str">
            <v>bueno</v>
          </cell>
          <cell r="K437" t="str">
            <v>defsi</v>
          </cell>
        </row>
        <row r="438">
          <cell r="B438" t="b">
            <v>1</v>
          </cell>
          <cell r="E438" t="str">
            <v>Arroz Barato</v>
          </cell>
          <cell r="H438" t="str">
            <v>laboratorio</v>
          </cell>
          <cell r="J438" t="str">
            <v>bueno</v>
          </cell>
          <cell r="K438" t="str">
            <v>defsi</v>
          </cell>
        </row>
        <row r="439">
          <cell r="B439" t="b">
            <v>1</v>
          </cell>
          <cell r="E439" t="str">
            <v>Arroz Barato</v>
          </cell>
          <cell r="H439" t="str">
            <v>urgencia</v>
          </cell>
          <cell r="J439" t="str">
            <v>bueno</v>
          </cell>
          <cell r="K439" t="str">
            <v>defsi</v>
          </cell>
        </row>
        <row r="440">
          <cell r="B440" t="b">
            <v>0</v>
          </cell>
          <cell r="E440" t="str">
            <v>Las Reinas</v>
          </cell>
          <cell r="H440" t="str">
            <v>consulta_externa</v>
          </cell>
          <cell r="J440" t="str">
            <v>regular</v>
          </cell>
          <cell r="K440" t="str">
            <v>defsi</v>
          </cell>
        </row>
        <row r="441">
          <cell r="B441" t="b">
            <v>1</v>
          </cell>
          <cell r="E441" t="str">
            <v>Isla del Rosario</v>
          </cell>
          <cell r="H441" t="str">
            <v>consulta_externa</v>
          </cell>
          <cell r="J441" t="str">
            <v>muybueno</v>
          </cell>
          <cell r="K441" t="str">
            <v>defsi</v>
          </cell>
        </row>
        <row r="442">
          <cell r="B442" t="b">
            <v>1</v>
          </cell>
          <cell r="E442" t="str">
            <v>Isla del Rosario</v>
          </cell>
          <cell r="H442" t="str">
            <v>salud_oral</v>
          </cell>
          <cell r="J442" t="str">
            <v>muybueno</v>
          </cell>
          <cell r="K442" t="str">
            <v>defsi</v>
          </cell>
        </row>
        <row r="443">
          <cell r="B443" t="b">
            <v>1</v>
          </cell>
          <cell r="E443" t="str">
            <v>Isla del Rosario</v>
          </cell>
          <cell r="H443" t="str">
            <v>consulta_externa</v>
          </cell>
          <cell r="J443" t="str">
            <v>muybueno</v>
          </cell>
          <cell r="K443" t="str">
            <v>defsi</v>
          </cell>
        </row>
        <row r="444">
          <cell r="B444" t="b">
            <v>1</v>
          </cell>
          <cell r="E444" t="str">
            <v>Isla del Rosario</v>
          </cell>
          <cell r="H444" t="str">
            <v>laboratorio</v>
          </cell>
          <cell r="J444" t="str">
            <v>muybueno</v>
          </cell>
          <cell r="K444" t="str">
            <v>defsi</v>
          </cell>
        </row>
        <row r="445">
          <cell r="B445" t="b">
            <v>1</v>
          </cell>
          <cell r="E445" t="str">
            <v>Las Reinas</v>
          </cell>
          <cell r="H445" t="str">
            <v>consulta_externa</v>
          </cell>
          <cell r="J445" t="str">
            <v>bueno</v>
          </cell>
          <cell r="K445" t="str">
            <v>defsi</v>
          </cell>
        </row>
        <row r="446">
          <cell r="B446" t="b">
            <v>1</v>
          </cell>
          <cell r="E446" t="str">
            <v>Las Reinas</v>
          </cell>
          <cell r="H446" t="str">
            <v>salud_oral</v>
          </cell>
          <cell r="J446" t="str">
            <v>bueno</v>
          </cell>
          <cell r="K446" t="str">
            <v>defsi</v>
          </cell>
        </row>
        <row r="447">
          <cell r="B447" t="b">
            <v>1</v>
          </cell>
          <cell r="E447" t="str">
            <v>Las Reinas</v>
          </cell>
          <cell r="H447" t="str">
            <v>consulta_externa</v>
          </cell>
          <cell r="J447" t="str">
            <v>bueno</v>
          </cell>
          <cell r="K447" t="str">
            <v>defsi</v>
          </cell>
        </row>
        <row r="448">
          <cell r="B448" t="b">
            <v>1</v>
          </cell>
          <cell r="E448" t="str">
            <v>Las Reinas</v>
          </cell>
          <cell r="H448" t="str">
            <v>laboratorio</v>
          </cell>
          <cell r="J448" t="str">
            <v>bueno</v>
          </cell>
          <cell r="K448" t="str">
            <v>defsi</v>
          </cell>
        </row>
        <row r="449">
          <cell r="B449" t="b">
            <v>1</v>
          </cell>
          <cell r="E449" t="str">
            <v>Las Reinas</v>
          </cell>
          <cell r="H449" t="str">
            <v>laboratorio</v>
          </cell>
          <cell r="J449" t="str">
            <v>bueno</v>
          </cell>
          <cell r="K449" t="str">
            <v>defsi</v>
          </cell>
        </row>
        <row r="450">
          <cell r="B450" t="b">
            <v>1</v>
          </cell>
          <cell r="E450" t="str">
            <v>Pozon</v>
          </cell>
          <cell r="H450" t="str">
            <v>salud_oral</v>
          </cell>
          <cell r="J450" t="str">
            <v>bueno</v>
          </cell>
          <cell r="K450" t="str">
            <v>probsi</v>
          </cell>
        </row>
        <row r="451">
          <cell r="B451" t="b">
            <v>1</v>
          </cell>
          <cell r="E451" t="str">
            <v>Pozon</v>
          </cell>
          <cell r="H451" t="str">
            <v>salud_oral</v>
          </cell>
          <cell r="J451" t="str">
            <v>bueno</v>
          </cell>
          <cell r="K451" t="str">
            <v>probsi</v>
          </cell>
        </row>
        <row r="452">
          <cell r="B452" t="b">
            <v>1</v>
          </cell>
          <cell r="E452" t="str">
            <v>Pozon</v>
          </cell>
          <cell r="H452" t="str">
            <v>salud_oral</v>
          </cell>
          <cell r="J452" t="str">
            <v>bueno</v>
          </cell>
          <cell r="K452" t="str">
            <v>probsi</v>
          </cell>
        </row>
        <row r="453">
          <cell r="B453" t="b">
            <v>1</v>
          </cell>
          <cell r="E453" t="str">
            <v>Pozon</v>
          </cell>
          <cell r="H453" t="str">
            <v>salud_oral</v>
          </cell>
          <cell r="J453" t="str">
            <v>bueno</v>
          </cell>
          <cell r="K453" t="str">
            <v>probsi</v>
          </cell>
        </row>
        <row r="454">
          <cell r="B454" t="b">
            <v>1</v>
          </cell>
          <cell r="E454" t="str">
            <v>Pozon</v>
          </cell>
          <cell r="H454" t="str">
            <v>salud_oral</v>
          </cell>
          <cell r="J454" t="str">
            <v>bueno</v>
          </cell>
          <cell r="K454" t="str">
            <v>probsi</v>
          </cell>
        </row>
        <row r="455">
          <cell r="B455" t="b">
            <v>1</v>
          </cell>
          <cell r="E455" t="str">
            <v>Isla del Rosario</v>
          </cell>
          <cell r="H455" t="str">
            <v>consulta_externa</v>
          </cell>
          <cell r="J455" t="str">
            <v>muybueno</v>
          </cell>
          <cell r="K455" t="str">
            <v>defsi</v>
          </cell>
        </row>
        <row r="456">
          <cell r="B456" t="b">
            <v>1</v>
          </cell>
          <cell r="E456" t="str">
            <v>Isla del Rosario</v>
          </cell>
          <cell r="H456" t="str">
            <v>laboratorio</v>
          </cell>
          <cell r="J456" t="str">
            <v>muybueno</v>
          </cell>
          <cell r="K456" t="str">
            <v>defsi</v>
          </cell>
        </row>
        <row r="457">
          <cell r="B457" t="b">
            <v>1</v>
          </cell>
          <cell r="E457" t="str">
            <v>Isla del Rosario</v>
          </cell>
          <cell r="H457" t="str">
            <v>consulta_externa</v>
          </cell>
          <cell r="J457" t="str">
            <v>muybueno</v>
          </cell>
          <cell r="K457" t="str">
            <v>defsi</v>
          </cell>
        </row>
        <row r="458">
          <cell r="B458" t="b">
            <v>1</v>
          </cell>
          <cell r="E458" t="str">
            <v>Isla del Rosario</v>
          </cell>
          <cell r="H458" t="str">
            <v>consulta_externa</v>
          </cell>
          <cell r="J458" t="str">
            <v>muybueno</v>
          </cell>
          <cell r="K458" t="str">
            <v>defsi</v>
          </cell>
        </row>
        <row r="459">
          <cell r="B459" t="b">
            <v>1</v>
          </cell>
          <cell r="E459" t="str">
            <v>Isla del Rosario</v>
          </cell>
          <cell r="H459" t="str">
            <v>laboratorio</v>
          </cell>
          <cell r="J459" t="str">
            <v>muybueno</v>
          </cell>
          <cell r="K459" t="str">
            <v>defsi</v>
          </cell>
        </row>
        <row r="460">
          <cell r="B460" t="b">
            <v>1</v>
          </cell>
          <cell r="E460" t="str">
            <v>Isla del Rosario</v>
          </cell>
          <cell r="H460" t="str">
            <v>salud_oral</v>
          </cell>
          <cell r="J460" t="str">
            <v>muybueno</v>
          </cell>
          <cell r="K460" t="str">
            <v>defsi</v>
          </cell>
        </row>
        <row r="461">
          <cell r="B461" t="b">
            <v>1</v>
          </cell>
          <cell r="E461" t="str">
            <v>Isla del Rosario</v>
          </cell>
          <cell r="H461" t="str">
            <v>consulta_externa</v>
          </cell>
          <cell r="J461" t="str">
            <v>muybueno</v>
          </cell>
          <cell r="K461" t="str">
            <v>defsi</v>
          </cell>
        </row>
        <row r="462">
          <cell r="B462" t="b">
            <v>1</v>
          </cell>
          <cell r="E462" t="str">
            <v>Isla del Rosario</v>
          </cell>
          <cell r="H462" t="str">
            <v>laboratorio</v>
          </cell>
          <cell r="J462" t="str">
            <v>muybueno</v>
          </cell>
          <cell r="K462" t="str">
            <v>defsi</v>
          </cell>
        </row>
        <row r="463">
          <cell r="B463" t="b">
            <v>1</v>
          </cell>
          <cell r="E463" t="str">
            <v>Las Reinas</v>
          </cell>
          <cell r="H463" t="str">
            <v>salud_oral</v>
          </cell>
          <cell r="J463" t="str">
            <v>bueno</v>
          </cell>
          <cell r="K463" t="str">
            <v>defsi</v>
          </cell>
        </row>
        <row r="464">
          <cell r="B464" t="b">
            <v>0</v>
          </cell>
          <cell r="E464" t="str">
            <v>Las Reinas</v>
          </cell>
          <cell r="H464" t="str">
            <v>consulta_externa</v>
          </cell>
          <cell r="J464" t="str">
            <v>regular</v>
          </cell>
          <cell r="K464" t="str">
            <v>probsi</v>
          </cell>
        </row>
        <row r="465">
          <cell r="B465" t="b">
            <v>0</v>
          </cell>
          <cell r="E465" t="str">
            <v>Las Reinas</v>
          </cell>
          <cell r="H465" t="str">
            <v>consulta_externa</v>
          </cell>
          <cell r="J465" t="str">
            <v>regular</v>
          </cell>
          <cell r="K465" t="str">
            <v>probsi</v>
          </cell>
        </row>
        <row r="466">
          <cell r="B466" t="b">
            <v>1</v>
          </cell>
          <cell r="E466" t="str">
            <v>Isla del Rosario</v>
          </cell>
          <cell r="H466" t="str">
            <v>consulta_externa</v>
          </cell>
          <cell r="J466" t="str">
            <v>muybueno</v>
          </cell>
          <cell r="K466" t="str">
            <v>defsi</v>
          </cell>
        </row>
        <row r="467">
          <cell r="B467" t="b">
            <v>1</v>
          </cell>
          <cell r="E467" t="str">
            <v>Isla del Rosario</v>
          </cell>
          <cell r="H467" t="str">
            <v>salud_oral</v>
          </cell>
          <cell r="J467" t="str">
            <v>muybueno</v>
          </cell>
          <cell r="K467" t="str">
            <v>defsi</v>
          </cell>
        </row>
        <row r="468">
          <cell r="B468" t="b">
            <v>1</v>
          </cell>
          <cell r="E468" t="str">
            <v>Las Reinas</v>
          </cell>
          <cell r="H468" t="str">
            <v>consulta_externa</v>
          </cell>
          <cell r="J468" t="str">
            <v>bueno</v>
          </cell>
          <cell r="K468" t="str">
            <v>defsi</v>
          </cell>
        </row>
        <row r="469">
          <cell r="B469" t="b">
            <v>1</v>
          </cell>
          <cell r="E469" t="str">
            <v>Las Reinas</v>
          </cell>
          <cell r="H469" t="str">
            <v>laboratorio</v>
          </cell>
          <cell r="J469" t="str">
            <v>bueno</v>
          </cell>
          <cell r="K469" t="str">
            <v>defsi</v>
          </cell>
        </row>
        <row r="470">
          <cell r="B470" t="b">
            <v>1</v>
          </cell>
          <cell r="E470" t="str">
            <v>Pasacaballos</v>
          </cell>
          <cell r="H470" t="str">
            <v>consulta_externa</v>
          </cell>
          <cell r="J470" t="str">
            <v>bueno</v>
          </cell>
          <cell r="K470" t="str">
            <v>defsi</v>
          </cell>
        </row>
        <row r="471">
          <cell r="B471" t="b">
            <v>1</v>
          </cell>
          <cell r="E471" t="str">
            <v>Pasacaballos</v>
          </cell>
          <cell r="H471" t="str">
            <v>salud_oral</v>
          </cell>
          <cell r="J471" t="str">
            <v>bueno</v>
          </cell>
          <cell r="K471" t="str">
            <v>defsi</v>
          </cell>
        </row>
        <row r="472">
          <cell r="B472" t="b">
            <v>1</v>
          </cell>
          <cell r="E472" t="str">
            <v>Pasacaballos</v>
          </cell>
          <cell r="H472" t="str">
            <v>laboratorio</v>
          </cell>
          <cell r="J472" t="str">
            <v>bueno</v>
          </cell>
          <cell r="K472" t="str">
            <v>defsi</v>
          </cell>
        </row>
        <row r="473">
          <cell r="B473" t="b">
            <v>1</v>
          </cell>
          <cell r="E473" t="str">
            <v>Pasacaballos</v>
          </cell>
          <cell r="H473" t="str">
            <v>urgencia</v>
          </cell>
          <cell r="J473" t="str">
            <v>bueno</v>
          </cell>
          <cell r="K473" t="str">
            <v>defsi</v>
          </cell>
        </row>
        <row r="474">
          <cell r="B474" t="b">
            <v>0</v>
          </cell>
          <cell r="E474" t="str">
            <v>Las Reinas</v>
          </cell>
          <cell r="H474" t="str">
            <v>consulta_externa</v>
          </cell>
          <cell r="J474" t="str">
            <v>regular</v>
          </cell>
          <cell r="K474" t="str">
            <v>probsi</v>
          </cell>
        </row>
        <row r="475">
          <cell r="B475" t="b">
            <v>1</v>
          </cell>
          <cell r="E475" t="str">
            <v>Pasacaballos</v>
          </cell>
          <cell r="H475" t="str">
            <v>consulta_externa</v>
          </cell>
          <cell r="J475" t="str">
            <v>bueno</v>
          </cell>
          <cell r="K475" t="str">
            <v>defsi</v>
          </cell>
        </row>
        <row r="476">
          <cell r="B476" t="b">
            <v>1</v>
          </cell>
          <cell r="E476" t="str">
            <v>Isla del Rosario</v>
          </cell>
          <cell r="H476" t="str">
            <v>salud_oral</v>
          </cell>
          <cell r="J476" t="str">
            <v>muybueno</v>
          </cell>
          <cell r="K476" t="str">
            <v>defsi</v>
          </cell>
        </row>
        <row r="477">
          <cell r="B477" t="b">
            <v>1</v>
          </cell>
          <cell r="E477" t="str">
            <v>Las Reinas</v>
          </cell>
          <cell r="H477" t="str">
            <v>consulta_externa</v>
          </cell>
          <cell r="J477" t="str">
            <v>bueno</v>
          </cell>
          <cell r="K477" t="str">
            <v>probsi</v>
          </cell>
        </row>
        <row r="478">
          <cell r="B478" t="b">
            <v>1</v>
          </cell>
          <cell r="E478" t="str">
            <v>Pasacaballos</v>
          </cell>
          <cell r="H478" t="str">
            <v>salud_oral</v>
          </cell>
          <cell r="J478" t="str">
            <v>bueno</v>
          </cell>
          <cell r="K478" t="str">
            <v>defsi</v>
          </cell>
        </row>
        <row r="479">
          <cell r="B479" t="b">
            <v>1</v>
          </cell>
          <cell r="E479" t="str">
            <v>Pasacaballos</v>
          </cell>
          <cell r="H479" t="str">
            <v>laboratorio</v>
          </cell>
          <cell r="J479" t="str">
            <v>bueno</v>
          </cell>
          <cell r="K479" t="str">
            <v>defsi</v>
          </cell>
        </row>
        <row r="480">
          <cell r="B480" t="b">
            <v>1</v>
          </cell>
          <cell r="E480" t="str">
            <v>Pasacaballos</v>
          </cell>
          <cell r="H480" t="str">
            <v>urgencia</v>
          </cell>
          <cell r="J480" t="str">
            <v>bueno</v>
          </cell>
          <cell r="K480" t="str">
            <v>defsi</v>
          </cell>
        </row>
        <row r="481">
          <cell r="B481" t="b">
            <v>1</v>
          </cell>
          <cell r="E481" t="str">
            <v>Isla del Rosario</v>
          </cell>
          <cell r="H481" t="str">
            <v>consulta_externa</v>
          </cell>
          <cell r="J481" t="str">
            <v>muybueno</v>
          </cell>
          <cell r="K481" t="str">
            <v>defsi</v>
          </cell>
        </row>
        <row r="482">
          <cell r="B482" t="b">
            <v>1</v>
          </cell>
          <cell r="E482" t="str">
            <v>Isla del Rosario</v>
          </cell>
          <cell r="H482" t="str">
            <v>salud_oral</v>
          </cell>
          <cell r="J482" t="str">
            <v>muybueno</v>
          </cell>
          <cell r="K482" t="str">
            <v>defsi</v>
          </cell>
        </row>
        <row r="483">
          <cell r="B483" t="b">
            <v>1</v>
          </cell>
          <cell r="E483" t="str">
            <v>Pasacaballos</v>
          </cell>
          <cell r="H483" t="str">
            <v>consulta_externa</v>
          </cell>
          <cell r="J483" t="str">
            <v>bueno</v>
          </cell>
          <cell r="K483" t="str">
            <v>defsi</v>
          </cell>
        </row>
        <row r="484">
          <cell r="B484" t="b">
            <v>1</v>
          </cell>
          <cell r="E484" t="str">
            <v>Pasacaballos</v>
          </cell>
          <cell r="H484" t="str">
            <v>salud_oral</v>
          </cell>
          <cell r="J484" t="str">
            <v>bueno</v>
          </cell>
          <cell r="K484" t="str">
            <v>defsi</v>
          </cell>
        </row>
        <row r="485">
          <cell r="B485" t="b">
            <v>1</v>
          </cell>
          <cell r="E485" t="str">
            <v>Pasacaballos</v>
          </cell>
          <cell r="H485" t="str">
            <v>salud_oral</v>
          </cell>
          <cell r="J485" t="str">
            <v>bueno</v>
          </cell>
          <cell r="K485" t="str">
            <v>defsi</v>
          </cell>
        </row>
        <row r="486">
          <cell r="B486" t="b">
            <v>1</v>
          </cell>
          <cell r="E486" t="str">
            <v>Isla del Rosario</v>
          </cell>
          <cell r="H486" t="str">
            <v>consulta_externa</v>
          </cell>
          <cell r="J486" t="str">
            <v>muybueno</v>
          </cell>
          <cell r="K486" t="str">
            <v>defsi</v>
          </cell>
        </row>
        <row r="487">
          <cell r="B487" t="b">
            <v>1</v>
          </cell>
          <cell r="E487" t="str">
            <v>Pasacaballos</v>
          </cell>
          <cell r="H487" t="str">
            <v>urgencia</v>
          </cell>
          <cell r="J487" t="str">
            <v>bueno</v>
          </cell>
          <cell r="K487" t="str">
            <v>defsi</v>
          </cell>
        </row>
        <row r="488">
          <cell r="B488" t="b">
            <v>1</v>
          </cell>
          <cell r="E488" t="str">
            <v>Isla del Rosario</v>
          </cell>
          <cell r="H488" t="str">
            <v>laboratorio</v>
          </cell>
          <cell r="J488" t="str">
            <v>muybueno</v>
          </cell>
          <cell r="K488" t="str">
            <v>defsi</v>
          </cell>
        </row>
        <row r="489">
          <cell r="B489" t="b">
            <v>1</v>
          </cell>
          <cell r="E489" t="str">
            <v>Isla del Rosario</v>
          </cell>
          <cell r="H489" t="str">
            <v>salud_oral</v>
          </cell>
          <cell r="J489" t="str">
            <v>muybueno</v>
          </cell>
          <cell r="K489" t="str">
            <v>defsi</v>
          </cell>
        </row>
        <row r="490">
          <cell r="B490" t="b">
            <v>1</v>
          </cell>
          <cell r="E490" t="str">
            <v>Pasacaballos</v>
          </cell>
          <cell r="H490" t="str">
            <v>consulta_externa</v>
          </cell>
          <cell r="J490" t="str">
            <v>bueno</v>
          </cell>
          <cell r="K490" t="str">
            <v>defsi</v>
          </cell>
        </row>
        <row r="491">
          <cell r="B491" t="b">
            <v>1</v>
          </cell>
          <cell r="E491" t="str">
            <v>Pasacaballos</v>
          </cell>
          <cell r="H491" t="str">
            <v>salud_oral</v>
          </cell>
          <cell r="J491" t="str">
            <v>bueno</v>
          </cell>
          <cell r="K491" t="str">
            <v>defsi</v>
          </cell>
        </row>
        <row r="492">
          <cell r="B492" t="b">
            <v>1</v>
          </cell>
          <cell r="E492" t="str">
            <v>Isla del Rosario</v>
          </cell>
          <cell r="H492" t="str">
            <v>consulta_externa</v>
          </cell>
          <cell r="J492" t="str">
            <v>muybueno</v>
          </cell>
          <cell r="K492" t="str">
            <v>defsi</v>
          </cell>
        </row>
        <row r="493">
          <cell r="B493" t="b">
            <v>1</v>
          </cell>
          <cell r="E493" t="str">
            <v>Pasacaballos</v>
          </cell>
          <cell r="H493" t="str">
            <v>laboratorio</v>
          </cell>
          <cell r="J493" t="str">
            <v>bueno</v>
          </cell>
          <cell r="K493" t="str">
            <v>defsi</v>
          </cell>
        </row>
        <row r="494">
          <cell r="B494" t="b">
            <v>1</v>
          </cell>
          <cell r="E494" t="str">
            <v>Pasacaballos</v>
          </cell>
          <cell r="H494" t="str">
            <v>urgencia</v>
          </cell>
          <cell r="J494" t="str">
            <v>bueno</v>
          </cell>
          <cell r="K494" t="str">
            <v>defsi</v>
          </cell>
        </row>
        <row r="495">
          <cell r="B495" t="b">
            <v>1</v>
          </cell>
          <cell r="E495" t="str">
            <v>Pasacaballos</v>
          </cell>
          <cell r="H495" t="str">
            <v>consulta_externa</v>
          </cell>
          <cell r="J495" t="str">
            <v>bueno</v>
          </cell>
          <cell r="K495" t="str">
            <v>defsi</v>
          </cell>
        </row>
        <row r="496">
          <cell r="B496" t="b">
            <v>1</v>
          </cell>
          <cell r="E496" t="str">
            <v>Pasacaballos</v>
          </cell>
          <cell r="H496" t="str">
            <v>salud_oral</v>
          </cell>
          <cell r="J496" t="str">
            <v>bueno</v>
          </cell>
          <cell r="K496" t="str">
            <v>defsi</v>
          </cell>
        </row>
        <row r="497">
          <cell r="B497" t="b">
            <v>1</v>
          </cell>
          <cell r="E497" t="str">
            <v>Pasacaballos</v>
          </cell>
          <cell r="H497" t="str">
            <v>laboratorio</v>
          </cell>
          <cell r="J497" t="str">
            <v>bueno</v>
          </cell>
          <cell r="K497" t="str">
            <v>defsi</v>
          </cell>
        </row>
        <row r="498">
          <cell r="B498" t="b">
            <v>1</v>
          </cell>
          <cell r="E498" t="str">
            <v>Pasacaballos</v>
          </cell>
          <cell r="H498" t="str">
            <v>urgencia</v>
          </cell>
          <cell r="J498" t="str">
            <v>bueno</v>
          </cell>
          <cell r="K498" t="str">
            <v>defsi</v>
          </cell>
        </row>
        <row r="499">
          <cell r="B499" t="b">
            <v>1</v>
          </cell>
          <cell r="E499" t="str">
            <v>Pasacaballos</v>
          </cell>
          <cell r="H499" t="str">
            <v>consulta_externa</v>
          </cell>
          <cell r="J499" t="str">
            <v>bueno</v>
          </cell>
          <cell r="K499" t="str">
            <v>defsi</v>
          </cell>
        </row>
        <row r="500">
          <cell r="B500" t="b">
            <v>1</v>
          </cell>
          <cell r="E500" t="str">
            <v>Pasacaballos</v>
          </cell>
          <cell r="H500" t="str">
            <v>salud_oral</v>
          </cell>
          <cell r="J500" t="str">
            <v>bueno</v>
          </cell>
          <cell r="K500" t="str">
            <v>defsi</v>
          </cell>
        </row>
        <row r="501">
          <cell r="B501" t="b">
            <v>1</v>
          </cell>
          <cell r="E501" t="str">
            <v>Pasacaballos</v>
          </cell>
          <cell r="H501" t="str">
            <v>laboratorio</v>
          </cell>
          <cell r="J501" t="str">
            <v>bueno</v>
          </cell>
          <cell r="K501" t="str">
            <v>defsi</v>
          </cell>
        </row>
        <row r="502">
          <cell r="B502" t="b">
            <v>1</v>
          </cell>
          <cell r="E502" t="str">
            <v>Pasacaballos</v>
          </cell>
          <cell r="H502" t="str">
            <v>urgencia</v>
          </cell>
          <cell r="J502" t="str">
            <v>bueno</v>
          </cell>
          <cell r="K502" t="str">
            <v>defsi</v>
          </cell>
        </row>
        <row r="503">
          <cell r="B503" t="b">
            <v>1</v>
          </cell>
          <cell r="E503" t="str">
            <v>Pasacaballos</v>
          </cell>
          <cell r="H503" t="str">
            <v>consulta_externa</v>
          </cell>
          <cell r="J503" t="str">
            <v>bueno</v>
          </cell>
          <cell r="K503" t="str">
            <v>defsi</v>
          </cell>
        </row>
        <row r="504">
          <cell r="B504" t="b">
            <v>1</v>
          </cell>
          <cell r="E504" t="str">
            <v>Pasacaballos</v>
          </cell>
          <cell r="H504" t="str">
            <v>salud_oral</v>
          </cell>
          <cell r="J504" t="str">
            <v>bueno</v>
          </cell>
          <cell r="K504" t="str">
            <v>defsi</v>
          </cell>
        </row>
        <row r="505">
          <cell r="B505" t="b">
            <v>1</v>
          </cell>
          <cell r="E505" t="str">
            <v>Pasacaballos</v>
          </cell>
          <cell r="H505" t="str">
            <v>laboratorio</v>
          </cell>
          <cell r="J505" t="str">
            <v>bueno</v>
          </cell>
          <cell r="K505" t="str">
            <v>defsi</v>
          </cell>
        </row>
        <row r="506">
          <cell r="B506" t="b">
            <v>1</v>
          </cell>
          <cell r="E506" t="str">
            <v>Pasacaballos</v>
          </cell>
          <cell r="H506" t="str">
            <v>urgencia</v>
          </cell>
          <cell r="J506" t="str">
            <v>bueno</v>
          </cell>
          <cell r="K506" t="str">
            <v>defsi</v>
          </cell>
        </row>
        <row r="507">
          <cell r="B507" t="b">
            <v>1</v>
          </cell>
          <cell r="E507" t="str">
            <v>Pasacaballos</v>
          </cell>
          <cell r="H507" t="str">
            <v>consulta_externa</v>
          </cell>
          <cell r="J507" t="str">
            <v>bueno</v>
          </cell>
          <cell r="K507" t="str">
            <v>defsi</v>
          </cell>
        </row>
        <row r="508">
          <cell r="B508" t="b">
            <v>1</v>
          </cell>
          <cell r="E508" t="str">
            <v>Pasacaballos</v>
          </cell>
          <cell r="H508" t="str">
            <v>salud_oral</v>
          </cell>
          <cell r="J508" t="str">
            <v>bueno</v>
          </cell>
          <cell r="K508" t="str">
            <v>defsi</v>
          </cell>
        </row>
        <row r="509">
          <cell r="B509" t="b">
            <v>1</v>
          </cell>
          <cell r="E509" t="str">
            <v>Pasacaballos</v>
          </cell>
          <cell r="H509" t="str">
            <v>laboratorio</v>
          </cell>
          <cell r="J509" t="str">
            <v>bueno</v>
          </cell>
          <cell r="K509" t="str">
            <v>defsi</v>
          </cell>
        </row>
        <row r="510">
          <cell r="B510" t="b">
            <v>1</v>
          </cell>
          <cell r="E510" t="str">
            <v>Pasacaballos</v>
          </cell>
          <cell r="H510" t="str">
            <v>urgencia</v>
          </cell>
          <cell r="J510" t="str">
            <v>bueno</v>
          </cell>
          <cell r="K510" t="str">
            <v>defsi</v>
          </cell>
        </row>
        <row r="511">
          <cell r="B511" t="b">
            <v>0</v>
          </cell>
          <cell r="E511" t="str">
            <v>Las Reinas</v>
          </cell>
          <cell r="H511" t="str">
            <v>laboratorio</v>
          </cell>
          <cell r="J511" t="str">
            <v>regular</v>
          </cell>
          <cell r="K511" t="str">
            <v>defsi</v>
          </cell>
        </row>
        <row r="512">
          <cell r="B512" t="b">
            <v>1</v>
          </cell>
          <cell r="E512" t="str">
            <v>Pasacaballos</v>
          </cell>
          <cell r="H512" t="str">
            <v>consulta_externa</v>
          </cell>
          <cell r="J512" t="str">
            <v>bueno</v>
          </cell>
          <cell r="K512" t="str">
            <v>defsi</v>
          </cell>
        </row>
        <row r="513">
          <cell r="B513" t="b">
            <v>1</v>
          </cell>
          <cell r="E513" t="str">
            <v>Pasacaballos</v>
          </cell>
          <cell r="H513" t="str">
            <v>salud_oral</v>
          </cell>
          <cell r="J513" t="str">
            <v>bueno</v>
          </cell>
          <cell r="K513" t="str">
            <v>defsi</v>
          </cell>
        </row>
        <row r="514">
          <cell r="B514" t="b">
            <v>1</v>
          </cell>
          <cell r="E514" t="str">
            <v>Pasacaballos</v>
          </cell>
          <cell r="H514" t="str">
            <v>laboratorio</v>
          </cell>
          <cell r="J514" t="str">
            <v>bueno</v>
          </cell>
          <cell r="K514" t="str">
            <v>defsi</v>
          </cell>
        </row>
        <row r="515">
          <cell r="B515" t="b">
            <v>1</v>
          </cell>
          <cell r="E515" t="str">
            <v>Pasacaballos</v>
          </cell>
          <cell r="H515" t="str">
            <v>urgencia</v>
          </cell>
          <cell r="J515" t="str">
            <v>bueno</v>
          </cell>
          <cell r="K515" t="str">
            <v>defsi</v>
          </cell>
        </row>
        <row r="516">
          <cell r="B516" t="b">
            <v>1</v>
          </cell>
          <cell r="E516" t="str">
            <v>Pozon</v>
          </cell>
          <cell r="H516" t="str">
            <v>laboratorio</v>
          </cell>
          <cell r="J516" t="str">
            <v>bueno</v>
          </cell>
          <cell r="K516" t="str">
            <v>probsi</v>
          </cell>
        </row>
        <row r="517">
          <cell r="B517" t="b">
            <v>1</v>
          </cell>
          <cell r="E517" t="str">
            <v>Pozon</v>
          </cell>
          <cell r="H517" t="str">
            <v>laboratorio</v>
          </cell>
          <cell r="J517" t="str">
            <v>bueno</v>
          </cell>
          <cell r="K517" t="str">
            <v>probsi</v>
          </cell>
        </row>
        <row r="518">
          <cell r="B518" t="b">
            <v>1</v>
          </cell>
          <cell r="E518" t="str">
            <v>Pozon</v>
          </cell>
          <cell r="H518" t="str">
            <v>laboratorio</v>
          </cell>
          <cell r="J518" t="str">
            <v>bueno</v>
          </cell>
          <cell r="K518" t="str">
            <v>probsi</v>
          </cell>
        </row>
        <row r="519">
          <cell r="B519" t="b">
            <v>1</v>
          </cell>
          <cell r="E519" t="str">
            <v>Pozon</v>
          </cell>
          <cell r="H519" t="str">
            <v>laboratorio</v>
          </cell>
          <cell r="J519" t="str">
            <v>bueno</v>
          </cell>
          <cell r="K519" t="str">
            <v>probsi</v>
          </cell>
        </row>
        <row r="520">
          <cell r="B520" t="b">
            <v>1</v>
          </cell>
          <cell r="E520" t="str">
            <v>Pozon</v>
          </cell>
          <cell r="H520" t="str">
            <v>salud_oral</v>
          </cell>
          <cell r="J520" t="str">
            <v>bueno</v>
          </cell>
          <cell r="K520" t="str">
            <v>probsi</v>
          </cell>
        </row>
        <row r="521">
          <cell r="B521" t="b">
            <v>1</v>
          </cell>
          <cell r="E521" t="str">
            <v>Pozon</v>
          </cell>
          <cell r="H521" t="str">
            <v>salud_oral</v>
          </cell>
          <cell r="J521" t="str">
            <v>bueno</v>
          </cell>
          <cell r="K521" t="str">
            <v>probsi</v>
          </cell>
        </row>
        <row r="522">
          <cell r="B522" t="b">
            <v>1</v>
          </cell>
          <cell r="E522" t="str">
            <v>Pozon</v>
          </cell>
          <cell r="H522" t="str">
            <v>salud_oral</v>
          </cell>
          <cell r="J522" t="str">
            <v>bueno</v>
          </cell>
          <cell r="K522" t="str">
            <v>probsi</v>
          </cell>
        </row>
        <row r="523">
          <cell r="B523" t="b">
            <v>0</v>
          </cell>
          <cell r="E523" t="str">
            <v>Hospital Pozon</v>
          </cell>
          <cell r="H523" t="str">
            <v>laboratorio</v>
          </cell>
          <cell r="J523" t="str">
            <v>regular</v>
          </cell>
          <cell r="K523" t="str">
            <v>probsi</v>
          </cell>
        </row>
        <row r="524">
          <cell r="B524" t="b">
            <v>0</v>
          </cell>
          <cell r="E524" t="str">
            <v>Hospital Pozon</v>
          </cell>
          <cell r="H524" t="str">
            <v>laboratorio</v>
          </cell>
          <cell r="J524" t="str">
            <v>regular</v>
          </cell>
          <cell r="K524" t="str">
            <v>probsi</v>
          </cell>
        </row>
        <row r="525">
          <cell r="B525" t="b">
            <v>1</v>
          </cell>
          <cell r="E525" t="str">
            <v>Hospital Pozon</v>
          </cell>
          <cell r="H525" t="str">
            <v>laboratorio</v>
          </cell>
          <cell r="J525" t="str">
            <v>bueno</v>
          </cell>
          <cell r="K525" t="str">
            <v>probsi</v>
          </cell>
        </row>
        <row r="526">
          <cell r="B526" t="b">
            <v>0</v>
          </cell>
          <cell r="E526" t="str">
            <v>Hospital Pozon</v>
          </cell>
          <cell r="H526" t="str">
            <v>urgencia</v>
          </cell>
          <cell r="J526" t="str">
            <v>regular</v>
          </cell>
          <cell r="K526" t="str">
            <v>probsi</v>
          </cell>
        </row>
        <row r="527">
          <cell r="B527" t="b">
            <v>0</v>
          </cell>
          <cell r="E527" t="str">
            <v>Hospital Pozon</v>
          </cell>
          <cell r="H527" t="str">
            <v>urgencia</v>
          </cell>
          <cell r="J527" t="str">
            <v>regular</v>
          </cell>
          <cell r="K527" t="str">
            <v>probno</v>
          </cell>
        </row>
        <row r="528">
          <cell r="B528" t="b">
            <v>0</v>
          </cell>
          <cell r="E528" t="str">
            <v>Hospital Pozon</v>
          </cell>
          <cell r="H528" t="str">
            <v>urgencia</v>
          </cell>
          <cell r="J528" t="str">
            <v>regular</v>
          </cell>
          <cell r="K528" t="str">
            <v>probsi</v>
          </cell>
        </row>
        <row r="529">
          <cell r="B529" t="b">
            <v>1</v>
          </cell>
          <cell r="E529" t="str">
            <v>Hospital Pozon</v>
          </cell>
          <cell r="H529" t="str">
            <v>rx</v>
          </cell>
          <cell r="J529" t="str">
            <v>bueno</v>
          </cell>
          <cell r="K529" t="str">
            <v>probsi</v>
          </cell>
        </row>
        <row r="530">
          <cell r="B530" t="b">
            <v>1</v>
          </cell>
          <cell r="E530" t="str">
            <v>Hospital Pozon</v>
          </cell>
          <cell r="H530" t="str">
            <v>rx</v>
          </cell>
          <cell r="J530" t="str">
            <v>bueno</v>
          </cell>
          <cell r="K530" t="str">
            <v>probsi</v>
          </cell>
        </row>
        <row r="531">
          <cell r="B531" t="b">
            <v>1</v>
          </cell>
          <cell r="E531" t="str">
            <v>Hospital Pozon</v>
          </cell>
          <cell r="H531" t="str">
            <v>rx</v>
          </cell>
          <cell r="J531" t="str">
            <v>bueno</v>
          </cell>
          <cell r="K531" t="str">
            <v>probsi</v>
          </cell>
        </row>
        <row r="532">
          <cell r="B532" t="b">
            <v>1</v>
          </cell>
          <cell r="E532" t="str">
            <v>Hospital Pozon</v>
          </cell>
          <cell r="H532" t="str">
            <v>pediatria</v>
          </cell>
          <cell r="J532" t="str">
            <v>bueno</v>
          </cell>
          <cell r="K532" t="str">
            <v>probsi</v>
          </cell>
        </row>
        <row r="533">
          <cell r="B533" t="b">
            <v>1</v>
          </cell>
          <cell r="E533" t="str">
            <v>Hospital Pozon</v>
          </cell>
          <cell r="H533" t="str">
            <v>pediatria</v>
          </cell>
          <cell r="J533" t="str">
            <v>bueno</v>
          </cell>
          <cell r="K533" t="str">
            <v>probsi</v>
          </cell>
        </row>
        <row r="534">
          <cell r="B534" t="b">
            <v>1</v>
          </cell>
          <cell r="E534" t="str">
            <v>Hospital Pozon</v>
          </cell>
          <cell r="H534" t="str">
            <v>pediatria</v>
          </cell>
          <cell r="J534" t="str">
            <v>bueno</v>
          </cell>
          <cell r="K534" t="str">
            <v>probsi</v>
          </cell>
        </row>
        <row r="535">
          <cell r="B535" t="b">
            <v>1</v>
          </cell>
          <cell r="E535" t="str">
            <v>Pasacaballos</v>
          </cell>
          <cell r="H535" t="str">
            <v>consulta_externa</v>
          </cell>
          <cell r="J535" t="str">
            <v>bueno</v>
          </cell>
          <cell r="K535" t="str">
            <v>defsi</v>
          </cell>
        </row>
        <row r="536">
          <cell r="B536" t="b">
            <v>1</v>
          </cell>
          <cell r="E536" t="str">
            <v>Hospital Pozon</v>
          </cell>
          <cell r="H536" t="str">
            <v>pediatria</v>
          </cell>
          <cell r="J536" t="str">
            <v>bueno</v>
          </cell>
          <cell r="K536" t="str">
            <v>probsi</v>
          </cell>
        </row>
        <row r="537">
          <cell r="B537" t="b">
            <v>1</v>
          </cell>
          <cell r="E537" t="str">
            <v>Pasacaballos</v>
          </cell>
          <cell r="H537" t="str">
            <v>salud_oral</v>
          </cell>
          <cell r="J537" t="str">
            <v>bueno</v>
          </cell>
          <cell r="K537" t="str">
            <v>defsi</v>
          </cell>
        </row>
        <row r="538">
          <cell r="B538" t="b">
            <v>1</v>
          </cell>
          <cell r="E538" t="str">
            <v>Hospital Pozon</v>
          </cell>
          <cell r="H538" t="str">
            <v>medicina_interna</v>
          </cell>
          <cell r="J538" t="str">
            <v>bueno</v>
          </cell>
          <cell r="K538" t="str">
            <v>probsi</v>
          </cell>
        </row>
        <row r="539">
          <cell r="B539" t="b">
            <v>1</v>
          </cell>
          <cell r="E539" t="str">
            <v>Pasacaballos</v>
          </cell>
          <cell r="H539" t="str">
            <v>laboratorio</v>
          </cell>
          <cell r="J539" t="str">
            <v>bueno</v>
          </cell>
          <cell r="K539" t="str">
            <v>defsi</v>
          </cell>
        </row>
        <row r="540">
          <cell r="B540" t="b">
            <v>1</v>
          </cell>
          <cell r="E540" t="str">
            <v>Bosque</v>
          </cell>
          <cell r="H540" t="str">
            <v>salud_oral</v>
          </cell>
          <cell r="J540" t="str">
            <v>bueno</v>
          </cell>
          <cell r="K540" t="str">
            <v>probsi</v>
          </cell>
        </row>
        <row r="541">
          <cell r="B541" t="b">
            <v>1</v>
          </cell>
          <cell r="E541" t="str">
            <v>Bosque</v>
          </cell>
          <cell r="H541" t="str">
            <v>salud_oral</v>
          </cell>
          <cell r="J541" t="str">
            <v>bueno</v>
          </cell>
          <cell r="K541" t="str">
            <v>probsi</v>
          </cell>
        </row>
        <row r="542">
          <cell r="B542" t="b">
            <v>1</v>
          </cell>
          <cell r="E542" t="str">
            <v>Bosque</v>
          </cell>
          <cell r="H542" t="str">
            <v>salud_oral</v>
          </cell>
          <cell r="J542" t="str">
            <v>bueno</v>
          </cell>
          <cell r="K542" t="str">
            <v>probsi</v>
          </cell>
        </row>
        <row r="543">
          <cell r="B543" t="b">
            <v>1</v>
          </cell>
          <cell r="E543" t="str">
            <v>Bosque</v>
          </cell>
          <cell r="H543" t="str">
            <v>consulta_externa</v>
          </cell>
          <cell r="J543" t="str">
            <v>bueno</v>
          </cell>
          <cell r="K543" t="str">
            <v>probsi</v>
          </cell>
        </row>
        <row r="544">
          <cell r="B544" t="b">
            <v>1</v>
          </cell>
          <cell r="E544" t="str">
            <v>Bosque</v>
          </cell>
          <cell r="H544" t="str">
            <v>laboratorio</v>
          </cell>
          <cell r="J544" t="str">
            <v>bueno</v>
          </cell>
          <cell r="K544" t="str">
            <v>probsi</v>
          </cell>
        </row>
        <row r="545">
          <cell r="B545" t="b">
            <v>1</v>
          </cell>
          <cell r="E545" t="str">
            <v>Bosque</v>
          </cell>
          <cell r="H545" t="str">
            <v>laboratorio</v>
          </cell>
          <cell r="J545" t="str">
            <v>bueno</v>
          </cell>
          <cell r="K545" t="str">
            <v>probsi</v>
          </cell>
        </row>
        <row r="546">
          <cell r="B546" t="b">
            <v>1</v>
          </cell>
          <cell r="E546" t="str">
            <v>Pasacaballos</v>
          </cell>
          <cell r="H546" t="str">
            <v>urgencia</v>
          </cell>
          <cell r="J546" t="str">
            <v>bueno</v>
          </cell>
          <cell r="K546" t="str">
            <v>defsi</v>
          </cell>
        </row>
        <row r="547">
          <cell r="B547" t="b">
            <v>1</v>
          </cell>
          <cell r="E547" t="str">
            <v>Pasacaballos</v>
          </cell>
          <cell r="H547" t="str">
            <v>consulta_externa</v>
          </cell>
          <cell r="J547" t="str">
            <v>bueno</v>
          </cell>
          <cell r="K547" t="str">
            <v>defsi</v>
          </cell>
        </row>
        <row r="548">
          <cell r="B548" t="b">
            <v>1</v>
          </cell>
          <cell r="E548" t="str">
            <v>Pasacaballos</v>
          </cell>
          <cell r="H548" t="str">
            <v>salud_oral</v>
          </cell>
          <cell r="J548" t="str">
            <v>bueno</v>
          </cell>
          <cell r="K548" t="str">
            <v>defsi</v>
          </cell>
        </row>
        <row r="549">
          <cell r="B549" t="b">
            <v>1</v>
          </cell>
          <cell r="E549" t="str">
            <v>Pasacaballos</v>
          </cell>
          <cell r="H549" t="str">
            <v>laboratorio</v>
          </cell>
          <cell r="J549" t="str">
            <v>bueno</v>
          </cell>
          <cell r="K549" t="str">
            <v>defsi</v>
          </cell>
        </row>
        <row r="550">
          <cell r="B550" t="b">
            <v>1</v>
          </cell>
          <cell r="E550" t="str">
            <v>Pasacaballos</v>
          </cell>
          <cell r="H550" t="str">
            <v>urgencia</v>
          </cell>
          <cell r="J550" t="str">
            <v>bueno</v>
          </cell>
          <cell r="K550" t="str">
            <v>defsi</v>
          </cell>
        </row>
        <row r="551">
          <cell r="B551" t="b">
            <v>1</v>
          </cell>
          <cell r="E551" t="str">
            <v>Las Reinas</v>
          </cell>
          <cell r="H551" t="str">
            <v>laboratorio</v>
          </cell>
          <cell r="J551" t="str">
            <v>bueno</v>
          </cell>
          <cell r="K551" t="str">
            <v>defsi</v>
          </cell>
        </row>
        <row r="552">
          <cell r="B552" t="b">
            <v>1</v>
          </cell>
          <cell r="E552" t="str">
            <v>Las Reinas</v>
          </cell>
          <cell r="H552" t="str">
            <v>laboratorio</v>
          </cell>
          <cell r="J552" t="str">
            <v>bueno</v>
          </cell>
          <cell r="K552" t="str">
            <v>defsi</v>
          </cell>
        </row>
        <row r="553">
          <cell r="B553" t="b">
            <v>1</v>
          </cell>
          <cell r="E553" t="str">
            <v>Pasacaballos</v>
          </cell>
          <cell r="H553" t="str">
            <v>consulta_externa</v>
          </cell>
          <cell r="J553" t="str">
            <v>bueno</v>
          </cell>
          <cell r="K553" t="str">
            <v>defsi</v>
          </cell>
        </row>
        <row r="554">
          <cell r="B554" t="b">
            <v>1</v>
          </cell>
          <cell r="E554" t="str">
            <v>Las Reinas</v>
          </cell>
          <cell r="H554" t="str">
            <v>consulta_externa</v>
          </cell>
          <cell r="J554" t="str">
            <v>bueno</v>
          </cell>
          <cell r="K554" t="str">
            <v>defsi</v>
          </cell>
        </row>
        <row r="555">
          <cell r="B555" t="b">
            <v>1</v>
          </cell>
          <cell r="E555" t="str">
            <v>Las Reinas</v>
          </cell>
          <cell r="H555" t="str">
            <v>salud_oral</v>
          </cell>
          <cell r="J555" t="str">
            <v>bueno</v>
          </cell>
          <cell r="K555" t="str">
            <v>defsi</v>
          </cell>
        </row>
        <row r="556">
          <cell r="B556" t="b">
            <v>1</v>
          </cell>
          <cell r="E556" t="str">
            <v>Las Reinas</v>
          </cell>
          <cell r="H556" t="str">
            <v>salud_oral</v>
          </cell>
          <cell r="J556" t="str">
            <v>bueno</v>
          </cell>
          <cell r="K556" t="str">
            <v>defsi</v>
          </cell>
        </row>
        <row r="557">
          <cell r="B557" t="b">
            <v>1</v>
          </cell>
          <cell r="E557" t="str">
            <v>Pasacaballos</v>
          </cell>
          <cell r="H557" t="str">
            <v>salud_oral</v>
          </cell>
          <cell r="J557" t="str">
            <v>bueno</v>
          </cell>
          <cell r="K557" t="str">
            <v>defsi</v>
          </cell>
        </row>
        <row r="558">
          <cell r="B558" t="b">
            <v>1</v>
          </cell>
          <cell r="E558" t="str">
            <v>Las Reinas</v>
          </cell>
          <cell r="H558" t="str">
            <v>salud_oral</v>
          </cell>
          <cell r="J558" t="str">
            <v>bueno</v>
          </cell>
          <cell r="K558" t="str">
            <v>defsi</v>
          </cell>
        </row>
        <row r="559">
          <cell r="B559" t="b">
            <v>1</v>
          </cell>
          <cell r="E559" t="str">
            <v>Pasacaballos</v>
          </cell>
          <cell r="H559" t="str">
            <v>laboratorio</v>
          </cell>
          <cell r="J559" t="str">
            <v>bueno</v>
          </cell>
          <cell r="K559" t="str">
            <v>defsi</v>
          </cell>
        </row>
        <row r="560">
          <cell r="B560" t="b">
            <v>0</v>
          </cell>
          <cell r="E560" t="str">
            <v>Las Reinas</v>
          </cell>
          <cell r="H560" t="str">
            <v>salud_oral</v>
          </cell>
          <cell r="J560" t="str">
            <v>regular</v>
          </cell>
          <cell r="K560" t="str">
            <v>defsi</v>
          </cell>
        </row>
        <row r="561">
          <cell r="B561" t="b">
            <v>1</v>
          </cell>
          <cell r="E561" t="str">
            <v>Las Reinas</v>
          </cell>
          <cell r="H561" t="str">
            <v>consulta_externa</v>
          </cell>
          <cell r="J561" t="str">
            <v>bueno</v>
          </cell>
          <cell r="K561" t="str">
            <v>defsi</v>
          </cell>
        </row>
        <row r="562">
          <cell r="B562" t="b">
            <v>1</v>
          </cell>
          <cell r="E562" t="str">
            <v>Las Reinas</v>
          </cell>
          <cell r="H562" t="str">
            <v>salud_oral</v>
          </cell>
          <cell r="J562" t="str">
            <v>bueno</v>
          </cell>
          <cell r="K562" t="str">
            <v>defsi</v>
          </cell>
        </row>
        <row r="563">
          <cell r="B563" t="b">
            <v>1</v>
          </cell>
          <cell r="E563" t="str">
            <v>Las Reinas</v>
          </cell>
          <cell r="H563" t="str">
            <v>laboratorio</v>
          </cell>
          <cell r="J563" t="str">
            <v>bueno</v>
          </cell>
          <cell r="K563" t="str">
            <v>defsi</v>
          </cell>
        </row>
        <row r="564">
          <cell r="B564" t="b">
            <v>1</v>
          </cell>
          <cell r="E564" t="str">
            <v>Las Reinas</v>
          </cell>
          <cell r="H564" t="str">
            <v>consulta_externa</v>
          </cell>
          <cell r="J564" t="str">
            <v>bueno</v>
          </cell>
          <cell r="K564" t="str">
            <v>defsi</v>
          </cell>
        </row>
        <row r="565">
          <cell r="B565" t="b">
            <v>0</v>
          </cell>
          <cell r="E565" t="str">
            <v>Las Reinas</v>
          </cell>
          <cell r="H565" t="str">
            <v>laboratorio</v>
          </cell>
          <cell r="J565" t="str">
            <v>regular</v>
          </cell>
          <cell r="K565" t="str">
            <v>defsi</v>
          </cell>
        </row>
        <row r="566">
          <cell r="B566" t="b">
            <v>1</v>
          </cell>
          <cell r="E566" t="str">
            <v>Las Reinas</v>
          </cell>
          <cell r="H566" t="str">
            <v>laboratorio</v>
          </cell>
          <cell r="J566" t="str">
            <v>bueno</v>
          </cell>
          <cell r="K566" t="str">
            <v>defsi</v>
          </cell>
        </row>
        <row r="567">
          <cell r="B567" t="b">
            <v>0</v>
          </cell>
          <cell r="E567" t="str">
            <v>Las Reinas</v>
          </cell>
          <cell r="H567" t="str">
            <v>consulta_externa</v>
          </cell>
          <cell r="J567" t="str">
            <v>regular</v>
          </cell>
          <cell r="K567" t="str">
            <v>defsi</v>
          </cell>
        </row>
        <row r="568">
          <cell r="B568" t="b">
            <v>1</v>
          </cell>
          <cell r="E568" t="str">
            <v>Las Reinas</v>
          </cell>
          <cell r="H568" t="str">
            <v>salud_oral</v>
          </cell>
          <cell r="J568" t="str">
            <v>bueno</v>
          </cell>
          <cell r="K568" t="str">
            <v>defsi</v>
          </cell>
        </row>
        <row r="569">
          <cell r="B569" t="b">
            <v>1</v>
          </cell>
          <cell r="E569" t="str">
            <v>Las Reinas</v>
          </cell>
          <cell r="H569" t="str">
            <v>salud_oral</v>
          </cell>
          <cell r="J569" t="str">
            <v>bueno</v>
          </cell>
          <cell r="K569" t="str">
            <v>defsi</v>
          </cell>
        </row>
        <row r="570">
          <cell r="B570" t="b">
            <v>1</v>
          </cell>
          <cell r="E570" t="str">
            <v>Bicentenario</v>
          </cell>
          <cell r="H570" t="str">
            <v>urgencia</v>
          </cell>
          <cell r="J570" t="str">
            <v>bueno</v>
          </cell>
          <cell r="K570" t="str">
            <v>defsi</v>
          </cell>
        </row>
        <row r="571">
          <cell r="B571" t="b">
            <v>0</v>
          </cell>
          <cell r="E571" t="str">
            <v>Bicentenario</v>
          </cell>
          <cell r="H571" t="str">
            <v>urgencia</v>
          </cell>
          <cell r="J571" t="str">
            <v>regular</v>
          </cell>
          <cell r="K571" t="str">
            <v>defsi</v>
          </cell>
        </row>
        <row r="572">
          <cell r="B572" t="b">
            <v>1</v>
          </cell>
          <cell r="E572" t="str">
            <v>Bicentenario</v>
          </cell>
          <cell r="H572" t="str">
            <v>urgencia</v>
          </cell>
          <cell r="J572" t="str">
            <v>bueno</v>
          </cell>
          <cell r="K572" t="str">
            <v>defsi</v>
          </cell>
        </row>
        <row r="573">
          <cell r="B573" t="b">
            <v>1</v>
          </cell>
          <cell r="E573" t="str">
            <v>Bicentenario</v>
          </cell>
          <cell r="H573" t="str">
            <v>urgencia</v>
          </cell>
          <cell r="J573" t="str">
            <v>bueno</v>
          </cell>
          <cell r="K573" t="str">
            <v>probsi</v>
          </cell>
        </row>
        <row r="574">
          <cell r="B574" t="b">
            <v>1</v>
          </cell>
          <cell r="E574" t="str">
            <v>Bicentenario</v>
          </cell>
          <cell r="H574" t="str">
            <v>rx</v>
          </cell>
          <cell r="J574" t="str">
            <v>bueno</v>
          </cell>
          <cell r="K574" t="str">
            <v>defsi</v>
          </cell>
        </row>
        <row r="575">
          <cell r="B575" t="b">
            <v>0</v>
          </cell>
          <cell r="E575" t="str">
            <v>Bicentenario</v>
          </cell>
          <cell r="H575" t="str">
            <v>rx</v>
          </cell>
          <cell r="J575" t="str">
            <v>regular</v>
          </cell>
          <cell r="K575" t="str">
            <v>defsi</v>
          </cell>
        </row>
        <row r="576">
          <cell r="B576" t="b">
            <v>1</v>
          </cell>
          <cell r="E576" t="str">
            <v>Bicentenario</v>
          </cell>
          <cell r="H576" t="str">
            <v>rx</v>
          </cell>
          <cell r="J576" t="str">
            <v>bueno</v>
          </cell>
          <cell r="K576" t="str">
            <v>defsi</v>
          </cell>
        </row>
        <row r="577">
          <cell r="B577" t="b">
            <v>1</v>
          </cell>
          <cell r="E577" t="str">
            <v>Bicentenario</v>
          </cell>
          <cell r="H577" t="str">
            <v>rx</v>
          </cell>
          <cell r="J577" t="str">
            <v>muybueno</v>
          </cell>
          <cell r="K577" t="str">
            <v>defsi</v>
          </cell>
        </row>
        <row r="578">
          <cell r="B578" t="b">
            <v>1</v>
          </cell>
          <cell r="E578" t="str">
            <v>Bicentenario</v>
          </cell>
          <cell r="H578" t="str">
            <v>rx</v>
          </cell>
          <cell r="J578" t="str">
            <v>bueno</v>
          </cell>
          <cell r="K578" t="str">
            <v>defsi</v>
          </cell>
        </row>
        <row r="579">
          <cell r="B579" t="b">
            <v>1</v>
          </cell>
          <cell r="E579" t="str">
            <v>Bicentenario</v>
          </cell>
          <cell r="H579" t="str">
            <v>consulta_externa</v>
          </cell>
          <cell r="J579" t="str">
            <v>bueno</v>
          </cell>
          <cell r="K579" t="str">
            <v>defsi</v>
          </cell>
        </row>
        <row r="580">
          <cell r="B580" t="b">
            <v>1</v>
          </cell>
          <cell r="E580" t="str">
            <v>Bicentenario</v>
          </cell>
          <cell r="H580" t="str">
            <v>consulta_externa</v>
          </cell>
          <cell r="J580" t="str">
            <v>bueno</v>
          </cell>
          <cell r="K580" t="str">
            <v>defsi</v>
          </cell>
        </row>
        <row r="581">
          <cell r="B581" t="b">
            <v>1</v>
          </cell>
          <cell r="E581" t="str">
            <v>Bicentenario</v>
          </cell>
          <cell r="H581" t="str">
            <v>salud_oral</v>
          </cell>
          <cell r="J581" t="str">
            <v>bueno</v>
          </cell>
          <cell r="K581" t="str">
            <v>defsi</v>
          </cell>
        </row>
        <row r="582">
          <cell r="B582" t="b">
            <v>1</v>
          </cell>
          <cell r="E582" t="str">
            <v>Nelson Mandela UPA</v>
          </cell>
          <cell r="H582" t="str">
            <v>urgencia</v>
          </cell>
          <cell r="J582" t="str">
            <v>bueno</v>
          </cell>
          <cell r="K582" t="str">
            <v>defsi</v>
          </cell>
        </row>
        <row r="583">
          <cell r="B583" t="b">
            <v>0</v>
          </cell>
          <cell r="E583" t="str">
            <v>Nelson Mandela UPA</v>
          </cell>
          <cell r="H583" t="str">
            <v>urgencia</v>
          </cell>
          <cell r="J583" t="str">
            <v>regular</v>
          </cell>
          <cell r="K583" t="str">
            <v>defsi</v>
          </cell>
        </row>
        <row r="584">
          <cell r="B584" t="b">
            <v>1</v>
          </cell>
          <cell r="E584" t="str">
            <v>Nelson Mandela UPA</v>
          </cell>
          <cell r="H584" t="str">
            <v>urgencia</v>
          </cell>
          <cell r="J584" t="str">
            <v>bueno</v>
          </cell>
          <cell r="K584" t="str">
            <v>defsi</v>
          </cell>
        </row>
        <row r="585">
          <cell r="B585" t="b">
            <v>1</v>
          </cell>
          <cell r="E585" t="str">
            <v>Nelson Mandela UPA</v>
          </cell>
          <cell r="H585" t="str">
            <v>urgencia</v>
          </cell>
          <cell r="J585" t="str">
            <v>bueno</v>
          </cell>
          <cell r="K585" t="str">
            <v>defsi</v>
          </cell>
        </row>
        <row r="586">
          <cell r="B586" t="b">
            <v>1</v>
          </cell>
          <cell r="E586" t="str">
            <v>Nelson Mandela UPA</v>
          </cell>
          <cell r="H586" t="str">
            <v>urgencia</v>
          </cell>
          <cell r="J586" t="str">
            <v>bueno</v>
          </cell>
          <cell r="K586" t="str">
            <v>defsi</v>
          </cell>
        </row>
        <row r="587">
          <cell r="B587" t="b">
            <v>1</v>
          </cell>
          <cell r="E587" t="str">
            <v>Nelson Mandela UPA</v>
          </cell>
          <cell r="H587" t="str">
            <v>urgencia</v>
          </cell>
          <cell r="J587" t="str">
            <v>bueno</v>
          </cell>
          <cell r="K587" t="str">
            <v>defsi</v>
          </cell>
        </row>
        <row r="588">
          <cell r="B588" t="b">
            <v>1</v>
          </cell>
          <cell r="E588" t="str">
            <v>Nelson Mandela UPA</v>
          </cell>
          <cell r="H588" t="str">
            <v>consulta_externa</v>
          </cell>
          <cell r="J588" t="str">
            <v>bueno</v>
          </cell>
          <cell r="K588" t="str">
            <v>defsi</v>
          </cell>
        </row>
        <row r="589">
          <cell r="B589" t="b">
            <v>0</v>
          </cell>
          <cell r="E589" t="str">
            <v>Nelson Mandela UPA</v>
          </cell>
          <cell r="H589" t="str">
            <v>consulta_externa</v>
          </cell>
          <cell r="J589" t="str">
            <v>regular</v>
          </cell>
          <cell r="K589" t="str">
            <v>defsi</v>
          </cell>
        </row>
        <row r="590">
          <cell r="B590" t="b">
            <v>1</v>
          </cell>
          <cell r="E590" t="str">
            <v>Nelson Mandela UPA</v>
          </cell>
          <cell r="H590" t="str">
            <v>salud_oral</v>
          </cell>
          <cell r="J590" t="str">
            <v>bueno</v>
          </cell>
          <cell r="K590" t="str">
            <v>defsi</v>
          </cell>
        </row>
        <row r="591">
          <cell r="B591" t="b">
            <v>1</v>
          </cell>
          <cell r="E591" t="str">
            <v>Nelson Mandela UPA</v>
          </cell>
          <cell r="H591" t="str">
            <v>consulta_externa</v>
          </cell>
          <cell r="J591" t="str">
            <v>bueno</v>
          </cell>
          <cell r="K591" t="str">
            <v>defsi</v>
          </cell>
        </row>
        <row r="592">
          <cell r="B592" t="b">
            <v>1</v>
          </cell>
          <cell r="E592" t="str">
            <v>Nelson Mandela UPA</v>
          </cell>
          <cell r="H592" t="str">
            <v>urgencia</v>
          </cell>
          <cell r="J592" t="str">
            <v>bueno</v>
          </cell>
          <cell r="K592" t="str">
            <v>defsi</v>
          </cell>
        </row>
        <row r="593">
          <cell r="B593" t="b">
            <v>1</v>
          </cell>
          <cell r="E593" t="str">
            <v>Nelson Mandela UPA</v>
          </cell>
          <cell r="H593" t="str">
            <v>urgencia</v>
          </cell>
          <cell r="J593" t="str">
            <v>bueno</v>
          </cell>
          <cell r="K593" t="str">
            <v>defsi</v>
          </cell>
        </row>
        <row r="594">
          <cell r="B594" t="b">
            <v>1</v>
          </cell>
          <cell r="E594" t="str">
            <v>Nelson Mandela UPA</v>
          </cell>
          <cell r="H594" t="str">
            <v>urgencia</v>
          </cell>
          <cell r="J594" t="str">
            <v>bueno</v>
          </cell>
          <cell r="K594" t="str">
            <v>defsi</v>
          </cell>
        </row>
        <row r="595">
          <cell r="B595" t="b">
            <v>1</v>
          </cell>
          <cell r="E595" t="str">
            <v>Fredonia</v>
          </cell>
          <cell r="H595" t="str">
            <v>salud_oral</v>
          </cell>
          <cell r="J595" t="str">
            <v>bueno</v>
          </cell>
          <cell r="K595" t="str">
            <v>defsi</v>
          </cell>
        </row>
        <row r="596">
          <cell r="B596" t="b">
            <v>1</v>
          </cell>
          <cell r="E596" t="str">
            <v>Fredonia</v>
          </cell>
          <cell r="H596" t="str">
            <v>salud_oral</v>
          </cell>
          <cell r="J596" t="str">
            <v>bueno</v>
          </cell>
          <cell r="K596" t="str">
            <v>defsi</v>
          </cell>
        </row>
        <row r="597">
          <cell r="B597" t="b">
            <v>0</v>
          </cell>
          <cell r="E597" t="str">
            <v>Fredonia</v>
          </cell>
          <cell r="H597" t="str">
            <v>salud_oral</v>
          </cell>
          <cell r="J597" t="str">
            <v>regular</v>
          </cell>
          <cell r="K597" t="str">
            <v>probsi</v>
          </cell>
        </row>
        <row r="598">
          <cell r="B598" t="b">
            <v>1</v>
          </cell>
          <cell r="E598" t="str">
            <v>Bocachica</v>
          </cell>
          <cell r="H598" t="str">
            <v>consulta_externa</v>
          </cell>
          <cell r="J598" t="str">
            <v>bueno</v>
          </cell>
          <cell r="K598" t="str">
            <v>probsi</v>
          </cell>
        </row>
        <row r="599">
          <cell r="B599" t="b">
            <v>0</v>
          </cell>
          <cell r="E599" t="str">
            <v>Bocachica</v>
          </cell>
          <cell r="H599" t="str">
            <v>urgencia</v>
          </cell>
          <cell r="J599" t="str">
            <v>regular</v>
          </cell>
          <cell r="K599" t="str">
            <v>probsi</v>
          </cell>
        </row>
        <row r="600">
          <cell r="B600" t="b">
            <v>1</v>
          </cell>
          <cell r="E600" t="str">
            <v>Bocachica</v>
          </cell>
          <cell r="H600" t="str">
            <v>salud_oral</v>
          </cell>
          <cell r="J600" t="str">
            <v>bueno</v>
          </cell>
          <cell r="K600" t="str">
            <v>probsi</v>
          </cell>
        </row>
        <row r="601">
          <cell r="B601" t="b">
            <v>0</v>
          </cell>
          <cell r="E601" t="str">
            <v>Bocachica</v>
          </cell>
          <cell r="H601" t="str">
            <v>laboratorio</v>
          </cell>
          <cell r="J601" t="str">
            <v>regular</v>
          </cell>
          <cell r="K601" t="str">
            <v>probsi</v>
          </cell>
        </row>
        <row r="602">
          <cell r="B602" t="b">
            <v>1</v>
          </cell>
          <cell r="E602" t="str">
            <v>Bocachica</v>
          </cell>
          <cell r="H602" t="str">
            <v>consulta_externa</v>
          </cell>
          <cell r="J602" t="str">
            <v>bueno</v>
          </cell>
          <cell r="K602" t="str">
            <v>probsi</v>
          </cell>
        </row>
        <row r="603">
          <cell r="B603" t="b">
            <v>1</v>
          </cell>
          <cell r="E603" t="str">
            <v>Bocachica</v>
          </cell>
          <cell r="H603" t="str">
            <v>consulta_externa</v>
          </cell>
          <cell r="J603" t="str">
            <v>bueno</v>
          </cell>
          <cell r="K603" t="str">
            <v>probsi</v>
          </cell>
        </row>
        <row r="604">
          <cell r="B604" t="b">
            <v>0</v>
          </cell>
          <cell r="E604" t="str">
            <v>Bocachica</v>
          </cell>
          <cell r="H604" t="str">
            <v>urgencia</v>
          </cell>
          <cell r="J604" t="str">
            <v>regular</v>
          </cell>
          <cell r="K604" t="str">
            <v>probno</v>
          </cell>
        </row>
        <row r="605">
          <cell r="B605" t="b">
            <v>0</v>
          </cell>
          <cell r="E605" t="str">
            <v>Bocachica</v>
          </cell>
          <cell r="H605" t="str">
            <v>consulta_externa</v>
          </cell>
          <cell r="J605" t="str">
            <v>regular</v>
          </cell>
          <cell r="K605" t="str">
            <v>probsi</v>
          </cell>
        </row>
        <row r="606">
          <cell r="B606" t="b">
            <v>0</v>
          </cell>
          <cell r="E606" t="str">
            <v>Bocachica</v>
          </cell>
          <cell r="H606" t="str">
            <v>urgencia</v>
          </cell>
          <cell r="J606" t="str">
            <v>regular</v>
          </cell>
          <cell r="K606" t="str">
            <v>probsi</v>
          </cell>
        </row>
        <row r="607">
          <cell r="B607" t="b">
            <v>1</v>
          </cell>
          <cell r="E607" t="str">
            <v>Bocachica</v>
          </cell>
          <cell r="H607" t="str">
            <v>laboratorio</v>
          </cell>
          <cell r="J607" t="str">
            <v>bueno</v>
          </cell>
          <cell r="K607" t="str">
            <v>probsi</v>
          </cell>
        </row>
        <row r="608">
          <cell r="B608" t="b">
            <v>1</v>
          </cell>
          <cell r="E608" t="str">
            <v>Bocachica</v>
          </cell>
          <cell r="H608" t="str">
            <v>salud_oral</v>
          </cell>
          <cell r="J608" t="str">
            <v>bueno</v>
          </cell>
          <cell r="K608" t="str">
            <v>probsi</v>
          </cell>
        </row>
        <row r="609">
          <cell r="B609" t="b">
            <v>0</v>
          </cell>
          <cell r="E609" t="str">
            <v>Bocachica</v>
          </cell>
          <cell r="H609" t="str">
            <v>salud_oral</v>
          </cell>
          <cell r="J609" t="str">
            <v>regular</v>
          </cell>
          <cell r="K609" t="str">
            <v>probsi</v>
          </cell>
        </row>
        <row r="610">
          <cell r="B610" t="b">
            <v>1</v>
          </cell>
          <cell r="E610" t="str">
            <v>Bocachica</v>
          </cell>
          <cell r="H610" t="str">
            <v>consulta_externa</v>
          </cell>
          <cell r="J610" t="str">
            <v>bueno</v>
          </cell>
          <cell r="K610" t="str">
            <v>probsi</v>
          </cell>
        </row>
        <row r="611">
          <cell r="B611" t="b">
            <v>1</v>
          </cell>
          <cell r="E611" t="str">
            <v>Bocachica</v>
          </cell>
          <cell r="H611" t="str">
            <v>consulta_externa</v>
          </cell>
          <cell r="J611" t="str">
            <v>bueno</v>
          </cell>
          <cell r="K611" t="str">
            <v>probsi</v>
          </cell>
        </row>
        <row r="612">
          <cell r="B612" t="b">
            <v>1</v>
          </cell>
          <cell r="E612" t="str">
            <v>Bocachica</v>
          </cell>
          <cell r="H612" t="str">
            <v>consulta_externa</v>
          </cell>
          <cell r="J612" t="str">
            <v>bueno</v>
          </cell>
          <cell r="K612" t="str">
            <v>probsi</v>
          </cell>
        </row>
        <row r="613">
          <cell r="B613" t="b">
            <v>1</v>
          </cell>
          <cell r="E613" t="str">
            <v>Bocachica</v>
          </cell>
          <cell r="H613" t="str">
            <v>consulta_externa</v>
          </cell>
          <cell r="J613" t="str">
            <v>bueno</v>
          </cell>
          <cell r="K613" t="str">
            <v>probsi</v>
          </cell>
        </row>
        <row r="614">
          <cell r="B614" t="b">
            <v>1</v>
          </cell>
          <cell r="E614" t="str">
            <v>Bocachica</v>
          </cell>
          <cell r="H614" t="str">
            <v>consulta_externa</v>
          </cell>
          <cell r="J614" t="str">
            <v>bueno</v>
          </cell>
          <cell r="K614" t="str">
            <v>probsi</v>
          </cell>
        </row>
        <row r="615">
          <cell r="B615" t="b">
            <v>1</v>
          </cell>
          <cell r="E615" t="str">
            <v>Bocachica</v>
          </cell>
          <cell r="H615" t="str">
            <v>laboratorio</v>
          </cell>
          <cell r="J615" t="str">
            <v>bueno</v>
          </cell>
          <cell r="K615" t="str">
            <v>probsi</v>
          </cell>
        </row>
        <row r="616">
          <cell r="B616" t="b">
            <v>0</v>
          </cell>
          <cell r="E616" t="str">
            <v>Bocachica</v>
          </cell>
          <cell r="H616" t="str">
            <v>laboratorio</v>
          </cell>
          <cell r="J616" t="str">
            <v>regular</v>
          </cell>
          <cell r="K616" t="str">
            <v>probsi</v>
          </cell>
        </row>
        <row r="617">
          <cell r="B617" t="b">
            <v>0</v>
          </cell>
          <cell r="E617" t="str">
            <v>Bocachica</v>
          </cell>
          <cell r="H617" t="str">
            <v>laboratorio</v>
          </cell>
          <cell r="J617" t="str">
            <v>regular</v>
          </cell>
          <cell r="K617" t="str">
            <v>probsi</v>
          </cell>
        </row>
        <row r="618">
          <cell r="B618" t="b">
            <v>1</v>
          </cell>
          <cell r="E618" t="str">
            <v>Bocachica</v>
          </cell>
          <cell r="H618" t="str">
            <v>laboratorio</v>
          </cell>
          <cell r="J618" t="str">
            <v>bueno</v>
          </cell>
          <cell r="K618" t="str">
            <v>probsi</v>
          </cell>
        </row>
        <row r="619">
          <cell r="B619" t="b">
            <v>1</v>
          </cell>
          <cell r="E619" t="str">
            <v>Bocachica</v>
          </cell>
          <cell r="H619" t="str">
            <v>laboratorio</v>
          </cell>
          <cell r="J619" t="str">
            <v>bueno</v>
          </cell>
          <cell r="K619" t="str">
            <v>probsi</v>
          </cell>
        </row>
        <row r="620">
          <cell r="B620" t="b">
            <v>0</v>
          </cell>
          <cell r="E620" t="str">
            <v>Bocachica</v>
          </cell>
          <cell r="H620" t="str">
            <v>laboratorio</v>
          </cell>
          <cell r="J620" t="str">
            <v>regular</v>
          </cell>
          <cell r="K620" t="str">
            <v>probsi</v>
          </cell>
        </row>
        <row r="621">
          <cell r="B621" t="b">
            <v>0</v>
          </cell>
          <cell r="E621" t="str">
            <v>Bocachica</v>
          </cell>
          <cell r="H621" t="str">
            <v>laboratorio</v>
          </cell>
          <cell r="J621" t="str">
            <v>regular</v>
          </cell>
          <cell r="K621" t="str">
            <v>probsi</v>
          </cell>
        </row>
        <row r="622">
          <cell r="B622" t="b">
            <v>0</v>
          </cell>
          <cell r="E622" t="str">
            <v>Bocachica</v>
          </cell>
          <cell r="H622" t="str">
            <v>laboratorio</v>
          </cell>
          <cell r="J622" t="str">
            <v>regular</v>
          </cell>
          <cell r="K622" t="str">
            <v>probsi</v>
          </cell>
        </row>
        <row r="623">
          <cell r="B623" t="b">
            <v>1</v>
          </cell>
          <cell r="E623" t="str">
            <v>Bocachica</v>
          </cell>
          <cell r="H623" t="str">
            <v>salud_oral</v>
          </cell>
          <cell r="J623" t="str">
            <v>bueno</v>
          </cell>
          <cell r="K623" t="str">
            <v>probsi</v>
          </cell>
        </row>
        <row r="624">
          <cell r="B624" t="b">
            <v>0</v>
          </cell>
          <cell r="E624" t="str">
            <v>Bocachica</v>
          </cell>
          <cell r="H624" t="str">
            <v>salud_oral</v>
          </cell>
          <cell r="J624" t="str">
            <v>regular</v>
          </cell>
          <cell r="K624" t="str">
            <v>probsi</v>
          </cell>
        </row>
        <row r="625">
          <cell r="B625" t="b">
            <v>1</v>
          </cell>
          <cell r="E625" t="str">
            <v>Bocachica</v>
          </cell>
          <cell r="H625" t="str">
            <v>salud_oral</v>
          </cell>
          <cell r="J625" t="str">
            <v>bueno</v>
          </cell>
          <cell r="K625" t="str">
            <v>probsi</v>
          </cell>
        </row>
        <row r="626">
          <cell r="B626" t="b">
            <v>0</v>
          </cell>
          <cell r="E626" t="str">
            <v>Bocachica</v>
          </cell>
          <cell r="H626" t="str">
            <v>salud_oral</v>
          </cell>
          <cell r="J626" t="str">
            <v>regular</v>
          </cell>
          <cell r="K626" t="str">
            <v>probsi</v>
          </cell>
        </row>
        <row r="627">
          <cell r="B627" t="b">
            <v>0</v>
          </cell>
          <cell r="E627" t="str">
            <v>Bocachica</v>
          </cell>
          <cell r="H627" t="str">
            <v>salud_oral</v>
          </cell>
          <cell r="J627" t="str">
            <v>regular</v>
          </cell>
          <cell r="K627" t="str">
            <v>probsi</v>
          </cell>
        </row>
        <row r="628">
          <cell r="B628" t="b">
            <v>0</v>
          </cell>
          <cell r="E628" t="str">
            <v>Bocachica</v>
          </cell>
          <cell r="H628" t="str">
            <v>salud_oral</v>
          </cell>
          <cell r="J628" t="str">
            <v>regular</v>
          </cell>
          <cell r="K628" t="str">
            <v>probsi</v>
          </cell>
        </row>
        <row r="629">
          <cell r="B629" t="b">
            <v>0</v>
          </cell>
          <cell r="E629" t="str">
            <v>Bocachica</v>
          </cell>
          <cell r="H629" t="str">
            <v>salud_oral</v>
          </cell>
          <cell r="J629" t="str">
            <v>regular</v>
          </cell>
          <cell r="K629" t="str">
            <v>probsi</v>
          </cell>
        </row>
        <row r="630">
          <cell r="B630" t="b">
            <v>0</v>
          </cell>
          <cell r="E630" t="str">
            <v>Bocachica</v>
          </cell>
          <cell r="H630" t="str">
            <v>urgencia</v>
          </cell>
          <cell r="J630" t="str">
            <v>regular</v>
          </cell>
          <cell r="K630" t="str">
            <v>probsi</v>
          </cell>
        </row>
        <row r="631">
          <cell r="B631" t="b">
            <v>0</v>
          </cell>
          <cell r="E631" t="str">
            <v>Bocachica</v>
          </cell>
          <cell r="H631" t="str">
            <v>urgencia</v>
          </cell>
          <cell r="J631" t="str">
            <v>regular</v>
          </cell>
          <cell r="K631" t="str">
            <v>probno</v>
          </cell>
        </row>
        <row r="632">
          <cell r="B632" t="b">
            <v>0</v>
          </cell>
          <cell r="E632" t="str">
            <v>Bocachica</v>
          </cell>
          <cell r="H632" t="str">
            <v>urgencia</v>
          </cell>
          <cell r="J632" t="str">
            <v>regular</v>
          </cell>
          <cell r="K632" t="str">
            <v>probsi</v>
          </cell>
        </row>
        <row r="633">
          <cell r="B633" t="b">
            <v>0</v>
          </cell>
          <cell r="E633" t="str">
            <v>Bocachica</v>
          </cell>
          <cell r="H633" t="str">
            <v>urgencia</v>
          </cell>
          <cell r="J633" t="str">
            <v>regular</v>
          </cell>
          <cell r="K633" t="str">
            <v>probsi</v>
          </cell>
        </row>
        <row r="634">
          <cell r="B634" t="b">
            <v>1</v>
          </cell>
          <cell r="E634" t="str">
            <v>Isla Fuerte</v>
          </cell>
          <cell r="H634" t="str">
            <v>consulta_externa</v>
          </cell>
          <cell r="J634" t="str">
            <v>muybueno</v>
          </cell>
          <cell r="K634" t="str">
            <v>defsi</v>
          </cell>
        </row>
        <row r="635">
          <cell r="B635" t="b">
            <v>1</v>
          </cell>
          <cell r="E635" t="str">
            <v>Foco Rojo</v>
          </cell>
          <cell r="H635" t="str">
            <v>consulta_externa</v>
          </cell>
          <cell r="J635" t="str">
            <v>bueno</v>
          </cell>
          <cell r="K635" t="str">
            <v>defsi</v>
          </cell>
        </row>
        <row r="636">
          <cell r="B636" t="b">
            <v>1</v>
          </cell>
          <cell r="E636" t="str">
            <v>Foco Rojo</v>
          </cell>
          <cell r="H636" t="str">
            <v>consulta_externa</v>
          </cell>
          <cell r="J636" t="str">
            <v>bueno</v>
          </cell>
          <cell r="K636" t="str">
            <v>defsi</v>
          </cell>
        </row>
        <row r="637">
          <cell r="B637" t="b">
            <v>1</v>
          </cell>
          <cell r="E637" t="str">
            <v>Isla Fuerte</v>
          </cell>
          <cell r="H637" t="str">
            <v>consulta_externa</v>
          </cell>
          <cell r="J637" t="str">
            <v>muybueno</v>
          </cell>
          <cell r="K637" t="str">
            <v>defsi</v>
          </cell>
        </row>
        <row r="638">
          <cell r="B638" t="b">
            <v>1</v>
          </cell>
          <cell r="E638" t="str">
            <v>Isla Fuerte</v>
          </cell>
          <cell r="H638" t="str">
            <v>laboratorio</v>
          </cell>
          <cell r="J638" t="str">
            <v>muybueno</v>
          </cell>
          <cell r="K638" t="str">
            <v>defsi</v>
          </cell>
        </row>
        <row r="639">
          <cell r="B639" t="b">
            <v>1</v>
          </cell>
          <cell r="E639" t="str">
            <v>Foco Rojo</v>
          </cell>
          <cell r="H639" t="str">
            <v>consulta_externa</v>
          </cell>
          <cell r="J639" t="str">
            <v>bueno</v>
          </cell>
          <cell r="K639" t="str">
            <v>defsi</v>
          </cell>
        </row>
        <row r="640">
          <cell r="B640" t="b">
            <v>1</v>
          </cell>
          <cell r="E640" t="str">
            <v>Foco Rojo</v>
          </cell>
          <cell r="H640" t="str">
            <v>laboratorio</v>
          </cell>
          <cell r="J640" t="str">
            <v>bueno</v>
          </cell>
          <cell r="K640" t="str">
            <v>defsi</v>
          </cell>
        </row>
        <row r="641">
          <cell r="B641" t="b">
            <v>1</v>
          </cell>
          <cell r="E641" t="str">
            <v>Foco Rojo</v>
          </cell>
          <cell r="H641" t="str">
            <v>consulta_externa</v>
          </cell>
          <cell r="J641" t="str">
            <v>bueno</v>
          </cell>
          <cell r="K641" t="str">
            <v>defsi</v>
          </cell>
        </row>
        <row r="642">
          <cell r="B642" t="b">
            <v>1</v>
          </cell>
          <cell r="E642" t="str">
            <v>Isla Fuerte</v>
          </cell>
          <cell r="H642" t="str">
            <v>consulta_externa</v>
          </cell>
          <cell r="J642" t="str">
            <v>muybueno</v>
          </cell>
          <cell r="K642" t="str">
            <v>defsi</v>
          </cell>
        </row>
        <row r="643">
          <cell r="B643" t="b">
            <v>1</v>
          </cell>
          <cell r="E643" t="str">
            <v>Pontezuela</v>
          </cell>
          <cell r="H643" t="str">
            <v>consulta_externa</v>
          </cell>
          <cell r="J643" t="str">
            <v>bueno</v>
          </cell>
          <cell r="K643" t="str">
            <v>probsi</v>
          </cell>
        </row>
        <row r="644">
          <cell r="B644" t="b">
            <v>1</v>
          </cell>
          <cell r="E644" t="str">
            <v>Pontezuela</v>
          </cell>
          <cell r="H644" t="str">
            <v>salud_oral</v>
          </cell>
          <cell r="J644" t="str">
            <v>bueno</v>
          </cell>
          <cell r="K644" t="str">
            <v>probsi</v>
          </cell>
        </row>
        <row r="645">
          <cell r="B645" t="b">
            <v>0</v>
          </cell>
          <cell r="E645" t="str">
            <v>Foco Rojo</v>
          </cell>
          <cell r="H645" t="str">
            <v>consulta_externa</v>
          </cell>
          <cell r="J645" t="str">
            <v>malo</v>
          </cell>
          <cell r="K645" t="str">
            <v>probno</v>
          </cell>
        </row>
        <row r="646">
          <cell r="B646" t="b">
            <v>1</v>
          </cell>
          <cell r="E646" t="str">
            <v>Foco Rojo</v>
          </cell>
          <cell r="H646" t="str">
            <v>salud_oral</v>
          </cell>
          <cell r="J646" t="str">
            <v>bueno</v>
          </cell>
          <cell r="K646" t="str">
            <v>defsi</v>
          </cell>
        </row>
        <row r="647">
          <cell r="B647" t="b">
            <v>1</v>
          </cell>
          <cell r="E647" t="str">
            <v>Foco Rojo</v>
          </cell>
          <cell r="H647" t="str">
            <v>consulta_externa</v>
          </cell>
          <cell r="J647" t="str">
            <v>bueno</v>
          </cell>
          <cell r="K647" t="str">
            <v>defsi</v>
          </cell>
        </row>
        <row r="648">
          <cell r="B648" t="b">
            <v>1</v>
          </cell>
          <cell r="E648" t="str">
            <v>Foco Rojo</v>
          </cell>
          <cell r="H648" t="str">
            <v>laboratorio</v>
          </cell>
          <cell r="J648" t="str">
            <v>bueno</v>
          </cell>
          <cell r="K648" t="str">
            <v>defsi</v>
          </cell>
        </row>
        <row r="649">
          <cell r="B649" t="b">
            <v>1</v>
          </cell>
          <cell r="E649" t="str">
            <v>Foco Rojo</v>
          </cell>
          <cell r="H649" t="str">
            <v>consulta_externa</v>
          </cell>
          <cell r="J649" t="str">
            <v>bueno</v>
          </cell>
          <cell r="K649" t="str">
            <v>defsi</v>
          </cell>
        </row>
        <row r="650">
          <cell r="B650" t="b">
            <v>1</v>
          </cell>
          <cell r="E650" t="str">
            <v>Foco Rojo</v>
          </cell>
          <cell r="H650" t="str">
            <v>laboratorio</v>
          </cell>
          <cell r="J650" t="str">
            <v>bueno</v>
          </cell>
          <cell r="K650" t="str">
            <v>defsi</v>
          </cell>
        </row>
        <row r="651">
          <cell r="B651" t="b">
            <v>1</v>
          </cell>
          <cell r="E651" t="str">
            <v>Foco Rojo</v>
          </cell>
          <cell r="H651" t="str">
            <v>consulta_externa</v>
          </cell>
          <cell r="J651" t="str">
            <v>bueno</v>
          </cell>
          <cell r="K651" t="str">
            <v>defsi</v>
          </cell>
        </row>
        <row r="652">
          <cell r="B652" t="b">
            <v>1</v>
          </cell>
          <cell r="E652" t="str">
            <v>Pontezuela</v>
          </cell>
          <cell r="H652" t="str">
            <v>consulta_externa</v>
          </cell>
          <cell r="J652" t="str">
            <v>bueno</v>
          </cell>
          <cell r="K652" t="str">
            <v>probsi</v>
          </cell>
        </row>
        <row r="653">
          <cell r="B653" t="b">
            <v>1</v>
          </cell>
          <cell r="E653" t="str">
            <v>Isla Fuerte</v>
          </cell>
          <cell r="H653" t="str">
            <v>consulta_externa</v>
          </cell>
          <cell r="J653" t="str">
            <v>muybueno</v>
          </cell>
          <cell r="K653" t="str">
            <v>defsi</v>
          </cell>
        </row>
        <row r="654">
          <cell r="B654" t="b">
            <v>1</v>
          </cell>
          <cell r="E654" t="str">
            <v>Isla Fuerte</v>
          </cell>
          <cell r="H654" t="str">
            <v>laboratorio</v>
          </cell>
          <cell r="J654" t="str">
            <v>muybueno</v>
          </cell>
          <cell r="K654" t="str">
            <v>defsi</v>
          </cell>
        </row>
        <row r="655">
          <cell r="B655" t="b">
            <v>1</v>
          </cell>
          <cell r="E655" t="str">
            <v>Foco Rojo</v>
          </cell>
          <cell r="H655" t="str">
            <v>consulta_externa</v>
          </cell>
          <cell r="J655" t="str">
            <v>bueno</v>
          </cell>
          <cell r="K655" t="str">
            <v>defsi</v>
          </cell>
        </row>
        <row r="656">
          <cell r="B656" t="b">
            <v>1</v>
          </cell>
          <cell r="E656" t="str">
            <v>Foco Rojo</v>
          </cell>
          <cell r="H656" t="str">
            <v>consulta_externa</v>
          </cell>
          <cell r="J656" t="str">
            <v>bueno</v>
          </cell>
          <cell r="K656" t="str">
            <v>defsi</v>
          </cell>
        </row>
        <row r="657">
          <cell r="B657" t="b">
            <v>1</v>
          </cell>
          <cell r="E657" t="str">
            <v>Foco Rojo</v>
          </cell>
          <cell r="H657" t="str">
            <v>laboratorio</v>
          </cell>
          <cell r="J657" t="str">
            <v>bueno</v>
          </cell>
          <cell r="K657" t="str">
            <v>defsi</v>
          </cell>
        </row>
        <row r="658">
          <cell r="B658" t="b">
            <v>1</v>
          </cell>
          <cell r="E658" t="str">
            <v>Isla Fuerte</v>
          </cell>
          <cell r="H658" t="str">
            <v>salud_oral</v>
          </cell>
          <cell r="J658" t="str">
            <v>muybueno</v>
          </cell>
          <cell r="K658" t="str">
            <v>defsi</v>
          </cell>
        </row>
        <row r="659">
          <cell r="B659" t="b">
            <v>1</v>
          </cell>
          <cell r="E659" t="str">
            <v>Isla Fuerte</v>
          </cell>
          <cell r="H659" t="str">
            <v>consulta_externa</v>
          </cell>
          <cell r="J659" t="str">
            <v>muybueno</v>
          </cell>
          <cell r="K659" t="str">
            <v>defsi</v>
          </cell>
        </row>
        <row r="660">
          <cell r="B660" t="b">
            <v>1</v>
          </cell>
          <cell r="E660" t="str">
            <v>Isla Fuerte</v>
          </cell>
          <cell r="H660" t="str">
            <v>laboratorio</v>
          </cell>
          <cell r="J660" t="str">
            <v>muybueno</v>
          </cell>
          <cell r="K660" t="str">
            <v>defsi</v>
          </cell>
        </row>
        <row r="661">
          <cell r="B661" t="b">
            <v>1</v>
          </cell>
          <cell r="E661" t="str">
            <v>Isla Fuerte</v>
          </cell>
          <cell r="H661" t="str">
            <v>laboratorio</v>
          </cell>
          <cell r="J661" t="str">
            <v>muybueno</v>
          </cell>
          <cell r="K661" t="str">
            <v>defsi</v>
          </cell>
        </row>
        <row r="662">
          <cell r="B662" t="b">
            <v>1</v>
          </cell>
          <cell r="E662" t="str">
            <v>Foco Rojo</v>
          </cell>
          <cell r="H662" t="str">
            <v>consulta_externa</v>
          </cell>
          <cell r="J662" t="str">
            <v>bueno</v>
          </cell>
          <cell r="K662" t="str">
            <v>defsi</v>
          </cell>
        </row>
        <row r="663">
          <cell r="B663" t="b">
            <v>1</v>
          </cell>
          <cell r="E663" t="str">
            <v>Isla Fuerte</v>
          </cell>
          <cell r="H663" t="str">
            <v>consulta_externa</v>
          </cell>
          <cell r="J663" t="str">
            <v>muybueno</v>
          </cell>
          <cell r="K663" t="str">
            <v>defsi</v>
          </cell>
        </row>
        <row r="664">
          <cell r="B664" t="b">
            <v>1</v>
          </cell>
          <cell r="E664" t="str">
            <v>Isla Fuerte</v>
          </cell>
          <cell r="H664" t="str">
            <v>laboratorio</v>
          </cell>
          <cell r="J664" t="str">
            <v>muybueno</v>
          </cell>
          <cell r="K664" t="str">
            <v>defsi</v>
          </cell>
        </row>
        <row r="665">
          <cell r="B665" t="b">
            <v>1</v>
          </cell>
          <cell r="E665" t="str">
            <v>Isla Fuerte</v>
          </cell>
          <cell r="H665" t="str">
            <v>salud_oral</v>
          </cell>
          <cell r="J665" t="str">
            <v>muybueno</v>
          </cell>
          <cell r="K665" t="str">
            <v>defsi</v>
          </cell>
        </row>
        <row r="666">
          <cell r="B666" t="b">
            <v>1</v>
          </cell>
          <cell r="E666" t="str">
            <v>Pontezuela</v>
          </cell>
          <cell r="H666" t="str">
            <v>consulta_externa</v>
          </cell>
          <cell r="J666" t="str">
            <v>bueno</v>
          </cell>
          <cell r="K666" t="str">
            <v>probsi</v>
          </cell>
        </row>
        <row r="667">
          <cell r="B667" t="b">
            <v>1</v>
          </cell>
          <cell r="E667" t="str">
            <v>Pontezuela</v>
          </cell>
          <cell r="H667" t="str">
            <v>salud_oral</v>
          </cell>
          <cell r="J667" t="str">
            <v>bueno</v>
          </cell>
          <cell r="K667" t="str">
            <v>probsi</v>
          </cell>
        </row>
        <row r="668">
          <cell r="B668" t="b">
            <v>1</v>
          </cell>
          <cell r="E668" t="str">
            <v>Pontezuela</v>
          </cell>
          <cell r="H668" t="str">
            <v>salud_oral</v>
          </cell>
          <cell r="J668" t="str">
            <v>bueno</v>
          </cell>
          <cell r="K668" t="str">
            <v>probsi</v>
          </cell>
        </row>
        <row r="669">
          <cell r="B669" t="b">
            <v>1</v>
          </cell>
          <cell r="E669" t="str">
            <v>Isla Fuerte</v>
          </cell>
          <cell r="H669" t="str">
            <v>consulta_externa</v>
          </cell>
          <cell r="J669" t="str">
            <v>muybueno</v>
          </cell>
          <cell r="K669" t="str">
            <v>defsi</v>
          </cell>
        </row>
        <row r="670">
          <cell r="B670" t="b">
            <v>1</v>
          </cell>
          <cell r="E670" t="str">
            <v>Pontezuela</v>
          </cell>
          <cell r="H670" t="str">
            <v>consulta_externa</v>
          </cell>
          <cell r="J670" t="str">
            <v>bueno</v>
          </cell>
          <cell r="K670" t="str">
            <v>probsi</v>
          </cell>
        </row>
        <row r="671">
          <cell r="B671" t="b">
            <v>1</v>
          </cell>
          <cell r="E671" t="str">
            <v>Pontezuela</v>
          </cell>
          <cell r="H671" t="str">
            <v>consulta_externa</v>
          </cell>
          <cell r="J671" t="str">
            <v>bueno</v>
          </cell>
          <cell r="K671" t="str">
            <v>probsi</v>
          </cell>
        </row>
        <row r="672">
          <cell r="B672" t="b">
            <v>1</v>
          </cell>
          <cell r="E672" t="str">
            <v>Isla Fuerte</v>
          </cell>
          <cell r="H672" t="str">
            <v>consulta_externa</v>
          </cell>
          <cell r="J672" t="str">
            <v>muybueno</v>
          </cell>
          <cell r="K672" t="str">
            <v>defsi</v>
          </cell>
        </row>
        <row r="673">
          <cell r="B673" t="b">
            <v>1</v>
          </cell>
          <cell r="E673" t="str">
            <v>Isla Fuerte</v>
          </cell>
          <cell r="H673" t="str">
            <v>laboratorio</v>
          </cell>
          <cell r="J673" t="str">
            <v>muybueno</v>
          </cell>
          <cell r="K673" t="str">
            <v>defsi</v>
          </cell>
        </row>
        <row r="674">
          <cell r="B674" t="b">
            <v>1</v>
          </cell>
          <cell r="E674" t="str">
            <v>Pontezuela</v>
          </cell>
          <cell r="H674" t="str">
            <v>consulta_externa</v>
          </cell>
          <cell r="J674" t="str">
            <v>bueno</v>
          </cell>
          <cell r="K674" t="str">
            <v>probsi</v>
          </cell>
        </row>
        <row r="675">
          <cell r="B675" t="b">
            <v>1</v>
          </cell>
          <cell r="E675" t="str">
            <v>San Vicente de Paul</v>
          </cell>
          <cell r="H675" t="str">
            <v>consulta_externa</v>
          </cell>
          <cell r="J675" t="str">
            <v>bueno</v>
          </cell>
          <cell r="K675" t="str">
            <v>defsi</v>
          </cell>
        </row>
        <row r="676">
          <cell r="B676" t="b">
            <v>1</v>
          </cell>
          <cell r="E676" t="str">
            <v>Foco Rojo</v>
          </cell>
          <cell r="H676" t="str">
            <v>laboratorio</v>
          </cell>
          <cell r="J676" t="str">
            <v>bueno</v>
          </cell>
          <cell r="K676" t="str">
            <v>defsi</v>
          </cell>
        </row>
        <row r="677">
          <cell r="B677" t="b">
            <v>1</v>
          </cell>
          <cell r="E677" t="str">
            <v>San Vicente de Paul</v>
          </cell>
          <cell r="H677" t="str">
            <v>salud_oral</v>
          </cell>
          <cell r="J677" t="str">
            <v>bueno</v>
          </cell>
          <cell r="K677" t="str">
            <v>defsi</v>
          </cell>
        </row>
        <row r="678">
          <cell r="B678" t="b">
            <v>1</v>
          </cell>
          <cell r="E678" t="str">
            <v>Foco Rojo</v>
          </cell>
          <cell r="H678" t="str">
            <v>consulta_externa</v>
          </cell>
          <cell r="J678" t="str">
            <v>bueno</v>
          </cell>
          <cell r="K678" t="str">
            <v>defsi</v>
          </cell>
        </row>
        <row r="679">
          <cell r="B679" t="b">
            <v>1</v>
          </cell>
          <cell r="E679" t="str">
            <v>Isla Fuerte</v>
          </cell>
          <cell r="H679" t="str">
            <v>salud_oral</v>
          </cell>
          <cell r="J679" t="str">
            <v>muybueno</v>
          </cell>
          <cell r="K679" t="str">
            <v>defsi</v>
          </cell>
        </row>
        <row r="680">
          <cell r="B680" t="b">
            <v>1</v>
          </cell>
          <cell r="E680" t="str">
            <v>San Vicente de Paul</v>
          </cell>
          <cell r="H680" t="str">
            <v>laboratorio</v>
          </cell>
          <cell r="J680" t="str">
            <v>bueno</v>
          </cell>
          <cell r="K680" t="str">
            <v>defsi</v>
          </cell>
        </row>
        <row r="681">
          <cell r="B681" t="b">
            <v>1</v>
          </cell>
          <cell r="E681" t="str">
            <v>San Vicente de Paul</v>
          </cell>
          <cell r="H681" t="str">
            <v>consulta_externa</v>
          </cell>
          <cell r="J681" t="str">
            <v>bueno</v>
          </cell>
          <cell r="K681" t="str">
            <v>defsi</v>
          </cell>
        </row>
        <row r="682">
          <cell r="B682" t="b">
            <v>1</v>
          </cell>
          <cell r="E682" t="str">
            <v>San Vicente de Paul</v>
          </cell>
          <cell r="H682" t="str">
            <v>salud_oral</v>
          </cell>
          <cell r="J682" t="str">
            <v>bueno</v>
          </cell>
          <cell r="K682" t="str">
            <v>defsi</v>
          </cell>
        </row>
        <row r="683">
          <cell r="B683" t="b">
            <v>1</v>
          </cell>
          <cell r="E683" t="str">
            <v>San Vicente de Paul</v>
          </cell>
          <cell r="H683" t="str">
            <v>laboratorio</v>
          </cell>
          <cell r="J683" t="str">
            <v>bueno</v>
          </cell>
          <cell r="K683" t="str">
            <v>defsi</v>
          </cell>
        </row>
        <row r="684">
          <cell r="B684" t="b">
            <v>1</v>
          </cell>
          <cell r="E684" t="str">
            <v>Isla Fuerte</v>
          </cell>
          <cell r="H684" t="str">
            <v>consulta_externa</v>
          </cell>
          <cell r="J684" t="str">
            <v>muybueno</v>
          </cell>
          <cell r="K684" t="str">
            <v>defsi</v>
          </cell>
        </row>
        <row r="685">
          <cell r="B685" t="b">
            <v>1</v>
          </cell>
          <cell r="E685" t="str">
            <v>Pontezuela</v>
          </cell>
          <cell r="H685" t="str">
            <v>consulta_externa</v>
          </cell>
          <cell r="J685" t="str">
            <v>bueno</v>
          </cell>
          <cell r="K685" t="str">
            <v>probsi</v>
          </cell>
        </row>
        <row r="686">
          <cell r="B686" t="b">
            <v>1</v>
          </cell>
          <cell r="E686" t="str">
            <v>Pontezuela</v>
          </cell>
          <cell r="H686" t="str">
            <v>salud_oral</v>
          </cell>
          <cell r="J686" t="str">
            <v>bueno</v>
          </cell>
          <cell r="K686" t="str">
            <v>probsi</v>
          </cell>
        </row>
        <row r="687">
          <cell r="B687" t="b">
            <v>1</v>
          </cell>
          <cell r="E687" t="str">
            <v>San Vicente de Paul</v>
          </cell>
          <cell r="H687" t="str">
            <v>consulta_externa</v>
          </cell>
          <cell r="J687" t="str">
            <v>bueno</v>
          </cell>
          <cell r="K687" t="str">
            <v>defsi</v>
          </cell>
        </row>
        <row r="688">
          <cell r="B688" t="b">
            <v>1</v>
          </cell>
          <cell r="E688" t="str">
            <v>San Vicente de Paul</v>
          </cell>
          <cell r="H688" t="str">
            <v>salud_oral</v>
          </cell>
          <cell r="J688" t="str">
            <v>bueno</v>
          </cell>
          <cell r="K688" t="str">
            <v>defsi</v>
          </cell>
        </row>
        <row r="689">
          <cell r="B689" t="b">
            <v>1</v>
          </cell>
          <cell r="E689" t="str">
            <v>San Vicente de Paul</v>
          </cell>
          <cell r="H689" t="str">
            <v>laboratorio</v>
          </cell>
          <cell r="J689" t="str">
            <v>bueno</v>
          </cell>
          <cell r="K689" t="str">
            <v>defsi</v>
          </cell>
        </row>
        <row r="690">
          <cell r="B690" t="b">
            <v>1</v>
          </cell>
          <cell r="E690" t="str">
            <v>Isla Fuerte</v>
          </cell>
          <cell r="H690" t="str">
            <v>consulta_externa</v>
          </cell>
          <cell r="J690" t="str">
            <v>muybueno</v>
          </cell>
          <cell r="K690" t="str">
            <v>defsi</v>
          </cell>
        </row>
        <row r="691">
          <cell r="B691" t="b">
            <v>1</v>
          </cell>
          <cell r="E691" t="str">
            <v>Isla Fuerte</v>
          </cell>
          <cell r="H691" t="str">
            <v>laboratorio</v>
          </cell>
          <cell r="J691" t="str">
            <v>muybueno</v>
          </cell>
          <cell r="K691" t="str">
            <v>defsi</v>
          </cell>
        </row>
        <row r="692">
          <cell r="B692" t="b">
            <v>1</v>
          </cell>
          <cell r="E692" t="str">
            <v>San Vicente de Paul</v>
          </cell>
          <cell r="H692" t="str">
            <v>consulta_externa</v>
          </cell>
          <cell r="J692" t="str">
            <v>bueno</v>
          </cell>
          <cell r="K692" t="str">
            <v>defsi</v>
          </cell>
        </row>
        <row r="693">
          <cell r="B693" t="b">
            <v>1</v>
          </cell>
          <cell r="E693" t="str">
            <v>San Vicente de Paul</v>
          </cell>
          <cell r="H693" t="str">
            <v>salud_oral</v>
          </cell>
          <cell r="J693" t="str">
            <v>bueno</v>
          </cell>
          <cell r="K693" t="str">
            <v>defsi</v>
          </cell>
        </row>
        <row r="694">
          <cell r="B694" t="b">
            <v>1</v>
          </cell>
          <cell r="E694" t="str">
            <v>San Vicente de Paul</v>
          </cell>
          <cell r="H694" t="str">
            <v>laboratorio</v>
          </cell>
          <cell r="J694" t="str">
            <v>bueno</v>
          </cell>
          <cell r="K694" t="str">
            <v>defsi</v>
          </cell>
        </row>
        <row r="695">
          <cell r="B695" t="b">
            <v>1</v>
          </cell>
          <cell r="E695" t="str">
            <v>San Vicente de Paul</v>
          </cell>
          <cell r="H695" t="str">
            <v>consulta_externa</v>
          </cell>
          <cell r="J695" t="str">
            <v>bueno</v>
          </cell>
          <cell r="K695" t="str">
            <v>defsi</v>
          </cell>
        </row>
        <row r="696">
          <cell r="B696" t="b">
            <v>1</v>
          </cell>
          <cell r="E696" t="str">
            <v>Pontezuela</v>
          </cell>
          <cell r="H696" t="str">
            <v>consulta_externa</v>
          </cell>
          <cell r="J696" t="str">
            <v>bueno</v>
          </cell>
          <cell r="K696" t="str">
            <v>probsi</v>
          </cell>
        </row>
        <row r="697">
          <cell r="B697" t="b">
            <v>1</v>
          </cell>
          <cell r="E697" t="str">
            <v>Foco Rojo</v>
          </cell>
          <cell r="H697" t="str">
            <v>laboratorio</v>
          </cell>
          <cell r="J697" t="str">
            <v>bueno</v>
          </cell>
          <cell r="K697" t="str">
            <v>defsi</v>
          </cell>
        </row>
        <row r="698">
          <cell r="B698" t="b">
            <v>1</v>
          </cell>
          <cell r="E698" t="str">
            <v>San Vicente de Paul</v>
          </cell>
          <cell r="H698" t="str">
            <v>salud_oral</v>
          </cell>
          <cell r="J698" t="str">
            <v>bueno</v>
          </cell>
          <cell r="K698" t="str">
            <v>defsi</v>
          </cell>
        </row>
        <row r="699">
          <cell r="B699" t="b">
            <v>1</v>
          </cell>
          <cell r="E699" t="str">
            <v>Pontezuela</v>
          </cell>
          <cell r="H699" t="str">
            <v>consulta_externa</v>
          </cell>
          <cell r="J699" t="str">
            <v>bueno</v>
          </cell>
          <cell r="K699" t="str">
            <v>probsi</v>
          </cell>
        </row>
        <row r="700">
          <cell r="B700" t="b">
            <v>1</v>
          </cell>
          <cell r="E700" t="str">
            <v>San Vicente de Paul</v>
          </cell>
          <cell r="H700" t="str">
            <v>laboratorio</v>
          </cell>
          <cell r="J700" t="str">
            <v>bueno</v>
          </cell>
          <cell r="K700" t="str">
            <v>defsi</v>
          </cell>
        </row>
        <row r="701">
          <cell r="B701" t="b">
            <v>1</v>
          </cell>
          <cell r="E701" t="str">
            <v>Foco Rojo</v>
          </cell>
          <cell r="H701" t="str">
            <v>laboratorio</v>
          </cell>
          <cell r="J701" t="str">
            <v>bueno</v>
          </cell>
          <cell r="K701" t="str">
            <v>defsi</v>
          </cell>
        </row>
        <row r="702">
          <cell r="B702" t="b">
            <v>1</v>
          </cell>
          <cell r="E702" t="str">
            <v>Foco Rojo</v>
          </cell>
          <cell r="H702" t="str">
            <v>laboratorio</v>
          </cell>
          <cell r="J702" t="str">
            <v>bueno</v>
          </cell>
          <cell r="K702" t="str">
            <v>defsi</v>
          </cell>
        </row>
        <row r="703">
          <cell r="B703" t="b">
            <v>1</v>
          </cell>
          <cell r="E703" t="str">
            <v>Foco Rojo</v>
          </cell>
          <cell r="H703" t="str">
            <v>laboratorio</v>
          </cell>
          <cell r="J703" t="str">
            <v>bueno</v>
          </cell>
          <cell r="K703" t="str">
            <v>defsi</v>
          </cell>
        </row>
        <row r="704">
          <cell r="B704" t="b">
            <v>1</v>
          </cell>
          <cell r="E704" t="str">
            <v>Foco Rojo</v>
          </cell>
          <cell r="H704" t="str">
            <v>laboratorio</v>
          </cell>
          <cell r="J704" t="str">
            <v>bueno</v>
          </cell>
          <cell r="K704" t="str">
            <v>defsi</v>
          </cell>
        </row>
        <row r="705">
          <cell r="B705" t="b">
            <v>1</v>
          </cell>
          <cell r="E705" t="str">
            <v>San Vicente de Paul</v>
          </cell>
          <cell r="H705" t="str">
            <v>consulta_externa</v>
          </cell>
          <cell r="J705" t="str">
            <v>bueno</v>
          </cell>
          <cell r="K705" t="str">
            <v>defsi</v>
          </cell>
        </row>
        <row r="706">
          <cell r="B706" t="b">
            <v>1</v>
          </cell>
          <cell r="E706" t="str">
            <v>Foco Rojo</v>
          </cell>
          <cell r="H706" t="str">
            <v>salud_oral</v>
          </cell>
          <cell r="J706" t="str">
            <v>bueno</v>
          </cell>
          <cell r="K706" t="str">
            <v>defsi</v>
          </cell>
        </row>
        <row r="707">
          <cell r="B707" t="b">
            <v>1</v>
          </cell>
          <cell r="E707" t="str">
            <v>Foco Rojo</v>
          </cell>
          <cell r="H707" t="str">
            <v>salud_oral</v>
          </cell>
          <cell r="J707" t="str">
            <v>bueno</v>
          </cell>
          <cell r="K707" t="str">
            <v>defsi</v>
          </cell>
        </row>
        <row r="708">
          <cell r="B708" t="b">
            <v>1</v>
          </cell>
          <cell r="E708" t="str">
            <v>Foco Rojo</v>
          </cell>
          <cell r="H708" t="str">
            <v>salud_oral</v>
          </cell>
          <cell r="J708" t="str">
            <v>muybueno</v>
          </cell>
          <cell r="K708" t="str">
            <v>defsi</v>
          </cell>
        </row>
        <row r="709">
          <cell r="B709" t="b">
            <v>1</v>
          </cell>
          <cell r="E709" t="str">
            <v>Foco Rojo</v>
          </cell>
          <cell r="H709" t="str">
            <v>salud_oral</v>
          </cell>
          <cell r="J709" t="str">
            <v>bueno</v>
          </cell>
          <cell r="K709" t="str">
            <v>defsi</v>
          </cell>
        </row>
        <row r="710">
          <cell r="B710" t="b">
            <v>1</v>
          </cell>
          <cell r="E710" t="str">
            <v>San Vicente de Paul</v>
          </cell>
          <cell r="H710" t="str">
            <v>salud_oral</v>
          </cell>
          <cell r="J710" t="str">
            <v>bueno</v>
          </cell>
          <cell r="K710" t="str">
            <v>defsi</v>
          </cell>
        </row>
        <row r="711">
          <cell r="B711" t="b">
            <v>1</v>
          </cell>
          <cell r="E711" t="str">
            <v>Foco Rojo</v>
          </cell>
          <cell r="H711" t="str">
            <v>salud_oral</v>
          </cell>
          <cell r="J711" t="str">
            <v>bueno</v>
          </cell>
          <cell r="K711" t="str">
            <v>defsi</v>
          </cell>
        </row>
        <row r="712">
          <cell r="B712" t="b">
            <v>1</v>
          </cell>
          <cell r="E712" t="str">
            <v>Foco Rojo</v>
          </cell>
          <cell r="H712" t="str">
            <v>salud_oral</v>
          </cell>
          <cell r="J712" t="str">
            <v>bueno</v>
          </cell>
          <cell r="K712" t="str">
            <v>defsi</v>
          </cell>
        </row>
        <row r="713">
          <cell r="B713" t="b">
            <v>1</v>
          </cell>
          <cell r="E713" t="str">
            <v>San Vicente de Paul</v>
          </cell>
          <cell r="H713" t="str">
            <v>laboratorio</v>
          </cell>
          <cell r="J713" t="str">
            <v>bueno</v>
          </cell>
          <cell r="K713" t="str">
            <v>defsi</v>
          </cell>
        </row>
        <row r="714">
          <cell r="B714" t="b">
            <v>1</v>
          </cell>
          <cell r="E714" t="str">
            <v>Pontezuela</v>
          </cell>
          <cell r="H714" t="str">
            <v>consulta_externa</v>
          </cell>
          <cell r="J714" t="str">
            <v>bueno</v>
          </cell>
          <cell r="K714" t="str">
            <v>probsi</v>
          </cell>
        </row>
        <row r="715">
          <cell r="B715" t="b">
            <v>1</v>
          </cell>
          <cell r="E715" t="str">
            <v>Pontezuela</v>
          </cell>
          <cell r="H715" t="str">
            <v>salud_oral</v>
          </cell>
          <cell r="J715" t="str">
            <v>bueno</v>
          </cell>
          <cell r="K715" t="str">
            <v>probsi</v>
          </cell>
        </row>
        <row r="716">
          <cell r="B716" t="b">
            <v>1</v>
          </cell>
          <cell r="E716" t="str">
            <v>Bayunca</v>
          </cell>
          <cell r="H716" t="str">
            <v>consulta_externa</v>
          </cell>
          <cell r="J716" t="str">
            <v>bueno</v>
          </cell>
          <cell r="K716" t="str">
            <v>probsi</v>
          </cell>
        </row>
        <row r="717">
          <cell r="B717" t="b">
            <v>1</v>
          </cell>
          <cell r="E717" t="str">
            <v>Bayunca</v>
          </cell>
          <cell r="H717" t="str">
            <v>consulta_externa</v>
          </cell>
          <cell r="J717" t="str">
            <v>bueno</v>
          </cell>
          <cell r="K717" t="str">
            <v>probsi</v>
          </cell>
        </row>
        <row r="718">
          <cell r="B718" t="b">
            <v>1</v>
          </cell>
          <cell r="E718" t="str">
            <v>Bayunca</v>
          </cell>
          <cell r="H718" t="str">
            <v>consulta_externa</v>
          </cell>
          <cell r="J718" t="str">
            <v>bueno</v>
          </cell>
          <cell r="K718" t="str">
            <v>probsi</v>
          </cell>
        </row>
        <row r="719">
          <cell r="B719" t="b">
            <v>1</v>
          </cell>
          <cell r="E719" t="str">
            <v>Bayunca</v>
          </cell>
          <cell r="H719" t="str">
            <v>salud_oral</v>
          </cell>
          <cell r="J719" t="str">
            <v>bueno</v>
          </cell>
          <cell r="K719" t="str">
            <v>probsi</v>
          </cell>
        </row>
        <row r="720">
          <cell r="B720" t="b">
            <v>1</v>
          </cell>
          <cell r="E720" t="str">
            <v>Bayunca</v>
          </cell>
          <cell r="H720" t="str">
            <v>laboratorio</v>
          </cell>
          <cell r="J720" t="str">
            <v>bueno</v>
          </cell>
          <cell r="K720" t="str">
            <v>probsi</v>
          </cell>
        </row>
        <row r="721">
          <cell r="B721" t="b">
            <v>1</v>
          </cell>
          <cell r="E721" t="str">
            <v>Isla Fuerte</v>
          </cell>
          <cell r="H721" t="str">
            <v>consulta_externa</v>
          </cell>
          <cell r="J721" t="str">
            <v>muybueno</v>
          </cell>
          <cell r="K721" t="str">
            <v>defsi</v>
          </cell>
        </row>
        <row r="722">
          <cell r="B722" t="b">
            <v>1</v>
          </cell>
          <cell r="E722" t="str">
            <v>Bayunca</v>
          </cell>
          <cell r="H722" t="str">
            <v>laboratorio</v>
          </cell>
          <cell r="J722" t="str">
            <v>bueno</v>
          </cell>
          <cell r="K722" t="str">
            <v>probsi</v>
          </cell>
        </row>
        <row r="723">
          <cell r="B723" t="b">
            <v>1</v>
          </cell>
          <cell r="E723" t="str">
            <v>Bayunca</v>
          </cell>
          <cell r="H723" t="str">
            <v>consulta_externa</v>
          </cell>
          <cell r="J723" t="str">
            <v>bueno</v>
          </cell>
          <cell r="K723" t="str">
            <v>probsi</v>
          </cell>
        </row>
        <row r="724">
          <cell r="B724" t="b">
            <v>1</v>
          </cell>
          <cell r="E724" t="str">
            <v>Bayunca</v>
          </cell>
          <cell r="H724" t="str">
            <v>salud_oral</v>
          </cell>
          <cell r="J724" t="str">
            <v>bueno</v>
          </cell>
          <cell r="K724" t="str">
            <v>probsi</v>
          </cell>
        </row>
        <row r="725">
          <cell r="B725" t="b">
            <v>1</v>
          </cell>
          <cell r="E725" t="str">
            <v>Isla Fuerte</v>
          </cell>
          <cell r="H725" t="str">
            <v>laboratorio</v>
          </cell>
          <cell r="J725" t="str">
            <v>muybueno</v>
          </cell>
          <cell r="K725" t="str">
            <v>defsi</v>
          </cell>
        </row>
        <row r="726">
          <cell r="B726" t="b">
            <v>1</v>
          </cell>
          <cell r="E726" t="str">
            <v>Bocachica</v>
          </cell>
          <cell r="H726" t="str">
            <v>laboratorio</v>
          </cell>
          <cell r="J726" t="str">
            <v>bueno</v>
          </cell>
          <cell r="K726" t="str">
            <v>probsi</v>
          </cell>
        </row>
        <row r="727">
          <cell r="B727" t="b">
            <v>1</v>
          </cell>
          <cell r="E727" t="str">
            <v>Candelaria</v>
          </cell>
          <cell r="H727" t="str">
            <v>laboratorio</v>
          </cell>
          <cell r="J727" t="str">
            <v>bueno</v>
          </cell>
          <cell r="K727" t="str">
            <v>defsi</v>
          </cell>
        </row>
        <row r="728">
          <cell r="B728" t="b">
            <v>1</v>
          </cell>
          <cell r="E728" t="str">
            <v>Bayunca</v>
          </cell>
          <cell r="H728" t="str">
            <v>consulta_externa</v>
          </cell>
          <cell r="J728" t="str">
            <v>bueno</v>
          </cell>
          <cell r="K728" t="str">
            <v>probsi</v>
          </cell>
        </row>
        <row r="729">
          <cell r="B729" t="b">
            <v>1</v>
          </cell>
          <cell r="E729" t="str">
            <v>Bayunca</v>
          </cell>
          <cell r="H729" t="str">
            <v>salud_oral</v>
          </cell>
          <cell r="J729" t="str">
            <v>bueno</v>
          </cell>
          <cell r="K729" t="str">
            <v>probsi</v>
          </cell>
        </row>
        <row r="730">
          <cell r="B730" t="b">
            <v>1</v>
          </cell>
          <cell r="E730" t="str">
            <v>Bayunca</v>
          </cell>
          <cell r="H730" t="str">
            <v>salud_oral</v>
          </cell>
          <cell r="J730" t="str">
            <v>bueno</v>
          </cell>
          <cell r="K730" t="str">
            <v>probsi</v>
          </cell>
        </row>
        <row r="731">
          <cell r="B731" t="b">
            <v>1</v>
          </cell>
          <cell r="E731" t="str">
            <v>Candelaria</v>
          </cell>
          <cell r="H731" t="str">
            <v>laboratorio</v>
          </cell>
          <cell r="J731" t="str">
            <v>bueno</v>
          </cell>
          <cell r="K731" t="str">
            <v>defsi</v>
          </cell>
        </row>
        <row r="732">
          <cell r="B732" t="b">
            <v>1</v>
          </cell>
          <cell r="E732" t="str">
            <v>Bayunca</v>
          </cell>
          <cell r="H732" t="str">
            <v>laboratorio</v>
          </cell>
          <cell r="J732" t="str">
            <v>bueno</v>
          </cell>
          <cell r="K732" t="str">
            <v>probsi</v>
          </cell>
        </row>
        <row r="733">
          <cell r="B733" t="b">
            <v>1</v>
          </cell>
          <cell r="E733" t="str">
            <v>Bayunca</v>
          </cell>
          <cell r="H733" t="str">
            <v>urgencia</v>
          </cell>
          <cell r="J733" t="str">
            <v>bueno</v>
          </cell>
          <cell r="K733" t="str">
            <v>probsi</v>
          </cell>
        </row>
        <row r="734">
          <cell r="B734" t="b">
            <v>1</v>
          </cell>
          <cell r="E734" t="str">
            <v>Candelaria</v>
          </cell>
          <cell r="H734" t="str">
            <v>consulta_externa</v>
          </cell>
          <cell r="J734" t="str">
            <v>bueno</v>
          </cell>
          <cell r="K734" t="str">
            <v>defsi</v>
          </cell>
        </row>
        <row r="735">
          <cell r="B735" t="b">
            <v>1</v>
          </cell>
          <cell r="E735" t="str">
            <v>Candelaria</v>
          </cell>
          <cell r="H735" t="str">
            <v>consulta_externa</v>
          </cell>
          <cell r="J735" t="str">
            <v>bueno</v>
          </cell>
          <cell r="K735" t="str">
            <v>defsi</v>
          </cell>
        </row>
        <row r="736">
          <cell r="B736" t="b">
            <v>1</v>
          </cell>
          <cell r="E736" t="str">
            <v>Candelaria</v>
          </cell>
          <cell r="H736" t="str">
            <v>consulta_externa</v>
          </cell>
          <cell r="J736" t="str">
            <v>bueno</v>
          </cell>
          <cell r="K736" t="str">
            <v>defsi</v>
          </cell>
        </row>
        <row r="737">
          <cell r="B737" t="b">
            <v>1</v>
          </cell>
          <cell r="E737" t="str">
            <v>Candelaria</v>
          </cell>
          <cell r="H737" t="str">
            <v>laboratorio</v>
          </cell>
          <cell r="J737" t="str">
            <v>bueno</v>
          </cell>
          <cell r="K737" t="str">
            <v>defsi</v>
          </cell>
        </row>
        <row r="738">
          <cell r="B738" t="b">
            <v>1</v>
          </cell>
          <cell r="E738" t="str">
            <v>Tierra Baja</v>
          </cell>
          <cell r="H738" t="str">
            <v>consulta_externa</v>
          </cell>
          <cell r="J738" t="str">
            <v>bueno</v>
          </cell>
          <cell r="K738" t="str">
            <v>probsi</v>
          </cell>
        </row>
        <row r="739">
          <cell r="B739" t="b">
            <v>0</v>
          </cell>
          <cell r="E739" t="str">
            <v>Bayunca</v>
          </cell>
          <cell r="H739" t="str">
            <v>consulta_externa</v>
          </cell>
          <cell r="J739" t="str">
            <v>regular</v>
          </cell>
          <cell r="K739" t="str">
            <v>probsi</v>
          </cell>
        </row>
        <row r="740">
          <cell r="B740" t="b">
            <v>1</v>
          </cell>
          <cell r="E740" t="str">
            <v>Foco Rojo</v>
          </cell>
          <cell r="H740" t="str">
            <v>laboratorio</v>
          </cell>
          <cell r="J740" t="str">
            <v>bueno</v>
          </cell>
          <cell r="K740" t="str">
            <v>defsi</v>
          </cell>
        </row>
        <row r="741">
          <cell r="B741" t="b">
            <v>0</v>
          </cell>
          <cell r="E741" t="str">
            <v>Bayunca</v>
          </cell>
          <cell r="H741" t="str">
            <v>consulta_externa</v>
          </cell>
          <cell r="J741" t="str">
            <v>regular</v>
          </cell>
          <cell r="K741" t="str">
            <v>probsi</v>
          </cell>
        </row>
        <row r="742">
          <cell r="B742" t="b">
            <v>1</v>
          </cell>
          <cell r="E742" t="str">
            <v>Bayunca</v>
          </cell>
          <cell r="H742" t="str">
            <v>consulta_externa</v>
          </cell>
          <cell r="J742" t="str">
            <v>bueno</v>
          </cell>
          <cell r="K742" t="str">
            <v>probsi</v>
          </cell>
        </row>
        <row r="743">
          <cell r="B743" t="b">
            <v>1</v>
          </cell>
          <cell r="E743" t="str">
            <v>Bayunca</v>
          </cell>
          <cell r="H743" t="str">
            <v>consulta_externa</v>
          </cell>
          <cell r="J743" t="str">
            <v>bueno</v>
          </cell>
          <cell r="K743" t="str">
            <v>probsi</v>
          </cell>
        </row>
        <row r="744">
          <cell r="B744" t="b">
            <v>1</v>
          </cell>
          <cell r="E744" t="str">
            <v>Bayunca</v>
          </cell>
          <cell r="H744" t="str">
            <v>salud_oral</v>
          </cell>
          <cell r="J744" t="str">
            <v>bueno</v>
          </cell>
          <cell r="K744" t="str">
            <v>probsi</v>
          </cell>
        </row>
        <row r="745">
          <cell r="B745" t="b">
            <v>1</v>
          </cell>
          <cell r="E745" t="str">
            <v>Bayunca</v>
          </cell>
          <cell r="H745" t="str">
            <v>salud_oral</v>
          </cell>
          <cell r="J745" t="str">
            <v>bueno</v>
          </cell>
          <cell r="K745" t="str">
            <v>probsi</v>
          </cell>
        </row>
        <row r="746">
          <cell r="B746" t="b">
            <v>1</v>
          </cell>
          <cell r="E746" t="str">
            <v>Bayunca</v>
          </cell>
          <cell r="H746" t="str">
            <v>salud_oral</v>
          </cell>
          <cell r="J746" t="str">
            <v>bueno</v>
          </cell>
          <cell r="K746" t="str">
            <v>probsi</v>
          </cell>
        </row>
        <row r="747">
          <cell r="B747" t="b">
            <v>1</v>
          </cell>
          <cell r="E747" t="str">
            <v>Bayunca</v>
          </cell>
          <cell r="H747" t="str">
            <v>salud_oral</v>
          </cell>
          <cell r="J747" t="str">
            <v>bueno</v>
          </cell>
          <cell r="K747" t="str">
            <v>probsi</v>
          </cell>
        </row>
        <row r="748">
          <cell r="B748" t="b">
            <v>0</v>
          </cell>
          <cell r="E748" t="str">
            <v>Bayunca</v>
          </cell>
          <cell r="H748" t="str">
            <v>laboratorio</v>
          </cell>
          <cell r="J748" t="str">
            <v>regular</v>
          </cell>
          <cell r="K748" t="str">
            <v>probsi</v>
          </cell>
        </row>
        <row r="749">
          <cell r="B749" t="b">
            <v>0</v>
          </cell>
          <cell r="E749" t="str">
            <v>Bayunca</v>
          </cell>
          <cell r="H749" t="str">
            <v>laboratorio</v>
          </cell>
          <cell r="J749" t="str">
            <v>regular</v>
          </cell>
          <cell r="K749" t="str">
            <v>probsi</v>
          </cell>
        </row>
        <row r="750">
          <cell r="B750" t="b">
            <v>1</v>
          </cell>
          <cell r="E750" t="str">
            <v>Bayunca</v>
          </cell>
          <cell r="H750" t="str">
            <v>laboratorio</v>
          </cell>
          <cell r="J750" t="str">
            <v>bueno</v>
          </cell>
          <cell r="K750" t="str">
            <v>probsi</v>
          </cell>
        </row>
        <row r="751">
          <cell r="B751" t="b">
            <v>1</v>
          </cell>
          <cell r="E751" t="str">
            <v>Bayunca</v>
          </cell>
          <cell r="H751" t="str">
            <v>laboratorio</v>
          </cell>
          <cell r="J751" t="str">
            <v>bueno</v>
          </cell>
          <cell r="K751" t="str">
            <v>probsi</v>
          </cell>
        </row>
        <row r="752">
          <cell r="B752" t="b">
            <v>1</v>
          </cell>
          <cell r="E752" t="str">
            <v>Bayunca</v>
          </cell>
          <cell r="H752" t="str">
            <v>consulta_externa</v>
          </cell>
          <cell r="J752" t="str">
            <v>bueno</v>
          </cell>
          <cell r="K752" t="str">
            <v>probsi</v>
          </cell>
        </row>
        <row r="753">
          <cell r="B753" t="b">
            <v>1</v>
          </cell>
          <cell r="E753" t="str">
            <v>Bayunca</v>
          </cell>
          <cell r="H753" t="str">
            <v>salud_oral</v>
          </cell>
          <cell r="J753" t="str">
            <v>bueno</v>
          </cell>
          <cell r="K753" t="str">
            <v>probsi</v>
          </cell>
        </row>
        <row r="754">
          <cell r="B754" t="b">
            <v>1</v>
          </cell>
          <cell r="E754" t="str">
            <v>Tierra Baja</v>
          </cell>
          <cell r="H754" t="str">
            <v>salud_oral</v>
          </cell>
          <cell r="J754" t="str">
            <v>bueno</v>
          </cell>
          <cell r="K754" t="str">
            <v>probsi</v>
          </cell>
        </row>
        <row r="755">
          <cell r="B755" t="b">
            <v>1</v>
          </cell>
          <cell r="E755" t="str">
            <v>Bayunca</v>
          </cell>
          <cell r="H755" t="str">
            <v>laboratorio</v>
          </cell>
          <cell r="J755" t="str">
            <v>bueno</v>
          </cell>
          <cell r="K755" t="str">
            <v>probsi</v>
          </cell>
        </row>
        <row r="756">
          <cell r="B756" t="b">
            <v>1</v>
          </cell>
          <cell r="E756" t="str">
            <v>Bayunca</v>
          </cell>
          <cell r="H756" t="str">
            <v>consulta_externa</v>
          </cell>
          <cell r="J756" t="str">
            <v>bueno</v>
          </cell>
          <cell r="K756" t="str">
            <v>probsi</v>
          </cell>
        </row>
        <row r="757">
          <cell r="B757" t="b">
            <v>1</v>
          </cell>
          <cell r="E757" t="str">
            <v>Candelaria</v>
          </cell>
          <cell r="H757" t="str">
            <v>laboratorio</v>
          </cell>
          <cell r="J757" t="str">
            <v>bueno</v>
          </cell>
          <cell r="K757" t="str">
            <v>defsi</v>
          </cell>
        </row>
        <row r="758">
          <cell r="B758" t="b">
            <v>1</v>
          </cell>
          <cell r="E758" t="str">
            <v>Tierra Baja</v>
          </cell>
          <cell r="H758" t="str">
            <v>consulta_externa</v>
          </cell>
          <cell r="J758" t="str">
            <v>bueno</v>
          </cell>
          <cell r="K758" t="str">
            <v>probsi</v>
          </cell>
        </row>
        <row r="759">
          <cell r="B759" t="b">
            <v>1</v>
          </cell>
          <cell r="E759" t="str">
            <v>Candelaria</v>
          </cell>
          <cell r="H759" t="str">
            <v>consulta_externa</v>
          </cell>
          <cell r="J759" t="str">
            <v>bueno</v>
          </cell>
          <cell r="K759" t="str">
            <v>defsi</v>
          </cell>
        </row>
        <row r="760">
          <cell r="B760" t="b">
            <v>1</v>
          </cell>
          <cell r="E760" t="str">
            <v>Bayunca</v>
          </cell>
          <cell r="H760" t="str">
            <v>consulta_externa</v>
          </cell>
          <cell r="J760" t="str">
            <v>bueno</v>
          </cell>
          <cell r="K760" t="str">
            <v>probsi</v>
          </cell>
        </row>
        <row r="761">
          <cell r="B761" t="b">
            <v>1</v>
          </cell>
          <cell r="E761" t="str">
            <v>Bayunca</v>
          </cell>
          <cell r="H761" t="str">
            <v>consulta_externa</v>
          </cell>
          <cell r="J761" t="str">
            <v>bueno</v>
          </cell>
          <cell r="K761" t="str">
            <v>probsi</v>
          </cell>
        </row>
        <row r="762">
          <cell r="B762" t="b">
            <v>1</v>
          </cell>
          <cell r="E762" t="str">
            <v>Bayunca</v>
          </cell>
          <cell r="H762" t="str">
            <v>consulta_externa</v>
          </cell>
          <cell r="J762" t="str">
            <v>bueno</v>
          </cell>
          <cell r="K762" t="str">
            <v>probsi</v>
          </cell>
        </row>
        <row r="763">
          <cell r="B763" t="b">
            <v>1</v>
          </cell>
          <cell r="E763" t="str">
            <v>Bayunca</v>
          </cell>
          <cell r="H763" t="str">
            <v>salud_oral</v>
          </cell>
          <cell r="J763" t="str">
            <v>bueno</v>
          </cell>
          <cell r="K763" t="str">
            <v>probsi</v>
          </cell>
        </row>
        <row r="764">
          <cell r="B764" t="b">
            <v>0</v>
          </cell>
          <cell r="E764" t="str">
            <v>Candelaria</v>
          </cell>
          <cell r="H764" t="str">
            <v>consulta_externa</v>
          </cell>
          <cell r="J764" t="str">
            <v>regular</v>
          </cell>
          <cell r="K764" t="str">
            <v>probsi</v>
          </cell>
        </row>
        <row r="765">
          <cell r="B765" t="b">
            <v>1</v>
          </cell>
          <cell r="E765" t="str">
            <v>Bayunca</v>
          </cell>
          <cell r="H765" t="str">
            <v>urgencia</v>
          </cell>
          <cell r="J765" t="str">
            <v>bueno</v>
          </cell>
          <cell r="K765" t="str">
            <v>probsi</v>
          </cell>
        </row>
        <row r="766">
          <cell r="B766" t="b">
            <v>1</v>
          </cell>
          <cell r="E766" t="str">
            <v>Tierra Baja</v>
          </cell>
          <cell r="H766" t="str">
            <v>consulta_externa</v>
          </cell>
          <cell r="J766" t="str">
            <v>bueno</v>
          </cell>
          <cell r="K766" t="str">
            <v>probsi</v>
          </cell>
        </row>
        <row r="767">
          <cell r="B767" t="b">
            <v>1</v>
          </cell>
          <cell r="E767" t="str">
            <v>Candelaria</v>
          </cell>
          <cell r="H767" t="str">
            <v>salud_oral</v>
          </cell>
          <cell r="J767" t="str">
            <v>bueno</v>
          </cell>
          <cell r="K767" t="str">
            <v>defsi</v>
          </cell>
        </row>
        <row r="768">
          <cell r="B768" t="b">
            <v>1</v>
          </cell>
          <cell r="E768" t="str">
            <v>Bayunca</v>
          </cell>
          <cell r="H768" t="str">
            <v>consulta_externa</v>
          </cell>
          <cell r="J768" t="str">
            <v>bueno</v>
          </cell>
          <cell r="K768" t="str">
            <v>probsi</v>
          </cell>
        </row>
        <row r="769">
          <cell r="B769" t="b">
            <v>1</v>
          </cell>
          <cell r="E769" t="str">
            <v>Bayunca</v>
          </cell>
          <cell r="H769" t="str">
            <v>salud_oral</v>
          </cell>
          <cell r="J769" t="str">
            <v>bueno</v>
          </cell>
          <cell r="K769" t="str">
            <v>probsi</v>
          </cell>
        </row>
        <row r="770">
          <cell r="B770" t="b">
            <v>1</v>
          </cell>
          <cell r="E770" t="str">
            <v>Bayunca</v>
          </cell>
          <cell r="H770" t="str">
            <v>laboratorio</v>
          </cell>
          <cell r="J770" t="str">
            <v>bueno</v>
          </cell>
          <cell r="K770" t="str">
            <v>probsi</v>
          </cell>
        </row>
        <row r="771">
          <cell r="B771" t="b">
            <v>1</v>
          </cell>
          <cell r="E771" t="str">
            <v>Bayunca</v>
          </cell>
          <cell r="H771" t="str">
            <v>pediatria</v>
          </cell>
          <cell r="J771" t="str">
            <v>bueno</v>
          </cell>
          <cell r="K771" t="str">
            <v>probsi</v>
          </cell>
        </row>
        <row r="772">
          <cell r="B772" t="b">
            <v>1</v>
          </cell>
          <cell r="E772" t="str">
            <v>Bayunca</v>
          </cell>
          <cell r="H772" t="str">
            <v>pediatria</v>
          </cell>
          <cell r="J772" t="str">
            <v>bueno</v>
          </cell>
          <cell r="K772" t="str">
            <v>probsi</v>
          </cell>
        </row>
        <row r="773">
          <cell r="B773" t="b">
            <v>1</v>
          </cell>
          <cell r="E773" t="str">
            <v>Candelaria</v>
          </cell>
          <cell r="H773" t="str">
            <v>salud_oral</v>
          </cell>
          <cell r="J773" t="str">
            <v>bueno</v>
          </cell>
          <cell r="K773" t="str">
            <v>defsi</v>
          </cell>
        </row>
        <row r="774">
          <cell r="B774" t="b">
            <v>1</v>
          </cell>
          <cell r="E774" t="str">
            <v>Bayunca</v>
          </cell>
          <cell r="H774" t="str">
            <v>pediatria</v>
          </cell>
          <cell r="J774" t="str">
            <v>bueno</v>
          </cell>
          <cell r="K774" t="str">
            <v>probsi</v>
          </cell>
        </row>
        <row r="775">
          <cell r="B775" t="b">
            <v>1</v>
          </cell>
          <cell r="E775" t="str">
            <v>Bayunca</v>
          </cell>
          <cell r="H775" t="str">
            <v>pediatria</v>
          </cell>
          <cell r="J775" t="str">
            <v>bueno</v>
          </cell>
          <cell r="K775" t="str">
            <v>probsi</v>
          </cell>
        </row>
        <row r="776">
          <cell r="B776" t="b">
            <v>1</v>
          </cell>
          <cell r="E776" t="str">
            <v>Bayunca</v>
          </cell>
          <cell r="H776" t="str">
            <v>laboratorio</v>
          </cell>
          <cell r="J776" t="str">
            <v>bueno</v>
          </cell>
          <cell r="K776" t="str">
            <v>probsi</v>
          </cell>
        </row>
        <row r="777">
          <cell r="B777" t="b">
            <v>1</v>
          </cell>
          <cell r="E777" t="str">
            <v>Bayunca</v>
          </cell>
          <cell r="H777" t="str">
            <v>salud_oral</v>
          </cell>
          <cell r="J777" t="str">
            <v>bueno</v>
          </cell>
          <cell r="K777" t="str">
            <v>probsi</v>
          </cell>
        </row>
        <row r="778">
          <cell r="B778" t="b">
            <v>1</v>
          </cell>
          <cell r="E778" t="str">
            <v>Candelaria</v>
          </cell>
          <cell r="H778" t="str">
            <v>laboratorio</v>
          </cell>
          <cell r="J778" t="str">
            <v>bueno</v>
          </cell>
          <cell r="K778" t="str">
            <v>defsi</v>
          </cell>
        </row>
        <row r="779">
          <cell r="B779" t="b">
            <v>1</v>
          </cell>
          <cell r="E779" t="str">
            <v>Bayunca</v>
          </cell>
          <cell r="H779" t="str">
            <v>consulta_externa</v>
          </cell>
          <cell r="J779" t="str">
            <v>muybueno</v>
          </cell>
          <cell r="K779" t="str">
            <v>probsi</v>
          </cell>
        </row>
        <row r="780">
          <cell r="B780" t="b">
            <v>1</v>
          </cell>
          <cell r="E780" t="str">
            <v>Bayunca</v>
          </cell>
          <cell r="H780" t="str">
            <v>salud_oral</v>
          </cell>
          <cell r="J780" t="str">
            <v>bueno</v>
          </cell>
          <cell r="K780" t="str">
            <v>probsi</v>
          </cell>
        </row>
        <row r="781">
          <cell r="B781" t="b">
            <v>1</v>
          </cell>
          <cell r="E781" t="str">
            <v>Bayunca</v>
          </cell>
          <cell r="H781" t="str">
            <v>laboratorio</v>
          </cell>
          <cell r="J781" t="str">
            <v>bueno</v>
          </cell>
          <cell r="K781" t="str">
            <v>probsi</v>
          </cell>
        </row>
        <row r="782">
          <cell r="B782" t="b">
            <v>1</v>
          </cell>
          <cell r="E782" t="str">
            <v>Bayunca</v>
          </cell>
          <cell r="H782" t="str">
            <v>ecografias</v>
          </cell>
          <cell r="J782" t="str">
            <v>bueno</v>
          </cell>
          <cell r="K782" t="str">
            <v>probsi</v>
          </cell>
        </row>
        <row r="783">
          <cell r="B783" t="b">
            <v>1</v>
          </cell>
          <cell r="E783" t="str">
            <v>Tierra Baja</v>
          </cell>
          <cell r="H783" t="str">
            <v>consulta_externa</v>
          </cell>
          <cell r="J783" t="str">
            <v>bueno</v>
          </cell>
          <cell r="K783" t="str">
            <v>probsi</v>
          </cell>
        </row>
        <row r="784">
          <cell r="B784" t="b">
            <v>0</v>
          </cell>
          <cell r="E784" t="str">
            <v>Bayunca</v>
          </cell>
          <cell r="H784" t="str">
            <v>urgencia</v>
          </cell>
          <cell r="J784" t="str">
            <v>regular</v>
          </cell>
          <cell r="K784" t="str">
            <v>probsi</v>
          </cell>
        </row>
        <row r="785">
          <cell r="B785" t="b">
            <v>1</v>
          </cell>
          <cell r="E785" t="str">
            <v>San Vicente de Paul</v>
          </cell>
          <cell r="H785" t="str">
            <v>consulta_externa</v>
          </cell>
          <cell r="J785" t="str">
            <v>bueno</v>
          </cell>
          <cell r="K785" t="str">
            <v>defsi</v>
          </cell>
        </row>
        <row r="786">
          <cell r="B786" t="b">
            <v>1</v>
          </cell>
          <cell r="E786" t="str">
            <v>San Vicente de Paul</v>
          </cell>
          <cell r="H786" t="str">
            <v>consulta_externa</v>
          </cell>
          <cell r="J786" t="str">
            <v>bueno</v>
          </cell>
          <cell r="K786" t="str">
            <v>defsi</v>
          </cell>
        </row>
        <row r="787">
          <cell r="B787" t="b">
            <v>1</v>
          </cell>
          <cell r="E787" t="str">
            <v>Bayunca</v>
          </cell>
          <cell r="H787" t="str">
            <v>consulta_externa</v>
          </cell>
          <cell r="J787" t="str">
            <v>bueno</v>
          </cell>
          <cell r="K787" t="str">
            <v>probsi</v>
          </cell>
        </row>
        <row r="788">
          <cell r="B788" t="b">
            <v>1</v>
          </cell>
          <cell r="E788" t="str">
            <v>San Vicente de Paul</v>
          </cell>
          <cell r="H788" t="str">
            <v>laboratorio</v>
          </cell>
          <cell r="J788" t="str">
            <v>bueno</v>
          </cell>
          <cell r="K788" t="str">
            <v>defsi</v>
          </cell>
        </row>
        <row r="789">
          <cell r="B789" t="b">
            <v>1</v>
          </cell>
          <cell r="E789" t="str">
            <v>Candelaria</v>
          </cell>
          <cell r="H789" t="str">
            <v>laboratorio</v>
          </cell>
          <cell r="J789" t="str">
            <v>bueno</v>
          </cell>
          <cell r="K789" t="str">
            <v>defsi</v>
          </cell>
        </row>
        <row r="790">
          <cell r="B790" t="b">
            <v>1</v>
          </cell>
          <cell r="E790" t="str">
            <v>Candelaria</v>
          </cell>
          <cell r="H790" t="str">
            <v>consulta_externa</v>
          </cell>
          <cell r="J790" t="str">
            <v>bueno</v>
          </cell>
          <cell r="K790" t="str">
            <v>defsi</v>
          </cell>
        </row>
        <row r="791">
          <cell r="B791" t="b">
            <v>1</v>
          </cell>
          <cell r="E791" t="str">
            <v>Candelaria</v>
          </cell>
          <cell r="H791" t="str">
            <v>laboratorio</v>
          </cell>
          <cell r="J791" t="str">
            <v>bueno</v>
          </cell>
          <cell r="K791" t="str">
            <v>defsi</v>
          </cell>
        </row>
        <row r="792">
          <cell r="B792" t="b">
            <v>1</v>
          </cell>
          <cell r="E792" t="str">
            <v>San Vicente de Paul</v>
          </cell>
          <cell r="H792" t="str">
            <v>consulta_externa</v>
          </cell>
          <cell r="J792" t="str">
            <v>bueno</v>
          </cell>
          <cell r="K792" t="str">
            <v>defsi</v>
          </cell>
        </row>
        <row r="793">
          <cell r="B793" t="b">
            <v>1</v>
          </cell>
          <cell r="E793" t="str">
            <v>Candelaria</v>
          </cell>
          <cell r="H793" t="str">
            <v>consulta_externa</v>
          </cell>
          <cell r="J793" t="str">
            <v>bueno</v>
          </cell>
          <cell r="K793" t="str">
            <v>defsi</v>
          </cell>
        </row>
        <row r="794">
          <cell r="B794" t="b">
            <v>1</v>
          </cell>
          <cell r="E794" t="str">
            <v>San Vicente de Paul</v>
          </cell>
          <cell r="H794" t="str">
            <v>salud_oral</v>
          </cell>
          <cell r="J794" t="str">
            <v>bueno</v>
          </cell>
          <cell r="K794" t="str">
            <v>defsi</v>
          </cell>
        </row>
        <row r="795">
          <cell r="B795" t="b">
            <v>1</v>
          </cell>
          <cell r="E795" t="str">
            <v>San Vicente de Paul</v>
          </cell>
          <cell r="H795" t="str">
            <v>laboratorio</v>
          </cell>
          <cell r="J795" t="str">
            <v>bueno</v>
          </cell>
          <cell r="K795" t="str">
            <v>defsi</v>
          </cell>
        </row>
        <row r="796">
          <cell r="B796" t="b">
            <v>1</v>
          </cell>
          <cell r="E796" t="str">
            <v>Candelaria</v>
          </cell>
          <cell r="H796" t="str">
            <v>consulta_externa</v>
          </cell>
          <cell r="J796" t="str">
            <v>bueno</v>
          </cell>
          <cell r="K796" t="str">
            <v>defsi</v>
          </cell>
        </row>
        <row r="797">
          <cell r="B797" t="b">
            <v>1</v>
          </cell>
          <cell r="E797" t="str">
            <v>Candelaria</v>
          </cell>
          <cell r="H797" t="str">
            <v>laboratorio</v>
          </cell>
          <cell r="J797" t="str">
            <v>bueno</v>
          </cell>
          <cell r="K797" t="str">
            <v>defsi</v>
          </cell>
        </row>
        <row r="798">
          <cell r="B798" t="b">
            <v>1</v>
          </cell>
          <cell r="E798" t="str">
            <v>Tierra Baja</v>
          </cell>
          <cell r="H798" t="str">
            <v>salud_oral</v>
          </cell>
          <cell r="J798" t="str">
            <v>bueno</v>
          </cell>
          <cell r="K798" t="str">
            <v>probsi</v>
          </cell>
        </row>
        <row r="799">
          <cell r="B799" t="b">
            <v>1</v>
          </cell>
          <cell r="E799" t="str">
            <v>Candelaria</v>
          </cell>
          <cell r="H799" t="str">
            <v>consulta_externa</v>
          </cell>
          <cell r="J799" t="str">
            <v>muybueno</v>
          </cell>
          <cell r="K799" t="str">
            <v>defsi</v>
          </cell>
        </row>
        <row r="800">
          <cell r="B800" t="b">
            <v>1</v>
          </cell>
          <cell r="E800" t="str">
            <v>Candelaria</v>
          </cell>
          <cell r="H800" t="str">
            <v>laboratorio</v>
          </cell>
          <cell r="J800" t="str">
            <v>bueno</v>
          </cell>
          <cell r="K800" t="str">
            <v>defsi</v>
          </cell>
        </row>
        <row r="801">
          <cell r="B801" t="b">
            <v>1</v>
          </cell>
          <cell r="E801" t="str">
            <v>Puerto Rey</v>
          </cell>
          <cell r="H801" t="str">
            <v>salud_oral</v>
          </cell>
          <cell r="J801" t="str">
            <v>bueno</v>
          </cell>
          <cell r="K801" t="str">
            <v>probsi</v>
          </cell>
        </row>
        <row r="802">
          <cell r="B802" t="b">
            <v>1</v>
          </cell>
          <cell r="E802" t="str">
            <v>San Vicente de Paul</v>
          </cell>
          <cell r="H802" t="str">
            <v>consulta_externa</v>
          </cell>
          <cell r="J802" t="str">
            <v>bueno</v>
          </cell>
          <cell r="K802" t="str">
            <v>defsi</v>
          </cell>
        </row>
        <row r="803">
          <cell r="B803" t="b">
            <v>1</v>
          </cell>
          <cell r="E803" t="str">
            <v>San Vicente de Paul</v>
          </cell>
          <cell r="H803" t="str">
            <v>salud_oral</v>
          </cell>
          <cell r="J803" t="str">
            <v>bueno</v>
          </cell>
          <cell r="K803" t="str">
            <v>defsi</v>
          </cell>
        </row>
        <row r="804">
          <cell r="B804" t="b">
            <v>1</v>
          </cell>
          <cell r="E804" t="str">
            <v>San Vicente de Paul</v>
          </cell>
          <cell r="H804" t="str">
            <v>laboratorio</v>
          </cell>
          <cell r="J804" t="str">
            <v>bueno</v>
          </cell>
          <cell r="K804" t="str">
            <v>defsi</v>
          </cell>
        </row>
        <row r="805">
          <cell r="B805" t="b">
            <v>1</v>
          </cell>
          <cell r="E805" t="str">
            <v>Puerto Rey</v>
          </cell>
          <cell r="H805" t="str">
            <v>consulta_externa</v>
          </cell>
          <cell r="J805" t="str">
            <v>bueno</v>
          </cell>
          <cell r="K805" t="str">
            <v>probsi</v>
          </cell>
        </row>
        <row r="806">
          <cell r="B806" t="b">
            <v>1</v>
          </cell>
          <cell r="E806" t="str">
            <v>San Vicente de Paul</v>
          </cell>
          <cell r="H806" t="str">
            <v>consulta_externa</v>
          </cell>
          <cell r="J806" t="str">
            <v>bueno</v>
          </cell>
          <cell r="K806" t="str">
            <v>defsi</v>
          </cell>
        </row>
        <row r="807">
          <cell r="B807" t="b">
            <v>1</v>
          </cell>
          <cell r="E807" t="str">
            <v>Bayunca</v>
          </cell>
          <cell r="H807" t="str">
            <v>consulta_externa</v>
          </cell>
          <cell r="J807" t="str">
            <v>bueno</v>
          </cell>
          <cell r="K807" t="str">
            <v>probsi</v>
          </cell>
        </row>
        <row r="808">
          <cell r="B808" t="b">
            <v>1</v>
          </cell>
          <cell r="E808" t="str">
            <v>San Vicente de Paul</v>
          </cell>
          <cell r="H808" t="str">
            <v>salud_oral</v>
          </cell>
          <cell r="J808" t="str">
            <v>bueno</v>
          </cell>
          <cell r="K808" t="str">
            <v>defsi</v>
          </cell>
        </row>
        <row r="809">
          <cell r="B809" t="b">
            <v>1</v>
          </cell>
          <cell r="E809" t="str">
            <v>Bayunca</v>
          </cell>
          <cell r="H809" t="str">
            <v>salud_oral</v>
          </cell>
          <cell r="J809" t="str">
            <v>bueno</v>
          </cell>
          <cell r="K809" t="str">
            <v>probsi</v>
          </cell>
        </row>
        <row r="810">
          <cell r="B810" t="b">
            <v>1</v>
          </cell>
          <cell r="E810" t="str">
            <v>Bayunca</v>
          </cell>
          <cell r="H810" t="str">
            <v>urgencia</v>
          </cell>
          <cell r="J810" t="str">
            <v>bueno</v>
          </cell>
          <cell r="K810" t="str">
            <v>probsi</v>
          </cell>
        </row>
        <row r="811">
          <cell r="B811" t="b">
            <v>1</v>
          </cell>
          <cell r="E811" t="str">
            <v>San Vicente de Paul</v>
          </cell>
          <cell r="H811" t="str">
            <v>laboratorio</v>
          </cell>
          <cell r="J811" t="str">
            <v>bueno</v>
          </cell>
          <cell r="K811" t="str">
            <v>defsi</v>
          </cell>
        </row>
        <row r="812">
          <cell r="B812" t="b">
            <v>1</v>
          </cell>
          <cell r="E812" t="str">
            <v>San Vicente de Paul</v>
          </cell>
          <cell r="H812" t="str">
            <v>consulta_externa</v>
          </cell>
          <cell r="J812" t="str">
            <v>bueno</v>
          </cell>
          <cell r="K812" t="str">
            <v>defsi</v>
          </cell>
        </row>
        <row r="813">
          <cell r="B813" t="b">
            <v>1</v>
          </cell>
          <cell r="E813" t="str">
            <v>San Vicente de Paul</v>
          </cell>
          <cell r="H813" t="str">
            <v>salud_oral</v>
          </cell>
          <cell r="J813" t="str">
            <v>bueno</v>
          </cell>
          <cell r="K813" t="str">
            <v>defsi</v>
          </cell>
        </row>
        <row r="814">
          <cell r="B814" t="b">
            <v>1</v>
          </cell>
          <cell r="E814" t="str">
            <v>Puerto Rey</v>
          </cell>
          <cell r="H814" t="str">
            <v>consulta_externa</v>
          </cell>
          <cell r="J814" t="str">
            <v>muybueno</v>
          </cell>
          <cell r="K814" t="str">
            <v>probsi</v>
          </cell>
        </row>
        <row r="815">
          <cell r="B815" t="b">
            <v>0</v>
          </cell>
          <cell r="E815" t="str">
            <v>Candelaria</v>
          </cell>
          <cell r="H815" t="str">
            <v>laboratorio</v>
          </cell>
          <cell r="J815" t="str">
            <v>regular</v>
          </cell>
          <cell r="K815" t="str">
            <v>probsi</v>
          </cell>
        </row>
        <row r="816">
          <cell r="B816" t="b">
            <v>1</v>
          </cell>
          <cell r="E816" t="str">
            <v>Puerto Rey</v>
          </cell>
          <cell r="H816" t="str">
            <v>consulta_externa</v>
          </cell>
          <cell r="J816" t="str">
            <v>bueno</v>
          </cell>
          <cell r="K816" t="str">
            <v>defsi</v>
          </cell>
        </row>
        <row r="817">
          <cell r="B817" t="b">
            <v>0</v>
          </cell>
          <cell r="E817" t="str">
            <v>Candelaria</v>
          </cell>
          <cell r="H817" t="str">
            <v>consulta_externa</v>
          </cell>
          <cell r="J817" t="str">
            <v>regular</v>
          </cell>
          <cell r="K817" t="str">
            <v>probsi</v>
          </cell>
        </row>
        <row r="818">
          <cell r="B818" t="b">
            <v>1</v>
          </cell>
          <cell r="E818" t="str">
            <v>Puerto Rey</v>
          </cell>
          <cell r="H818" t="str">
            <v>consulta_externa</v>
          </cell>
          <cell r="J818" t="str">
            <v>muybueno</v>
          </cell>
          <cell r="K818" t="str">
            <v>probsi</v>
          </cell>
        </row>
        <row r="819">
          <cell r="B819" t="b">
            <v>1</v>
          </cell>
          <cell r="E819" t="str">
            <v>Puerto Rey</v>
          </cell>
          <cell r="H819" t="str">
            <v>consulta_externa</v>
          </cell>
          <cell r="J819" t="str">
            <v>bueno</v>
          </cell>
          <cell r="K819" t="str">
            <v>defsi</v>
          </cell>
        </row>
        <row r="820">
          <cell r="B820" t="b">
            <v>1</v>
          </cell>
          <cell r="E820" t="str">
            <v>Candelaria</v>
          </cell>
          <cell r="H820" t="str">
            <v>consulta_externa</v>
          </cell>
          <cell r="J820" t="str">
            <v>muybueno</v>
          </cell>
          <cell r="K820" t="str">
            <v>defsi</v>
          </cell>
        </row>
        <row r="821">
          <cell r="B821" t="b">
            <v>1</v>
          </cell>
          <cell r="E821" t="str">
            <v>Puerto Rey</v>
          </cell>
          <cell r="H821" t="str">
            <v>consulta_externa</v>
          </cell>
          <cell r="J821" t="str">
            <v>muybueno</v>
          </cell>
          <cell r="K821" t="str">
            <v>defsi</v>
          </cell>
        </row>
        <row r="822">
          <cell r="B822" t="b">
            <v>1</v>
          </cell>
          <cell r="E822" t="str">
            <v>Candelaria</v>
          </cell>
          <cell r="H822" t="str">
            <v>consulta_externa</v>
          </cell>
          <cell r="J822" t="str">
            <v>bueno</v>
          </cell>
          <cell r="K822" t="str">
            <v>defsi</v>
          </cell>
        </row>
        <row r="823">
          <cell r="B823" t="b">
            <v>1</v>
          </cell>
          <cell r="E823" t="str">
            <v>Puerto Rey</v>
          </cell>
          <cell r="H823" t="str">
            <v>salud_oral</v>
          </cell>
          <cell r="J823" t="str">
            <v>bueno</v>
          </cell>
          <cell r="K823" t="str">
            <v>defsi</v>
          </cell>
        </row>
        <row r="824">
          <cell r="B824" t="b">
            <v>1</v>
          </cell>
          <cell r="E824" t="str">
            <v>Puerto Rey</v>
          </cell>
          <cell r="H824" t="str">
            <v>consulta_externa</v>
          </cell>
          <cell r="J824" t="str">
            <v>bueno</v>
          </cell>
          <cell r="K824" t="str">
            <v>probsi</v>
          </cell>
        </row>
        <row r="825">
          <cell r="B825" t="b">
            <v>1</v>
          </cell>
          <cell r="E825" t="str">
            <v>Puerto Rey</v>
          </cell>
          <cell r="H825" t="str">
            <v>salud_oral</v>
          </cell>
          <cell r="J825" t="str">
            <v>bueno</v>
          </cell>
          <cell r="K825" t="str">
            <v>probsi</v>
          </cell>
        </row>
        <row r="826">
          <cell r="B826" t="b">
            <v>1</v>
          </cell>
          <cell r="E826" t="str">
            <v>Puerto Rey</v>
          </cell>
          <cell r="H826" t="str">
            <v>salud_oral</v>
          </cell>
          <cell r="J826" t="str">
            <v>bueno</v>
          </cell>
          <cell r="K826" t="str">
            <v>defsi</v>
          </cell>
        </row>
        <row r="827">
          <cell r="B827" t="b">
            <v>1</v>
          </cell>
          <cell r="E827" t="str">
            <v>Puerto Rey</v>
          </cell>
          <cell r="H827" t="str">
            <v>consulta_externa</v>
          </cell>
          <cell r="J827" t="str">
            <v>bueno</v>
          </cell>
          <cell r="K827" t="str">
            <v>probsi</v>
          </cell>
        </row>
        <row r="828">
          <cell r="B828" t="b">
            <v>1</v>
          </cell>
          <cell r="E828" t="str">
            <v>Puerto Rey</v>
          </cell>
          <cell r="H828" t="str">
            <v>salud_oral</v>
          </cell>
          <cell r="J828" t="str">
            <v>bueno</v>
          </cell>
          <cell r="K828" t="str">
            <v>probsi</v>
          </cell>
        </row>
        <row r="829">
          <cell r="B829" t="b">
            <v>1</v>
          </cell>
          <cell r="E829" t="str">
            <v>Libano</v>
          </cell>
          <cell r="H829" t="str">
            <v>consulta_externa</v>
          </cell>
          <cell r="J829" t="str">
            <v>bueno</v>
          </cell>
          <cell r="K829" t="str">
            <v>defsi</v>
          </cell>
        </row>
        <row r="830">
          <cell r="B830" t="b">
            <v>1</v>
          </cell>
          <cell r="E830" t="str">
            <v>Libano</v>
          </cell>
          <cell r="H830" t="str">
            <v>salud_oral</v>
          </cell>
          <cell r="J830" t="str">
            <v>bueno</v>
          </cell>
          <cell r="K830" t="str">
            <v>defsi</v>
          </cell>
        </row>
        <row r="831">
          <cell r="B831" t="b">
            <v>1</v>
          </cell>
          <cell r="E831" t="str">
            <v>Libano</v>
          </cell>
          <cell r="H831" t="str">
            <v>laboratorio</v>
          </cell>
          <cell r="J831" t="str">
            <v>bueno</v>
          </cell>
          <cell r="K831" t="str">
            <v>defsi</v>
          </cell>
        </row>
        <row r="832">
          <cell r="B832" t="b">
            <v>1</v>
          </cell>
          <cell r="E832" t="str">
            <v>Libano</v>
          </cell>
          <cell r="H832" t="str">
            <v>ecografias</v>
          </cell>
          <cell r="J832" t="str">
            <v>bueno</v>
          </cell>
          <cell r="K832" t="str">
            <v>defsi</v>
          </cell>
        </row>
        <row r="833">
          <cell r="B833" t="b">
            <v>1</v>
          </cell>
          <cell r="E833" t="str">
            <v>Libano</v>
          </cell>
          <cell r="H833" t="str">
            <v>ginecologia</v>
          </cell>
          <cell r="J833" t="str">
            <v>bueno</v>
          </cell>
          <cell r="K833" t="str">
            <v>defsi</v>
          </cell>
        </row>
        <row r="834">
          <cell r="B834" t="b">
            <v>1</v>
          </cell>
          <cell r="E834" t="str">
            <v>Puerto Rey</v>
          </cell>
          <cell r="H834" t="str">
            <v>consulta_externa</v>
          </cell>
          <cell r="J834" t="str">
            <v>bueno</v>
          </cell>
          <cell r="K834" t="str">
            <v>probsi</v>
          </cell>
        </row>
        <row r="835">
          <cell r="B835" t="b">
            <v>1</v>
          </cell>
          <cell r="E835" t="str">
            <v>Libano</v>
          </cell>
          <cell r="H835" t="str">
            <v>pediatria</v>
          </cell>
          <cell r="J835" t="str">
            <v>bueno</v>
          </cell>
          <cell r="K835" t="str">
            <v>defsi</v>
          </cell>
        </row>
        <row r="836">
          <cell r="B836" t="b">
            <v>1</v>
          </cell>
          <cell r="E836" t="str">
            <v>Libano</v>
          </cell>
          <cell r="H836" t="str">
            <v>consulta_externa</v>
          </cell>
          <cell r="J836" t="str">
            <v>bueno</v>
          </cell>
          <cell r="K836" t="str">
            <v>defsi</v>
          </cell>
        </row>
        <row r="837">
          <cell r="B837" t="b">
            <v>1</v>
          </cell>
          <cell r="E837" t="str">
            <v>Libano</v>
          </cell>
          <cell r="H837" t="str">
            <v>salud_oral</v>
          </cell>
          <cell r="J837" t="str">
            <v>bueno</v>
          </cell>
          <cell r="K837" t="str">
            <v>defsi</v>
          </cell>
        </row>
        <row r="838">
          <cell r="B838" t="b">
            <v>1</v>
          </cell>
          <cell r="E838" t="str">
            <v>Libano</v>
          </cell>
          <cell r="H838" t="str">
            <v>laboratorio</v>
          </cell>
          <cell r="J838" t="str">
            <v>bueno</v>
          </cell>
          <cell r="K838" t="str">
            <v>defsi</v>
          </cell>
        </row>
        <row r="839">
          <cell r="B839" t="b">
            <v>1</v>
          </cell>
          <cell r="E839" t="str">
            <v>Libano</v>
          </cell>
          <cell r="H839" t="str">
            <v>ecografias</v>
          </cell>
          <cell r="J839" t="str">
            <v>bueno</v>
          </cell>
          <cell r="K839" t="str">
            <v>defsi</v>
          </cell>
        </row>
        <row r="840">
          <cell r="B840" t="b">
            <v>1</v>
          </cell>
          <cell r="E840" t="str">
            <v>Libano</v>
          </cell>
          <cell r="H840" t="str">
            <v>ginecologia</v>
          </cell>
          <cell r="J840" t="str">
            <v>bueno</v>
          </cell>
          <cell r="K840" t="str">
            <v>defsi</v>
          </cell>
        </row>
        <row r="841">
          <cell r="B841" t="b">
            <v>1</v>
          </cell>
          <cell r="E841" t="str">
            <v>Libano</v>
          </cell>
          <cell r="H841" t="str">
            <v>pediatria</v>
          </cell>
          <cell r="J841" t="str">
            <v>bueno</v>
          </cell>
          <cell r="K841" t="str">
            <v>defsi</v>
          </cell>
        </row>
        <row r="842">
          <cell r="B842" t="b">
            <v>1</v>
          </cell>
          <cell r="E842" t="str">
            <v>Libano</v>
          </cell>
          <cell r="H842" t="str">
            <v>consulta_externa</v>
          </cell>
          <cell r="J842" t="str">
            <v>bueno</v>
          </cell>
          <cell r="K842" t="str">
            <v>defsi</v>
          </cell>
        </row>
        <row r="843">
          <cell r="B843" t="b">
            <v>1</v>
          </cell>
          <cell r="E843" t="str">
            <v>Candelaria</v>
          </cell>
          <cell r="H843" t="str">
            <v>consulta_externa</v>
          </cell>
          <cell r="J843" t="str">
            <v>bueno</v>
          </cell>
          <cell r="K843" t="str">
            <v>defsi</v>
          </cell>
        </row>
        <row r="844">
          <cell r="B844" t="b">
            <v>1</v>
          </cell>
          <cell r="E844" t="str">
            <v>Candelaria</v>
          </cell>
          <cell r="H844" t="str">
            <v>salud_oral</v>
          </cell>
          <cell r="J844" t="str">
            <v>bueno</v>
          </cell>
          <cell r="K844" t="str">
            <v>defsi</v>
          </cell>
        </row>
        <row r="845">
          <cell r="B845" t="b">
            <v>1</v>
          </cell>
          <cell r="E845" t="str">
            <v>Candelaria</v>
          </cell>
          <cell r="H845" t="str">
            <v>consulta_externa</v>
          </cell>
          <cell r="J845" t="str">
            <v>bueno</v>
          </cell>
          <cell r="K845" t="str">
            <v>defsi</v>
          </cell>
        </row>
        <row r="846">
          <cell r="B846" t="b">
            <v>1</v>
          </cell>
          <cell r="E846" t="str">
            <v>Candelaria</v>
          </cell>
          <cell r="H846" t="str">
            <v>salud_oral</v>
          </cell>
          <cell r="J846" t="str">
            <v>bueno</v>
          </cell>
          <cell r="K846" t="str">
            <v>defsi</v>
          </cell>
        </row>
        <row r="847">
          <cell r="B847" t="b">
            <v>1</v>
          </cell>
          <cell r="E847" t="str">
            <v>Candelaria</v>
          </cell>
          <cell r="H847" t="str">
            <v>salud_oral</v>
          </cell>
          <cell r="J847" t="str">
            <v>bueno</v>
          </cell>
          <cell r="K847" t="str">
            <v>defsi</v>
          </cell>
        </row>
        <row r="848">
          <cell r="B848" t="b">
            <v>0</v>
          </cell>
          <cell r="E848" t="str">
            <v>Candelaria</v>
          </cell>
          <cell r="H848" t="str">
            <v>consulta_externa</v>
          </cell>
          <cell r="J848" t="str">
            <v>regular</v>
          </cell>
          <cell r="K848" t="str">
            <v>probsi</v>
          </cell>
        </row>
        <row r="849">
          <cell r="B849" t="b">
            <v>1</v>
          </cell>
          <cell r="E849" t="str">
            <v>Candelaria</v>
          </cell>
          <cell r="H849" t="str">
            <v>salud_oral</v>
          </cell>
          <cell r="J849" t="str">
            <v>bueno</v>
          </cell>
          <cell r="K849" t="str">
            <v>probsi</v>
          </cell>
        </row>
        <row r="850">
          <cell r="B850" t="b">
            <v>1</v>
          </cell>
          <cell r="E850" t="str">
            <v>Tierra Baja</v>
          </cell>
          <cell r="H850" t="str">
            <v>salud_oral</v>
          </cell>
          <cell r="J850" t="str">
            <v>bueno</v>
          </cell>
          <cell r="K850" t="str">
            <v>probsi</v>
          </cell>
        </row>
        <row r="851">
          <cell r="B851" t="b">
            <v>1</v>
          </cell>
          <cell r="E851" t="str">
            <v>Candelaria</v>
          </cell>
          <cell r="H851" t="str">
            <v>electros</v>
          </cell>
          <cell r="J851" t="str">
            <v>bueno</v>
          </cell>
          <cell r="K851" t="str">
            <v>defsi</v>
          </cell>
        </row>
        <row r="852">
          <cell r="B852" t="b">
            <v>1</v>
          </cell>
          <cell r="E852" t="str">
            <v>Candelaria</v>
          </cell>
          <cell r="H852" t="str">
            <v>electros</v>
          </cell>
          <cell r="J852" t="str">
            <v>bueno</v>
          </cell>
          <cell r="K852" t="str">
            <v>defsi</v>
          </cell>
        </row>
        <row r="853">
          <cell r="B853" t="b">
            <v>1</v>
          </cell>
          <cell r="E853" t="str">
            <v>Candelaria</v>
          </cell>
          <cell r="H853" t="str">
            <v>electros</v>
          </cell>
          <cell r="J853" t="str">
            <v>muybueno</v>
          </cell>
          <cell r="K853" t="str">
            <v>defsi</v>
          </cell>
        </row>
        <row r="854">
          <cell r="B854" t="b">
            <v>1</v>
          </cell>
          <cell r="E854" t="str">
            <v>Candelaria</v>
          </cell>
          <cell r="H854" t="str">
            <v>electros</v>
          </cell>
          <cell r="J854" t="str">
            <v>muybueno</v>
          </cell>
          <cell r="K854" t="str">
            <v>defsi</v>
          </cell>
        </row>
        <row r="855">
          <cell r="B855" t="b">
            <v>0</v>
          </cell>
          <cell r="E855" t="str">
            <v>Candelaria</v>
          </cell>
          <cell r="H855" t="str">
            <v>electros</v>
          </cell>
          <cell r="J855" t="str">
            <v>regular</v>
          </cell>
          <cell r="K855" t="str">
            <v>defsi</v>
          </cell>
        </row>
        <row r="856">
          <cell r="B856" t="b">
            <v>1</v>
          </cell>
          <cell r="E856" t="str">
            <v>Candelaria</v>
          </cell>
          <cell r="H856" t="str">
            <v>electros</v>
          </cell>
          <cell r="J856" t="str">
            <v>bueno</v>
          </cell>
          <cell r="K856" t="str">
            <v>defsi</v>
          </cell>
        </row>
        <row r="857">
          <cell r="B857" t="b">
            <v>1</v>
          </cell>
          <cell r="E857" t="str">
            <v>Tierra Baja</v>
          </cell>
          <cell r="H857" t="str">
            <v>consulta_externa</v>
          </cell>
          <cell r="J857" t="str">
            <v>bueno</v>
          </cell>
          <cell r="K857" t="str">
            <v>probsi</v>
          </cell>
        </row>
        <row r="858">
          <cell r="B858" t="b">
            <v>1</v>
          </cell>
          <cell r="E858" t="str">
            <v>Isla Fuerte</v>
          </cell>
          <cell r="H858" t="str">
            <v>consulta_externa</v>
          </cell>
          <cell r="J858" t="str">
            <v>muybueno</v>
          </cell>
          <cell r="K858" t="str">
            <v>defsi</v>
          </cell>
        </row>
        <row r="859">
          <cell r="B859" t="b">
            <v>1</v>
          </cell>
          <cell r="E859" t="str">
            <v>Isla Fuerte</v>
          </cell>
          <cell r="H859" t="str">
            <v>laboratorio</v>
          </cell>
          <cell r="J859" t="str">
            <v>muybueno</v>
          </cell>
          <cell r="K859" t="str">
            <v>defsi</v>
          </cell>
        </row>
        <row r="860">
          <cell r="B860" t="b">
            <v>1</v>
          </cell>
          <cell r="E860" t="str">
            <v>Isla Fuerte</v>
          </cell>
          <cell r="H860" t="str">
            <v>salud_oral</v>
          </cell>
          <cell r="J860" t="str">
            <v>muybueno</v>
          </cell>
          <cell r="K860" t="str">
            <v>defsi</v>
          </cell>
        </row>
        <row r="861">
          <cell r="B861" t="b">
            <v>1</v>
          </cell>
          <cell r="E861" t="str">
            <v>Tierra Baja</v>
          </cell>
          <cell r="H861" t="str">
            <v>consulta_externa</v>
          </cell>
          <cell r="J861" t="str">
            <v>bueno</v>
          </cell>
          <cell r="K861" t="str">
            <v>probsi</v>
          </cell>
        </row>
        <row r="862">
          <cell r="B862" t="b">
            <v>1</v>
          </cell>
          <cell r="E862" t="str">
            <v>Isla Fuerte</v>
          </cell>
          <cell r="H862" t="str">
            <v>consulta_externa</v>
          </cell>
          <cell r="J862" t="str">
            <v>muybueno</v>
          </cell>
          <cell r="K862" t="str">
            <v>defsi</v>
          </cell>
        </row>
        <row r="863">
          <cell r="B863" t="b">
            <v>1</v>
          </cell>
          <cell r="E863" t="str">
            <v>Isla Fuerte</v>
          </cell>
          <cell r="H863" t="str">
            <v>laboratorio</v>
          </cell>
          <cell r="J863" t="str">
            <v>muybueno</v>
          </cell>
          <cell r="K863" t="str">
            <v>defsi</v>
          </cell>
        </row>
        <row r="864">
          <cell r="B864" t="b">
            <v>1</v>
          </cell>
          <cell r="E864" t="str">
            <v>Isla Fuerte</v>
          </cell>
          <cell r="H864" t="str">
            <v>consulta_externa</v>
          </cell>
          <cell r="J864" t="str">
            <v>muybueno</v>
          </cell>
          <cell r="K864" t="str">
            <v>defsi</v>
          </cell>
        </row>
        <row r="865">
          <cell r="B865" t="b">
            <v>1</v>
          </cell>
          <cell r="E865" t="str">
            <v>Isla Fuerte</v>
          </cell>
          <cell r="H865" t="str">
            <v>laboratorio</v>
          </cell>
          <cell r="J865" t="str">
            <v>muybueno</v>
          </cell>
          <cell r="K865" t="str">
            <v>defsi</v>
          </cell>
        </row>
        <row r="866">
          <cell r="B866" t="b">
            <v>1</v>
          </cell>
          <cell r="E866" t="str">
            <v>Tierra Baja</v>
          </cell>
          <cell r="H866" t="str">
            <v>consulta_externa</v>
          </cell>
          <cell r="J866" t="str">
            <v>bueno</v>
          </cell>
          <cell r="K866" t="str">
            <v>probsi</v>
          </cell>
        </row>
        <row r="867">
          <cell r="B867" t="b">
            <v>1</v>
          </cell>
          <cell r="E867" t="str">
            <v>Tierra Baja</v>
          </cell>
          <cell r="H867" t="str">
            <v>laboratorio</v>
          </cell>
          <cell r="J867" t="str">
            <v>bueno</v>
          </cell>
          <cell r="K867" t="str">
            <v>probsi</v>
          </cell>
        </row>
        <row r="868">
          <cell r="B868" t="b">
            <v>1</v>
          </cell>
          <cell r="E868" t="str">
            <v>Isla Fuerte</v>
          </cell>
          <cell r="H868" t="str">
            <v>salud_oral</v>
          </cell>
          <cell r="J868" t="str">
            <v>muybueno</v>
          </cell>
          <cell r="K868" t="str">
            <v>defsi</v>
          </cell>
        </row>
        <row r="869">
          <cell r="B869" t="b">
            <v>1</v>
          </cell>
          <cell r="E869" t="str">
            <v>Candelaria</v>
          </cell>
          <cell r="H869" t="str">
            <v>urgencia</v>
          </cell>
          <cell r="J869" t="str">
            <v>bueno</v>
          </cell>
          <cell r="K869" t="str">
            <v>defsi</v>
          </cell>
        </row>
        <row r="870">
          <cell r="B870" t="b">
            <v>1</v>
          </cell>
          <cell r="E870" t="str">
            <v>Candelaria</v>
          </cell>
          <cell r="H870" t="str">
            <v>urgencia</v>
          </cell>
          <cell r="J870" t="str">
            <v>bueno</v>
          </cell>
          <cell r="K870" t="str">
            <v>defsi</v>
          </cell>
        </row>
        <row r="871">
          <cell r="B871" t="b">
            <v>1</v>
          </cell>
          <cell r="E871" t="str">
            <v>Tierra Baja</v>
          </cell>
          <cell r="H871" t="str">
            <v>laboratorio</v>
          </cell>
          <cell r="J871" t="str">
            <v>bueno</v>
          </cell>
          <cell r="K871" t="str">
            <v>probsi</v>
          </cell>
        </row>
        <row r="872">
          <cell r="B872" t="b">
            <v>1</v>
          </cell>
          <cell r="E872" t="str">
            <v>Candelaria</v>
          </cell>
          <cell r="H872" t="str">
            <v>urgencia</v>
          </cell>
          <cell r="J872" t="str">
            <v>bueno</v>
          </cell>
          <cell r="K872" t="str">
            <v>defsi</v>
          </cell>
        </row>
        <row r="873">
          <cell r="B873" t="b">
            <v>1</v>
          </cell>
          <cell r="E873" t="str">
            <v>Tierra Baja</v>
          </cell>
          <cell r="H873" t="str">
            <v>salud_oral</v>
          </cell>
          <cell r="J873" t="str">
            <v>bueno</v>
          </cell>
          <cell r="K873" t="str">
            <v>probsi</v>
          </cell>
        </row>
        <row r="874">
          <cell r="B874" t="b">
            <v>1</v>
          </cell>
          <cell r="E874" t="str">
            <v>Isla Fuerte</v>
          </cell>
          <cell r="H874" t="str">
            <v>consulta_externa</v>
          </cell>
          <cell r="J874" t="str">
            <v>muybueno</v>
          </cell>
          <cell r="K874" t="str">
            <v>defsi</v>
          </cell>
        </row>
        <row r="875">
          <cell r="B875" t="b">
            <v>1</v>
          </cell>
          <cell r="E875" t="str">
            <v>Isla Fuerte</v>
          </cell>
          <cell r="H875" t="str">
            <v>laboratorio</v>
          </cell>
          <cell r="J875" t="str">
            <v>muybueno</v>
          </cell>
          <cell r="K875" t="str">
            <v>defsi</v>
          </cell>
        </row>
        <row r="876">
          <cell r="B876" t="b">
            <v>1</v>
          </cell>
          <cell r="E876" t="str">
            <v>Candelaria</v>
          </cell>
          <cell r="H876" t="str">
            <v>urgencia</v>
          </cell>
          <cell r="J876" t="str">
            <v>bueno</v>
          </cell>
          <cell r="K876" t="str">
            <v>defsi</v>
          </cell>
        </row>
        <row r="877">
          <cell r="B877" t="b">
            <v>1</v>
          </cell>
          <cell r="E877" t="str">
            <v>Candelaria</v>
          </cell>
          <cell r="H877" t="str">
            <v>urgencia</v>
          </cell>
          <cell r="J877" t="str">
            <v>bueno</v>
          </cell>
          <cell r="K877" t="str">
            <v>defsi</v>
          </cell>
        </row>
        <row r="878">
          <cell r="B878" t="b">
            <v>1</v>
          </cell>
          <cell r="E878" t="str">
            <v>Pontezuela</v>
          </cell>
          <cell r="H878" t="str">
            <v>salud_oral</v>
          </cell>
          <cell r="J878" t="str">
            <v>muybueno</v>
          </cell>
          <cell r="K878" t="str">
            <v>probsi</v>
          </cell>
        </row>
        <row r="879">
          <cell r="B879" t="b">
            <v>1</v>
          </cell>
          <cell r="E879" t="str">
            <v>Pontezuela</v>
          </cell>
          <cell r="H879" t="str">
            <v>salud_oral</v>
          </cell>
          <cell r="J879" t="str">
            <v>muybueno</v>
          </cell>
          <cell r="K879" t="str">
            <v>probsi</v>
          </cell>
        </row>
        <row r="880">
          <cell r="B880" t="b">
            <v>1</v>
          </cell>
          <cell r="E880" t="str">
            <v>Pontezuela</v>
          </cell>
          <cell r="H880" t="str">
            <v>salud_oral</v>
          </cell>
          <cell r="J880" t="str">
            <v>bueno</v>
          </cell>
          <cell r="K880" t="str">
            <v>probsi</v>
          </cell>
        </row>
        <row r="881">
          <cell r="B881" t="b">
            <v>1</v>
          </cell>
          <cell r="E881" t="str">
            <v>Pontezuela</v>
          </cell>
          <cell r="H881" t="str">
            <v>salud_oral</v>
          </cell>
          <cell r="J881" t="str">
            <v>bueno</v>
          </cell>
          <cell r="K881" t="str">
            <v>probsi</v>
          </cell>
        </row>
        <row r="882">
          <cell r="B882" t="b">
            <v>1</v>
          </cell>
          <cell r="E882" t="str">
            <v>Pontezuela</v>
          </cell>
          <cell r="H882" t="str">
            <v>salud_oral</v>
          </cell>
          <cell r="J882" t="str">
            <v>bueno</v>
          </cell>
          <cell r="K882" t="str">
            <v>probsi</v>
          </cell>
        </row>
        <row r="883">
          <cell r="B883" t="b">
            <v>1</v>
          </cell>
          <cell r="E883" t="str">
            <v>Pontezuela</v>
          </cell>
          <cell r="H883" t="str">
            <v>consulta_externa</v>
          </cell>
          <cell r="J883" t="str">
            <v>bueno</v>
          </cell>
          <cell r="K883" t="str">
            <v>probsi</v>
          </cell>
        </row>
        <row r="884">
          <cell r="B884" t="b">
            <v>1</v>
          </cell>
          <cell r="E884" t="str">
            <v>Pontezuela</v>
          </cell>
          <cell r="H884" t="str">
            <v>consulta_externa</v>
          </cell>
          <cell r="J884" t="str">
            <v>bueno</v>
          </cell>
          <cell r="K884" t="str">
            <v>probsi</v>
          </cell>
        </row>
        <row r="885">
          <cell r="B885" t="b">
            <v>1</v>
          </cell>
          <cell r="E885" t="str">
            <v>Pontezuela</v>
          </cell>
          <cell r="H885" t="str">
            <v>salud_oral</v>
          </cell>
          <cell r="J885" t="str">
            <v>bueno</v>
          </cell>
          <cell r="K885" t="str">
            <v>probsi</v>
          </cell>
        </row>
        <row r="886">
          <cell r="B886" t="b">
            <v>1</v>
          </cell>
          <cell r="E886" t="str">
            <v>Isla Fuerte</v>
          </cell>
          <cell r="H886" t="str">
            <v>consulta_externa</v>
          </cell>
          <cell r="J886" t="str">
            <v>muybueno</v>
          </cell>
          <cell r="K886" t="str">
            <v>defsi</v>
          </cell>
        </row>
        <row r="887">
          <cell r="B887" t="b">
            <v>1</v>
          </cell>
          <cell r="E887" t="str">
            <v>Isla Fuerte</v>
          </cell>
          <cell r="H887" t="str">
            <v>salud_oral</v>
          </cell>
          <cell r="J887" t="str">
            <v>muybueno</v>
          </cell>
          <cell r="K887" t="str">
            <v>defsi</v>
          </cell>
        </row>
        <row r="888">
          <cell r="B888" t="b">
            <v>1</v>
          </cell>
          <cell r="E888" t="str">
            <v>Tierra Baja</v>
          </cell>
          <cell r="H888" t="str">
            <v>salud_oral</v>
          </cell>
          <cell r="J888" t="str">
            <v>bueno</v>
          </cell>
          <cell r="K888" t="str">
            <v>probsi</v>
          </cell>
        </row>
        <row r="889">
          <cell r="B889" t="b">
            <v>0</v>
          </cell>
          <cell r="E889" t="str">
            <v>Bayunca</v>
          </cell>
          <cell r="H889" t="str">
            <v>urgencia</v>
          </cell>
          <cell r="J889" t="str">
            <v>regular</v>
          </cell>
          <cell r="K889" t="str">
            <v>probsi</v>
          </cell>
        </row>
        <row r="890">
          <cell r="B890" t="b">
            <v>1</v>
          </cell>
          <cell r="E890" t="str">
            <v>Bayunca</v>
          </cell>
          <cell r="H890" t="str">
            <v>urgencia</v>
          </cell>
          <cell r="J890" t="str">
            <v>bueno</v>
          </cell>
          <cell r="K890" t="str">
            <v>probsi</v>
          </cell>
        </row>
        <row r="891">
          <cell r="B891" t="b">
            <v>1</v>
          </cell>
          <cell r="E891" t="str">
            <v>Bayunca</v>
          </cell>
          <cell r="H891" t="str">
            <v>urgencia</v>
          </cell>
          <cell r="J891" t="str">
            <v>bueno</v>
          </cell>
          <cell r="K891" t="str">
            <v>probsi</v>
          </cell>
        </row>
        <row r="892">
          <cell r="B892" t="b">
            <v>1</v>
          </cell>
          <cell r="E892" t="str">
            <v>Bayunca</v>
          </cell>
          <cell r="H892" t="str">
            <v>urgencia</v>
          </cell>
          <cell r="J892" t="str">
            <v>bueno</v>
          </cell>
          <cell r="K892" t="str">
            <v>probsi</v>
          </cell>
        </row>
        <row r="893">
          <cell r="B893" t="b">
            <v>1</v>
          </cell>
          <cell r="E893" t="str">
            <v>Libano</v>
          </cell>
          <cell r="H893" t="str">
            <v>salud_oral</v>
          </cell>
          <cell r="J893" t="str">
            <v>bueno</v>
          </cell>
          <cell r="K893" t="str">
            <v>defsi</v>
          </cell>
        </row>
        <row r="894">
          <cell r="B894" t="b">
            <v>1</v>
          </cell>
          <cell r="E894" t="str">
            <v>Libano</v>
          </cell>
          <cell r="H894" t="str">
            <v>laboratorio</v>
          </cell>
          <cell r="J894" t="str">
            <v>bueno</v>
          </cell>
          <cell r="K894" t="str">
            <v>defsi</v>
          </cell>
        </row>
        <row r="895">
          <cell r="B895" t="b">
            <v>1</v>
          </cell>
          <cell r="E895" t="str">
            <v>Libano</v>
          </cell>
          <cell r="H895" t="str">
            <v>ecografias</v>
          </cell>
          <cell r="J895" t="str">
            <v>bueno</v>
          </cell>
          <cell r="K895" t="str">
            <v>defsi</v>
          </cell>
        </row>
        <row r="896">
          <cell r="B896" t="b">
            <v>1</v>
          </cell>
          <cell r="E896" t="str">
            <v>Libano</v>
          </cell>
          <cell r="H896" t="str">
            <v>ginecologia</v>
          </cell>
          <cell r="J896" t="str">
            <v>bueno</v>
          </cell>
          <cell r="K896" t="str">
            <v>defsi</v>
          </cell>
        </row>
        <row r="897">
          <cell r="B897" t="b">
            <v>1</v>
          </cell>
          <cell r="E897" t="str">
            <v>Libano</v>
          </cell>
          <cell r="H897" t="str">
            <v>pediatria</v>
          </cell>
          <cell r="J897" t="str">
            <v>bueno</v>
          </cell>
          <cell r="K897" t="str">
            <v>defsi</v>
          </cell>
        </row>
        <row r="898">
          <cell r="B898" t="b">
            <v>1</v>
          </cell>
          <cell r="E898" t="str">
            <v>Libano</v>
          </cell>
          <cell r="H898" t="str">
            <v>consulta_externa</v>
          </cell>
          <cell r="J898" t="str">
            <v>bueno</v>
          </cell>
          <cell r="K898" t="str">
            <v>defsi</v>
          </cell>
        </row>
        <row r="899">
          <cell r="B899" t="b">
            <v>1</v>
          </cell>
          <cell r="E899" t="str">
            <v>Libano</v>
          </cell>
          <cell r="H899" t="str">
            <v>salud_oral</v>
          </cell>
          <cell r="J899" t="str">
            <v>bueno</v>
          </cell>
          <cell r="K899" t="str">
            <v>defsi</v>
          </cell>
        </row>
        <row r="900">
          <cell r="B900" t="b">
            <v>1</v>
          </cell>
          <cell r="E900" t="str">
            <v>Libano</v>
          </cell>
          <cell r="H900" t="str">
            <v>laboratorio</v>
          </cell>
          <cell r="J900" t="str">
            <v>bueno</v>
          </cell>
          <cell r="K900" t="str">
            <v>defsi</v>
          </cell>
        </row>
        <row r="901">
          <cell r="B901" t="b">
            <v>1</v>
          </cell>
          <cell r="E901" t="str">
            <v>Libano</v>
          </cell>
          <cell r="H901" t="str">
            <v>ecografias</v>
          </cell>
          <cell r="J901" t="str">
            <v>bueno</v>
          </cell>
          <cell r="K901" t="str">
            <v>defsi</v>
          </cell>
        </row>
        <row r="902">
          <cell r="B902" t="b">
            <v>1</v>
          </cell>
          <cell r="E902" t="str">
            <v>Libano</v>
          </cell>
          <cell r="H902" t="str">
            <v>ginecologia</v>
          </cell>
          <cell r="J902" t="str">
            <v>bueno</v>
          </cell>
          <cell r="K902" t="str">
            <v>defsi</v>
          </cell>
        </row>
        <row r="903">
          <cell r="B903" t="b">
            <v>1</v>
          </cell>
          <cell r="E903" t="str">
            <v>Libano</v>
          </cell>
          <cell r="H903" t="str">
            <v>pediatria</v>
          </cell>
          <cell r="J903" t="str">
            <v>bueno</v>
          </cell>
          <cell r="K903" t="str">
            <v>defsi</v>
          </cell>
        </row>
        <row r="904">
          <cell r="B904" t="b">
            <v>1</v>
          </cell>
          <cell r="E904" t="str">
            <v>Isla Fuerte</v>
          </cell>
          <cell r="H904" t="str">
            <v>salud_oral</v>
          </cell>
          <cell r="J904" t="str">
            <v>muybueno</v>
          </cell>
          <cell r="K904" t="str">
            <v>defsi</v>
          </cell>
        </row>
        <row r="905">
          <cell r="B905" t="b">
            <v>1</v>
          </cell>
          <cell r="E905" t="str">
            <v>Isla Fuerte</v>
          </cell>
          <cell r="H905" t="str">
            <v>consulta_externa</v>
          </cell>
          <cell r="J905" t="str">
            <v>muybueno</v>
          </cell>
          <cell r="K905" t="str">
            <v>defsi</v>
          </cell>
        </row>
        <row r="906">
          <cell r="B906" t="b">
            <v>1</v>
          </cell>
          <cell r="E906" t="str">
            <v>Isla Fuerte</v>
          </cell>
          <cell r="H906" t="str">
            <v>laboratorio</v>
          </cell>
          <cell r="J906" t="str">
            <v>muybueno</v>
          </cell>
          <cell r="K906" t="str">
            <v>defsi</v>
          </cell>
        </row>
        <row r="907">
          <cell r="B907" t="b">
            <v>1</v>
          </cell>
          <cell r="E907" t="str">
            <v>Isla Fuerte</v>
          </cell>
          <cell r="H907" t="str">
            <v>consulta_externa</v>
          </cell>
          <cell r="J907" t="str">
            <v>muybueno</v>
          </cell>
          <cell r="K907" t="str">
            <v>defsi</v>
          </cell>
        </row>
        <row r="908">
          <cell r="B908" t="b">
            <v>1</v>
          </cell>
          <cell r="E908" t="str">
            <v>Isla Fuerte</v>
          </cell>
          <cell r="H908" t="str">
            <v>salud_oral</v>
          </cell>
          <cell r="J908" t="str">
            <v>muybueno</v>
          </cell>
          <cell r="K908" t="str">
            <v>defsi</v>
          </cell>
        </row>
        <row r="909">
          <cell r="B909" t="b">
            <v>1</v>
          </cell>
          <cell r="E909" t="str">
            <v>Libano</v>
          </cell>
          <cell r="H909" t="str">
            <v>consulta_externa</v>
          </cell>
          <cell r="J909" t="str">
            <v>bueno</v>
          </cell>
          <cell r="K909" t="str">
            <v>defsi</v>
          </cell>
        </row>
        <row r="910">
          <cell r="B910" t="b">
            <v>1</v>
          </cell>
          <cell r="E910" t="str">
            <v>Libano</v>
          </cell>
          <cell r="H910" t="str">
            <v>salud_oral</v>
          </cell>
          <cell r="J910" t="str">
            <v>bueno</v>
          </cell>
          <cell r="K910" t="str">
            <v>defsi</v>
          </cell>
        </row>
        <row r="911">
          <cell r="B911" t="b">
            <v>1</v>
          </cell>
          <cell r="E911" t="str">
            <v>Isla Fuerte</v>
          </cell>
          <cell r="H911" t="str">
            <v>consulta_externa</v>
          </cell>
          <cell r="J911" t="str">
            <v>muybueno</v>
          </cell>
          <cell r="K911" t="str">
            <v>defsi</v>
          </cell>
        </row>
        <row r="912">
          <cell r="B912" t="b">
            <v>1</v>
          </cell>
          <cell r="E912" t="str">
            <v>Libano</v>
          </cell>
          <cell r="H912" t="str">
            <v>laboratorio</v>
          </cell>
          <cell r="J912" t="str">
            <v>bueno</v>
          </cell>
          <cell r="K912" t="str">
            <v>defsi</v>
          </cell>
        </row>
        <row r="913">
          <cell r="B913" t="b">
            <v>1</v>
          </cell>
          <cell r="E913" t="str">
            <v>Isla Fuerte</v>
          </cell>
          <cell r="H913" t="str">
            <v>laboratorio</v>
          </cell>
          <cell r="J913" t="str">
            <v>muybueno</v>
          </cell>
          <cell r="K913" t="str">
            <v>defsi</v>
          </cell>
        </row>
        <row r="914">
          <cell r="B914" t="b">
            <v>1</v>
          </cell>
          <cell r="E914" t="str">
            <v>Libano</v>
          </cell>
          <cell r="H914" t="str">
            <v>ecografias</v>
          </cell>
          <cell r="J914" t="str">
            <v>bueno</v>
          </cell>
          <cell r="K914" t="str">
            <v>defsi</v>
          </cell>
        </row>
        <row r="915">
          <cell r="B915" t="b">
            <v>1</v>
          </cell>
          <cell r="E915" t="str">
            <v>Libano</v>
          </cell>
          <cell r="H915" t="str">
            <v>ginecologia</v>
          </cell>
          <cell r="J915" t="str">
            <v>bueno</v>
          </cell>
          <cell r="K915" t="str">
            <v>defsi</v>
          </cell>
        </row>
        <row r="916">
          <cell r="B916" t="b">
            <v>1</v>
          </cell>
          <cell r="E916" t="str">
            <v>Libano</v>
          </cell>
          <cell r="H916" t="str">
            <v>pediatria</v>
          </cell>
          <cell r="J916" t="str">
            <v>bueno</v>
          </cell>
          <cell r="K916" t="str">
            <v>defsi</v>
          </cell>
        </row>
        <row r="917">
          <cell r="B917" t="b">
            <v>1</v>
          </cell>
          <cell r="E917" t="str">
            <v>Isla Fuerte</v>
          </cell>
          <cell r="H917" t="str">
            <v>consulta_externa</v>
          </cell>
          <cell r="J917" t="str">
            <v>muybueno</v>
          </cell>
          <cell r="K917" t="str">
            <v>defsi</v>
          </cell>
        </row>
        <row r="918">
          <cell r="B918" t="b">
            <v>1</v>
          </cell>
          <cell r="E918" t="str">
            <v>Libano</v>
          </cell>
          <cell r="H918" t="str">
            <v>consulta_externa</v>
          </cell>
          <cell r="J918" t="str">
            <v>bueno</v>
          </cell>
          <cell r="K918" t="str">
            <v>defsi</v>
          </cell>
        </row>
        <row r="919">
          <cell r="B919" t="b">
            <v>1</v>
          </cell>
          <cell r="E919" t="str">
            <v>Libano</v>
          </cell>
          <cell r="H919" t="str">
            <v>salud_oral</v>
          </cell>
          <cell r="J919" t="str">
            <v>bueno</v>
          </cell>
          <cell r="K919" t="str">
            <v>defsi</v>
          </cell>
        </row>
        <row r="920">
          <cell r="B920" t="b">
            <v>1</v>
          </cell>
          <cell r="E920" t="str">
            <v>Libano</v>
          </cell>
          <cell r="H920" t="str">
            <v>laboratorio</v>
          </cell>
          <cell r="J920" t="str">
            <v>bueno</v>
          </cell>
          <cell r="K920" t="str">
            <v>defsi</v>
          </cell>
        </row>
        <row r="921">
          <cell r="B921" t="b">
            <v>1</v>
          </cell>
          <cell r="E921" t="str">
            <v>Libano</v>
          </cell>
          <cell r="H921" t="str">
            <v>ecografias</v>
          </cell>
          <cell r="J921" t="str">
            <v>bueno</v>
          </cell>
          <cell r="K921" t="str">
            <v>defsi</v>
          </cell>
        </row>
        <row r="922">
          <cell r="B922" t="b">
            <v>1</v>
          </cell>
          <cell r="E922" t="str">
            <v>Libano</v>
          </cell>
          <cell r="H922" t="str">
            <v>ginecologia</v>
          </cell>
          <cell r="J922" t="str">
            <v>bueno</v>
          </cell>
          <cell r="K922" t="str">
            <v>defsi</v>
          </cell>
        </row>
        <row r="923">
          <cell r="B923" t="b">
            <v>1</v>
          </cell>
          <cell r="E923" t="str">
            <v>Libano</v>
          </cell>
          <cell r="H923" t="str">
            <v>pediatria</v>
          </cell>
          <cell r="J923" t="str">
            <v>bueno</v>
          </cell>
          <cell r="K923" t="str">
            <v>defsi</v>
          </cell>
        </row>
        <row r="924">
          <cell r="B924" t="b">
            <v>1</v>
          </cell>
          <cell r="E924" t="str">
            <v>Libano</v>
          </cell>
          <cell r="H924" t="str">
            <v>consulta_externa</v>
          </cell>
          <cell r="J924" t="str">
            <v>bueno</v>
          </cell>
          <cell r="K924" t="str">
            <v>defsi</v>
          </cell>
        </row>
        <row r="925">
          <cell r="B925" t="b">
            <v>1</v>
          </cell>
          <cell r="E925" t="str">
            <v>Libano</v>
          </cell>
          <cell r="H925" t="str">
            <v>salud_oral</v>
          </cell>
          <cell r="J925" t="str">
            <v>bueno</v>
          </cell>
          <cell r="K925" t="str">
            <v>defsi</v>
          </cell>
        </row>
        <row r="926">
          <cell r="B926" t="b">
            <v>1</v>
          </cell>
          <cell r="E926" t="str">
            <v>Libano</v>
          </cell>
          <cell r="H926" t="str">
            <v>laboratorio</v>
          </cell>
          <cell r="J926" t="str">
            <v>bueno</v>
          </cell>
          <cell r="K926" t="str">
            <v>defsi</v>
          </cell>
        </row>
        <row r="927">
          <cell r="B927" t="b">
            <v>1</v>
          </cell>
          <cell r="E927" t="str">
            <v>Libano</v>
          </cell>
          <cell r="H927" t="str">
            <v>laboratorio</v>
          </cell>
          <cell r="J927" t="str">
            <v>bueno</v>
          </cell>
          <cell r="K927" t="str">
            <v>defsi</v>
          </cell>
        </row>
        <row r="928">
          <cell r="B928" t="b">
            <v>1</v>
          </cell>
          <cell r="E928" t="str">
            <v>Libano</v>
          </cell>
          <cell r="H928" t="str">
            <v>ginecologia</v>
          </cell>
          <cell r="J928" t="str">
            <v>bueno</v>
          </cell>
          <cell r="K928" t="str">
            <v>defsi</v>
          </cell>
        </row>
        <row r="929">
          <cell r="B929" t="b">
            <v>1</v>
          </cell>
          <cell r="E929" t="str">
            <v>Libano</v>
          </cell>
          <cell r="H929" t="str">
            <v>pediatria</v>
          </cell>
          <cell r="J929" t="str">
            <v>bueno</v>
          </cell>
          <cell r="K929" t="str">
            <v>defsi</v>
          </cell>
        </row>
        <row r="930">
          <cell r="B930" t="b">
            <v>1</v>
          </cell>
          <cell r="E930" t="str">
            <v>Libano</v>
          </cell>
          <cell r="H930" t="str">
            <v>consulta_externa</v>
          </cell>
          <cell r="J930" t="str">
            <v>bueno</v>
          </cell>
          <cell r="K930" t="str">
            <v>defsi</v>
          </cell>
        </row>
        <row r="931">
          <cell r="B931" t="b">
            <v>1</v>
          </cell>
          <cell r="E931" t="str">
            <v>Libano</v>
          </cell>
          <cell r="H931" t="str">
            <v>salud_oral</v>
          </cell>
          <cell r="J931" t="str">
            <v>bueno</v>
          </cell>
          <cell r="K931" t="str">
            <v>defsi</v>
          </cell>
        </row>
        <row r="932">
          <cell r="B932" t="b">
            <v>1</v>
          </cell>
          <cell r="E932" t="str">
            <v>Libano</v>
          </cell>
          <cell r="H932" t="str">
            <v>laboratorio</v>
          </cell>
          <cell r="J932" t="str">
            <v>bueno</v>
          </cell>
          <cell r="K932" t="str">
            <v>defsi</v>
          </cell>
        </row>
        <row r="933">
          <cell r="B933" t="b">
            <v>1</v>
          </cell>
          <cell r="E933" t="str">
            <v>Libano</v>
          </cell>
          <cell r="H933" t="str">
            <v>ginecologia</v>
          </cell>
          <cell r="J933" t="str">
            <v>bueno</v>
          </cell>
          <cell r="K933" t="str">
            <v>defsi</v>
          </cell>
        </row>
        <row r="934">
          <cell r="B934" t="b">
            <v>1</v>
          </cell>
          <cell r="E934" t="str">
            <v>Libano</v>
          </cell>
          <cell r="H934" t="str">
            <v>pediatria</v>
          </cell>
          <cell r="J934" t="str">
            <v>bueno</v>
          </cell>
          <cell r="K934" t="str">
            <v>defsi</v>
          </cell>
        </row>
        <row r="935">
          <cell r="B935" t="b">
            <v>1</v>
          </cell>
          <cell r="E935" t="str">
            <v>Candelaria</v>
          </cell>
          <cell r="H935" t="str">
            <v>salud_oral</v>
          </cell>
          <cell r="J935" t="str">
            <v>bueno</v>
          </cell>
          <cell r="K935" t="str">
            <v>defsi</v>
          </cell>
        </row>
        <row r="936">
          <cell r="B936" t="b">
            <v>1</v>
          </cell>
          <cell r="E936" t="str">
            <v>Candelaria</v>
          </cell>
          <cell r="H936" t="str">
            <v>salud_oral</v>
          </cell>
          <cell r="J936" t="str">
            <v>bueno</v>
          </cell>
          <cell r="K936" t="str">
            <v>defsi</v>
          </cell>
        </row>
        <row r="937">
          <cell r="B937" t="b">
            <v>1</v>
          </cell>
          <cell r="E937" t="str">
            <v>Candelaria</v>
          </cell>
          <cell r="H937" t="str">
            <v>electros</v>
          </cell>
          <cell r="J937" t="str">
            <v>bueno</v>
          </cell>
          <cell r="K937" t="str">
            <v>defsi</v>
          </cell>
        </row>
        <row r="938">
          <cell r="B938" t="b">
            <v>1</v>
          </cell>
          <cell r="E938" t="str">
            <v>Candelaria</v>
          </cell>
          <cell r="H938" t="str">
            <v>electros</v>
          </cell>
          <cell r="J938" t="str">
            <v>bueno</v>
          </cell>
          <cell r="K938" t="str">
            <v>defsi</v>
          </cell>
        </row>
        <row r="939">
          <cell r="B939" t="b">
            <v>1</v>
          </cell>
          <cell r="E939" t="str">
            <v>Candelaria</v>
          </cell>
          <cell r="H939" t="str">
            <v>electros</v>
          </cell>
          <cell r="J939" t="str">
            <v>bueno</v>
          </cell>
          <cell r="K939" t="str">
            <v>defsi</v>
          </cell>
        </row>
        <row r="940">
          <cell r="B940" t="b">
            <v>1</v>
          </cell>
          <cell r="E940" t="str">
            <v>Candelaria</v>
          </cell>
          <cell r="H940" t="str">
            <v>salud_oral</v>
          </cell>
          <cell r="J940" t="str">
            <v>bueno</v>
          </cell>
          <cell r="K940" t="str">
            <v>defsi</v>
          </cell>
        </row>
        <row r="941">
          <cell r="B941" t="b">
            <v>1</v>
          </cell>
          <cell r="E941" t="str">
            <v>Candelaria</v>
          </cell>
          <cell r="H941" t="str">
            <v>salud_oral</v>
          </cell>
          <cell r="J941" t="str">
            <v>bueno</v>
          </cell>
          <cell r="K941" t="str">
            <v>defsi</v>
          </cell>
        </row>
        <row r="942">
          <cell r="B942" t="b">
            <v>1</v>
          </cell>
          <cell r="E942" t="str">
            <v>Candelaria</v>
          </cell>
          <cell r="H942" t="str">
            <v>electros</v>
          </cell>
          <cell r="J942" t="str">
            <v>bueno</v>
          </cell>
          <cell r="K942" t="str">
            <v>defsi</v>
          </cell>
        </row>
        <row r="943">
          <cell r="B943" t="b">
            <v>1</v>
          </cell>
          <cell r="E943" t="str">
            <v>Candelaria</v>
          </cell>
          <cell r="H943" t="str">
            <v>electros</v>
          </cell>
          <cell r="J943" t="str">
            <v>bueno</v>
          </cell>
          <cell r="K943" t="str">
            <v>defsi</v>
          </cell>
        </row>
        <row r="944">
          <cell r="B944" t="b">
            <v>1</v>
          </cell>
          <cell r="E944" t="str">
            <v>Candelaria</v>
          </cell>
          <cell r="H944" t="str">
            <v>salud_oral</v>
          </cell>
          <cell r="J944" t="str">
            <v>bueno</v>
          </cell>
          <cell r="K944" t="str">
            <v>defsi</v>
          </cell>
        </row>
        <row r="945">
          <cell r="B945" t="b">
            <v>1</v>
          </cell>
          <cell r="E945" t="str">
            <v>Candelaria</v>
          </cell>
          <cell r="H945" t="str">
            <v>salud_oral</v>
          </cell>
          <cell r="J945" t="str">
            <v>bueno</v>
          </cell>
          <cell r="K945" t="str">
            <v>defsi</v>
          </cell>
        </row>
        <row r="946">
          <cell r="B946" t="b">
            <v>0</v>
          </cell>
          <cell r="E946" t="str">
            <v>Candelaria</v>
          </cell>
          <cell r="H946" t="str">
            <v>urgencia</v>
          </cell>
          <cell r="J946" t="str">
            <v>regular</v>
          </cell>
          <cell r="K946" t="str">
            <v>defsi</v>
          </cell>
        </row>
        <row r="947">
          <cell r="B947" t="b">
            <v>1</v>
          </cell>
          <cell r="E947" t="str">
            <v>Candelaria</v>
          </cell>
          <cell r="H947" t="str">
            <v>urgencia</v>
          </cell>
          <cell r="J947" t="str">
            <v>bueno</v>
          </cell>
          <cell r="K947" t="str">
            <v>defsi</v>
          </cell>
        </row>
        <row r="948">
          <cell r="B948" t="b">
            <v>1</v>
          </cell>
          <cell r="E948" t="str">
            <v>Libano</v>
          </cell>
          <cell r="H948" t="str">
            <v>consulta_externa</v>
          </cell>
          <cell r="J948" t="str">
            <v>bueno</v>
          </cell>
          <cell r="K948" t="str">
            <v>defsi</v>
          </cell>
        </row>
        <row r="949">
          <cell r="B949" t="b">
            <v>1</v>
          </cell>
          <cell r="E949" t="str">
            <v>Libano</v>
          </cell>
          <cell r="H949" t="str">
            <v>salud_oral</v>
          </cell>
          <cell r="J949" t="str">
            <v>bueno</v>
          </cell>
          <cell r="K949" t="str">
            <v>defsi</v>
          </cell>
        </row>
        <row r="950">
          <cell r="B950" t="b">
            <v>1</v>
          </cell>
          <cell r="E950" t="str">
            <v>Libano</v>
          </cell>
          <cell r="H950" t="str">
            <v>pediatria</v>
          </cell>
          <cell r="J950" t="str">
            <v>bueno</v>
          </cell>
          <cell r="K950" t="str">
            <v>defsi</v>
          </cell>
        </row>
        <row r="951">
          <cell r="B951" t="b">
            <v>1</v>
          </cell>
          <cell r="E951" t="str">
            <v>Libano</v>
          </cell>
          <cell r="H951" t="str">
            <v>consulta_externa</v>
          </cell>
          <cell r="J951" t="str">
            <v>bueno</v>
          </cell>
          <cell r="K951" t="str">
            <v>defsi</v>
          </cell>
        </row>
        <row r="952">
          <cell r="B952" t="b">
            <v>1</v>
          </cell>
          <cell r="E952" t="str">
            <v>Libano</v>
          </cell>
          <cell r="H952" t="str">
            <v>salud_oral</v>
          </cell>
          <cell r="J952" t="str">
            <v>bueno</v>
          </cell>
          <cell r="K952" t="str">
            <v>defsi</v>
          </cell>
        </row>
        <row r="953">
          <cell r="B953" t="b">
            <v>1</v>
          </cell>
          <cell r="E953" t="str">
            <v>Libano</v>
          </cell>
          <cell r="H953" t="str">
            <v>laboratorio</v>
          </cell>
          <cell r="J953" t="str">
            <v>bueno</v>
          </cell>
          <cell r="K953" t="str">
            <v>defsi</v>
          </cell>
        </row>
        <row r="954">
          <cell r="B954" t="b">
            <v>1</v>
          </cell>
          <cell r="E954" t="str">
            <v>Libano</v>
          </cell>
          <cell r="H954" t="str">
            <v>consulta_externa</v>
          </cell>
          <cell r="J954" t="str">
            <v>bueno</v>
          </cell>
          <cell r="K954" t="str">
            <v>defsi</v>
          </cell>
        </row>
        <row r="955">
          <cell r="B955" t="b">
            <v>1</v>
          </cell>
          <cell r="E955" t="str">
            <v>Libano</v>
          </cell>
          <cell r="H955" t="str">
            <v>salud_oral</v>
          </cell>
          <cell r="J955" t="str">
            <v>bueno</v>
          </cell>
          <cell r="K955" t="str">
            <v>defsi</v>
          </cell>
        </row>
        <row r="956">
          <cell r="B956" t="b">
            <v>1</v>
          </cell>
          <cell r="E956" t="str">
            <v>Libano</v>
          </cell>
          <cell r="H956" t="str">
            <v>laboratorio</v>
          </cell>
          <cell r="J956" t="str">
            <v>bueno</v>
          </cell>
          <cell r="K956" t="str">
            <v>defsi</v>
          </cell>
        </row>
        <row r="957">
          <cell r="B957" t="b">
            <v>1</v>
          </cell>
          <cell r="E957" t="str">
            <v>Libano</v>
          </cell>
          <cell r="H957" t="str">
            <v>consulta_externa</v>
          </cell>
          <cell r="J957" t="str">
            <v>bueno</v>
          </cell>
          <cell r="K957" t="str">
            <v>defsi</v>
          </cell>
        </row>
        <row r="958">
          <cell r="B958" t="b">
            <v>1</v>
          </cell>
          <cell r="E958" t="str">
            <v>Libano</v>
          </cell>
          <cell r="H958" t="str">
            <v>salud_oral</v>
          </cell>
          <cell r="J958" t="str">
            <v>bueno</v>
          </cell>
          <cell r="K958" t="str">
            <v>defsi</v>
          </cell>
        </row>
        <row r="959">
          <cell r="B959" t="b">
            <v>1</v>
          </cell>
          <cell r="E959" t="str">
            <v>Libano</v>
          </cell>
          <cell r="H959" t="str">
            <v>laboratorio</v>
          </cell>
          <cell r="J959" t="str">
            <v>bueno</v>
          </cell>
          <cell r="K959" t="str">
            <v>defsi</v>
          </cell>
        </row>
        <row r="960">
          <cell r="B960" t="b">
            <v>1</v>
          </cell>
          <cell r="E960" t="str">
            <v>Boquilla</v>
          </cell>
          <cell r="H960" t="str">
            <v>salud_oral</v>
          </cell>
          <cell r="J960" t="str">
            <v>bueno</v>
          </cell>
          <cell r="K960" t="str">
            <v>probsi</v>
          </cell>
        </row>
        <row r="961">
          <cell r="B961" t="b">
            <v>1</v>
          </cell>
          <cell r="E961" t="str">
            <v>Boquilla</v>
          </cell>
          <cell r="H961" t="str">
            <v>consulta_externa</v>
          </cell>
          <cell r="J961" t="str">
            <v>bueno</v>
          </cell>
          <cell r="K961" t="str">
            <v>defsi</v>
          </cell>
        </row>
        <row r="962">
          <cell r="B962" t="b">
            <v>1</v>
          </cell>
          <cell r="E962" t="str">
            <v>Boquilla</v>
          </cell>
          <cell r="H962" t="str">
            <v>consulta_externa</v>
          </cell>
          <cell r="J962" t="str">
            <v>bueno</v>
          </cell>
          <cell r="K962" t="str">
            <v>defsi</v>
          </cell>
        </row>
        <row r="963">
          <cell r="B963" t="b">
            <v>1</v>
          </cell>
          <cell r="E963" t="str">
            <v>Boquilla</v>
          </cell>
          <cell r="H963" t="str">
            <v>consulta_externa</v>
          </cell>
          <cell r="J963" t="str">
            <v>bueno</v>
          </cell>
          <cell r="K963" t="str">
            <v>defsi</v>
          </cell>
        </row>
        <row r="964">
          <cell r="B964" t="b">
            <v>1</v>
          </cell>
          <cell r="E964" t="str">
            <v>Boquilla</v>
          </cell>
          <cell r="H964" t="str">
            <v>consulta_externa</v>
          </cell>
          <cell r="J964" t="str">
            <v>bueno</v>
          </cell>
          <cell r="K964" t="str">
            <v>probsi</v>
          </cell>
        </row>
        <row r="965">
          <cell r="B965" t="b">
            <v>0</v>
          </cell>
          <cell r="E965" t="str">
            <v>Boquilla</v>
          </cell>
          <cell r="H965" t="str">
            <v>urgencia</v>
          </cell>
          <cell r="J965" t="str">
            <v>regular</v>
          </cell>
          <cell r="K965" t="str">
            <v>probno</v>
          </cell>
        </row>
        <row r="966">
          <cell r="B966" t="b">
            <v>1</v>
          </cell>
          <cell r="E966" t="str">
            <v>Boquilla</v>
          </cell>
          <cell r="H966" t="str">
            <v>salud_oral</v>
          </cell>
          <cell r="J966" t="str">
            <v>bueno</v>
          </cell>
          <cell r="K966" t="str">
            <v>probsi</v>
          </cell>
        </row>
        <row r="967">
          <cell r="B967" t="b">
            <v>1</v>
          </cell>
          <cell r="E967" t="str">
            <v>Boquilla</v>
          </cell>
          <cell r="H967" t="str">
            <v>salud_oral</v>
          </cell>
          <cell r="J967" t="str">
            <v>bueno</v>
          </cell>
          <cell r="K967" t="str">
            <v>probsi</v>
          </cell>
        </row>
        <row r="968">
          <cell r="B968" t="b">
            <v>1</v>
          </cell>
          <cell r="E968" t="str">
            <v>Boquilla</v>
          </cell>
          <cell r="H968" t="str">
            <v>salud_oral</v>
          </cell>
          <cell r="J968" t="str">
            <v>bueno</v>
          </cell>
          <cell r="K968" t="str">
            <v>probsi</v>
          </cell>
        </row>
        <row r="969">
          <cell r="B969" t="b">
            <v>1</v>
          </cell>
          <cell r="E969" t="str">
            <v>Boquilla</v>
          </cell>
          <cell r="H969" t="str">
            <v>salud_oral</v>
          </cell>
          <cell r="J969" t="str">
            <v>bueno</v>
          </cell>
          <cell r="K969" t="str">
            <v>probsi</v>
          </cell>
        </row>
        <row r="970">
          <cell r="B970" t="b">
            <v>0</v>
          </cell>
          <cell r="E970" t="str">
            <v>Boquilla</v>
          </cell>
          <cell r="H970" t="str">
            <v>salud_oral</v>
          </cell>
          <cell r="J970" t="str">
            <v>regular</v>
          </cell>
          <cell r="K970" t="str">
            <v>probsi</v>
          </cell>
        </row>
        <row r="971">
          <cell r="B971" t="b">
            <v>1</v>
          </cell>
          <cell r="E971" t="str">
            <v>Boquilla</v>
          </cell>
          <cell r="H971" t="str">
            <v>salud_oral</v>
          </cell>
          <cell r="J971" t="str">
            <v>bueno</v>
          </cell>
          <cell r="K971" t="str">
            <v>probsi</v>
          </cell>
        </row>
        <row r="972">
          <cell r="B972" t="b">
            <v>1</v>
          </cell>
          <cell r="E972" t="str">
            <v>Boquilla</v>
          </cell>
          <cell r="H972" t="str">
            <v>consulta_externa</v>
          </cell>
          <cell r="J972" t="str">
            <v>bueno</v>
          </cell>
          <cell r="K972" t="str">
            <v>probsi</v>
          </cell>
        </row>
        <row r="973">
          <cell r="B973" t="b">
            <v>1</v>
          </cell>
          <cell r="E973" t="str">
            <v>Boquilla</v>
          </cell>
          <cell r="H973" t="str">
            <v>consulta_externa</v>
          </cell>
          <cell r="J973" t="str">
            <v>bueno</v>
          </cell>
          <cell r="K973" t="str">
            <v>defsi</v>
          </cell>
        </row>
        <row r="974">
          <cell r="B974" t="b">
            <v>0</v>
          </cell>
          <cell r="E974" t="str">
            <v>Boquilla</v>
          </cell>
          <cell r="H974" t="str">
            <v>consulta_externa</v>
          </cell>
          <cell r="J974" t="str">
            <v>regular</v>
          </cell>
          <cell r="K974" t="str">
            <v>probsi</v>
          </cell>
        </row>
        <row r="975">
          <cell r="B975" t="b">
            <v>0</v>
          </cell>
          <cell r="E975" t="str">
            <v>Boquilla</v>
          </cell>
          <cell r="H975" t="str">
            <v>consulta_externa</v>
          </cell>
          <cell r="J975" t="str">
            <v>regular</v>
          </cell>
          <cell r="K975" t="str">
            <v>probsi</v>
          </cell>
        </row>
        <row r="976">
          <cell r="B976" t="b">
            <v>0</v>
          </cell>
          <cell r="E976" t="str">
            <v>Boquilla</v>
          </cell>
          <cell r="H976" t="str">
            <v>urgencia</v>
          </cell>
          <cell r="J976" t="str">
            <v>regular</v>
          </cell>
          <cell r="K976" t="str">
            <v>probsi</v>
          </cell>
        </row>
        <row r="977">
          <cell r="B977" t="b">
            <v>1</v>
          </cell>
          <cell r="E977" t="str">
            <v>Ternera</v>
          </cell>
          <cell r="H977" t="str">
            <v>consulta_externa</v>
          </cell>
          <cell r="J977" t="str">
            <v>bueno</v>
          </cell>
          <cell r="K977" t="str">
            <v>defsi</v>
          </cell>
        </row>
        <row r="978">
          <cell r="B978" t="b">
            <v>1</v>
          </cell>
          <cell r="E978" t="str">
            <v>Ternera</v>
          </cell>
          <cell r="H978" t="str">
            <v>salud_oral</v>
          </cell>
          <cell r="J978" t="str">
            <v>bueno</v>
          </cell>
          <cell r="K978" t="str">
            <v>defsi</v>
          </cell>
        </row>
        <row r="979">
          <cell r="B979" t="b">
            <v>1</v>
          </cell>
          <cell r="E979" t="str">
            <v>Ternera</v>
          </cell>
          <cell r="H979" t="str">
            <v>laboratorio</v>
          </cell>
          <cell r="J979" t="str">
            <v>bueno</v>
          </cell>
          <cell r="K979" t="str">
            <v>probsi</v>
          </cell>
        </row>
        <row r="980">
          <cell r="B980" t="b">
            <v>1</v>
          </cell>
          <cell r="E980" t="str">
            <v>Punta Arena</v>
          </cell>
          <cell r="H980" t="str">
            <v>laboratorio</v>
          </cell>
          <cell r="J980" t="str">
            <v>bueno</v>
          </cell>
          <cell r="K980" t="str">
            <v>probsi</v>
          </cell>
        </row>
        <row r="981">
          <cell r="B981" t="b">
            <v>1</v>
          </cell>
          <cell r="E981" t="str">
            <v>Punta Arena</v>
          </cell>
          <cell r="H981" t="str">
            <v>laboratorio</v>
          </cell>
          <cell r="J981" t="str">
            <v>muybueno</v>
          </cell>
          <cell r="K981" t="str">
            <v>probsi</v>
          </cell>
        </row>
        <row r="982">
          <cell r="B982" t="b">
            <v>1</v>
          </cell>
          <cell r="E982" t="str">
            <v>Punta Arena</v>
          </cell>
          <cell r="H982" t="str">
            <v>consulta_externa</v>
          </cell>
          <cell r="J982" t="str">
            <v>bueno</v>
          </cell>
          <cell r="K982" t="str">
            <v>probsi</v>
          </cell>
        </row>
        <row r="983">
          <cell r="B983" t="b">
            <v>1</v>
          </cell>
          <cell r="E983" t="str">
            <v>Esperanza</v>
          </cell>
          <cell r="H983" t="str">
            <v>electros</v>
          </cell>
          <cell r="J983" t="str">
            <v>bueno</v>
          </cell>
          <cell r="K983" t="str">
            <v>probsi</v>
          </cell>
        </row>
        <row r="984">
          <cell r="B984" t="b">
            <v>1</v>
          </cell>
          <cell r="E984" t="str">
            <v>Ternera</v>
          </cell>
          <cell r="H984" t="str">
            <v>consulta_externa</v>
          </cell>
          <cell r="J984" t="str">
            <v>bueno</v>
          </cell>
          <cell r="K984" t="str">
            <v>defsi</v>
          </cell>
        </row>
        <row r="985">
          <cell r="B985" t="b">
            <v>1</v>
          </cell>
          <cell r="E985" t="str">
            <v>Esperanza</v>
          </cell>
          <cell r="H985" t="str">
            <v>consulta_externa</v>
          </cell>
          <cell r="J985" t="str">
            <v>bueno</v>
          </cell>
          <cell r="K985" t="str">
            <v>probsi</v>
          </cell>
        </row>
        <row r="986">
          <cell r="B986" t="b">
            <v>1</v>
          </cell>
          <cell r="E986" t="str">
            <v>Esperanza</v>
          </cell>
          <cell r="H986" t="str">
            <v>salud_oral</v>
          </cell>
          <cell r="J986" t="str">
            <v>bueno</v>
          </cell>
          <cell r="K986" t="str">
            <v>probsi</v>
          </cell>
        </row>
        <row r="987">
          <cell r="B987" t="b">
            <v>1</v>
          </cell>
          <cell r="E987" t="str">
            <v>Esperanza</v>
          </cell>
          <cell r="H987" t="str">
            <v>urgencia</v>
          </cell>
          <cell r="J987" t="str">
            <v>bueno</v>
          </cell>
          <cell r="K987" t="str">
            <v>probsi</v>
          </cell>
        </row>
        <row r="988">
          <cell r="B988" t="b">
            <v>1</v>
          </cell>
          <cell r="E988" t="str">
            <v>Esperanza</v>
          </cell>
          <cell r="H988" t="str">
            <v>electros</v>
          </cell>
          <cell r="J988" t="str">
            <v>bueno</v>
          </cell>
          <cell r="K988" t="str">
            <v>probsi</v>
          </cell>
        </row>
        <row r="989">
          <cell r="B989" t="b">
            <v>1</v>
          </cell>
          <cell r="E989" t="str">
            <v>Esperanza</v>
          </cell>
          <cell r="H989" t="str">
            <v>electros</v>
          </cell>
          <cell r="J989" t="str">
            <v>bueno</v>
          </cell>
          <cell r="K989" t="str">
            <v>probsi</v>
          </cell>
        </row>
        <row r="990">
          <cell r="B990" t="b">
            <v>1</v>
          </cell>
          <cell r="E990" t="str">
            <v>Punta Arena</v>
          </cell>
          <cell r="H990" t="str">
            <v>laboratorio</v>
          </cell>
          <cell r="J990" t="str">
            <v>bueno</v>
          </cell>
          <cell r="K990" t="str">
            <v>probsi</v>
          </cell>
        </row>
        <row r="991">
          <cell r="B991" t="b">
            <v>1</v>
          </cell>
          <cell r="E991" t="str">
            <v>Esperanza</v>
          </cell>
          <cell r="H991" t="str">
            <v>consulta_externa</v>
          </cell>
          <cell r="J991" t="str">
            <v>bueno</v>
          </cell>
          <cell r="K991" t="str">
            <v>probsi</v>
          </cell>
        </row>
        <row r="992">
          <cell r="B992" t="b">
            <v>1</v>
          </cell>
          <cell r="E992" t="str">
            <v>Ternera</v>
          </cell>
          <cell r="H992" t="str">
            <v>laboratorio</v>
          </cell>
          <cell r="J992" t="str">
            <v>bueno</v>
          </cell>
          <cell r="K992" t="str">
            <v>defsi</v>
          </cell>
        </row>
        <row r="993">
          <cell r="B993" t="b">
            <v>1</v>
          </cell>
          <cell r="E993" t="str">
            <v>Esperanza</v>
          </cell>
          <cell r="H993" t="str">
            <v>consulta_externa</v>
          </cell>
          <cell r="J993" t="str">
            <v>bueno</v>
          </cell>
          <cell r="K993" t="str">
            <v>probsi</v>
          </cell>
        </row>
        <row r="994">
          <cell r="B994" t="b">
            <v>1</v>
          </cell>
          <cell r="E994" t="str">
            <v>Punta Arena</v>
          </cell>
          <cell r="H994" t="str">
            <v>consulta_externa</v>
          </cell>
          <cell r="J994" t="str">
            <v>bueno</v>
          </cell>
          <cell r="K994" t="str">
            <v>probsi</v>
          </cell>
        </row>
        <row r="995">
          <cell r="B995" t="b">
            <v>1</v>
          </cell>
          <cell r="E995" t="str">
            <v>Punta Arena</v>
          </cell>
          <cell r="H995" t="str">
            <v>salud_oral</v>
          </cell>
          <cell r="J995" t="str">
            <v>bueno</v>
          </cell>
          <cell r="K995" t="str">
            <v>probsi</v>
          </cell>
        </row>
        <row r="996">
          <cell r="B996" t="b">
            <v>1</v>
          </cell>
          <cell r="E996" t="str">
            <v>Ternera</v>
          </cell>
          <cell r="H996" t="str">
            <v>salud_oral</v>
          </cell>
          <cell r="J996" t="str">
            <v>bueno</v>
          </cell>
          <cell r="K996" t="str">
            <v>defsi</v>
          </cell>
        </row>
        <row r="997">
          <cell r="B997" t="b">
            <v>1</v>
          </cell>
          <cell r="E997" t="str">
            <v>Punta Arena</v>
          </cell>
          <cell r="H997" t="str">
            <v>consulta_externa</v>
          </cell>
          <cell r="J997" t="str">
            <v>bueno</v>
          </cell>
          <cell r="K997" t="str">
            <v>probsi</v>
          </cell>
        </row>
        <row r="998">
          <cell r="B998" t="b">
            <v>1</v>
          </cell>
          <cell r="E998" t="str">
            <v>Ternera</v>
          </cell>
          <cell r="H998" t="str">
            <v>consulta_externa</v>
          </cell>
          <cell r="J998" t="str">
            <v>bueno</v>
          </cell>
          <cell r="K998" t="str">
            <v>defsi</v>
          </cell>
        </row>
        <row r="999">
          <cell r="B999" t="b">
            <v>1</v>
          </cell>
          <cell r="E999" t="str">
            <v>Ternera</v>
          </cell>
          <cell r="H999" t="str">
            <v>salud_oral</v>
          </cell>
          <cell r="J999" t="str">
            <v>bueno</v>
          </cell>
          <cell r="K999" t="str">
            <v>defsi</v>
          </cell>
        </row>
        <row r="1000">
          <cell r="B1000" t="b">
            <v>1</v>
          </cell>
          <cell r="E1000" t="str">
            <v>Esperanza</v>
          </cell>
          <cell r="H1000" t="str">
            <v>consulta_externa</v>
          </cell>
          <cell r="J1000" t="str">
            <v>bueno</v>
          </cell>
          <cell r="K1000" t="str">
            <v>probsi</v>
          </cell>
        </row>
        <row r="1001">
          <cell r="B1001" t="b">
            <v>1</v>
          </cell>
          <cell r="E1001" t="str">
            <v>Esperanza</v>
          </cell>
          <cell r="H1001" t="str">
            <v>electros</v>
          </cell>
          <cell r="J1001" t="str">
            <v>bueno</v>
          </cell>
          <cell r="K1001" t="str">
            <v>probsi</v>
          </cell>
        </row>
        <row r="1002">
          <cell r="B1002" t="b">
            <v>1</v>
          </cell>
          <cell r="E1002" t="str">
            <v>Esperanza</v>
          </cell>
          <cell r="H1002" t="str">
            <v>electros</v>
          </cell>
          <cell r="J1002" t="str">
            <v>bueno</v>
          </cell>
          <cell r="K1002" t="str">
            <v>probsi</v>
          </cell>
        </row>
        <row r="1003">
          <cell r="B1003" t="b">
            <v>1</v>
          </cell>
          <cell r="E1003" t="str">
            <v>Esperanza</v>
          </cell>
          <cell r="H1003" t="str">
            <v>consulta_externa</v>
          </cell>
          <cell r="J1003" t="str">
            <v>bueno</v>
          </cell>
          <cell r="K1003" t="str">
            <v>probsi</v>
          </cell>
        </row>
        <row r="1004">
          <cell r="B1004" t="b">
            <v>1</v>
          </cell>
          <cell r="E1004" t="str">
            <v>Esperanza</v>
          </cell>
          <cell r="H1004" t="str">
            <v>salud_oral</v>
          </cell>
          <cell r="J1004" t="str">
            <v>bueno</v>
          </cell>
          <cell r="K1004" t="str">
            <v>probsi</v>
          </cell>
        </row>
        <row r="1005">
          <cell r="B1005" t="b">
            <v>1</v>
          </cell>
          <cell r="E1005" t="str">
            <v>Esperanza</v>
          </cell>
          <cell r="H1005" t="str">
            <v>electros</v>
          </cell>
          <cell r="J1005" t="str">
            <v>bueno</v>
          </cell>
          <cell r="K1005" t="str">
            <v>probsi</v>
          </cell>
        </row>
        <row r="1006">
          <cell r="B1006" t="b">
            <v>1</v>
          </cell>
          <cell r="E1006" t="str">
            <v>Esperanza</v>
          </cell>
          <cell r="H1006" t="str">
            <v>consulta_externa</v>
          </cell>
          <cell r="J1006" t="str">
            <v>bueno</v>
          </cell>
          <cell r="K1006" t="str">
            <v>probsi</v>
          </cell>
        </row>
        <row r="1007">
          <cell r="B1007" t="b">
            <v>1</v>
          </cell>
          <cell r="E1007" t="str">
            <v>Esperanza</v>
          </cell>
          <cell r="H1007" t="str">
            <v>consulta_externa</v>
          </cell>
          <cell r="J1007" t="str">
            <v>bueno</v>
          </cell>
          <cell r="K1007" t="str">
            <v>probsi</v>
          </cell>
        </row>
        <row r="1008">
          <cell r="B1008" t="b">
            <v>1</v>
          </cell>
          <cell r="E1008" t="str">
            <v>Esperanza</v>
          </cell>
          <cell r="H1008" t="str">
            <v>consulta_externa</v>
          </cell>
          <cell r="J1008" t="str">
            <v>bueno</v>
          </cell>
          <cell r="K1008" t="str">
            <v>probsi</v>
          </cell>
        </row>
        <row r="1009">
          <cell r="B1009" t="b">
            <v>1</v>
          </cell>
          <cell r="E1009" t="str">
            <v>Esperanza</v>
          </cell>
          <cell r="H1009" t="str">
            <v>laboratorio</v>
          </cell>
          <cell r="J1009" t="str">
            <v>bueno</v>
          </cell>
          <cell r="K1009" t="str">
            <v>probsi</v>
          </cell>
        </row>
        <row r="1010">
          <cell r="B1010" t="b">
            <v>1</v>
          </cell>
          <cell r="E1010" t="str">
            <v>Ternera</v>
          </cell>
          <cell r="H1010" t="str">
            <v>laboratorio</v>
          </cell>
          <cell r="J1010" t="str">
            <v>bueno</v>
          </cell>
          <cell r="K1010" t="str">
            <v>defsi</v>
          </cell>
        </row>
        <row r="1011">
          <cell r="B1011" t="b">
            <v>1</v>
          </cell>
          <cell r="E1011" t="str">
            <v>Esperanza</v>
          </cell>
          <cell r="H1011" t="str">
            <v>consulta_externa</v>
          </cell>
          <cell r="J1011" t="str">
            <v>bueno</v>
          </cell>
          <cell r="K1011" t="str">
            <v>probsi</v>
          </cell>
        </row>
        <row r="1012">
          <cell r="B1012" t="b">
            <v>1</v>
          </cell>
          <cell r="E1012" t="str">
            <v>Esperanza</v>
          </cell>
          <cell r="H1012" t="str">
            <v>laboratorio</v>
          </cell>
          <cell r="J1012" t="str">
            <v>bueno</v>
          </cell>
          <cell r="K1012" t="str">
            <v>probsi</v>
          </cell>
        </row>
        <row r="1013">
          <cell r="B1013" t="b">
            <v>1</v>
          </cell>
          <cell r="E1013" t="str">
            <v>Esperanza</v>
          </cell>
          <cell r="H1013" t="str">
            <v>consulta_externa</v>
          </cell>
          <cell r="J1013" t="str">
            <v>bueno</v>
          </cell>
          <cell r="K1013" t="str">
            <v>probsi</v>
          </cell>
        </row>
        <row r="1014">
          <cell r="B1014" t="b">
            <v>1</v>
          </cell>
          <cell r="E1014" t="str">
            <v>Ternera</v>
          </cell>
          <cell r="H1014" t="str">
            <v>consulta_externa</v>
          </cell>
          <cell r="J1014" t="str">
            <v>bueno</v>
          </cell>
          <cell r="K1014" t="str">
            <v>defsi</v>
          </cell>
        </row>
        <row r="1015">
          <cell r="B1015" t="b">
            <v>1</v>
          </cell>
          <cell r="E1015" t="str">
            <v>Esperanza</v>
          </cell>
          <cell r="H1015" t="str">
            <v>consulta_externa</v>
          </cell>
          <cell r="J1015" t="str">
            <v>bueno</v>
          </cell>
          <cell r="K1015" t="str">
            <v>probsi</v>
          </cell>
        </row>
        <row r="1016">
          <cell r="B1016" t="b">
            <v>1</v>
          </cell>
          <cell r="E1016" t="str">
            <v>Ternera</v>
          </cell>
          <cell r="H1016" t="str">
            <v>salud_oral</v>
          </cell>
          <cell r="J1016" t="str">
            <v>bueno</v>
          </cell>
          <cell r="K1016" t="str">
            <v>defsi</v>
          </cell>
        </row>
        <row r="1017">
          <cell r="B1017" t="b">
            <v>1</v>
          </cell>
          <cell r="E1017" t="str">
            <v>Esperanza</v>
          </cell>
          <cell r="H1017" t="str">
            <v>laboratorio</v>
          </cell>
          <cell r="J1017" t="str">
            <v>bueno</v>
          </cell>
          <cell r="K1017" t="str">
            <v>probsi</v>
          </cell>
        </row>
        <row r="1018">
          <cell r="B1018" t="b">
            <v>1</v>
          </cell>
          <cell r="E1018" t="str">
            <v>Esperanza</v>
          </cell>
          <cell r="H1018" t="str">
            <v>salud_oral</v>
          </cell>
          <cell r="J1018" t="str">
            <v>bueno</v>
          </cell>
          <cell r="K1018" t="str">
            <v>probsi</v>
          </cell>
        </row>
        <row r="1019">
          <cell r="B1019" t="b">
            <v>1</v>
          </cell>
          <cell r="E1019" t="str">
            <v>Esperanza</v>
          </cell>
          <cell r="H1019" t="str">
            <v>consulta_externa</v>
          </cell>
          <cell r="J1019" t="str">
            <v>bueno</v>
          </cell>
          <cell r="K1019" t="str">
            <v>probsi</v>
          </cell>
        </row>
        <row r="1020">
          <cell r="B1020" t="b">
            <v>1</v>
          </cell>
          <cell r="E1020" t="str">
            <v>Esperanza</v>
          </cell>
          <cell r="H1020" t="str">
            <v>salud_oral</v>
          </cell>
          <cell r="J1020" t="str">
            <v>bueno</v>
          </cell>
          <cell r="K1020" t="str">
            <v>probsi</v>
          </cell>
        </row>
        <row r="1021">
          <cell r="B1021" t="b">
            <v>1</v>
          </cell>
          <cell r="E1021" t="str">
            <v>Esperanza</v>
          </cell>
          <cell r="H1021" t="str">
            <v>consulta_externa</v>
          </cell>
          <cell r="J1021" t="str">
            <v>bueno</v>
          </cell>
          <cell r="K1021" t="str">
            <v>probsi</v>
          </cell>
        </row>
        <row r="1022">
          <cell r="B1022" t="b">
            <v>1</v>
          </cell>
          <cell r="E1022" t="str">
            <v>Ternera</v>
          </cell>
          <cell r="H1022" t="str">
            <v>laboratorio</v>
          </cell>
          <cell r="J1022" t="str">
            <v>bueno</v>
          </cell>
          <cell r="K1022" t="str">
            <v>defsi</v>
          </cell>
        </row>
        <row r="1023">
          <cell r="B1023" t="b">
            <v>1</v>
          </cell>
          <cell r="E1023" t="str">
            <v>Ternera</v>
          </cell>
          <cell r="H1023" t="str">
            <v>consulta_externa</v>
          </cell>
          <cell r="J1023" t="str">
            <v>bueno</v>
          </cell>
          <cell r="K1023" t="str">
            <v>defsi</v>
          </cell>
        </row>
        <row r="1024">
          <cell r="B1024" t="b">
            <v>1</v>
          </cell>
          <cell r="E1024" t="str">
            <v>Esperanza</v>
          </cell>
          <cell r="H1024" t="str">
            <v>consulta_externa</v>
          </cell>
          <cell r="J1024" t="str">
            <v>bueno</v>
          </cell>
          <cell r="K1024" t="str">
            <v>probsi</v>
          </cell>
        </row>
        <row r="1025">
          <cell r="B1025" t="b">
            <v>1</v>
          </cell>
          <cell r="E1025" t="str">
            <v>Esperanza</v>
          </cell>
          <cell r="H1025" t="str">
            <v>salud_oral</v>
          </cell>
          <cell r="J1025" t="str">
            <v>bueno</v>
          </cell>
          <cell r="K1025" t="str">
            <v>probsi</v>
          </cell>
        </row>
        <row r="1026">
          <cell r="B1026" t="b">
            <v>1</v>
          </cell>
          <cell r="E1026" t="str">
            <v>Ternera</v>
          </cell>
          <cell r="H1026" t="str">
            <v>salud_oral</v>
          </cell>
          <cell r="J1026" t="str">
            <v>bueno</v>
          </cell>
          <cell r="K1026" t="str">
            <v>defsi</v>
          </cell>
        </row>
        <row r="1027">
          <cell r="B1027" t="b">
            <v>1</v>
          </cell>
          <cell r="E1027" t="str">
            <v>Esperanza</v>
          </cell>
          <cell r="H1027" t="str">
            <v>salud_oral</v>
          </cell>
          <cell r="J1027" t="str">
            <v>bueno</v>
          </cell>
          <cell r="K1027" t="str">
            <v>probsi</v>
          </cell>
        </row>
        <row r="1028">
          <cell r="B1028" t="b">
            <v>1</v>
          </cell>
          <cell r="E1028" t="str">
            <v>Esperanza</v>
          </cell>
          <cell r="H1028" t="str">
            <v>laboratorio</v>
          </cell>
          <cell r="J1028" t="str">
            <v>bueno</v>
          </cell>
          <cell r="K1028" t="str">
            <v>probsi</v>
          </cell>
        </row>
        <row r="1029">
          <cell r="B1029" t="b">
            <v>1</v>
          </cell>
          <cell r="E1029" t="str">
            <v>Punta Arena</v>
          </cell>
          <cell r="H1029" t="str">
            <v>consulta_externa</v>
          </cell>
          <cell r="J1029" t="str">
            <v>bueno</v>
          </cell>
          <cell r="K1029" t="str">
            <v>probsi</v>
          </cell>
        </row>
        <row r="1030">
          <cell r="B1030" t="b">
            <v>0</v>
          </cell>
          <cell r="E1030" t="str">
            <v>Esperanza</v>
          </cell>
          <cell r="H1030" t="str">
            <v>urgencia</v>
          </cell>
          <cell r="J1030" t="str">
            <v>malo</v>
          </cell>
          <cell r="K1030" t="str">
            <v>probno</v>
          </cell>
        </row>
        <row r="1031">
          <cell r="B1031" t="b">
            <v>1</v>
          </cell>
          <cell r="E1031" t="str">
            <v>Ternera</v>
          </cell>
          <cell r="H1031" t="str">
            <v>laboratorio</v>
          </cell>
          <cell r="J1031" t="str">
            <v>bueno</v>
          </cell>
          <cell r="K1031" t="str">
            <v>defsi</v>
          </cell>
        </row>
        <row r="1032">
          <cell r="B1032" t="b">
            <v>1</v>
          </cell>
          <cell r="E1032" t="str">
            <v>Esperanza</v>
          </cell>
          <cell r="H1032" t="str">
            <v>salud_oral</v>
          </cell>
          <cell r="J1032" t="str">
            <v>bueno</v>
          </cell>
          <cell r="K1032" t="str">
            <v>probsi</v>
          </cell>
        </row>
        <row r="1033">
          <cell r="B1033" t="b">
            <v>1</v>
          </cell>
          <cell r="E1033" t="str">
            <v>Esperanza</v>
          </cell>
          <cell r="H1033" t="str">
            <v>laboratorio</v>
          </cell>
          <cell r="J1033" t="str">
            <v>bueno</v>
          </cell>
          <cell r="K1033" t="str">
            <v>probsi</v>
          </cell>
        </row>
        <row r="1034">
          <cell r="B1034" t="b">
            <v>1</v>
          </cell>
          <cell r="E1034" t="str">
            <v>Islote de San Bernardo</v>
          </cell>
          <cell r="H1034" t="str">
            <v>consulta_externa</v>
          </cell>
          <cell r="J1034" t="str">
            <v>muybueno</v>
          </cell>
          <cell r="K1034" t="str">
            <v>defsi</v>
          </cell>
        </row>
        <row r="1035">
          <cell r="B1035" t="b">
            <v>1</v>
          </cell>
          <cell r="E1035" t="str">
            <v>Nuevo Porvenir</v>
          </cell>
          <cell r="H1035" t="str">
            <v>consulta_externa</v>
          </cell>
          <cell r="J1035" t="str">
            <v>bueno</v>
          </cell>
          <cell r="K1035" t="str">
            <v>defsi</v>
          </cell>
        </row>
        <row r="1036">
          <cell r="B1036" t="b">
            <v>1</v>
          </cell>
          <cell r="E1036" t="str">
            <v>Islote de San Bernardo</v>
          </cell>
          <cell r="H1036" t="str">
            <v>laboratorio</v>
          </cell>
          <cell r="J1036" t="str">
            <v>muybueno</v>
          </cell>
          <cell r="K1036" t="str">
            <v>defsi</v>
          </cell>
        </row>
        <row r="1037">
          <cell r="B1037" t="b">
            <v>1</v>
          </cell>
          <cell r="E1037" t="str">
            <v>Nuevo Porvenir</v>
          </cell>
          <cell r="H1037" t="str">
            <v>consulta_externa</v>
          </cell>
          <cell r="J1037" t="str">
            <v>bueno</v>
          </cell>
          <cell r="K1037" t="str">
            <v>defsi</v>
          </cell>
        </row>
        <row r="1038">
          <cell r="B1038" t="b">
            <v>1</v>
          </cell>
          <cell r="E1038" t="str">
            <v>Nuevo Porvenir</v>
          </cell>
          <cell r="H1038" t="str">
            <v>laboratorio</v>
          </cell>
          <cell r="J1038" t="str">
            <v>bueno</v>
          </cell>
          <cell r="K1038" t="str">
            <v>defsi</v>
          </cell>
        </row>
        <row r="1039">
          <cell r="B1039" t="b">
            <v>1</v>
          </cell>
          <cell r="E1039" t="str">
            <v>Islote de San Bernardo</v>
          </cell>
          <cell r="H1039" t="str">
            <v>consulta_externa</v>
          </cell>
          <cell r="J1039" t="str">
            <v>muybueno</v>
          </cell>
          <cell r="K1039" t="str">
            <v>defsi</v>
          </cell>
        </row>
        <row r="1040">
          <cell r="B1040" t="b">
            <v>1</v>
          </cell>
          <cell r="E1040" t="str">
            <v>Nuevo Porvenir</v>
          </cell>
          <cell r="H1040" t="str">
            <v>laboratorio</v>
          </cell>
          <cell r="J1040" t="str">
            <v>bueno</v>
          </cell>
          <cell r="K1040" t="str">
            <v>defsi</v>
          </cell>
        </row>
        <row r="1041">
          <cell r="B1041" t="b">
            <v>1</v>
          </cell>
          <cell r="E1041" t="str">
            <v>Islote de San Bernardo</v>
          </cell>
          <cell r="H1041" t="str">
            <v>salud_oral</v>
          </cell>
          <cell r="J1041" t="str">
            <v>muybueno</v>
          </cell>
          <cell r="K1041" t="str">
            <v>defsi</v>
          </cell>
        </row>
        <row r="1042">
          <cell r="B1042" t="b">
            <v>1</v>
          </cell>
          <cell r="E1042" t="str">
            <v>Nuevo Porvenir</v>
          </cell>
          <cell r="H1042" t="str">
            <v>consulta_externa</v>
          </cell>
          <cell r="J1042" t="str">
            <v>bueno</v>
          </cell>
          <cell r="K1042" t="str">
            <v>defsi</v>
          </cell>
        </row>
        <row r="1043">
          <cell r="B1043" t="b">
            <v>1</v>
          </cell>
          <cell r="E1043" t="str">
            <v>Ternera</v>
          </cell>
          <cell r="H1043" t="str">
            <v>consulta_externa</v>
          </cell>
          <cell r="J1043" t="str">
            <v>bueno</v>
          </cell>
          <cell r="K1043" t="str">
            <v>defsi</v>
          </cell>
        </row>
        <row r="1044">
          <cell r="B1044" t="b">
            <v>1</v>
          </cell>
          <cell r="E1044" t="str">
            <v>Islote de San Bernardo</v>
          </cell>
          <cell r="H1044" t="str">
            <v>consulta_externa</v>
          </cell>
          <cell r="J1044" t="str">
            <v>muybueno</v>
          </cell>
          <cell r="K1044" t="str">
            <v>defsi</v>
          </cell>
        </row>
        <row r="1045">
          <cell r="B1045" t="b">
            <v>1</v>
          </cell>
          <cell r="E1045" t="str">
            <v>Islote de San Bernardo</v>
          </cell>
          <cell r="H1045" t="str">
            <v>laboratorio</v>
          </cell>
          <cell r="J1045" t="str">
            <v>muybueno</v>
          </cell>
          <cell r="K1045" t="str">
            <v>defsi</v>
          </cell>
        </row>
        <row r="1046">
          <cell r="B1046" t="b">
            <v>0</v>
          </cell>
          <cell r="E1046" t="str">
            <v>Esperanza</v>
          </cell>
          <cell r="H1046" t="str">
            <v>laboratorio</v>
          </cell>
          <cell r="J1046" t="str">
            <v>regular</v>
          </cell>
          <cell r="K1046" t="str">
            <v>probsi</v>
          </cell>
        </row>
        <row r="1047">
          <cell r="B1047" t="b">
            <v>1</v>
          </cell>
          <cell r="E1047" t="str">
            <v>Islote de San Bernardo</v>
          </cell>
          <cell r="H1047" t="str">
            <v>consulta_externa</v>
          </cell>
          <cell r="J1047" t="str">
            <v>muybueno</v>
          </cell>
          <cell r="K1047" t="str">
            <v>defsi</v>
          </cell>
        </row>
        <row r="1048">
          <cell r="B1048" t="b">
            <v>1</v>
          </cell>
          <cell r="E1048" t="str">
            <v>Islote de San Bernardo</v>
          </cell>
          <cell r="H1048" t="str">
            <v>salud_oral</v>
          </cell>
          <cell r="J1048" t="str">
            <v>muybueno</v>
          </cell>
          <cell r="K1048" t="str">
            <v>defsi</v>
          </cell>
        </row>
        <row r="1049">
          <cell r="B1049" t="b">
            <v>1</v>
          </cell>
          <cell r="E1049" t="str">
            <v>Nuevo Porvenir</v>
          </cell>
          <cell r="H1049" t="str">
            <v>consulta_externa</v>
          </cell>
          <cell r="J1049" t="str">
            <v>bueno</v>
          </cell>
          <cell r="K1049" t="str">
            <v>defsi</v>
          </cell>
        </row>
        <row r="1050">
          <cell r="B1050" t="b">
            <v>1</v>
          </cell>
          <cell r="E1050" t="str">
            <v>Nuevo Porvenir</v>
          </cell>
          <cell r="H1050" t="str">
            <v>consulta_externa</v>
          </cell>
          <cell r="J1050" t="str">
            <v>bueno</v>
          </cell>
          <cell r="K1050" t="str">
            <v>defsi</v>
          </cell>
        </row>
        <row r="1051">
          <cell r="B1051" t="b">
            <v>1</v>
          </cell>
          <cell r="E1051" t="str">
            <v>Islote de San Bernardo</v>
          </cell>
          <cell r="H1051" t="str">
            <v>consulta_externa</v>
          </cell>
          <cell r="J1051" t="str">
            <v>muybueno</v>
          </cell>
          <cell r="K1051" t="str">
            <v>defsi</v>
          </cell>
        </row>
        <row r="1052">
          <cell r="B1052" t="b">
            <v>1</v>
          </cell>
          <cell r="E1052" t="str">
            <v>Nuevo Porvenir</v>
          </cell>
          <cell r="H1052" t="str">
            <v>laboratorio</v>
          </cell>
          <cell r="J1052" t="str">
            <v>bueno</v>
          </cell>
          <cell r="K1052" t="str">
            <v>defsi</v>
          </cell>
        </row>
        <row r="1053">
          <cell r="B1053" t="b">
            <v>1</v>
          </cell>
          <cell r="E1053" t="str">
            <v>Islote de San Bernardo</v>
          </cell>
          <cell r="H1053" t="str">
            <v>laboratorio</v>
          </cell>
          <cell r="J1053" t="str">
            <v>muybueno</v>
          </cell>
          <cell r="K1053" t="str">
            <v>defsi</v>
          </cell>
        </row>
        <row r="1054">
          <cell r="B1054" t="b">
            <v>1</v>
          </cell>
          <cell r="E1054" t="str">
            <v>Nuevo Porvenir</v>
          </cell>
          <cell r="H1054" t="str">
            <v>laboratorio</v>
          </cell>
          <cell r="J1054" t="str">
            <v>bueno</v>
          </cell>
          <cell r="K1054" t="str">
            <v>defsi</v>
          </cell>
        </row>
        <row r="1055">
          <cell r="B1055" t="b">
            <v>1</v>
          </cell>
          <cell r="E1055" t="str">
            <v>Nuevo Porvenir</v>
          </cell>
          <cell r="H1055" t="str">
            <v>salud_oral</v>
          </cell>
          <cell r="J1055" t="str">
            <v>muybueno</v>
          </cell>
          <cell r="K1055" t="str">
            <v>defsi</v>
          </cell>
        </row>
        <row r="1056">
          <cell r="B1056" t="b">
            <v>1</v>
          </cell>
          <cell r="E1056" t="str">
            <v>Nuevo Porvenir</v>
          </cell>
          <cell r="H1056" t="str">
            <v>consulta_externa</v>
          </cell>
          <cell r="J1056" t="str">
            <v>bueno</v>
          </cell>
          <cell r="K1056" t="str">
            <v>defsi</v>
          </cell>
        </row>
        <row r="1057">
          <cell r="B1057" t="b">
            <v>1</v>
          </cell>
          <cell r="E1057" t="str">
            <v>Nuevo Porvenir</v>
          </cell>
          <cell r="H1057" t="str">
            <v>consulta_externa</v>
          </cell>
          <cell r="J1057" t="str">
            <v>bueno</v>
          </cell>
          <cell r="K1057" t="str">
            <v>defsi</v>
          </cell>
        </row>
        <row r="1058">
          <cell r="B1058" t="b">
            <v>1</v>
          </cell>
          <cell r="E1058" t="str">
            <v>Islote de San Bernardo</v>
          </cell>
          <cell r="H1058" t="str">
            <v>consulta_externa</v>
          </cell>
          <cell r="J1058" t="str">
            <v>muybueno</v>
          </cell>
          <cell r="K1058" t="str">
            <v>defsi</v>
          </cell>
        </row>
        <row r="1059">
          <cell r="B1059" t="b">
            <v>1</v>
          </cell>
          <cell r="E1059" t="str">
            <v>Ternera</v>
          </cell>
          <cell r="H1059" t="str">
            <v>salud_oral</v>
          </cell>
          <cell r="J1059" t="str">
            <v>bueno</v>
          </cell>
          <cell r="K1059" t="str">
            <v>defsi</v>
          </cell>
        </row>
        <row r="1060">
          <cell r="B1060" t="b">
            <v>1</v>
          </cell>
          <cell r="E1060" t="str">
            <v>Ternera</v>
          </cell>
          <cell r="H1060" t="str">
            <v>laboratorio</v>
          </cell>
          <cell r="J1060" t="str">
            <v>bueno</v>
          </cell>
          <cell r="K1060" t="str">
            <v>defsi</v>
          </cell>
        </row>
        <row r="1061">
          <cell r="B1061" t="b">
            <v>1</v>
          </cell>
          <cell r="E1061" t="str">
            <v>Ternera</v>
          </cell>
          <cell r="H1061" t="str">
            <v>consulta_externa</v>
          </cell>
          <cell r="J1061" t="str">
            <v>bueno</v>
          </cell>
          <cell r="K1061" t="str">
            <v>defsi</v>
          </cell>
        </row>
        <row r="1062">
          <cell r="B1062" t="b">
            <v>1</v>
          </cell>
          <cell r="E1062" t="str">
            <v>Ternera</v>
          </cell>
          <cell r="H1062" t="str">
            <v>salud_oral</v>
          </cell>
          <cell r="J1062" t="str">
            <v>bueno</v>
          </cell>
          <cell r="K1062" t="str">
            <v>defsi</v>
          </cell>
        </row>
        <row r="1063">
          <cell r="B1063" t="b">
            <v>1</v>
          </cell>
          <cell r="E1063" t="str">
            <v>Ternera</v>
          </cell>
          <cell r="H1063" t="str">
            <v>laboratorio</v>
          </cell>
          <cell r="J1063" t="str">
            <v>bueno</v>
          </cell>
          <cell r="K1063" t="str">
            <v>defsi</v>
          </cell>
        </row>
        <row r="1064">
          <cell r="B1064" t="b">
            <v>1</v>
          </cell>
          <cell r="E1064" t="str">
            <v>Islote de San Bernardo</v>
          </cell>
          <cell r="H1064" t="str">
            <v>salud_oral</v>
          </cell>
          <cell r="J1064" t="str">
            <v>muybueno</v>
          </cell>
          <cell r="K1064" t="str">
            <v>defsi</v>
          </cell>
        </row>
        <row r="1065">
          <cell r="B1065" t="b">
            <v>1</v>
          </cell>
          <cell r="E1065" t="str">
            <v>Nuevo Porvenir</v>
          </cell>
          <cell r="H1065" t="str">
            <v>consulta_externa</v>
          </cell>
          <cell r="J1065" t="str">
            <v>bueno</v>
          </cell>
          <cell r="K1065" t="str">
            <v>defsi</v>
          </cell>
        </row>
        <row r="1066">
          <cell r="B1066" t="b">
            <v>1</v>
          </cell>
          <cell r="E1066" t="str">
            <v>Nuevo Porvenir</v>
          </cell>
          <cell r="H1066" t="str">
            <v>laboratorio</v>
          </cell>
          <cell r="J1066" t="str">
            <v>bueno</v>
          </cell>
          <cell r="K1066" t="str">
            <v>defsi</v>
          </cell>
        </row>
        <row r="1067">
          <cell r="B1067" t="b">
            <v>1</v>
          </cell>
          <cell r="E1067" t="str">
            <v>Islote de San Bernardo</v>
          </cell>
          <cell r="H1067" t="str">
            <v>consulta_externa</v>
          </cell>
          <cell r="J1067" t="str">
            <v>muybueno</v>
          </cell>
          <cell r="K1067" t="str">
            <v>defsi</v>
          </cell>
        </row>
        <row r="1068">
          <cell r="B1068" t="b">
            <v>1</v>
          </cell>
          <cell r="E1068" t="str">
            <v>Islote de San Bernardo</v>
          </cell>
          <cell r="H1068" t="str">
            <v>laboratorio</v>
          </cell>
          <cell r="J1068" t="str">
            <v>muybueno</v>
          </cell>
          <cell r="K1068" t="str">
            <v>defsi</v>
          </cell>
        </row>
        <row r="1069">
          <cell r="B1069" t="b">
            <v>1</v>
          </cell>
          <cell r="E1069" t="str">
            <v>Nuevo Porvenir</v>
          </cell>
          <cell r="H1069" t="str">
            <v>laboratorio</v>
          </cell>
          <cell r="J1069" t="str">
            <v>bueno</v>
          </cell>
          <cell r="K1069" t="str">
            <v>defsi</v>
          </cell>
        </row>
        <row r="1070">
          <cell r="B1070" t="b">
            <v>1</v>
          </cell>
          <cell r="E1070" t="str">
            <v>Islote de San Bernardo</v>
          </cell>
          <cell r="H1070" t="str">
            <v>salud_oral</v>
          </cell>
          <cell r="J1070" t="str">
            <v>muybueno</v>
          </cell>
          <cell r="K1070" t="str">
            <v>defsi</v>
          </cell>
        </row>
        <row r="1071">
          <cell r="B1071" t="b">
            <v>1</v>
          </cell>
          <cell r="E1071" t="str">
            <v>Nuevo Porvenir</v>
          </cell>
          <cell r="H1071" t="str">
            <v>consulta_externa</v>
          </cell>
          <cell r="J1071" t="str">
            <v>bueno</v>
          </cell>
          <cell r="K1071" t="str">
            <v>defsi</v>
          </cell>
        </row>
        <row r="1072">
          <cell r="B1072" t="b">
            <v>1</v>
          </cell>
          <cell r="E1072" t="str">
            <v>Nuevo Porvenir</v>
          </cell>
          <cell r="H1072" t="str">
            <v>laboratorio</v>
          </cell>
          <cell r="J1072" t="str">
            <v>bueno</v>
          </cell>
          <cell r="K1072" t="str">
            <v>defsi</v>
          </cell>
        </row>
        <row r="1073">
          <cell r="B1073" t="b">
            <v>1</v>
          </cell>
          <cell r="E1073" t="str">
            <v>Esperanza</v>
          </cell>
          <cell r="H1073" t="str">
            <v>salud_oral</v>
          </cell>
          <cell r="J1073" t="str">
            <v>bueno</v>
          </cell>
          <cell r="K1073" t="str">
            <v>probsi</v>
          </cell>
        </row>
        <row r="1074">
          <cell r="B1074" t="b">
            <v>1</v>
          </cell>
          <cell r="E1074" t="str">
            <v>Islote de San Bernardo</v>
          </cell>
          <cell r="H1074" t="str">
            <v>consulta_externa</v>
          </cell>
          <cell r="J1074" t="str">
            <v>muybueno</v>
          </cell>
          <cell r="K1074" t="str">
            <v>defsi</v>
          </cell>
        </row>
        <row r="1075">
          <cell r="B1075" t="b">
            <v>1</v>
          </cell>
          <cell r="E1075" t="str">
            <v>Esperanza</v>
          </cell>
          <cell r="H1075" t="str">
            <v>salud_oral</v>
          </cell>
          <cell r="J1075" t="str">
            <v>bueno</v>
          </cell>
          <cell r="K1075" t="str">
            <v>probsi</v>
          </cell>
        </row>
        <row r="1076">
          <cell r="B1076" t="b">
            <v>1</v>
          </cell>
          <cell r="E1076" t="str">
            <v>Esperanza</v>
          </cell>
          <cell r="H1076" t="str">
            <v>laboratorio</v>
          </cell>
          <cell r="J1076" t="str">
            <v>bueno</v>
          </cell>
          <cell r="K1076" t="str">
            <v>probsi</v>
          </cell>
        </row>
        <row r="1077">
          <cell r="B1077" t="b">
            <v>1</v>
          </cell>
          <cell r="E1077" t="str">
            <v>Esperanza</v>
          </cell>
          <cell r="H1077" t="str">
            <v>laboratorio</v>
          </cell>
          <cell r="J1077" t="str">
            <v>bueno</v>
          </cell>
          <cell r="K1077" t="str">
            <v>probsi</v>
          </cell>
        </row>
        <row r="1078">
          <cell r="B1078" t="b">
            <v>1</v>
          </cell>
          <cell r="E1078" t="str">
            <v>Islote de San Bernardo</v>
          </cell>
          <cell r="H1078" t="str">
            <v>laboratorio</v>
          </cell>
          <cell r="J1078" t="str">
            <v>muybueno</v>
          </cell>
          <cell r="K1078" t="str">
            <v>defsi</v>
          </cell>
        </row>
        <row r="1079">
          <cell r="B1079" t="b">
            <v>1</v>
          </cell>
          <cell r="E1079" t="str">
            <v>Esperanza</v>
          </cell>
          <cell r="H1079" t="str">
            <v>laboratorio</v>
          </cell>
          <cell r="J1079" t="str">
            <v>bueno</v>
          </cell>
          <cell r="K1079" t="str">
            <v>probsi</v>
          </cell>
        </row>
        <row r="1080">
          <cell r="B1080" t="b">
            <v>1</v>
          </cell>
          <cell r="E1080" t="str">
            <v>Esperanza</v>
          </cell>
          <cell r="H1080" t="str">
            <v>laboratorio</v>
          </cell>
          <cell r="J1080" t="str">
            <v>bueno</v>
          </cell>
          <cell r="K1080" t="str">
            <v>probsi</v>
          </cell>
        </row>
        <row r="1081">
          <cell r="B1081" t="b">
            <v>1</v>
          </cell>
          <cell r="E1081" t="str">
            <v>Esperanza</v>
          </cell>
          <cell r="H1081" t="str">
            <v>laboratorio</v>
          </cell>
          <cell r="J1081" t="str">
            <v>bueno</v>
          </cell>
          <cell r="K1081" t="str">
            <v>probsi</v>
          </cell>
        </row>
        <row r="1082">
          <cell r="B1082" t="b">
            <v>0</v>
          </cell>
          <cell r="E1082" t="str">
            <v>Esperanza</v>
          </cell>
          <cell r="H1082" t="str">
            <v>laboratorio</v>
          </cell>
          <cell r="J1082" t="str">
            <v>regular</v>
          </cell>
          <cell r="K1082" t="str">
            <v>probsi</v>
          </cell>
        </row>
        <row r="1083">
          <cell r="B1083" t="b">
            <v>1</v>
          </cell>
          <cell r="E1083" t="str">
            <v>Nuevo Porvenir</v>
          </cell>
          <cell r="H1083" t="str">
            <v>laboratorio</v>
          </cell>
          <cell r="J1083" t="str">
            <v>muybueno</v>
          </cell>
          <cell r="K1083" t="str">
            <v>defsi</v>
          </cell>
        </row>
        <row r="1084">
          <cell r="B1084" t="b">
            <v>1</v>
          </cell>
          <cell r="E1084" t="str">
            <v>Esperanza</v>
          </cell>
          <cell r="H1084" t="str">
            <v>laboratorio</v>
          </cell>
          <cell r="J1084" t="str">
            <v>bueno</v>
          </cell>
          <cell r="K1084" t="str">
            <v>probsi</v>
          </cell>
        </row>
        <row r="1085">
          <cell r="B1085" t="b">
            <v>1</v>
          </cell>
          <cell r="E1085" t="str">
            <v>Nuevo Porvenir</v>
          </cell>
          <cell r="H1085" t="str">
            <v>consulta_externa</v>
          </cell>
          <cell r="J1085" t="str">
            <v>bueno</v>
          </cell>
          <cell r="K1085" t="str">
            <v>defsi</v>
          </cell>
        </row>
        <row r="1086">
          <cell r="B1086" t="b">
            <v>1</v>
          </cell>
          <cell r="E1086" t="str">
            <v>Nuevo Porvenir</v>
          </cell>
          <cell r="H1086" t="str">
            <v>consulta_externa</v>
          </cell>
          <cell r="J1086" t="str">
            <v>bueno</v>
          </cell>
          <cell r="K1086" t="str">
            <v>defsi</v>
          </cell>
        </row>
        <row r="1087">
          <cell r="B1087" t="b">
            <v>1</v>
          </cell>
          <cell r="E1087" t="str">
            <v>Nuevo Porvenir</v>
          </cell>
          <cell r="H1087" t="str">
            <v>salud_oral</v>
          </cell>
          <cell r="J1087" t="str">
            <v>bueno</v>
          </cell>
          <cell r="K1087" t="str">
            <v>defsi</v>
          </cell>
        </row>
        <row r="1088">
          <cell r="B1088" t="b">
            <v>1</v>
          </cell>
          <cell r="E1088" t="str">
            <v>Nuevo Porvenir</v>
          </cell>
          <cell r="H1088" t="str">
            <v>salud_oral</v>
          </cell>
          <cell r="J1088" t="str">
            <v>bueno</v>
          </cell>
          <cell r="K1088" t="str">
            <v>defsi</v>
          </cell>
        </row>
        <row r="1089">
          <cell r="B1089" t="b">
            <v>1</v>
          </cell>
          <cell r="E1089" t="str">
            <v>Islote de San Bernardo</v>
          </cell>
          <cell r="H1089" t="str">
            <v>consulta_externa</v>
          </cell>
          <cell r="J1089" t="str">
            <v>muybueno</v>
          </cell>
          <cell r="K1089" t="str">
            <v>defsi</v>
          </cell>
        </row>
        <row r="1090">
          <cell r="B1090" t="b">
            <v>1</v>
          </cell>
          <cell r="E1090" t="str">
            <v>Nuevo Porvenir</v>
          </cell>
          <cell r="H1090" t="str">
            <v>salud_oral</v>
          </cell>
          <cell r="J1090" t="str">
            <v>bueno</v>
          </cell>
          <cell r="K1090" t="str">
            <v>defsi</v>
          </cell>
        </row>
        <row r="1091">
          <cell r="B1091" t="b">
            <v>1</v>
          </cell>
          <cell r="E1091" t="str">
            <v>Islote de San Bernardo</v>
          </cell>
          <cell r="H1091" t="str">
            <v>salud_oral</v>
          </cell>
          <cell r="J1091" t="str">
            <v>muybueno</v>
          </cell>
          <cell r="K1091" t="str">
            <v>defsi</v>
          </cell>
        </row>
        <row r="1092">
          <cell r="B1092" t="b">
            <v>1</v>
          </cell>
          <cell r="E1092" t="str">
            <v>Nuevo Porvenir</v>
          </cell>
          <cell r="H1092" t="str">
            <v>salud_oral</v>
          </cell>
          <cell r="J1092" t="str">
            <v>muybueno</v>
          </cell>
          <cell r="K1092" t="str">
            <v>defsi</v>
          </cell>
        </row>
        <row r="1093">
          <cell r="B1093" t="b">
            <v>1</v>
          </cell>
          <cell r="E1093" t="str">
            <v>Nuevo Porvenir</v>
          </cell>
          <cell r="H1093" t="str">
            <v>salud_oral</v>
          </cell>
          <cell r="J1093" t="str">
            <v>muybueno</v>
          </cell>
          <cell r="K1093" t="str">
            <v>defsi</v>
          </cell>
        </row>
        <row r="1094">
          <cell r="B1094" t="b">
            <v>1</v>
          </cell>
          <cell r="E1094" t="str">
            <v>Islote de San Bernardo</v>
          </cell>
          <cell r="H1094" t="str">
            <v>salud_oral</v>
          </cell>
          <cell r="J1094" t="str">
            <v>muybueno</v>
          </cell>
          <cell r="K1094" t="str">
            <v>defsi</v>
          </cell>
        </row>
        <row r="1095">
          <cell r="B1095" t="b">
            <v>1</v>
          </cell>
          <cell r="E1095" t="str">
            <v>Islote de San Bernardo</v>
          </cell>
          <cell r="H1095" t="str">
            <v>consulta_externa</v>
          </cell>
          <cell r="J1095" t="str">
            <v>muybueno</v>
          </cell>
          <cell r="K1095" t="str">
            <v>defsi</v>
          </cell>
        </row>
        <row r="1096">
          <cell r="B1096" t="b">
            <v>1</v>
          </cell>
          <cell r="E1096" t="str">
            <v>Nuevo Porvenir</v>
          </cell>
          <cell r="H1096" t="str">
            <v>salud_oral</v>
          </cell>
          <cell r="J1096" t="str">
            <v>bueno</v>
          </cell>
          <cell r="K1096" t="str">
            <v>defsi</v>
          </cell>
        </row>
        <row r="1097">
          <cell r="B1097" t="b">
            <v>1</v>
          </cell>
          <cell r="E1097" t="str">
            <v>Nuevo Porvenir</v>
          </cell>
          <cell r="H1097" t="str">
            <v>salud_oral</v>
          </cell>
          <cell r="J1097" t="str">
            <v>muybueno</v>
          </cell>
          <cell r="K1097" t="str">
            <v>defsi</v>
          </cell>
        </row>
        <row r="1098">
          <cell r="B1098" t="b">
            <v>1</v>
          </cell>
          <cell r="E1098" t="str">
            <v>Nuevo Porvenir</v>
          </cell>
          <cell r="H1098" t="str">
            <v>salud_oral</v>
          </cell>
          <cell r="J1098" t="str">
            <v>bueno</v>
          </cell>
          <cell r="K1098" t="str">
            <v>defsi</v>
          </cell>
        </row>
        <row r="1099">
          <cell r="B1099" t="b">
            <v>1</v>
          </cell>
          <cell r="E1099" t="str">
            <v>Nuevo Porvenir</v>
          </cell>
          <cell r="H1099" t="str">
            <v>consulta_externa</v>
          </cell>
          <cell r="J1099" t="str">
            <v>bueno</v>
          </cell>
          <cell r="K1099" t="str">
            <v>defsi</v>
          </cell>
        </row>
        <row r="1100">
          <cell r="B1100" t="b">
            <v>1</v>
          </cell>
          <cell r="E1100" t="str">
            <v>Nuevo Porvenir</v>
          </cell>
          <cell r="H1100" t="str">
            <v>salud_oral</v>
          </cell>
          <cell r="J1100" t="str">
            <v>bueno</v>
          </cell>
          <cell r="K1100" t="str">
            <v>defsi</v>
          </cell>
        </row>
        <row r="1101">
          <cell r="B1101" t="b">
            <v>1</v>
          </cell>
          <cell r="E1101" t="str">
            <v>Esperanza</v>
          </cell>
          <cell r="H1101" t="str">
            <v>urgencia</v>
          </cell>
          <cell r="J1101" t="str">
            <v>bueno</v>
          </cell>
          <cell r="K1101" t="str">
            <v>probsi</v>
          </cell>
        </row>
        <row r="1102">
          <cell r="B1102" t="b">
            <v>1</v>
          </cell>
          <cell r="E1102" t="str">
            <v>Esperanza</v>
          </cell>
          <cell r="H1102" t="str">
            <v>urgencia</v>
          </cell>
          <cell r="J1102" t="str">
            <v>bueno</v>
          </cell>
          <cell r="K1102" t="str">
            <v>probsi</v>
          </cell>
        </row>
        <row r="1103">
          <cell r="B1103" t="b">
            <v>0</v>
          </cell>
          <cell r="E1103" t="str">
            <v>Esperanza</v>
          </cell>
          <cell r="H1103" t="str">
            <v>urgencia</v>
          </cell>
          <cell r="J1103" t="str">
            <v>regular</v>
          </cell>
          <cell r="K1103" t="str">
            <v>probsi</v>
          </cell>
        </row>
        <row r="1104">
          <cell r="B1104" t="b">
            <v>1</v>
          </cell>
          <cell r="E1104" t="str">
            <v>Esperanza</v>
          </cell>
          <cell r="H1104" t="str">
            <v>urgencia</v>
          </cell>
          <cell r="J1104" t="str">
            <v>bueno</v>
          </cell>
          <cell r="K1104" t="str">
            <v>probsi</v>
          </cell>
        </row>
        <row r="1105">
          <cell r="B1105" t="b">
            <v>1</v>
          </cell>
          <cell r="E1105" t="str">
            <v>Islote de San Bernardo</v>
          </cell>
          <cell r="H1105" t="str">
            <v>consulta_externa</v>
          </cell>
          <cell r="J1105" t="str">
            <v>muybueno</v>
          </cell>
          <cell r="K1105" t="str">
            <v>defsi</v>
          </cell>
        </row>
        <row r="1106">
          <cell r="B1106" t="b">
            <v>1</v>
          </cell>
          <cell r="E1106" t="str">
            <v>Islote de San Bernardo</v>
          </cell>
          <cell r="H1106" t="str">
            <v>laboratorio</v>
          </cell>
          <cell r="J1106" t="str">
            <v>muybueno</v>
          </cell>
          <cell r="K1106" t="str">
            <v>defsi</v>
          </cell>
        </row>
        <row r="1107">
          <cell r="B1107" t="b">
            <v>1</v>
          </cell>
          <cell r="E1107" t="str">
            <v>Esperanza</v>
          </cell>
          <cell r="H1107" t="str">
            <v>salud_oral</v>
          </cell>
          <cell r="J1107" t="str">
            <v>bueno</v>
          </cell>
          <cell r="K1107" t="str">
            <v>probsi</v>
          </cell>
        </row>
        <row r="1108">
          <cell r="B1108" t="b">
            <v>1</v>
          </cell>
          <cell r="E1108" t="str">
            <v>Punta Arena</v>
          </cell>
          <cell r="H1108" t="str">
            <v>consulta_externa</v>
          </cell>
          <cell r="J1108" t="str">
            <v>bueno</v>
          </cell>
          <cell r="K1108" t="str">
            <v>probsi</v>
          </cell>
        </row>
        <row r="1109">
          <cell r="B1109" t="b">
            <v>1</v>
          </cell>
          <cell r="E1109" t="str">
            <v>Punta Arena</v>
          </cell>
          <cell r="H1109" t="str">
            <v>laboratorio</v>
          </cell>
          <cell r="J1109" t="str">
            <v>bueno</v>
          </cell>
          <cell r="K1109" t="str">
            <v>defsi</v>
          </cell>
        </row>
        <row r="1110">
          <cell r="B1110" t="b">
            <v>1</v>
          </cell>
          <cell r="E1110" t="str">
            <v>Islote de San Bernardo</v>
          </cell>
          <cell r="H1110" t="str">
            <v>consulta_externa</v>
          </cell>
          <cell r="J1110" t="str">
            <v>muybueno</v>
          </cell>
          <cell r="K1110" t="str">
            <v>defsi</v>
          </cell>
        </row>
        <row r="1111">
          <cell r="B1111" t="b">
            <v>1</v>
          </cell>
          <cell r="E1111" t="str">
            <v>Islote de San Bernardo</v>
          </cell>
          <cell r="H1111" t="str">
            <v>consulta_externa</v>
          </cell>
          <cell r="J1111" t="str">
            <v>muybueno</v>
          </cell>
          <cell r="K1111" t="str">
            <v>defsi</v>
          </cell>
        </row>
        <row r="1112">
          <cell r="B1112" t="b">
            <v>1</v>
          </cell>
          <cell r="E1112" t="str">
            <v>Islote de San Bernardo</v>
          </cell>
          <cell r="H1112" t="str">
            <v>laboratorio</v>
          </cell>
          <cell r="J1112" t="str">
            <v>muybueno</v>
          </cell>
          <cell r="K1112" t="str">
            <v>defsi</v>
          </cell>
        </row>
        <row r="1113">
          <cell r="B1113" t="b">
            <v>1</v>
          </cell>
          <cell r="E1113" t="str">
            <v>Islote de San Bernardo</v>
          </cell>
          <cell r="H1113" t="str">
            <v>salud_oral</v>
          </cell>
          <cell r="J1113" t="str">
            <v>muybueno</v>
          </cell>
          <cell r="K1113" t="str">
            <v>defsi</v>
          </cell>
        </row>
        <row r="1114">
          <cell r="B1114" t="b">
            <v>1</v>
          </cell>
          <cell r="E1114" t="str">
            <v>Islote de San Bernardo</v>
          </cell>
          <cell r="H1114" t="str">
            <v>consulta_externa</v>
          </cell>
          <cell r="J1114" t="str">
            <v>muybueno</v>
          </cell>
          <cell r="K1114" t="str">
            <v>defsi</v>
          </cell>
        </row>
        <row r="1115">
          <cell r="B1115" t="b">
            <v>1</v>
          </cell>
          <cell r="E1115" t="str">
            <v>Ternera</v>
          </cell>
          <cell r="H1115" t="str">
            <v>consulta_externa</v>
          </cell>
          <cell r="J1115" t="str">
            <v>bueno</v>
          </cell>
          <cell r="K1115" t="str">
            <v>defsi</v>
          </cell>
        </row>
        <row r="1116">
          <cell r="B1116" t="b">
            <v>1</v>
          </cell>
          <cell r="E1116" t="str">
            <v>Ternera</v>
          </cell>
          <cell r="H1116" t="str">
            <v>salud_oral</v>
          </cell>
          <cell r="J1116" t="str">
            <v>bueno</v>
          </cell>
          <cell r="K1116" t="str">
            <v>defsi</v>
          </cell>
        </row>
        <row r="1117">
          <cell r="B1117" t="b">
            <v>1</v>
          </cell>
          <cell r="E1117" t="str">
            <v>Ternera</v>
          </cell>
          <cell r="H1117" t="str">
            <v>laboratorio</v>
          </cell>
          <cell r="J1117" t="str">
            <v>bueno</v>
          </cell>
          <cell r="K1117" t="str">
            <v>defsi</v>
          </cell>
        </row>
        <row r="1118">
          <cell r="B1118" t="b">
            <v>1</v>
          </cell>
          <cell r="E1118" t="str">
            <v>Islote de San Bernardo</v>
          </cell>
          <cell r="H1118" t="str">
            <v>laboratorio</v>
          </cell>
          <cell r="J1118" t="str">
            <v>muybueno</v>
          </cell>
          <cell r="K1118" t="str">
            <v>defsi</v>
          </cell>
        </row>
        <row r="1119">
          <cell r="B1119" t="b">
            <v>1</v>
          </cell>
          <cell r="E1119" t="str">
            <v>Ternera</v>
          </cell>
          <cell r="H1119" t="str">
            <v>consulta_externa</v>
          </cell>
          <cell r="J1119" t="str">
            <v>bueno</v>
          </cell>
          <cell r="K1119" t="str">
            <v>defsi</v>
          </cell>
        </row>
        <row r="1120">
          <cell r="B1120" t="b">
            <v>1</v>
          </cell>
          <cell r="E1120" t="str">
            <v>Islote de San Bernardo</v>
          </cell>
          <cell r="H1120" t="str">
            <v>consulta_externa</v>
          </cell>
          <cell r="J1120" t="str">
            <v>muybueno</v>
          </cell>
          <cell r="K1120" t="str">
            <v>defsi</v>
          </cell>
        </row>
        <row r="1121">
          <cell r="B1121" t="b">
            <v>1</v>
          </cell>
          <cell r="E1121" t="str">
            <v>Ternera</v>
          </cell>
          <cell r="H1121" t="str">
            <v>salud_oral</v>
          </cell>
          <cell r="J1121" t="str">
            <v>bueno</v>
          </cell>
          <cell r="K1121" t="str">
            <v>defsi</v>
          </cell>
        </row>
        <row r="1122">
          <cell r="B1122" t="b">
            <v>1</v>
          </cell>
          <cell r="E1122" t="str">
            <v>Ternera</v>
          </cell>
          <cell r="H1122" t="str">
            <v>laboratorio</v>
          </cell>
          <cell r="J1122" t="str">
            <v>bueno</v>
          </cell>
          <cell r="K1122" t="str">
            <v>defsi</v>
          </cell>
        </row>
        <row r="1123">
          <cell r="B1123" t="b">
            <v>1</v>
          </cell>
          <cell r="E1123" t="str">
            <v>Ternera</v>
          </cell>
          <cell r="H1123" t="str">
            <v>consulta_externa</v>
          </cell>
          <cell r="J1123" t="str">
            <v>bueno</v>
          </cell>
          <cell r="K1123" t="str">
            <v>defsi</v>
          </cell>
        </row>
        <row r="1124">
          <cell r="B1124" t="b">
            <v>1</v>
          </cell>
          <cell r="E1124" t="str">
            <v>Islote de San Bernardo</v>
          </cell>
          <cell r="H1124" t="str">
            <v>consulta_externa</v>
          </cell>
          <cell r="J1124" t="str">
            <v>muybueno</v>
          </cell>
          <cell r="K1124" t="str">
            <v>defsi</v>
          </cell>
        </row>
        <row r="1125">
          <cell r="B1125" t="b">
            <v>1</v>
          </cell>
          <cell r="E1125" t="str">
            <v>Islote de San Bernardo</v>
          </cell>
          <cell r="H1125" t="str">
            <v>laboratorio</v>
          </cell>
          <cell r="J1125" t="str">
            <v>muybueno</v>
          </cell>
          <cell r="K1125" t="str">
            <v>defsi</v>
          </cell>
        </row>
        <row r="1126">
          <cell r="B1126" t="b">
            <v>1</v>
          </cell>
          <cell r="E1126" t="str">
            <v>Ternera</v>
          </cell>
          <cell r="H1126" t="str">
            <v>salud_oral</v>
          </cell>
          <cell r="J1126" t="str">
            <v>bueno</v>
          </cell>
          <cell r="K1126" t="str">
            <v>defsi</v>
          </cell>
        </row>
        <row r="1127">
          <cell r="B1127" t="b">
            <v>1</v>
          </cell>
          <cell r="E1127" t="str">
            <v>Ternera</v>
          </cell>
          <cell r="H1127" t="str">
            <v>laboratorio</v>
          </cell>
          <cell r="J1127" t="str">
            <v>bueno</v>
          </cell>
          <cell r="K1127" t="str">
            <v>defsi</v>
          </cell>
        </row>
        <row r="1128">
          <cell r="B1128" t="b">
            <v>1</v>
          </cell>
          <cell r="E1128" t="str">
            <v>Punta Arena</v>
          </cell>
          <cell r="H1128" t="str">
            <v>salud_oral</v>
          </cell>
          <cell r="J1128" t="str">
            <v>bueno</v>
          </cell>
          <cell r="K1128" t="str">
            <v>probsi</v>
          </cell>
        </row>
        <row r="1129">
          <cell r="B1129" t="b">
            <v>1</v>
          </cell>
          <cell r="E1129" t="str">
            <v>Punta Arena</v>
          </cell>
          <cell r="H1129" t="str">
            <v>salud_oral</v>
          </cell>
          <cell r="J1129" t="str">
            <v>bueno</v>
          </cell>
          <cell r="K1129" t="str">
            <v>probsi</v>
          </cell>
        </row>
        <row r="1130">
          <cell r="B1130" t="b">
            <v>1</v>
          </cell>
          <cell r="E1130" t="str">
            <v>Punta Arena</v>
          </cell>
          <cell r="H1130" t="str">
            <v>salud_oral</v>
          </cell>
          <cell r="J1130" t="str">
            <v>bueno</v>
          </cell>
          <cell r="K1130" t="str">
            <v>probsi</v>
          </cell>
        </row>
        <row r="1131">
          <cell r="B1131" t="b">
            <v>1</v>
          </cell>
          <cell r="E1131" t="str">
            <v>Punta Arena</v>
          </cell>
          <cell r="H1131" t="str">
            <v>consulta_externa</v>
          </cell>
          <cell r="J1131" t="str">
            <v>bueno</v>
          </cell>
          <cell r="K1131" t="str">
            <v>probsi</v>
          </cell>
        </row>
        <row r="1132">
          <cell r="B1132" t="b">
            <v>1</v>
          </cell>
          <cell r="E1132" t="str">
            <v>Islote de San Bernardo</v>
          </cell>
          <cell r="H1132" t="str">
            <v>consulta_externa</v>
          </cell>
          <cell r="J1132" t="str">
            <v>muybueno</v>
          </cell>
          <cell r="K1132" t="str">
            <v>defsi</v>
          </cell>
        </row>
        <row r="1133">
          <cell r="B1133" t="b">
            <v>1</v>
          </cell>
          <cell r="E1133" t="str">
            <v>Islote de San Bernardo</v>
          </cell>
          <cell r="H1133" t="str">
            <v>consulta_externa</v>
          </cell>
          <cell r="J1133" t="str">
            <v>muybueno</v>
          </cell>
          <cell r="K1133" t="str">
            <v>defsi</v>
          </cell>
        </row>
        <row r="1134">
          <cell r="B1134" t="b">
            <v>1</v>
          </cell>
          <cell r="E1134" t="str">
            <v>Islote de San Bernardo</v>
          </cell>
          <cell r="H1134" t="str">
            <v>salud_oral</v>
          </cell>
          <cell r="J1134" t="str">
            <v>muybueno</v>
          </cell>
          <cell r="K1134" t="str">
            <v>defsi</v>
          </cell>
        </row>
        <row r="1135">
          <cell r="B1135" t="b">
            <v>1</v>
          </cell>
          <cell r="E1135" t="str">
            <v>Islote de San Bernardo</v>
          </cell>
          <cell r="H1135" t="str">
            <v>consulta_externa</v>
          </cell>
          <cell r="J1135" t="str">
            <v>muybueno</v>
          </cell>
          <cell r="K1135" t="str">
            <v>defsi</v>
          </cell>
        </row>
        <row r="1136">
          <cell r="B1136" t="b">
            <v>1</v>
          </cell>
          <cell r="E1136" t="str">
            <v>Islote de San Bernardo</v>
          </cell>
          <cell r="H1136" t="str">
            <v>laboratorio</v>
          </cell>
          <cell r="J1136" t="str">
            <v>muybueno</v>
          </cell>
          <cell r="K1136" t="str">
            <v>defsi</v>
          </cell>
        </row>
        <row r="1137">
          <cell r="B1137" t="b">
            <v>1</v>
          </cell>
          <cell r="E1137" t="str">
            <v>Islote de San Bernardo</v>
          </cell>
          <cell r="H1137" t="str">
            <v>salud_oral</v>
          </cell>
          <cell r="J1137" t="str">
            <v>muybueno</v>
          </cell>
          <cell r="K1137" t="str">
            <v>defsi</v>
          </cell>
        </row>
        <row r="1138">
          <cell r="B1138" t="b">
            <v>1</v>
          </cell>
          <cell r="E1138" t="str">
            <v>Islote de San Bernardo</v>
          </cell>
          <cell r="H1138" t="str">
            <v>consulta_externa</v>
          </cell>
          <cell r="J1138" t="str">
            <v>muybueno</v>
          </cell>
          <cell r="K1138" t="str">
            <v>defsi</v>
          </cell>
        </row>
        <row r="1139">
          <cell r="B1139" t="b">
            <v>1</v>
          </cell>
          <cell r="E1139" t="str">
            <v>Islote de San Bernardo</v>
          </cell>
          <cell r="H1139" t="str">
            <v>laboratorio</v>
          </cell>
          <cell r="J1139" t="str">
            <v>muybueno</v>
          </cell>
          <cell r="K1139" t="str">
            <v>defsi</v>
          </cell>
        </row>
        <row r="1140">
          <cell r="B1140" t="b">
            <v>1</v>
          </cell>
          <cell r="E1140" t="str">
            <v>Ternera</v>
          </cell>
          <cell r="H1140" t="str">
            <v>consulta_externa</v>
          </cell>
          <cell r="J1140" t="str">
            <v>bueno</v>
          </cell>
          <cell r="K1140" t="str">
            <v>defsi</v>
          </cell>
        </row>
        <row r="1141">
          <cell r="B1141" t="b">
            <v>1</v>
          </cell>
          <cell r="E1141" t="str">
            <v>Ternera</v>
          </cell>
          <cell r="H1141" t="str">
            <v>salud_oral</v>
          </cell>
          <cell r="J1141" t="str">
            <v>bueno</v>
          </cell>
          <cell r="K1141" t="str">
            <v>defsi</v>
          </cell>
        </row>
        <row r="1142">
          <cell r="B1142" t="b">
            <v>1</v>
          </cell>
          <cell r="E1142" t="str">
            <v>Ternera</v>
          </cell>
          <cell r="H1142" t="str">
            <v>laboratorio</v>
          </cell>
          <cell r="J1142" t="str">
            <v>bueno</v>
          </cell>
          <cell r="K1142" t="str">
            <v>defsi</v>
          </cell>
        </row>
        <row r="1143">
          <cell r="B1143" t="b">
            <v>1</v>
          </cell>
          <cell r="E1143" t="str">
            <v>Ternera</v>
          </cell>
          <cell r="H1143" t="str">
            <v>consulta_externa</v>
          </cell>
          <cell r="J1143" t="str">
            <v>bueno</v>
          </cell>
          <cell r="K1143" t="str">
            <v>defsi</v>
          </cell>
        </row>
        <row r="1144">
          <cell r="B1144" t="b">
            <v>1</v>
          </cell>
          <cell r="E1144" t="str">
            <v>Ternera</v>
          </cell>
          <cell r="H1144" t="str">
            <v>salud_oral</v>
          </cell>
          <cell r="J1144" t="str">
            <v>bueno</v>
          </cell>
          <cell r="K1144" t="str">
            <v>defsi</v>
          </cell>
        </row>
        <row r="1145">
          <cell r="B1145" t="b">
            <v>1</v>
          </cell>
          <cell r="E1145" t="str">
            <v>Ternera</v>
          </cell>
          <cell r="H1145" t="str">
            <v>laboratorio</v>
          </cell>
          <cell r="J1145" t="str">
            <v>bueno</v>
          </cell>
          <cell r="K1145" t="str">
            <v>defsi</v>
          </cell>
        </row>
        <row r="1146">
          <cell r="B1146" t="b">
            <v>1</v>
          </cell>
          <cell r="E1146" t="str">
            <v>Ternera</v>
          </cell>
          <cell r="H1146" t="str">
            <v>consulta_externa</v>
          </cell>
          <cell r="J1146" t="str">
            <v>bueno</v>
          </cell>
          <cell r="K1146" t="str">
            <v>defsi</v>
          </cell>
        </row>
        <row r="1147">
          <cell r="B1147" t="b">
            <v>1</v>
          </cell>
          <cell r="E1147" t="str">
            <v>Ternera</v>
          </cell>
          <cell r="H1147" t="str">
            <v>salud_oral</v>
          </cell>
          <cell r="J1147" t="str">
            <v>bueno</v>
          </cell>
          <cell r="K1147" t="str">
            <v>defsi</v>
          </cell>
        </row>
        <row r="1148">
          <cell r="B1148" t="b">
            <v>1</v>
          </cell>
          <cell r="E1148" t="str">
            <v>Ternera</v>
          </cell>
          <cell r="H1148" t="str">
            <v>laboratorio</v>
          </cell>
          <cell r="J1148" t="str">
            <v>bueno</v>
          </cell>
          <cell r="K1148" t="str">
            <v>defsi</v>
          </cell>
        </row>
        <row r="1149">
          <cell r="B1149" t="b">
            <v>1</v>
          </cell>
          <cell r="E1149" t="str">
            <v>Ternera</v>
          </cell>
          <cell r="H1149" t="str">
            <v>consulta_externa</v>
          </cell>
          <cell r="J1149" t="str">
            <v>bueno</v>
          </cell>
          <cell r="K1149" t="str">
            <v>defsi</v>
          </cell>
        </row>
        <row r="1150">
          <cell r="B1150" t="b">
            <v>1</v>
          </cell>
          <cell r="E1150" t="str">
            <v>Ternera</v>
          </cell>
          <cell r="H1150" t="str">
            <v>salud_oral</v>
          </cell>
          <cell r="J1150" t="str">
            <v>bueno</v>
          </cell>
          <cell r="K1150" t="str">
            <v>defsi</v>
          </cell>
        </row>
        <row r="1151">
          <cell r="B1151" t="b">
            <v>1</v>
          </cell>
          <cell r="E1151" t="str">
            <v>Ternera</v>
          </cell>
          <cell r="H1151" t="str">
            <v>laboratorio</v>
          </cell>
          <cell r="J1151" t="str">
            <v>bueno</v>
          </cell>
          <cell r="K1151" t="str">
            <v>defsi</v>
          </cell>
        </row>
        <row r="1152">
          <cell r="B1152" t="b">
            <v>1</v>
          </cell>
          <cell r="E1152" t="str">
            <v>Ternera</v>
          </cell>
          <cell r="H1152" t="str">
            <v>consulta_externa</v>
          </cell>
          <cell r="J1152" t="str">
            <v>bueno</v>
          </cell>
          <cell r="K1152" t="str">
            <v>defsi</v>
          </cell>
        </row>
        <row r="1153">
          <cell r="B1153" t="b">
            <v>1</v>
          </cell>
          <cell r="E1153" t="str">
            <v>Ternera</v>
          </cell>
          <cell r="H1153" t="str">
            <v>salud_oral</v>
          </cell>
          <cell r="J1153" t="str">
            <v>bueno</v>
          </cell>
          <cell r="K1153" t="str">
            <v>defsi</v>
          </cell>
        </row>
        <row r="1154">
          <cell r="B1154" t="b">
            <v>1</v>
          </cell>
          <cell r="E1154" t="str">
            <v>Ternera</v>
          </cell>
          <cell r="H1154" t="str">
            <v>laboratorio</v>
          </cell>
          <cell r="J1154" t="str">
            <v>bueno</v>
          </cell>
          <cell r="K1154" t="str">
            <v>defsi</v>
          </cell>
        </row>
        <row r="1155">
          <cell r="B1155" t="b">
            <v>1</v>
          </cell>
          <cell r="E1155" t="str">
            <v>Ternera</v>
          </cell>
          <cell r="H1155" t="str">
            <v>laboratorio</v>
          </cell>
          <cell r="J1155" t="str">
            <v>bueno</v>
          </cell>
          <cell r="K1155" t="str">
            <v>defsi</v>
          </cell>
        </row>
        <row r="1156">
          <cell r="B1156" t="b">
            <v>1</v>
          </cell>
          <cell r="E1156" t="str">
            <v>Ternera</v>
          </cell>
          <cell r="H1156" t="str">
            <v>consulta_externa</v>
          </cell>
          <cell r="J1156" t="str">
            <v>bueno</v>
          </cell>
          <cell r="K1156" t="str">
            <v>defsi</v>
          </cell>
        </row>
        <row r="1157">
          <cell r="B1157" t="b">
            <v>1</v>
          </cell>
          <cell r="E1157" t="str">
            <v>Ternera</v>
          </cell>
          <cell r="H1157" t="str">
            <v>laboratorio</v>
          </cell>
          <cell r="J1157" t="str">
            <v>bueno</v>
          </cell>
          <cell r="K1157" t="str">
            <v>defsi</v>
          </cell>
        </row>
        <row r="1158">
          <cell r="B1158" t="b">
            <v>1</v>
          </cell>
          <cell r="E1158" t="str">
            <v>Ternera</v>
          </cell>
          <cell r="H1158" t="str">
            <v>laboratorio</v>
          </cell>
          <cell r="J1158" t="str">
            <v>bueno</v>
          </cell>
          <cell r="K1158" t="str">
            <v>defsi</v>
          </cell>
        </row>
        <row r="1159">
          <cell r="B1159" t="b">
            <v>1</v>
          </cell>
          <cell r="E1159" t="str">
            <v>Ternera</v>
          </cell>
          <cell r="H1159" t="str">
            <v>consulta_externa</v>
          </cell>
          <cell r="J1159" t="str">
            <v>bueno</v>
          </cell>
          <cell r="K1159" t="str">
            <v>defsi</v>
          </cell>
        </row>
        <row r="1160">
          <cell r="B1160" t="b">
            <v>1</v>
          </cell>
          <cell r="E1160" t="str">
            <v>Ternera</v>
          </cell>
          <cell r="H1160" t="str">
            <v>salud_oral</v>
          </cell>
          <cell r="J1160" t="str">
            <v>bueno</v>
          </cell>
          <cell r="K1160" t="str">
            <v>defsi</v>
          </cell>
        </row>
        <row r="1161">
          <cell r="B1161" t="b">
            <v>1</v>
          </cell>
          <cell r="E1161" t="str">
            <v>Ternera</v>
          </cell>
          <cell r="H1161" t="str">
            <v>laboratorio</v>
          </cell>
          <cell r="J1161" t="str">
            <v>bueno</v>
          </cell>
          <cell r="K1161" t="str">
            <v>defsi</v>
          </cell>
        </row>
        <row r="1162">
          <cell r="B1162" t="b">
            <v>1</v>
          </cell>
          <cell r="E1162" t="str">
            <v>Ternera</v>
          </cell>
          <cell r="H1162" t="str">
            <v>consulta_externa</v>
          </cell>
          <cell r="J1162" t="str">
            <v>bueno</v>
          </cell>
          <cell r="K1162" t="str">
            <v>defsi</v>
          </cell>
        </row>
        <row r="1163">
          <cell r="B1163" t="b">
            <v>1</v>
          </cell>
          <cell r="E1163" t="str">
            <v>Ternera</v>
          </cell>
          <cell r="H1163" t="str">
            <v>salud_oral</v>
          </cell>
          <cell r="J1163" t="str">
            <v>bueno</v>
          </cell>
          <cell r="K1163" t="str">
            <v>defsi</v>
          </cell>
        </row>
        <row r="1164">
          <cell r="B1164" t="b">
            <v>1</v>
          </cell>
          <cell r="E1164" t="str">
            <v>Ternera</v>
          </cell>
          <cell r="H1164" t="str">
            <v>laboratorio</v>
          </cell>
          <cell r="J1164" t="str">
            <v>bueno</v>
          </cell>
          <cell r="K1164" t="str">
            <v>defsi</v>
          </cell>
        </row>
        <row r="1165">
          <cell r="B1165" t="b">
            <v>1</v>
          </cell>
          <cell r="E1165" t="str">
            <v>Ternera</v>
          </cell>
          <cell r="H1165" t="str">
            <v>consulta_externa</v>
          </cell>
          <cell r="J1165" t="str">
            <v>bueno</v>
          </cell>
          <cell r="K1165" t="str">
            <v>defsi</v>
          </cell>
        </row>
        <row r="1166">
          <cell r="B1166" t="b">
            <v>1</v>
          </cell>
          <cell r="E1166" t="str">
            <v>Ternera</v>
          </cell>
          <cell r="H1166" t="str">
            <v>salud_oral</v>
          </cell>
          <cell r="J1166" t="str">
            <v>bueno</v>
          </cell>
          <cell r="K1166" t="str">
            <v>defsi</v>
          </cell>
        </row>
        <row r="1167">
          <cell r="B1167" t="b">
            <v>1</v>
          </cell>
          <cell r="E1167" t="str">
            <v>Ternera</v>
          </cell>
          <cell r="H1167" t="str">
            <v>laboratorio</v>
          </cell>
          <cell r="J1167" t="str">
            <v>bueno</v>
          </cell>
          <cell r="K1167" t="str">
            <v>defsi</v>
          </cell>
        </row>
        <row r="1168">
          <cell r="B1168" t="b">
            <v>1</v>
          </cell>
          <cell r="E1168" t="str">
            <v>Ternera</v>
          </cell>
          <cell r="H1168" t="str">
            <v>consulta_externa</v>
          </cell>
          <cell r="J1168" t="str">
            <v>bueno</v>
          </cell>
          <cell r="K1168" t="str">
            <v>defsi</v>
          </cell>
        </row>
        <row r="1169">
          <cell r="B1169" t="b">
            <v>1</v>
          </cell>
          <cell r="E1169" t="str">
            <v>Ternera</v>
          </cell>
          <cell r="H1169" t="str">
            <v>salud_oral</v>
          </cell>
          <cell r="J1169" t="str">
            <v>bueno</v>
          </cell>
          <cell r="K1169" t="str">
            <v>defsi</v>
          </cell>
        </row>
        <row r="1170">
          <cell r="B1170" t="b">
            <v>1</v>
          </cell>
          <cell r="E1170" t="str">
            <v>Ternera</v>
          </cell>
          <cell r="H1170" t="str">
            <v>laboratorio</v>
          </cell>
          <cell r="J1170" t="str">
            <v>bueno</v>
          </cell>
          <cell r="K1170" t="str">
            <v>defsi</v>
          </cell>
        </row>
        <row r="1171">
          <cell r="B1171" t="b">
            <v>1</v>
          </cell>
          <cell r="E1171" t="str">
            <v>Ternera</v>
          </cell>
          <cell r="H1171" t="str">
            <v>consulta_externa</v>
          </cell>
          <cell r="J1171" t="str">
            <v>bueno</v>
          </cell>
          <cell r="K1171" t="str">
            <v>defsi</v>
          </cell>
        </row>
        <row r="1172">
          <cell r="B1172" t="b">
            <v>1</v>
          </cell>
          <cell r="E1172" t="str">
            <v>Ternera</v>
          </cell>
          <cell r="H1172" t="str">
            <v>salud_oral</v>
          </cell>
          <cell r="J1172" t="str">
            <v>bueno</v>
          </cell>
          <cell r="K1172" t="str">
            <v>defsi</v>
          </cell>
        </row>
        <row r="1173">
          <cell r="B1173" t="b">
            <v>1</v>
          </cell>
          <cell r="E1173" t="str">
            <v>Ternera</v>
          </cell>
          <cell r="H1173" t="str">
            <v>laboratorio</v>
          </cell>
          <cell r="J1173" t="str">
            <v>bueno</v>
          </cell>
          <cell r="K1173" t="str">
            <v>defsi</v>
          </cell>
        </row>
        <row r="1174">
          <cell r="B1174" t="b">
            <v>1</v>
          </cell>
          <cell r="E1174" t="str">
            <v>Ternera</v>
          </cell>
          <cell r="H1174" t="str">
            <v>consulta_externa</v>
          </cell>
          <cell r="J1174" t="str">
            <v>bueno</v>
          </cell>
          <cell r="K1174" t="str">
            <v>defsi</v>
          </cell>
        </row>
        <row r="1175">
          <cell r="B1175" t="b">
            <v>1</v>
          </cell>
          <cell r="E1175" t="str">
            <v>Ternera</v>
          </cell>
          <cell r="H1175" t="str">
            <v>salud_oral</v>
          </cell>
          <cell r="J1175" t="str">
            <v>bueno</v>
          </cell>
          <cell r="K1175" t="str">
            <v>defsi</v>
          </cell>
        </row>
        <row r="1176">
          <cell r="B1176" t="b">
            <v>1</v>
          </cell>
          <cell r="E1176" t="str">
            <v>Ternera</v>
          </cell>
          <cell r="H1176" t="str">
            <v>laboratorio</v>
          </cell>
          <cell r="J1176" t="str">
            <v>bueno</v>
          </cell>
          <cell r="K1176" t="str">
            <v>defsi</v>
          </cell>
        </row>
        <row r="1177">
          <cell r="B1177" t="b">
            <v>1</v>
          </cell>
          <cell r="E1177" t="str">
            <v>Ternera</v>
          </cell>
          <cell r="H1177" t="str">
            <v>consulta_externa</v>
          </cell>
          <cell r="J1177" t="str">
            <v>bueno</v>
          </cell>
          <cell r="K1177" t="str">
            <v>defsi</v>
          </cell>
        </row>
        <row r="1178">
          <cell r="B1178" t="b">
            <v>1</v>
          </cell>
          <cell r="E1178" t="str">
            <v>Ternera</v>
          </cell>
          <cell r="H1178" t="str">
            <v>salud_oral</v>
          </cell>
          <cell r="J1178" t="str">
            <v>bueno</v>
          </cell>
          <cell r="K1178" t="str">
            <v>defsi</v>
          </cell>
        </row>
        <row r="1179">
          <cell r="B1179" t="b">
            <v>1</v>
          </cell>
          <cell r="E1179" t="str">
            <v>Ternera</v>
          </cell>
          <cell r="H1179" t="str">
            <v>laboratorio</v>
          </cell>
          <cell r="J1179" t="str">
            <v>bueno</v>
          </cell>
          <cell r="K1179" t="str">
            <v>defsi</v>
          </cell>
        </row>
        <row r="1180">
          <cell r="B1180" t="b">
            <v>1</v>
          </cell>
          <cell r="E1180" t="str">
            <v>Arroyo Grande</v>
          </cell>
          <cell r="H1180" t="str">
            <v>consulta_externa</v>
          </cell>
          <cell r="J1180" t="str">
            <v>bueno</v>
          </cell>
          <cell r="K1180" t="str">
            <v>defsi</v>
          </cell>
        </row>
        <row r="1181">
          <cell r="B1181" t="b">
            <v>1</v>
          </cell>
          <cell r="E1181" t="str">
            <v>Arroyo Grande</v>
          </cell>
          <cell r="H1181" t="str">
            <v>laboratorio</v>
          </cell>
          <cell r="J1181" t="str">
            <v>bueno</v>
          </cell>
          <cell r="K1181" t="str">
            <v>defsi</v>
          </cell>
        </row>
        <row r="1182">
          <cell r="B1182" t="b">
            <v>1</v>
          </cell>
          <cell r="E1182" t="str">
            <v>Bocachica</v>
          </cell>
          <cell r="H1182" t="str">
            <v>consulta_externa</v>
          </cell>
          <cell r="J1182" t="str">
            <v>bueno</v>
          </cell>
          <cell r="K1182" t="str">
            <v>probsi</v>
          </cell>
        </row>
        <row r="1183">
          <cell r="B1183" t="b">
            <v>1</v>
          </cell>
          <cell r="E1183" t="str">
            <v>Daniel Lemaitre</v>
          </cell>
          <cell r="H1183" t="str">
            <v>consulta_externa</v>
          </cell>
          <cell r="J1183" t="str">
            <v>bueno</v>
          </cell>
          <cell r="K1183" t="str">
            <v>probsi</v>
          </cell>
        </row>
        <row r="1184">
          <cell r="B1184" t="b">
            <v>1</v>
          </cell>
          <cell r="E1184" t="str">
            <v>Arroyo Grande</v>
          </cell>
          <cell r="H1184" t="str">
            <v>laboratorio</v>
          </cell>
          <cell r="J1184" t="str">
            <v>bueno</v>
          </cell>
          <cell r="K1184" t="str">
            <v>defsi</v>
          </cell>
        </row>
        <row r="1185">
          <cell r="B1185" t="b">
            <v>1</v>
          </cell>
          <cell r="E1185" t="str">
            <v>Daniel Lemaitre</v>
          </cell>
          <cell r="H1185" t="str">
            <v>salud_oral</v>
          </cell>
          <cell r="J1185" t="str">
            <v>bueno</v>
          </cell>
          <cell r="K1185" t="str">
            <v>probsi</v>
          </cell>
        </row>
        <row r="1186">
          <cell r="B1186" t="b">
            <v>1</v>
          </cell>
          <cell r="E1186" t="str">
            <v>Arroyo Grande</v>
          </cell>
          <cell r="H1186" t="str">
            <v>salud_oral</v>
          </cell>
          <cell r="J1186" t="str">
            <v>bueno</v>
          </cell>
          <cell r="K1186" t="str">
            <v>defsi</v>
          </cell>
        </row>
        <row r="1187">
          <cell r="B1187" t="b">
            <v>1</v>
          </cell>
          <cell r="E1187" t="str">
            <v>Arroyo Grande</v>
          </cell>
          <cell r="H1187" t="str">
            <v>salud_oral</v>
          </cell>
          <cell r="J1187" t="str">
            <v>bueno</v>
          </cell>
          <cell r="K1187" t="str">
            <v>defsi</v>
          </cell>
        </row>
        <row r="1188">
          <cell r="B1188" t="b">
            <v>1</v>
          </cell>
          <cell r="E1188" t="str">
            <v>Daniel Lemaitre</v>
          </cell>
          <cell r="H1188" t="str">
            <v>salud_oral</v>
          </cell>
          <cell r="J1188" t="str">
            <v>bueno</v>
          </cell>
          <cell r="K1188" t="str">
            <v>probsi</v>
          </cell>
        </row>
        <row r="1189">
          <cell r="B1189" t="b">
            <v>1</v>
          </cell>
          <cell r="E1189" t="str">
            <v>Bocachica</v>
          </cell>
          <cell r="H1189" t="str">
            <v>consulta_externa</v>
          </cell>
          <cell r="J1189" t="str">
            <v>bueno</v>
          </cell>
          <cell r="K1189" t="str">
            <v>probsi</v>
          </cell>
        </row>
        <row r="1190">
          <cell r="B1190" t="b">
            <v>1</v>
          </cell>
          <cell r="E1190" t="str">
            <v>Daniel Lemaitre</v>
          </cell>
          <cell r="H1190" t="str">
            <v>salud_oral</v>
          </cell>
          <cell r="J1190" t="str">
            <v>bueno</v>
          </cell>
          <cell r="K1190" t="str">
            <v>probsi</v>
          </cell>
        </row>
        <row r="1191">
          <cell r="B1191" t="b">
            <v>1</v>
          </cell>
          <cell r="E1191" t="str">
            <v>Daniel Lemaitre</v>
          </cell>
          <cell r="H1191" t="str">
            <v>salud_oral</v>
          </cell>
          <cell r="J1191" t="str">
            <v>bueno</v>
          </cell>
          <cell r="K1191" t="str">
            <v>probsi</v>
          </cell>
        </row>
        <row r="1192">
          <cell r="B1192" t="b">
            <v>1</v>
          </cell>
          <cell r="E1192" t="str">
            <v>Bocachica</v>
          </cell>
          <cell r="H1192" t="str">
            <v>consulta_externa</v>
          </cell>
          <cell r="J1192" t="str">
            <v>bueno</v>
          </cell>
          <cell r="K1192" t="str">
            <v>probsi</v>
          </cell>
        </row>
        <row r="1193">
          <cell r="B1193" t="b">
            <v>1</v>
          </cell>
          <cell r="E1193" t="str">
            <v>Arroyo Grande</v>
          </cell>
          <cell r="H1193" t="str">
            <v>consulta_externa</v>
          </cell>
          <cell r="J1193" t="str">
            <v>bueno</v>
          </cell>
          <cell r="K1193" t="str">
            <v>defsi</v>
          </cell>
        </row>
        <row r="1194">
          <cell r="B1194" t="b">
            <v>1</v>
          </cell>
          <cell r="E1194" t="str">
            <v>Daniel Lemaitre</v>
          </cell>
          <cell r="H1194" t="str">
            <v>consulta_externa</v>
          </cell>
          <cell r="J1194" t="str">
            <v>bueno</v>
          </cell>
          <cell r="K1194" t="str">
            <v>probsi</v>
          </cell>
        </row>
        <row r="1195">
          <cell r="B1195" t="b">
            <v>1</v>
          </cell>
          <cell r="E1195" t="str">
            <v>Daniel Lemaitre</v>
          </cell>
          <cell r="H1195" t="str">
            <v>salud_oral</v>
          </cell>
          <cell r="J1195" t="str">
            <v>bueno</v>
          </cell>
          <cell r="K1195" t="str">
            <v>probsi</v>
          </cell>
        </row>
        <row r="1196">
          <cell r="B1196" t="b">
            <v>1</v>
          </cell>
          <cell r="E1196" t="str">
            <v>Arroyo Grande</v>
          </cell>
          <cell r="H1196" t="str">
            <v>laboratorio</v>
          </cell>
          <cell r="J1196" t="str">
            <v>bueno</v>
          </cell>
          <cell r="K1196" t="str">
            <v>defsi</v>
          </cell>
        </row>
        <row r="1197">
          <cell r="B1197" t="b">
            <v>1</v>
          </cell>
          <cell r="E1197" t="str">
            <v>Bocachica</v>
          </cell>
          <cell r="H1197" t="str">
            <v>consulta_externa</v>
          </cell>
          <cell r="J1197" t="str">
            <v>bueno</v>
          </cell>
          <cell r="K1197" t="str">
            <v>probsi</v>
          </cell>
        </row>
        <row r="1198">
          <cell r="B1198" t="b">
            <v>1</v>
          </cell>
          <cell r="E1198" t="str">
            <v>Arroyo Grande</v>
          </cell>
          <cell r="H1198" t="str">
            <v>consulta_externa</v>
          </cell>
          <cell r="J1198" t="str">
            <v>bueno</v>
          </cell>
          <cell r="K1198" t="str">
            <v>defsi</v>
          </cell>
        </row>
        <row r="1199">
          <cell r="B1199" t="b">
            <v>1</v>
          </cell>
          <cell r="E1199" t="str">
            <v>Bocachica</v>
          </cell>
          <cell r="H1199" t="str">
            <v>consulta_externa</v>
          </cell>
          <cell r="J1199" t="str">
            <v>bueno</v>
          </cell>
          <cell r="K1199" t="str">
            <v>probsi</v>
          </cell>
        </row>
        <row r="1200">
          <cell r="B1200" t="b">
            <v>1</v>
          </cell>
          <cell r="E1200" t="str">
            <v>Arroyo Grande</v>
          </cell>
          <cell r="H1200" t="str">
            <v>salud_oral</v>
          </cell>
          <cell r="J1200" t="str">
            <v>bueno</v>
          </cell>
          <cell r="K1200" t="str">
            <v>defsi</v>
          </cell>
        </row>
        <row r="1201">
          <cell r="B1201" t="b">
            <v>1</v>
          </cell>
          <cell r="E1201" t="str">
            <v>Arroyo Grande</v>
          </cell>
          <cell r="H1201" t="str">
            <v>consulta_externa</v>
          </cell>
          <cell r="J1201" t="str">
            <v>bueno</v>
          </cell>
          <cell r="K1201" t="str">
            <v>defsi</v>
          </cell>
        </row>
        <row r="1202">
          <cell r="B1202" t="b">
            <v>1</v>
          </cell>
          <cell r="E1202" t="str">
            <v>Arroyo Grande</v>
          </cell>
          <cell r="H1202" t="str">
            <v>laboratorio</v>
          </cell>
          <cell r="J1202" t="str">
            <v>bueno</v>
          </cell>
          <cell r="K1202" t="str">
            <v>defsi</v>
          </cell>
        </row>
        <row r="1203">
          <cell r="B1203" t="b">
            <v>1</v>
          </cell>
          <cell r="E1203" t="str">
            <v>Bocachica</v>
          </cell>
          <cell r="H1203" t="str">
            <v>consulta_externa</v>
          </cell>
          <cell r="J1203" t="str">
            <v>bueno</v>
          </cell>
          <cell r="K1203" t="str">
            <v>probsi</v>
          </cell>
        </row>
        <row r="1204">
          <cell r="B1204" t="b">
            <v>1</v>
          </cell>
          <cell r="E1204" t="str">
            <v>Bocachica</v>
          </cell>
          <cell r="H1204" t="str">
            <v>consulta_externa</v>
          </cell>
          <cell r="J1204" t="str">
            <v>bueno</v>
          </cell>
          <cell r="K1204" t="str">
            <v>probsi</v>
          </cell>
        </row>
        <row r="1205">
          <cell r="B1205" t="b">
            <v>1</v>
          </cell>
          <cell r="E1205" t="str">
            <v>Daniel Lemaitre</v>
          </cell>
          <cell r="H1205" t="str">
            <v>salud_oral</v>
          </cell>
          <cell r="J1205" t="str">
            <v>bueno</v>
          </cell>
          <cell r="K1205" t="str">
            <v>probsi</v>
          </cell>
        </row>
        <row r="1206">
          <cell r="B1206" t="b">
            <v>1</v>
          </cell>
          <cell r="E1206" t="str">
            <v>Daniel Lemaitre</v>
          </cell>
          <cell r="H1206" t="str">
            <v>salud_oral</v>
          </cell>
          <cell r="J1206" t="str">
            <v>bueno</v>
          </cell>
          <cell r="K1206" t="str">
            <v>probsi</v>
          </cell>
        </row>
        <row r="1207">
          <cell r="B1207" t="b">
            <v>1</v>
          </cell>
          <cell r="E1207" t="str">
            <v>Bocachica</v>
          </cell>
          <cell r="H1207" t="str">
            <v>consulta_externa</v>
          </cell>
          <cell r="J1207" t="str">
            <v>bueno</v>
          </cell>
          <cell r="K1207" t="str">
            <v>probsi</v>
          </cell>
        </row>
        <row r="1208">
          <cell r="B1208" t="b">
            <v>1</v>
          </cell>
          <cell r="E1208" t="str">
            <v>Daniel Lemaitre</v>
          </cell>
          <cell r="H1208" t="str">
            <v>consulta_externa</v>
          </cell>
          <cell r="J1208" t="str">
            <v>bueno</v>
          </cell>
          <cell r="K1208" t="str">
            <v>probsi</v>
          </cell>
        </row>
        <row r="1209">
          <cell r="B1209" t="b">
            <v>1</v>
          </cell>
          <cell r="E1209" t="str">
            <v>Daniel Lemaitre</v>
          </cell>
          <cell r="H1209" t="str">
            <v>consulta_externa</v>
          </cell>
          <cell r="J1209" t="str">
            <v>bueno</v>
          </cell>
          <cell r="K1209" t="str">
            <v>probsi</v>
          </cell>
        </row>
        <row r="1210">
          <cell r="B1210" t="b">
            <v>1</v>
          </cell>
          <cell r="E1210" t="str">
            <v>Bocachica</v>
          </cell>
          <cell r="H1210" t="str">
            <v>consulta_externa</v>
          </cell>
          <cell r="J1210" t="str">
            <v>bueno</v>
          </cell>
          <cell r="K1210" t="str">
            <v>probsi</v>
          </cell>
        </row>
        <row r="1211">
          <cell r="B1211" t="b">
            <v>1</v>
          </cell>
          <cell r="E1211" t="str">
            <v>Bocachica</v>
          </cell>
          <cell r="H1211" t="str">
            <v>consulta_externa</v>
          </cell>
          <cell r="J1211" t="str">
            <v>bueno</v>
          </cell>
          <cell r="K1211" t="str">
            <v>probsi</v>
          </cell>
        </row>
        <row r="1212">
          <cell r="B1212" t="b">
            <v>1</v>
          </cell>
          <cell r="E1212" t="str">
            <v>Bocachica</v>
          </cell>
          <cell r="H1212" t="str">
            <v>consulta_externa</v>
          </cell>
          <cell r="J1212" t="str">
            <v>bueno</v>
          </cell>
          <cell r="K1212" t="str">
            <v>probsi</v>
          </cell>
        </row>
        <row r="1213">
          <cell r="B1213" t="b">
            <v>1</v>
          </cell>
          <cell r="E1213" t="str">
            <v>Arroyo Grande</v>
          </cell>
          <cell r="H1213" t="str">
            <v>salud_oral</v>
          </cell>
          <cell r="J1213" t="str">
            <v>bueno</v>
          </cell>
          <cell r="K1213" t="str">
            <v>defsi</v>
          </cell>
        </row>
        <row r="1214">
          <cell r="B1214" t="b">
            <v>1</v>
          </cell>
          <cell r="E1214" t="str">
            <v>Daniel Lemaitre</v>
          </cell>
          <cell r="H1214" t="str">
            <v>consulta_externa</v>
          </cell>
          <cell r="J1214" t="str">
            <v>bueno</v>
          </cell>
          <cell r="K1214" t="str">
            <v>probsi</v>
          </cell>
        </row>
        <row r="1215">
          <cell r="B1215" t="b">
            <v>1</v>
          </cell>
          <cell r="E1215" t="str">
            <v>Daniel Lemaitre</v>
          </cell>
          <cell r="H1215" t="str">
            <v>consulta_externa</v>
          </cell>
          <cell r="J1215" t="str">
            <v>bueno</v>
          </cell>
          <cell r="K1215" t="str">
            <v>probsi</v>
          </cell>
        </row>
        <row r="1216">
          <cell r="B1216" t="b">
            <v>1</v>
          </cell>
          <cell r="E1216" t="str">
            <v>Daniel Lemaitre</v>
          </cell>
          <cell r="H1216" t="str">
            <v>salud_oral</v>
          </cell>
          <cell r="J1216" t="str">
            <v>bueno</v>
          </cell>
          <cell r="K1216" t="str">
            <v>probsi</v>
          </cell>
        </row>
        <row r="1217">
          <cell r="B1217" t="b">
            <v>1</v>
          </cell>
          <cell r="E1217" t="str">
            <v>Daniel Lemaitre</v>
          </cell>
          <cell r="H1217" t="str">
            <v>laboratorio</v>
          </cell>
          <cell r="J1217" t="str">
            <v>bueno</v>
          </cell>
          <cell r="K1217" t="str">
            <v>probsi</v>
          </cell>
        </row>
        <row r="1218">
          <cell r="B1218" t="b">
            <v>1</v>
          </cell>
          <cell r="E1218" t="str">
            <v>Arroyo Grande</v>
          </cell>
          <cell r="H1218" t="str">
            <v>consulta_externa</v>
          </cell>
          <cell r="J1218" t="str">
            <v>bueno</v>
          </cell>
          <cell r="K1218" t="str">
            <v>defsi</v>
          </cell>
        </row>
        <row r="1219">
          <cell r="B1219" t="b">
            <v>1</v>
          </cell>
          <cell r="E1219" t="str">
            <v>Arroyo Grande</v>
          </cell>
          <cell r="H1219" t="str">
            <v>salud_oral</v>
          </cell>
          <cell r="J1219" t="str">
            <v>bueno</v>
          </cell>
          <cell r="K1219" t="str">
            <v>defsi</v>
          </cell>
        </row>
        <row r="1220">
          <cell r="B1220" t="b">
            <v>1</v>
          </cell>
          <cell r="E1220" t="str">
            <v>Bocachica</v>
          </cell>
          <cell r="H1220" t="str">
            <v>salud_oral</v>
          </cell>
          <cell r="J1220" t="str">
            <v>bueno</v>
          </cell>
          <cell r="K1220" t="str">
            <v>probsi</v>
          </cell>
        </row>
        <row r="1221">
          <cell r="B1221" t="b">
            <v>1</v>
          </cell>
          <cell r="E1221" t="str">
            <v>Bocachica</v>
          </cell>
          <cell r="H1221" t="str">
            <v>salud_oral</v>
          </cell>
          <cell r="J1221" t="str">
            <v>bueno</v>
          </cell>
          <cell r="K1221" t="str">
            <v>probsi</v>
          </cell>
        </row>
        <row r="1222">
          <cell r="B1222" t="b">
            <v>1</v>
          </cell>
          <cell r="E1222" t="str">
            <v>Bocachica</v>
          </cell>
          <cell r="H1222" t="str">
            <v>laboratorio</v>
          </cell>
          <cell r="J1222" t="str">
            <v>bueno</v>
          </cell>
          <cell r="K1222" t="str">
            <v>probsi</v>
          </cell>
        </row>
        <row r="1223">
          <cell r="B1223" t="b">
            <v>1</v>
          </cell>
          <cell r="E1223" t="str">
            <v>Daniel Lemaitre</v>
          </cell>
          <cell r="H1223" t="str">
            <v>laboratorio</v>
          </cell>
          <cell r="J1223" t="str">
            <v>bueno</v>
          </cell>
          <cell r="K1223" t="str">
            <v>probsi</v>
          </cell>
        </row>
        <row r="1224">
          <cell r="B1224" t="b">
            <v>1</v>
          </cell>
          <cell r="E1224" t="str">
            <v>Bocachica</v>
          </cell>
          <cell r="H1224" t="str">
            <v>laboratorio</v>
          </cell>
          <cell r="J1224" t="str">
            <v>bueno</v>
          </cell>
          <cell r="K1224" t="str">
            <v>probsi</v>
          </cell>
        </row>
        <row r="1225">
          <cell r="B1225" t="b">
            <v>1</v>
          </cell>
          <cell r="E1225" t="str">
            <v>Arroyo Grande</v>
          </cell>
          <cell r="H1225" t="str">
            <v>consulta_externa</v>
          </cell>
          <cell r="J1225" t="str">
            <v>bueno</v>
          </cell>
          <cell r="K1225" t="str">
            <v>defsi</v>
          </cell>
        </row>
        <row r="1226">
          <cell r="B1226" t="b">
            <v>1</v>
          </cell>
          <cell r="E1226" t="str">
            <v>Santa Ana</v>
          </cell>
          <cell r="H1226" t="str">
            <v>consulta_externa</v>
          </cell>
          <cell r="J1226" t="str">
            <v>muybueno</v>
          </cell>
          <cell r="K1226" t="str">
            <v>defsi</v>
          </cell>
        </row>
        <row r="1227">
          <cell r="B1227" t="b">
            <v>1</v>
          </cell>
          <cell r="E1227" t="str">
            <v>Santa Ana</v>
          </cell>
          <cell r="H1227" t="str">
            <v>laboratorio</v>
          </cell>
          <cell r="J1227" t="str">
            <v>muybueno</v>
          </cell>
          <cell r="K1227" t="str">
            <v>defsi</v>
          </cell>
        </row>
        <row r="1228">
          <cell r="B1228" t="b">
            <v>1</v>
          </cell>
          <cell r="E1228" t="str">
            <v>Arroyo Grande</v>
          </cell>
          <cell r="H1228" t="str">
            <v>consulta_externa</v>
          </cell>
          <cell r="J1228" t="str">
            <v>bueno</v>
          </cell>
          <cell r="K1228" t="str">
            <v>defsi</v>
          </cell>
        </row>
        <row r="1229">
          <cell r="B1229" t="b">
            <v>1</v>
          </cell>
          <cell r="E1229" t="str">
            <v>Arroyo Grande</v>
          </cell>
          <cell r="H1229" t="str">
            <v>salud_oral</v>
          </cell>
          <cell r="J1229" t="str">
            <v>bueno</v>
          </cell>
          <cell r="K1229" t="str">
            <v>defsi</v>
          </cell>
        </row>
        <row r="1230">
          <cell r="B1230" t="b">
            <v>1</v>
          </cell>
          <cell r="E1230" t="str">
            <v>Arroyo Grande</v>
          </cell>
          <cell r="H1230" t="str">
            <v>consulta_externa</v>
          </cell>
          <cell r="J1230" t="str">
            <v>bueno</v>
          </cell>
          <cell r="K1230" t="str">
            <v>defsi</v>
          </cell>
        </row>
        <row r="1231">
          <cell r="B1231" t="b">
            <v>1</v>
          </cell>
          <cell r="E1231" t="str">
            <v>Arroyo Grande</v>
          </cell>
          <cell r="H1231" t="str">
            <v>laboratorio</v>
          </cell>
          <cell r="J1231" t="str">
            <v>bueno</v>
          </cell>
          <cell r="K1231" t="str">
            <v>defsi</v>
          </cell>
        </row>
        <row r="1232">
          <cell r="B1232" t="b">
            <v>0</v>
          </cell>
          <cell r="E1232" t="str">
            <v>Bocachica</v>
          </cell>
          <cell r="H1232" t="str">
            <v>consulta_externa</v>
          </cell>
          <cell r="J1232" t="str">
            <v>regular</v>
          </cell>
          <cell r="K1232" t="str">
            <v>probsi</v>
          </cell>
        </row>
        <row r="1233">
          <cell r="B1233" t="b">
            <v>1</v>
          </cell>
          <cell r="E1233" t="str">
            <v>Santa Ana</v>
          </cell>
          <cell r="H1233" t="str">
            <v>consulta_externa</v>
          </cell>
          <cell r="J1233" t="str">
            <v>muybueno</v>
          </cell>
          <cell r="K1233" t="str">
            <v>defsi</v>
          </cell>
        </row>
        <row r="1234">
          <cell r="B1234" t="b">
            <v>1</v>
          </cell>
          <cell r="E1234" t="str">
            <v>Santa Ana</v>
          </cell>
          <cell r="H1234" t="str">
            <v>salud_oral</v>
          </cell>
          <cell r="J1234" t="str">
            <v>muybueno</v>
          </cell>
          <cell r="K1234" t="str">
            <v>defsi</v>
          </cell>
        </row>
        <row r="1235">
          <cell r="B1235" t="b">
            <v>1</v>
          </cell>
          <cell r="E1235" t="str">
            <v>Daniel Lemaitre</v>
          </cell>
          <cell r="H1235" t="str">
            <v>laboratorio</v>
          </cell>
          <cell r="J1235" t="str">
            <v>bueno</v>
          </cell>
          <cell r="K1235" t="str">
            <v>probsi</v>
          </cell>
        </row>
        <row r="1236">
          <cell r="B1236" t="b">
            <v>1</v>
          </cell>
          <cell r="E1236" t="str">
            <v>Daniel Lemaitre</v>
          </cell>
          <cell r="H1236" t="str">
            <v>laboratorio</v>
          </cell>
          <cell r="J1236" t="str">
            <v>bueno</v>
          </cell>
          <cell r="K1236" t="str">
            <v>probsi</v>
          </cell>
        </row>
        <row r="1237">
          <cell r="B1237" t="b">
            <v>1</v>
          </cell>
          <cell r="E1237" t="str">
            <v>Daniel Lemaitre</v>
          </cell>
          <cell r="H1237" t="str">
            <v>laboratorio</v>
          </cell>
          <cell r="J1237" t="str">
            <v>bueno</v>
          </cell>
          <cell r="K1237" t="str">
            <v>probsi</v>
          </cell>
        </row>
        <row r="1238">
          <cell r="B1238" t="b">
            <v>1</v>
          </cell>
          <cell r="E1238" t="str">
            <v>Santa Ana</v>
          </cell>
          <cell r="H1238" t="str">
            <v>consulta_externa</v>
          </cell>
          <cell r="J1238" t="str">
            <v>muybueno</v>
          </cell>
          <cell r="K1238" t="str">
            <v>defsi</v>
          </cell>
        </row>
        <row r="1239">
          <cell r="B1239" t="b">
            <v>1</v>
          </cell>
          <cell r="E1239" t="str">
            <v>Daniel Lemaitre</v>
          </cell>
          <cell r="H1239" t="str">
            <v>consulta_externa</v>
          </cell>
          <cell r="J1239" t="str">
            <v>bueno</v>
          </cell>
          <cell r="K1239" t="str">
            <v>probsi</v>
          </cell>
        </row>
        <row r="1240">
          <cell r="B1240" t="b">
            <v>1</v>
          </cell>
          <cell r="E1240" t="str">
            <v>Daniel Lemaitre</v>
          </cell>
          <cell r="H1240" t="str">
            <v>laboratorio</v>
          </cell>
          <cell r="J1240" t="str">
            <v>bueno</v>
          </cell>
          <cell r="K1240" t="str">
            <v>probsi</v>
          </cell>
        </row>
        <row r="1241">
          <cell r="B1241" t="b">
            <v>1</v>
          </cell>
          <cell r="E1241" t="str">
            <v>Santa Ana</v>
          </cell>
          <cell r="H1241" t="str">
            <v>salud_oral</v>
          </cell>
          <cell r="J1241" t="str">
            <v>muybueno</v>
          </cell>
          <cell r="K1241" t="str">
            <v>defsi</v>
          </cell>
        </row>
        <row r="1242">
          <cell r="B1242" t="b">
            <v>1</v>
          </cell>
          <cell r="E1242" t="str">
            <v>Daniel Lemaitre</v>
          </cell>
          <cell r="H1242" t="str">
            <v>consulta_externa</v>
          </cell>
          <cell r="J1242" t="str">
            <v>bueno</v>
          </cell>
          <cell r="K1242" t="str">
            <v>probsi</v>
          </cell>
        </row>
        <row r="1243">
          <cell r="B1243" t="b">
            <v>1</v>
          </cell>
          <cell r="E1243" t="str">
            <v>Santa Ana</v>
          </cell>
          <cell r="H1243" t="str">
            <v>consulta_externa</v>
          </cell>
          <cell r="J1243" t="str">
            <v>muybueno</v>
          </cell>
          <cell r="K1243" t="str">
            <v>defsi</v>
          </cell>
        </row>
        <row r="1244">
          <cell r="B1244" t="b">
            <v>1</v>
          </cell>
          <cell r="E1244" t="str">
            <v>Daniel Lemaitre</v>
          </cell>
          <cell r="H1244" t="str">
            <v>consulta_externa</v>
          </cell>
          <cell r="J1244" t="str">
            <v>bueno</v>
          </cell>
          <cell r="K1244" t="str">
            <v>probsi</v>
          </cell>
        </row>
        <row r="1245">
          <cell r="B1245" t="b">
            <v>1</v>
          </cell>
          <cell r="E1245" t="str">
            <v>Santa Ana</v>
          </cell>
          <cell r="H1245" t="str">
            <v>laboratorio</v>
          </cell>
          <cell r="J1245" t="str">
            <v>muybueno</v>
          </cell>
          <cell r="K1245" t="str">
            <v>defsi</v>
          </cell>
        </row>
        <row r="1246">
          <cell r="B1246" t="b">
            <v>1</v>
          </cell>
          <cell r="E1246" t="str">
            <v>Daniel Lemaitre</v>
          </cell>
          <cell r="H1246" t="str">
            <v>laboratorio</v>
          </cell>
          <cell r="J1246" t="str">
            <v>bueno</v>
          </cell>
          <cell r="K1246" t="str">
            <v>probsi</v>
          </cell>
        </row>
        <row r="1247">
          <cell r="B1247" t="b">
            <v>1</v>
          </cell>
          <cell r="E1247" t="str">
            <v>Arroyo Grande</v>
          </cell>
          <cell r="H1247" t="str">
            <v>salud_oral</v>
          </cell>
          <cell r="J1247" t="str">
            <v>bueno</v>
          </cell>
          <cell r="K1247" t="str">
            <v>defsi</v>
          </cell>
        </row>
        <row r="1248">
          <cell r="B1248" t="b">
            <v>1</v>
          </cell>
          <cell r="E1248" t="str">
            <v>Daniel Lemaitre</v>
          </cell>
          <cell r="H1248" t="str">
            <v>consulta_externa</v>
          </cell>
          <cell r="J1248" t="str">
            <v>bueno</v>
          </cell>
          <cell r="K1248" t="str">
            <v>probsi</v>
          </cell>
        </row>
        <row r="1249">
          <cell r="B1249" t="b">
            <v>1</v>
          </cell>
          <cell r="E1249" t="str">
            <v>Bocachica</v>
          </cell>
          <cell r="H1249" t="str">
            <v>urgencia</v>
          </cell>
          <cell r="J1249" t="str">
            <v>bueno</v>
          </cell>
          <cell r="K1249" t="str">
            <v>probsi</v>
          </cell>
        </row>
        <row r="1250">
          <cell r="B1250" t="b">
            <v>1</v>
          </cell>
          <cell r="E1250" t="str">
            <v>Daniel Lemaitre</v>
          </cell>
          <cell r="H1250" t="str">
            <v>consulta_externa</v>
          </cell>
          <cell r="J1250" t="str">
            <v>bueno</v>
          </cell>
          <cell r="K1250" t="str">
            <v>probsi</v>
          </cell>
        </row>
        <row r="1251">
          <cell r="B1251" t="b">
            <v>1</v>
          </cell>
          <cell r="E1251" t="str">
            <v>Arroyo Grande</v>
          </cell>
          <cell r="H1251" t="str">
            <v>consulta_externa</v>
          </cell>
          <cell r="J1251" t="str">
            <v>bueno</v>
          </cell>
          <cell r="K1251" t="str">
            <v>defsi</v>
          </cell>
        </row>
        <row r="1252">
          <cell r="B1252" t="b">
            <v>1</v>
          </cell>
          <cell r="E1252" t="str">
            <v>Daniel Lemaitre</v>
          </cell>
          <cell r="H1252" t="str">
            <v>laboratorio</v>
          </cell>
          <cell r="J1252" t="str">
            <v>bueno</v>
          </cell>
          <cell r="K1252" t="str">
            <v>probsi</v>
          </cell>
        </row>
        <row r="1253">
          <cell r="B1253" t="b">
            <v>1</v>
          </cell>
          <cell r="E1253" t="str">
            <v>Bocachica</v>
          </cell>
          <cell r="H1253" t="str">
            <v>urgencia</v>
          </cell>
          <cell r="J1253" t="str">
            <v>bueno</v>
          </cell>
          <cell r="K1253" t="str">
            <v>probsi</v>
          </cell>
        </row>
        <row r="1254">
          <cell r="B1254" t="b">
            <v>1</v>
          </cell>
          <cell r="E1254" t="str">
            <v>Santa Ana</v>
          </cell>
          <cell r="H1254" t="str">
            <v>consulta_externa</v>
          </cell>
          <cell r="J1254" t="str">
            <v>muybueno</v>
          </cell>
          <cell r="K1254" t="str">
            <v>defsi</v>
          </cell>
        </row>
        <row r="1255">
          <cell r="B1255" t="b">
            <v>1</v>
          </cell>
          <cell r="E1255" t="str">
            <v>Santa Ana</v>
          </cell>
          <cell r="H1255" t="str">
            <v>laboratorio</v>
          </cell>
          <cell r="J1255" t="str">
            <v>muybueno</v>
          </cell>
          <cell r="K1255" t="str">
            <v>defsi</v>
          </cell>
        </row>
        <row r="1256">
          <cell r="B1256" t="b">
            <v>1</v>
          </cell>
          <cell r="E1256" t="str">
            <v>Arroyo Grande</v>
          </cell>
          <cell r="H1256" t="str">
            <v>consulta_externa</v>
          </cell>
          <cell r="J1256" t="str">
            <v>bueno</v>
          </cell>
          <cell r="K1256" t="str">
            <v>defsi</v>
          </cell>
        </row>
        <row r="1257">
          <cell r="B1257" t="b">
            <v>1</v>
          </cell>
          <cell r="E1257" t="str">
            <v>Bocachica</v>
          </cell>
          <cell r="H1257" t="str">
            <v>urgencia</v>
          </cell>
          <cell r="J1257" t="str">
            <v>bueno</v>
          </cell>
          <cell r="K1257" t="str">
            <v>probsi</v>
          </cell>
        </row>
        <row r="1258">
          <cell r="B1258" t="b">
            <v>1</v>
          </cell>
          <cell r="E1258" t="str">
            <v>Arroyo Grande</v>
          </cell>
          <cell r="H1258" t="str">
            <v>laboratorio</v>
          </cell>
          <cell r="J1258" t="str">
            <v>bueno</v>
          </cell>
          <cell r="K1258" t="str">
            <v>defsi</v>
          </cell>
        </row>
        <row r="1259">
          <cell r="B1259" t="b">
            <v>1</v>
          </cell>
          <cell r="E1259" t="str">
            <v>Bocachica</v>
          </cell>
          <cell r="H1259" t="str">
            <v>laboratorio</v>
          </cell>
          <cell r="J1259" t="str">
            <v>bueno</v>
          </cell>
          <cell r="K1259" t="str">
            <v>probsi</v>
          </cell>
        </row>
        <row r="1260">
          <cell r="B1260" t="b">
            <v>1</v>
          </cell>
          <cell r="E1260" t="str">
            <v>Santa Ana</v>
          </cell>
          <cell r="H1260" t="str">
            <v>consulta_externa</v>
          </cell>
          <cell r="J1260" t="str">
            <v>muybueno</v>
          </cell>
          <cell r="K1260" t="str">
            <v>defsi</v>
          </cell>
        </row>
        <row r="1261">
          <cell r="B1261" t="b">
            <v>1</v>
          </cell>
          <cell r="E1261" t="str">
            <v>Santa Ana</v>
          </cell>
          <cell r="H1261" t="str">
            <v>salud_oral</v>
          </cell>
          <cell r="J1261" t="str">
            <v>muybueno</v>
          </cell>
          <cell r="K1261" t="str">
            <v>defsi</v>
          </cell>
        </row>
        <row r="1262">
          <cell r="B1262" t="b">
            <v>0</v>
          </cell>
          <cell r="E1262" t="str">
            <v>Daniel Lemaitre</v>
          </cell>
          <cell r="H1262" t="str">
            <v>consulta_externa</v>
          </cell>
          <cell r="J1262" t="str">
            <v>regular</v>
          </cell>
          <cell r="K1262" t="str">
            <v>probsi</v>
          </cell>
        </row>
        <row r="1263">
          <cell r="B1263" t="b">
            <v>1</v>
          </cell>
          <cell r="E1263" t="str">
            <v>Daniel Lemaitre</v>
          </cell>
          <cell r="H1263" t="str">
            <v>consulta_externa</v>
          </cell>
          <cell r="J1263" t="str">
            <v>bueno</v>
          </cell>
          <cell r="K1263" t="str">
            <v>probsi</v>
          </cell>
        </row>
        <row r="1264">
          <cell r="B1264" t="b">
            <v>1</v>
          </cell>
          <cell r="E1264" t="str">
            <v>Daniel Lemaitre</v>
          </cell>
          <cell r="H1264" t="str">
            <v>consulta_externa</v>
          </cell>
          <cell r="J1264" t="str">
            <v>bueno</v>
          </cell>
          <cell r="K1264" t="str">
            <v>probsi</v>
          </cell>
        </row>
        <row r="1265">
          <cell r="B1265" t="b">
            <v>1</v>
          </cell>
          <cell r="E1265" t="str">
            <v>Daniel Lemaitre</v>
          </cell>
          <cell r="H1265" t="str">
            <v>laboratorio</v>
          </cell>
          <cell r="J1265" t="str">
            <v>bueno</v>
          </cell>
          <cell r="K1265" t="str">
            <v>probsi</v>
          </cell>
        </row>
        <row r="1266">
          <cell r="B1266" t="b">
            <v>1</v>
          </cell>
          <cell r="E1266" t="str">
            <v>Daniel Lemaitre</v>
          </cell>
          <cell r="H1266" t="str">
            <v>laboratorio</v>
          </cell>
          <cell r="J1266" t="str">
            <v>bueno</v>
          </cell>
          <cell r="K1266" t="str">
            <v>probsi</v>
          </cell>
        </row>
        <row r="1267">
          <cell r="B1267" t="b">
            <v>1</v>
          </cell>
          <cell r="E1267" t="str">
            <v>Daniel Lemaitre</v>
          </cell>
          <cell r="H1267" t="str">
            <v>laboratorio</v>
          </cell>
          <cell r="J1267" t="str">
            <v>bueno</v>
          </cell>
          <cell r="K1267" t="str">
            <v>probsi</v>
          </cell>
        </row>
        <row r="1268">
          <cell r="B1268" t="b">
            <v>1</v>
          </cell>
          <cell r="E1268" t="str">
            <v>Daniel Lemaitre</v>
          </cell>
          <cell r="H1268" t="str">
            <v>laboratorio</v>
          </cell>
          <cell r="J1268" t="str">
            <v>bueno</v>
          </cell>
          <cell r="K1268" t="str">
            <v>probsi</v>
          </cell>
        </row>
        <row r="1269">
          <cell r="B1269" t="b">
            <v>1</v>
          </cell>
          <cell r="E1269" t="str">
            <v>Daniel Lemaitre</v>
          </cell>
          <cell r="H1269" t="str">
            <v>salud_oral</v>
          </cell>
          <cell r="J1269" t="str">
            <v>bueno</v>
          </cell>
          <cell r="K1269" t="str">
            <v>probsi</v>
          </cell>
        </row>
        <row r="1270">
          <cell r="B1270" t="b">
            <v>1</v>
          </cell>
          <cell r="E1270" t="str">
            <v>Daniel Lemaitre</v>
          </cell>
          <cell r="H1270" t="str">
            <v>salud_oral</v>
          </cell>
          <cell r="J1270" t="str">
            <v>bueno</v>
          </cell>
          <cell r="K1270" t="str">
            <v>probsi</v>
          </cell>
        </row>
        <row r="1271">
          <cell r="B1271" t="b">
            <v>1</v>
          </cell>
          <cell r="E1271" t="str">
            <v>Arroyo Grande</v>
          </cell>
          <cell r="H1271" t="str">
            <v>laboratorio</v>
          </cell>
          <cell r="J1271" t="str">
            <v>bueno</v>
          </cell>
          <cell r="K1271" t="str">
            <v>defsi</v>
          </cell>
        </row>
        <row r="1272">
          <cell r="B1272" t="b">
            <v>0</v>
          </cell>
          <cell r="E1272" t="str">
            <v>Bocachica</v>
          </cell>
          <cell r="H1272" t="str">
            <v>urgencia</v>
          </cell>
          <cell r="J1272" t="str">
            <v>regular</v>
          </cell>
          <cell r="K1272" t="str">
            <v>probsi</v>
          </cell>
        </row>
        <row r="1273">
          <cell r="B1273" t="b">
            <v>1</v>
          </cell>
          <cell r="E1273" t="str">
            <v>Arroyo Grande</v>
          </cell>
          <cell r="H1273" t="str">
            <v>consulta_externa</v>
          </cell>
          <cell r="J1273" t="str">
            <v>bueno</v>
          </cell>
          <cell r="K1273" t="str">
            <v>defsi</v>
          </cell>
        </row>
        <row r="1274">
          <cell r="B1274" t="b">
            <v>1</v>
          </cell>
          <cell r="E1274" t="str">
            <v>Santa Ana</v>
          </cell>
          <cell r="H1274" t="str">
            <v>consulta_externa</v>
          </cell>
          <cell r="J1274" t="str">
            <v>muybueno</v>
          </cell>
          <cell r="K1274" t="str">
            <v>defsi</v>
          </cell>
        </row>
        <row r="1275">
          <cell r="B1275" t="b">
            <v>1</v>
          </cell>
          <cell r="E1275" t="str">
            <v>Santa Ana</v>
          </cell>
          <cell r="H1275" t="str">
            <v>laboratorio</v>
          </cell>
          <cell r="J1275" t="str">
            <v>muybueno</v>
          </cell>
          <cell r="K1275" t="str">
            <v>defsi</v>
          </cell>
        </row>
        <row r="1276">
          <cell r="B1276" t="b">
            <v>1</v>
          </cell>
          <cell r="E1276" t="str">
            <v>Bocachica</v>
          </cell>
          <cell r="H1276" t="str">
            <v>consulta_externa</v>
          </cell>
          <cell r="J1276" t="str">
            <v>bueno</v>
          </cell>
          <cell r="K1276" t="str">
            <v>probsi</v>
          </cell>
        </row>
        <row r="1277">
          <cell r="B1277" t="b">
            <v>1</v>
          </cell>
          <cell r="E1277" t="str">
            <v>Santa Ana</v>
          </cell>
          <cell r="H1277" t="str">
            <v>consulta_externa</v>
          </cell>
          <cell r="J1277" t="str">
            <v>muybueno</v>
          </cell>
          <cell r="K1277" t="str">
            <v>defsi</v>
          </cell>
        </row>
        <row r="1278">
          <cell r="B1278" t="b">
            <v>1</v>
          </cell>
          <cell r="E1278" t="str">
            <v>Santa Ana</v>
          </cell>
          <cell r="H1278" t="str">
            <v>salud_oral</v>
          </cell>
          <cell r="J1278" t="str">
            <v>muybueno</v>
          </cell>
          <cell r="K1278" t="str">
            <v>defsi</v>
          </cell>
        </row>
        <row r="1279">
          <cell r="B1279" t="b">
            <v>1</v>
          </cell>
          <cell r="E1279" t="str">
            <v>Arroyo Grande</v>
          </cell>
          <cell r="H1279" t="str">
            <v>salud_oral</v>
          </cell>
          <cell r="J1279" t="str">
            <v>bueno</v>
          </cell>
          <cell r="K1279" t="str">
            <v>defsi</v>
          </cell>
        </row>
        <row r="1280">
          <cell r="B1280" t="b">
            <v>1</v>
          </cell>
          <cell r="E1280" t="str">
            <v>Arroyo Grande</v>
          </cell>
          <cell r="H1280" t="str">
            <v>consulta_externa</v>
          </cell>
          <cell r="J1280" t="str">
            <v>bueno</v>
          </cell>
          <cell r="K1280" t="str">
            <v>defsi</v>
          </cell>
        </row>
        <row r="1281">
          <cell r="B1281" t="b">
            <v>1</v>
          </cell>
          <cell r="E1281" t="str">
            <v>Arroyo Grande</v>
          </cell>
          <cell r="H1281" t="str">
            <v>laboratorio</v>
          </cell>
          <cell r="J1281" t="str">
            <v>bueno</v>
          </cell>
          <cell r="K1281" t="str">
            <v>defsi</v>
          </cell>
        </row>
        <row r="1282">
          <cell r="B1282" t="b">
            <v>1</v>
          </cell>
          <cell r="E1282" t="str">
            <v>Arroyo Grande</v>
          </cell>
          <cell r="H1282" t="str">
            <v>laboratorio</v>
          </cell>
          <cell r="J1282" t="str">
            <v>bueno</v>
          </cell>
          <cell r="K1282" t="str">
            <v>defsi</v>
          </cell>
        </row>
        <row r="1283">
          <cell r="B1283" t="b">
            <v>1</v>
          </cell>
          <cell r="E1283" t="str">
            <v>Arroyo Grande</v>
          </cell>
          <cell r="H1283" t="str">
            <v>laboratorio</v>
          </cell>
          <cell r="J1283" t="str">
            <v>bueno</v>
          </cell>
          <cell r="K1283" t="str">
            <v>defsi</v>
          </cell>
        </row>
        <row r="1284">
          <cell r="B1284" t="b">
            <v>1</v>
          </cell>
          <cell r="E1284" t="str">
            <v>Santa Ana</v>
          </cell>
          <cell r="H1284" t="str">
            <v>consulta_externa</v>
          </cell>
          <cell r="J1284" t="str">
            <v>muybueno</v>
          </cell>
          <cell r="K1284" t="str">
            <v>defsi</v>
          </cell>
        </row>
        <row r="1285">
          <cell r="B1285" t="b">
            <v>1</v>
          </cell>
          <cell r="E1285" t="str">
            <v>Santa Ana</v>
          </cell>
          <cell r="H1285" t="str">
            <v>laboratorio</v>
          </cell>
          <cell r="J1285" t="str">
            <v>muybueno</v>
          </cell>
          <cell r="K1285" t="str">
            <v>defsi</v>
          </cell>
        </row>
        <row r="1286">
          <cell r="B1286" t="b">
            <v>1</v>
          </cell>
          <cell r="E1286" t="str">
            <v>Santa Ana</v>
          </cell>
          <cell r="H1286" t="str">
            <v>consulta_externa</v>
          </cell>
          <cell r="J1286" t="str">
            <v>muybueno</v>
          </cell>
          <cell r="K1286" t="str">
            <v>defsi</v>
          </cell>
        </row>
        <row r="1287">
          <cell r="B1287" t="b">
            <v>1</v>
          </cell>
          <cell r="E1287" t="str">
            <v>Bocachica</v>
          </cell>
          <cell r="H1287" t="str">
            <v>urgencia</v>
          </cell>
          <cell r="J1287" t="str">
            <v>bueno</v>
          </cell>
          <cell r="K1287" t="str">
            <v>probsi</v>
          </cell>
        </row>
        <row r="1288">
          <cell r="B1288" t="b">
            <v>1</v>
          </cell>
          <cell r="E1288" t="str">
            <v>Canapote</v>
          </cell>
          <cell r="H1288" t="str">
            <v>consulta_externa</v>
          </cell>
          <cell r="J1288" t="str">
            <v>bueno</v>
          </cell>
          <cell r="K1288" t="str">
            <v>probsi</v>
          </cell>
        </row>
        <row r="1289">
          <cell r="B1289" t="b">
            <v>0</v>
          </cell>
          <cell r="E1289" t="str">
            <v>Canapote</v>
          </cell>
          <cell r="H1289" t="str">
            <v>laboratorio</v>
          </cell>
          <cell r="J1289" t="str">
            <v>regular</v>
          </cell>
          <cell r="K1289" t="str">
            <v>probsi</v>
          </cell>
        </row>
        <row r="1290">
          <cell r="B1290" t="b">
            <v>0</v>
          </cell>
          <cell r="E1290" t="str">
            <v>Canapote</v>
          </cell>
          <cell r="H1290" t="str">
            <v>consulta_externa</v>
          </cell>
          <cell r="J1290" t="str">
            <v>regular</v>
          </cell>
          <cell r="K1290" t="str">
            <v>probsi</v>
          </cell>
        </row>
        <row r="1291">
          <cell r="B1291" t="b">
            <v>1</v>
          </cell>
          <cell r="E1291" t="str">
            <v>Canapote</v>
          </cell>
          <cell r="H1291" t="str">
            <v>consulta_externa</v>
          </cell>
          <cell r="J1291" t="str">
            <v>bueno</v>
          </cell>
          <cell r="K1291" t="str">
            <v>probsi</v>
          </cell>
        </row>
        <row r="1292">
          <cell r="B1292" t="b">
            <v>1</v>
          </cell>
          <cell r="E1292" t="str">
            <v>Canapote</v>
          </cell>
          <cell r="H1292" t="str">
            <v>consulta_externa</v>
          </cell>
          <cell r="J1292" t="str">
            <v>bueno</v>
          </cell>
          <cell r="K1292" t="str">
            <v>probsi</v>
          </cell>
        </row>
        <row r="1293">
          <cell r="B1293" t="b">
            <v>1</v>
          </cell>
          <cell r="E1293" t="str">
            <v>Canapote</v>
          </cell>
          <cell r="H1293" t="str">
            <v>salud_oral</v>
          </cell>
          <cell r="J1293" t="str">
            <v>bueno</v>
          </cell>
          <cell r="K1293" t="str">
            <v>probsi</v>
          </cell>
        </row>
        <row r="1294">
          <cell r="B1294" t="b">
            <v>1</v>
          </cell>
          <cell r="E1294" t="str">
            <v>Bocachica</v>
          </cell>
          <cell r="H1294" t="str">
            <v>consulta_externa</v>
          </cell>
          <cell r="J1294" t="str">
            <v>bueno</v>
          </cell>
          <cell r="K1294" t="str">
            <v>probsi</v>
          </cell>
        </row>
        <row r="1295">
          <cell r="B1295" t="b">
            <v>1</v>
          </cell>
          <cell r="E1295" t="str">
            <v>Canapote</v>
          </cell>
          <cell r="H1295" t="str">
            <v>laboratorio</v>
          </cell>
          <cell r="J1295" t="str">
            <v>bueno</v>
          </cell>
          <cell r="K1295" t="str">
            <v>probsi</v>
          </cell>
        </row>
        <row r="1296">
          <cell r="B1296" t="b">
            <v>1</v>
          </cell>
          <cell r="E1296" t="str">
            <v>Santa Ana</v>
          </cell>
          <cell r="H1296" t="str">
            <v>consulta_externa</v>
          </cell>
          <cell r="J1296" t="str">
            <v>muybueno</v>
          </cell>
          <cell r="K1296" t="str">
            <v>defsi</v>
          </cell>
        </row>
        <row r="1297">
          <cell r="B1297" t="b">
            <v>1</v>
          </cell>
          <cell r="E1297" t="str">
            <v>Santa Ana</v>
          </cell>
          <cell r="H1297" t="str">
            <v>laboratorio</v>
          </cell>
          <cell r="J1297" t="str">
            <v>muybueno</v>
          </cell>
          <cell r="K1297" t="str">
            <v>defsi</v>
          </cell>
        </row>
        <row r="1298">
          <cell r="B1298" t="b">
            <v>1</v>
          </cell>
          <cell r="E1298" t="str">
            <v>Canapote</v>
          </cell>
          <cell r="H1298" t="str">
            <v>consulta_externa</v>
          </cell>
          <cell r="J1298" t="str">
            <v>bueno</v>
          </cell>
          <cell r="K1298" t="str">
            <v>probsi</v>
          </cell>
        </row>
        <row r="1299">
          <cell r="B1299" t="b">
            <v>1</v>
          </cell>
          <cell r="E1299" t="str">
            <v>Canapote</v>
          </cell>
          <cell r="H1299" t="str">
            <v>consulta_externa</v>
          </cell>
          <cell r="J1299" t="str">
            <v>bueno</v>
          </cell>
          <cell r="K1299" t="str">
            <v>probsi</v>
          </cell>
        </row>
        <row r="1300">
          <cell r="B1300" t="b">
            <v>1</v>
          </cell>
          <cell r="E1300" t="str">
            <v>Canapote</v>
          </cell>
          <cell r="H1300" t="str">
            <v>salud_oral</v>
          </cell>
          <cell r="J1300" t="str">
            <v>bueno</v>
          </cell>
          <cell r="K1300" t="str">
            <v>probsi</v>
          </cell>
        </row>
        <row r="1301">
          <cell r="B1301" t="b">
            <v>1</v>
          </cell>
          <cell r="E1301" t="str">
            <v>Canapote</v>
          </cell>
          <cell r="H1301" t="str">
            <v>laboratorio</v>
          </cell>
          <cell r="J1301" t="str">
            <v>bueno</v>
          </cell>
          <cell r="K1301" t="str">
            <v>probsi</v>
          </cell>
        </row>
        <row r="1302">
          <cell r="B1302" t="b">
            <v>1</v>
          </cell>
          <cell r="E1302" t="str">
            <v>Santa Ana</v>
          </cell>
          <cell r="H1302" t="str">
            <v>consulta_externa</v>
          </cell>
          <cell r="J1302" t="str">
            <v>muybueno</v>
          </cell>
          <cell r="K1302" t="str">
            <v>defsi</v>
          </cell>
        </row>
        <row r="1303">
          <cell r="B1303" t="b">
            <v>1</v>
          </cell>
          <cell r="E1303" t="str">
            <v>Santa Ana</v>
          </cell>
          <cell r="H1303" t="str">
            <v>salud_oral</v>
          </cell>
          <cell r="J1303" t="str">
            <v>muybueno</v>
          </cell>
          <cell r="K1303" t="str">
            <v>defsi</v>
          </cell>
        </row>
        <row r="1304">
          <cell r="B1304" t="b">
            <v>1</v>
          </cell>
          <cell r="E1304" t="str">
            <v>Bocachica</v>
          </cell>
          <cell r="H1304" t="str">
            <v>consulta_externa</v>
          </cell>
          <cell r="J1304" t="str">
            <v>bueno</v>
          </cell>
          <cell r="K1304" t="str">
            <v>probsi</v>
          </cell>
        </row>
        <row r="1305">
          <cell r="B1305" t="b">
            <v>0</v>
          </cell>
          <cell r="E1305" t="str">
            <v>Bocachica</v>
          </cell>
          <cell r="H1305" t="str">
            <v>salud_oral</v>
          </cell>
          <cell r="J1305" t="str">
            <v>regular</v>
          </cell>
          <cell r="K1305" t="str">
            <v>probsi</v>
          </cell>
        </row>
        <row r="1306">
          <cell r="B1306" t="b">
            <v>0</v>
          </cell>
          <cell r="E1306" t="str">
            <v>Bocachica</v>
          </cell>
          <cell r="H1306" t="str">
            <v>salud_oral</v>
          </cell>
          <cell r="J1306" t="str">
            <v>regular</v>
          </cell>
          <cell r="K1306" t="str">
            <v>probsi</v>
          </cell>
        </row>
        <row r="1307">
          <cell r="B1307" t="b">
            <v>1</v>
          </cell>
          <cell r="E1307" t="str">
            <v>Santa Ana</v>
          </cell>
          <cell r="H1307" t="str">
            <v>consulta_externa</v>
          </cell>
          <cell r="J1307" t="str">
            <v>muybueno</v>
          </cell>
          <cell r="K1307" t="str">
            <v>defsi</v>
          </cell>
        </row>
        <row r="1308">
          <cell r="B1308" t="b">
            <v>1</v>
          </cell>
          <cell r="E1308" t="str">
            <v>Santa Ana</v>
          </cell>
          <cell r="H1308" t="str">
            <v>laboratorio</v>
          </cell>
          <cell r="J1308" t="str">
            <v>muybueno</v>
          </cell>
          <cell r="K1308" t="str">
            <v>defsi</v>
          </cell>
        </row>
        <row r="1309">
          <cell r="B1309" t="b">
            <v>1</v>
          </cell>
          <cell r="E1309" t="str">
            <v>Santa Ana</v>
          </cell>
          <cell r="H1309" t="str">
            <v>consulta_externa</v>
          </cell>
          <cell r="J1309" t="str">
            <v>muybueno</v>
          </cell>
          <cell r="K1309" t="str">
            <v>defsi</v>
          </cell>
        </row>
        <row r="1310">
          <cell r="B1310" t="b">
            <v>1</v>
          </cell>
          <cell r="E1310" t="str">
            <v>Santa Ana</v>
          </cell>
          <cell r="H1310" t="str">
            <v>salud_oral</v>
          </cell>
          <cell r="J1310" t="str">
            <v>muybueno</v>
          </cell>
          <cell r="K1310" t="str">
            <v>defsi</v>
          </cell>
        </row>
        <row r="1311">
          <cell r="B1311" t="b">
            <v>1</v>
          </cell>
          <cell r="E1311" t="str">
            <v>Canapote</v>
          </cell>
          <cell r="H1311" t="str">
            <v>consulta_externa</v>
          </cell>
          <cell r="J1311" t="str">
            <v>bueno</v>
          </cell>
          <cell r="K1311" t="str">
            <v>probsi</v>
          </cell>
        </row>
        <row r="1312">
          <cell r="B1312" t="b">
            <v>1</v>
          </cell>
          <cell r="E1312" t="str">
            <v>Canapote</v>
          </cell>
          <cell r="H1312" t="str">
            <v>laboratorio</v>
          </cell>
          <cell r="J1312" t="str">
            <v>bueno</v>
          </cell>
          <cell r="K1312" t="str">
            <v>probsi</v>
          </cell>
        </row>
        <row r="1313">
          <cell r="B1313" t="b">
            <v>1</v>
          </cell>
          <cell r="E1313" t="str">
            <v>Santa Ana</v>
          </cell>
          <cell r="H1313" t="str">
            <v>consulta_externa</v>
          </cell>
          <cell r="J1313" t="str">
            <v>muybueno</v>
          </cell>
          <cell r="K1313" t="str">
            <v>defsi</v>
          </cell>
        </row>
        <row r="1314">
          <cell r="B1314" t="b">
            <v>1</v>
          </cell>
          <cell r="E1314" t="str">
            <v>Santa Ana</v>
          </cell>
          <cell r="H1314" t="str">
            <v>laboratorio</v>
          </cell>
          <cell r="J1314" t="str">
            <v>muybueno</v>
          </cell>
          <cell r="K1314" t="str">
            <v>defsi</v>
          </cell>
        </row>
        <row r="1315">
          <cell r="B1315" t="b">
            <v>1</v>
          </cell>
          <cell r="E1315" t="str">
            <v>Canapote</v>
          </cell>
          <cell r="H1315" t="str">
            <v>consulta_externa</v>
          </cell>
          <cell r="J1315" t="str">
            <v>bueno</v>
          </cell>
          <cell r="K1315" t="str">
            <v>probsi</v>
          </cell>
        </row>
        <row r="1316">
          <cell r="B1316" t="b">
            <v>1</v>
          </cell>
          <cell r="E1316" t="str">
            <v>Canapote</v>
          </cell>
          <cell r="H1316" t="str">
            <v>salud_oral</v>
          </cell>
          <cell r="J1316" t="str">
            <v>bueno</v>
          </cell>
          <cell r="K1316" t="str">
            <v>probsi</v>
          </cell>
        </row>
        <row r="1317">
          <cell r="B1317" t="b">
            <v>1</v>
          </cell>
          <cell r="E1317" t="str">
            <v>Canapote</v>
          </cell>
          <cell r="H1317" t="str">
            <v>consulta_externa</v>
          </cell>
          <cell r="J1317" t="str">
            <v>bueno</v>
          </cell>
          <cell r="K1317" t="str">
            <v>probsi</v>
          </cell>
        </row>
        <row r="1318">
          <cell r="B1318" t="b">
            <v>1</v>
          </cell>
          <cell r="E1318" t="str">
            <v>Canapote</v>
          </cell>
          <cell r="H1318" t="str">
            <v>salud_oral</v>
          </cell>
          <cell r="J1318" t="str">
            <v>bueno</v>
          </cell>
          <cell r="K1318" t="str">
            <v>probsi</v>
          </cell>
        </row>
        <row r="1319">
          <cell r="B1319" t="b">
            <v>1</v>
          </cell>
          <cell r="E1319" t="str">
            <v>Canapote</v>
          </cell>
          <cell r="H1319" t="str">
            <v>laboratorio</v>
          </cell>
          <cell r="J1319" t="str">
            <v>bueno</v>
          </cell>
          <cell r="K1319" t="str">
            <v>probsi</v>
          </cell>
        </row>
        <row r="1320">
          <cell r="B1320" t="b">
            <v>1</v>
          </cell>
          <cell r="E1320" t="str">
            <v>Santa Ana</v>
          </cell>
          <cell r="H1320" t="str">
            <v>consulta_externa</v>
          </cell>
          <cell r="J1320" t="str">
            <v>muybueno</v>
          </cell>
          <cell r="K1320" t="str">
            <v>defsi</v>
          </cell>
        </row>
        <row r="1321">
          <cell r="B1321" t="b">
            <v>1</v>
          </cell>
          <cell r="E1321" t="str">
            <v>Canapote</v>
          </cell>
          <cell r="H1321" t="str">
            <v>consulta_externa</v>
          </cell>
          <cell r="J1321" t="str">
            <v>bueno</v>
          </cell>
          <cell r="K1321" t="str">
            <v>probsi</v>
          </cell>
        </row>
        <row r="1322">
          <cell r="B1322" t="b">
            <v>1</v>
          </cell>
          <cell r="E1322" t="str">
            <v>Santa Ana</v>
          </cell>
          <cell r="H1322" t="str">
            <v>laboratorio</v>
          </cell>
          <cell r="J1322" t="str">
            <v>muybueno</v>
          </cell>
          <cell r="K1322" t="str">
            <v>defsi</v>
          </cell>
        </row>
        <row r="1323">
          <cell r="B1323" t="b">
            <v>1</v>
          </cell>
          <cell r="E1323" t="str">
            <v>Canapote</v>
          </cell>
          <cell r="H1323" t="str">
            <v>salud_oral</v>
          </cell>
          <cell r="J1323" t="str">
            <v>bueno</v>
          </cell>
          <cell r="K1323" t="str">
            <v>probsi</v>
          </cell>
        </row>
        <row r="1324">
          <cell r="B1324" t="b">
            <v>0</v>
          </cell>
          <cell r="E1324" t="str">
            <v>Bocachica</v>
          </cell>
          <cell r="H1324" t="str">
            <v>urgencia</v>
          </cell>
          <cell r="J1324" t="str">
            <v>regular</v>
          </cell>
          <cell r="K1324" t="str">
            <v>probsi</v>
          </cell>
        </row>
        <row r="1325">
          <cell r="B1325" t="b">
            <v>0</v>
          </cell>
          <cell r="E1325" t="str">
            <v>Bocachica</v>
          </cell>
          <cell r="H1325" t="str">
            <v>urgencia</v>
          </cell>
          <cell r="J1325" t="str">
            <v>regular</v>
          </cell>
          <cell r="K1325" t="str">
            <v>probsi</v>
          </cell>
        </row>
        <row r="1326">
          <cell r="B1326" t="b">
            <v>0</v>
          </cell>
          <cell r="E1326" t="str">
            <v>Bocachica</v>
          </cell>
          <cell r="H1326" t="str">
            <v>urgencia</v>
          </cell>
          <cell r="J1326" t="str">
            <v>regular</v>
          </cell>
          <cell r="K1326" t="str">
            <v>probsi</v>
          </cell>
        </row>
        <row r="1327">
          <cell r="B1327" t="b">
            <v>1</v>
          </cell>
          <cell r="E1327" t="str">
            <v>Santa Ana</v>
          </cell>
          <cell r="H1327" t="str">
            <v>consulta_externa</v>
          </cell>
          <cell r="J1327" t="str">
            <v>muybueno</v>
          </cell>
          <cell r="K1327" t="str">
            <v>defsi</v>
          </cell>
        </row>
        <row r="1328">
          <cell r="B1328" t="b">
            <v>1</v>
          </cell>
          <cell r="E1328" t="str">
            <v>Santa Ana</v>
          </cell>
          <cell r="H1328" t="str">
            <v>salud_oral</v>
          </cell>
          <cell r="J1328" t="str">
            <v>muybueno</v>
          </cell>
          <cell r="K1328" t="str">
            <v>defsi</v>
          </cell>
        </row>
        <row r="1329">
          <cell r="B1329" t="b">
            <v>1</v>
          </cell>
          <cell r="E1329" t="str">
            <v>Santa Ana</v>
          </cell>
          <cell r="H1329" t="str">
            <v>consulta_externa</v>
          </cell>
          <cell r="J1329" t="str">
            <v>muybueno</v>
          </cell>
          <cell r="K1329" t="str">
            <v>defsi</v>
          </cell>
        </row>
        <row r="1330">
          <cell r="B1330" t="b">
            <v>1</v>
          </cell>
          <cell r="E1330" t="str">
            <v>Santa Ana</v>
          </cell>
          <cell r="H1330" t="str">
            <v>laboratorio</v>
          </cell>
          <cell r="J1330" t="str">
            <v>muybueno</v>
          </cell>
          <cell r="K1330" t="str">
            <v>defsi</v>
          </cell>
        </row>
        <row r="1331">
          <cell r="B1331" t="b">
            <v>1</v>
          </cell>
          <cell r="E1331" t="str">
            <v>Bocachica</v>
          </cell>
          <cell r="H1331" t="str">
            <v>salud_oral</v>
          </cell>
          <cell r="J1331" t="str">
            <v>bueno</v>
          </cell>
          <cell r="K1331" t="str">
            <v>probsi</v>
          </cell>
        </row>
        <row r="1332">
          <cell r="B1332" t="b">
            <v>1</v>
          </cell>
          <cell r="E1332" t="str">
            <v>Bocachica</v>
          </cell>
          <cell r="H1332" t="str">
            <v>salud_oral</v>
          </cell>
          <cell r="J1332" t="str">
            <v>bueno</v>
          </cell>
          <cell r="K1332" t="str">
            <v>probsi</v>
          </cell>
        </row>
        <row r="1333">
          <cell r="B1333" t="b">
            <v>0</v>
          </cell>
          <cell r="E1333" t="str">
            <v>Bocachica</v>
          </cell>
          <cell r="H1333" t="str">
            <v>urgencia</v>
          </cell>
          <cell r="J1333" t="str">
            <v>regular</v>
          </cell>
          <cell r="K1333" t="str">
            <v>probsi</v>
          </cell>
        </row>
        <row r="1334">
          <cell r="B1334" t="b">
            <v>1</v>
          </cell>
          <cell r="E1334" t="str">
            <v>San Francisco I</v>
          </cell>
          <cell r="H1334" t="str">
            <v>consulta_externa</v>
          </cell>
          <cell r="J1334" t="str">
            <v>bueno</v>
          </cell>
          <cell r="K1334" t="str">
            <v>probsi</v>
          </cell>
        </row>
        <row r="1335">
          <cell r="B1335" t="b">
            <v>1</v>
          </cell>
          <cell r="E1335" t="str">
            <v>San Francisco I</v>
          </cell>
          <cell r="H1335" t="str">
            <v>consulta_externa</v>
          </cell>
          <cell r="J1335" t="str">
            <v>bueno</v>
          </cell>
          <cell r="K1335" t="str">
            <v>probsi</v>
          </cell>
        </row>
        <row r="1336">
          <cell r="B1336" t="b">
            <v>1</v>
          </cell>
          <cell r="E1336" t="str">
            <v>San Francisco I</v>
          </cell>
          <cell r="H1336" t="str">
            <v>salud_oral</v>
          </cell>
          <cell r="J1336" t="str">
            <v>bueno</v>
          </cell>
          <cell r="K1336" t="str">
            <v>probsi</v>
          </cell>
        </row>
        <row r="1337">
          <cell r="B1337" t="b">
            <v>1</v>
          </cell>
          <cell r="E1337" t="str">
            <v>San Francisco I</v>
          </cell>
          <cell r="H1337" t="str">
            <v>laboratorio</v>
          </cell>
          <cell r="J1337" t="str">
            <v>bueno</v>
          </cell>
          <cell r="K1337" t="str">
            <v>probsi</v>
          </cell>
        </row>
        <row r="1338">
          <cell r="B1338" t="b">
            <v>1</v>
          </cell>
          <cell r="E1338" t="str">
            <v>San Francisco I</v>
          </cell>
          <cell r="H1338" t="str">
            <v>consulta_externa</v>
          </cell>
          <cell r="J1338" t="str">
            <v>bueno</v>
          </cell>
          <cell r="K1338" t="str">
            <v>probsi</v>
          </cell>
        </row>
        <row r="1339">
          <cell r="B1339" t="b">
            <v>0</v>
          </cell>
          <cell r="E1339" t="str">
            <v>San Francisco I</v>
          </cell>
          <cell r="H1339" t="str">
            <v>laboratorio</v>
          </cell>
          <cell r="J1339" t="str">
            <v>regular</v>
          </cell>
          <cell r="K1339" t="str">
            <v>probsi</v>
          </cell>
        </row>
        <row r="1340">
          <cell r="B1340" t="b">
            <v>1</v>
          </cell>
          <cell r="E1340" t="str">
            <v>San Francisco I</v>
          </cell>
          <cell r="H1340" t="str">
            <v>consulta_externa</v>
          </cell>
          <cell r="J1340" t="str">
            <v>bueno</v>
          </cell>
          <cell r="K1340" t="str">
            <v>probsi</v>
          </cell>
        </row>
        <row r="1341">
          <cell r="B1341" t="b">
            <v>1</v>
          </cell>
          <cell r="E1341" t="str">
            <v>San Francisco I</v>
          </cell>
          <cell r="H1341" t="str">
            <v>salud_oral</v>
          </cell>
          <cell r="J1341" t="str">
            <v>bueno</v>
          </cell>
          <cell r="K1341" t="str">
            <v>probsi</v>
          </cell>
        </row>
        <row r="1342">
          <cell r="B1342" t="b">
            <v>1</v>
          </cell>
          <cell r="E1342" t="str">
            <v>San Francisco I</v>
          </cell>
          <cell r="H1342" t="str">
            <v>consulta_externa</v>
          </cell>
          <cell r="J1342" t="str">
            <v>bueno</v>
          </cell>
          <cell r="K1342" t="str">
            <v>probsi</v>
          </cell>
        </row>
        <row r="1343">
          <cell r="B1343" t="b">
            <v>1</v>
          </cell>
          <cell r="E1343" t="str">
            <v>San Francisco I</v>
          </cell>
          <cell r="H1343" t="str">
            <v>laboratorio</v>
          </cell>
          <cell r="J1343" t="str">
            <v>bueno</v>
          </cell>
          <cell r="K1343" t="str">
            <v>probsi</v>
          </cell>
        </row>
        <row r="1344">
          <cell r="B1344" t="b">
            <v>1</v>
          </cell>
          <cell r="E1344" t="str">
            <v>San Francisco I</v>
          </cell>
          <cell r="H1344" t="str">
            <v>laboratorio</v>
          </cell>
          <cell r="J1344" t="str">
            <v>bueno</v>
          </cell>
          <cell r="K1344" t="str">
            <v>probsi</v>
          </cell>
        </row>
        <row r="1345">
          <cell r="B1345" t="b">
            <v>1</v>
          </cell>
          <cell r="E1345" t="str">
            <v>San Francisco I</v>
          </cell>
          <cell r="H1345" t="str">
            <v>consulta_externa</v>
          </cell>
          <cell r="J1345" t="str">
            <v>bueno</v>
          </cell>
          <cell r="K1345" t="str">
            <v>probsi</v>
          </cell>
        </row>
        <row r="1346">
          <cell r="B1346" t="b">
            <v>1</v>
          </cell>
          <cell r="E1346" t="str">
            <v>San Francisco I</v>
          </cell>
          <cell r="H1346" t="str">
            <v>laboratorio</v>
          </cell>
          <cell r="J1346" t="str">
            <v>bueno</v>
          </cell>
          <cell r="K1346" t="str">
            <v>probsi</v>
          </cell>
        </row>
        <row r="1347">
          <cell r="B1347" t="b">
            <v>1</v>
          </cell>
          <cell r="E1347" t="str">
            <v>Bocachica</v>
          </cell>
          <cell r="H1347" t="str">
            <v>laboratorio</v>
          </cell>
          <cell r="J1347" t="str">
            <v>bueno</v>
          </cell>
          <cell r="K1347" t="str">
            <v>probsi</v>
          </cell>
        </row>
        <row r="1348">
          <cell r="B1348" t="b">
            <v>1</v>
          </cell>
          <cell r="E1348" t="str">
            <v>Bocachica</v>
          </cell>
          <cell r="H1348" t="str">
            <v>laboratorio</v>
          </cell>
          <cell r="J1348" t="str">
            <v>bueno</v>
          </cell>
          <cell r="K1348" t="str">
            <v>probsi</v>
          </cell>
        </row>
        <row r="1349">
          <cell r="B1349" t="b">
            <v>1</v>
          </cell>
          <cell r="E1349" t="str">
            <v>San Francisco I</v>
          </cell>
          <cell r="H1349" t="str">
            <v>consulta_externa</v>
          </cell>
          <cell r="J1349" t="str">
            <v>bueno</v>
          </cell>
          <cell r="K1349" t="str">
            <v>probsi</v>
          </cell>
        </row>
        <row r="1350">
          <cell r="B1350" t="b">
            <v>1</v>
          </cell>
          <cell r="E1350" t="str">
            <v>San Francisco I</v>
          </cell>
          <cell r="H1350" t="str">
            <v>salud_oral</v>
          </cell>
          <cell r="J1350" t="str">
            <v>bueno</v>
          </cell>
          <cell r="K1350" t="str">
            <v>probsi</v>
          </cell>
        </row>
        <row r="1351">
          <cell r="B1351" t="b">
            <v>1</v>
          </cell>
          <cell r="E1351" t="str">
            <v>Bocachica</v>
          </cell>
          <cell r="H1351" t="str">
            <v>laboratorio</v>
          </cell>
          <cell r="J1351" t="str">
            <v>bueno</v>
          </cell>
          <cell r="K1351" t="str">
            <v>probsi</v>
          </cell>
        </row>
        <row r="1352">
          <cell r="B1352" t="b">
            <v>1</v>
          </cell>
          <cell r="E1352" t="str">
            <v>Arroyo de Piedra</v>
          </cell>
          <cell r="H1352" t="str">
            <v>consulta_externa</v>
          </cell>
          <cell r="J1352" t="str">
            <v>muybueno</v>
          </cell>
          <cell r="K1352" t="str">
            <v>defsi</v>
          </cell>
        </row>
        <row r="1353">
          <cell r="B1353" t="b">
            <v>1</v>
          </cell>
          <cell r="E1353" t="str">
            <v>Arroyo de Piedra</v>
          </cell>
          <cell r="H1353" t="str">
            <v>laboratorio</v>
          </cell>
          <cell r="J1353" t="str">
            <v>muybueno</v>
          </cell>
          <cell r="K1353" t="str">
            <v>defsi</v>
          </cell>
        </row>
        <row r="1354">
          <cell r="B1354" t="b">
            <v>1</v>
          </cell>
          <cell r="E1354" t="str">
            <v>Arroyo de Piedra</v>
          </cell>
          <cell r="H1354" t="str">
            <v>laboratorio</v>
          </cell>
          <cell r="J1354" t="str">
            <v>muybueno</v>
          </cell>
          <cell r="K1354" t="str">
            <v>defsi</v>
          </cell>
        </row>
        <row r="1355">
          <cell r="B1355" t="b">
            <v>1</v>
          </cell>
          <cell r="E1355" t="str">
            <v>Arroyo de Piedra</v>
          </cell>
          <cell r="H1355" t="str">
            <v>consulta_externa</v>
          </cell>
          <cell r="J1355" t="str">
            <v>bueno</v>
          </cell>
          <cell r="K1355" t="str">
            <v>defsi</v>
          </cell>
        </row>
        <row r="1356">
          <cell r="B1356" t="b">
            <v>1</v>
          </cell>
          <cell r="E1356" t="str">
            <v>Arroyo de Piedra</v>
          </cell>
          <cell r="H1356" t="str">
            <v>consulta_externa</v>
          </cell>
          <cell r="J1356" t="str">
            <v>bueno</v>
          </cell>
          <cell r="K1356" t="str">
            <v>defsi</v>
          </cell>
        </row>
        <row r="1357">
          <cell r="B1357" t="b">
            <v>1</v>
          </cell>
          <cell r="E1357" t="str">
            <v>San Francisco I</v>
          </cell>
          <cell r="H1357" t="str">
            <v>consulta_externa</v>
          </cell>
          <cell r="J1357" t="str">
            <v>bueno</v>
          </cell>
          <cell r="K1357" t="str">
            <v>probsi</v>
          </cell>
        </row>
        <row r="1358">
          <cell r="B1358" t="b">
            <v>1</v>
          </cell>
          <cell r="E1358" t="str">
            <v>Arroyo de Piedra</v>
          </cell>
          <cell r="H1358" t="str">
            <v>laboratorio</v>
          </cell>
          <cell r="J1358" t="str">
            <v>bueno</v>
          </cell>
          <cell r="K1358" t="str">
            <v>defsi</v>
          </cell>
        </row>
        <row r="1359">
          <cell r="B1359" t="b">
            <v>1</v>
          </cell>
          <cell r="E1359" t="str">
            <v>Bocachica</v>
          </cell>
          <cell r="H1359" t="str">
            <v>laboratorio</v>
          </cell>
          <cell r="J1359" t="str">
            <v>bueno</v>
          </cell>
          <cell r="K1359" t="str">
            <v>probsi</v>
          </cell>
        </row>
        <row r="1360">
          <cell r="B1360" t="b">
            <v>1</v>
          </cell>
          <cell r="E1360" t="str">
            <v>Bocachica</v>
          </cell>
          <cell r="H1360" t="str">
            <v>urgencia</v>
          </cell>
          <cell r="J1360" t="str">
            <v>bueno</v>
          </cell>
          <cell r="K1360" t="str">
            <v>probsi</v>
          </cell>
        </row>
        <row r="1361">
          <cell r="B1361" t="b">
            <v>1</v>
          </cell>
          <cell r="E1361" t="str">
            <v>Bocachica</v>
          </cell>
          <cell r="H1361" t="str">
            <v>consulta_externa</v>
          </cell>
          <cell r="J1361" t="str">
            <v>bueno</v>
          </cell>
          <cell r="K1361" t="str">
            <v>probsi</v>
          </cell>
        </row>
        <row r="1362">
          <cell r="B1362" t="b">
            <v>1</v>
          </cell>
          <cell r="E1362" t="str">
            <v>Bocachica</v>
          </cell>
          <cell r="H1362" t="str">
            <v>consulta_externa</v>
          </cell>
          <cell r="J1362" t="str">
            <v>bueno</v>
          </cell>
          <cell r="K1362" t="str">
            <v>probsi</v>
          </cell>
        </row>
        <row r="1363">
          <cell r="B1363" t="b">
            <v>1</v>
          </cell>
          <cell r="E1363" t="str">
            <v>Bocachica</v>
          </cell>
          <cell r="H1363" t="str">
            <v>laboratorio</v>
          </cell>
          <cell r="J1363" t="str">
            <v>bueno</v>
          </cell>
          <cell r="K1363" t="str">
            <v>probsi</v>
          </cell>
        </row>
        <row r="1364">
          <cell r="B1364" t="b">
            <v>0</v>
          </cell>
          <cell r="E1364" t="str">
            <v>Bocachica</v>
          </cell>
          <cell r="H1364" t="str">
            <v>urgencia</v>
          </cell>
          <cell r="J1364" t="str">
            <v>regular</v>
          </cell>
          <cell r="K1364" t="str">
            <v>probsi</v>
          </cell>
        </row>
        <row r="1365">
          <cell r="B1365" t="b">
            <v>0</v>
          </cell>
          <cell r="E1365" t="str">
            <v>Bocachica</v>
          </cell>
          <cell r="H1365" t="str">
            <v>urgencia</v>
          </cell>
          <cell r="J1365" t="str">
            <v>regular</v>
          </cell>
          <cell r="K1365" t="str">
            <v>probsi</v>
          </cell>
        </row>
        <row r="1366">
          <cell r="B1366" t="b">
            <v>1</v>
          </cell>
          <cell r="E1366" t="str">
            <v>Bocachica</v>
          </cell>
          <cell r="H1366" t="str">
            <v>consulta_externa</v>
          </cell>
          <cell r="J1366" t="str">
            <v>muybueno</v>
          </cell>
          <cell r="K1366" t="str">
            <v>defsi</v>
          </cell>
        </row>
        <row r="1367">
          <cell r="B1367" t="b">
            <v>0</v>
          </cell>
          <cell r="E1367" t="str">
            <v>Bocachica</v>
          </cell>
          <cell r="H1367" t="str">
            <v>urgencia</v>
          </cell>
          <cell r="J1367" t="str">
            <v>regular</v>
          </cell>
          <cell r="K1367" t="str">
            <v>probsi</v>
          </cell>
        </row>
        <row r="1368">
          <cell r="B1368" t="b">
            <v>1</v>
          </cell>
          <cell r="E1368" t="str">
            <v>San Francisco I</v>
          </cell>
          <cell r="H1368" t="str">
            <v>salud_oral</v>
          </cell>
          <cell r="J1368" t="str">
            <v>bueno</v>
          </cell>
          <cell r="K1368" t="str">
            <v>probsi</v>
          </cell>
        </row>
        <row r="1369">
          <cell r="B1369" t="b">
            <v>1</v>
          </cell>
          <cell r="E1369" t="str">
            <v>San Francisco I</v>
          </cell>
          <cell r="H1369" t="str">
            <v>salud_oral</v>
          </cell>
          <cell r="J1369" t="str">
            <v>bueno</v>
          </cell>
          <cell r="K1369" t="str">
            <v>probsi</v>
          </cell>
        </row>
        <row r="1370">
          <cell r="B1370" t="b">
            <v>1</v>
          </cell>
          <cell r="E1370" t="str">
            <v>San Francisco I</v>
          </cell>
          <cell r="H1370" t="str">
            <v>salud_oral</v>
          </cell>
          <cell r="J1370" t="str">
            <v>bueno</v>
          </cell>
          <cell r="K1370" t="str">
            <v>probsi</v>
          </cell>
        </row>
        <row r="1371">
          <cell r="B1371" t="b">
            <v>1</v>
          </cell>
          <cell r="E1371" t="str">
            <v>San Francisco I</v>
          </cell>
          <cell r="H1371" t="str">
            <v>salud_oral</v>
          </cell>
          <cell r="J1371" t="str">
            <v>bueno</v>
          </cell>
          <cell r="K1371" t="str">
            <v>probsi</v>
          </cell>
        </row>
        <row r="1372">
          <cell r="B1372" t="b">
            <v>1</v>
          </cell>
          <cell r="E1372" t="str">
            <v>San Francisco I</v>
          </cell>
          <cell r="H1372" t="str">
            <v>salud_oral</v>
          </cell>
          <cell r="J1372" t="str">
            <v>bueno</v>
          </cell>
          <cell r="K1372" t="str">
            <v>probsi</v>
          </cell>
        </row>
        <row r="1373">
          <cell r="B1373" t="b">
            <v>0</v>
          </cell>
          <cell r="E1373" t="str">
            <v>San Francisco I</v>
          </cell>
          <cell r="H1373" t="str">
            <v>laboratorio</v>
          </cell>
          <cell r="J1373" t="str">
            <v>regular</v>
          </cell>
          <cell r="K1373" t="str">
            <v>probsi</v>
          </cell>
        </row>
        <row r="1374">
          <cell r="B1374" t="b">
            <v>0</v>
          </cell>
          <cell r="E1374" t="str">
            <v>San Francisco I</v>
          </cell>
          <cell r="H1374" t="str">
            <v>laboratorio</v>
          </cell>
          <cell r="J1374" t="str">
            <v>regular</v>
          </cell>
          <cell r="K1374" t="str">
            <v>probsi</v>
          </cell>
        </row>
        <row r="1375">
          <cell r="B1375" t="b">
            <v>0</v>
          </cell>
          <cell r="E1375" t="str">
            <v>San Francisco I</v>
          </cell>
          <cell r="H1375" t="str">
            <v>laboratorio</v>
          </cell>
          <cell r="J1375" t="str">
            <v>regular</v>
          </cell>
          <cell r="K1375" t="str">
            <v>probsi</v>
          </cell>
        </row>
        <row r="1376">
          <cell r="B1376" t="b">
            <v>1</v>
          </cell>
          <cell r="E1376" t="str">
            <v>San Francisco I</v>
          </cell>
          <cell r="H1376" t="str">
            <v>laboratorio</v>
          </cell>
          <cell r="J1376" t="str">
            <v>bueno</v>
          </cell>
          <cell r="K1376" t="str">
            <v>probsi</v>
          </cell>
        </row>
        <row r="1377">
          <cell r="B1377" t="b">
            <v>1</v>
          </cell>
          <cell r="E1377" t="str">
            <v>San Francisco I</v>
          </cell>
          <cell r="H1377" t="str">
            <v>laboratorio</v>
          </cell>
          <cell r="J1377" t="str">
            <v>bueno</v>
          </cell>
          <cell r="K1377" t="str">
            <v>probsi</v>
          </cell>
        </row>
        <row r="1378">
          <cell r="B1378" t="b">
            <v>1</v>
          </cell>
          <cell r="E1378" t="str">
            <v>San Francisco I</v>
          </cell>
          <cell r="H1378" t="str">
            <v>consulta_externa</v>
          </cell>
          <cell r="J1378" t="str">
            <v>bueno</v>
          </cell>
          <cell r="K1378" t="str">
            <v>probsi</v>
          </cell>
        </row>
        <row r="1379">
          <cell r="B1379" t="b">
            <v>1</v>
          </cell>
          <cell r="E1379" t="str">
            <v>San Francisco I</v>
          </cell>
          <cell r="H1379" t="str">
            <v>consulta_externa</v>
          </cell>
          <cell r="J1379" t="str">
            <v>bueno</v>
          </cell>
          <cell r="K1379" t="str">
            <v>probsi</v>
          </cell>
        </row>
        <row r="1380">
          <cell r="B1380" t="b">
            <v>1</v>
          </cell>
          <cell r="E1380" t="str">
            <v>San Francisco I</v>
          </cell>
          <cell r="H1380" t="str">
            <v>consulta_externa</v>
          </cell>
          <cell r="J1380" t="str">
            <v>bueno</v>
          </cell>
          <cell r="K1380" t="str">
            <v>probsi</v>
          </cell>
        </row>
        <row r="1381">
          <cell r="B1381" t="b">
            <v>1</v>
          </cell>
          <cell r="E1381" t="str">
            <v>Baru</v>
          </cell>
          <cell r="H1381" t="str">
            <v>consulta_externa</v>
          </cell>
          <cell r="J1381" t="str">
            <v>muybueno</v>
          </cell>
          <cell r="K1381" t="str">
            <v>defsi</v>
          </cell>
        </row>
        <row r="1382">
          <cell r="B1382" t="b">
            <v>1</v>
          </cell>
          <cell r="E1382" t="str">
            <v>Baru</v>
          </cell>
          <cell r="H1382" t="str">
            <v>salud_oral</v>
          </cell>
          <cell r="J1382" t="str">
            <v>muybueno</v>
          </cell>
          <cell r="K1382" t="str">
            <v>defsi</v>
          </cell>
        </row>
        <row r="1383">
          <cell r="B1383" t="b">
            <v>1</v>
          </cell>
          <cell r="E1383" t="str">
            <v>Baru</v>
          </cell>
          <cell r="H1383" t="str">
            <v>consulta_externa</v>
          </cell>
          <cell r="J1383" t="str">
            <v>muybueno</v>
          </cell>
          <cell r="K1383" t="str">
            <v>defsi</v>
          </cell>
        </row>
        <row r="1384">
          <cell r="B1384" t="b">
            <v>1</v>
          </cell>
          <cell r="E1384" t="str">
            <v>Baru</v>
          </cell>
          <cell r="H1384" t="str">
            <v>consulta_externa</v>
          </cell>
          <cell r="J1384" t="str">
            <v>muybueno</v>
          </cell>
          <cell r="K1384" t="str">
            <v>defsi</v>
          </cell>
        </row>
        <row r="1385">
          <cell r="B1385" t="b">
            <v>1</v>
          </cell>
          <cell r="E1385" t="str">
            <v>Baru</v>
          </cell>
          <cell r="H1385" t="str">
            <v>laboratorio</v>
          </cell>
          <cell r="J1385" t="str">
            <v>muybueno</v>
          </cell>
          <cell r="K1385" t="str">
            <v>defsi</v>
          </cell>
        </row>
        <row r="1386">
          <cell r="B1386" t="b">
            <v>1</v>
          </cell>
          <cell r="E1386" t="str">
            <v>Baru</v>
          </cell>
          <cell r="H1386" t="str">
            <v>consulta_externa</v>
          </cell>
          <cell r="J1386" t="str">
            <v>muybueno</v>
          </cell>
          <cell r="K1386" t="str">
            <v>defsi</v>
          </cell>
        </row>
        <row r="1387">
          <cell r="B1387" t="b">
            <v>1</v>
          </cell>
          <cell r="E1387" t="str">
            <v>Baru</v>
          </cell>
          <cell r="H1387" t="str">
            <v>salud_oral</v>
          </cell>
          <cell r="J1387" t="str">
            <v>muybueno</v>
          </cell>
          <cell r="K1387" t="str">
            <v>defsi</v>
          </cell>
        </row>
        <row r="1388">
          <cell r="B1388" t="b">
            <v>1</v>
          </cell>
          <cell r="E1388" t="str">
            <v>Arroyo de Piedra</v>
          </cell>
          <cell r="H1388" t="str">
            <v>consulta_externa</v>
          </cell>
          <cell r="J1388" t="str">
            <v>bueno</v>
          </cell>
          <cell r="K1388" t="str">
            <v>defsi</v>
          </cell>
        </row>
        <row r="1389">
          <cell r="B1389" t="b">
            <v>1</v>
          </cell>
          <cell r="E1389" t="str">
            <v>Arroyo de Piedra</v>
          </cell>
          <cell r="H1389" t="str">
            <v>laboratorio</v>
          </cell>
          <cell r="J1389" t="str">
            <v>bueno</v>
          </cell>
          <cell r="K1389" t="str">
            <v>defsi</v>
          </cell>
        </row>
        <row r="1390">
          <cell r="B1390" t="b">
            <v>1</v>
          </cell>
          <cell r="E1390" t="str">
            <v>Arroyo de Piedra</v>
          </cell>
          <cell r="H1390" t="str">
            <v>laboratorio</v>
          </cell>
          <cell r="J1390" t="str">
            <v>bueno</v>
          </cell>
          <cell r="K1390" t="str">
            <v>defsi</v>
          </cell>
        </row>
        <row r="1391">
          <cell r="B1391" t="b">
            <v>1</v>
          </cell>
          <cell r="E1391" t="str">
            <v>Arroyo de Piedra</v>
          </cell>
          <cell r="H1391" t="str">
            <v>laboratorio</v>
          </cell>
          <cell r="J1391" t="str">
            <v>bueno</v>
          </cell>
          <cell r="K1391" t="str">
            <v>defsi</v>
          </cell>
        </row>
        <row r="1392">
          <cell r="B1392" t="b">
            <v>1</v>
          </cell>
          <cell r="E1392" t="str">
            <v>Arroyo de Piedra</v>
          </cell>
          <cell r="H1392" t="str">
            <v>consulta_externa</v>
          </cell>
          <cell r="J1392" t="str">
            <v>bueno</v>
          </cell>
          <cell r="K1392" t="str">
            <v>defsi</v>
          </cell>
        </row>
        <row r="1393">
          <cell r="B1393" t="b">
            <v>1</v>
          </cell>
          <cell r="E1393" t="str">
            <v>Arroyo de Piedra</v>
          </cell>
          <cell r="H1393" t="str">
            <v>laboratorio</v>
          </cell>
          <cell r="J1393" t="str">
            <v>bueno</v>
          </cell>
          <cell r="K1393" t="str">
            <v>defsi</v>
          </cell>
        </row>
        <row r="1394">
          <cell r="B1394" t="b">
            <v>1</v>
          </cell>
          <cell r="E1394" t="str">
            <v>Arroyo de Piedra</v>
          </cell>
          <cell r="H1394" t="str">
            <v>salud_oral</v>
          </cell>
          <cell r="J1394" t="str">
            <v>bueno</v>
          </cell>
          <cell r="K1394" t="str">
            <v>defsi</v>
          </cell>
        </row>
        <row r="1395">
          <cell r="B1395" t="b">
            <v>1</v>
          </cell>
          <cell r="E1395" t="str">
            <v>Arroyo de Piedra</v>
          </cell>
          <cell r="H1395" t="str">
            <v>salud_oral</v>
          </cell>
          <cell r="J1395" t="str">
            <v>bueno</v>
          </cell>
          <cell r="K1395" t="str">
            <v>defsi</v>
          </cell>
        </row>
        <row r="1396">
          <cell r="B1396" t="b">
            <v>1</v>
          </cell>
          <cell r="E1396" t="str">
            <v>Arroyo de Piedra</v>
          </cell>
          <cell r="H1396" t="str">
            <v>consulta_externa</v>
          </cell>
          <cell r="J1396" t="str">
            <v>bueno</v>
          </cell>
          <cell r="K1396" t="str">
            <v>defsi</v>
          </cell>
        </row>
        <row r="1397">
          <cell r="B1397" t="b">
            <v>1</v>
          </cell>
          <cell r="E1397" t="str">
            <v>Arroyo de Piedra</v>
          </cell>
          <cell r="H1397" t="str">
            <v>consulta_externa</v>
          </cell>
          <cell r="J1397" t="str">
            <v>bueno</v>
          </cell>
          <cell r="K1397" t="str">
            <v>defsi</v>
          </cell>
        </row>
        <row r="1398">
          <cell r="B1398" t="b">
            <v>1</v>
          </cell>
          <cell r="E1398" t="str">
            <v>Arroyo de Piedra</v>
          </cell>
          <cell r="H1398" t="str">
            <v>salud_oral</v>
          </cell>
          <cell r="J1398" t="str">
            <v>muybueno</v>
          </cell>
          <cell r="K1398" t="str">
            <v>defsi</v>
          </cell>
        </row>
        <row r="1399">
          <cell r="B1399" t="b">
            <v>1</v>
          </cell>
          <cell r="E1399" t="str">
            <v>Arroyo de Piedra</v>
          </cell>
          <cell r="H1399" t="str">
            <v>salud_oral</v>
          </cell>
          <cell r="J1399" t="str">
            <v>muybueno</v>
          </cell>
          <cell r="K1399" t="str">
            <v>defsi</v>
          </cell>
        </row>
        <row r="1400">
          <cell r="B1400" t="b">
            <v>1</v>
          </cell>
          <cell r="E1400" t="str">
            <v>Baru</v>
          </cell>
          <cell r="H1400" t="str">
            <v>consulta_externa</v>
          </cell>
          <cell r="J1400" t="str">
            <v>muybueno</v>
          </cell>
          <cell r="K1400" t="str">
            <v>defsi</v>
          </cell>
        </row>
        <row r="1401">
          <cell r="B1401" t="b">
            <v>1</v>
          </cell>
          <cell r="E1401" t="str">
            <v>Baru</v>
          </cell>
          <cell r="H1401" t="str">
            <v>laboratorio</v>
          </cell>
          <cell r="J1401" t="str">
            <v>muybueno</v>
          </cell>
          <cell r="K1401" t="str">
            <v>defsi</v>
          </cell>
        </row>
        <row r="1402">
          <cell r="B1402" t="b">
            <v>1</v>
          </cell>
          <cell r="E1402" t="str">
            <v>Baru</v>
          </cell>
          <cell r="H1402" t="str">
            <v>salud_oral</v>
          </cell>
          <cell r="J1402" t="str">
            <v>muybueno</v>
          </cell>
          <cell r="K1402" t="str">
            <v>defsi</v>
          </cell>
        </row>
        <row r="1403">
          <cell r="B1403" t="b">
            <v>1</v>
          </cell>
          <cell r="E1403" t="str">
            <v>Baru</v>
          </cell>
          <cell r="H1403" t="str">
            <v>consulta_externa</v>
          </cell>
          <cell r="J1403" t="str">
            <v>muybueno</v>
          </cell>
          <cell r="K1403" t="str">
            <v>defsi</v>
          </cell>
        </row>
        <row r="1404">
          <cell r="B1404" t="b">
            <v>1</v>
          </cell>
          <cell r="E1404" t="str">
            <v>Baru</v>
          </cell>
          <cell r="H1404" t="str">
            <v>laboratorio</v>
          </cell>
          <cell r="J1404" t="str">
            <v>muybueno</v>
          </cell>
          <cell r="K1404" t="str">
            <v>defsi</v>
          </cell>
        </row>
        <row r="1405">
          <cell r="B1405" t="b">
            <v>1</v>
          </cell>
          <cell r="E1405" t="str">
            <v>Baru</v>
          </cell>
          <cell r="H1405" t="str">
            <v>salud_oral</v>
          </cell>
          <cell r="J1405" t="str">
            <v>muybueno</v>
          </cell>
          <cell r="K1405" t="str">
            <v>defsi</v>
          </cell>
        </row>
        <row r="1406">
          <cell r="B1406" t="b">
            <v>1</v>
          </cell>
          <cell r="E1406" t="str">
            <v>Arroyo de Piedra</v>
          </cell>
          <cell r="H1406" t="str">
            <v>salud_oral</v>
          </cell>
          <cell r="J1406" t="str">
            <v>bueno</v>
          </cell>
          <cell r="K1406" t="str">
            <v>defsi</v>
          </cell>
        </row>
        <row r="1407">
          <cell r="B1407" t="b">
            <v>1</v>
          </cell>
          <cell r="E1407" t="str">
            <v>Arroyo de Piedra</v>
          </cell>
          <cell r="H1407" t="str">
            <v>salud_oral</v>
          </cell>
          <cell r="J1407" t="str">
            <v>bueno</v>
          </cell>
          <cell r="K1407" t="str">
            <v>defsi</v>
          </cell>
        </row>
        <row r="1408">
          <cell r="B1408" t="b">
            <v>1</v>
          </cell>
          <cell r="E1408" t="str">
            <v>Baru</v>
          </cell>
          <cell r="H1408" t="str">
            <v>consulta_externa</v>
          </cell>
          <cell r="J1408" t="str">
            <v>muybueno</v>
          </cell>
          <cell r="K1408" t="str">
            <v>defsi</v>
          </cell>
        </row>
        <row r="1409">
          <cell r="B1409" t="b">
            <v>1</v>
          </cell>
          <cell r="E1409" t="str">
            <v>Arroyo de Piedra</v>
          </cell>
          <cell r="H1409" t="str">
            <v>consulta_externa</v>
          </cell>
          <cell r="J1409" t="str">
            <v>bueno</v>
          </cell>
          <cell r="K1409" t="str">
            <v>defsi</v>
          </cell>
        </row>
        <row r="1410">
          <cell r="B1410" t="b">
            <v>1</v>
          </cell>
          <cell r="E1410" t="str">
            <v>Arroyo de Piedra</v>
          </cell>
          <cell r="H1410" t="str">
            <v>salud_oral</v>
          </cell>
          <cell r="J1410" t="str">
            <v>bueno</v>
          </cell>
          <cell r="K1410" t="str">
            <v>defsi</v>
          </cell>
        </row>
        <row r="1411">
          <cell r="B1411" t="b">
            <v>1</v>
          </cell>
          <cell r="E1411" t="str">
            <v>Baru</v>
          </cell>
          <cell r="H1411" t="str">
            <v>consulta_externa</v>
          </cell>
          <cell r="J1411" t="str">
            <v>muybueno</v>
          </cell>
          <cell r="K1411" t="str">
            <v>defsi</v>
          </cell>
        </row>
        <row r="1412">
          <cell r="B1412" t="b">
            <v>1</v>
          </cell>
          <cell r="E1412" t="str">
            <v>Baru</v>
          </cell>
          <cell r="H1412" t="str">
            <v>laboratorio</v>
          </cell>
          <cell r="J1412" t="str">
            <v>muybueno</v>
          </cell>
          <cell r="K1412" t="str">
            <v>defsi</v>
          </cell>
        </row>
        <row r="1413">
          <cell r="B1413" t="b">
            <v>1</v>
          </cell>
          <cell r="E1413" t="str">
            <v>Baru</v>
          </cell>
          <cell r="H1413" t="str">
            <v>salud_oral</v>
          </cell>
          <cell r="J1413" t="str">
            <v>muybueno</v>
          </cell>
          <cell r="K1413" t="str">
            <v>defsi</v>
          </cell>
        </row>
        <row r="1414">
          <cell r="B1414" t="b">
            <v>1</v>
          </cell>
          <cell r="E1414" t="str">
            <v>Baru</v>
          </cell>
          <cell r="H1414" t="str">
            <v>consulta_externa</v>
          </cell>
          <cell r="J1414" t="str">
            <v>muybueno</v>
          </cell>
          <cell r="K1414" t="str">
            <v>defsi</v>
          </cell>
        </row>
        <row r="1415">
          <cell r="B1415" t="b">
            <v>1</v>
          </cell>
          <cell r="E1415" t="str">
            <v>Baru</v>
          </cell>
          <cell r="H1415" t="str">
            <v>laboratorio</v>
          </cell>
          <cell r="J1415" t="str">
            <v>muybueno</v>
          </cell>
          <cell r="K1415" t="str">
            <v>defsi</v>
          </cell>
        </row>
        <row r="1416">
          <cell r="B1416" t="b">
            <v>1</v>
          </cell>
          <cell r="E1416" t="str">
            <v>Baru</v>
          </cell>
          <cell r="H1416" t="str">
            <v>salud_oral</v>
          </cell>
          <cell r="J1416" t="str">
            <v>muybueno</v>
          </cell>
          <cell r="K1416" t="str">
            <v>defsi</v>
          </cell>
        </row>
        <row r="1417">
          <cell r="B1417" t="b">
            <v>1</v>
          </cell>
          <cell r="E1417" t="str">
            <v>Baru</v>
          </cell>
          <cell r="H1417" t="str">
            <v>consulta_externa</v>
          </cell>
          <cell r="J1417" t="str">
            <v>muybueno</v>
          </cell>
          <cell r="K1417" t="str">
            <v>defsi</v>
          </cell>
        </row>
        <row r="1418">
          <cell r="B1418" t="b">
            <v>1</v>
          </cell>
          <cell r="E1418" t="str">
            <v>Baru</v>
          </cell>
          <cell r="H1418" t="str">
            <v>laboratorio</v>
          </cell>
          <cell r="J1418" t="str">
            <v>muybueno</v>
          </cell>
          <cell r="K1418" t="str">
            <v>defsi</v>
          </cell>
        </row>
        <row r="1419">
          <cell r="B1419" t="b">
            <v>1</v>
          </cell>
          <cell r="E1419" t="str">
            <v>Baru</v>
          </cell>
          <cell r="H1419" t="str">
            <v>salud_oral</v>
          </cell>
          <cell r="J1419" t="str">
            <v>muybueno</v>
          </cell>
          <cell r="K1419" t="str">
            <v>defsi</v>
          </cell>
        </row>
        <row r="1420">
          <cell r="B1420" t="b">
            <v>1</v>
          </cell>
          <cell r="E1420" t="str">
            <v>Baru</v>
          </cell>
          <cell r="H1420" t="str">
            <v>salud_oral</v>
          </cell>
          <cell r="J1420" t="str">
            <v>muybueno</v>
          </cell>
          <cell r="K1420" t="str">
            <v>defsi</v>
          </cell>
        </row>
        <row r="1421">
          <cell r="B1421" t="b">
            <v>1</v>
          </cell>
          <cell r="E1421" t="str">
            <v>Baru</v>
          </cell>
          <cell r="H1421" t="str">
            <v>consulta_externa</v>
          </cell>
          <cell r="J1421" t="str">
            <v>muybueno</v>
          </cell>
          <cell r="K1421" t="str">
            <v>defsi</v>
          </cell>
        </row>
        <row r="1422">
          <cell r="B1422" t="b">
            <v>1</v>
          </cell>
          <cell r="E1422" t="str">
            <v>Bocachica</v>
          </cell>
          <cell r="H1422" t="str">
            <v>salud_oral</v>
          </cell>
          <cell r="J1422" t="str">
            <v>bueno</v>
          </cell>
          <cell r="K1422" t="str">
            <v>probsi</v>
          </cell>
        </row>
        <row r="1423">
          <cell r="B1423" t="b">
            <v>1</v>
          </cell>
          <cell r="E1423" t="str">
            <v>Bocachica</v>
          </cell>
          <cell r="H1423" t="str">
            <v>salud_oral</v>
          </cell>
          <cell r="J1423" t="str">
            <v>bueno</v>
          </cell>
          <cell r="K1423" t="str">
            <v>probsi</v>
          </cell>
        </row>
        <row r="1424">
          <cell r="B1424" t="b">
            <v>1</v>
          </cell>
          <cell r="E1424" t="str">
            <v>Arroyo de Piedra</v>
          </cell>
          <cell r="H1424" t="str">
            <v>consulta_externa</v>
          </cell>
          <cell r="J1424" t="str">
            <v>bueno</v>
          </cell>
          <cell r="K1424" t="str">
            <v>defsi</v>
          </cell>
        </row>
        <row r="1425">
          <cell r="B1425" t="b">
            <v>1</v>
          </cell>
          <cell r="E1425" t="str">
            <v>Arroyo de Piedra</v>
          </cell>
          <cell r="H1425" t="str">
            <v>laboratorio</v>
          </cell>
          <cell r="J1425" t="str">
            <v>bueno</v>
          </cell>
          <cell r="K1425" t="str">
            <v>defsi</v>
          </cell>
        </row>
        <row r="1426">
          <cell r="B1426" t="b">
            <v>1</v>
          </cell>
          <cell r="E1426" t="str">
            <v>Arroyo de Piedra</v>
          </cell>
          <cell r="H1426" t="str">
            <v>salud_oral</v>
          </cell>
          <cell r="J1426" t="str">
            <v>bueno</v>
          </cell>
          <cell r="K1426" t="str">
            <v>defsi</v>
          </cell>
        </row>
        <row r="1427">
          <cell r="B1427" t="b">
            <v>1</v>
          </cell>
          <cell r="E1427" t="str">
            <v>Arroyo de Piedra</v>
          </cell>
          <cell r="H1427" t="str">
            <v>salud_oral</v>
          </cell>
          <cell r="J1427" t="str">
            <v>bueno</v>
          </cell>
          <cell r="K1427" t="str">
            <v>defsi</v>
          </cell>
        </row>
        <row r="1428">
          <cell r="B1428" t="b">
            <v>1</v>
          </cell>
          <cell r="E1428" t="str">
            <v>Arroyo de Piedra</v>
          </cell>
          <cell r="H1428" t="str">
            <v>salud_oral</v>
          </cell>
          <cell r="J1428" t="str">
            <v>bueno</v>
          </cell>
          <cell r="K1428" t="str">
            <v>defsi</v>
          </cell>
        </row>
        <row r="1429">
          <cell r="B1429" t="b">
            <v>1</v>
          </cell>
          <cell r="E1429" t="str">
            <v>Arroyo de Piedra</v>
          </cell>
          <cell r="H1429" t="str">
            <v>consulta_externa</v>
          </cell>
          <cell r="J1429" t="str">
            <v>bueno</v>
          </cell>
          <cell r="K1429" t="str">
            <v>defsi</v>
          </cell>
        </row>
        <row r="1430">
          <cell r="B1430" t="b">
            <v>1</v>
          </cell>
          <cell r="E1430" t="str">
            <v>Arroyo de Piedra</v>
          </cell>
          <cell r="H1430" t="str">
            <v>consulta_externa</v>
          </cell>
          <cell r="J1430" t="str">
            <v>bueno</v>
          </cell>
          <cell r="K1430" t="str">
            <v>defsi</v>
          </cell>
        </row>
        <row r="1431">
          <cell r="B1431" t="b">
            <v>1</v>
          </cell>
          <cell r="E1431" t="str">
            <v>Arroyo de Piedra</v>
          </cell>
          <cell r="H1431" t="str">
            <v>laboratorio</v>
          </cell>
          <cell r="J1431" t="str">
            <v>bueno</v>
          </cell>
          <cell r="K1431" t="str">
            <v>defsi</v>
          </cell>
        </row>
        <row r="1432">
          <cell r="B1432" t="b">
            <v>1</v>
          </cell>
          <cell r="E1432" t="str">
            <v>Arroyo de Piedra</v>
          </cell>
          <cell r="H1432" t="str">
            <v>laboratorio</v>
          </cell>
          <cell r="J1432" t="str">
            <v>bueno</v>
          </cell>
          <cell r="K1432" t="str">
            <v>defsi</v>
          </cell>
        </row>
        <row r="1433">
          <cell r="B1433" t="b">
            <v>1</v>
          </cell>
          <cell r="E1433" t="str">
            <v>Arroyo de Piedra</v>
          </cell>
          <cell r="H1433" t="str">
            <v>consulta_externa</v>
          </cell>
          <cell r="J1433" t="str">
            <v>bueno</v>
          </cell>
          <cell r="K1433" t="str">
            <v>defsi</v>
          </cell>
        </row>
        <row r="1434">
          <cell r="B1434" t="b">
            <v>1</v>
          </cell>
          <cell r="E1434" t="str">
            <v>Arroyo de Piedra</v>
          </cell>
          <cell r="H1434" t="str">
            <v>consulta_externa</v>
          </cell>
          <cell r="J1434" t="str">
            <v>bueno</v>
          </cell>
          <cell r="K1434" t="str">
            <v>defsi</v>
          </cell>
        </row>
        <row r="1435">
          <cell r="B1435" t="b">
            <v>1</v>
          </cell>
          <cell r="E1435" t="str">
            <v>Arroyo de Piedra</v>
          </cell>
          <cell r="H1435" t="str">
            <v>laboratorio</v>
          </cell>
          <cell r="J1435" t="str">
            <v>bueno</v>
          </cell>
          <cell r="K1435" t="str">
            <v>defsi</v>
          </cell>
        </row>
        <row r="1436">
          <cell r="B1436" t="b">
            <v>1</v>
          </cell>
          <cell r="E1436" t="str">
            <v>Arroyo de las Canoas</v>
          </cell>
          <cell r="H1436" t="str">
            <v>laboratorio</v>
          </cell>
          <cell r="J1436" t="str">
            <v>bueno</v>
          </cell>
          <cell r="K1436" t="str">
            <v>defsi</v>
          </cell>
        </row>
        <row r="1437">
          <cell r="B1437" t="b">
            <v>1</v>
          </cell>
          <cell r="E1437" t="str">
            <v>Arroyo de las Canoas</v>
          </cell>
          <cell r="H1437" t="str">
            <v>consulta_externa</v>
          </cell>
          <cell r="J1437" t="str">
            <v>bueno</v>
          </cell>
          <cell r="K1437" t="str">
            <v>defsi</v>
          </cell>
        </row>
        <row r="1438">
          <cell r="B1438" t="b">
            <v>1</v>
          </cell>
          <cell r="E1438" t="str">
            <v>Arroyo de las Canoas</v>
          </cell>
          <cell r="H1438" t="str">
            <v>salud_oral</v>
          </cell>
          <cell r="J1438" t="str">
            <v>bueno</v>
          </cell>
          <cell r="K1438" t="str">
            <v>defsi</v>
          </cell>
        </row>
        <row r="1439">
          <cell r="B1439" t="b">
            <v>1</v>
          </cell>
          <cell r="E1439" t="str">
            <v>Arroyo de las Canoas</v>
          </cell>
          <cell r="H1439" t="str">
            <v>salud_oral</v>
          </cell>
          <cell r="J1439" t="str">
            <v>bueno</v>
          </cell>
          <cell r="K1439" t="str">
            <v>defsi</v>
          </cell>
        </row>
        <row r="1440">
          <cell r="B1440" t="b">
            <v>1</v>
          </cell>
          <cell r="E1440" t="str">
            <v>Arroyo de las Canoas</v>
          </cell>
          <cell r="H1440" t="str">
            <v>consulta_externa</v>
          </cell>
          <cell r="J1440" t="str">
            <v>bueno</v>
          </cell>
          <cell r="K1440" t="str">
            <v>defsi</v>
          </cell>
        </row>
        <row r="1441">
          <cell r="B1441" t="b">
            <v>1</v>
          </cell>
          <cell r="E1441" t="str">
            <v>Arroyo de las Canoas</v>
          </cell>
          <cell r="H1441" t="str">
            <v>laboratorio</v>
          </cell>
          <cell r="J1441" t="str">
            <v>bueno</v>
          </cell>
          <cell r="K1441" t="str">
            <v>defsi</v>
          </cell>
        </row>
        <row r="1442">
          <cell r="B1442" t="b">
            <v>1</v>
          </cell>
          <cell r="E1442" t="str">
            <v>Canapote</v>
          </cell>
          <cell r="H1442" t="str">
            <v>salud_oral</v>
          </cell>
          <cell r="J1442" t="str">
            <v>bueno</v>
          </cell>
          <cell r="K1442" t="str">
            <v>probsi</v>
          </cell>
        </row>
        <row r="1443">
          <cell r="B1443" t="b">
            <v>1</v>
          </cell>
          <cell r="E1443" t="str">
            <v>Canapote</v>
          </cell>
          <cell r="H1443" t="str">
            <v>salud_oral</v>
          </cell>
          <cell r="J1443" t="str">
            <v>bueno</v>
          </cell>
          <cell r="K1443" t="str">
            <v>probsi</v>
          </cell>
        </row>
        <row r="1444">
          <cell r="B1444" t="b">
            <v>1</v>
          </cell>
          <cell r="E1444" t="str">
            <v>Canapote</v>
          </cell>
          <cell r="H1444" t="str">
            <v>salud_oral</v>
          </cell>
          <cell r="J1444" t="str">
            <v>bueno</v>
          </cell>
          <cell r="K1444" t="str">
            <v>probsi</v>
          </cell>
        </row>
        <row r="1445">
          <cell r="B1445" t="b">
            <v>1</v>
          </cell>
          <cell r="E1445" t="str">
            <v>Canapote</v>
          </cell>
          <cell r="H1445" t="str">
            <v>salud_oral</v>
          </cell>
          <cell r="J1445" t="str">
            <v>bueno</v>
          </cell>
          <cell r="K1445" t="str">
            <v>probsi</v>
          </cell>
        </row>
        <row r="1446">
          <cell r="B1446" t="b">
            <v>1</v>
          </cell>
          <cell r="E1446" t="str">
            <v>Canapote</v>
          </cell>
          <cell r="H1446" t="str">
            <v>salud_oral</v>
          </cell>
          <cell r="J1446" t="str">
            <v>bueno</v>
          </cell>
          <cell r="K1446" t="str">
            <v>probsi</v>
          </cell>
        </row>
        <row r="1447">
          <cell r="B1447" t="b">
            <v>1</v>
          </cell>
          <cell r="E1447" t="str">
            <v>Arroyo de las Canoas</v>
          </cell>
          <cell r="H1447" t="str">
            <v>laboratorio</v>
          </cell>
          <cell r="J1447" t="str">
            <v>bueno</v>
          </cell>
          <cell r="K1447" t="str">
            <v>defsi</v>
          </cell>
        </row>
        <row r="1448">
          <cell r="B1448" t="b">
            <v>1</v>
          </cell>
          <cell r="E1448" t="str">
            <v>Canapote</v>
          </cell>
          <cell r="H1448" t="str">
            <v>laboratorio</v>
          </cell>
          <cell r="J1448" t="str">
            <v>bueno</v>
          </cell>
          <cell r="K1448" t="str">
            <v>probsi</v>
          </cell>
        </row>
        <row r="1449">
          <cell r="B1449" t="b">
            <v>1</v>
          </cell>
          <cell r="E1449" t="str">
            <v>Canapote</v>
          </cell>
          <cell r="H1449" t="str">
            <v>laboratorio</v>
          </cell>
          <cell r="J1449" t="str">
            <v>bueno</v>
          </cell>
          <cell r="K1449" t="str">
            <v>probsi</v>
          </cell>
        </row>
        <row r="1450">
          <cell r="B1450" t="b">
            <v>1</v>
          </cell>
          <cell r="E1450" t="str">
            <v>Canapote</v>
          </cell>
          <cell r="H1450" t="str">
            <v>laboratorio</v>
          </cell>
          <cell r="J1450" t="str">
            <v>bueno</v>
          </cell>
          <cell r="K1450" t="str">
            <v>probsi</v>
          </cell>
        </row>
        <row r="1451">
          <cell r="B1451" t="b">
            <v>1</v>
          </cell>
          <cell r="E1451" t="str">
            <v>Canapote</v>
          </cell>
          <cell r="H1451" t="str">
            <v>laboratorio</v>
          </cell>
          <cell r="J1451" t="str">
            <v>bueno</v>
          </cell>
          <cell r="K1451" t="str">
            <v>probsi</v>
          </cell>
        </row>
        <row r="1452">
          <cell r="B1452" t="b">
            <v>1</v>
          </cell>
          <cell r="E1452" t="str">
            <v>Canapote</v>
          </cell>
          <cell r="H1452" t="str">
            <v>laboratorio</v>
          </cell>
          <cell r="J1452" t="str">
            <v>bueno</v>
          </cell>
          <cell r="K1452" t="str">
            <v>probsi</v>
          </cell>
        </row>
        <row r="1453">
          <cell r="B1453" t="b">
            <v>1</v>
          </cell>
          <cell r="E1453" t="str">
            <v>Arroyo de las Canoas</v>
          </cell>
          <cell r="H1453" t="str">
            <v>consulta_externa</v>
          </cell>
          <cell r="J1453" t="str">
            <v>bueno</v>
          </cell>
          <cell r="K1453" t="str">
            <v>defsi</v>
          </cell>
        </row>
        <row r="1454">
          <cell r="B1454" t="b">
            <v>1</v>
          </cell>
          <cell r="E1454" t="str">
            <v>Arroyo de las Canoas</v>
          </cell>
          <cell r="H1454" t="str">
            <v>consulta_externa</v>
          </cell>
          <cell r="J1454" t="str">
            <v>bueno</v>
          </cell>
          <cell r="K1454" t="str">
            <v>defsi</v>
          </cell>
        </row>
        <row r="1455">
          <cell r="B1455" t="b">
            <v>1</v>
          </cell>
          <cell r="E1455" t="str">
            <v>Arroyo de las Canoas</v>
          </cell>
          <cell r="H1455" t="str">
            <v>laboratorio</v>
          </cell>
          <cell r="J1455" t="str">
            <v>bueno</v>
          </cell>
          <cell r="K1455" t="str">
            <v>defsi</v>
          </cell>
        </row>
        <row r="1456">
          <cell r="B1456" t="b">
            <v>1</v>
          </cell>
          <cell r="E1456" t="str">
            <v>Arroyo de las Canoas</v>
          </cell>
          <cell r="H1456" t="str">
            <v>laboratorio</v>
          </cell>
          <cell r="J1456" t="str">
            <v>muybueno</v>
          </cell>
          <cell r="K1456" t="str">
            <v>defsi</v>
          </cell>
        </row>
        <row r="1457">
          <cell r="B1457" t="b">
            <v>1</v>
          </cell>
          <cell r="E1457" t="str">
            <v>Arroyo de las Canoas</v>
          </cell>
          <cell r="H1457" t="str">
            <v>consulta_externa</v>
          </cell>
          <cell r="J1457" t="str">
            <v>bueno</v>
          </cell>
          <cell r="K1457" t="str">
            <v>defsi</v>
          </cell>
        </row>
        <row r="1458">
          <cell r="B1458" t="b">
            <v>1</v>
          </cell>
          <cell r="E1458" t="str">
            <v>Arroyo de las Canoas</v>
          </cell>
          <cell r="H1458" t="str">
            <v>salud_oral</v>
          </cell>
          <cell r="J1458" t="str">
            <v>bueno</v>
          </cell>
          <cell r="K1458" t="str">
            <v>defsi</v>
          </cell>
        </row>
        <row r="1459">
          <cell r="B1459" t="b">
            <v>1</v>
          </cell>
          <cell r="E1459" t="str">
            <v>Arroyo de las Canoas</v>
          </cell>
          <cell r="H1459" t="str">
            <v>salud_oral</v>
          </cell>
          <cell r="J1459" t="str">
            <v>bueno</v>
          </cell>
          <cell r="K1459" t="str">
            <v>defsi</v>
          </cell>
        </row>
        <row r="1460">
          <cell r="B1460" t="b">
            <v>1</v>
          </cell>
          <cell r="E1460" t="str">
            <v>Punta Canoa</v>
          </cell>
          <cell r="H1460" t="str">
            <v>salud_oral</v>
          </cell>
          <cell r="J1460" t="str">
            <v>bueno</v>
          </cell>
          <cell r="K1460" t="str">
            <v>defsi</v>
          </cell>
        </row>
        <row r="1461">
          <cell r="B1461" t="b">
            <v>1</v>
          </cell>
          <cell r="E1461" t="str">
            <v>Punta Canoa</v>
          </cell>
          <cell r="H1461" t="str">
            <v>salud_oral</v>
          </cell>
          <cell r="J1461" t="str">
            <v>bueno</v>
          </cell>
          <cell r="K1461" t="str">
            <v>defsi</v>
          </cell>
        </row>
        <row r="1462">
          <cell r="B1462" t="b">
            <v>1</v>
          </cell>
          <cell r="E1462" t="str">
            <v>Punta Canoa</v>
          </cell>
          <cell r="H1462" t="str">
            <v>salud_oral</v>
          </cell>
          <cell r="J1462" t="str">
            <v>bueno</v>
          </cell>
          <cell r="K1462" t="str">
            <v>defsi</v>
          </cell>
        </row>
        <row r="1463">
          <cell r="B1463" t="b">
            <v>1</v>
          </cell>
          <cell r="E1463" t="str">
            <v>Arroyo de las Canoas</v>
          </cell>
          <cell r="H1463" t="str">
            <v>salud_oral</v>
          </cell>
          <cell r="J1463" t="str">
            <v>bueno</v>
          </cell>
          <cell r="K1463" t="str">
            <v>defsi</v>
          </cell>
        </row>
        <row r="1464">
          <cell r="B1464" t="b">
            <v>1</v>
          </cell>
          <cell r="E1464" t="str">
            <v>Arroyo de las Canoas</v>
          </cell>
          <cell r="H1464" t="str">
            <v>consulta_externa</v>
          </cell>
          <cell r="J1464" t="str">
            <v>bueno</v>
          </cell>
          <cell r="K1464" t="str">
            <v>defsi</v>
          </cell>
        </row>
        <row r="1465">
          <cell r="B1465" t="b">
            <v>1</v>
          </cell>
          <cell r="E1465" t="str">
            <v>Arroyo de las Canoas</v>
          </cell>
          <cell r="H1465" t="str">
            <v>laboratorio</v>
          </cell>
          <cell r="J1465" t="str">
            <v>bueno</v>
          </cell>
          <cell r="K1465" t="str">
            <v>defsi</v>
          </cell>
        </row>
        <row r="1466">
          <cell r="B1466" t="b">
            <v>1</v>
          </cell>
          <cell r="E1466" t="str">
            <v>Arroyo de las Canoas</v>
          </cell>
          <cell r="H1466" t="str">
            <v>consulta_externa</v>
          </cell>
          <cell r="J1466" t="str">
            <v>bueno</v>
          </cell>
          <cell r="K1466" t="str">
            <v>defsi</v>
          </cell>
        </row>
        <row r="1467">
          <cell r="B1467" t="b">
            <v>1</v>
          </cell>
          <cell r="E1467" t="str">
            <v>Arroyo de las Canoas</v>
          </cell>
          <cell r="H1467" t="str">
            <v>consulta_externa</v>
          </cell>
          <cell r="J1467" t="str">
            <v>bueno</v>
          </cell>
          <cell r="K1467" t="str">
            <v>defsi</v>
          </cell>
        </row>
        <row r="1468">
          <cell r="B1468" t="b">
            <v>1</v>
          </cell>
          <cell r="E1468" t="str">
            <v>Arroyo de las Canoas</v>
          </cell>
          <cell r="H1468" t="str">
            <v>consulta_externa</v>
          </cell>
          <cell r="J1468" t="str">
            <v>muybueno</v>
          </cell>
          <cell r="K1468" t="str">
            <v>defsi</v>
          </cell>
        </row>
        <row r="1469">
          <cell r="B1469" t="b">
            <v>1</v>
          </cell>
          <cell r="E1469" t="str">
            <v>Arroyo de las Canoas</v>
          </cell>
          <cell r="H1469" t="str">
            <v>laboratorio</v>
          </cell>
          <cell r="J1469" t="str">
            <v>bueno</v>
          </cell>
          <cell r="K1469" t="str">
            <v>defsi</v>
          </cell>
        </row>
        <row r="1470">
          <cell r="B1470" t="b">
            <v>1</v>
          </cell>
          <cell r="E1470" t="str">
            <v>Arroyo de las Canoas</v>
          </cell>
          <cell r="H1470" t="str">
            <v>consulta_externa</v>
          </cell>
          <cell r="J1470" t="str">
            <v>bueno</v>
          </cell>
          <cell r="K1470" t="str">
            <v>defsi</v>
          </cell>
        </row>
        <row r="1471">
          <cell r="B1471" t="b">
            <v>1</v>
          </cell>
          <cell r="E1471" t="str">
            <v>Arroyo de las Canoas</v>
          </cell>
          <cell r="H1471" t="str">
            <v>salud_oral</v>
          </cell>
          <cell r="J1471" t="str">
            <v>bueno</v>
          </cell>
          <cell r="K1471" t="str">
            <v>defsi</v>
          </cell>
        </row>
        <row r="1472">
          <cell r="B1472" t="b">
            <v>1</v>
          </cell>
          <cell r="E1472" t="str">
            <v>Arroyo de las Canoas</v>
          </cell>
          <cell r="H1472" t="str">
            <v>salud_oral</v>
          </cell>
          <cell r="J1472" t="str">
            <v>bueno</v>
          </cell>
          <cell r="K1472" t="str">
            <v>defsi</v>
          </cell>
        </row>
        <row r="1473">
          <cell r="B1473" t="b">
            <v>1</v>
          </cell>
          <cell r="E1473" t="str">
            <v>Arroyo de las Canoas</v>
          </cell>
          <cell r="H1473" t="str">
            <v>salud_oral</v>
          </cell>
          <cell r="J1473" t="str">
            <v>bueno</v>
          </cell>
          <cell r="K1473" t="str">
            <v>defsi</v>
          </cell>
        </row>
        <row r="1474">
          <cell r="B1474" t="b">
            <v>1</v>
          </cell>
          <cell r="E1474" t="str">
            <v>Arroyo de las Canoas</v>
          </cell>
          <cell r="H1474" t="str">
            <v>consulta_externa</v>
          </cell>
          <cell r="J1474" t="str">
            <v>bueno</v>
          </cell>
          <cell r="K1474" t="str">
            <v>defsi</v>
          </cell>
        </row>
        <row r="1475">
          <cell r="B1475" t="b">
            <v>1</v>
          </cell>
          <cell r="E1475" t="str">
            <v>Arroyo de las Canoas</v>
          </cell>
          <cell r="H1475" t="str">
            <v>salud_oral</v>
          </cell>
          <cell r="J1475" t="str">
            <v>bueno</v>
          </cell>
          <cell r="K1475" t="str">
            <v>defsi</v>
          </cell>
        </row>
        <row r="1476">
          <cell r="B1476" t="b">
            <v>1</v>
          </cell>
          <cell r="E1476" t="str">
            <v>Arroyo de las Canoas</v>
          </cell>
          <cell r="H1476" t="str">
            <v>consulta_externa</v>
          </cell>
          <cell r="J1476" t="str">
            <v>bueno</v>
          </cell>
          <cell r="K1476" t="str">
            <v>defsi</v>
          </cell>
        </row>
        <row r="1477">
          <cell r="B1477" t="b">
            <v>1</v>
          </cell>
          <cell r="E1477" t="str">
            <v>Arroyo de las Canoas</v>
          </cell>
          <cell r="H1477" t="str">
            <v>laboratorio</v>
          </cell>
          <cell r="J1477" t="str">
            <v>bueno</v>
          </cell>
          <cell r="K1477" t="str">
            <v>defsi</v>
          </cell>
        </row>
        <row r="1478">
          <cell r="B1478" t="b">
            <v>1</v>
          </cell>
          <cell r="E1478" t="str">
            <v>Arroyo de las Canoas</v>
          </cell>
          <cell r="H1478" t="str">
            <v>laboratorio</v>
          </cell>
          <cell r="J1478" t="str">
            <v>bueno</v>
          </cell>
          <cell r="K1478" t="str">
            <v>defsi</v>
          </cell>
        </row>
        <row r="1479">
          <cell r="B1479" t="b">
            <v>1</v>
          </cell>
          <cell r="E1479" t="str">
            <v>Arroyo de las Canoas</v>
          </cell>
          <cell r="H1479" t="str">
            <v>laboratorio</v>
          </cell>
          <cell r="J1479" t="str">
            <v>bueno</v>
          </cell>
          <cell r="K1479" t="str">
            <v>defsi</v>
          </cell>
        </row>
        <row r="1480">
          <cell r="B1480" t="b">
            <v>1</v>
          </cell>
          <cell r="E1480" t="str">
            <v>Arroyo de las Canoas</v>
          </cell>
          <cell r="H1480" t="str">
            <v>salud_oral</v>
          </cell>
          <cell r="J1480" t="str">
            <v>bueno</v>
          </cell>
          <cell r="K1480" t="str">
            <v>defsi</v>
          </cell>
        </row>
        <row r="1481">
          <cell r="B1481" t="b">
            <v>0</v>
          </cell>
          <cell r="E1481" t="str">
            <v>Hospital Pozon</v>
          </cell>
          <cell r="H1481" t="str">
            <v>consulta_externa</v>
          </cell>
          <cell r="J1481" t="str">
            <v>regular</v>
          </cell>
          <cell r="K1481" t="str">
            <v>probsi</v>
          </cell>
        </row>
        <row r="1482">
          <cell r="B1482" t="b">
            <v>0</v>
          </cell>
          <cell r="E1482" t="str">
            <v>Hospital Pozon</v>
          </cell>
          <cell r="H1482" t="str">
            <v>laboratorio</v>
          </cell>
          <cell r="J1482" t="str">
            <v>regular</v>
          </cell>
          <cell r="K1482" t="str">
            <v>probsi</v>
          </cell>
        </row>
        <row r="1483">
          <cell r="B1483" t="b">
            <v>1</v>
          </cell>
          <cell r="E1483" t="str">
            <v>Hospital Pozon</v>
          </cell>
          <cell r="H1483" t="str">
            <v>consulta_externa</v>
          </cell>
          <cell r="J1483" t="str">
            <v>bueno</v>
          </cell>
          <cell r="K1483" t="str">
            <v>probsi</v>
          </cell>
        </row>
        <row r="1484">
          <cell r="B1484" t="b">
            <v>1</v>
          </cell>
          <cell r="E1484" t="str">
            <v>Hospital Pozon</v>
          </cell>
          <cell r="H1484" t="str">
            <v>consulta_externa</v>
          </cell>
          <cell r="J1484" t="str">
            <v>bueno</v>
          </cell>
          <cell r="K1484" t="str">
            <v>probsi</v>
          </cell>
        </row>
        <row r="1485">
          <cell r="B1485" t="b">
            <v>1</v>
          </cell>
          <cell r="E1485" t="str">
            <v>Hospital Pozon</v>
          </cell>
          <cell r="H1485" t="str">
            <v>consulta_externa</v>
          </cell>
          <cell r="J1485" t="str">
            <v>bueno</v>
          </cell>
          <cell r="K1485" t="str">
            <v>probsi</v>
          </cell>
        </row>
        <row r="1486">
          <cell r="B1486" t="b">
            <v>1</v>
          </cell>
          <cell r="E1486" t="str">
            <v>Hospital Pozon</v>
          </cell>
          <cell r="H1486" t="str">
            <v>laboratorio</v>
          </cell>
          <cell r="J1486" t="str">
            <v>bueno</v>
          </cell>
          <cell r="K1486" t="str">
            <v>probsi</v>
          </cell>
        </row>
        <row r="1487">
          <cell r="B1487" t="b">
            <v>1</v>
          </cell>
          <cell r="E1487" t="str">
            <v>Hospital Pozon</v>
          </cell>
          <cell r="H1487" t="str">
            <v>laboratorio</v>
          </cell>
          <cell r="J1487" t="str">
            <v>bueno</v>
          </cell>
          <cell r="K1487" t="str">
            <v>probsi</v>
          </cell>
        </row>
        <row r="1488">
          <cell r="B1488" t="b">
            <v>1</v>
          </cell>
          <cell r="E1488" t="str">
            <v>Hospital Pozon</v>
          </cell>
          <cell r="H1488" t="str">
            <v>consulta_externa</v>
          </cell>
          <cell r="J1488" t="str">
            <v>bueno</v>
          </cell>
          <cell r="K1488" t="str">
            <v>probsi</v>
          </cell>
        </row>
        <row r="1489">
          <cell r="B1489" t="b">
            <v>0</v>
          </cell>
          <cell r="E1489" t="str">
            <v>Hospital Pozon</v>
          </cell>
          <cell r="H1489" t="str">
            <v>consulta_externa</v>
          </cell>
          <cell r="J1489" t="str">
            <v>regular</v>
          </cell>
          <cell r="K1489" t="str">
            <v>probsi</v>
          </cell>
        </row>
        <row r="1490">
          <cell r="B1490" t="b">
            <v>1</v>
          </cell>
          <cell r="E1490" t="str">
            <v>Hospital Pozon</v>
          </cell>
          <cell r="H1490" t="str">
            <v>urgencia</v>
          </cell>
          <cell r="J1490" t="str">
            <v>bueno</v>
          </cell>
          <cell r="K1490" t="str">
            <v>probsi</v>
          </cell>
        </row>
        <row r="1491">
          <cell r="B1491" t="b">
            <v>1</v>
          </cell>
          <cell r="E1491" t="str">
            <v>Baru</v>
          </cell>
          <cell r="H1491" t="str">
            <v>consulta_externa</v>
          </cell>
          <cell r="J1491" t="str">
            <v>muybueno</v>
          </cell>
          <cell r="K1491" t="str">
            <v>defsi</v>
          </cell>
        </row>
        <row r="1492">
          <cell r="B1492" t="b">
            <v>1</v>
          </cell>
          <cell r="E1492" t="str">
            <v>Baru</v>
          </cell>
          <cell r="H1492" t="str">
            <v>salud_oral</v>
          </cell>
          <cell r="J1492" t="str">
            <v>muybueno</v>
          </cell>
          <cell r="K1492" t="str">
            <v>defsi</v>
          </cell>
        </row>
        <row r="1493">
          <cell r="B1493" t="b">
            <v>1</v>
          </cell>
          <cell r="E1493" t="str">
            <v>Hospital Pozon</v>
          </cell>
          <cell r="H1493" t="str">
            <v>rx</v>
          </cell>
          <cell r="J1493" t="str">
            <v>bueno</v>
          </cell>
          <cell r="K1493" t="str">
            <v>probsi</v>
          </cell>
        </row>
        <row r="1494">
          <cell r="B1494" t="b">
            <v>1</v>
          </cell>
          <cell r="E1494" t="str">
            <v>Manzanillo</v>
          </cell>
          <cell r="H1494" t="str">
            <v>consulta_externa</v>
          </cell>
          <cell r="J1494" t="str">
            <v>bueno</v>
          </cell>
          <cell r="K1494" t="str">
            <v>probsi</v>
          </cell>
        </row>
        <row r="1495">
          <cell r="B1495" t="b">
            <v>0</v>
          </cell>
          <cell r="E1495" t="str">
            <v>Hospital Pozon</v>
          </cell>
          <cell r="H1495" t="str">
            <v>rx</v>
          </cell>
          <cell r="J1495" t="str">
            <v>regular</v>
          </cell>
          <cell r="K1495" t="str">
            <v>probsi</v>
          </cell>
        </row>
        <row r="1496">
          <cell r="B1496" t="b">
            <v>1</v>
          </cell>
          <cell r="E1496" t="str">
            <v>Manzanillo</v>
          </cell>
          <cell r="H1496" t="str">
            <v>salud_oral</v>
          </cell>
          <cell r="J1496" t="str">
            <v>bueno</v>
          </cell>
          <cell r="K1496" t="str">
            <v>probsi</v>
          </cell>
        </row>
        <row r="1497">
          <cell r="B1497" t="b">
            <v>1</v>
          </cell>
          <cell r="E1497" t="str">
            <v>Manzanillo</v>
          </cell>
          <cell r="H1497" t="str">
            <v>laboratorio</v>
          </cell>
          <cell r="J1497" t="str">
            <v>bueno</v>
          </cell>
          <cell r="K1497" t="str">
            <v>probsi</v>
          </cell>
        </row>
        <row r="1498">
          <cell r="B1498" t="b">
            <v>1</v>
          </cell>
          <cell r="E1498" t="str">
            <v>Hospital Pozon</v>
          </cell>
          <cell r="H1498" t="str">
            <v>rx</v>
          </cell>
          <cell r="J1498" t="str">
            <v>bueno</v>
          </cell>
          <cell r="K1498" t="str">
            <v>probsi</v>
          </cell>
        </row>
        <row r="1499">
          <cell r="B1499" t="b">
            <v>1</v>
          </cell>
          <cell r="E1499" t="str">
            <v>Hospital Pozon</v>
          </cell>
          <cell r="H1499" t="str">
            <v>consulta_externa</v>
          </cell>
          <cell r="J1499" t="str">
            <v>bueno</v>
          </cell>
          <cell r="K1499" t="str">
            <v>probsi</v>
          </cell>
        </row>
        <row r="1500">
          <cell r="B1500" t="b">
            <v>1</v>
          </cell>
          <cell r="E1500" t="str">
            <v>Hospital Pozon</v>
          </cell>
          <cell r="H1500" t="str">
            <v>salud_oral</v>
          </cell>
          <cell r="J1500" t="str">
            <v>bueno</v>
          </cell>
          <cell r="K1500" t="str">
            <v>probsi</v>
          </cell>
        </row>
        <row r="1501">
          <cell r="B1501" t="b">
            <v>0</v>
          </cell>
          <cell r="E1501" t="str">
            <v>Hospital Pozon</v>
          </cell>
          <cell r="H1501" t="str">
            <v>urgencia</v>
          </cell>
          <cell r="J1501" t="str">
            <v>regular</v>
          </cell>
          <cell r="K1501" t="str">
            <v>probsi</v>
          </cell>
        </row>
        <row r="1502">
          <cell r="B1502" t="b">
            <v>1</v>
          </cell>
          <cell r="E1502" t="str">
            <v>Hospital Pozon</v>
          </cell>
          <cell r="H1502" t="str">
            <v>rx</v>
          </cell>
          <cell r="J1502" t="str">
            <v>bueno</v>
          </cell>
          <cell r="K1502" t="str">
            <v>probsi</v>
          </cell>
        </row>
        <row r="1503">
          <cell r="B1503" t="b">
            <v>1</v>
          </cell>
          <cell r="E1503" t="str">
            <v>Hospital Pozon</v>
          </cell>
          <cell r="H1503" t="str">
            <v>rx</v>
          </cell>
          <cell r="J1503" t="str">
            <v>bueno</v>
          </cell>
          <cell r="K1503" t="str">
            <v>probsi</v>
          </cell>
        </row>
        <row r="1504">
          <cell r="B1504" t="b">
            <v>1</v>
          </cell>
          <cell r="E1504" t="str">
            <v>Hospital Pozon</v>
          </cell>
          <cell r="H1504" t="str">
            <v>rx</v>
          </cell>
          <cell r="J1504" t="str">
            <v>bueno</v>
          </cell>
          <cell r="K1504" t="str">
            <v>probsi</v>
          </cell>
        </row>
        <row r="1505">
          <cell r="B1505" t="b">
            <v>1</v>
          </cell>
          <cell r="E1505" t="str">
            <v>Baru</v>
          </cell>
          <cell r="H1505" t="str">
            <v>consulta_externa</v>
          </cell>
          <cell r="J1505" t="str">
            <v>muybueno</v>
          </cell>
          <cell r="K1505" t="str">
            <v>defsi</v>
          </cell>
        </row>
        <row r="1506">
          <cell r="B1506" t="b">
            <v>0</v>
          </cell>
          <cell r="E1506" t="str">
            <v>Hospital Pozon</v>
          </cell>
          <cell r="H1506" t="str">
            <v>rx</v>
          </cell>
          <cell r="J1506" t="str">
            <v>regular</v>
          </cell>
          <cell r="K1506" t="str">
            <v>probsi</v>
          </cell>
        </row>
        <row r="1507">
          <cell r="B1507" t="b">
            <v>1</v>
          </cell>
          <cell r="E1507" t="str">
            <v>Baru</v>
          </cell>
          <cell r="H1507" t="str">
            <v>laboratorio</v>
          </cell>
          <cell r="J1507" t="str">
            <v>muybueno</v>
          </cell>
          <cell r="K1507" t="str">
            <v>defsi</v>
          </cell>
        </row>
        <row r="1508">
          <cell r="B1508" t="b">
            <v>0</v>
          </cell>
          <cell r="E1508" t="str">
            <v>Hospital Pozon</v>
          </cell>
          <cell r="H1508" t="str">
            <v>rx</v>
          </cell>
          <cell r="J1508" t="str">
            <v>regular</v>
          </cell>
          <cell r="K1508" t="str">
            <v>probsi</v>
          </cell>
        </row>
        <row r="1509">
          <cell r="B1509" t="b">
            <v>0</v>
          </cell>
          <cell r="E1509" t="str">
            <v>Hospital Pozon</v>
          </cell>
          <cell r="H1509" t="str">
            <v>rx</v>
          </cell>
          <cell r="J1509" t="str">
            <v>malo</v>
          </cell>
          <cell r="K1509" t="str">
            <v>probno</v>
          </cell>
        </row>
        <row r="1510">
          <cell r="B1510" t="b">
            <v>0</v>
          </cell>
          <cell r="E1510" t="str">
            <v>Hospital Pozon</v>
          </cell>
          <cell r="H1510" t="str">
            <v>consulta_externa</v>
          </cell>
          <cell r="J1510" t="str">
            <v>regular</v>
          </cell>
          <cell r="K1510" t="str">
            <v>probsi</v>
          </cell>
        </row>
        <row r="1511">
          <cell r="B1511" t="b">
            <v>0</v>
          </cell>
          <cell r="E1511" t="str">
            <v>Hospital Pozon</v>
          </cell>
          <cell r="H1511" t="str">
            <v>salud_oral</v>
          </cell>
          <cell r="J1511" t="str">
            <v>regular</v>
          </cell>
          <cell r="K1511" t="str">
            <v>probsi</v>
          </cell>
        </row>
        <row r="1512">
          <cell r="B1512" t="b">
            <v>1</v>
          </cell>
          <cell r="E1512" t="str">
            <v>Baru</v>
          </cell>
          <cell r="H1512" t="str">
            <v>consulta_externa</v>
          </cell>
          <cell r="J1512" t="str">
            <v>muybueno</v>
          </cell>
          <cell r="K1512" t="str">
            <v>defsi</v>
          </cell>
        </row>
        <row r="1513">
          <cell r="B1513" t="b">
            <v>1</v>
          </cell>
          <cell r="E1513" t="str">
            <v>Baru</v>
          </cell>
          <cell r="H1513" t="str">
            <v>laboratorio</v>
          </cell>
          <cell r="J1513" t="str">
            <v>muybueno</v>
          </cell>
          <cell r="K1513" t="str">
            <v>defsi</v>
          </cell>
        </row>
        <row r="1514">
          <cell r="B1514" t="b">
            <v>1</v>
          </cell>
          <cell r="E1514" t="str">
            <v>Hospital Pozon</v>
          </cell>
          <cell r="H1514" t="str">
            <v>salud_oral</v>
          </cell>
          <cell r="J1514" t="str">
            <v>bueno</v>
          </cell>
          <cell r="K1514" t="str">
            <v>probsi</v>
          </cell>
        </row>
        <row r="1515">
          <cell r="B1515" t="b">
            <v>1</v>
          </cell>
          <cell r="E1515" t="str">
            <v>Hospital Pozon</v>
          </cell>
          <cell r="H1515" t="str">
            <v>laboratorio</v>
          </cell>
          <cell r="J1515" t="str">
            <v>bueno</v>
          </cell>
          <cell r="K1515" t="str">
            <v>probsi</v>
          </cell>
        </row>
        <row r="1516">
          <cell r="B1516" t="b">
            <v>1</v>
          </cell>
          <cell r="E1516" t="str">
            <v>Baru</v>
          </cell>
          <cell r="H1516" t="str">
            <v>urgencia</v>
          </cell>
          <cell r="J1516" t="str">
            <v>muybueno</v>
          </cell>
          <cell r="K1516" t="str">
            <v>defsi</v>
          </cell>
        </row>
        <row r="1517">
          <cell r="B1517" t="b">
            <v>1</v>
          </cell>
          <cell r="E1517" t="str">
            <v>Hospital Pozon</v>
          </cell>
          <cell r="H1517" t="str">
            <v>laboratorio</v>
          </cell>
          <cell r="J1517" t="str">
            <v>bueno</v>
          </cell>
          <cell r="K1517" t="str">
            <v>probsi</v>
          </cell>
        </row>
        <row r="1518">
          <cell r="B1518" t="b">
            <v>1</v>
          </cell>
          <cell r="E1518" t="str">
            <v>Baru</v>
          </cell>
          <cell r="H1518" t="str">
            <v>consulta_externa</v>
          </cell>
          <cell r="J1518" t="str">
            <v>muybueno</v>
          </cell>
          <cell r="K1518" t="str">
            <v>defsi</v>
          </cell>
        </row>
        <row r="1519">
          <cell r="B1519" t="b">
            <v>1</v>
          </cell>
          <cell r="E1519" t="str">
            <v>Baru</v>
          </cell>
          <cell r="H1519" t="str">
            <v>salud_oral</v>
          </cell>
          <cell r="J1519" t="str">
            <v>muybueno</v>
          </cell>
          <cell r="K1519" t="str">
            <v>defsi</v>
          </cell>
        </row>
        <row r="1520">
          <cell r="B1520" t="b">
            <v>1</v>
          </cell>
          <cell r="E1520" t="str">
            <v>Hospital Pozon</v>
          </cell>
          <cell r="H1520" t="str">
            <v>consulta_externa</v>
          </cell>
          <cell r="J1520" t="str">
            <v>bueno</v>
          </cell>
          <cell r="K1520" t="str">
            <v>probsi</v>
          </cell>
        </row>
        <row r="1521">
          <cell r="B1521" t="b">
            <v>1</v>
          </cell>
          <cell r="E1521" t="str">
            <v>Baru</v>
          </cell>
          <cell r="H1521" t="str">
            <v>consulta_externa</v>
          </cell>
          <cell r="J1521" t="str">
            <v>muybueno</v>
          </cell>
          <cell r="K1521" t="str">
            <v>defsi</v>
          </cell>
        </row>
        <row r="1522">
          <cell r="B1522" t="b">
            <v>1</v>
          </cell>
          <cell r="E1522" t="str">
            <v>Baru</v>
          </cell>
          <cell r="H1522" t="str">
            <v>consulta_externa</v>
          </cell>
          <cell r="J1522" t="str">
            <v>muybueno</v>
          </cell>
          <cell r="K1522" t="str">
            <v>defsi</v>
          </cell>
        </row>
        <row r="1523">
          <cell r="B1523" t="b">
            <v>1</v>
          </cell>
          <cell r="E1523" t="str">
            <v>Baru</v>
          </cell>
          <cell r="H1523" t="str">
            <v>laboratorio</v>
          </cell>
          <cell r="J1523" t="str">
            <v>muybueno</v>
          </cell>
          <cell r="K1523" t="str">
            <v>defsi</v>
          </cell>
        </row>
        <row r="1524">
          <cell r="B1524" t="b">
            <v>1</v>
          </cell>
          <cell r="E1524" t="str">
            <v>Hospital Pozon</v>
          </cell>
          <cell r="H1524" t="str">
            <v>consulta_externa</v>
          </cell>
          <cell r="J1524" t="str">
            <v>bueno</v>
          </cell>
          <cell r="K1524" t="str">
            <v>probsi</v>
          </cell>
        </row>
        <row r="1525">
          <cell r="B1525" t="b">
            <v>1</v>
          </cell>
          <cell r="E1525" t="str">
            <v>Hospital Pozon</v>
          </cell>
          <cell r="H1525" t="str">
            <v>salud_oral</v>
          </cell>
          <cell r="J1525" t="str">
            <v>bueno</v>
          </cell>
          <cell r="K1525" t="str">
            <v>probsi</v>
          </cell>
        </row>
        <row r="1526">
          <cell r="B1526" t="b">
            <v>0</v>
          </cell>
          <cell r="E1526" t="str">
            <v>Hospital Pozon</v>
          </cell>
          <cell r="H1526" t="str">
            <v>urgencia</v>
          </cell>
          <cell r="J1526" t="str">
            <v>malo</v>
          </cell>
          <cell r="K1526" t="str">
            <v>probno</v>
          </cell>
        </row>
        <row r="1527">
          <cell r="B1527" t="b">
            <v>1</v>
          </cell>
          <cell r="E1527" t="str">
            <v>Hospital Pozon</v>
          </cell>
          <cell r="H1527" t="str">
            <v>consulta_externa</v>
          </cell>
          <cell r="J1527" t="str">
            <v>bueno</v>
          </cell>
          <cell r="K1527" t="str">
            <v>probsi</v>
          </cell>
        </row>
        <row r="1528">
          <cell r="B1528" t="b">
            <v>1</v>
          </cell>
          <cell r="E1528" t="str">
            <v>Hospital Pozon</v>
          </cell>
          <cell r="H1528" t="str">
            <v>salud_oral</v>
          </cell>
          <cell r="J1528" t="str">
            <v>bueno</v>
          </cell>
          <cell r="K1528" t="str">
            <v>probsi</v>
          </cell>
        </row>
        <row r="1529">
          <cell r="B1529" t="b">
            <v>1</v>
          </cell>
          <cell r="E1529" t="str">
            <v>Hospital Pozon</v>
          </cell>
          <cell r="H1529" t="str">
            <v>consulta_externa</v>
          </cell>
          <cell r="J1529" t="str">
            <v>bueno</v>
          </cell>
          <cell r="K1529" t="str">
            <v>probsi</v>
          </cell>
        </row>
        <row r="1530">
          <cell r="B1530" t="b">
            <v>1</v>
          </cell>
          <cell r="E1530" t="str">
            <v>Hospital Pozon</v>
          </cell>
          <cell r="H1530" t="str">
            <v>salud_oral</v>
          </cell>
          <cell r="J1530" t="str">
            <v>bueno</v>
          </cell>
          <cell r="K1530" t="str">
            <v>probsi</v>
          </cell>
        </row>
        <row r="1531">
          <cell r="B1531" t="b">
            <v>1</v>
          </cell>
          <cell r="E1531" t="str">
            <v>Hospital Pozon</v>
          </cell>
          <cell r="H1531" t="str">
            <v>laboratorio</v>
          </cell>
          <cell r="J1531" t="str">
            <v>bueno</v>
          </cell>
          <cell r="K1531" t="str">
            <v>probsi</v>
          </cell>
        </row>
        <row r="1532">
          <cell r="B1532" t="b">
            <v>1</v>
          </cell>
          <cell r="E1532" t="str">
            <v>Baru</v>
          </cell>
          <cell r="H1532" t="str">
            <v>salud_oral</v>
          </cell>
          <cell r="J1532" t="str">
            <v>muybueno</v>
          </cell>
          <cell r="K1532" t="str">
            <v>defsi</v>
          </cell>
        </row>
        <row r="1533">
          <cell r="B1533" t="b">
            <v>1</v>
          </cell>
          <cell r="E1533" t="str">
            <v>Hospital Pozon</v>
          </cell>
          <cell r="H1533" t="str">
            <v>salud_oral</v>
          </cell>
          <cell r="J1533" t="str">
            <v>bueno</v>
          </cell>
          <cell r="K1533" t="str">
            <v>probsi</v>
          </cell>
        </row>
        <row r="1534">
          <cell r="B1534" t="b">
            <v>1</v>
          </cell>
          <cell r="E1534" t="str">
            <v>Hospital Pozon</v>
          </cell>
          <cell r="H1534" t="str">
            <v>laboratorio</v>
          </cell>
          <cell r="J1534" t="str">
            <v>bueno</v>
          </cell>
          <cell r="K1534" t="str">
            <v>probsi</v>
          </cell>
        </row>
        <row r="1535">
          <cell r="B1535" t="b">
            <v>1</v>
          </cell>
          <cell r="E1535" t="str">
            <v>Hospital Pozon</v>
          </cell>
          <cell r="H1535" t="str">
            <v>urgencia</v>
          </cell>
          <cell r="J1535" t="str">
            <v>bueno</v>
          </cell>
          <cell r="K1535" t="str">
            <v>probsi</v>
          </cell>
        </row>
        <row r="1536">
          <cell r="B1536" t="b">
            <v>1</v>
          </cell>
          <cell r="E1536" t="str">
            <v>Los Cerros</v>
          </cell>
          <cell r="H1536" t="str">
            <v>consulta_externa</v>
          </cell>
          <cell r="J1536" t="str">
            <v>bueno</v>
          </cell>
          <cell r="K1536" t="str">
            <v>defsi</v>
          </cell>
        </row>
        <row r="1537">
          <cell r="B1537" t="b">
            <v>1</v>
          </cell>
          <cell r="E1537" t="str">
            <v>Hospital Pozon</v>
          </cell>
          <cell r="H1537" t="str">
            <v>consulta_externa</v>
          </cell>
          <cell r="J1537" t="str">
            <v>bueno</v>
          </cell>
          <cell r="K1537" t="str">
            <v>probsi</v>
          </cell>
        </row>
        <row r="1538">
          <cell r="B1538" t="b">
            <v>1</v>
          </cell>
          <cell r="E1538" t="str">
            <v>Hospital Pozon</v>
          </cell>
          <cell r="H1538" t="str">
            <v>salud_oral</v>
          </cell>
          <cell r="J1538" t="str">
            <v>bueno</v>
          </cell>
          <cell r="K1538" t="str">
            <v>probsi</v>
          </cell>
        </row>
        <row r="1539">
          <cell r="B1539" t="b">
            <v>1</v>
          </cell>
          <cell r="E1539" t="str">
            <v>Baru</v>
          </cell>
          <cell r="H1539" t="str">
            <v>consulta_externa</v>
          </cell>
          <cell r="J1539" t="str">
            <v>muybueno</v>
          </cell>
          <cell r="K1539" t="str">
            <v>defsi</v>
          </cell>
        </row>
        <row r="1540">
          <cell r="B1540" t="b">
            <v>1</v>
          </cell>
          <cell r="E1540" t="str">
            <v>Baru</v>
          </cell>
          <cell r="H1540" t="str">
            <v>laboratorio</v>
          </cell>
          <cell r="J1540" t="str">
            <v>muybueno</v>
          </cell>
          <cell r="K1540" t="str">
            <v>defsi</v>
          </cell>
        </row>
        <row r="1541">
          <cell r="B1541" t="b">
            <v>1</v>
          </cell>
          <cell r="E1541" t="str">
            <v>Los Cerros</v>
          </cell>
          <cell r="H1541" t="str">
            <v>salud_oral</v>
          </cell>
          <cell r="J1541" t="str">
            <v>bueno</v>
          </cell>
          <cell r="K1541" t="str">
            <v>defsi</v>
          </cell>
        </row>
        <row r="1542">
          <cell r="B1542" t="b">
            <v>1</v>
          </cell>
          <cell r="E1542" t="str">
            <v>Los Cerros</v>
          </cell>
          <cell r="H1542" t="str">
            <v>laboratorio</v>
          </cell>
          <cell r="J1542" t="str">
            <v>bueno</v>
          </cell>
          <cell r="K1542" t="str">
            <v>defsi</v>
          </cell>
        </row>
        <row r="1543">
          <cell r="B1543" t="b">
            <v>1</v>
          </cell>
          <cell r="E1543" t="str">
            <v>Baru</v>
          </cell>
          <cell r="H1543" t="str">
            <v>salud_oral</v>
          </cell>
          <cell r="J1543" t="str">
            <v>muybueno</v>
          </cell>
          <cell r="K1543" t="str">
            <v>defsi</v>
          </cell>
        </row>
        <row r="1544">
          <cell r="B1544" t="b">
            <v>1</v>
          </cell>
          <cell r="E1544" t="str">
            <v>Hospital Pozon</v>
          </cell>
          <cell r="H1544" t="str">
            <v>rx</v>
          </cell>
          <cell r="J1544" t="str">
            <v>bueno</v>
          </cell>
          <cell r="K1544" t="str">
            <v>probsi</v>
          </cell>
        </row>
        <row r="1545">
          <cell r="B1545" t="b">
            <v>1</v>
          </cell>
          <cell r="E1545" t="str">
            <v>Los Cerros</v>
          </cell>
          <cell r="H1545" t="str">
            <v>ginecologia</v>
          </cell>
          <cell r="J1545" t="str">
            <v>bueno</v>
          </cell>
          <cell r="K1545" t="str">
            <v>defsi</v>
          </cell>
        </row>
        <row r="1546">
          <cell r="B1546" t="b">
            <v>1</v>
          </cell>
          <cell r="E1546" t="str">
            <v>Hospital Pozon</v>
          </cell>
          <cell r="H1546" t="str">
            <v>salud_oral</v>
          </cell>
          <cell r="J1546" t="str">
            <v>bueno</v>
          </cell>
          <cell r="K1546" t="str">
            <v>probsi</v>
          </cell>
        </row>
        <row r="1547">
          <cell r="B1547" t="b">
            <v>1</v>
          </cell>
          <cell r="E1547" t="str">
            <v>Hospital Pozon</v>
          </cell>
          <cell r="H1547" t="str">
            <v>salud_oral</v>
          </cell>
          <cell r="J1547" t="str">
            <v>bueno</v>
          </cell>
          <cell r="K1547" t="str">
            <v>probsi</v>
          </cell>
        </row>
        <row r="1548">
          <cell r="B1548" t="b">
            <v>1</v>
          </cell>
          <cell r="E1548" t="str">
            <v>Los Cerros</v>
          </cell>
          <cell r="H1548" t="str">
            <v>pediatria</v>
          </cell>
          <cell r="J1548" t="str">
            <v>bueno</v>
          </cell>
          <cell r="K1548" t="str">
            <v>defsi</v>
          </cell>
        </row>
        <row r="1549">
          <cell r="B1549" t="b">
            <v>0</v>
          </cell>
          <cell r="E1549" t="str">
            <v>Hospital Pozon</v>
          </cell>
          <cell r="H1549" t="str">
            <v>urgencia</v>
          </cell>
          <cell r="J1549" t="str">
            <v>regular</v>
          </cell>
          <cell r="K1549" t="str">
            <v>probsi</v>
          </cell>
        </row>
        <row r="1550">
          <cell r="B1550" t="b">
            <v>1</v>
          </cell>
          <cell r="E1550" t="str">
            <v>Los Cerros</v>
          </cell>
          <cell r="H1550" t="str">
            <v>medicina_interna</v>
          </cell>
          <cell r="J1550" t="str">
            <v>bueno</v>
          </cell>
          <cell r="K1550" t="str">
            <v>defsi</v>
          </cell>
        </row>
        <row r="1551">
          <cell r="B1551" t="b">
            <v>1</v>
          </cell>
          <cell r="E1551" t="str">
            <v>Manzanillo</v>
          </cell>
          <cell r="H1551" t="str">
            <v>consulta_externa</v>
          </cell>
          <cell r="J1551" t="str">
            <v>bueno</v>
          </cell>
          <cell r="K1551" t="str">
            <v>defsi</v>
          </cell>
        </row>
        <row r="1552">
          <cell r="B1552" t="b">
            <v>1</v>
          </cell>
          <cell r="E1552" t="str">
            <v>Manzanillo</v>
          </cell>
          <cell r="H1552" t="str">
            <v>salud_oral</v>
          </cell>
          <cell r="J1552" t="str">
            <v>bueno</v>
          </cell>
          <cell r="K1552" t="str">
            <v>defsi</v>
          </cell>
        </row>
        <row r="1553">
          <cell r="B1553" t="b">
            <v>1</v>
          </cell>
          <cell r="E1553" t="str">
            <v>Manzanillo</v>
          </cell>
          <cell r="H1553" t="str">
            <v>laboratorio</v>
          </cell>
          <cell r="J1553" t="str">
            <v>bueno</v>
          </cell>
          <cell r="K1553" t="str">
            <v>defsi</v>
          </cell>
        </row>
        <row r="1554">
          <cell r="B1554" t="b">
            <v>1</v>
          </cell>
          <cell r="E1554" t="str">
            <v>Baru</v>
          </cell>
          <cell r="H1554" t="str">
            <v>consulta_externa</v>
          </cell>
          <cell r="J1554" t="str">
            <v>muybueno</v>
          </cell>
          <cell r="K1554" t="str">
            <v>defsi</v>
          </cell>
        </row>
        <row r="1555">
          <cell r="B1555" t="b">
            <v>1</v>
          </cell>
          <cell r="E1555" t="str">
            <v>Baru</v>
          </cell>
          <cell r="H1555" t="str">
            <v>laboratorio</v>
          </cell>
          <cell r="J1555" t="str">
            <v>muybueno</v>
          </cell>
          <cell r="K1555" t="str">
            <v>defsi</v>
          </cell>
        </row>
        <row r="1556">
          <cell r="B1556" t="b">
            <v>1</v>
          </cell>
          <cell r="E1556" t="str">
            <v>Hospital Pozon</v>
          </cell>
          <cell r="H1556" t="str">
            <v>urgencia</v>
          </cell>
          <cell r="J1556" t="str">
            <v>bueno</v>
          </cell>
          <cell r="K1556" t="str">
            <v>probsi</v>
          </cell>
        </row>
        <row r="1557">
          <cell r="B1557" t="b">
            <v>1</v>
          </cell>
          <cell r="E1557" t="str">
            <v>Manzanillo</v>
          </cell>
          <cell r="H1557" t="str">
            <v>consulta_externa</v>
          </cell>
          <cell r="J1557" t="str">
            <v>bueno</v>
          </cell>
          <cell r="K1557" t="str">
            <v>probsi</v>
          </cell>
        </row>
        <row r="1558">
          <cell r="B1558" t="b">
            <v>1</v>
          </cell>
          <cell r="E1558" t="str">
            <v>Manzanillo</v>
          </cell>
          <cell r="H1558" t="str">
            <v>salud_oral</v>
          </cell>
          <cell r="J1558" t="str">
            <v>bueno</v>
          </cell>
          <cell r="K1558" t="str">
            <v>probsi</v>
          </cell>
        </row>
        <row r="1559">
          <cell r="B1559" t="b">
            <v>1</v>
          </cell>
          <cell r="E1559" t="str">
            <v>Manzanillo</v>
          </cell>
          <cell r="H1559" t="str">
            <v>laboratorio</v>
          </cell>
          <cell r="J1559" t="str">
            <v>bueno</v>
          </cell>
          <cell r="K1559" t="str">
            <v>probsi</v>
          </cell>
        </row>
        <row r="1560">
          <cell r="B1560" t="b">
            <v>1</v>
          </cell>
          <cell r="E1560" t="str">
            <v>Baru</v>
          </cell>
          <cell r="H1560" t="str">
            <v>consulta_externa</v>
          </cell>
          <cell r="J1560" t="str">
            <v>muybueno</v>
          </cell>
          <cell r="K1560" t="str">
            <v>defsi</v>
          </cell>
        </row>
        <row r="1561">
          <cell r="B1561" t="b">
            <v>1</v>
          </cell>
          <cell r="E1561" t="str">
            <v>Manzanillo</v>
          </cell>
          <cell r="H1561" t="str">
            <v>laboratorio</v>
          </cell>
          <cell r="J1561" t="str">
            <v>bueno</v>
          </cell>
          <cell r="K1561" t="str">
            <v>probsi</v>
          </cell>
        </row>
        <row r="1562">
          <cell r="B1562" t="b">
            <v>1</v>
          </cell>
          <cell r="E1562" t="str">
            <v>Baru</v>
          </cell>
          <cell r="H1562" t="str">
            <v>consulta_externa</v>
          </cell>
          <cell r="J1562" t="str">
            <v>muybueno</v>
          </cell>
          <cell r="K1562" t="str">
            <v>defsi</v>
          </cell>
        </row>
        <row r="1563">
          <cell r="B1563" t="b">
            <v>1</v>
          </cell>
          <cell r="E1563" t="str">
            <v>Baru</v>
          </cell>
          <cell r="H1563" t="str">
            <v>laboratorio</v>
          </cell>
          <cell r="J1563" t="str">
            <v>muybueno</v>
          </cell>
          <cell r="K1563" t="str">
            <v>defsi</v>
          </cell>
        </row>
        <row r="1564">
          <cell r="B1564" t="b">
            <v>1</v>
          </cell>
          <cell r="E1564" t="str">
            <v>Manzanillo</v>
          </cell>
          <cell r="H1564" t="str">
            <v>consulta_externa</v>
          </cell>
          <cell r="J1564" t="str">
            <v>bueno</v>
          </cell>
          <cell r="K1564" t="str">
            <v>defsi</v>
          </cell>
        </row>
        <row r="1565">
          <cell r="B1565" t="b">
            <v>1</v>
          </cell>
          <cell r="E1565" t="str">
            <v>Manzanillo</v>
          </cell>
          <cell r="H1565" t="str">
            <v>salud_oral</v>
          </cell>
          <cell r="J1565" t="str">
            <v>bueno</v>
          </cell>
          <cell r="K1565" t="str">
            <v>defsi</v>
          </cell>
        </row>
        <row r="1566">
          <cell r="B1566" t="b">
            <v>1</v>
          </cell>
          <cell r="E1566" t="str">
            <v>Baru</v>
          </cell>
          <cell r="H1566" t="str">
            <v>consulta_externa</v>
          </cell>
          <cell r="J1566" t="str">
            <v>muybueno</v>
          </cell>
          <cell r="K1566" t="str">
            <v>defsi</v>
          </cell>
        </row>
        <row r="1567">
          <cell r="B1567" t="b">
            <v>1</v>
          </cell>
          <cell r="E1567" t="str">
            <v>Baru</v>
          </cell>
          <cell r="H1567" t="str">
            <v>salud_oral</v>
          </cell>
          <cell r="J1567" t="str">
            <v>muybueno</v>
          </cell>
          <cell r="K1567" t="str">
            <v>defsi</v>
          </cell>
        </row>
        <row r="1568">
          <cell r="B1568" t="b">
            <v>1</v>
          </cell>
          <cell r="E1568" t="str">
            <v>Baru</v>
          </cell>
          <cell r="H1568" t="str">
            <v>consulta_externa</v>
          </cell>
          <cell r="J1568" t="str">
            <v>muybueno</v>
          </cell>
          <cell r="K1568" t="str">
            <v>defsi</v>
          </cell>
        </row>
        <row r="1569">
          <cell r="B1569" t="b">
            <v>1</v>
          </cell>
          <cell r="E1569" t="str">
            <v>Baru</v>
          </cell>
          <cell r="H1569" t="str">
            <v>laboratorio</v>
          </cell>
          <cell r="J1569" t="str">
            <v>muybueno</v>
          </cell>
          <cell r="K1569" t="str">
            <v>defsi</v>
          </cell>
        </row>
        <row r="1570">
          <cell r="B1570" t="b">
            <v>1</v>
          </cell>
          <cell r="E1570" t="str">
            <v>Baru</v>
          </cell>
          <cell r="H1570" t="str">
            <v>consulta_externa</v>
          </cell>
          <cell r="J1570" t="str">
            <v>muybueno</v>
          </cell>
          <cell r="K1570" t="str">
            <v>defsi</v>
          </cell>
        </row>
        <row r="1571">
          <cell r="B1571" t="b">
            <v>1</v>
          </cell>
          <cell r="E1571" t="str">
            <v>Baru</v>
          </cell>
          <cell r="H1571" t="str">
            <v>salud_oral</v>
          </cell>
          <cell r="J1571" t="str">
            <v>muybueno</v>
          </cell>
          <cell r="K1571" t="str">
            <v>defsi</v>
          </cell>
        </row>
        <row r="1572">
          <cell r="B1572" t="b">
            <v>1</v>
          </cell>
          <cell r="E1572" t="str">
            <v>Baru</v>
          </cell>
          <cell r="H1572" t="str">
            <v>consulta_externa</v>
          </cell>
          <cell r="J1572" t="str">
            <v>muybueno</v>
          </cell>
          <cell r="K1572" t="str">
            <v>defsi</v>
          </cell>
        </row>
        <row r="1573">
          <cell r="B1573" t="b">
            <v>1</v>
          </cell>
          <cell r="E1573" t="str">
            <v>Baru</v>
          </cell>
          <cell r="H1573" t="str">
            <v>laboratorio</v>
          </cell>
          <cell r="J1573" t="str">
            <v>muybueno</v>
          </cell>
          <cell r="K1573" t="str">
            <v>defsi</v>
          </cell>
        </row>
        <row r="1574">
          <cell r="B1574" t="b">
            <v>1</v>
          </cell>
          <cell r="E1574" t="str">
            <v>Baru</v>
          </cell>
          <cell r="H1574" t="str">
            <v>consulta_externa</v>
          </cell>
          <cell r="J1574" t="str">
            <v>muybueno</v>
          </cell>
          <cell r="K1574" t="str">
            <v>defsi</v>
          </cell>
        </row>
        <row r="1575">
          <cell r="B1575" t="b">
            <v>1</v>
          </cell>
          <cell r="E1575" t="str">
            <v>Baru</v>
          </cell>
          <cell r="H1575" t="str">
            <v>laboratorio</v>
          </cell>
          <cell r="J1575" t="str">
            <v>muybueno</v>
          </cell>
          <cell r="K1575" t="str">
            <v>defsi</v>
          </cell>
        </row>
        <row r="1576">
          <cell r="B1576" t="b">
            <v>1</v>
          </cell>
          <cell r="E1576" t="str">
            <v>Los Cerros</v>
          </cell>
          <cell r="H1576" t="str">
            <v>consulta_externa</v>
          </cell>
          <cell r="J1576" t="str">
            <v>bueno</v>
          </cell>
          <cell r="K1576" t="str">
            <v>defsi</v>
          </cell>
        </row>
        <row r="1577">
          <cell r="B1577" t="b">
            <v>1</v>
          </cell>
          <cell r="E1577" t="str">
            <v>Los Cerros</v>
          </cell>
          <cell r="H1577" t="str">
            <v>salud_oral</v>
          </cell>
          <cell r="J1577" t="str">
            <v>bueno</v>
          </cell>
          <cell r="K1577" t="str">
            <v>defsi</v>
          </cell>
        </row>
        <row r="1578">
          <cell r="B1578" t="b">
            <v>1</v>
          </cell>
          <cell r="E1578" t="str">
            <v>Los Cerros</v>
          </cell>
          <cell r="H1578" t="str">
            <v>laboratorio</v>
          </cell>
          <cell r="J1578" t="str">
            <v>bueno</v>
          </cell>
          <cell r="K1578" t="str">
            <v>defsi</v>
          </cell>
        </row>
        <row r="1579">
          <cell r="B1579" t="b">
            <v>1</v>
          </cell>
          <cell r="E1579" t="str">
            <v>Baru</v>
          </cell>
          <cell r="H1579" t="str">
            <v>consulta_externa</v>
          </cell>
          <cell r="J1579" t="str">
            <v>muybueno</v>
          </cell>
          <cell r="K1579" t="str">
            <v>defsi</v>
          </cell>
        </row>
        <row r="1580">
          <cell r="B1580" t="b">
            <v>1</v>
          </cell>
          <cell r="E1580" t="str">
            <v>Baru</v>
          </cell>
          <cell r="H1580" t="str">
            <v>laboratorio</v>
          </cell>
          <cell r="J1580" t="str">
            <v>muybueno</v>
          </cell>
          <cell r="K1580" t="str">
            <v>defsi</v>
          </cell>
        </row>
        <row r="1581">
          <cell r="B1581" t="b">
            <v>1</v>
          </cell>
          <cell r="E1581" t="str">
            <v>Los Cerros</v>
          </cell>
          <cell r="H1581" t="str">
            <v>ginecologia</v>
          </cell>
          <cell r="J1581" t="str">
            <v>bueno</v>
          </cell>
          <cell r="K1581" t="str">
            <v>defsi</v>
          </cell>
        </row>
        <row r="1582">
          <cell r="B1582" t="b">
            <v>1</v>
          </cell>
          <cell r="E1582" t="str">
            <v>Los Cerros</v>
          </cell>
          <cell r="H1582" t="str">
            <v>pediatria</v>
          </cell>
          <cell r="J1582" t="str">
            <v>bueno</v>
          </cell>
          <cell r="K1582" t="str">
            <v>defsi</v>
          </cell>
        </row>
        <row r="1583">
          <cell r="B1583" t="b">
            <v>1</v>
          </cell>
          <cell r="E1583" t="str">
            <v>Baru</v>
          </cell>
          <cell r="H1583" t="str">
            <v>consulta_externa</v>
          </cell>
          <cell r="J1583" t="str">
            <v>muybueno</v>
          </cell>
          <cell r="K1583" t="str">
            <v>defsi</v>
          </cell>
        </row>
        <row r="1584">
          <cell r="B1584" t="b">
            <v>1</v>
          </cell>
          <cell r="E1584" t="str">
            <v>Los Cerros</v>
          </cell>
          <cell r="H1584" t="str">
            <v>medicina_interna</v>
          </cell>
          <cell r="J1584" t="str">
            <v>bueno</v>
          </cell>
          <cell r="K1584" t="str">
            <v>defsi</v>
          </cell>
        </row>
        <row r="1585">
          <cell r="B1585" t="b">
            <v>1</v>
          </cell>
          <cell r="E1585" t="str">
            <v>Baru</v>
          </cell>
          <cell r="H1585" t="str">
            <v>salud_oral</v>
          </cell>
          <cell r="J1585" t="str">
            <v>muybueno</v>
          </cell>
          <cell r="K1585" t="str">
            <v>defsi</v>
          </cell>
        </row>
        <row r="1586">
          <cell r="B1586" t="b">
            <v>1</v>
          </cell>
          <cell r="E1586" t="str">
            <v>Pozon</v>
          </cell>
          <cell r="H1586" t="str">
            <v>consulta_externa</v>
          </cell>
          <cell r="J1586" t="str">
            <v>bueno</v>
          </cell>
          <cell r="K1586" t="str">
            <v>probsi</v>
          </cell>
        </row>
        <row r="1587">
          <cell r="B1587" t="b">
            <v>1</v>
          </cell>
          <cell r="E1587" t="str">
            <v>Los Cerros</v>
          </cell>
          <cell r="H1587" t="str">
            <v>consulta_externa</v>
          </cell>
          <cell r="J1587" t="str">
            <v>bueno</v>
          </cell>
          <cell r="K1587" t="str">
            <v>defsi</v>
          </cell>
        </row>
        <row r="1588">
          <cell r="B1588" t="b">
            <v>1</v>
          </cell>
          <cell r="E1588" t="str">
            <v>Pozon</v>
          </cell>
          <cell r="H1588" t="str">
            <v>consulta_externa</v>
          </cell>
          <cell r="J1588" t="str">
            <v>bueno</v>
          </cell>
          <cell r="K1588" t="str">
            <v>probsi</v>
          </cell>
        </row>
        <row r="1589">
          <cell r="B1589" t="b">
            <v>1</v>
          </cell>
          <cell r="E1589" t="str">
            <v>Pozon</v>
          </cell>
          <cell r="H1589" t="str">
            <v>salud_oral</v>
          </cell>
          <cell r="J1589" t="str">
            <v>bueno</v>
          </cell>
          <cell r="K1589" t="str">
            <v>probsi</v>
          </cell>
        </row>
        <row r="1590">
          <cell r="B1590" t="b">
            <v>1</v>
          </cell>
          <cell r="E1590" t="str">
            <v>Los Cerros</v>
          </cell>
          <cell r="H1590" t="str">
            <v>salud_oral</v>
          </cell>
          <cell r="J1590" t="str">
            <v>bueno</v>
          </cell>
          <cell r="K1590" t="str">
            <v>defsi</v>
          </cell>
        </row>
        <row r="1591">
          <cell r="B1591" t="b">
            <v>1</v>
          </cell>
          <cell r="E1591" t="str">
            <v>Pozon</v>
          </cell>
          <cell r="H1591" t="str">
            <v>laboratorio</v>
          </cell>
          <cell r="J1591" t="str">
            <v>bueno</v>
          </cell>
          <cell r="K1591" t="str">
            <v>probsi</v>
          </cell>
        </row>
        <row r="1592">
          <cell r="B1592" t="b">
            <v>1</v>
          </cell>
          <cell r="E1592" t="str">
            <v>Los Cerros</v>
          </cell>
          <cell r="H1592" t="str">
            <v>laboratorio</v>
          </cell>
          <cell r="J1592" t="str">
            <v>bueno</v>
          </cell>
          <cell r="K1592" t="str">
            <v>defsi</v>
          </cell>
        </row>
        <row r="1593">
          <cell r="B1593" t="b">
            <v>1</v>
          </cell>
          <cell r="E1593" t="str">
            <v>Pozon</v>
          </cell>
          <cell r="H1593" t="str">
            <v>consulta_externa</v>
          </cell>
          <cell r="J1593" t="str">
            <v>bueno</v>
          </cell>
          <cell r="K1593" t="str">
            <v>probsi</v>
          </cell>
        </row>
        <row r="1594">
          <cell r="B1594" t="b">
            <v>1</v>
          </cell>
          <cell r="E1594" t="str">
            <v>Pozon</v>
          </cell>
          <cell r="H1594" t="str">
            <v>laboratorio</v>
          </cell>
          <cell r="J1594" t="str">
            <v>bueno</v>
          </cell>
          <cell r="K1594" t="str">
            <v>probsi</v>
          </cell>
        </row>
        <row r="1595">
          <cell r="B1595" t="b">
            <v>1</v>
          </cell>
          <cell r="E1595" t="str">
            <v>Pozon</v>
          </cell>
          <cell r="H1595" t="str">
            <v>laboratorio</v>
          </cell>
          <cell r="J1595" t="str">
            <v>bueno</v>
          </cell>
          <cell r="K1595" t="str">
            <v>probsi</v>
          </cell>
        </row>
        <row r="1596">
          <cell r="B1596" t="b">
            <v>1</v>
          </cell>
          <cell r="E1596" t="str">
            <v>Pozon</v>
          </cell>
          <cell r="H1596" t="str">
            <v>laboratorio</v>
          </cell>
          <cell r="J1596" t="str">
            <v>bueno</v>
          </cell>
          <cell r="K1596" t="str">
            <v>probsi</v>
          </cell>
        </row>
        <row r="1597">
          <cell r="B1597" t="b">
            <v>1</v>
          </cell>
          <cell r="E1597" t="str">
            <v>Pozon</v>
          </cell>
          <cell r="H1597" t="str">
            <v>laboratorio</v>
          </cell>
          <cell r="J1597" t="str">
            <v>bueno</v>
          </cell>
          <cell r="K1597" t="str">
            <v>probsi</v>
          </cell>
        </row>
        <row r="1598">
          <cell r="B1598" t="b">
            <v>1</v>
          </cell>
          <cell r="E1598" t="str">
            <v>Pozon</v>
          </cell>
          <cell r="H1598" t="str">
            <v>laboratorio</v>
          </cell>
          <cell r="J1598" t="str">
            <v>bueno</v>
          </cell>
          <cell r="K1598" t="str">
            <v>probsi</v>
          </cell>
        </row>
        <row r="1599">
          <cell r="B1599" t="b">
            <v>1</v>
          </cell>
          <cell r="E1599" t="str">
            <v>Los Cerros</v>
          </cell>
          <cell r="H1599" t="str">
            <v>ginecologia</v>
          </cell>
          <cell r="J1599" t="str">
            <v>bueno</v>
          </cell>
          <cell r="K1599" t="str">
            <v>defsi</v>
          </cell>
        </row>
        <row r="1600">
          <cell r="B1600" t="b">
            <v>1</v>
          </cell>
          <cell r="E1600" t="str">
            <v>Los Cerros</v>
          </cell>
          <cell r="H1600" t="str">
            <v>pediatria</v>
          </cell>
          <cell r="J1600" t="str">
            <v>bueno</v>
          </cell>
          <cell r="K1600" t="str">
            <v>defsi</v>
          </cell>
        </row>
        <row r="1601">
          <cell r="B1601" t="b">
            <v>1</v>
          </cell>
          <cell r="E1601" t="str">
            <v>Pozon</v>
          </cell>
          <cell r="H1601" t="str">
            <v>consulta_externa</v>
          </cell>
          <cell r="J1601" t="str">
            <v>bueno</v>
          </cell>
          <cell r="K1601" t="str">
            <v>probsi</v>
          </cell>
        </row>
        <row r="1602">
          <cell r="B1602" t="b">
            <v>1</v>
          </cell>
          <cell r="E1602" t="str">
            <v>Pozon</v>
          </cell>
          <cell r="H1602" t="str">
            <v>salud_oral</v>
          </cell>
          <cell r="J1602" t="str">
            <v>bueno</v>
          </cell>
          <cell r="K1602" t="str">
            <v>probsi</v>
          </cell>
        </row>
        <row r="1603">
          <cell r="B1603" t="b">
            <v>1</v>
          </cell>
          <cell r="E1603" t="str">
            <v>Los Cerros</v>
          </cell>
          <cell r="H1603" t="str">
            <v>medicina_interna</v>
          </cell>
          <cell r="J1603" t="str">
            <v>bueno</v>
          </cell>
          <cell r="K1603" t="str">
            <v>defsi</v>
          </cell>
        </row>
        <row r="1604">
          <cell r="B1604" t="b">
            <v>1</v>
          </cell>
          <cell r="E1604" t="str">
            <v>Santa Ana</v>
          </cell>
          <cell r="H1604" t="str">
            <v>consulta_externa</v>
          </cell>
          <cell r="J1604" t="str">
            <v>muybueno</v>
          </cell>
          <cell r="K1604" t="str">
            <v>defsi</v>
          </cell>
        </row>
        <row r="1605">
          <cell r="B1605" t="b">
            <v>1</v>
          </cell>
          <cell r="E1605" t="str">
            <v>Santa Ana</v>
          </cell>
          <cell r="H1605" t="str">
            <v>laboratorio</v>
          </cell>
          <cell r="J1605" t="str">
            <v>muybueno</v>
          </cell>
          <cell r="K1605" t="str">
            <v>defsi</v>
          </cell>
        </row>
        <row r="1606">
          <cell r="B1606" t="b">
            <v>1</v>
          </cell>
          <cell r="E1606" t="str">
            <v>Pozon</v>
          </cell>
          <cell r="H1606" t="str">
            <v>consulta_externa</v>
          </cell>
          <cell r="J1606" t="str">
            <v>bueno</v>
          </cell>
          <cell r="K1606" t="str">
            <v>probsi</v>
          </cell>
        </row>
        <row r="1607">
          <cell r="B1607" t="b">
            <v>1</v>
          </cell>
          <cell r="E1607" t="str">
            <v>Pozon</v>
          </cell>
          <cell r="H1607" t="str">
            <v>salud_oral</v>
          </cell>
          <cell r="J1607" t="str">
            <v>bueno</v>
          </cell>
          <cell r="K1607" t="str">
            <v>probsi</v>
          </cell>
        </row>
        <row r="1608">
          <cell r="B1608" t="b">
            <v>1</v>
          </cell>
          <cell r="E1608" t="str">
            <v>Pozon</v>
          </cell>
          <cell r="H1608" t="str">
            <v>laboratorio</v>
          </cell>
          <cell r="J1608" t="str">
            <v>bueno</v>
          </cell>
          <cell r="K1608" t="str">
            <v>probsi</v>
          </cell>
        </row>
        <row r="1609">
          <cell r="B1609" t="b">
            <v>1</v>
          </cell>
          <cell r="E1609" t="str">
            <v>Los Cerros</v>
          </cell>
          <cell r="H1609" t="str">
            <v>consulta_externa</v>
          </cell>
          <cell r="J1609" t="str">
            <v>bueno</v>
          </cell>
          <cell r="K1609" t="str">
            <v>defsi</v>
          </cell>
        </row>
        <row r="1610">
          <cell r="B1610" t="b">
            <v>1</v>
          </cell>
          <cell r="E1610" t="str">
            <v>Pozon</v>
          </cell>
          <cell r="H1610" t="str">
            <v>consulta_externa</v>
          </cell>
          <cell r="J1610" t="str">
            <v>bueno</v>
          </cell>
          <cell r="K1610" t="str">
            <v>probsi</v>
          </cell>
        </row>
        <row r="1611">
          <cell r="B1611" t="b">
            <v>1</v>
          </cell>
          <cell r="E1611" t="str">
            <v>Pozon</v>
          </cell>
          <cell r="H1611" t="str">
            <v>salud_oral</v>
          </cell>
          <cell r="J1611" t="str">
            <v>bueno</v>
          </cell>
          <cell r="K1611" t="str">
            <v>probsi</v>
          </cell>
        </row>
        <row r="1612">
          <cell r="B1612" t="b">
            <v>1</v>
          </cell>
          <cell r="E1612" t="str">
            <v>Santa Ana</v>
          </cell>
          <cell r="H1612" t="str">
            <v>salud_oral</v>
          </cell>
          <cell r="J1612" t="str">
            <v>muybueno</v>
          </cell>
          <cell r="K1612" t="str">
            <v>defsi</v>
          </cell>
        </row>
        <row r="1613">
          <cell r="B1613" t="b">
            <v>1</v>
          </cell>
          <cell r="E1613" t="str">
            <v>Pozon</v>
          </cell>
          <cell r="H1613" t="str">
            <v>consulta_externa</v>
          </cell>
          <cell r="J1613" t="str">
            <v>bueno</v>
          </cell>
          <cell r="K1613" t="str">
            <v>probsi</v>
          </cell>
        </row>
        <row r="1614">
          <cell r="B1614" t="b">
            <v>1</v>
          </cell>
          <cell r="E1614" t="str">
            <v>Los Cerros</v>
          </cell>
          <cell r="H1614" t="str">
            <v>salud_oral</v>
          </cell>
          <cell r="J1614" t="str">
            <v>bueno</v>
          </cell>
          <cell r="K1614" t="str">
            <v>defsi</v>
          </cell>
        </row>
        <row r="1615">
          <cell r="B1615" t="b">
            <v>1</v>
          </cell>
          <cell r="E1615" t="str">
            <v>Pozon</v>
          </cell>
          <cell r="H1615" t="str">
            <v>consulta_externa</v>
          </cell>
          <cell r="J1615" t="str">
            <v>bueno</v>
          </cell>
          <cell r="K1615" t="str">
            <v>probsi</v>
          </cell>
        </row>
        <row r="1616">
          <cell r="B1616" t="b">
            <v>1</v>
          </cell>
          <cell r="E1616" t="str">
            <v>Los Cerros</v>
          </cell>
          <cell r="H1616" t="str">
            <v>laboratorio</v>
          </cell>
          <cell r="J1616" t="str">
            <v>bueno</v>
          </cell>
          <cell r="K1616" t="str">
            <v>defsi</v>
          </cell>
        </row>
        <row r="1617">
          <cell r="B1617" t="b">
            <v>1</v>
          </cell>
          <cell r="E1617" t="str">
            <v>Los Cerros</v>
          </cell>
          <cell r="H1617" t="str">
            <v>ginecologia</v>
          </cell>
          <cell r="J1617" t="str">
            <v>bueno</v>
          </cell>
          <cell r="K1617" t="str">
            <v>defsi</v>
          </cell>
        </row>
        <row r="1618">
          <cell r="B1618" t="b">
            <v>1</v>
          </cell>
          <cell r="E1618" t="str">
            <v>Los Cerros</v>
          </cell>
          <cell r="H1618" t="str">
            <v>pediatria</v>
          </cell>
          <cell r="J1618" t="str">
            <v>bueno</v>
          </cell>
          <cell r="K1618" t="str">
            <v>defsi</v>
          </cell>
        </row>
        <row r="1619">
          <cell r="B1619" t="b">
            <v>1</v>
          </cell>
          <cell r="E1619" t="str">
            <v>Los Cerros</v>
          </cell>
          <cell r="H1619" t="str">
            <v>medicina_interna</v>
          </cell>
          <cell r="J1619" t="str">
            <v>bueno</v>
          </cell>
          <cell r="K1619" t="str">
            <v>defsi</v>
          </cell>
        </row>
        <row r="1620">
          <cell r="B1620" t="b">
            <v>1</v>
          </cell>
          <cell r="E1620" t="str">
            <v>Santa Ana</v>
          </cell>
          <cell r="H1620" t="str">
            <v>consulta_externa</v>
          </cell>
          <cell r="J1620" t="str">
            <v>muybueno</v>
          </cell>
          <cell r="K1620" t="str">
            <v>defsi</v>
          </cell>
        </row>
        <row r="1621">
          <cell r="B1621" t="b">
            <v>1</v>
          </cell>
          <cell r="E1621" t="str">
            <v>Santa Ana</v>
          </cell>
          <cell r="H1621" t="str">
            <v>laboratorio</v>
          </cell>
          <cell r="J1621" t="str">
            <v>muybueno</v>
          </cell>
          <cell r="K1621" t="str">
            <v>defsi</v>
          </cell>
        </row>
        <row r="1622">
          <cell r="B1622" t="b">
            <v>1</v>
          </cell>
          <cell r="E1622" t="str">
            <v>Santa Ana</v>
          </cell>
          <cell r="H1622" t="str">
            <v>salud_oral</v>
          </cell>
          <cell r="J1622" t="str">
            <v>muybueno</v>
          </cell>
          <cell r="K1622" t="str">
            <v>defsi</v>
          </cell>
        </row>
        <row r="1623">
          <cell r="B1623" t="b">
            <v>1</v>
          </cell>
          <cell r="E1623" t="str">
            <v>Los Cerros</v>
          </cell>
          <cell r="H1623" t="str">
            <v>consulta_externa</v>
          </cell>
          <cell r="J1623" t="str">
            <v>bueno</v>
          </cell>
          <cell r="K1623" t="str">
            <v>defsi</v>
          </cell>
        </row>
        <row r="1624">
          <cell r="B1624" t="b">
            <v>1</v>
          </cell>
          <cell r="E1624" t="str">
            <v>Los Cerros</v>
          </cell>
          <cell r="H1624" t="str">
            <v>salud_oral</v>
          </cell>
          <cell r="J1624" t="str">
            <v>bueno</v>
          </cell>
          <cell r="K1624" t="str">
            <v>defsi</v>
          </cell>
        </row>
        <row r="1625">
          <cell r="B1625" t="b">
            <v>1</v>
          </cell>
          <cell r="E1625" t="str">
            <v>Los Cerros</v>
          </cell>
          <cell r="H1625" t="str">
            <v>laboratorio</v>
          </cell>
          <cell r="J1625" t="str">
            <v>bueno</v>
          </cell>
          <cell r="K1625" t="str">
            <v>defsi</v>
          </cell>
        </row>
        <row r="1626">
          <cell r="B1626" t="b">
            <v>1</v>
          </cell>
          <cell r="E1626" t="str">
            <v>Los Cerros</v>
          </cell>
          <cell r="H1626" t="str">
            <v>ginecologia</v>
          </cell>
          <cell r="J1626" t="str">
            <v>bueno</v>
          </cell>
          <cell r="K1626" t="str">
            <v>defsi</v>
          </cell>
        </row>
        <row r="1627">
          <cell r="B1627" t="b">
            <v>1</v>
          </cell>
          <cell r="E1627" t="str">
            <v>Los Cerros</v>
          </cell>
          <cell r="H1627" t="str">
            <v>pediatria</v>
          </cell>
          <cell r="J1627" t="str">
            <v>bueno</v>
          </cell>
          <cell r="K1627" t="str">
            <v>defsi</v>
          </cell>
        </row>
        <row r="1628">
          <cell r="B1628" t="b">
            <v>1</v>
          </cell>
          <cell r="E1628" t="str">
            <v>Los Cerros</v>
          </cell>
          <cell r="H1628" t="str">
            <v>medicina_interna</v>
          </cell>
          <cell r="J1628" t="str">
            <v>bueno</v>
          </cell>
          <cell r="K1628" t="str">
            <v>defsi</v>
          </cell>
        </row>
        <row r="1629">
          <cell r="B1629" t="b">
            <v>1</v>
          </cell>
          <cell r="E1629" t="str">
            <v>Boquilla</v>
          </cell>
          <cell r="H1629" t="str">
            <v>urgencia</v>
          </cell>
          <cell r="J1629" t="str">
            <v>bueno</v>
          </cell>
          <cell r="K1629" t="str">
            <v>probsi</v>
          </cell>
        </row>
        <row r="1630">
          <cell r="B1630" t="b">
            <v>1</v>
          </cell>
          <cell r="E1630" t="str">
            <v>Boquilla</v>
          </cell>
          <cell r="H1630" t="str">
            <v>urgencia</v>
          </cell>
          <cell r="J1630" t="str">
            <v>bueno</v>
          </cell>
          <cell r="K1630" t="str">
            <v>probsi</v>
          </cell>
        </row>
        <row r="1631">
          <cell r="B1631" t="b">
            <v>1</v>
          </cell>
          <cell r="E1631" t="str">
            <v>Boquilla</v>
          </cell>
          <cell r="H1631" t="str">
            <v>consulta_externa</v>
          </cell>
          <cell r="J1631" t="str">
            <v>bueno</v>
          </cell>
          <cell r="K1631" t="str">
            <v>probsi</v>
          </cell>
        </row>
        <row r="1632">
          <cell r="B1632" t="b">
            <v>1</v>
          </cell>
          <cell r="E1632" t="str">
            <v>Boquilla</v>
          </cell>
          <cell r="H1632" t="str">
            <v>consulta_externa</v>
          </cell>
          <cell r="J1632" t="str">
            <v>bueno</v>
          </cell>
          <cell r="K1632" t="str">
            <v>probsi</v>
          </cell>
        </row>
        <row r="1633">
          <cell r="B1633" t="b">
            <v>0</v>
          </cell>
          <cell r="E1633" t="str">
            <v>Boquilla</v>
          </cell>
          <cell r="H1633" t="str">
            <v>consulta_externa</v>
          </cell>
          <cell r="J1633" t="str">
            <v>regular</v>
          </cell>
          <cell r="K1633" t="str">
            <v>probno</v>
          </cell>
        </row>
        <row r="1634">
          <cell r="B1634" t="b">
            <v>0</v>
          </cell>
          <cell r="E1634" t="str">
            <v>Boquilla</v>
          </cell>
          <cell r="H1634" t="str">
            <v>salud_oral</v>
          </cell>
          <cell r="J1634" t="str">
            <v>regular</v>
          </cell>
          <cell r="K1634" t="str">
            <v>probno</v>
          </cell>
        </row>
        <row r="1635">
          <cell r="B1635" t="b">
            <v>1</v>
          </cell>
          <cell r="E1635" t="str">
            <v>Boquilla</v>
          </cell>
          <cell r="H1635" t="str">
            <v>consulta_externa</v>
          </cell>
          <cell r="J1635" t="str">
            <v>bueno</v>
          </cell>
          <cell r="K1635" t="str">
            <v>probsi</v>
          </cell>
        </row>
        <row r="1636">
          <cell r="B1636" t="b">
            <v>1</v>
          </cell>
          <cell r="E1636" t="str">
            <v>Boquilla</v>
          </cell>
          <cell r="H1636" t="str">
            <v>salud_oral</v>
          </cell>
          <cell r="J1636" t="str">
            <v>bueno</v>
          </cell>
          <cell r="K1636" t="str">
            <v>probsi</v>
          </cell>
        </row>
        <row r="1637">
          <cell r="B1637" t="b">
            <v>1</v>
          </cell>
          <cell r="E1637" t="str">
            <v>Boquilla</v>
          </cell>
          <cell r="H1637" t="str">
            <v>consulta_externa</v>
          </cell>
          <cell r="J1637" t="str">
            <v>bueno</v>
          </cell>
          <cell r="K1637" t="str">
            <v>probsi</v>
          </cell>
        </row>
        <row r="1638">
          <cell r="B1638" t="b">
            <v>1</v>
          </cell>
          <cell r="E1638" t="str">
            <v>Boquilla</v>
          </cell>
          <cell r="H1638" t="str">
            <v>consulta_externa</v>
          </cell>
          <cell r="J1638" t="str">
            <v>bueno</v>
          </cell>
          <cell r="K1638" t="str">
            <v>probsi</v>
          </cell>
        </row>
        <row r="1639">
          <cell r="B1639" t="b">
            <v>1</v>
          </cell>
          <cell r="E1639" t="str">
            <v>Boquilla</v>
          </cell>
          <cell r="H1639" t="str">
            <v>salud_oral</v>
          </cell>
          <cell r="J1639" t="str">
            <v>bueno</v>
          </cell>
          <cell r="K1639" t="str">
            <v>probsi</v>
          </cell>
        </row>
        <row r="1640">
          <cell r="B1640" t="b">
            <v>1</v>
          </cell>
          <cell r="E1640" t="str">
            <v>Manzanillo</v>
          </cell>
          <cell r="H1640" t="str">
            <v>laboratorio</v>
          </cell>
          <cell r="J1640" t="str">
            <v>bueno</v>
          </cell>
          <cell r="K1640" t="str">
            <v>probsi</v>
          </cell>
        </row>
        <row r="1641">
          <cell r="B1641" t="b">
            <v>1</v>
          </cell>
          <cell r="E1641" t="str">
            <v>Manzanillo</v>
          </cell>
          <cell r="H1641" t="str">
            <v>laboratorio</v>
          </cell>
          <cell r="J1641" t="str">
            <v>bueno</v>
          </cell>
          <cell r="K1641" t="str">
            <v>probsi</v>
          </cell>
        </row>
        <row r="1642">
          <cell r="B1642" t="b">
            <v>1</v>
          </cell>
          <cell r="E1642" t="str">
            <v>Manzanillo</v>
          </cell>
          <cell r="H1642" t="str">
            <v>laboratorio</v>
          </cell>
          <cell r="J1642" t="str">
            <v>bueno</v>
          </cell>
          <cell r="K1642" t="str">
            <v>probsi</v>
          </cell>
        </row>
        <row r="1643">
          <cell r="B1643" t="b">
            <v>1</v>
          </cell>
          <cell r="E1643" t="str">
            <v>Manzanillo</v>
          </cell>
          <cell r="H1643" t="str">
            <v>laboratorio</v>
          </cell>
          <cell r="J1643" t="str">
            <v>bueno</v>
          </cell>
          <cell r="K1643" t="str">
            <v>probsi</v>
          </cell>
        </row>
        <row r="1644">
          <cell r="B1644" t="b">
            <v>1</v>
          </cell>
          <cell r="E1644" t="str">
            <v>Santa Ana</v>
          </cell>
          <cell r="H1644" t="str">
            <v>consulta_externa</v>
          </cell>
          <cell r="J1644" t="str">
            <v>muybueno</v>
          </cell>
          <cell r="K1644" t="str">
            <v>defsi</v>
          </cell>
        </row>
        <row r="1645">
          <cell r="B1645" t="b">
            <v>1</v>
          </cell>
          <cell r="E1645" t="str">
            <v>Santa Ana</v>
          </cell>
          <cell r="H1645" t="str">
            <v>laboratorio</v>
          </cell>
          <cell r="J1645" t="str">
            <v>muybueno</v>
          </cell>
          <cell r="K1645" t="str">
            <v>defsi</v>
          </cell>
        </row>
        <row r="1646">
          <cell r="B1646" t="b">
            <v>1</v>
          </cell>
          <cell r="E1646" t="str">
            <v>Santa Ana</v>
          </cell>
          <cell r="H1646" t="str">
            <v>salud_oral</v>
          </cell>
          <cell r="J1646" t="str">
            <v>muybueno</v>
          </cell>
          <cell r="K1646" t="str">
            <v>defsi</v>
          </cell>
        </row>
        <row r="1647">
          <cell r="B1647" t="b">
            <v>1</v>
          </cell>
          <cell r="E1647" t="str">
            <v>Santa Ana</v>
          </cell>
          <cell r="H1647" t="str">
            <v>consulta_externa</v>
          </cell>
          <cell r="J1647" t="str">
            <v>muybueno</v>
          </cell>
          <cell r="K1647" t="str">
            <v>defsi</v>
          </cell>
        </row>
        <row r="1648">
          <cell r="B1648" t="b">
            <v>1</v>
          </cell>
          <cell r="E1648" t="str">
            <v>Santa Ana</v>
          </cell>
          <cell r="H1648" t="str">
            <v>laboratorio</v>
          </cell>
          <cell r="J1648" t="str">
            <v>muybueno</v>
          </cell>
          <cell r="K1648" t="str">
            <v>defsi</v>
          </cell>
        </row>
        <row r="1649">
          <cell r="B1649" t="b">
            <v>1</v>
          </cell>
          <cell r="E1649" t="str">
            <v>Boquilla</v>
          </cell>
          <cell r="H1649" t="str">
            <v>urgencia</v>
          </cell>
          <cell r="J1649" t="str">
            <v>bueno</v>
          </cell>
          <cell r="K1649" t="str">
            <v>probsi</v>
          </cell>
        </row>
        <row r="1650">
          <cell r="B1650" t="b">
            <v>1</v>
          </cell>
          <cell r="E1650" t="str">
            <v>Santa Ana</v>
          </cell>
          <cell r="H1650" t="str">
            <v>consulta_externa</v>
          </cell>
          <cell r="J1650" t="str">
            <v>muybueno</v>
          </cell>
          <cell r="K1650" t="str">
            <v>defsi</v>
          </cell>
        </row>
        <row r="1651">
          <cell r="B1651" t="b">
            <v>0</v>
          </cell>
          <cell r="E1651" t="str">
            <v>Boquilla</v>
          </cell>
          <cell r="H1651" t="str">
            <v>consulta_externa</v>
          </cell>
          <cell r="J1651" t="str">
            <v>regular</v>
          </cell>
          <cell r="K1651" t="str">
            <v>probsi</v>
          </cell>
        </row>
        <row r="1652">
          <cell r="B1652" t="b">
            <v>0</v>
          </cell>
          <cell r="E1652" t="str">
            <v>Boquilla</v>
          </cell>
          <cell r="H1652" t="str">
            <v>salud_oral</v>
          </cell>
          <cell r="J1652" t="str">
            <v>regular</v>
          </cell>
          <cell r="K1652" t="str">
            <v>probsi</v>
          </cell>
        </row>
        <row r="1653">
          <cell r="B1653" t="b">
            <v>0</v>
          </cell>
          <cell r="E1653" t="str">
            <v>Boquilla</v>
          </cell>
          <cell r="H1653" t="str">
            <v>laboratorio</v>
          </cell>
          <cell r="J1653" t="str">
            <v>regular</v>
          </cell>
          <cell r="K1653" t="str">
            <v>probsi</v>
          </cell>
        </row>
        <row r="1654">
          <cell r="B1654" t="b">
            <v>1</v>
          </cell>
          <cell r="E1654" t="str">
            <v>Boquilla</v>
          </cell>
          <cell r="H1654" t="str">
            <v>ecografias</v>
          </cell>
          <cell r="J1654" t="str">
            <v>bueno</v>
          </cell>
          <cell r="K1654" t="str">
            <v>probsi</v>
          </cell>
        </row>
        <row r="1655">
          <cell r="B1655" t="b">
            <v>1</v>
          </cell>
          <cell r="E1655" t="str">
            <v>Boquilla</v>
          </cell>
          <cell r="H1655" t="str">
            <v>salud_oral</v>
          </cell>
          <cell r="J1655" t="str">
            <v>bueno</v>
          </cell>
          <cell r="K1655" t="str">
            <v>probsi</v>
          </cell>
        </row>
        <row r="1656">
          <cell r="B1656" t="b">
            <v>1</v>
          </cell>
          <cell r="E1656" t="str">
            <v>Pozon</v>
          </cell>
          <cell r="H1656" t="str">
            <v>salud_oral</v>
          </cell>
          <cell r="J1656" t="str">
            <v>bueno</v>
          </cell>
          <cell r="K1656" t="str">
            <v>probsi</v>
          </cell>
        </row>
        <row r="1657">
          <cell r="B1657" t="b">
            <v>1</v>
          </cell>
          <cell r="E1657" t="str">
            <v>Pozon</v>
          </cell>
          <cell r="H1657" t="str">
            <v>salud_oral</v>
          </cell>
          <cell r="J1657" t="str">
            <v>bueno</v>
          </cell>
          <cell r="K1657" t="str">
            <v>probsi</v>
          </cell>
        </row>
        <row r="1658">
          <cell r="B1658" t="b">
            <v>1</v>
          </cell>
          <cell r="E1658" t="str">
            <v>Pozon</v>
          </cell>
          <cell r="H1658" t="str">
            <v>salud_oral</v>
          </cell>
          <cell r="J1658" t="str">
            <v>bueno</v>
          </cell>
          <cell r="K1658" t="str">
            <v>probsi</v>
          </cell>
        </row>
        <row r="1659">
          <cell r="B1659" t="b">
            <v>1</v>
          </cell>
          <cell r="E1659" t="str">
            <v>Pozon</v>
          </cell>
          <cell r="H1659" t="str">
            <v>salud_oral</v>
          </cell>
          <cell r="J1659" t="str">
            <v>bueno</v>
          </cell>
          <cell r="K1659" t="str">
            <v>probsi</v>
          </cell>
        </row>
        <row r="1660">
          <cell r="B1660" t="b">
            <v>1</v>
          </cell>
          <cell r="E1660" t="str">
            <v>Pozon</v>
          </cell>
          <cell r="H1660" t="str">
            <v>salud_oral</v>
          </cell>
          <cell r="J1660" t="str">
            <v>bueno</v>
          </cell>
          <cell r="K1660" t="str">
            <v>probsi</v>
          </cell>
        </row>
        <row r="1661">
          <cell r="B1661" t="b">
            <v>1</v>
          </cell>
          <cell r="E1661" t="str">
            <v>Pozon</v>
          </cell>
          <cell r="H1661" t="str">
            <v>salud_oral</v>
          </cell>
          <cell r="J1661" t="str">
            <v>bueno</v>
          </cell>
          <cell r="K1661" t="str">
            <v>probsi</v>
          </cell>
        </row>
        <row r="1662">
          <cell r="B1662" t="b">
            <v>1</v>
          </cell>
          <cell r="E1662" t="str">
            <v>Pozon</v>
          </cell>
          <cell r="H1662" t="str">
            <v>laboratorio</v>
          </cell>
          <cell r="J1662" t="str">
            <v>bueno</v>
          </cell>
          <cell r="K1662" t="str">
            <v>probsi</v>
          </cell>
        </row>
        <row r="1663">
          <cell r="B1663" t="b">
            <v>1</v>
          </cell>
          <cell r="E1663" t="str">
            <v>Pozon</v>
          </cell>
          <cell r="H1663" t="str">
            <v>laboratorio</v>
          </cell>
          <cell r="J1663" t="str">
            <v>bueno</v>
          </cell>
          <cell r="K1663" t="str">
            <v>probsi</v>
          </cell>
        </row>
        <row r="1664">
          <cell r="B1664" t="b">
            <v>1</v>
          </cell>
          <cell r="E1664" t="str">
            <v>Pozon</v>
          </cell>
          <cell r="H1664" t="str">
            <v>laboratorio</v>
          </cell>
          <cell r="J1664" t="str">
            <v>bueno</v>
          </cell>
          <cell r="K1664" t="str">
            <v>probsi</v>
          </cell>
        </row>
        <row r="1665">
          <cell r="B1665" t="b">
            <v>1</v>
          </cell>
          <cell r="E1665" t="str">
            <v>Pozon</v>
          </cell>
          <cell r="H1665" t="str">
            <v>laboratorio</v>
          </cell>
          <cell r="J1665" t="str">
            <v>bueno</v>
          </cell>
          <cell r="K1665" t="str">
            <v>probsi</v>
          </cell>
        </row>
        <row r="1666">
          <cell r="B1666" t="b">
            <v>1</v>
          </cell>
          <cell r="E1666" t="str">
            <v>Pozon</v>
          </cell>
          <cell r="H1666" t="str">
            <v>laboratorio</v>
          </cell>
          <cell r="J1666" t="str">
            <v>bueno</v>
          </cell>
          <cell r="K1666" t="str">
            <v>probsi</v>
          </cell>
        </row>
        <row r="1667">
          <cell r="B1667" t="b">
            <v>1</v>
          </cell>
          <cell r="E1667" t="str">
            <v>Pozon</v>
          </cell>
          <cell r="H1667" t="str">
            <v>consulta_externa</v>
          </cell>
          <cell r="J1667" t="str">
            <v>bueno</v>
          </cell>
          <cell r="K1667" t="str">
            <v>probsi</v>
          </cell>
        </row>
        <row r="1668">
          <cell r="B1668" t="b">
            <v>1</v>
          </cell>
          <cell r="E1668" t="str">
            <v>Pozon</v>
          </cell>
          <cell r="H1668" t="str">
            <v>consulta_externa</v>
          </cell>
          <cell r="J1668" t="str">
            <v>bueno</v>
          </cell>
          <cell r="K1668" t="str">
            <v>probsi</v>
          </cell>
        </row>
        <row r="1669">
          <cell r="B1669" t="b">
            <v>1</v>
          </cell>
          <cell r="E1669" t="str">
            <v>Pozon</v>
          </cell>
          <cell r="H1669" t="str">
            <v>consulta_externa</v>
          </cell>
          <cell r="J1669" t="str">
            <v>bueno</v>
          </cell>
          <cell r="K1669" t="str">
            <v>probsi</v>
          </cell>
        </row>
        <row r="1670">
          <cell r="B1670" t="b">
            <v>1</v>
          </cell>
          <cell r="E1670" t="str">
            <v>Boquilla</v>
          </cell>
          <cell r="H1670" t="str">
            <v>consulta_externa</v>
          </cell>
          <cell r="J1670" t="str">
            <v>muybueno</v>
          </cell>
          <cell r="K1670" t="str">
            <v>probsi</v>
          </cell>
        </row>
        <row r="1671">
          <cell r="B1671" t="b">
            <v>1</v>
          </cell>
          <cell r="E1671" t="str">
            <v>Boquilla</v>
          </cell>
          <cell r="H1671" t="str">
            <v>salud_oral</v>
          </cell>
          <cell r="J1671" t="str">
            <v>muybueno</v>
          </cell>
          <cell r="K1671" t="str">
            <v>probsi</v>
          </cell>
        </row>
        <row r="1672">
          <cell r="B1672" t="b">
            <v>1</v>
          </cell>
          <cell r="E1672" t="str">
            <v>Boquilla</v>
          </cell>
          <cell r="H1672" t="str">
            <v>consulta_externa</v>
          </cell>
          <cell r="J1672" t="str">
            <v>bueno</v>
          </cell>
          <cell r="K1672" t="str">
            <v>probsi</v>
          </cell>
        </row>
        <row r="1673">
          <cell r="B1673" t="b">
            <v>0</v>
          </cell>
          <cell r="E1673" t="str">
            <v>Boquilla</v>
          </cell>
          <cell r="H1673" t="str">
            <v>laboratorio</v>
          </cell>
          <cell r="J1673" t="str">
            <v>regular</v>
          </cell>
          <cell r="K1673" t="str">
            <v>probsi</v>
          </cell>
        </row>
        <row r="1674">
          <cell r="B1674" t="b">
            <v>0</v>
          </cell>
          <cell r="E1674" t="str">
            <v>Boquilla</v>
          </cell>
          <cell r="H1674" t="str">
            <v>laboratorio</v>
          </cell>
          <cell r="J1674" t="str">
            <v>regular</v>
          </cell>
          <cell r="K1674" t="str">
            <v>probsi</v>
          </cell>
        </row>
        <row r="1675">
          <cell r="B1675" t="b">
            <v>1</v>
          </cell>
          <cell r="E1675" t="str">
            <v>Santa Ana</v>
          </cell>
          <cell r="H1675" t="str">
            <v>consulta_externa</v>
          </cell>
          <cell r="J1675" t="str">
            <v>muybueno</v>
          </cell>
          <cell r="K1675" t="str">
            <v>defsi</v>
          </cell>
        </row>
        <row r="1676">
          <cell r="B1676" t="b">
            <v>1</v>
          </cell>
          <cell r="E1676" t="str">
            <v>Santa Ana</v>
          </cell>
          <cell r="H1676" t="str">
            <v>consulta_externa</v>
          </cell>
          <cell r="J1676" t="str">
            <v>muybueno</v>
          </cell>
          <cell r="K1676" t="str">
            <v>defsi</v>
          </cell>
        </row>
        <row r="1677">
          <cell r="B1677" t="b">
            <v>1</v>
          </cell>
          <cell r="E1677" t="str">
            <v>Boquilla</v>
          </cell>
          <cell r="H1677" t="str">
            <v>consulta_externa</v>
          </cell>
          <cell r="J1677" t="str">
            <v>bueno</v>
          </cell>
          <cell r="K1677" t="str">
            <v>probsi</v>
          </cell>
        </row>
        <row r="1678">
          <cell r="B1678" t="b">
            <v>0</v>
          </cell>
          <cell r="E1678" t="str">
            <v>Boquilla</v>
          </cell>
          <cell r="H1678" t="str">
            <v>urgencia</v>
          </cell>
          <cell r="J1678" t="str">
            <v>regular</v>
          </cell>
          <cell r="K1678" t="str">
            <v>probsi</v>
          </cell>
        </row>
        <row r="1679">
          <cell r="B1679" t="b">
            <v>1</v>
          </cell>
          <cell r="E1679" t="str">
            <v>Boquilla</v>
          </cell>
          <cell r="H1679" t="str">
            <v>urgencia</v>
          </cell>
          <cell r="J1679" t="str">
            <v>bueno</v>
          </cell>
          <cell r="K1679" t="str">
            <v>probsi</v>
          </cell>
        </row>
        <row r="1680">
          <cell r="B1680" t="b">
            <v>1</v>
          </cell>
          <cell r="E1680" t="str">
            <v>Santa Ana</v>
          </cell>
          <cell r="H1680" t="str">
            <v>consulta_externa</v>
          </cell>
          <cell r="J1680" t="str">
            <v>muybueno</v>
          </cell>
          <cell r="K1680" t="str">
            <v>defsi</v>
          </cell>
        </row>
        <row r="1681">
          <cell r="B1681" t="b">
            <v>1</v>
          </cell>
          <cell r="E1681" t="str">
            <v>Santa Ana</v>
          </cell>
          <cell r="H1681" t="str">
            <v>laboratorio</v>
          </cell>
          <cell r="J1681" t="str">
            <v>muybueno</v>
          </cell>
          <cell r="K1681" t="str">
            <v>defsi</v>
          </cell>
        </row>
        <row r="1682">
          <cell r="B1682" t="b">
            <v>1</v>
          </cell>
          <cell r="E1682" t="str">
            <v>Santa Ana</v>
          </cell>
          <cell r="H1682" t="str">
            <v>salud_oral</v>
          </cell>
          <cell r="J1682" t="str">
            <v>muybueno</v>
          </cell>
          <cell r="K1682" t="str">
            <v>defsi</v>
          </cell>
        </row>
        <row r="1683">
          <cell r="B1683" t="b">
            <v>1</v>
          </cell>
          <cell r="E1683" t="str">
            <v>Boquilla</v>
          </cell>
          <cell r="H1683" t="str">
            <v>salud_oral</v>
          </cell>
          <cell r="J1683" t="str">
            <v>bueno</v>
          </cell>
          <cell r="K1683" t="str">
            <v>probsi</v>
          </cell>
        </row>
        <row r="1684">
          <cell r="B1684" t="b">
            <v>1</v>
          </cell>
          <cell r="E1684" t="str">
            <v>Boquilla</v>
          </cell>
          <cell r="H1684" t="str">
            <v>laboratorio</v>
          </cell>
          <cell r="J1684" t="str">
            <v>bueno</v>
          </cell>
          <cell r="K1684" t="str">
            <v>probsi</v>
          </cell>
        </row>
        <row r="1685">
          <cell r="B1685" t="b">
            <v>1</v>
          </cell>
          <cell r="E1685" t="str">
            <v>Santa Ana</v>
          </cell>
          <cell r="H1685" t="str">
            <v>consulta_externa</v>
          </cell>
          <cell r="J1685" t="str">
            <v>muybueno</v>
          </cell>
          <cell r="K1685" t="str">
            <v>defsi</v>
          </cell>
        </row>
        <row r="1686">
          <cell r="B1686" t="b">
            <v>1</v>
          </cell>
          <cell r="E1686" t="str">
            <v>Santa Ana</v>
          </cell>
          <cell r="H1686" t="str">
            <v>laboratorio</v>
          </cell>
          <cell r="J1686" t="str">
            <v>muybueno</v>
          </cell>
          <cell r="K1686" t="str">
            <v>defsi</v>
          </cell>
        </row>
        <row r="1687">
          <cell r="B1687" t="b">
            <v>1</v>
          </cell>
          <cell r="E1687" t="str">
            <v>Boquilla</v>
          </cell>
          <cell r="H1687" t="str">
            <v>consulta_externa</v>
          </cell>
          <cell r="J1687" t="str">
            <v>bueno</v>
          </cell>
          <cell r="K1687" t="str">
            <v>probsi</v>
          </cell>
        </row>
        <row r="1688">
          <cell r="B1688" t="b">
            <v>1</v>
          </cell>
          <cell r="E1688" t="str">
            <v>Boquilla</v>
          </cell>
          <cell r="H1688" t="str">
            <v>urgencia</v>
          </cell>
          <cell r="J1688" t="str">
            <v>bueno</v>
          </cell>
          <cell r="K1688" t="str">
            <v>probsi</v>
          </cell>
        </row>
        <row r="1689">
          <cell r="B1689" t="b">
            <v>1</v>
          </cell>
          <cell r="E1689" t="str">
            <v>Los Cerros</v>
          </cell>
          <cell r="H1689" t="str">
            <v>consulta_externa</v>
          </cell>
          <cell r="J1689" t="str">
            <v>bueno</v>
          </cell>
          <cell r="K1689" t="str">
            <v>defsi</v>
          </cell>
        </row>
        <row r="1690">
          <cell r="B1690" t="b">
            <v>1</v>
          </cell>
          <cell r="E1690" t="str">
            <v>Santa Ana</v>
          </cell>
          <cell r="H1690" t="str">
            <v>consulta_externa</v>
          </cell>
          <cell r="J1690" t="str">
            <v>muybueno</v>
          </cell>
          <cell r="K1690" t="str">
            <v>defsi</v>
          </cell>
        </row>
        <row r="1691">
          <cell r="B1691" t="b">
            <v>1</v>
          </cell>
          <cell r="E1691" t="str">
            <v>Santa Ana</v>
          </cell>
          <cell r="H1691" t="str">
            <v>laboratorio</v>
          </cell>
          <cell r="J1691" t="str">
            <v>muybueno</v>
          </cell>
          <cell r="K1691" t="str">
            <v>defsi</v>
          </cell>
        </row>
        <row r="1692">
          <cell r="B1692" t="b">
            <v>1</v>
          </cell>
          <cell r="E1692" t="str">
            <v>Boquilla</v>
          </cell>
          <cell r="H1692" t="str">
            <v>consulta_externa</v>
          </cell>
          <cell r="J1692" t="str">
            <v>bueno</v>
          </cell>
          <cell r="K1692" t="str">
            <v>probsi</v>
          </cell>
        </row>
        <row r="1693">
          <cell r="B1693" t="b">
            <v>1</v>
          </cell>
          <cell r="E1693" t="str">
            <v>Los Cerros</v>
          </cell>
          <cell r="H1693" t="str">
            <v>salud_oral</v>
          </cell>
          <cell r="J1693" t="str">
            <v>bueno</v>
          </cell>
          <cell r="K1693" t="str">
            <v>defsi</v>
          </cell>
        </row>
        <row r="1694">
          <cell r="B1694" t="b">
            <v>1</v>
          </cell>
          <cell r="E1694" t="str">
            <v>Los Cerros</v>
          </cell>
          <cell r="H1694" t="str">
            <v>laboratorio</v>
          </cell>
          <cell r="J1694" t="str">
            <v>bueno</v>
          </cell>
          <cell r="K1694" t="str">
            <v>defsi</v>
          </cell>
        </row>
        <row r="1695">
          <cell r="B1695" t="b">
            <v>1</v>
          </cell>
          <cell r="E1695" t="str">
            <v>Santa Ana</v>
          </cell>
          <cell r="H1695" t="str">
            <v>consulta_externa</v>
          </cell>
          <cell r="J1695" t="str">
            <v>muybueno</v>
          </cell>
          <cell r="K1695" t="str">
            <v>defsi</v>
          </cell>
        </row>
        <row r="1696">
          <cell r="B1696" t="b">
            <v>1</v>
          </cell>
          <cell r="E1696" t="str">
            <v>Santa Ana</v>
          </cell>
          <cell r="H1696" t="str">
            <v>salud_oral</v>
          </cell>
          <cell r="J1696" t="str">
            <v>muybueno</v>
          </cell>
          <cell r="K1696" t="str">
            <v>defsi</v>
          </cell>
        </row>
        <row r="1697">
          <cell r="B1697" t="b">
            <v>1</v>
          </cell>
          <cell r="E1697" t="str">
            <v>Los Cerros</v>
          </cell>
          <cell r="H1697" t="str">
            <v>ginecologia</v>
          </cell>
          <cell r="J1697" t="str">
            <v>bueno</v>
          </cell>
          <cell r="K1697" t="str">
            <v>defsi</v>
          </cell>
        </row>
        <row r="1698">
          <cell r="B1698" t="b">
            <v>1</v>
          </cell>
          <cell r="E1698" t="str">
            <v>Los Cerros</v>
          </cell>
          <cell r="H1698" t="str">
            <v>pediatria</v>
          </cell>
          <cell r="J1698" t="str">
            <v>bueno</v>
          </cell>
          <cell r="K1698" t="str">
            <v>defsi</v>
          </cell>
        </row>
        <row r="1699">
          <cell r="B1699" t="b">
            <v>1</v>
          </cell>
          <cell r="E1699" t="str">
            <v>Los Cerros</v>
          </cell>
          <cell r="H1699" t="str">
            <v>medicina_interna</v>
          </cell>
          <cell r="J1699" t="str">
            <v>bueno</v>
          </cell>
          <cell r="K1699" t="str">
            <v>defsi</v>
          </cell>
        </row>
        <row r="1700">
          <cell r="B1700" t="b">
            <v>1</v>
          </cell>
          <cell r="E1700" t="str">
            <v>Hospital Pozon</v>
          </cell>
          <cell r="H1700" t="str">
            <v>laboratorio</v>
          </cell>
          <cell r="J1700" t="str">
            <v>bueno</v>
          </cell>
          <cell r="K1700" t="str">
            <v>probsi</v>
          </cell>
        </row>
        <row r="1701">
          <cell r="B1701" t="b">
            <v>1</v>
          </cell>
          <cell r="E1701" t="str">
            <v>Hospital Pozon</v>
          </cell>
          <cell r="H1701" t="str">
            <v>laboratorio</v>
          </cell>
          <cell r="J1701" t="str">
            <v>bueno</v>
          </cell>
          <cell r="K1701" t="str">
            <v>probsi</v>
          </cell>
        </row>
        <row r="1702">
          <cell r="B1702" t="b">
            <v>1</v>
          </cell>
          <cell r="E1702" t="str">
            <v>Hospital Pozon</v>
          </cell>
          <cell r="H1702" t="str">
            <v>laboratorio</v>
          </cell>
          <cell r="J1702" t="str">
            <v>bueno</v>
          </cell>
          <cell r="K1702" t="str">
            <v>probsi</v>
          </cell>
        </row>
        <row r="1703">
          <cell r="B1703" t="b">
            <v>1</v>
          </cell>
          <cell r="E1703" t="str">
            <v>Hospital Pozon</v>
          </cell>
          <cell r="H1703" t="str">
            <v>laboratorio</v>
          </cell>
          <cell r="J1703" t="str">
            <v>bueno</v>
          </cell>
          <cell r="K1703" t="str">
            <v>probsi</v>
          </cell>
        </row>
        <row r="1704">
          <cell r="B1704" t="b">
            <v>1</v>
          </cell>
          <cell r="E1704" t="str">
            <v>Hospital Pozon</v>
          </cell>
          <cell r="H1704" t="str">
            <v>laboratorio</v>
          </cell>
          <cell r="J1704" t="str">
            <v>bueno</v>
          </cell>
          <cell r="K1704" t="str">
            <v>probsi</v>
          </cell>
        </row>
        <row r="1705">
          <cell r="B1705" t="b">
            <v>1</v>
          </cell>
          <cell r="E1705" t="str">
            <v>Hospital Pozon</v>
          </cell>
          <cell r="H1705" t="str">
            <v>laboratorio</v>
          </cell>
          <cell r="J1705" t="str">
            <v>bueno</v>
          </cell>
          <cell r="K1705" t="str">
            <v>probsi</v>
          </cell>
        </row>
        <row r="1706">
          <cell r="B1706" t="b">
            <v>0</v>
          </cell>
          <cell r="E1706" t="str">
            <v>Hospital Pozon</v>
          </cell>
          <cell r="H1706" t="str">
            <v>urgencia</v>
          </cell>
          <cell r="J1706" t="str">
            <v>regular</v>
          </cell>
          <cell r="K1706" t="str">
            <v>probno</v>
          </cell>
        </row>
        <row r="1707">
          <cell r="B1707" t="b">
            <v>0</v>
          </cell>
          <cell r="E1707" t="str">
            <v>Hospital Pozon</v>
          </cell>
          <cell r="H1707" t="str">
            <v>urgencia</v>
          </cell>
          <cell r="J1707" t="str">
            <v>regular</v>
          </cell>
          <cell r="K1707" t="str">
            <v>probsi</v>
          </cell>
        </row>
        <row r="1708">
          <cell r="B1708" t="b">
            <v>1</v>
          </cell>
          <cell r="E1708" t="str">
            <v>Boquilla</v>
          </cell>
          <cell r="H1708" t="str">
            <v>consulta_externa</v>
          </cell>
          <cell r="J1708" t="str">
            <v>muybueno</v>
          </cell>
          <cell r="K1708" t="str">
            <v>probsi</v>
          </cell>
        </row>
        <row r="1709">
          <cell r="B1709" t="b">
            <v>1</v>
          </cell>
          <cell r="E1709" t="str">
            <v>Los Cerros</v>
          </cell>
          <cell r="H1709" t="str">
            <v>consulta_externa</v>
          </cell>
          <cell r="J1709" t="str">
            <v>bueno</v>
          </cell>
          <cell r="K1709" t="str">
            <v>defsi</v>
          </cell>
        </row>
        <row r="1710">
          <cell r="B1710" t="b">
            <v>1</v>
          </cell>
          <cell r="E1710" t="str">
            <v>Hospital Pozon</v>
          </cell>
          <cell r="H1710" t="str">
            <v>urgencia</v>
          </cell>
          <cell r="J1710" t="str">
            <v>bueno</v>
          </cell>
          <cell r="K1710" t="str">
            <v>probsi</v>
          </cell>
        </row>
        <row r="1711">
          <cell r="B1711" t="b">
            <v>1</v>
          </cell>
          <cell r="E1711" t="str">
            <v>Hospital Pozon</v>
          </cell>
          <cell r="H1711" t="str">
            <v>urgencia</v>
          </cell>
          <cell r="J1711" t="str">
            <v>bueno</v>
          </cell>
          <cell r="K1711" t="str">
            <v>probsi</v>
          </cell>
        </row>
        <row r="1712">
          <cell r="B1712" t="b">
            <v>0</v>
          </cell>
          <cell r="E1712" t="str">
            <v>Hospital Pozon</v>
          </cell>
          <cell r="H1712" t="str">
            <v>urgencia</v>
          </cell>
          <cell r="J1712" t="str">
            <v>regular</v>
          </cell>
          <cell r="K1712" t="str">
            <v>probsi</v>
          </cell>
        </row>
        <row r="1713">
          <cell r="B1713" t="b">
            <v>0</v>
          </cell>
          <cell r="E1713" t="str">
            <v>Hospital Pozon</v>
          </cell>
          <cell r="H1713" t="str">
            <v>urgencia</v>
          </cell>
          <cell r="J1713" t="str">
            <v>regular</v>
          </cell>
          <cell r="K1713" t="str">
            <v>probsi</v>
          </cell>
        </row>
        <row r="1714">
          <cell r="B1714" t="b">
            <v>1</v>
          </cell>
          <cell r="E1714" t="str">
            <v>Hospital Pozon</v>
          </cell>
          <cell r="H1714" t="str">
            <v>urgencia</v>
          </cell>
          <cell r="J1714" t="str">
            <v>bueno</v>
          </cell>
          <cell r="K1714" t="str">
            <v>probsi</v>
          </cell>
        </row>
        <row r="1715">
          <cell r="B1715" t="b">
            <v>0</v>
          </cell>
          <cell r="E1715" t="str">
            <v>Boquilla</v>
          </cell>
          <cell r="H1715" t="str">
            <v>urgencia</v>
          </cell>
          <cell r="J1715" t="str">
            <v>malo</v>
          </cell>
          <cell r="K1715" t="str">
            <v>probno</v>
          </cell>
        </row>
        <row r="1716">
          <cell r="B1716" t="b">
            <v>1</v>
          </cell>
          <cell r="E1716" t="str">
            <v>Hospital Pozon</v>
          </cell>
          <cell r="H1716" t="str">
            <v>medicina_interna</v>
          </cell>
          <cell r="J1716" t="str">
            <v>bueno</v>
          </cell>
          <cell r="K1716" t="str">
            <v>probsi</v>
          </cell>
        </row>
        <row r="1717">
          <cell r="B1717" t="b">
            <v>1</v>
          </cell>
          <cell r="E1717" t="str">
            <v>Hospital Pozon</v>
          </cell>
          <cell r="H1717" t="str">
            <v>medicina_interna</v>
          </cell>
          <cell r="J1717" t="str">
            <v>bueno</v>
          </cell>
          <cell r="K1717" t="str">
            <v>probsi</v>
          </cell>
        </row>
        <row r="1718">
          <cell r="B1718" t="b">
            <v>1</v>
          </cell>
          <cell r="E1718" t="str">
            <v>Hospital Pozon</v>
          </cell>
          <cell r="H1718" t="str">
            <v>medicina_interna</v>
          </cell>
          <cell r="J1718" t="str">
            <v>bueno</v>
          </cell>
          <cell r="K1718" t="str">
            <v>probsi</v>
          </cell>
        </row>
        <row r="1719">
          <cell r="B1719" t="b">
            <v>1</v>
          </cell>
          <cell r="E1719" t="str">
            <v>Hospital Pozon</v>
          </cell>
          <cell r="H1719" t="str">
            <v>medicina_interna</v>
          </cell>
          <cell r="J1719" t="str">
            <v>bueno</v>
          </cell>
          <cell r="K1719" t="str">
            <v>probsi</v>
          </cell>
        </row>
        <row r="1720">
          <cell r="B1720" t="b">
            <v>1</v>
          </cell>
          <cell r="E1720" t="str">
            <v>Hospital Pozon</v>
          </cell>
          <cell r="H1720" t="str">
            <v>ginecologia</v>
          </cell>
          <cell r="J1720" t="str">
            <v>bueno</v>
          </cell>
          <cell r="K1720" t="str">
            <v>probsi</v>
          </cell>
        </row>
        <row r="1721">
          <cell r="B1721" t="b">
            <v>1</v>
          </cell>
          <cell r="E1721" t="str">
            <v>Santa Ana</v>
          </cell>
          <cell r="H1721" t="str">
            <v>consulta_externa</v>
          </cell>
          <cell r="J1721" t="str">
            <v>muybueno</v>
          </cell>
          <cell r="K1721" t="str">
            <v>defsi</v>
          </cell>
        </row>
        <row r="1722">
          <cell r="B1722" t="b">
            <v>1</v>
          </cell>
          <cell r="E1722" t="str">
            <v>Hospital Pozon</v>
          </cell>
          <cell r="H1722" t="str">
            <v>ginecologia</v>
          </cell>
          <cell r="J1722" t="str">
            <v>bueno</v>
          </cell>
          <cell r="K1722" t="str">
            <v>probsi</v>
          </cell>
        </row>
        <row r="1723">
          <cell r="B1723" t="b">
            <v>1</v>
          </cell>
          <cell r="E1723" t="str">
            <v>Hospital Pozon</v>
          </cell>
          <cell r="H1723" t="str">
            <v>ginecologia</v>
          </cell>
          <cell r="J1723" t="str">
            <v>bueno</v>
          </cell>
          <cell r="K1723" t="str">
            <v>probsi</v>
          </cell>
        </row>
        <row r="1724">
          <cell r="B1724" t="b">
            <v>1</v>
          </cell>
          <cell r="E1724" t="str">
            <v>Hospital Pozon</v>
          </cell>
          <cell r="H1724" t="str">
            <v>ginecologia</v>
          </cell>
          <cell r="J1724" t="str">
            <v>bueno</v>
          </cell>
          <cell r="K1724" t="str">
            <v>probsi</v>
          </cell>
        </row>
        <row r="1725">
          <cell r="B1725" t="b">
            <v>1</v>
          </cell>
          <cell r="E1725" t="str">
            <v>Hospital Pozon</v>
          </cell>
          <cell r="H1725" t="str">
            <v>ginecologia</v>
          </cell>
          <cell r="J1725" t="str">
            <v>bueno</v>
          </cell>
          <cell r="K1725" t="str">
            <v>probsi</v>
          </cell>
        </row>
        <row r="1726">
          <cell r="B1726" t="b">
            <v>1</v>
          </cell>
          <cell r="E1726" t="str">
            <v>Los Cerros</v>
          </cell>
          <cell r="H1726" t="str">
            <v>salud_oral</v>
          </cell>
          <cell r="J1726" t="str">
            <v>bueno</v>
          </cell>
          <cell r="K1726" t="str">
            <v>defsi</v>
          </cell>
        </row>
        <row r="1727">
          <cell r="B1727" t="b">
            <v>1</v>
          </cell>
          <cell r="E1727" t="str">
            <v>Los Cerros</v>
          </cell>
          <cell r="H1727" t="str">
            <v>laboratorio</v>
          </cell>
          <cell r="J1727" t="str">
            <v>bueno</v>
          </cell>
          <cell r="K1727" t="str">
            <v>defsi</v>
          </cell>
        </row>
        <row r="1728">
          <cell r="B1728" t="b">
            <v>1</v>
          </cell>
          <cell r="E1728" t="str">
            <v>Santa Ana</v>
          </cell>
          <cell r="H1728" t="str">
            <v>consulta_externa</v>
          </cell>
          <cell r="J1728" t="str">
            <v>muybueno</v>
          </cell>
          <cell r="K1728" t="str">
            <v>defsi</v>
          </cell>
        </row>
        <row r="1729">
          <cell r="B1729" t="b">
            <v>1</v>
          </cell>
          <cell r="E1729" t="str">
            <v>Santa Ana</v>
          </cell>
          <cell r="H1729" t="str">
            <v>laboratorio</v>
          </cell>
          <cell r="J1729" t="str">
            <v>muybueno</v>
          </cell>
          <cell r="K1729" t="str">
            <v>defsi</v>
          </cell>
        </row>
        <row r="1730">
          <cell r="B1730" t="b">
            <v>1</v>
          </cell>
          <cell r="E1730" t="str">
            <v>Los Cerros</v>
          </cell>
          <cell r="H1730" t="str">
            <v>ginecologia</v>
          </cell>
          <cell r="J1730" t="str">
            <v>bueno</v>
          </cell>
          <cell r="K1730" t="str">
            <v>defsi</v>
          </cell>
        </row>
        <row r="1731">
          <cell r="B1731" t="b">
            <v>0</v>
          </cell>
          <cell r="E1731" t="str">
            <v>Boquilla</v>
          </cell>
          <cell r="H1731" t="str">
            <v>consulta_externa</v>
          </cell>
          <cell r="J1731" t="str">
            <v>regular</v>
          </cell>
          <cell r="K1731" t="str">
            <v>probsi</v>
          </cell>
        </row>
        <row r="1732">
          <cell r="B1732" t="b">
            <v>0</v>
          </cell>
          <cell r="E1732" t="str">
            <v>Boquilla</v>
          </cell>
          <cell r="H1732" t="str">
            <v>salud_oral</v>
          </cell>
          <cell r="J1732" t="str">
            <v>regular</v>
          </cell>
          <cell r="K1732" t="str">
            <v>probsi</v>
          </cell>
        </row>
        <row r="1733">
          <cell r="B1733" t="b">
            <v>0</v>
          </cell>
          <cell r="E1733" t="str">
            <v>Boquilla</v>
          </cell>
          <cell r="H1733" t="str">
            <v>urgencia</v>
          </cell>
          <cell r="J1733" t="str">
            <v>regular</v>
          </cell>
          <cell r="K1733" t="str">
            <v>probsi</v>
          </cell>
        </row>
        <row r="1734">
          <cell r="B1734" t="b">
            <v>1</v>
          </cell>
          <cell r="E1734" t="str">
            <v>Santa Ana</v>
          </cell>
          <cell r="H1734" t="str">
            <v>salud_oral</v>
          </cell>
          <cell r="J1734" t="str">
            <v>muybueno</v>
          </cell>
          <cell r="K1734" t="str">
            <v>defsi</v>
          </cell>
        </row>
        <row r="1735">
          <cell r="B1735" t="b">
            <v>1</v>
          </cell>
          <cell r="E1735" t="str">
            <v>Santa Ana</v>
          </cell>
          <cell r="H1735" t="str">
            <v>consulta_externa</v>
          </cell>
          <cell r="J1735" t="str">
            <v>muybueno</v>
          </cell>
          <cell r="K1735" t="str">
            <v>defsi</v>
          </cell>
        </row>
        <row r="1736">
          <cell r="B1736" t="b">
            <v>1</v>
          </cell>
          <cell r="E1736" t="str">
            <v>Santa Ana</v>
          </cell>
          <cell r="H1736" t="str">
            <v>laboratorio</v>
          </cell>
          <cell r="J1736" t="str">
            <v>muybueno</v>
          </cell>
          <cell r="K1736" t="str">
            <v>defsi</v>
          </cell>
        </row>
        <row r="1737">
          <cell r="B1737" t="b">
            <v>1</v>
          </cell>
          <cell r="E1737" t="str">
            <v>Boquilla</v>
          </cell>
          <cell r="H1737" t="str">
            <v>salud_oral</v>
          </cell>
          <cell r="J1737" t="str">
            <v>bueno</v>
          </cell>
          <cell r="K1737" t="str">
            <v>probsi</v>
          </cell>
        </row>
        <row r="1738">
          <cell r="B1738" t="b">
            <v>1</v>
          </cell>
          <cell r="E1738" t="str">
            <v>Boquilla</v>
          </cell>
          <cell r="H1738" t="str">
            <v>consulta_externa</v>
          </cell>
          <cell r="J1738" t="str">
            <v>bueno</v>
          </cell>
          <cell r="K1738" t="str">
            <v>probsi</v>
          </cell>
        </row>
        <row r="1739">
          <cell r="B1739" t="b">
            <v>1</v>
          </cell>
          <cell r="E1739" t="str">
            <v>Boquilla</v>
          </cell>
          <cell r="H1739" t="str">
            <v>urgencia</v>
          </cell>
          <cell r="J1739" t="str">
            <v>bueno</v>
          </cell>
          <cell r="K1739" t="str">
            <v>probsi</v>
          </cell>
        </row>
        <row r="1740">
          <cell r="B1740" t="b">
            <v>1</v>
          </cell>
          <cell r="E1740" t="str">
            <v>Los Cerros</v>
          </cell>
          <cell r="H1740" t="str">
            <v>pediatria</v>
          </cell>
          <cell r="J1740" t="str">
            <v>bueno</v>
          </cell>
          <cell r="K1740" t="str">
            <v>defsi</v>
          </cell>
        </row>
        <row r="1741">
          <cell r="B1741" t="b">
            <v>1</v>
          </cell>
          <cell r="E1741" t="str">
            <v>Los Cerros</v>
          </cell>
          <cell r="H1741" t="str">
            <v>medicina_interna</v>
          </cell>
          <cell r="J1741" t="str">
            <v>bueno</v>
          </cell>
          <cell r="K1741" t="str">
            <v>defsi</v>
          </cell>
        </row>
        <row r="1742">
          <cell r="B1742" t="b">
            <v>1</v>
          </cell>
          <cell r="E1742" t="str">
            <v>Los Cerros</v>
          </cell>
          <cell r="H1742" t="str">
            <v>consulta_externa</v>
          </cell>
          <cell r="J1742" t="str">
            <v>bueno</v>
          </cell>
          <cell r="K1742" t="str">
            <v>defsi</v>
          </cell>
        </row>
        <row r="1743">
          <cell r="B1743" t="b">
            <v>0</v>
          </cell>
          <cell r="E1743" t="str">
            <v>Boquilla</v>
          </cell>
          <cell r="H1743" t="str">
            <v>urgencia</v>
          </cell>
          <cell r="J1743" t="str">
            <v>malo</v>
          </cell>
          <cell r="K1743" t="str">
            <v>probno</v>
          </cell>
        </row>
        <row r="1744">
          <cell r="B1744" t="b">
            <v>1</v>
          </cell>
          <cell r="E1744" t="str">
            <v>Boquilla</v>
          </cell>
          <cell r="H1744" t="str">
            <v>urgencia</v>
          </cell>
          <cell r="J1744" t="str">
            <v>bueno</v>
          </cell>
          <cell r="K1744" t="str">
            <v>probsi</v>
          </cell>
        </row>
        <row r="1745">
          <cell r="B1745" t="b">
            <v>1</v>
          </cell>
          <cell r="E1745" t="str">
            <v>Los Cerros</v>
          </cell>
          <cell r="H1745" t="str">
            <v>salud_oral</v>
          </cell>
          <cell r="J1745" t="str">
            <v>bueno</v>
          </cell>
          <cell r="K1745" t="str">
            <v>defsi</v>
          </cell>
        </row>
        <row r="1746">
          <cell r="B1746" t="b">
            <v>1</v>
          </cell>
          <cell r="E1746" t="str">
            <v>Los Cerros</v>
          </cell>
          <cell r="H1746" t="str">
            <v>laboratorio</v>
          </cell>
          <cell r="J1746" t="str">
            <v>bueno</v>
          </cell>
          <cell r="K1746" t="str">
            <v>defsi</v>
          </cell>
        </row>
        <row r="1747">
          <cell r="B1747" t="b">
            <v>1</v>
          </cell>
          <cell r="E1747" t="str">
            <v>Los Cerros</v>
          </cell>
          <cell r="H1747" t="str">
            <v>ginecologia</v>
          </cell>
          <cell r="J1747" t="str">
            <v>bueno</v>
          </cell>
          <cell r="K1747" t="str">
            <v>defsi</v>
          </cell>
        </row>
        <row r="1748">
          <cell r="B1748" t="b">
            <v>1</v>
          </cell>
          <cell r="E1748" t="str">
            <v>Los Cerros</v>
          </cell>
          <cell r="H1748" t="str">
            <v>pediatria</v>
          </cell>
          <cell r="J1748" t="str">
            <v>bueno</v>
          </cell>
          <cell r="K1748" t="str">
            <v>defsi</v>
          </cell>
        </row>
        <row r="1749">
          <cell r="B1749" t="b">
            <v>1</v>
          </cell>
          <cell r="E1749" t="str">
            <v>Los Cerros</v>
          </cell>
          <cell r="H1749" t="str">
            <v>medicina_interna</v>
          </cell>
          <cell r="J1749" t="str">
            <v>bueno</v>
          </cell>
          <cell r="K1749" t="str">
            <v>defsi</v>
          </cell>
        </row>
        <row r="1750">
          <cell r="B1750" t="b">
            <v>1</v>
          </cell>
          <cell r="E1750" t="str">
            <v>Boquilla</v>
          </cell>
          <cell r="H1750" t="str">
            <v>laboratorio</v>
          </cell>
          <cell r="J1750" t="str">
            <v>bueno</v>
          </cell>
          <cell r="K1750" t="str">
            <v>probsi</v>
          </cell>
        </row>
        <row r="1751">
          <cell r="B1751" t="b">
            <v>1</v>
          </cell>
          <cell r="E1751" t="str">
            <v>Boquilla</v>
          </cell>
          <cell r="H1751" t="str">
            <v>laboratorio</v>
          </cell>
          <cell r="J1751" t="str">
            <v>bueno</v>
          </cell>
          <cell r="K1751" t="str">
            <v>probsi</v>
          </cell>
        </row>
        <row r="1752">
          <cell r="B1752" t="b">
            <v>1</v>
          </cell>
          <cell r="E1752" t="str">
            <v>Boquilla</v>
          </cell>
          <cell r="H1752" t="str">
            <v>laboratorio</v>
          </cell>
          <cell r="J1752" t="str">
            <v>bueno</v>
          </cell>
          <cell r="K1752" t="str">
            <v>probsi</v>
          </cell>
        </row>
        <row r="1753">
          <cell r="B1753" t="b">
            <v>1</v>
          </cell>
          <cell r="E1753" t="str">
            <v>Boquilla</v>
          </cell>
          <cell r="H1753" t="str">
            <v>laboratorio</v>
          </cell>
          <cell r="J1753" t="str">
            <v>bueno</v>
          </cell>
          <cell r="K1753" t="str">
            <v>probsi</v>
          </cell>
        </row>
        <row r="1754">
          <cell r="B1754" t="b">
            <v>1</v>
          </cell>
          <cell r="E1754" t="str">
            <v>Los Cerros</v>
          </cell>
          <cell r="H1754" t="str">
            <v>consulta_externa</v>
          </cell>
          <cell r="J1754" t="str">
            <v>bueno</v>
          </cell>
          <cell r="K1754" t="str">
            <v>defsi</v>
          </cell>
        </row>
        <row r="1755">
          <cell r="B1755" t="b">
            <v>1</v>
          </cell>
          <cell r="E1755" t="str">
            <v>Los Cerros</v>
          </cell>
          <cell r="H1755" t="str">
            <v>salud_oral</v>
          </cell>
          <cell r="J1755" t="str">
            <v>bueno</v>
          </cell>
          <cell r="K1755" t="str">
            <v>defsi</v>
          </cell>
        </row>
        <row r="1756">
          <cell r="B1756" t="b">
            <v>1</v>
          </cell>
          <cell r="E1756" t="str">
            <v>Boquilla</v>
          </cell>
          <cell r="H1756" t="str">
            <v>ecografias</v>
          </cell>
          <cell r="J1756" t="str">
            <v>bueno</v>
          </cell>
          <cell r="K1756" t="str">
            <v>probsi</v>
          </cell>
        </row>
        <row r="1757">
          <cell r="B1757" t="b">
            <v>1</v>
          </cell>
          <cell r="E1757" t="str">
            <v>Boquilla</v>
          </cell>
          <cell r="H1757" t="str">
            <v>ecografias</v>
          </cell>
          <cell r="J1757" t="str">
            <v>bueno</v>
          </cell>
          <cell r="K1757" t="str">
            <v>probsi</v>
          </cell>
        </row>
        <row r="1758">
          <cell r="B1758" t="b">
            <v>1</v>
          </cell>
          <cell r="E1758" t="str">
            <v>Los Cerros</v>
          </cell>
          <cell r="H1758" t="str">
            <v>laboratorio</v>
          </cell>
          <cell r="J1758" t="str">
            <v>bueno</v>
          </cell>
          <cell r="K1758" t="str">
            <v>defsi</v>
          </cell>
        </row>
        <row r="1759">
          <cell r="B1759" t="b">
            <v>1</v>
          </cell>
          <cell r="E1759" t="str">
            <v>Los Cerros</v>
          </cell>
          <cell r="H1759" t="str">
            <v>ginecologia</v>
          </cell>
          <cell r="J1759" t="str">
            <v>bueno</v>
          </cell>
          <cell r="K1759" t="str">
            <v>defsi</v>
          </cell>
        </row>
        <row r="1760">
          <cell r="B1760" t="b">
            <v>1</v>
          </cell>
          <cell r="E1760" t="str">
            <v>Los Cerros</v>
          </cell>
          <cell r="H1760" t="str">
            <v>pediatria</v>
          </cell>
          <cell r="J1760" t="str">
            <v>bueno</v>
          </cell>
          <cell r="K1760" t="str">
            <v>defsi</v>
          </cell>
        </row>
        <row r="1761">
          <cell r="B1761" t="b">
            <v>1</v>
          </cell>
          <cell r="E1761" t="str">
            <v>Manzanillo</v>
          </cell>
          <cell r="H1761" t="str">
            <v>laboratorio</v>
          </cell>
          <cell r="J1761" t="str">
            <v>bueno</v>
          </cell>
          <cell r="K1761" t="str">
            <v>probsi</v>
          </cell>
        </row>
        <row r="1762">
          <cell r="B1762" t="b">
            <v>1</v>
          </cell>
          <cell r="E1762" t="str">
            <v>Los Cerros</v>
          </cell>
          <cell r="H1762" t="str">
            <v>medicina_interna</v>
          </cell>
          <cell r="J1762" t="str">
            <v>bueno</v>
          </cell>
          <cell r="K1762" t="str">
            <v>defsi</v>
          </cell>
        </row>
        <row r="1763">
          <cell r="B1763" t="b">
            <v>1</v>
          </cell>
          <cell r="E1763" t="str">
            <v>Manzanillo</v>
          </cell>
          <cell r="H1763" t="str">
            <v>laboratorio</v>
          </cell>
          <cell r="J1763" t="str">
            <v>bueno</v>
          </cell>
          <cell r="K1763" t="str">
            <v>probsi</v>
          </cell>
        </row>
        <row r="1764">
          <cell r="B1764" t="b">
            <v>1</v>
          </cell>
          <cell r="E1764" t="str">
            <v>Manzanillo</v>
          </cell>
          <cell r="H1764" t="str">
            <v>laboratorio</v>
          </cell>
          <cell r="J1764" t="str">
            <v>bueno</v>
          </cell>
          <cell r="K1764" t="str">
            <v>probsi</v>
          </cell>
        </row>
        <row r="1765">
          <cell r="B1765" t="b">
            <v>1</v>
          </cell>
          <cell r="E1765" t="str">
            <v>Manzanillo</v>
          </cell>
          <cell r="H1765" t="str">
            <v>consulta_externa</v>
          </cell>
          <cell r="J1765" t="str">
            <v>bueno</v>
          </cell>
          <cell r="K1765" t="str">
            <v>probsi</v>
          </cell>
        </row>
        <row r="1766">
          <cell r="B1766" t="b">
            <v>1</v>
          </cell>
          <cell r="E1766" t="str">
            <v>Los Cerros</v>
          </cell>
          <cell r="H1766" t="str">
            <v>consulta_externa</v>
          </cell>
          <cell r="J1766" t="str">
            <v>bueno</v>
          </cell>
          <cell r="K1766" t="str">
            <v>defsi</v>
          </cell>
        </row>
        <row r="1767">
          <cell r="B1767" t="b">
            <v>1</v>
          </cell>
          <cell r="E1767" t="str">
            <v>Manzanillo</v>
          </cell>
          <cell r="H1767" t="str">
            <v>consulta_externa</v>
          </cell>
          <cell r="J1767" t="str">
            <v>bueno</v>
          </cell>
          <cell r="K1767" t="str">
            <v>probsi</v>
          </cell>
        </row>
        <row r="1768">
          <cell r="B1768" t="b">
            <v>1</v>
          </cell>
          <cell r="E1768" t="str">
            <v>Manzanillo</v>
          </cell>
          <cell r="H1768" t="str">
            <v>salud_oral</v>
          </cell>
          <cell r="J1768" t="str">
            <v>bueno</v>
          </cell>
          <cell r="K1768" t="str">
            <v>probsi</v>
          </cell>
        </row>
        <row r="1769">
          <cell r="B1769" t="b">
            <v>1</v>
          </cell>
          <cell r="E1769" t="str">
            <v>Los Cerros</v>
          </cell>
          <cell r="H1769" t="str">
            <v>salud_oral</v>
          </cell>
          <cell r="J1769" t="str">
            <v>bueno</v>
          </cell>
          <cell r="K1769" t="str">
            <v>defsi</v>
          </cell>
        </row>
        <row r="1770">
          <cell r="B1770" t="b">
            <v>1</v>
          </cell>
          <cell r="E1770" t="str">
            <v>Manzanillo</v>
          </cell>
          <cell r="H1770" t="str">
            <v>salud_oral</v>
          </cell>
          <cell r="J1770" t="str">
            <v>bueno</v>
          </cell>
          <cell r="K1770" t="str">
            <v>probsi</v>
          </cell>
        </row>
        <row r="1771">
          <cell r="B1771" t="b">
            <v>1</v>
          </cell>
          <cell r="E1771" t="str">
            <v>Manzanillo</v>
          </cell>
          <cell r="H1771" t="str">
            <v>salud_oral</v>
          </cell>
          <cell r="J1771" t="str">
            <v>bueno</v>
          </cell>
          <cell r="K1771" t="str">
            <v>probsi</v>
          </cell>
        </row>
        <row r="1772">
          <cell r="B1772" t="b">
            <v>1</v>
          </cell>
          <cell r="E1772" t="str">
            <v>Los Cerros</v>
          </cell>
          <cell r="H1772" t="str">
            <v>laboratorio</v>
          </cell>
          <cell r="J1772" t="str">
            <v>bueno</v>
          </cell>
          <cell r="K1772" t="str">
            <v>defsi</v>
          </cell>
        </row>
        <row r="1773">
          <cell r="B1773" t="b">
            <v>1</v>
          </cell>
          <cell r="E1773" t="str">
            <v>Manzanillo</v>
          </cell>
          <cell r="H1773" t="str">
            <v>consulta_externa</v>
          </cell>
          <cell r="J1773" t="str">
            <v>bueno</v>
          </cell>
          <cell r="K1773" t="str">
            <v>probsi</v>
          </cell>
        </row>
        <row r="1774">
          <cell r="B1774" t="b">
            <v>1</v>
          </cell>
          <cell r="E1774" t="str">
            <v>Manzanillo</v>
          </cell>
          <cell r="H1774" t="str">
            <v>consulta_externa</v>
          </cell>
          <cell r="J1774" t="str">
            <v>bueno</v>
          </cell>
          <cell r="K1774" t="str">
            <v>probsi</v>
          </cell>
        </row>
        <row r="1775">
          <cell r="B1775" t="b">
            <v>1</v>
          </cell>
          <cell r="E1775" t="str">
            <v>Los Cerros</v>
          </cell>
          <cell r="H1775" t="str">
            <v>ginecologia</v>
          </cell>
          <cell r="J1775" t="str">
            <v>bueno</v>
          </cell>
          <cell r="K1775" t="str">
            <v>defsi</v>
          </cell>
        </row>
        <row r="1776">
          <cell r="B1776" t="b">
            <v>1</v>
          </cell>
          <cell r="E1776" t="str">
            <v>Los Cerros</v>
          </cell>
          <cell r="H1776" t="str">
            <v>pediatria</v>
          </cell>
          <cell r="J1776" t="str">
            <v>bueno</v>
          </cell>
          <cell r="K1776" t="str">
            <v>defsi</v>
          </cell>
        </row>
        <row r="1777">
          <cell r="B1777" t="b">
            <v>1</v>
          </cell>
          <cell r="E1777" t="str">
            <v>Manzanillo</v>
          </cell>
          <cell r="H1777" t="str">
            <v>consulta_externa</v>
          </cell>
          <cell r="J1777" t="str">
            <v>bueno</v>
          </cell>
          <cell r="K1777" t="str">
            <v>probsi</v>
          </cell>
        </row>
        <row r="1778">
          <cell r="B1778" t="b">
            <v>1</v>
          </cell>
          <cell r="E1778" t="str">
            <v>Manzanillo</v>
          </cell>
          <cell r="H1778" t="str">
            <v>salud_oral</v>
          </cell>
          <cell r="J1778" t="str">
            <v>bueno</v>
          </cell>
          <cell r="K1778" t="str">
            <v>probsi</v>
          </cell>
        </row>
        <row r="1779">
          <cell r="B1779" t="b">
            <v>1</v>
          </cell>
          <cell r="E1779" t="str">
            <v>Los Cerros</v>
          </cell>
          <cell r="H1779" t="str">
            <v>medicina_interna</v>
          </cell>
          <cell r="J1779" t="str">
            <v>bueno</v>
          </cell>
          <cell r="K1779" t="str">
            <v>defsi</v>
          </cell>
        </row>
        <row r="1780">
          <cell r="B1780" t="b">
            <v>1</v>
          </cell>
          <cell r="E1780" t="str">
            <v>Manzanillo</v>
          </cell>
          <cell r="H1780" t="str">
            <v>salud_oral</v>
          </cell>
          <cell r="J1780" t="str">
            <v>bueno</v>
          </cell>
          <cell r="K1780" t="str">
            <v>probsi</v>
          </cell>
        </row>
        <row r="1781">
          <cell r="B1781" t="b">
            <v>1</v>
          </cell>
          <cell r="E1781" t="str">
            <v>Los Cerros</v>
          </cell>
          <cell r="H1781" t="str">
            <v>consulta_externa</v>
          </cell>
          <cell r="J1781" t="str">
            <v>bueno</v>
          </cell>
          <cell r="K1781" t="str">
            <v>defsi</v>
          </cell>
        </row>
        <row r="1782">
          <cell r="B1782" t="b">
            <v>1</v>
          </cell>
          <cell r="E1782" t="str">
            <v>Los Cerros</v>
          </cell>
          <cell r="H1782" t="str">
            <v>salud_oral</v>
          </cell>
          <cell r="J1782" t="str">
            <v>bueno</v>
          </cell>
          <cell r="K1782" t="str">
            <v>defsi</v>
          </cell>
        </row>
        <row r="1783">
          <cell r="B1783" t="b">
            <v>1</v>
          </cell>
          <cell r="E1783" t="str">
            <v>Los Cerros</v>
          </cell>
          <cell r="H1783" t="str">
            <v>laboratorio</v>
          </cell>
          <cell r="J1783" t="str">
            <v>bueno</v>
          </cell>
          <cell r="K1783" t="str">
            <v>defsi</v>
          </cell>
        </row>
        <row r="1784">
          <cell r="B1784" t="b">
            <v>1</v>
          </cell>
          <cell r="E1784" t="str">
            <v>Los Cerros</v>
          </cell>
          <cell r="H1784" t="str">
            <v>ginecologia</v>
          </cell>
          <cell r="J1784" t="str">
            <v>bueno</v>
          </cell>
          <cell r="K1784" t="str">
            <v>defsi</v>
          </cell>
        </row>
        <row r="1785">
          <cell r="B1785" t="b">
            <v>1</v>
          </cell>
          <cell r="E1785" t="str">
            <v>Los Cerros</v>
          </cell>
          <cell r="H1785" t="str">
            <v>pediatria</v>
          </cell>
          <cell r="J1785" t="str">
            <v>bueno</v>
          </cell>
          <cell r="K1785" t="str">
            <v>defsi</v>
          </cell>
        </row>
        <row r="1786">
          <cell r="B1786" t="b">
            <v>1</v>
          </cell>
          <cell r="E1786" t="str">
            <v>Los Cerros</v>
          </cell>
          <cell r="H1786" t="str">
            <v>medicina_interna</v>
          </cell>
          <cell r="J1786" t="str">
            <v>bueno</v>
          </cell>
          <cell r="K1786" t="str">
            <v>defsi</v>
          </cell>
        </row>
        <row r="1787">
          <cell r="B1787" t="b">
            <v>1</v>
          </cell>
          <cell r="E1787" t="str">
            <v>Los Cerros</v>
          </cell>
          <cell r="H1787" t="str">
            <v>consulta_externa</v>
          </cell>
          <cell r="J1787" t="str">
            <v>bueno</v>
          </cell>
          <cell r="K1787" t="str">
            <v>defsi</v>
          </cell>
        </row>
        <row r="1788">
          <cell r="B1788" t="b">
            <v>1</v>
          </cell>
          <cell r="E1788" t="str">
            <v>Los Cerros</v>
          </cell>
          <cell r="H1788" t="str">
            <v>salud_oral</v>
          </cell>
          <cell r="J1788" t="str">
            <v>bueno</v>
          </cell>
          <cell r="K1788" t="str">
            <v>defsi</v>
          </cell>
        </row>
        <row r="1789">
          <cell r="B1789" t="b">
            <v>1</v>
          </cell>
          <cell r="E1789" t="str">
            <v>Los Cerros</v>
          </cell>
          <cell r="H1789" t="str">
            <v>laboratorio</v>
          </cell>
          <cell r="J1789" t="str">
            <v>bueno</v>
          </cell>
          <cell r="K1789" t="str">
            <v>defsi</v>
          </cell>
        </row>
        <row r="1790">
          <cell r="B1790" t="b">
            <v>1</v>
          </cell>
          <cell r="E1790" t="str">
            <v>Los Cerros</v>
          </cell>
          <cell r="H1790" t="str">
            <v>ginecologia</v>
          </cell>
          <cell r="J1790" t="str">
            <v>bueno</v>
          </cell>
          <cell r="K1790" t="str">
            <v>defsi</v>
          </cell>
        </row>
        <row r="1791">
          <cell r="B1791" t="b">
            <v>1</v>
          </cell>
          <cell r="E1791" t="str">
            <v>Los Cerros</v>
          </cell>
          <cell r="H1791" t="str">
            <v>pediatria</v>
          </cell>
          <cell r="J1791" t="str">
            <v>bueno</v>
          </cell>
          <cell r="K1791" t="str">
            <v>defsi</v>
          </cell>
        </row>
        <row r="1792">
          <cell r="B1792" t="b">
            <v>1</v>
          </cell>
          <cell r="E1792" t="str">
            <v>Los Cerros</v>
          </cell>
          <cell r="H1792" t="str">
            <v>medicina_interna</v>
          </cell>
          <cell r="J1792" t="str">
            <v>bueno</v>
          </cell>
          <cell r="K1792" t="str">
            <v>defsi</v>
          </cell>
        </row>
        <row r="1793">
          <cell r="B1793" t="b">
            <v>1</v>
          </cell>
          <cell r="E1793" t="str">
            <v>Los Cerros</v>
          </cell>
          <cell r="H1793" t="str">
            <v>consulta_externa</v>
          </cell>
          <cell r="J1793" t="str">
            <v>bueno</v>
          </cell>
          <cell r="K1793" t="str">
            <v>defsi</v>
          </cell>
        </row>
        <row r="1794">
          <cell r="B1794" t="b">
            <v>1</v>
          </cell>
          <cell r="E1794" t="str">
            <v>Los Cerros</v>
          </cell>
          <cell r="H1794" t="str">
            <v>salud_oral</v>
          </cell>
          <cell r="J1794" t="str">
            <v>bueno</v>
          </cell>
          <cell r="K1794" t="str">
            <v>defsi</v>
          </cell>
        </row>
        <row r="1795">
          <cell r="B1795" t="b">
            <v>1</v>
          </cell>
          <cell r="E1795" t="str">
            <v>Los Cerros</v>
          </cell>
          <cell r="H1795" t="str">
            <v>laboratorio</v>
          </cell>
          <cell r="J1795" t="str">
            <v>bueno</v>
          </cell>
          <cell r="K1795" t="str">
            <v>defsi</v>
          </cell>
        </row>
        <row r="1796">
          <cell r="B1796" t="b">
            <v>1</v>
          </cell>
          <cell r="E1796" t="str">
            <v>Los Cerros</v>
          </cell>
          <cell r="H1796" t="str">
            <v>ginecologia</v>
          </cell>
          <cell r="J1796" t="str">
            <v>bueno</v>
          </cell>
          <cell r="K1796" t="str">
            <v>defsi</v>
          </cell>
        </row>
        <row r="1797">
          <cell r="B1797" t="b">
            <v>1</v>
          </cell>
          <cell r="E1797" t="str">
            <v>Los Cerros</v>
          </cell>
          <cell r="H1797" t="str">
            <v>pediatria</v>
          </cell>
          <cell r="J1797" t="str">
            <v>bueno</v>
          </cell>
          <cell r="K1797" t="str">
            <v>defsi</v>
          </cell>
        </row>
        <row r="1798">
          <cell r="B1798" t="b">
            <v>1</v>
          </cell>
          <cell r="E1798" t="str">
            <v>Los Cerros</v>
          </cell>
          <cell r="H1798" t="str">
            <v>medicina_interna</v>
          </cell>
          <cell r="J1798" t="str">
            <v>bueno</v>
          </cell>
          <cell r="K1798" t="str">
            <v>defsi</v>
          </cell>
        </row>
        <row r="1799">
          <cell r="B1799" t="b">
            <v>1</v>
          </cell>
          <cell r="E1799" t="str">
            <v>Los Cerros</v>
          </cell>
          <cell r="H1799" t="str">
            <v>consulta_externa</v>
          </cell>
          <cell r="J1799" t="str">
            <v>bueno</v>
          </cell>
          <cell r="K1799" t="str">
            <v>defsi</v>
          </cell>
        </row>
        <row r="1800">
          <cell r="B1800" t="b">
            <v>1</v>
          </cell>
          <cell r="E1800" t="str">
            <v>Los Cerros</v>
          </cell>
          <cell r="H1800" t="str">
            <v>salud_oral</v>
          </cell>
          <cell r="J1800" t="str">
            <v>bueno</v>
          </cell>
          <cell r="K1800" t="str">
            <v>defsi</v>
          </cell>
        </row>
        <row r="1801">
          <cell r="B1801" t="b">
            <v>1</v>
          </cell>
          <cell r="E1801" t="str">
            <v>Los Cerros</v>
          </cell>
          <cell r="H1801" t="str">
            <v>laboratorio</v>
          </cell>
          <cell r="J1801" t="str">
            <v>bueno</v>
          </cell>
          <cell r="K1801" t="str">
            <v>defsi</v>
          </cell>
        </row>
        <row r="1802">
          <cell r="B1802" t="b">
            <v>1</v>
          </cell>
          <cell r="E1802" t="str">
            <v>Los Cerros</v>
          </cell>
          <cell r="H1802" t="str">
            <v>ginecologia</v>
          </cell>
          <cell r="J1802" t="str">
            <v>bueno</v>
          </cell>
          <cell r="K1802" t="str">
            <v>defsi</v>
          </cell>
        </row>
        <row r="1803">
          <cell r="B1803" t="b">
            <v>1</v>
          </cell>
          <cell r="E1803" t="str">
            <v>Los Cerros</v>
          </cell>
          <cell r="H1803" t="str">
            <v>pediatria</v>
          </cell>
          <cell r="J1803" t="str">
            <v>bueno</v>
          </cell>
          <cell r="K1803" t="str">
            <v>defsi</v>
          </cell>
        </row>
        <row r="1804">
          <cell r="B1804" t="b">
            <v>1</v>
          </cell>
          <cell r="E1804" t="str">
            <v>Los Cerros</v>
          </cell>
          <cell r="H1804" t="str">
            <v>medicina_interna</v>
          </cell>
          <cell r="J1804" t="str">
            <v>bueno</v>
          </cell>
          <cell r="K1804" t="str">
            <v>defsi</v>
          </cell>
        </row>
        <row r="1805">
          <cell r="B1805" t="b">
            <v>1</v>
          </cell>
          <cell r="E1805" t="str">
            <v>Los Cerros</v>
          </cell>
          <cell r="H1805" t="str">
            <v>consulta_externa</v>
          </cell>
          <cell r="J1805" t="str">
            <v>bueno</v>
          </cell>
          <cell r="K1805" t="str">
            <v>defsi</v>
          </cell>
        </row>
        <row r="1806">
          <cell r="B1806" t="b">
            <v>1</v>
          </cell>
          <cell r="E1806" t="str">
            <v>Los Cerros</v>
          </cell>
          <cell r="H1806" t="str">
            <v>salud_oral</v>
          </cell>
          <cell r="J1806" t="str">
            <v>bueno</v>
          </cell>
          <cell r="K1806" t="str">
            <v>defsi</v>
          </cell>
        </row>
        <row r="1807">
          <cell r="B1807" t="b">
            <v>1</v>
          </cell>
          <cell r="E1807" t="str">
            <v>Los Cerros</v>
          </cell>
          <cell r="H1807" t="str">
            <v>laboratorio</v>
          </cell>
          <cell r="J1807" t="str">
            <v>bueno</v>
          </cell>
          <cell r="K1807" t="str">
            <v>defsi</v>
          </cell>
        </row>
        <row r="1808">
          <cell r="B1808" t="b">
            <v>1</v>
          </cell>
          <cell r="E1808" t="str">
            <v>Los Cerros</v>
          </cell>
          <cell r="H1808" t="str">
            <v>ginecologia</v>
          </cell>
          <cell r="J1808" t="str">
            <v>bueno</v>
          </cell>
          <cell r="K1808" t="str">
            <v>defsi</v>
          </cell>
        </row>
        <row r="1809">
          <cell r="B1809" t="b">
            <v>1</v>
          </cell>
          <cell r="E1809" t="str">
            <v>Los Cerros</v>
          </cell>
          <cell r="H1809" t="str">
            <v>pediatria</v>
          </cell>
          <cell r="J1809" t="str">
            <v>bueno</v>
          </cell>
          <cell r="K1809" t="str">
            <v>defsi</v>
          </cell>
        </row>
        <row r="1810">
          <cell r="B1810" t="b">
            <v>1</v>
          </cell>
          <cell r="E1810" t="str">
            <v>Los Cerros</v>
          </cell>
          <cell r="H1810" t="str">
            <v>medicina_interna</v>
          </cell>
          <cell r="J1810" t="str">
            <v>bueno</v>
          </cell>
          <cell r="K1810" t="str">
            <v>defsi</v>
          </cell>
        </row>
        <row r="1811">
          <cell r="B1811" t="b">
            <v>1</v>
          </cell>
          <cell r="E1811" t="str">
            <v>Ternera</v>
          </cell>
          <cell r="H1811" t="str">
            <v>consulta_externa</v>
          </cell>
          <cell r="J1811" t="str">
            <v>bueno</v>
          </cell>
          <cell r="K1811" t="str">
            <v>defsi</v>
          </cell>
        </row>
        <row r="1812">
          <cell r="B1812" t="b">
            <v>1</v>
          </cell>
          <cell r="E1812" t="str">
            <v>Ternera</v>
          </cell>
          <cell r="H1812" t="str">
            <v>salud_oral</v>
          </cell>
          <cell r="J1812" t="str">
            <v>bueno</v>
          </cell>
          <cell r="K1812" t="str">
            <v>defsi</v>
          </cell>
        </row>
        <row r="1813">
          <cell r="B1813" t="b">
            <v>1</v>
          </cell>
          <cell r="E1813" t="str">
            <v>Ternera</v>
          </cell>
          <cell r="H1813" t="str">
            <v>laboratorio</v>
          </cell>
          <cell r="J1813" t="str">
            <v>bueno</v>
          </cell>
          <cell r="K1813" t="str">
            <v>defsi</v>
          </cell>
        </row>
        <row r="1814">
          <cell r="B1814" t="b">
            <v>1</v>
          </cell>
          <cell r="E1814" t="str">
            <v>Cano de Oro</v>
          </cell>
          <cell r="H1814" t="str">
            <v>consulta_externa</v>
          </cell>
          <cell r="J1814" t="str">
            <v>bueno</v>
          </cell>
          <cell r="K1814" t="str">
            <v>probsi</v>
          </cell>
        </row>
        <row r="1815">
          <cell r="B1815" t="b">
            <v>1</v>
          </cell>
          <cell r="E1815" t="str">
            <v>Cano de Oro</v>
          </cell>
          <cell r="H1815" t="str">
            <v>consulta_externa</v>
          </cell>
          <cell r="J1815" t="str">
            <v>bueno</v>
          </cell>
          <cell r="K1815" t="str">
            <v>probsi</v>
          </cell>
        </row>
        <row r="1816">
          <cell r="B1816" t="b">
            <v>1</v>
          </cell>
          <cell r="E1816" t="str">
            <v>Cano de Oro</v>
          </cell>
          <cell r="H1816" t="str">
            <v>laboratorio</v>
          </cell>
          <cell r="J1816" t="str">
            <v>bueno</v>
          </cell>
          <cell r="K1816" t="str">
            <v>probsi</v>
          </cell>
        </row>
        <row r="1817">
          <cell r="B1817" t="b">
            <v>1</v>
          </cell>
          <cell r="E1817" t="str">
            <v>Cano de Oro</v>
          </cell>
          <cell r="H1817" t="str">
            <v>salud_oral</v>
          </cell>
          <cell r="J1817" t="str">
            <v>bueno</v>
          </cell>
          <cell r="K1817" t="str">
            <v>probsi</v>
          </cell>
        </row>
        <row r="1818">
          <cell r="B1818" t="b">
            <v>1</v>
          </cell>
          <cell r="E1818" t="str">
            <v>Cano de Oro</v>
          </cell>
          <cell r="H1818" t="str">
            <v>salud_oral</v>
          </cell>
          <cell r="J1818" t="str">
            <v>bueno</v>
          </cell>
          <cell r="K1818" t="str">
            <v>probsi</v>
          </cell>
        </row>
        <row r="1819">
          <cell r="B1819" t="b">
            <v>1</v>
          </cell>
          <cell r="E1819" t="str">
            <v>Ternera</v>
          </cell>
          <cell r="H1819" t="str">
            <v>consulta_externa</v>
          </cell>
          <cell r="J1819" t="str">
            <v>bueno</v>
          </cell>
          <cell r="K1819" t="str">
            <v>defsi</v>
          </cell>
        </row>
        <row r="1820">
          <cell r="B1820" t="b">
            <v>1</v>
          </cell>
          <cell r="E1820" t="str">
            <v>Ternera</v>
          </cell>
          <cell r="H1820" t="str">
            <v>salud_oral</v>
          </cell>
          <cell r="J1820" t="str">
            <v>bueno</v>
          </cell>
          <cell r="K1820" t="str">
            <v>defsi</v>
          </cell>
        </row>
        <row r="1821">
          <cell r="B1821" t="b">
            <v>1</v>
          </cell>
          <cell r="E1821" t="str">
            <v>Ternera</v>
          </cell>
          <cell r="H1821" t="str">
            <v>laboratorio</v>
          </cell>
          <cell r="J1821" t="str">
            <v>bueno</v>
          </cell>
          <cell r="K1821" t="str">
            <v>defsi</v>
          </cell>
        </row>
        <row r="1822">
          <cell r="B1822" t="b">
            <v>1</v>
          </cell>
          <cell r="E1822" t="str">
            <v>Ternera</v>
          </cell>
          <cell r="H1822" t="str">
            <v>consulta_externa</v>
          </cell>
          <cell r="J1822" t="str">
            <v>bueno</v>
          </cell>
          <cell r="K1822" t="str">
            <v>defsi</v>
          </cell>
        </row>
        <row r="1823">
          <cell r="B1823" t="b">
            <v>1</v>
          </cell>
          <cell r="E1823" t="str">
            <v>Ternera</v>
          </cell>
          <cell r="H1823" t="str">
            <v>salud_oral</v>
          </cell>
          <cell r="J1823" t="str">
            <v>bueno</v>
          </cell>
          <cell r="K1823" t="str">
            <v>defsi</v>
          </cell>
        </row>
        <row r="1824">
          <cell r="B1824" t="b">
            <v>1</v>
          </cell>
          <cell r="E1824" t="str">
            <v>Ternera</v>
          </cell>
          <cell r="H1824" t="str">
            <v>laboratorio</v>
          </cell>
          <cell r="J1824" t="str">
            <v>bueno</v>
          </cell>
          <cell r="K1824" t="str">
            <v>defsi</v>
          </cell>
        </row>
        <row r="1825">
          <cell r="B1825" t="b">
            <v>1</v>
          </cell>
          <cell r="E1825" t="str">
            <v>Santa Ana</v>
          </cell>
          <cell r="H1825" t="str">
            <v>consulta_externa</v>
          </cell>
          <cell r="J1825" t="str">
            <v>muybueno</v>
          </cell>
          <cell r="K1825" t="str">
            <v>defsi</v>
          </cell>
        </row>
        <row r="1826">
          <cell r="B1826" t="b">
            <v>1</v>
          </cell>
          <cell r="E1826" t="str">
            <v>Santa Ana</v>
          </cell>
          <cell r="H1826" t="str">
            <v>laboratorio</v>
          </cell>
          <cell r="J1826" t="str">
            <v>muybueno</v>
          </cell>
          <cell r="K1826" t="str">
            <v>defsi</v>
          </cell>
        </row>
        <row r="1827">
          <cell r="B1827" t="b">
            <v>1</v>
          </cell>
          <cell r="E1827" t="str">
            <v>Ternera</v>
          </cell>
          <cell r="H1827" t="str">
            <v>consulta_externa</v>
          </cell>
          <cell r="J1827" t="str">
            <v>bueno</v>
          </cell>
          <cell r="K1827" t="str">
            <v>defsi</v>
          </cell>
        </row>
        <row r="1828">
          <cell r="B1828" t="b">
            <v>1</v>
          </cell>
          <cell r="E1828" t="str">
            <v>Cano de Oro</v>
          </cell>
          <cell r="H1828" t="str">
            <v>consulta_externa</v>
          </cell>
          <cell r="J1828" t="str">
            <v>muybueno</v>
          </cell>
          <cell r="K1828" t="str">
            <v>defsi</v>
          </cell>
        </row>
        <row r="1829">
          <cell r="B1829" t="b">
            <v>1</v>
          </cell>
          <cell r="E1829" t="str">
            <v>Ternera</v>
          </cell>
          <cell r="H1829" t="str">
            <v>salud_oral</v>
          </cell>
          <cell r="J1829" t="str">
            <v>bueno</v>
          </cell>
          <cell r="K1829" t="str">
            <v>defsi</v>
          </cell>
        </row>
        <row r="1830">
          <cell r="B1830" t="b">
            <v>1</v>
          </cell>
          <cell r="E1830" t="str">
            <v>Cano de Oro</v>
          </cell>
          <cell r="H1830" t="str">
            <v>consulta_externa</v>
          </cell>
          <cell r="J1830" t="str">
            <v>muybueno</v>
          </cell>
          <cell r="K1830" t="str">
            <v>defsi</v>
          </cell>
        </row>
        <row r="1831">
          <cell r="B1831" t="b">
            <v>1</v>
          </cell>
          <cell r="E1831" t="str">
            <v>Cano de Oro</v>
          </cell>
          <cell r="H1831" t="str">
            <v>salud_oral</v>
          </cell>
          <cell r="J1831" t="str">
            <v>muybueno</v>
          </cell>
          <cell r="K1831" t="str">
            <v>defsi</v>
          </cell>
        </row>
        <row r="1832">
          <cell r="B1832" t="b">
            <v>1</v>
          </cell>
          <cell r="E1832" t="str">
            <v>Cano de Oro</v>
          </cell>
          <cell r="H1832" t="str">
            <v>laboratorio</v>
          </cell>
          <cell r="J1832" t="str">
            <v>bueno</v>
          </cell>
          <cell r="K1832" t="str">
            <v>probsi</v>
          </cell>
        </row>
        <row r="1833">
          <cell r="B1833" t="b">
            <v>1</v>
          </cell>
          <cell r="E1833" t="str">
            <v>Ternera</v>
          </cell>
          <cell r="H1833" t="str">
            <v>laboratorio</v>
          </cell>
          <cell r="J1833" t="str">
            <v>bueno</v>
          </cell>
          <cell r="K1833" t="str">
            <v>defsi</v>
          </cell>
        </row>
        <row r="1834">
          <cell r="B1834" t="b">
            <v>1</v>
          </cell>
          <cell r="E1834" t="str">
            <v>Blasdelezo</v>
          </cell>
          <cell r="H1834" t="str">
            <v>medicina_interna</v>
          </cell>
          <cell r="J1834" t="str">
            <v>bueno</v>
          </cell>
          <cell r="K1834" t="str">
            <v>probsi</v>
          </cell>
        </row>
        <row r="1835">
          <cell r="B1835" t="b">
            <v>1</v>
          </cell>
          <cell r="E1835" t="str">
            <v>Blasdelezo</v>
          </cell>
          <cell r="H1835" t="str">
            <v>consulta_externa</v>
          </cell>
          <cell r="J1835" t="str">
            <v>bueno</v>
          </cell>
          <cell r="K1835" t="str">
            <v>probsi</v>
          </cell>
        </row>
        <row r="1836">
          <cell r="B1836" t="b">
            <v>1</v>
          </cell>
          <cell r="E1836" t="str">
            <v>Blasdelezo</v>
          </cell>
          <cell r="H1836" t="str">
            <v>laboratorio</v>
          </cell>
          <cell r="J1836" t="str">
            <v>bueno</v>
          </cell>
          <cell r="K1836" t="str">
            <v>probsi</v>
          </cell>
        </row>
        <row r="1837">
          <cell r="B1837" t="b">
            <v>1</v>
          </cell>
          <cell r="E1837" t="str">
            <v>Santa Ana</v>
          </cell>
          <cell r="H1837" t="str">
            <v>salud_oral</v>
          </cell>
          <cell r="J1837" t="str">
            <v>muybueno</v>
          </cell>
          <cell r="K1837" t="str">
            <v>defsi</v>
          </cell>
        </row>
        <row r="1838">
          <cell r="B1838" t="b">
            <v>1</v>
          </cell>
          <cell r="E1838" t="str">
            <v>Cano de Oro</v>
          </cell>
          <cell r="H1838" t="str">
            <v>consulta_externa</v>
          </cell>
          <cell r="J1838" t="str">
            <v>muybueno</v>
          </cell>
          <cell r="K1838" t="str">
            <v>defsi</v>
          </cell>
        </row>
        <row r="1839">
          <cell r="B1839" t="b">
            <v>1</v>
          </cell>
          <cell r="E1839" t="str">
            <v>Cano de Oro</v>
          </cell>
          <cell r="H1839" t="str">
            <v>consulta_externa</v>
          </cell>
          <cell r="J1839" t="str">
            <v>muybueno</v>
          </cell>
          <cell r="K1839" t="str">
            <v>defsi</v>
          </cell>
        </row>
        <row r="1840">
          <cell r="B1840" t="b">
            <v>1</v>
          </cell>
          <cell r="E1840" t="str">
            <v>Cano de Oro</v>
          </cell>
          <cell r="H1840" t="str">
            <v>laboratorio</v>
          </cell>
          <cell r="J1840" t="str">
            <v>muybueno</v>
          </cell>
          <cell r="K1840" t="str">
            <v>defsi</v>
          </cell>
        </row>
        <row r="1841">
          <cell r="B1841" t="b">
            <v>1</v>
          </cell>
          <cell r="E1841" t="str">
            <v>Cano de Oro</v>
          </cell>
          <cell r="H1841" t="str">
            <v>laboratorio</v>
          </cell>
          <cell r="J1841" t="str">
            <v>muybueno</v>
          </cell>
          <cell r="K1841" t="str">
            <v>defsi</v>
          </cell>
        </row>
        <row r="1842">
          <cell r="B1842" t="b">
            <v>1</v>
          </cell>
          <cell r="E1842" t="str">
            <v>Cano de Oro</v>
          </cell>
          <cell r="H1842" t="str">
            <v>salud_oral</v>
          </cell>
          <cell r="J1842" t="str">
            <v>muybueno</v>
          </cell>
          <cell r="K1842" t="str">
            <v>defsi</v>
          </cell>
        </row>
        <row r="1843">
          <cell r="B1843" t="b">
            <v>1</v>
          </cell>
          <cell r="E1843" t="str">
            <v>Cano de Oro</v>
          </cell>
          <cell r="H1843" t="str">
            <v>salud_oral</v>
          </cell>
          <cell r="J1843" t="str">
            <v>muybueno</v>
          </cell>
          <cell r="K1843" t="str">
            <v>defsi</v>
          </cell>
        </row>
        <row r="1844">
          <cell r="B1844" t="b">
            <v>0</v>
          </cell>
          <cell r="E1844" t="str">
            <v>Blasdelezo</v>
          </cell>
          <cell r="H1844" t="str">
            <v>urgencia</v>
          </cell>
          <cell r="J1844" t="str">
            <v>malo</v>
          </cell>
          <cell r="K1844" t="str">
            <v>probno</v>
          </cell>
        </row>
        <row r="1845">
          <cell r="B1845" t="b">
            <v>1</v>
          </cell>
          <cell r="E1845" t="str">
            <v>Santa Ana</v>
          </cell>
          <cell r="H1845" t="str">
            <v>urgencia</v>
          </cell>
          <cell r="J1845" t="str">
            <v>muybueno</v>
          </cell>
          <cell r="K1845" t="str">
            <v>defsi</v>
          </cell>
        </row>
        <row r="1846">
          <cell r="B1846" t="b">
            <v>0</v>
          </cell>
          <cell r="E1846" t="str">
            <v>Blasdelezo</v>
          </cell>
          <cell r="H1846" t="str">
            <v>consulta_externa</v>
          </cell>
          <cell r="J1846" t="str">
            <v>regular</v>
          </cell>
          <cell r="K1846" t="str">
            <v>probsi</v>
          </cell>
        </row>
        <row r="1847">
          <cell r="B1847" t="b">
            <v>1</v>
          </cell>
          <cell r="E1847" t="str">
            <v>Blasdelezo</v>
          </cell>
          <cell r="H1847" t="str">
            <v>consulta_externa</v>
          </cell>
          <cell r="J1847" t="str">
            <v>bueno</v>
          </cell>
          <cell r="K1847" t="str">
            <v>probsi</v>
          </cell>
        </row>
        <row r="1848">
          <cell r="B1848" t="b">
            <v>1</v>
          </cell>
          <cell r="E1848" t="str">
            <v>Blasdelezo</v>
          </cell>
          <cell r="H1848" t="str">
            <v>consulta_externa</v>
          </cell>
          <cell r="J1848" t="str">
            <v>bueno</v>
          </cell>
          <cell r="K1848" t="str">
            <v>probsi</v>
          </cell>
        </row>
        <row r="1849">
          <cell r="B1849" t="b">
            <v>1</v>
          </cell>
          <cell r="E1849" t="str">
            <v>Santa Ana</v>
          </cell>
          <cell r="H1849" t="str">
            <v>consulta_externa</v>
          </cell>
          <cell r="J1849" t="str">
            <v>muybueno</v>
          </cell>
          <cell r="K1849" t="str">
            <v>defsi</v>
          </cell>
        </row>
        <row r="1850">
          <cell r="B1850" t="b">
            <v>1</v>
          </cell>
          <cell r="E1850" t="str">
            <v>Ternera</v>
          </cell>
          <cell r="H1850" t="str">
            <v>consulta_externa</v>
          </cell>
          <cell r="J1850" t="str">
            <v>bueno</v>
          </cell>
          <cell r="K1850" t="str">
            <v>defsi</v>
          </cell>
        </row>
        <row r="1851">
          <cell r="B1851" t="b">
            <v>0</v>
          </cell>
          <cell r="E1851" t="str">
            <v>Blasdelezo</v>
          </cell>
          <cell r="H1851" t="str">
            <v>consulta_externa</v>
          </cell>
          <cell r="J1851" t="str">
            <v>regular</v>
          </cell>
          <cell r="K1851" t="str">
            <v>probsi</v>
          </cell>
        </row>
        <row r="1852">
          <cell r="B1852" t="b">
            <v>1</v>
          </cell>
          <cell r="E1852" t="str">
            <v>Blasdelezo</v>
          </cell>
          <cell r="H1852" t="str">
            <v>salud_oral</v>
          </cell>
          <cell r="J1852" t="str">
            <v>bueno</v>
          </cell>
          <cell r="K1852" t="str">
            <v>probsi</v>
          </cell>
        </row>
        <row r="1853">
          <cell r="B1853" t="b">
            <v>0</v>
          </cell>
          <cell r="E1853" t="str">
            <v>Blasdelezo</v>
          </cell>
          <cell r="H1853" t="str">
            <v>consulta_externa</v>
          </cell>
          <cell r="J1853" t="str">
            <v>regular</v>
          </cell>
          <cell r="K1853" t="str">
            <v>probsi</v>
          </cell>
        </row>
        <row r="1854">
          <cell r="B1854" t="b">
            <v>0</v>
          </cell>
          <cell r="E1854" t="str">
            <v>Blasdelezo</v>
          </cell>
          <cell r="H1854" t="str">
            <v>salud_oral</v>
          </cell>
          <cell r="J1854" t="str">
            <v>regular</v>
          </cell>
          <cell r="K1854" t="str">
            <v>probsi</v>
          </cell>
        </row>
        <row r="1855">
          <cell r="B1855" t="b">
            <v>1</v>
          </cell>
          <cell r="E1855" t="str">
            <v>Ternera</v>
          </cell>
          <cell r="H1855" t="str">
            <v>salud_oral</v>
          </cell>
          <cell r="J1855" t="str">
            <v>bueno</v>
          </cell>
          <cell r="K1855" t="str">
            <v>defsi</v>
          </cell>
        </row>
        <row r="1856">
          <cell r="B1856" t="b">
            <v>1</v>
          </cell>
          <cell r="E1856" t="str">
            <v>Blasdelezo</v>
          </cell>
          <cell r="H1856" t="str">
            <v>consulta_externa</v>
          </cell>
          <cell r="J1856" t="str">
            <v>bueno</v>
          </cell>
          <cell r="K1856" t="str">
            <v>probsi</v>
          </cell>
        </row>
        <row r="1857">
          <cell r="B1857" t="b">
            <v>1</v>
          </cell>
          <cell r="E1857" t="str">
            <v>Ternera</v>
          </cell>
          <cell r="H1857" t="str">
            <v>laboratorio</v>
          </cell>
          <cell r="J1857" t="str">
            <v>bueno</v>
          </cell>
          <cell r="K1857" t="str">
            <v>defsi</v>
          </cell>
        </row>
        <row r="1858">
          <cell r="B1858" t="b">
            <v>1</v>
          </cell>
          <cell r="E1858" t="str">
            <v>Santa Ana</v>
          </cell>
          <cell r="H1858" t="str">
            <v>laboratorio</v>
          </cell>
          <cell r="J1858" t="str">
            <v>muybueno</v>
          </cell>
          <cell r="K1858" t="str">
            <v>defsi</v>
          </cell>
        </row>
        <row r="1859">
          <cell r="B1859" t="b">
            <v>1</v>
          </cell>
          <cell r="E1859" t="str">
            <v>Blasdelezo</v>
          </cell>
          <cell r="H1859" t="str">
            <v>consulta_externa</v>
          </cell>
          <cell r="J1859" t="str">
            <v>bueno</v>
          </cell>
          <cell r="K1859" t="str">
            <v>probsi</v>
          </cell>
        </row>
        <row r="1860">
          <cell r="B1860" t="b">
            <v>0</v>
          </cell>
          <cell r="E1860" t="str">
            <v>Blasdelezo</v>
          </cell>
          <cell r="H1860" t="str">
            <v>salud_oral</v>
          </cell>
          <cell r="J1860" t="str">
            <v>regular</v>
          </cell>
          <cell r="K1860" t="str">
            <v>probsi</v>
          </cell>
        </row>
        <row r="1861">
          <cell r="B1861" t="b">
            <v>1</v>
          </cell>
          <cell r="E1861" t="str">
            <v>Blasdelezo</v>
          </cell>
          <cell r="H1861" t="str">
            <v>laboratorio</v>
          </cell>
          <cell r="J1861" t="str">
            <v>bueno</v>
          </cell>
          <cell r="K1861" t="str">
            <v>probsi</v>
          </cell>
        </row>
        <row r="1862">
          <cell r="B1862" t="b">
            <v>1</v>
          </cell>
          <cell r="E1862" t="str">
            <v>Blasdelezo</v>
          </cell>
          <cell r="H1862" t="str">
            <v>laboratorio</v>
          </cell>
          <cell r="J1862" t="str">
            <v>bueno</v>
          </cell>
          <cell r="K1862" t="str">
            <v>probsi</v>
          </cell>
        </row>
        <row r="1863">
          <cell r="B1863" t="b">
            <v>0</v>
          </cell>
          <cell r="E1863" t="str">
            <v>Blasdelezo</v>
          </cell>
          <cell r="H1863" t="str">
            <v>salud_oral</v>
          </cell>
          <cell r="J1863" t="str">
            <v>regular</v>
          </cell>
          <cell r="K1863" t="str">
            <v>probsi</v>
          </cell>
        </row>
        <row r="1864">
          <cell r="B1864" t="b">
            <v>0</v>
          </cell>
          <cell r="E1864" t="str">
            <v>Blasdelezo</v>
          </cell>
          <cell r="H1864" t="str">
            <v>salud_oral</v>
          </cell>
          <cell r="J1864" t="str">
            <v>regular</v>
          </cell>
          <cell r="K1864" t="str">
            <v>probsi</v>
          </cell>
        </row>
        <row r="1865">
          <cell r="B1865" t="b">
            <v>0</v>
          </cell>
          <cell r="E1865" t="str">
            <v>Blasdelezo</v>
          </cell>
          <cell r="H1865" t="str">
            <v>consulta_externa</v>
          </cell>
          <cell r="J1865" t="str">
            <v>regular</v>
          </cell>
          <cell r="K1865" t="str">
            <v>probno</v>
          </cell>
        </row>
        <row r="1866">
          <cell r="B1866" t="b">
            <v>0</v>
          </cell>
          <cell r="E1866" t="str">
            <v>Blasdelezo</v>
          </cell>
          <cell r="H1866" t="str">
            <v>consulta_externa</v>
          </cell>
          <cell r="J1866" t="str">
            <v>regular</v>
          </cell>
          <cell r="K1866" t="str">
            <v>probsi</v>
          </cell>
        </row>
        <row r="1867">
          <cell r="B1867" t="b">
            <v>1</v>
          </cell>
          <cell r="E1867" t="str">
            <v>Blasdelezo</v>
          </cell>
          <cell r="H1867" t="str">
            <v>salud_oral</v>
          </cell>
          <cell r="J1867" t="str">
            <v>bueno</v>
          </cell>
          <cell r="K1867" t="str">
            <v>probsi</v>
          </cell>
        </row>
        <row r="1868">
          <cell r="B1868" t="b">
            <v>1</v>
          </cell>
          <cell r="E1868" t="str">
            <v>Blasdelezo</v>
          </cell>
          <cell r="H1868" t="str">
            <v>salud_oral</v>
          </cell>
          <cell r="J1868" t="str">
            <v>bueno</v>
          </cell>
          <cell r="K1868" t="str">
            <v>probsi</v>
          </cell>
        </row>
        <row r="1869">
          <cell r="B1869" t="b">
            <v>1</v>
          </cell>
          <cell r="E1869" t="str">
            <v>Santa Ana</v>
          </cell>
          <cell r="H1869" t="str">
            <v>consulta_externa</v>
          </cell>
          <cell r="J1869" t="str">
            <v>muybueno</v>
          </cell>
          <cell r="K1869" t="str">
            <v>defsi</v>
          </cell>
        </row>
        <row r="1870">
          <cell r="B1870" t="b">
            <v>1</v>
          </cell>
          <cell r="E1870" t="str">
            <v>Santa Ana</v>
          </cell>
          <cell r="H1870" t="str">
            <v>laboratorio</v>
          </cell>
          <cell r="J1870" t="str">
            <v>muybueno</v>
          </cell>
          <cell r="K1870" t="str">
            <v>defsi</v>
          </cell>
        </row>
        <row r="1871">
          <cell r="B1871" t="b">
            <v>1</v>
          </cell>
          <cell r="E1871" t="str">
            <v>Blasdelezo</v>
          </cell>
          <cell r="H1871" t="str">
            <v>salud_oral</v>
          </cell>
          <cell r="J1871" t="str">
            <v>bueno</v>
          </cell>
          <cell r="K1871" t="str">
            <v>probsi</v>
          </cell>
        </row>
        <row r="1872">
          <cell r="B1872" t="b">
            <v>1</v>
          </cell>
          <cell r="E1872" t="str">
            <v>Blasdelezo</v>
          </cell>
          <cell r="H1872" t="str">
            <v>consulta_externa</v>
          </cell>
          <cell r="J1872" t="str">
            <v>bueno</v>
          </cell>
          <cell r="K1872" t="str">
            <v>probsi</v>
          </cell>
        </row>
        <row r="1873">
          <cell r="B1873" t="b">
            <v>1</v>
          </cell>
          <cell r="E1873" t="str">
            <v>Blasdelezo</v>
          </cell>
          <cell r="H1873" t="str">
            <v>laboratorio</v>
          </cell>
          <cell r="J1873" t="str">
            <v>bueno</v>
          </cell>
          <cell r="K1873" t="str">
            <v>probsi</v>
          </cell>
        </row>
        <row r="1874">
          <cell r="B1874" t="b">
            <v>1</v>
          </cell>
          <cell r="E1874" t="str">
            <v>Cano de Oro</v>
          </cell>
          <cell r="H1874" t="str">
            <v>consulta_externa</v>
          </cell>
          <cell r="J1874" t="str">
            <v>muybueno</v>
          </cell>
          <cell r="K1874" t="str">
            <v>probsi</v>
          </cell>
        </row>
        <row r="1875">
          <cell r="B1875" t="b">
            <v>1</v>
          </cell>
          <cell r="E1875" t="str">
            <v>Santa Ana</v>
          </cell>
          <cell r="H1875" t="str">
            <v>consulta_externa</v>
          </cell>
          <cell r="J1875" t="str">
            <v>muybueno</v>
          </cell>
          <cell r="K1875" t="str">
            <v>defsi</v>
          </cell>
        </row>
        <row r="1876">
          <cell r="B1876" t="b">
            <v>1</v>
          </cell>
          <cell r="E1876" t="str">
            <v>Cano de Oro</v>
          </cell>
          <cell r="H1876" t="str">
            <v>laboratorio</v>
          </cell>
          <cell r="J1876" t="str">
            <v>muybueno</v>
          </cell>
          <cell r="K1876" t="str">
            <v>defsi</v>
          </cell>
        </row>
        <row r="1877">
          <cell r="B1877" t="b">
            <v>1</v>
          </cell>
          <cell r="E1877" t="str">
            <v>Cano de Oro</v>
          </cell>
          <cell r="H1877" t="str">
            <v>salud_oral</v>
          </cell>
          <cell r="J1877" t="str">
            <v>muybueno</v>
          </cell>
          <cell r="K1877" t="str">
            <v>defsi</v>
          </cell>
        </row>
        <row r="1878">
          <cell r="B1878" t="b">
            <v>1</v>
          </cell>
          <cell r="E1878" t="str">
            <v>Ternera</v>
          </cell>
          <cell r="H1878" t="str">
            <v>consulta_externa</v>
          </cell>
          <cell r="J1878" t="str">
            <v>bueno</v>
          </cell>
          <cell r="K1878" t="str">
            <v>defsi</v>
          </cell>
        </row>
        <row r="1879">
          <cell r="B1879" t="b">
            <v>1</v>
          </cell>
          <cell r="E1879" t="str">
            <v>Santa Ana</v>
          </cell>
          <cell r="H1879" t="str">
            <v>salud_oral</v>
          </cell>
          <cell r="J1879" t="str">
            <v>muybueno</v>
          </cell>
          <cell r="K1879" t="str">
            <v>defsi</v>
          </cell>
        </row>
        <row r="1880">
          <cell r="B1880" t="b">
            <v>1</v>
          </cell>
          <cell r="E1880" t="str">
            <v>Bicentenario</v>
          </cell>
          <cell r="H1880" t="str">
            <v>consulta_externa</v>
          </cell>
          <cell r="J1880" t="str">
            <v>bueno</v>
          </cell>
          <cell r="K1880" t="str">
            <v>defsi</v>
          </cell>
        </row>
        <row r="1881">
          <cell r="B1881" t="b">
            <v>1</v>
          </cell>
          <cell r="E1881" t="str">
            <v>Ternera</v>
          </cell>
          <cell r="H1881" t="str">
            <v>salud_oral</v>
          </cell>
          <cell r="J1881" t="str">
            <v>bueno</v>
          </cell>
          <cell r="K1881" t="str">
            <v>defsi</v>
          </cell>
        </row>
        <row r="1882">
          <cell r="B1882" t="b">
            <v>1</v>
          </cell>
          <cell r="E1882" t="str">
            <v>Cano de Oro</v>
          </cell>
          <cell r="H1882" t="str">
            <v>consulta_externa</v>
          </cell>
          <cell r="J1882" t="str">
            <v>muybueno</v>
          </cell>
          <cell r="K1882" t="str">
            <v>defsi</v>
          </cell>
        </row>
        <row r="1883">
          <cell r="B1883" t="b">
            <v>1</v>
          </cell>
          <cell r="E1883" t="str">
            <v>Cano de Oro</v>
          </cell>
          <cell r="H1883" t="str">
            <v>laboratorio</v>
          </cell>
          <cell r="J1883" t="str">
            <v>muybueno</v>
          </cell>
          <cell r="K1883" t="str">
            <v>defsi</v>
          </cell>
        </row>
        <row r="1884">
          <cell r="B1884" t="b">
            <v>1</v>
          </cell>
          <cell r="E1884" t="str">
            <v>Ternera</v>
          </cell>
          <cell r="H1884" t="str">
            <v>laboratorio</v>
          </cell>
          <cell r="J1884" t="str">
            <v>bueno</v>
          </cell>
          <cell r="K1884" t="str">
            <v>defsi</v>
          </cell>
        </row>
        <row r="1885">
          <cell r="B1885" t="b">
            <v>1</v>
          </cell>
          <cell r="E1885" t="str">
            <v>Santa Ana</v>
          </cell>
          <cell r="H1885" t="str">
            <v>consulta_externa</v>
          </cell>
          <cell r="J1885" t="str">
            <v>muybueno</v>
          </cell>
          <cell r="K1885" t="str">
            <v>defsi</v>
          </cell>
        </row>
        <row r="1886">
          <cell r="B1886" t="b">
            <v>1</v>
          </cell>
          <cell r="E1886" t="str">
            <v>Santa Ana</v>
          </cell>
          <cell r="H1886" t="str">
            <v>consulta_externa</v>
          </cell>
          <cell r="J1886" t="str">
            <v>muybueno</v>
          </cell>
          <cell r="K1886" t="str">
            <v>defsi</v>
          </cell>
        </row>
        <row r="1887">
          <cell r="B1887" t="b">
            <v>1</v>
          </cell>
          <cell r="E1887" t="str">
            <v>Santa Ana</v>
          </cell>
          <cell r="H1887" t="str">
            <v>laboratorio</v>
          </cell>
          <cell r="J1887" t="str">
            <v>muybueno</v>
          </cell>
          <cell r="K1887" t="str">
            <v>defsi</v>
          </cell>
        </row>
        <row r="1888">
          <cell r="B1888" t="b">
            <v>0</v>
          </cell>
          <cell r="E1888" t="str">
            <v>Blasdelezo</v>
          </cell>
          <cell r="H1888" t="str">
            <v>laboratorio</v>
          </cell>
          <cell r="J1888" t="str">
            <v>regular</v>
          </cell>
          <cell r="K1888" t="str">
            <v>probsi</v>
          </cell>
        </row>
        <row r="1889">
          <cell r="B1889" t="b">
            <v>0</v>
          </cell>
          <cell r="E1889" t="str">
            <v>Blasdelezo</v>
          </cell>
          <cell r="H1889" t="str">
            <v>laboratorio</v>
          </cell>
          <cell r="J1889" t="str">
            <v>regular</v>
          </cell>
          <cell r="K1889" t="str">
            <v>probsi</v>
          </cell>
        </row>
        <row r="1890">
          <cell r="B1890" t="b">
            <v>1</v>
          </cell>
          <cell r="E1890" t="str">
            <v>Blasdelezo</v>
          </cell>
          <cell r="H1890" t="str">
            <v>laboratorio</v>
          </cell>
          <cell r="J1890" t="str">
            <v>bueno</v>
          </cell>
          <cell r="K1890" t="str">
            <v>probsi</v>
          </cell>
        </row>
        <row r="1891">
          <cell r="B1891" t="b">
            <v>1</v>
          </cell>
          <cell r="E1891" t="str">
            <v>Blasdelezo</v>
          </cell>
          <cell r="H1891" t="str">
            <v>laboratorio</v>
          </cell>
          <cell r="J1891" t="str">
            <v>bueno</v>
          </cell>
          <cell r="K1891" t="str">
            <v>probsi</v>
          </cell>
        </row>
        <row r="1892">
          <cell r="B1892" t="b">
            <v>1</v>
          </cell>
          <cell r="E1892" t="str">
            <v>Cano de Oro</v>
          </cell>
          <cell r="H1892" t="str">
            <v>consulta_externa</v>
          </cell>
          <cell r="J1892" t="str">
            <v>bueno</v>
          </cell>
          <cell r="K1892" t="str">
            <v>probsi</v>
          </cell>
        </row>
        <row r="1893">
          <cell r="B1893" t="b">
            <v>1</v>
          </cell>
          <cell r="E1893" t="str">
            <v>Cano de Oro</v>
          </cell>
          <cell r="H1893" t="str">
            <v>laboratorio</v>
          </cell>
          <cell r="J1893" t="str">
            <v>bueno</v>
          </cell>
          <cell r="K1893" t="str">
            <v>probsi</v>
          </cell>
        </row>
        <row r="1894">
          <cell r="B1894" t="b">
            <v>1</v>
          </cell>
          <cell r="E1894" t="str">
            <v>Cano de Oro</v>
          </cell>
          <cell r="H1894" t="str">
            <v>salud_oral</v>
          </cell>
          <cell r="J1894" t="str">
            <v>bueno</v>
          </cell>
          <cell r="K1894" t="str">
            <v>probsi</v>
          </cell>
        </row>
        <row r="1895">
          <cell r="B1895" t="b">
            <v>1</v>
          </cell>
          <cell r="E1895" t="str">
            <v>Bicentenario</v>
          </cell>
          <cell r="H1895" t="str">
            <v>consulta_externa</v>
          </cell>
          <cell r="J1895" t="str">
            <v>bueno</v>
          </cell>
          <cell r="K1895" t="str">
            <v>defsi</v>
          </cell>
        </row>
        <row r="1896">
          <cell r="B1896" t="b">
            <v>1</v>
          </cell>
          <cell r="E1896" t="str">
            <v>Bicentenario</v>
          </cell>
          <cell r="H1896" t="str">
            <v>salud_oral</v>
          </cell>
          <cell r="J1896" t="str">
            <v>bueno</v>
          </cell>
          <cell r="K1896" t="str">
            <v>defsi</v>
          </cell>
        </row>
        <row r="1897">
          <cell r="B1897" t="b">
            <v>1</v>
          </cell>
          <cell r="E1897" t="str">
            <v>Bicentenario</v>
          </cell>
          <cell r="H1897" t="str">
            <v>consulta_externa</v>
          </cell>
          <cell r="J1897" t="str">
            <v>bueno</v>
          </cell>
          <cell r="K1897" t="str">
            <v>defsi</v>
          </cell>
        </row>
        <row r="1898">
          <cell r="B1898" t="b">
            <v>1</v>
          </cell>
          <cell r="E1898" t="str">
            <v>Bicentenario</v>
          </cell>
          <cell r="H1898" t="str">
            <v>laboratorio</v>
          </cell>
          <cell r="J1898" t="str">
            <v>bueno</v>
          </cell>
          <cell r="K1898" t="str">
            <v>defsi</v>
          </cell>
        </row>
        <row r="1899">
          <cell r="B1899" t="b">
            <v>1</v>
          </cell>
          <cell r="E1899" t="str">
            <v>Bicentenario</v>
          </cell>
          <cell r="H1899" t="str">
            <v>consulta_externa</v>
          </cell>
          <cell r="J1899" t="str">
            <v>bueno</v>
          </cell>
          <cell r="K1899" t="str">
            <v>defsi</v>
          </cell>
        </row>
        <row r="1900">
          <cell r="B1900" t="b">
            <v>1</v>
          </cell>
          <cell r="E1900" t="str">
            <v>Bicentenario</v>
          </cell>
          <cell r="H1900" t="str">
            <v>laboratorio</v>
          </cell>
          <cell r="J1900" t="str">
            <v>bueno</v>
          </cell>
          <cell r="K1900" t="str">
            <v>defsi</v>
          </cell>
        </row>
        <row r="1901">
          <cell r="B1901" t="b">
            <v>1</v>
          </cell>
          <cell r="E1901" t="str">
            <v>Santa Ana</v>
          </cell>
          <cell r="H1901" t="str">
            <v>consulta_externa</v>
          </cell>
          <cell r="J1901" t="str">
            <v>muybueno</v>
          </cell>
          <cell r="K1901" t="str">
            <v>defsi</v>
          </cell>
        </row>
        <row r="1902">
          <cell r="B1902" t="b">
            <v>1</v>
          </cell>
          <cell r="E1902" t="str">
            <v>Bicentenario</v>
          </cell>
          <cell r="H1902" t="str">
            <v>salud_oral</v>
          </cell>
          <cell r="J1902" t="str">
            <v>bueno</v>
          </cell>
          <cell r="K1902" t="str">
            <v>defsi</v>
          </cell>
        </row>
        <row r="1903">
          <cell r="B1903" t="b">
            <v>1</v>
          </cell>
          <cell r="E1903" t="str">
            <v>Santa Ana</v>
          </cell>
          <cell r="H1903" t="str">
            <v>laboratorio</v>
          </cell>
          <cell r="J1903" t="str">
            <v>muybueno</v>
          </cell>
          <cell r="K1903" t="str">
            <v>defsi</v>
          </cell>
        </row>
        <row r="1904">
          <cell r="B1904" t="b">
            <v>1</v>
          </cell>
          <cell r="E1904" t="str">
            <v>Bicentenario</v>
          </cell>
          <cell r="H1904" t="str">
            <v>salud_oral</v>
          </cell>
          <cell r="J1904" t="str">
            <v>bueno</v>
          </cell>
          <cell r="K1904" t="str">
            <v>defsi</v>
          </cell>
        </row>
        <row r="1905">
          <cell r="B1905" t="b">
            <v>0</v>
          </cell>
          <cell r="E1905" t="str">
            <v>Bicentenario</v>
          </cell>
          <cell r="H1905" t="str">
            <v>consulta_externa</v>
          </cell>
          <cell r="J1905" t="str">
            <v>regular</v>
          </cell>
          <cell r="K1905" t="str">
            <v>defsi</v>
          </cell>
        </row>
        <row r="1906">
          <cell r="B1906" t="b">
            <v>0</v>
          </cell>
          <cell r="E1906" t="str">
            <v>Bicentenario</v>
          </cell>
          <cell r="H1906" t="str">
            <v>laboratorio</v>
          </cell>
          <cell r="J1906" t="str">
            <v>regular</v>
          </cell>
          <cell r="K1906" t="str">
            <v>defsi</v>
          </cell>
        </row>
        <row r="1907">
          <cell r="B1907" t="b">
            <v>0</v>
          </cell>
          <cell r="E1907" t="str">
            <v>Bicentenario</v>
          </cell>
          <cell r="H1907" t="str">
            <v>consulta_externa</v>
          </cell>
          <cell r="J1907" t="str">
            <v>regular</v>
          </cell>
          <cell r="K1907" t="str">
            <v>probsi</v>
          </cell>
        </row>
        <row r="1908">
          <cell r="B1908" t="b">
            <v>1</v>
          </cell>
          <cell r="E1908" t="str">
            <v>Bicentenario</v>
          </cell>
          <cell r="H1908" t="str">
            <v>laboratorio</v>
          </cell>
          <cell r="J1908" t="str">
            <v>bueno</v>
          </cell>
          <cell r="K1908" t="str">
            <v>probsi</v>
          </cell>
        </row>
        <row r="1909">
          <cell r="B1909" t="b">
            <v>0</v>
          </cell>
          <cell r="E1909" t="str">
            <v>Bicentenario</v>
          </cell>
          <cell r="H1909" t="str">
            <v>consulta_externa</v>
          </cell>
          <cell r="J1909" t="str">
            <v>regular</v>
          </cell>
          <cell r="K1909" t="str">
            <v>probsi</v>
          </cell>
        </row>
        <row r="1910">
          <cell r="B1910" t="b">
            <v>0</v>
          </cell>
          <cell r="E1910" t="str">
            <v>Bicentenario</v>
          </cell>
          <cell r="H1910" t="str">
            <v>laboratorio</v>
          </cell>
          <cell r="J1910" t="str">
            <v>regular</v>
          </cell>
          <cell r="K1910" t="str">
            <v>probsi</v>
          </cell>
        </row>
        <row r="1911">
          <cell r="B1911" t="b">
            <v>1</v>
          </cell>
          <cell r="E1911" t="str">
            <v>Bicentenario</v>
          </cell>
          <cell r="H1911" t="str">
            <v>consulta_externa</v>
          </cell>
          <cell r="J1911" t="str">
            <v>bueno</v>
          </cell>
          <cell r="K1911" t="str">
            <v>defsi</v>
          </cell>
        </row>
        <row r="1912">
          <cell r="B1912" t="b">
            <v>1</v>
          </cell>
          <cell r="E1912" t="str">
            <v>Bicentenario</v>
          </cell>
          <cell r="H1912" t="str">
            <v>laboratorio</v>
          </cell>
          <cell r="J1912" t="str">
            <v>bueno</v>
          </cell>
          <cell r="K1912" t="str">
            <v>defsi</v>
          </cell>
        </row>
        <row r="1913">
          <cell r="B1913" t="b">
            <v>1</v>
          </cell>
          <cell r="E1913" t="str">
            <v>Bicentenario</v>
          </cell>
          <cell r="H1913" t="str">
            <v>consulta_externa</v>
          </cell>
          <cell r="J1913" t="str">
            <v>bueno</v>
          </cell>
          <cell r="K1913" t="str">
            <v>defsi</v>
          </cell>
        </row>
        <row r="1914">
          <cell r="B1914" t="b">
            <v>1</v>
          </cell>
          <cell r="E1914" t="str">
            <v>Bicentenario</v>
          </cell>
          <cell r="H1914" t="str">
            <v>laboratorio</v>
          </cell>
          <cell r="J1914" t="str">
            <v>bueno</v>
          </cell>
          <cell r="K1914" t="str">
            <v>defsi</v>
          </cell>
        </row>
        <row r="1915">
          <cell r="B1915" t="b">
            <v>1</v>
          </cell>
          <cell r="E1915" t="str">
            <v>Santa Ana</v>
          </cell>
          <cell r="H1915" t="str">
            <v>consulta_externa</v>
          </cell>
          <cell r="J1915" t="str">
            <v>muybueno</v>
          </cell>
          <cell r="K1915" t="str">
            <v>defsi</v>
          </cell>
        </row>
        <row r="1916">
          <cell r="B1916" t="b">
            <v>1</v>
          </cell>
          <cell r="E1916" t="str">
            <v>Santa Ana</v>
          </cell>
          <cell r="H1916" t="str">
            <v>laboratorio</v>
          </cell>
          <cell r="J1916" t="str">
            <v>muybueno</v>
          </cell>
          <cell r="K1916" t="str">
            <v>defsi</v>
          </cell>
        </row>
        <row r="1917">
          <cell r="B1917" t="b">
            <v>1</v>
          </cell>
          <cell r="E1917" t="str">
            <v>Bicentenario</v>
          </cell>
          <cell r="H1917" t="str">
            <v>consulta_externa</v>
          </cell>
          <cell r="J1917" t="str">
            <v>bueno</v>
          </cell>
          <cell r="K1917" t="str">
            <v>defsi</v>
          </cell>
        </row>
        <row r="1918">
          <cell r="B1918" t="b">
            <v>1</v>
          </cell>
          <cell r="E1918" t="str">
            <v>Bicentenario</v>
          </cell>
          <cell r="H1918" t="str">
            <v>laboratorio</v>
          </cell>
          <cell r="J1918" t="str">
            <v>bueno</v>
          </cell>
          <cell r="K1918" t="str">
            <v>defsi</v>
          </cell>
        </row>
        <row r="1919">
          <cell r="B1919" t="b">
            <v>1</v>
          </cell>
          <cell r="E1919" t="str">
            <v>Bicentenario</v>
          </cell>
          <cell r="H1919" t="str">
            <v>laboratorio</v>
          </cell>
          <cell r="J1919" t="str">
            <v>bueno</v>
          </cell>
          <cell r="K1919" t="str">
            <v>defsi</v>
          </cell>
        </row>
        <row r="1920">
          <cell r="B1920" t="b">
            <v>1</v>
          </cell>
          <cell r="E1920" t="str">
            <v>Bicentenario</v>
          </cell>
          <cell r="H1920" t="str">
            <v>rx</v>
          </cell>
          <cell r="J1920" t="str">
            <v>bueno</v>
          </cell>
          <cell r="K1920" t="str">
            <v>defsi</v>
          </cell>
        </row>
        <row r="1921">
          <cell r="B1921" t="b">
            <v>1</v>
          </cell>
          <cell r="E1921" t="str">
            <v>Bicentenario</v>
          </cell>
          <cell r="H1921" t="str">
            <v>rx</v>
          </cell>
          <cell r="J1921" t="str">
            <v>bueno</v>
          </cell>
          <cell r="K1921" t="str">
            <v>defsi</v>
          </cell>
        </row>
        <row r="1922">
          <cell r="B1922" t="b">
            <v>1</v>
          </cell>
          <cell r="E1922" t="str">
            <v>Santa Ana</v>
          </cell>
          <cell r="H1922" t="str">
            <v>salud_oral</v>
          </cell>
          <cell r="J1922" t="str">
            <v>muybueno</v>
          </cell>
          <cell r="K1922" t="str">
            <v>defsi</v>
          </cell>
        </row>
        <row r="1923">
          <cell r="B1923" t="b">
            <v>1</v>
          </cell>
          <cell r="E1923" t="str">
            <v>Santa Ana</v>
          </cell>
          <cell r="H1923" t="str">
            <v>consulta_externa</v>
          </cell>
          <cell r="J1923" t="str">
            <v>muybueno</v>
          </cell>
          <cell r="K1923" t="str">
            <v>defsi</v>
          </cell>
        </row>
        <row r="1924">
          <cell r="B1924" t="b">
            <v>1</v>
          </cell>
          <cell r="E1924" t="str">
            <v>Santa Ana</v>
          </cell>
          <cell r="H1924" t="str">
            <v>laboratorio</v>
          </cell>
          <cell r="J1924" t="str">
            <v>muybueno</v>
          </cell>
          <cell r="K1924" t="str">
            <v>defsi</v>
          </cell>
        </row>
        <row r="1925">
          <cell r="B1925" t="b">
            <v>1</v>
          </cell>
          <cell r="E1925" t="str">
            <v>Santa Ana</v>
          </cell>
          <cell r="H1925" t="str">
            <v>consulta_externa</v>
          </cell>
          <cell r="J1925" t="str">
            <v>muybueno</v>
          </cell>
          <cell r="K1925" t="str">
            <v>defsi</v>
          </cell>
        </row>
        <row r="1926">
          <cell r="B1926" t="b">
            <v>1</v>
          </cell>
          <cell r="E1926" t="str">
            <v>Santa Ana</v>
          </cell>
          <cell r="H1926" t="str">
            <v>laboratorio</v>
          </cell>
          <cell r="J1926" t="str">
            <v>muybueno</v>
          </cell>
          <cell r="K1926" t="str">
            <v>defsi</v>
          </cell>
        </row>
        <row r="1927">
          <cell r="B1927" t="b">
            <v>1</v>
          </cell>
          <cell r="E1927" t="str">
            <v>Santa Ana</v>
          </cell>
          <cell r="H1927" t="str">
            <v>consulta_externa</v>
          </cell>
          <cell r="J1927" t="str">
            <v>muybueno</v>
          </cell>
          <cell r="K1927" t="str">
            <v>defsi</v>
          </cell>
        </row>
        <row r="1928">
          <cell r="B1928" t="b">
            <v>1</v>
          </cell>
          <cell r="E1928" t="str">
            <v>Bicentenario</v>
          </cell>
          <cell r="H1928" t="str">
            <v>rx</v>
          </cell>
          <cell r="J1928" t="str">
            <v>bueno</v>
          </cell>
          <cell r="K1928" t="str">
            <v>defsi</v>
          </cell>
        </row>
        <row r="1929">
          <cell r="B1929" t="b">
            <v>1</v>
          </cell>
          <cell r="E1929" t="str">
            <v>Bicentenario</v>
          </cell>
          <cell r="H1929" t="str">
            <v>rx</v>
          </cell>
          <cell r="J1929" t="str">
            <v>bueno</v>
          </cell>
          <cell r="K1929" t="str">
            <v>defsi</v>
          </cell>
        </row>
        <row r="1930">
          <cell r="B1930" t="b">
            <v>1</v>
          </cell>
          <cell r="E1930" t="str">
            <v>Bicentenario</v>
          </cell>
          <cell r="H1930" t="str">
            <v>rx</v>
          </cell>
          <cell r="J1930" t="str">
            <v>bueno</v>
          </cell>
          <cell r="K1930" t="str">
            <v>defsi</v>
          </cell>
        </row>
        <row r="1931">
          <cell r="B1931" t="b">
            <v>1</v>
          </cell>
          <cell r="E1931" t="str">
            <v>Bicentenario</v>
          </cell>
          <cell r="H1931" t="str">
            <v>rx</v>
          </cell>
          <cell r="J1931" t="str">
            <v>bueno</v>
          </cell>
          <cell r="K1931" t="str">
            <v>defsi</v>
          </cell>
        </row>
        <row r="1932">
          <cell r="B1932" t="b">
            <v>1</v>
          </cell>
          <cell r="E1932" t="str">
            <v>Bicentenario</v>
          </cell>
          <cell r="H1932" t="str">
            <v>rx</v>
          </cell>
          <cell r="J1932" t="str">
            <v>bueno</v>
          </cell>
          <cell r="K1932" t="str">
            <v>defsi</v>
          </cell>
        </row>
        <row r="1933">
          <cell r="B1933" t="b">
            <v>1</v>
          </cell>
          <cell r="E1933" t="str">
            <v>Bicentenario</v>
          </cell>
          <cell r="H1933" t="str">
            <v>rx</v>
          </cell>
          <cell r="J1933" t="str">
            <v>bueno</v>
          </cell>
          <cell r="K1933" t="str">
            <v>defsi</v>
          </cell>
        </row>
        <row r="1934">
          <cell r="B1934" t="b">
            <v>1</v>
          </cell>
          <cell r="E1934" t="str">
            <v>Bicentenario</v>
          </cell>
          <cell r="H1934" t="str">
            <v>rx</v>
          </cell>
          <cell r="J1934" t="str">
            <v>bueno</v>
          </cell>
          <cell r="K1934" t="str">
            <v>defsi</v>
          </cell>
        </row>
        <row r="1935">
          <cell r="B1935" t="b">
            <v>1</v>
          </cell>
          <cell r="E1935" t="str">
            <v>Bicentenario</v>
          </cell>
          <cell r="H1935" t="str">
            <v>rx</v>
          </cell>
          <cell r="J1935" t="str">
            <v>muybueno</v>
          </cell>
          <cell r="K1935" t="str">
            <v>defsi</v>
          </cell>
        </row>
        <row r="1936">
          <cell r="B1936" t="b">
            <v>1</v>
          </cell>
          <cell r="E1936" t="str">
            <v>Bicentenario</v>
          </cell>
          <cell r="H1936" t="str">
            <v>rx</v>
          </cell>
          <cell r="J1936" t="str">
            <v>muybueno</v>
          </cell>
          <cell r="K1936" t="str">
            <v>defsi</v>
          </cell>
        </row>
        <row r="1937">
          <cell r="B1937" t="b">
            <v>1</v>
          </cell>
          <cell r="E1937" t="str">
            <v>Bicentenario</v>
          </cell>
          <cell r="H1937" t="str">
            <v>laboratorio</v>
          </cell>
          <cell r="J1937" t="str">
            <v>muybueno</v>
          </cell>
          <cell r="K1937" t="str">
            <v>defsi</v>
          </cell>
        </row>
        <row r="1938">
          <cell r="B1938" t="b">
            <v>1</v>
          </cell>
          <cell r="E1938" t="str">
            <v>Santa Ana</v>
          </cell>
          <cell r="H1938" t="str">
            <v>urgencia</v>
          </cell>
          <cell r="J1938" t="str">
            <v>muybueno</v>
          </cell>
          <cell r="K1938" t="str">
            <v>defsi</v>
          </cell>
        </row>
        <row r="1939">
          <cell r="B1939" t="b">
            <v>1</v>
          </cell>
          <cell r="E1939" t="str">
            <v>Bicentenario</v>
          </cell>
          <cell r="H1939" t="str">
            <v>urgencia</v>
          </cell>
          <cell r="J1939" t="str">
            <v>bueno</v>
          </cell>
          <cell r="K1939" t="str">
            <v>defsi</v>
          </cell>
        </row>
        <row r="1940">
          <cell r="B1940" t="b">
            <v>1</v>
          </cell>
          <cell r="E1940" t="str">
            <v>Blasdelezo</v>
          </cell>
          <cell r="H1940" t="str">
            <v>urgencia</v>
          </cell>
          <cell r="J1940" t="str">
            <v>bueno</v>
          </cell>
          <cell r="K1940" t="str">
            <v>probsi</v>
          </cell>
        </row>
        <row r="1941">
          <cell r="B1941" t="b">
            <v>1</v>
          </cell>
          <cell r="E1941" t="str">
            <v>Blasdelezo</v>
          </cell>
          <cell r="H1941" t="str">
            <v>urgencia</v>
          </cell>
          <cell r="J1941" t="str">
            <v>bueno</v>
          </cell>
          <cell r="K1941" t="str">
            <v>probsi</v>
          </cell>
        </row>
        <row r="1942">
          <cell r="B1942" t="b">
            <v>1</v>
          </cell>
          <cell r="E1942" t="str">
            <v>Blasdelezo</v>
          </cell>
          <cell r="H1942" t="str">
            <v>urgencia</v>
          </cell>
          <cell r="J1942" t="str">
            <v>bueno</v>
          </cell>
          <cell r="K1942" t="str">
            <v>probsi</v>
          </cell>
        </row>
        <row r="1943">
          <cell r="B1943" t="b">
            <v>1</v>
          </cell>
          <cell r="E1943" t="str">
            <v>Blasdelezo</v>
          </cell>
          <cell r="H1943" t="str">
            <v>urgencia</v>
          </cell>
          <cell r="J1943" t="str">
            <v>bueno</v>
          </cell>
          <cell r="K1943" t="str">
            <v>probsi</v>
          </cell>
        </row>
        <row r="1944">
          <cell r="B1944" t="b">
            <v>0</v>
          </cell>
          <cell r="E1944" t="str">
            <v>Blasdelezo</v>
          </cell>
          <cell r="H1944" t="str">
            <v>urgencia</v>
          </cell>
          <cell r="J1944" t="str">
            <v>regular</v>
          </cell>
          <cell r="K1944" t="str">
            <v>probsi</v>
          </cell>
        </row>
        <row r="1945">
          <cell r="B1945" t="b">
            <v>0</v>
          </cell>
          <cell r="E1945" t="str">
            <v>Blasdelezo</v>
          </cell>
          <cell r="H1945" t="str">
            <v>urgencia</v>
          </cell>
          <cell r="J1945" t="str">
            <v>regular</v>
          </cell>
          <cell r="K1945" t="str">
            <v>probsi</v>
          </cell>
        </row>
        <row r="1946">
          <cell r="B1946" t="b">
            <v>0</v>
          </cell>
          <cell r="E1946" t="str">
            <v>Blasdelezo</v>
          </cell>
          <cell r="H1946" t="str">
            <v>consulta_externa</v>
          </cell>
          <cell r="J1946" t="str">
            <v>regular</v>
          </cell>
          <cell r="K1946" t="str">
            <v>probsi</v>
          </cell>
        </row>
        <row r="1947">
          <cell r="B1947" t="b">
            <v>1</v>
          </cell>
          <cell r="E1947" t="str">
            <v>Blasdelezo</v>
          </cell>
          <cell r="H1947" t="str">
            <v>salud_oral</v>
          </cell>
          <cell r="J1947" t="str">
            <v>bueno</v>
          </cell>
          <cell r="K1947" t="str">
            <v>probsi</v>
          </cell>
        </row>
        <row r="1948">
          <cell r="B1948" t="b">
            <v>1</v>
          </cell>
          <cell r="E1948" t="str">
            <v>Blasdelezo</v>
          </cell>
          <cell r="H1948" t="str">
            <v>salud_oral</v>
          </cell>
          <cell r="J1948" t="str">
            <v>bueno</v>
          </cell>
          <cell r="K1948" t="str">
            <v>probsi</v>
          </cell>
        </row>
        <row r="1949">
          <cell r="B1949" t="b">
            <v>1</v>
          </cell>
          <cell r="E1949" t="str">
            <v>Blasdelezo</v>
          </cell>
          <cell r="H1949" t="str">
            <v>salud_oral</v>
          </cell>
          <cell r="J1949" t="str">
            <v>bueno</v>
          </cell>
          <cell r="K1949" t="str">
            <v>probsi</v>
          </cell>
        </row>
        <row r="1950">
          <cell r="B1950" t="b">
            <v>1</v>
          </cell>
          <cell r="E1950" t="str">
            <v>Blasdelezo</v>
          </cell>
          <cell r="H1950" t="str">
            <v>laboratorio</v>
          </cell>
          <cell r="J1950" t="str">
            <v>bueno</v>
          </cell>
          <cell r="K1950" t="str">
            <v>probsi</v>
          </cell>
        </row>
        <row r="1951">
          <cell r="B1951" t="b">
            <v>1</v>
          </cell>
          <cell r="E1951" t="str">
            <v>Blasdelezo</v>
          </cell>
          <cell r="H1951" t="str">
            <v>laboratorio</v>
          </cell>
          <cell r="J1951" t="str">
            <v>bueno</v>
          </cell>
          <cell r="K1951" t="str">
            <v>probsi</v>
          </cell>
        </row>
        <row r="1952">
          <cell r="B1952" t="b">
            <v>1</v>
          </cell>
          <cell r="E1952" t="str">
            <v>Blasdelezo</v>
          </cell>
          <cell r="H1952" t="str">
            <v>laboratorio</v>
          </cell>
          <cell r="J1952" t="str">
            <v>bueno</v>
          </cell>
          <cell r="K1952" t="str">
            <v>probsi</v>
          </cell>
        </row>
        <row r="1953">
          <cell r="B1953" t="b">
            <v>1</v>
          </cell>
          <cell r="E1953" t="str">
            <v>Ternera</v>
          </cell>
          <cell r="H1953" t="str">
            <v>consulta_externa</v>
          </cell>
          <cell r="J1953" t="str">
            <v>bueno</v>
          </cell>
          <cell r="K1953" t="str">
            <v>defsi</v>
          </cell>
        </row>
        <row r="1954">
          <cell r="B1954" t="b">
            <v>1</v>
          </cell>
          <cell r="E1954" t="str">
            <v>Ternera</v>
          </cell>
          <cell r="H1954" t="str">
            <v>salud_oral</v>
          </cell>
          <cell r="J1954" t="str">
            <v>bueno</v>
          </cell>
          <cell r="K1954" t="str">
            <v>defsi</v>
          </cell>
        </row>
        <row r="1955">
          <cell r="B1955" t="b">
            <v>1</v>
          </cell>
          <cell r="E1955" t="str">
            <v>Ternera</v>
          </cell>
          <cell r="H1955" t="str">
            <v>laboratorio</v>
          </cell>
          <cell r="J1955" t="str">
            <v>bueno</v>
          </cell>
          <cell r="K1955" t="str">
            <v>defsi</v>
          </cell>
        </row>
        <row r="1956">
          <cell r="B1956" t="b">
            <v>1</v>
          </cell>
          <cell r="E1956" t="str">
            <v>Ternera</v>
          </cell>
          <cell r="H1956" t="str">
            <v>consulta_externa</v>
          </cell>
          <cell r="J1956" t="str">
            <v>bueno</v>
          </cell>
          <cell r="K1956" t="str">
            <v>defsi</v>
          </cell>
        </row>
        <row r="1957">
          <cell r="B1957" t="b">
            <v>1</v>
          </cell>
          <cell r="E1957" t="str">
            <v>Ternera</v>
          </cell>
          <cell r="H1957" t="str">
            <v>salud_oral</v>
          </cell>
          <cell r="J1957" t="str">
            <v>bueno</v>
          </cell>
          <cell r="K1957" t="str">
            <v>defsi</v>
          </cell>
        </row>
        <row r="1958">
          <cell r="B1958" t="b">
            <v>1</v>
          </cell>
          <cell r="E1958" t="str">
            <v>Ternera</v>
          </cell>
          <cell r="H1958" t="str">
            <v>laboratorio</v>
          </cell>
          <cell r="J1958" t="str">
            <v>bueno</v>
          </cell>
          <cell r="K1958" t="str">
            <v>defsi</v>
          </cell>
        </row>
        <row r="1959">
          <cell r="B1959" t="b">
            <v>1</v>
          </cell>
          <cell r="E1959" t="str">
            <v>Ternera</v>
          </cell>
          <cell r="H1959" t="str">
            <v>consulta_externa</v>
          </cell>
          <cell r="J1959" t="str">
            <v>bueno</v>
          </cell>
          <cell r="K1959" t="str">
            <v>defsi</v>
          </cell>
        </row>
        <row r="1960">
          <cell r="B1960" t="b">
            <v>1</v>
          </cell>
          <cell r="E1960" t="str">
            <v>Ternera</v>
          </cell>
          <cell r="H1960" t="str">
            <v>salud_oral</v>
          </cell>
          <cell r="J1960" t="str">
            <v>bueno</v>
          </cell>
          <cell r="K1960" t="str">
            <v>defsi</v>
          </cell>
        </row>
        <row r="1961">
          <cell r="B1961" t="b">
            <v>1</v>
          </cell>
          <cell r="E1961" t="str">
            <v>Ternera</v>
          </cell>
          <cell r="H1961" t="str">
            <v>laboratorio</v>
          </cell>
          <cell r="J1961" t="str">
            <v>bueno</v>
          </cell>
          <cell r="K1961" t="str">
            <v>defsi</v>
          </cell>
        </row>
        <row r="1962">
          <cell r="B1962" t="b">
            <v>1</v>
          </cell>
          <cell r="E1962" t="str">
            <v>Bicentenario</v>
          </cell>
          <cell r="H1962" t="str">
            <v>salud_oral</v>
          </cell>
          <cell r="J1962" t="str">
            <v>bueno</v>
          </cell>
          <cell r="K1962" t="str">
            <v>defsi</v>
          </cell>
        </row>
        <row r="1963">
          <cell r="B1963" t="b">
            <v>1</v>
          </cell>
          <cell r="E1963" t="str">
            <v>Bicentenario</v>
          </cell>
          <cell r="H1963" t="str">
            <v>salud_oral</v>
          </cell>
          <cell r="J1963" t="str">
            <v>bueno</v>
          </cell>
          <cell r="K1963" t="str">
            <v>defsi</v>
          </cell>
        </row>
        <row r="1964">
          <cell r="B1964" t="b">
            <v>1</v>
          </cell>
          <cell r="E1964" t="str">
            <v>Bicentenario</v>
          </cell>
          <cell r="H1964" t="str">
            <v>salud_oral</v>
          </cell>
          <cell r="J1964" t="str">
            <v>bueno</v>
          </cell>
          <cell r="K1964" t="str">
            <v>defsi</v>
          </cell>
        </row>
        <row r="1965">
          <cell r="B1965" t="b">
            <v>1</v>
          </cell>
          <cell r="E1965" t="str">
            <v>Bicentenario</v>
          </cell>
          <cell r="H1965" t="str">
            <v>salud_oral</v>
          </cell>
          <cell r="J1965" t="str">
            <v>bueno</v>
          </cell>
          <cell r="K1965" t="str">
            <v>defsi</v>
          </cell>
        </row>
        <row r="1966">
          <cell r="B1966" t="b">
            <v>1</v>
          </cell>
          <cell r="E1966" t="str">
            <v>Bicentenario</v>
          </cell>
          <cell r="H1966" t="str">
            <v>salud_oral</v>
          </cell>
          <cell r="J1966" t="str">
            <v>bueno</v>
          </cell>
          <cell r="K1966" t="str">
            <v>defsi</v>
          </cell>
        </row>
        <row r="1967">
          <cell r="B1967" t="b">
            <v>1</v>
          </cell>
          <cell r="E1967" t="str">
            <v>Bicentenario</v>
          </cell>
          <cell r="H1967" t="str">
            <v>salud_oral</v>
          </cell>
          <cell r="J1967" t="str">
            <v>bueno</v>
          </cell>
          <cell r="K1967" t="str">
            <v>defsi</v>
          </cell>
        </row>
        <row r="1968">
          <cell r="B1968" t="b">
            <v>1</v>
          </cell>
          <cell r="E1968" t="str">
            <v>Ternera</v>
          </cell>
          <cell r="H1968" t="str">
            <v>consulta_externa</v>
          </cell>
          <cell r="J1968" t="str">
            <v>bueno</v>
          </cell>
          <cell r="K1968" t="str">
            <v>defsi</v>
          </cell>
        </row>
        <row r="1969">
          <cell r="B1969" t="b">
            <v>1</v>
          </cell>
          <cell r="E1969" t="str">
            <v>Bicentenario</v>
          </cell>
          <cell r="H1969" t="str">
            <v>salud_oral</v>
          </cell>
          <cell r="J1969" t="str">
            <v>bueno</v>
          </cell>
          <cell r="K1969" t="str">
            <v>defsi</v>
          </cell>
        </row>
        <row r="1970">
          <cell r="B1970" t="b">
            <v>1</v>
          </cell>
          <cell r="E1970" t="str">
            <v>Ternera</v>
          </cell>
          <cell r="H1970" t="str">
            <v>salud_oral</v>
          </cell>
          <cell r="J1970" t="str">
            <v>bueno</v>
          </cell>
          <cell r="K1970" t="str">
            <v>defsi</v>
          </cell>
        </row>
        <row r="1971">
          <cell r="B1971" t="b">
            <v>1</v>
          </cell>
          <cell r="E1971" t="str">
            <v>Ternera</v>
          </cell>
          <cell r="H1971" t="str">
            <v>laboratorio</v>
          </cell>
          <cell r="J1971" t="str">
            <v>bueno</v>
          </cell>
          <cell r="K1971" t="str">
            <v>defsi</v>
          </cell>
        </row>
        <row r="1972">
          <cell r="B1972" t="b">
            <v>1</v>
          </cell>
          <cell r="E1972" t="str">
            <v>Bicentenario</v>
          </cell>
          <cell r="H1972" t="str">
            <v>salud_oral</v>
          </cell>
          <cell r="J1972" t="str">
            <v>bueno</v>
          </cell>
          <cell r="K1972" t="str">
            <v>defsi</v>
          </cell>
        </row>
        <row r="1973">
          <cell r="B1973" t="b">
            <v>1</v>
          </cell>
          <cell r="E1973" t="str">
            <v>Bicentenario</v>
          </cell>
          <cell r="H1973" t="str">
            <v>salud_oral</v>
          </cell>
          <cell r="J1973" t="str">
            <v>bueno</v>
          </cell>
          <cell r="K1973" t="str">
            <v>defsi</v>
          </cell>
        </row>
        <row r="1974">
          <cell r="B1974" t="b">
            <v>1</v>
          </cell>
          <cell r="E1974" t="str">
            <v>Ternera</v>
          </cell>
          <cell r="H1974" t="str">
            <v>consulta_externa</v>
          </cell>
          <cell r="J1974" t="str">
            <v>bueno</v>
          </cell>
          <cell r="K1974" t="str">
            <v>defsi</v>
          </cell>
        </row>
        <row r="1975">
          <cell r="B1975" t="b">
            <v>1</v>
          </cell>
          <cell r="E1975" t="str">
            <v>Ternera</v>
          </cell>
          <cell r="H1975" t="str">
            <v>salud_oral</v>
          </cell>
          <cell r="J1975" t="str">
            <v>bueno</v>
          </cell>
          <cell r="K1975" t="str">
            <v>defsi</v>
          </cell>
        </row>
        <row r="1976">
          <cell r="B1976" t="b">
            <v>1</v>
          </cell>
          <cell r="E1976" t="str">
            <v>Ternera</v>
          </cell>
          <cell r="H1976" t="str">
            <v>laboratorio</v>
          </cell>
          <cell r="J1976" t="str">
            <v>bueno</v>
          </cell>
          <cell r="K1976" t="str">
            <v>defsi</v>
          </cell>
        </row>
        <row r="1977">
          <cell r="B1977" t="b">
            <v>1</v>
          </cell>
          <cell r="E1977" t="str">
            <v>Cano de Oro</v>
          </cell>
          <cell r="H1977" t="str">
            <v>consulta_externa</v>
          </cell>
          <cell r="J1977" t="str">
            <v>bueno</v>
          </cell>
          <cell r="K1977" t="str">
            <v>probsi</v>
          </cell>
        </row>
        <row r="1978">
          <cell r="B1978" t="b">
            <v>1</v>
          </cell>
          <cell r="E1978" t="str">
            <v>Cano de Oro</v>
          </cell>
          <cell r="H1978" t="str">
            <v>consulta_externa</v>
          </cell>
          <cell r="J1978" t="str">
            <v>bueno</v>
          </cell>
          <cell r="K1978" t="str">
            <v>probsi</v>
          </cell>
        </row>
        <row r="1979">
          <cell r="B1979" t="b">
            <v>1</v>
          </cell>
          <cell r="E1979" t="str">
            <v>Cano de Oro</v>
          </cell>
          <cell r="H1979" t="str">
            <v>consulta_externa</v>
          </cell>
          <cell r="J1979" t="str">
            <v>bueno</v>
          </cell>
          <cell r="K1979" t="str">
            <v>defsi</v>
          </cell>
        </row>
        <row r="1980">
          <cell r="B1980" t="b">
            <v>1</v>
          </cell>
          <cell r="E1980" t="str">
            <v>Cano de Oro</v>
          </cell>
          <cell r="H1980" t="str">
            <v>laboratorio</v>
          </cell>
          <cell r="J1980" t="str">
            <v>bueno</v>
          </cell>
          <cell r="K1980" t="str">
            <v>defsi</v>
          </cell>
        </row>
        <row r="1981">
          <cell r="B1981" t="b">
            <v>1</v>
          </cell>
          <cell r="E1981" t="str">
            <v>Cano de Oro</v>
          </cell>
          <cell r="H1981" t="str">
            <v>laboratorio</v>
          </cell>
          <cell r="J1981" t="str">
            <v>bueno</v>
          </cell>
          <cell r="K1981" t="str">
            <v>probsi</v>
          </cell>
        </row>
        <row r="1982">
          <cell r="B1982" t="b">
            <v>1</v>
          </cell>
          <cell r="E1982" t="str">
            <v>Cano de Oro</v>
          </cell>
          <cell r="H1982" t="str">
            <v>laboratorio</v>
          </cell>
          <cell r="J1982" t="str">
            <v>bueno</v>
          </cell>
          <cell r="K1982" t="str">
            <v>probsi</v>
          </cell>
        </row>
        <row r="1983">
          <cell r="B1983" t="b">
            <v>1</v>
          </cell>
          <cell r="E1983" t="str">
            <v>Cano de Oro</v>
          </cell>
          <cell r="H1983" t="str">
            <v>laboratorio</v>
          </cell>
          <cell r="J1983" t="str">
            <v>bueno</v>
          </cell>
          <cell r="K1983" t="str">
            <v>probsi</v>
          </cell>
        </row>
        <row r="1984">
          <cell r="B1984" t="b">
            <v>1</v>
          </cell>
          <cell r="E1984" t="str">
            <v>Cano de Oro</v>
          </cell>
          <cell r="H1984" t="str">
            <v>laboratorio</v>
          </cell>
          <cell r="J1984" t="str">
            <v>bueno</v>
          </cell>
          <cell r="K1984" t="str">
            <v>probsi</v>
          </cell>
        </row>
        <row r="1985">
          <cell r="B1985" t="b">
            <v>1</v>
          </cell>
          <cell r="E1985" t="str">
            <v>Cano de Oro</v>
          </cell>
          <cell r="H1985" t="str">
            <v>laboratorio</v>
          </cell>
          <cell r="J1985" t="str">
            <v>bueno</v>
          </cell>
          <cell r="K1985" t="str">
            <v>probsi</v>
          </cell>
        </row>
        <row r="1986">
          <cell r="B1986" t="b">
            <v>1</v>
          </cell>
          <cell r="E1986" t="str">
            <v>Cano de Oro</v>
          </cell>
          <cell r="H1986" t="str">
            <v>laboratorio</v>
          </cell>
          <cell r="J1986" t="str">
            <v>bueno</v>
          </cell>
          <cell r="K1986" t="str">
            <v>probsi</v>
          </cell>
        </row>
        <row r="1987">
          <cell r="B1987" t="b">
            <v>1</v>
          </cell>
          <cell r="E1987" t="str">
            <v>Cano de Oro</v>
          </cell>
          <cell r="H1987" t="str">
            <v>laboratorio</v>
          </cell>
          <cell r="J1987" t="str">
            <v>bueno</v>
          </cell>
          <cell r="K1987" t="str">
            <v>probsi</v>
          </cell>
        </row>
        <row r="1988">
          <cell r="B1988" t="b">
            <v>1</v>
          </cell>
          <cell r="E1988" t="str">
            <v>Cano de Oro</v>
          </cell>
          <cell r="H1988" t="str">
            <v>salud_oral</v>
          </cell>
          <cell r="J1988" t="str">
            <v>bueno</v>
          </cell>
          <cell r="K1988" t="str">
            <v>probsi</v>
          </cell>
        </row>
        <row r="1989">
          <cell r="B1989" t="b">
            <v>1</v>
          </cell>
          <cell r="E1989" t="str">
            <v>Cano de Oro</v>
          </cell>
          <cell r="H1989" t="str">
            <v>salud_oral</v>
          </cell>
          <cell r="J1989" t="str">
            <v>bueno</v>
          </cell>
          <cell r="K1989" t="str">
            <v>probsi</v>
          </cell>
        </row>
        <row r="1990">
          <cell r="B1990" t="b">
            <v>1</v>
          </cell>
          <cell r="E1990" t="str">
            <v>Cano de Oro</v>
          </cell>
          <cell r="H1990" t="str">
            <v>salud_oral</v>
          </cell>
          <cell r="J1990" t="str">
            <v>bueno</v>
          </cell>
          <cell r="K1990" t="str">
            <v>probsi</v>
          </cell>
        </row>
        <row r="1991">
          <cell r="B1991" t="b">
            <v>1</v>
          </cell>
          <cell r="E1991" t="str">
            <v>Cano de Oro</v>
          </cell>
          <cell r="H1991" t="str">
            <v>salud_oral</v>
          </cell>
          <cell r="J1991" t="str">
            <v>bueno</v>
          </cell>
          <cell r="K1991" t="str">
            <v>probsi</v>
          </cell>
        </row>
        <row r="1992">
          <cell r="B1992" t="b">
            <v>1</v>
          </cell>
          <cell r="E1992" t="str">
            <v>Santa Ana</v>
          </cell>
          <cell r="H1992" t="str">
            <v>consulta_externa</v>
          </cell>
          <cell r="J1992" t="str">
            <v>muybueno</v>
          </cell>
          <cell r="K1992" t="str">
            <v>defsi</v>
          </cell>
        </row>
        <row r="1993">
          <cell r="B1993" t="b">
            <v>1</v>
          </cell>
          <cell r="E1993" t="str">
            <v>Santa Ana</v>
          </cell>
          <cell r="H1993" t="str">
            <v>laboratorio</v>
          </cell>
          <cell r="J1993" t="str">
            <v>muybueno</v>
          </cell>
          <cell r="K1993" t="str">
            <v>defsi</v>
          </cell>
        </row>
        <row r="1994">
          <cell r="B1994" t="b">
            <v>1</v>
          </cell>
          <cell r="E1994" t="str">
            <v>Cano de Oro</v>
          </cell>
          <cell r="H1994" t="str">
            <v>consulta_externa</v>
          </cell>
          <cell r="J1994" t="str">
            <v>bueno</v>
          </cell>
          <cell r="K1994" t="str">
            <v>probsi</v>
          </cell>
        </row>
        <row r="1995">
          <cell r="B1995" t="b">
            <v>1</v>
          </cell>
          <cell r="E1995" t="str">
            <v>Cano de Oro</v>
          </cell>
          <cell r="H1995" t="str">
            <v>consulta_externa</v>
          </cell>
          <cell r="J1995" t="str">
            <v>bueno</v>
          </cell>
          <cell r="K1995" t="str">
            <v>probsi</v>
          </cell>
        </row>
        <row r="1996">
          <cell r="B1996" t="b">
            <v>1</v>
          </cell>
          <cell r="E1996" t="str">
            <v>Cano de Oro</v>
          </cell>
          <cell r="H1996" t="str">
            <v>salud_oral</v>
          </cell>
          <cell r="J1996" t="str">
            <v>bueno</v>
          </cell>
          <cell r="K1996" t="str">
            <v>probsi</v>
          </cell>
        </row>
        <row r="1997">
          <cell r="B1997" t="b">
            <v>1</v>
          </cell>
          <cell r="E1997" t="str">
            <v>Cano de Oro</v>
          </cell>
          <cell r="H1997" t="str">
            <v>salud_oral</v>
          </cell>
          <cell r="J1997" t="str">
            <v>bueno</v>
          </cell>
          <cell r="K1997" t="str">
            <v>probsi</v>
          </cell>
        </row>
        <row r="1998">
          <cell r="B1998" t="b">
            <v>1</v>
          </cell>
          <cell r="E1998" t="str">
            <v>Cano de Oro</v>
          </cell>
          <cell r="H1998" t="str">
            <v>laboratorio</v>
          </cell>
          <cell r="J1998" t="str">
            <v>bueno</v>
          </cell>
          <cell r="K1998" t="str">
            <v>probsi</v>
          </cell>
        </row>
        <row r="1999">
          <cell r="B1999" t="b">
            <v>1</v>
          </cell>
          <cell r="E1999" t="str">
            <v>Baru</v>
          </cell>
          <cell r="H1999" t="str">
            <v>consulta_externa</v>
          </cell>
          <cell r="J1999" t="str">
            <v>muybueno</v>
          </cell>
          <cell r="K1999" t="str">
            <v>defsi</v>
          </cell>
        </row>
        <row r="2000">
          <cell r="B2000" t="b">
            <v>1</v>
          </cell>
          <cell r="E2000" t="str">
            <v>Cano de Oro</v>
          </cell>
          <cell r="H2000" t="str">
            <v>laboratorio</v>
          </cell>
          <cell r="J2000" t="str">
            <v>bueno</v>
          </cell>
          <cell r="K2000" t="str">
            <v>probsi</v>
          </cell>
        </row>
        <row r="2001">
          <cell r="B2001" t="b">
            <v>1</v>
          </cell>
          <cell r="E2001" t="str">
            <v>Baru</v>
          </cell>
          <cell r="H2001" t="str">
            <v>consulta_externa</v>
          </cell>
          <cell r="J2001" t="str">
            <v>muybueno</v>
          </cell>
          <cell r="K2001" t="str">
            <v>defsi</v>
          </cell>
        </row>
        <row r="2002">
          <cell r="B2002" t="b">
            <v>1</v>
          </cell>
          <cell r="E2002" t="str">
            <v>Baru</v>
          </cell>
          <cell r="H2002" t="str">
            <v>salud_oral</v>
          </cell>
          <cell r="J2002" t="str">
            <v>muybueno</v>
          </cell>
          <cell r="K2002" t="str">
            <v>defsi</v>
          </cell>
        </row>
        <row r="2003">
          <cell r="B2003" t="b">
            <v>1</v>
          </cell>
          <cell r="E2003" t="str">
            <v>Ternera</v>
          </cell>
          <cell r="H2003" t="str">
            <v>salud_oral</v>
          </cell>
          <cell r="J2003" t="str">
            <v>bueno</v>
          </cell>
          <cell r="K2003" t="str">
            <v>defsi</v>
          </cell>
        </row>
        <row r="2004">
          <cell r="B2004" t="b">
            <v>1</v>
          </cell>
          <cell r="E2004" t="str">
            <v>Ternera</v>
          </cell>
          <cell r="H2004" t="str">
            <v>salud_oral</v>
          </cell>
          <cell r="J2004" t="str">
            <v>bueno</v>
          </cell>
          <cell r="K2004" t="str">
            <v>defsi</v>
          </cell>
        </row>
        <row r="2005">
          <cell r="B2005" t="b">
            <v>1</v>
          </cell>
          <cell r="E2005" t="str">
            <v>Ternera</v>
          </cell>
          <cell r="H2005" t="str">
            <v>laboratorio</v>
          </cell>
          <cell r="J2005" t="str">
            <v>bueno</v>
          </cell>
          <cell r="K2005" t="str">
            <v>defsi</v>
          </cell>
        </row>
        <row r="2006">
          <cell r="B2006" t="b">
            <v>1</v>
          </cell>
          <cell r="E2006" t="str">
            <v>Ternera</v>
          </cell>
          <cell r="H2006" t="str">
            <v>consulta_externa</v>
          </cell>
          <cell r="J2006" t="str">
            <v>bueno</v>
          </cell>
          <cell r="K2006" t="str">
            <v>defsi</v>
          </cell>
        </row>
        <row r="2007">
          <cell r="B2007" t="b">
            <v>1</v>
          </cell>
          <cell r="E2007" t="str">
            <v>Ternera</v>
          </cell>
          <cell r="H2007" t="str">
            <v>salud_oral</v>
          </cell>
          <cell r="J2007" t="str">
            <v>bueno</v>
          </cell>
          <cell r="K2007" t="str">
            <v>defsi</v>
          </cell>
        </row>
        <row r="2008">
          <cell r="B2008" t="b">
            <v>1</v>
          </cell>
          <cell r="E2008" t="str">
            <v>Socorro</v>
          </cell>
          <cell r="H2008" t="str">
            <v>consulta_externa</v>
          </cell>
          <cell r="J2008" t="str">
            <v>bueno</v>
          </cell>
          <cell r="K2008" t="str">
            <v>defsi</v>
          </cell>
        </row>
        <row r="2009">
          <cell r="B2009" t="b">
            <v>1</v>
          </cell>
          <cell r="E2009" t="str">
            <v>Socorro</v>
          </cell>
          <cell r="H2009" t="str">
            <v>salud_oral</v>
          </cell>
          <cell r="J2009" t="str">
            <v>bueno</v>
          </cell>
          <cell r="K2009" t="str">
            <v>defsi</v>
          </cell>
        </row>
        <row r="2010">
          <cell r="B2010" t="b">
            <v>1</v>
          </cell>
          <cell r="E2010" t="str">
            <v>Socorro</v>
          </cell>
          <cell r="H2010" t="str">
            <v>laboratorio</v>
          </cell>
          <cell r="J2010" t="str">
            <v>bueno</v>
          </cell>
          <cell r="K2010" t="str">
            <v>defsi</v>
          </cell>
        </row>
        <row r="2011">
          <cell r="B2011" t="b">
            <v>1</v>
          </cell>
          <cell r="E2011" t="str">
            <v>Socorro</v>
          </cell>
          <cell r="H2011" t="str">
            <v>ecografias</v>
          </cell>
          <cell r="J2011" t="str">
            <v>bueno</v>
          </cell>
          <cell r="K2011" t="str">
            <v>defsi</v>
          </cell>
        </row>
        <row r="2012">
          <cell r="B2012" t="b">
            <v>1</v>
          </cell>
          <cell r="E2012" t="str">
            <v>Baru</v>
          </cell>
          <cell r="H2012" t="str">
            <v>consulta_externa</v>
          </cell>
          <cell r="J2012" t="str">
            <v>muybueno</v>
          </cell>
          <cell r="K2012" t="str">
            <v>defsi</v>
          </cell>
        </row>
        <row r="2013">
          <cell r="B2013" t="b">
            <v>1</v>
          </cell>
          <cell r="E2013" t="str">
            <v>Socorro</v>
          </cell>
          <cell r="H2013" t="str">
            <v>salud_oral</v>
          </cell>
          <cell r="J2013" t="str">
            <v>bueno</v>
          </cell>
          <cell r="K2013" t="str">
            <v>defsi</v>
          </cell>
        </row>
        <row r="2014">
          <cell r="B2014" t="b">
            <v>1</v>
          </cell>
          <cell r="E2014" t="str">
            <v>Baru</v>
          </cell>
          <cell r="H2014" t="str">
            <v>laboratorio</v>
          </cell>
          <cell r="J2014" t="str">
            <v>muybueno</v>
          </cell>
          <cell r="K2014" t="str">
            <v>defsi</v>
          </cell>
        </row>
        <row r="2015">
          <cell r="B2015" t="b">
            <v>1</v>
          </cell>
          <cell r="E2015" t="str">
            <v>Fredonia</v>
          </cell>
          <cell r="H2015" t="str">
            <v>consulta_externa</v>
          </cell>
          <cell r="J2015" t="str">
            <v>muybueno</v>
          </cell>
          <cell r="K2015" t="str">
            <v>defsi</v>
          </cell>
        </row>
        <row r="2016">
          <cell r="B2016" t="b">
            <v>1</v>
          </cell>
          <cell r="E2016" t="str">
            <v>Fredonia</v>
          </cell>
          <cell r="H2016" t="str">
            <v>laboratorio</v>
          </cell>
          <cell r="J2016" t="str">
            <v>bueno</v>
          </cell>
          <cell r="K2016" t="str">
            <v>defsi</v>
          </cell>
        </row>
        <row r="2017">
          <cell r="B2017" t="b">
            <v>1</v>
          </cell>
          <cell r="E2017" t="str">
            <v>Fredonia</v>
          </cell>
          <cell r="H2017" t="str">
            <v>consulta_externa</v>
          </cell>
          <cell r="J2017" t="str">
            <v>bueno</v>
          </cell>
          <cell r="K2017" t="str">
            <v>defsi</v>
          </cell>
        </row>
        <row r="2018">
          <cell r="B2018" t="b">
            <v>1</v>
          </cell>
          <cell r="E2018" t="str">
            <v>Fredonia</v>
          </cell>
          <cell r="H2018" t="str">
            <v>laboratorio</v>
          </cell>
          <cell r="J2018" t="str">
            <v>bueno</v>
          </cell>
          <cell r="K2018" t="str">
            <v>defsi</v>
          </cell>
        </row>
        <row r="2019">
          <cell r="B2019" t="b">
            <v>1</v>
          </cell>
          <cell r="E2019" t="str">
            <v>Fredonia</v>
          </cell>
          <cell r="H2019" t="str">
            <v>laboratorio</v>
          </cell>
          <cell r="J2019" t="str">
            <v>bueno</v>
          </cell>
          <cell r="K2019" t="str">
            <v>defsi</v>
          </cell>
        </row>
        <row r="2020">
          <cell r="B2020" t="b">
            <v>1</v>
          </cell>
          <cell r="E2020" t="str">
            <v>Fredonia</v>
          </cell>
          <cell r="H2020" t="str">
            <v>consulta_externa</v>
          </cell>
          <cell r="J2020" t="str">
            <v>bueno</v>
          </cell>
          <cell r="K2020" t="str">
            <v>defsi</v>
          </cell>
        </row>
        <row r="2021">
          <cell r="B2021" t="b">
            <v>1</v>
          </cell>
          <cell r="E2021" t="str">
            <v>Fredonia</v>
          </cell>
          <cell r="H2021" t="str">
            <v>salud_oral</v>
          </cell>
          <cell r="J2021" t="str">
            <v>bueno</v>
          </cell>
          <cell r="K2021" t="str">
            <v>defsi</v>
          </cell>
        </row>
        <row r="2022">
          <cell r="B2022" t="b">
            <v>0</v>
          </cell>
          <cell r="E2022" t="str">
            <v>Fredonia</v>
          </cell>
          <cell r="H2022" t="str">
            <v>laboratorio</v>
          </cell>
          <cell r="J2022" t="str">
            <v>regular</v>
          </cell>
          <cell r="K2022" t="str">
            <v>probsi</v>
          </cell>
        </row>
        <row r="2023">
          <cell r="B2023" t="b">
            <v>1</v>
          </cell>
          <cell r="E2023" t="str">
            <v>Baru</v>
          </cell>
          <cell r="H2023" t="str">
            <v>consulta_externa</v>
          </cell>
          <cell r="J2023" t="str">
            <v>muybueno</v>
          </cell>
          <cell r="K2023" t="str">
            <v>defsi</v>
          </cell>
        </row>
        <row r="2024">
          <cell r="B2024" t="b">
            <v>0</v>
          </cell>
          <cell r="E2024" t="str">
            <v>Fredonia</v>
          </cell>
          <cell r="H2024" t="str">
            <v>salud_oral</v>
          </cell>
          <cell r="J2024" t="str">
            <v>regular</v>
          </cell>
          <cell r="K2024" t="str">
            <v>probsi</v>
          </cell>
        </row>
        <row r="2025">
          <cell r="B2025" t="b">
            <v>1</v>
          </cell>
          <cell r="E2025" t="str">
            <v>Baru</v>
          </cell>
          <cell r="H2025" t="str">
            <v>laboratorio</v>
          </cell>
          <cell r="J2025" t="str">
            <v>muybueno</v>
          </cell>
          <cell r="K2025" t="str">
            <v>defsi</v>
          </cell>
        </row>
        <row r="2026">
          <cell r="B2026" t="b">
            <v>1</v>
          </cell>
          <cell r="E2026" t="str">
            <v>Fredonia</v>
          </cell>
          <cell r="H2026" t="str">
            <v>salud_oral</v>
          </cell>
          <cell r="J2026" t="str">
            <v>bueno</v>
          </cell>
          <cell r="K2026" t="str">
            <v>defsi</v>
          </cell>
        </row>
        <row r="2027">
          <cell r="B2027" t="b">
            <v>1</v>
          </cell>
          <cell r="E2027" t="str">
            <v>Fredonia</v>
          </cell>
          <cell r="H2027" t="str">
            <v>consulta_externa</v>
          </cell>
          <cell r="J2027" t="str">
            <v>bueno</v>
          </cell>
          <cell r="K2027" t="str">
            <v>defsi</v>
          </cell>
        </row>
        <row r="2028">
          <cell r="B2028" t="b">
            <v>1</v>
          </cell>
          <cell r="E2028" t="str">
            <v>Fredonia</v>
          </cell>
          <cell r="H2028" t="str">
            <v>consulta_externa</v>
          </cell>
          <cell r="J2028" t="str">
            <v>bueno</v>
          </cell>
          <cell r="K2028" t="str">
            <v>defsi</v>
          </cell>
        </row>
        <row r="2029">
          <cell r="B2029" t="b">
            <v>1</v>
          </cell>
          <cell r="E2029" t="str">
            <v>Fredonia</v>
          </cell>
          <cell r="H2029" t="str">
            <v>consulta_externa</v>
          </cell>
          <cell r="J2029" t="str">
            <v>bueno</v>
          </cell>
          <cell r="K2029" t="str">
            <v>defsi</v>
          </cell>
        </row>
        <row r="2030">
          <cell r="B2030" t="b">
            <v>1</v>
          </cell>
          <cell r="E2030" t="str">
            <v>Fredonia</v>
          </cell>
          <cell r="H2030" t="str">
            <v>laboratorio</v>
          </cell>
          <cell r="J2030" t="str">
            <v>bueno</v>
          </cell>
          <cell r="K2030" t="str">
            <v>defsi</v>
          </cell>
        </row>
        <row r="2031">
          <cell r="B2031" t="b">
            <v>1</v>
          </cell>
          <cell r="E2031" t="str">
            <v>Blasdelezo</v>
          </cell>
          <cell r="H2031" t="str">
            <v>pediatria</v>
          </cell>
          <cell r="J2031" t="str">
            <v>bueno</v>
          </cell>
          <cell r="K2031" t="str">
            <v>probsi</v>
          </cell>
        </row>
        <row r="2032">
          <cell r="B2032" t="b">
            <v>1</v>
          </cell>
          <cell r="E2032" t="str">
            <v>Blasdelezo</v>
          </cell>
          <cell r="H2032" t="str">
            <v>pediatria</v>
          </cell>
          <cell r="J2032" t="str">
            <v>bueno</v>
          </cell>
          <cell r="K2032" t="str">
            <v>probsi</v>
          </cell>
        </row>
        <row r="2033">
          <cell r="B2033" t="b">
            <v>1</v>
          </cell>
          <cell r="E2033" t="str">
            <v>Blasdelezo</v>
          </cell>
          <cell r="H2033" t="str">
            <v>pediatria</v>
          </cell>
          <cell r="J2033" t="str">
            <v>bueno</v>
          </cell>
          <cell r="K2033" t="str">
            <v>probsi</v>
          </cell>
        </row>
        <row r="2034">
          <cell r="B2034" t="b">
            <v>1</v>
          </cell>
          <cell r="E2034" t="str">
            <v>Blasdelezo</v>
          </cell>
          <cell r="H2034" t="str">
            <v>pediatria</v>
          </cell>
          <cell r="J2034" t="str">
            <v>bueno</v>
          </cell>
          <cell r="K2034" t="str">
            <v>probsi</v>
          </cell>
        </row>
        <row r="2035">
          <cell r="B2035" t="b">
            <v>1</v>
          </cell>
          <cell r="E2035" t="str">
            <v>Blasdelezo</v>
          </cell>
          <cell r="H2035" t="str">
            <v>pediatria</v>
          </cell>
          <cell r="J2035" t="str">
            <v>bueno</v>
          </cell>
          <cell r="K2035" t="str">
            <v>probsi</v>
          </cell>
        </row>
        <row r="2036">
          <cell r="B2036" t="b">
            <v>0</v>
          </cell>
          <cell r="E2036" t="str">
            <v>Blasdelezo</v>
          </cell>
          <cell r="H2036" t="str">
            <v>medicina_interna</v>
          </cell>
          <cell r="J2036" t="str">
            <v>regular</v>
          </cell>
          <cell r="K2036" t="str">
            <v>probsi</v>
          </cell>
        </row>
        <row r="2037">
          <cell r="B2037" t="b">
            <v>1</v>
          </cell>
          <cell r="E2037" t="str">
            <v>Blasdelezo</v>
          </cell>
          <cell r="H2037" t="str">
            <v>medicina_interna</v>
          </cell>
          <cell r="J2037" t="str">
            <v>bueno</v>
          </cell>
          <cell r="K2037" t="str">
            <v>probsi</v>
          </cell>
        </row>
        <row r="2038">
          <cell r="B2038" t="b">
            <v>1</v>
          </cell>
          <cell r="E2038" t="str">
            <v>Blasdelezo</v>
          </cell>
          <cell r="H2038" t="str">
            <v>medicina_interna</v>
          </cell>
          <cell r="J2038" t="str">
            <v>bueno</v>
          </cell>
          <cell r="K2038" t="str">
            <v>probsi</v>
          </cell>
        </row>
        <row r="2039">
          <cell r="B2039" t="b">
            <v>1</v>
          </cell>
          <cell r="E2039" t="str">
            <v>Bosque</v>
          </cell>
          <cell r="H2039" t="str">
            <v>consulta_externa</v>
          </cell>
          <cell r="J2039" t="str">
            <v>bueno</v>
          </cell>
          <cell r="K2039" t="str">
            <v>probsi</v>
          </cell>
        </row>
        <row r="2040">
          <cell r="B2040" t="b">
            <v>1</v>
          </cell>
          <cell r="E2040" t="str">
            <v>Bosque</v>
          </cell>
          <cell r="H2040" t="str">
            <v>consulta_externa</v>
          </cell>
          <cell r="J2040" t="str">
            <v>bueno</v>
          </cell>
          <cell r="K2040" t="str">
            <v>probsi</v>
          </cell>
        </row>
        <row r="2041">
          <cell r="B2041" t="b">
            <v>1</v>
          </cell>
          <cell r="E2041" t="str">
            <v>Bosque</v>
          </cell>
          <cell r="H2041" t="str">
            <v>consulta_externa</v>
          </cell>
          <cell r="J2041" t="str">
            <v>bueno</v>
          </cell>
          <cell r="K2041" t="str">
            <v>probsi</v>
          </cell>
        </row>
        <row r="2042">
          <cell r="B2042" t="b">
            <v>1</v>
          </cell>
          <cell r="E2042" t="str">
            <v>Bosque</v>
          </cell>
          <cell r="H2042" t="str">
            <v>consulta_externa</v>
          </cell>
          <cell r="J2042" t="str">
            <v>bueno</v>
          </cell>
          <cell r="K2042" t="str">
            <v>probsi</v>
          </cell>
        </row>
        <row r="2043">
          <cell r="B2043" t="b">
            <v>1</v>
          </cell>
          <cell r="E2043" t="str">
            <v>Bosque</v>
          </cell>
          <cell r="H2043" t="str">
            <v>consulta_externa</v>
          </cell>
          <cell r="J2043" t="str">
            <v>bueno</v>
          </cell>
          <cell r="K2043" t="str">
            <v>probsi</v>
          </cell>
        </row>
        <row r="2044">
          <cell r="B2044" t="b">
            <v>1</v>
          </cell>
          <cell r="E2044" t="str">
            <v>Bosque</v>
          </cell>
          <cell r="H2044" t="str">
            <v>consulta_externa</v>
          </cell>
          <cell r="J2044" t="str">
            <v>bueno</v>
          </cell>
          <cell r="K2044" t="str">
            <v>probsi</v>
          </cell>
        </row>
        <row r="2045">
          <cell r="B2045" t="b">
            <v>1</v>
          </cell>
          <cell r="E2045" t="str">
            <v>Bosque</v>
          </cell>
          <cell r="H2045" t="str">
            <v>salud_oral</v>
          </cell>
          <cell r="J2045" t="str">
            <v>bueno</v>
          </cell>
          <cell r="K2045" t="str">
            <v>probsi</v>
          </cell>
        </row>
        <row r="2046">
          <cell r="B2046" t="b">
            <v>1</v>
          </cell>
          <cell r="E2046" t="str">
            <v>Bosque</v>
          </cell>
          <cell r="H2046" t="str">
            <v>salud_oral</v>
          </cell>
          <cell r="J2046" t="str">
            <v>bueno</v>
          </cell>
          <cell r="K2046" t="str">
            <v>probsi</v>
          </cell>
        </row>
        <row r="2047">
          <cell r="B2047" t="b">
            <v>1</v>
          </cell>
          <cell r="E2047" t="str">
            <v>Bosque</v>
          </cell>
          <cell r="H2047" t="str">
            <v>salud_oral</v>
          </cell>
          <cell r="J2047" t="str">
            <v>bueno</v>
          </cell>
          <cell r="K2047" t="str">
            <v>probsi</v>
          </cell>
        </row>
        <row r="2048">
          <cell r="B2048" t="b">
            <v>1</v>
          </cell>
          <cell r="E2048" t="str">
            <v>Bosque</v>
          </cell>
          <cell r="H2048" t="str">
            <v>salud_oral</v>
          </cell>
          <cell r="J2048" t="str">
            <v>bueno</v>
          </cell>
          <cell r="K2048" t="str">
            <v>probsi</v>
          </cell>
        </row>
        <row r="2049">
          <cell r="B2049" t="b">
            <v>1</v>
          </cell>
          <cell r="E2049" t="str">
            <v>Bosque</v>
          </cell>
          <cell r="H2049" t="str">
            <v>salud_oral</v>
          </cell>
          <cell r="J2049" t="str">
            <v>bueno</v>
          </cell>
          <cell r="K2049" t="str">
            <v>probsi</v>
          </cell>
        </row>
        <row r="2050">
          <cell r="B2050" t="b">
            <v>1</v>
          </cell>
          <cell r="E2050" t="str">
            <v>Bosque</v>
          </cell>
          <cell r="H2050" t="str">
            <v>laboratorio</v>
          </cell>
          <cell r="J2050" t="str">
            <v>bueno</v>
          </cell>
          <cell r="K2050" t="str">
            <v>probsi</v>
          </cell>
        </row>
        <row r="2051">
          <cell r="B2051" t="b">
            <v>1</v>
          </cell>
          <cell r="E2051" t="str">
            <v>Bosque</v>
          </cell>
          <cell r="H2051" t="str">
            <v>laboratorio</v>
          </cell>
          <cell r="J2051" t="str">
            <v>bueno</v>
          </cell>
          <cell r="K2051" t="str">
            <v>probsi</v>
          </cell>
        </row>
        <row r="2052">
          <cell r="B2052" t="b">
            <v>1</v>
          </cell>
          <cell r="E2052" t="str">
            <v>Bosque</v>
          </cell>
          <cell r="H2052" t="str">
            <v>laboratorio</v>
          </cell>
          <cell r="J2052" t="str">
            <v>bueno</v>
          </cell>
          <cell r="K2052" t="str">
            <v>probsi</v>
          </cell>
        </row>
        <row r="2053">
          <cell r="B2053" t="b">
            <v>1</v>
          </cell>
          <cell r="E2053" t="str">
            <v>Bosque</v>
          </cell>
          <cell r="H2053" t="str">
            <v>laboratorio</v>
          </cell>
          <cell r="J2053" t="str">
            <v>bueno</v>
          </cell>
          <cell r="K2053" t="str">
            <v>probsi</v>
          </cell>
        </row>
        <row r="2054">
          <cell r="B2054" t="b">
            <v>1</v>
          </cell>
          <cell r="E2054" t="str">
            <v>Bosque</v>
          </cell>
          <cell r="H2054" t="str">
            <v>laboratorio</v>
          </cell>
          <cell r="J2054" t="str">
            <v>bueno</v>
          </cell>
          <cell r="K2054" t="str">
            <v>probsi</v>
          </cell>
        </row>
        <row r="2055">
          <cell r="B2055" t="b">
            <v>1</v>
          </cell>
          <cell r="E2055" t="str">
            <v>Bosque</v>
          </cell>
          <cell r="H2055" t="str">
            <v>laboratorio</v>
          </cell>
          <cell r="J2055" t="str">
            <v>bueno</v>
          </cell>
          <cell r="K2055" t="str">
            <v>probsi</v>
          </cell>
        </row>
        <row r="2056">
          <cell r="B2056" t="b">
            <v>1</v>
          </cell>
          <cell r="E2056" t="str">
            <v>Socorro</v>
          </cell>
          <cell r="H2056" t="str">
            <v>consulta_externa</v>
          </cell>
          <cell r="J2056" t="str">
            <v>bueno</v>
          </cell>
          <cell r="K2056" t="str">
            <v>defsi</v>
          </cell>
        </row>
        <row r="2057">
          <cell r="B2057" t="b">
            <v>1</v>
          </cell>
          <cell r="E2057" t="str">
            <v>Socorro</v>
          </cell>
          <cell r="H2057" t="str">
            <v>consulta_externa</v>
          </cell>
          <cell r="J2057" t="str">
            <v>bueno</v>
          </cell>
          <cell r="K2057" t="str">
            <v>defsi</v>
          </cell>
        </row>
        <row r="2058">
          <cell r="B2058" t="b">
            <v>1</v>
          </cell>
          <cell r="E2058" t="str">
            <v>Socorro</v>
          </cell>
          <cell r="H2058" t="str">
            <v>consulta_externa</v>
          </cell>
          <cell r="J2058" t="str">
            <v>bueno</v>
          </cell>
          <cell r="K2058" t="str">
            <v>defsi</v>
          </cell>
        </row>
        <row r="2059">
          <cell r="B2059" t="b">
            <v>1</v>
          </cell>
          <cell r="E2059" t="str">
            <v>Socorro</v>
          </cell>
          <cell r="H2059" t="str">
            <v>laboratorio</v>
          </cell>
          <cell r="J2059" t="str">
            <v>bueno</v>
          </cell>
          <cell r="K2059" t="str">
            <v>defsi</v>
          </cell>
        </row>
        <row r="2060">
          <cell r="B2060" t="b">
            <v>1</v>
          </cell>
          <cell r="E2060" t="str">
            <v>Socorro</v>
          </cell>
          <cell r="H2060" t="str">
            <v>ecografias</v>
          </cell>
          <cell r="J2060" t="str">
            <v>bueno</v>
          </cell>
          <cell r="K2060" t="str">
            <v>defsi</v>
          </cell>
        </row>
        <row r="2061">
          <cell r="B2061" t="b">
            <v>1</v>
          </cell>
          <cell r="E2061" t="str">
            <v>Socorro</v>
          </cell>
          <cell r="H2061" t="str">
            <v>consulta_externa</v>
          </cell>
          <cell r="J2061" t="str">
            <v>bueno</v>
          </cell>
          <cell r="K2061" t="str">
            <v>defsi</v>
          </cell>
        </row>
        <row r="2062">
          <cell r="B2062" t="b">
            <v>1</v>
          </cell>
          <cell r="E2062" t="str">
            <v>Socorro</v>
          </cell>
          <cell r="H2062" t="str">
            <v>salud_oral</v>
          </cell>
          <cell r="J2062" t="str">
            <v>bueno</v>
          </cell>
          <cell r="K2062" t="str">
            <v>defsi</v>
          </cell>
        </row>
        <row r="2063">
          <cell r="B2063" t="b">
            <v>1</v>
          </cell>
          <cell r="E2063" t="str">
            <v>Socorro</v>
          </cell>
          <cell r="H2063" t="str">
            <v>laboratorio</v>
          </cell>
          <cell r="J2063" t="str">
            <v>bueno</v>
          </cell>
          <cell r="K2063" t="str">
            <v>defsi</v>
          </cell>
        </row>
        <row r="2064">
          <cell r="B2064" t="b">
            <v>1</v>
          </cell>
          <cell r="E2064" t="str">
            <v>Socorro</v>
          </cell>
          <cell r="H2064" t="str">
            <v>ecografias</v>
          </cell>
          <cell r="J2064" t="str">
            <v>bueno</v>
          </cell>
          <cell r="K2064" t="str">
            <v>defsi</v>
          </cell>
        </row>
        <row r="2065">
          <cell r="B2065" t="b">
            <v>1</v>
          </cell>
          <cell r="E2065" t="str">
            <v>Socorro</v>
          </cell>
          <cell r="H2065" t="str">
            <v>consulta_externa</v>
          </cell>
          <cell r="J2065" t="str">
            <v>bueno</v>
          </cell>
          <cell r="K2065" t="str">
            <v>defsi</v>
          </cell>
        </row>
        <row r="2066">
          <cell r="B2066" t="b">
            <v>1</v>
          </cell>
          <cell r="E2066" t="str">
            <v>Socorro</v>
          </cell>
          <cell r="H2066" t="str">
            <v>salud_oral</v>
          </cell>
          <cell r="J2066" t="str">
            <v>bueno</v>
          </cell>
          <cell r="K2066" t="str">
            <v>defsi</v>
          </cell>
        </row>
        <row r="2067">
          <cell r="B2067" t="b">
            <v>1</v>
          </cell>
          <cell r="E2067" t="str">
            <v>Socorro</v>
          </cell>
          <cell r="H2067" t="str">
            <v>laboratorio</v>
          </cell>
          <cell r="J2067" t="str">
            <v>bueno</v>
          </cell>
          <cell r="K2067" t="str">
            <v>defsi</v>
          </cell>
        </row>
        <row r="2068">
          <cell r="B2068" t="b">
            <v>1</v>
          </cell>
          <cell r="E2068" t="str">
            <v>Socorro</v>
          </cell>
          <cell r="H2068" t="str">
            <v>ecografias</v>
          </cell>
          <cell r="J2068" t="str">
            <v>bueno</v>
          </cell>
          <cell r="K2068" t="str">
            <v>defsi</v>
          </cell>
        </row>
        <row r="2069">
          <cell r="B2069" t="b">
            <v>1</v>
          </cell>
          <cell r="E2069" t="str">
            <v>Socorro</v>
          </cell>
          <cell r="H2069" t="str">
            <v>consulta_externa</v>
          </cell>
          <cell r="J2069" t="str">
            <v>bueno</v>
          </cell>
          <cell r="K2069" t="str">
            <v>defsi</v>
          </cell>
        </row>
        <row r="2070">
          <cell r="B2070" t="b">
            <v>1</v>
          </cell>
          <cell r="E2070" t="str">
            <v>Socorro</v>
          </cell>
          <cell r="H2070" t="str">
            <v>salud_oral</v>
          </cell>
          <cell r="J2070" t="str">
            <v>bueno</v>
          </cell>
          <cell r="K2070" t="str">
            <v>defsi</v>
          </cell>
        </row>
        <row r="2071">
          <cell r="B2071" t="b">
            <v>1</v>
          </cell>
          <cell r="E2071" t="str">
            <v>Socorro</v>
          </cell>
          <cell r="H2071" t="str">
            <v>laboratorio</v>
          </cell>
          <cell r="J2071" t="str">
            <v>bueno</v>
          </cell>
          <cell r="K2071" t="str">
            <v>defsi</v>
          </cell>
        </row>
        <row r="2072">
          <cell r="B2072" t="b">
            <v>1</v>
          </cell>
          <cell r="E2072" t="str">
            <v>Socorro</v>
          </cell>
          <cell r="H2072" t="str">
            <v>ecografias</v>
          </cell>
          <cell r="J2072" t="str">
            <v>bueno</v>
          </cell>
          <cell r="K2072" t="str">
            <v>defsi</v>
          </cell>
        </row>
        <row r="2073">
          <cell r="B2073" t="b">
            <v>1</v>
          </cell>
          <cell r="E2073" t="str">
            <v>Socorro</v>
          </cell>
          <cell r="H2073" t="str">
            <v>consulta_externa</v>
          </cell>
          <cell r="J2073" t="str">
            <v>bueno</v>
          </cell>
          <cell r="K2073" t="str">
            <v>defsi</v>
          </cell>
        </row>
        <row r="2074">
          <cell r="B2074" t="b">
            <v>1</v>
          </cell>
          <cell r="E2074" t="str">
            <v>Socorro</v>
          </cell>
          <cell r="H2074" t="str">
            <v>salud_oral</v>
          </cell>
          <cell r="J2074" t="str">
            <v>bueno</v>
          </cell>
          <cell r="K2074" t="str">
            <v>defsi</v>
          </cell>
        </row>
        <row r="2075">
          <cell r="B2075" t="b">
            <v>1</v>
          </cell>
          <cell r="E2075" t="str">
            <v>Socorro</v>
          </cell>
          <cell r="H2075" t="str">
            <v>laboratorio</v>
          </cell>
          <cell r="J2075" t="str">
            <v>bueno</v>
          </cell>
          <cell r="K2075" t="str">
            <v>defsi</v>
          </cell>
        </row>
        <row r="2076">
          <cell r="B2076" t="b">
            <v>1</v>
          </cell>
          <cell r="E2076" t="str">
            <v>Socorro</v>
          </cell>
          <cell r="H2076" t="str">
            <v>ecografias</v>
          </cell>
          <cell r="J2076" t="str">
            <v>bueno</v>
          </cell>
          <cell r="K2076" t="str">
            <v>defsi</v>
          </cell>
        </row>
        <row r="2077">
          <cell r="B2077" t="b">
            <v>1</v>
          </cell>
          <cell r="E2077" t="str">
            <v>Socorro</v>
          </cell>
          <cell r="H2077" t="str">
            <v>consulta_externa</v>
          </cell>
          <cell r="J2077" t="str">
            <v>bueno</v>
          </cell>
          <cell r="K2077" t="str">
            <v>defsi</v>
          </cell>
        </row>
        <row r="2078">
          <cell r="B2078" t="b">
            <v>1</v>
          </cell>
          <cell r="E2078" t="str">
            <v>Socorro</v>
          </cell>
          <cell r="H2078" t="str">
            <v>salud_oral</v>
          </cell>
          <cell r="J2078" t="str">
            <v>bueno</v>
          </cell>
          <cell r="K2078" t="str">
            <v>defsi</v>
          </cell>
        </row>
        <row r="2079">
          <cell r="B2079" t="b">
            <v>1</v>
          </cell>
          <cell r="E2079" t="str">
            <v>Socorro</v>
          </cell>
          <cell r="H2079" t="str">
            <v>laboratorio</v>
          </cell>
          <cell r="J2079" t="str">
            <v>bueno</v>
          </cell>
          <cell r="K2079" t="str">
            <v>defsi</v>
          </cell>
        </row>
        <row r="2080">
          <cell r="B2080" t="b">
            <v>1</v>
          </cell>
          <cell r="E2080" t="str">
            <v>Socorro</v>
          </cell>
          <cell r="H2080" t="str">
            <v>ecografias</v>
          </cell>
          <cell r="J2080" t="str">
            <v>bueno</v>
          </cell>
          <cell r="K2080" t="str">
            <v>defsi</v>
          </cell>
        </row>
        <row r="2081">
          <cell r="B2081" t="b">
            <v>1</v>
          </cell>
          <cell r="E2081" t="str">
            <v>Socorro</v>
          </cell>
          <cell r="H2081" t="str">
            <v>consulta_externa</v>
          </cell>
          <cell r="J2081" t="str">
            <v>bueno</v>
          </cell>
          <cell r="K2081" t="str">
            <v>defsi</v>
          </cell>
        </row>
        <row r="2082">
          <cell r="B2082" t="b">
            <v>1</v>
          </cell>
          <cell r="E2082" t="str">
            <v>Socorro</v>
          </cell>
          <cell r="H2082" t="str">
            <v>salud_oral</v>
          </cell>
          <cell r="J2082" t="str">
            <v>bueno</v>
          </cell>
          <cell r="K2082" t="str">
            <v>defsi</v>
          </cell>
        </row>
        <row r="2083">
          <cell r="B2083" t="b">
            <v>1</v>
          </cell>
          <cell r="E2083" t="str">
            <v>Socorro</v>
          </cell>
          <cell r="H2083" t="str">
            <v>laboratorio</v>
          </cell>
          <cell r="J2083" t="str">
            <v>bueno</v>
          </cell>
          <cell r="K2083" t="str">
            <v>defsi</v>
          </cell>
        </row>
        <row r="2084">
          <cell r="B2084" t="b">
            <v>1</v>
          </cell>
          <cell r="E2084" t="str">
            <v>Socorro</v>
          </cell>
          <cell r="H2084" t="str">
            <v>ecografias</v>
          </cell>
          <cell r="J2084" t="str">
            <v>bueno</v>
          </cell>
          <cell r="K2084" t="str">
            <v>defsi</v>
          </cell>
        </row>
        <row r="2085">
          <cell r="B2085" t="b">
            <v>1</v>
          </cell>
          <cell r="E2085" t="str">
            <v>Socorro</v>
          </cell>
          <cell r="H2085" t="str">
            <v>consulta_externa</v>
          </cell>
          <cell r="J2085" t="str">
            <v>bueno</v>
          </cell>
          <cell r="K2085" t="str">
            <v>defsi</v>
          </cell>
        </row>
        <row r="2086">
          <cell r="B2086" t="b">
            <v>1</v>
          </cell>
          <cell r="E2086" t="str">
            <v>Socorro</v>
          </cell>
          <cell r="H2086" t="str">
            <v>salud_oral</v>
          </cell>
          <cell r="J2086" t="str">
            <v>bueno</v>
          </cell>
          <cell r="K2086" t="str">
            <v>defsi</v>
          </cell>
        </row>
        <row r="2087">
          <cell r="B2087" t="b">
            <v>1</v>
          </cell>
          <cell r="E2087" t="str">
            <v>Socorro</v>
          </cell>
          <cell r="H2087" t="str">
            <v>laboratorio</v>
          </cell>
          <cell r="J2087" t="str">
            <v>bueno</v>
          </cell>
          <cell r="K2087" t="str">
            <v>defsi</v>
          </cell>
        </row>
        <row r="2088">
          <cell r="B2088" t="b">
            <v>1</v>
          </cell>
          <cell r="E2088" t="str">
            <v>Socorro</v>
          </cell>
          <cell r="H2088" t="str">
            <v>ecografias</v>
          </cell>
          <cell r="J2088" t="str">
            <v>bueno</v>
          </cell>
          <cell r="K2088" t="str">
            <v>defsi</v>
          </cell>
        </row>
        <row r="2089">
          <cell r="B2089" t="b">
            <v>1</v>
          </cell>
          <cell r="E2089" t="str">
            <v>Socorro</v>
          </cell>
          <cell r="H2089" t="str">
            <v>consulta_externa</v>
          </cell>
          <cell r="J2089" t="str">
            <v>bueno</v>
          </cell>
          <cell r="K2089" t="str">
            <v>defsi</v>
          </cell>
        </row>
        <row r="2090">
          <cell r="B2090" t="b">
            <v>1</v>
          </cell>
          <cell r="E2090" t="str">
            <v>Socorro</v>
          </cell>
          <cell r="H2090" t="str">
            <v>salud_oral</v>
          </cell>
          <cell r="J2090" t="str">
            <v>bueno</v>
          </cell>
          <cell r="K2090" t="str">
            <v>defsi</v>
          </cell>
        </row>
        <row r="2091">
          <cell r="B2091" t="b">
            <v>1</v>
          </cell>
          <cell r="E2091" t="str">
            <v>Socorro</v>
          </cell>
          <cell r="H2091" t="str">
            <v>laboratorio</v>
          </cell>
          <cell r="J2091" t="str">
            <v>bueno</v>
          </cell>
          <cell r="K2091" t="str">
            <v>defsi</v>
          </cell>
        </row>
        <row r="2092">
          <cell r="B2092" t="b">
            <v>1</v>
          </cell>
          <cell r="E2092" t="str">
            <v>Socorro</v>
          </cell>
          <cell r="H2092" t="str">
            <v>ecografias</v>
          </cell>
          <cell r="J2092" t="str">
            <v>bueno</v>
          </cell>
          <cell r="K2092" t="str">
            <v>defsi</v>
          </cell>
        </row>
        <row r="2093">
          <cell r="B2093" t="b">
            <v>1</v>
          </cell>
          <cell r="E2093" t="str">
            <v>Fredonia</v>
          </cell>
          <cell r="H2093" t="str">
            <v>consulta_externa</v>
          </cell>
          <cell r="J2093" t="str">
            <v>bueno</v>
          </cell>
          <cell r="K2093" t="str">
            <v>defsi</v>
          </cell>
        </row>
        <row r="2094">
          <cell r="B2094" t="b">
            <v>1</v>
          </cell>
          <cell r="E2094" t="str">
            <v>Fredonia</v>
          </cell>
          <cell r="H2094" t="str">
            <v>laboratorio</v>
          </cell>
          <cell r="J2094" t="str">
            <v>bueno</v>
          </cell>
          <cell r="K2094" t="str">
            <v>defsi</v>
          </cell>
        </row>
        <row r="2095">
          <cell r="B2095" t="b">
            <v>1</v>
          </cell>
          <cell r="E2095" t="str">
            <v>Fredonia</v>
          </cell>
          <cell r="H2095" t="str">
            <v>salud_oral</v>
          </cell>
          <cell r="J2095" t="str">
            <v>bueno</v>
          </cell>
          <cell r="K2095" t="str">
            <v>defsi</v>
          </cell>
        </row>
        <row r="2096">
          <cell r="B2096" t="b">
            <v>0</v>
          </cell>
          <cell r="E2096" t="str">
            <v>Fredonia</v>
          </cell>
          <cell r="H2096" t="str">
            <v>salud_oral</v>
          </cell>
          <cell r="J2096" t="str">
            <v>regular</v>
          </cell>
          <cell r="K2096" t="str">
            <v>defsi</v>
          </cell>
        </row>
        <row r="2097">
          <cell r="B2097" t="b">
            <v>1</v>
          </cell>
          <cell r="E2097" t="str">
            <v>Fredonia</v>
          </cell>
          <cell r="H2097" t="str">
            <v>salud_oral</v>
          </cell>
          <cell r="J2097" t="str">
            <v>bueno</v>
          </cell>
          <cell r="K2097" t="str">
            <v>defsi</v>
          </cell>
        </row>
        <row r="2098">
          <cell r="B2098" t="b">
            <v>1</v>
          </cell>
          <cell r="E2098" t="str">
            <v>Fredonia</v>
          </cell>
          <cell r="H2098" t="str">
            <v>salud_oral</v>
          </cell>
          <cell r="J2098" t="str">
            <v>bueno</v>
          </cell>
          <cell r="K2098" t="str">
            <v>defsi</v>
          </cell>
        </row>
        <row r="2099">
          <cell r="B2099" t="b">
            <v>1</v>
          </cell>
          <cell r="E2099" t="str">
            <v>Socorro</v>
          </cell>
          <cell r="H2099" t="str">
            <v>consulta_externa</v>
          </cell>
          <cell r="J2099" t="str">
            <v>bueno</v>
          </cell>
          <cell r="K2099" t="str">
            <v>defsi</v>
          </cell>
        </row>
        <row r="2100">
          <cell r="B2100" t="b">
            <v>1</v>
          </cell>
          <cell r="E2100" t="str">
            <v>Fredonia</v>
          </cell>
          <cell r="H2100" t="str">
            <v>salud_oral</v>
          </cell>
          <cell r="J2100" t="str">
            <v>bueno</v>
          </cell>
          <cell r="K2100" t="str">
            <v>defsi</v>
          </cell>
        </row>
        <row r="2101">
          <cell r="B2101" t="b">
            <v>1</v>
          </cell>
          <cell r="E2101" t="str">
            <v>Fredonia</v>
          </cell>
          <cell r="H2101" t="str">
            <v>salud_oral</v>
          </cell>
          <cell r="J2101" t="str">
            <v>bueno</v>
          </cell>
          <cell r="K2101" t="str">
            <v>defsi</v>
          </cell>
        </row>
        <row r="2102">
          <cell r="B2102" t="b">
            <v>1</v>
          </cell>
          <cell r="E2102" t="str">
            <v>Fredonia</v>
          </cell>
          <cell r="H2102" t="str">
            <v>salud_oral</v>
          </cell>
          <cell r="J2102" t="str">
            <v>bueno</v>
          </cell>
          <cell r="K2102" t="str">
            <v>defsi</v>
          </cell>
        </row>
        <row r="2103">
          <cell r="B2103" t="b">
            <v>1</v>
          </cell>
          <cell r="E2103" t="str">
            <v>Socorro</v>
          </cell>
          <cell r="H2103" t="str">
            <v>salud_oral</v>
          </cell>
          <cell r="J2103" t="str">
            <v>bueno</v>
          </cell>
          <cell r="K2103" t="str">
            <v>defsi</v>
          </cell>
        </row>
        <row r="2104">
          <cell r="B2104" t="b">
            <v>1</v>
          </cell>
          <cell r="E2104" t="str">
            <v>Socorro</v>
          </cell>
          <cell r="H2104" t="str">
            <v>laboratorio</v>
          </cell>
          <cell r="J2104" t="str">
            <v>bueno</v>
          </cell>
          <cell r="K2104" t="str">
            <v>defsi</v>
          </cell>
        </row>
        <row r="2105">
          <cell r="B2105" t="b">
            <v>1</v>
          </cell>
          <cell r="E2105" t="str">
            <v>Fredonia</v>
          </cell>
          <cell r="H2105" t="str">
            <v>consulta_externa</v>
          </cell>
          <cell r="J2105" t="str">
            <v>bueno</v>
          </cell>
          <cell r="K2105" t="str">
            <v>defsi</v>
          </cell>
        </row>
        <row r="2106">
          <cell r="B2106" t="b">
            <v>1</v>
          </cell>
          <cell r="E2106" t="str">
            <v>Fredonia</v>
          </cell>
          <cell r="H2106" t="str">
            <v>laboratorio</v>
          </cell>
          <cell r="J2106" t="str">
            <v>bueno</v>
          </cell>
          <cell r="K2106" t="str">
            <v>defsi</v>
          </cell>
        </row>
        <row r="2107">
          <cell r="B2107" t="b">
            <v>1</v>
          </cell>
          <cell r="E2107" t="str">
            <v>Fredonia</v>
          </cell>
          <cell r="H2107" t="str">
            <v>laboratorio</v>
          </cell>
          <cell r="J2107" t="str">
            <v>bueno</v>
          </cell>
          <cell r="K2107" t="str">
            <v>defsi</v>
          </cell>
        </row>
        <row r="2108">
          <cell r="B2108" t="b">
            <v>1</v>
          </cell>
          <cell r="E2108" t="str">
            <v>Socorro</v>
          </cell>
          <cell r="H2108" t="str">
            <v>ecografias</v>
          </cell>
          <cell r="J2108" t="str">
            <v>bueno</v>
          </cell>
          <cell r="K2108" t="str">
            <v>defsi</v>
          </cell>
        </row>
        <row r="2109">
          <cell r="B2109" t="b">
            <v>1</v>
          </cell>
          <cell r="E2109" t="str">
            <v>Fredonia</v>
          </cell>
          <cell r="H2109" t="str">
            <v>consulta_externa</v>
          </cell>
          <cell r="J2109" t="str">
            <v>bueno</v>
          </cell>
          <cell r="K2109" t="str">
            <v>defsi</v>
          </cell>
        </row>
        <row r="2110">
          <cell r="B2110" t="b">
            <v>1</v>
          </cell>
          <cell r="E2110" t="str">
            <v>Fredonia</v>
          </cell>
          <cell r="H2110" t="str">
            <v>consulta_externa</v>
          </cell>
          <cell r="J2110" t="str">
            <v>bueno</v>
          </cell>
          <cell r="K2110" t="str">
            <v>defsi</v>
          </cell>
        </row>
        <row r="2111">
          <cell r="B2111" t="b">
            <v>1</v>
          </cell>
          <cell r="E2111" t="str">
            <v>Fredonia</v>
          </cell>
          <cell r="H2111" t="str">
            <v>laboratorio</v>
          </cell>
          <cell r="J2111" t="str">
            <v>bueno</v>
          </cell>
          <cell r="K2111" t="str">
            <v>defsi</v>
          </cell>
        </row>
        <row r="2112">
          <cell r="B2112" t="b">
            <v>1</v>
          </cell>
          <cell r="E2112" t="str">
            <v>Fredonia</v>
          </cell>
          <cell r="H2112" t="str">
            <v>salud_oral</v>
          </cell>
          <cell r="J2112" t="str">
            <v>bueno</v>
          </cell>
          <cell r="K2112" t="str">
            <v>defsi</v>
          </cell>
        </row>
        <row r="2113">
          <cell r="B2113" t="b">
            <v>1</v>
          </cell>
          <cell r="E2113" t="str">
            <v>Fredonia</v>
          </cell>
          <cell r="H2113" t="str">
            <v>salud_oral</v>
          </cell>
          <cell r="J2113" t="str">
            <v>bueno</v>
          </cell>
          <cell r="K2113" t="str">
            <v>defsi</v>
          </cell>
        </row>
        <row r="2114">
          <cell r="B2114" t="b">
            <v>1</v>
          </cell>
          <cell r="E2114" t="str">
            <v>Fredonia</v>
          </cell>
          <cell r="H2114" t="str">
            <v>laboratorio</v>
          </cell>
          <cell r="J2114" t="str">
            <v>bueno</v>
          </cell>
          <cell r="K2114" t="str">
            <v>defsi</v>
          </cell>
        </row>
        <row r="2115">
          <cell r="B2115" t="b">
            <v>1</v>
          </cell>
          <cell r="E2115" t="str">
            <v>Fredonia</v>
          </cell>
          <cell r="H2115" t="str">
            <v>laboratorio</v>
          </cell>
          <cell r="J2115" t="str">
            <v>bueno</v>
          </cell>
          <cell r="K2115" t="str">
            <v>defsi</v>
          </cell>
        </row>
        <row r="2116">
          <cell r="B2116" t="b">
            <v>1</v>
          </cell>
          <cell r="E2116" t="str">
            <v>Socorro</v>
          </cell>
          <cell r="H2116" t="str">
            <v>consulta_externa</v>
          </cell>
          <cell r="J2116" t="str">
            <v>bueno</v>
          </cell>
          <cell r="K2116" t="str">
            <v>defsi</v>
          </cell>
        </row>
        <row r="2117">
          <cell r="B2117" t="b">
            <v>1</v>
          </cell>
          <cell r="E2117" t="str">
            <v>Socorro</v>
          </cell>
          <cell r="H2117" t="str">
            <v>salud_oral</v>
          </cell>
          <cell r="J2117" t="str">
            <v>bueno</v>
          </cell>
          <cell r="K2117" t="str">
            <v>defsi</v>
          </cell>
        </row>
        <row r="2118">
          <cell r="B2118" t="b">
            <v>1</v>
          </cell>
          <cell r="E2118" t="str">
            <v>Socorro</v>
          </cell>
          <cell r="H2118" t="str">
            <v>laboratorio</v>
          </cell>
          <cell r="J2118" t="str">
            <v>bueno</v>
          </cell>
          <cell r="K2118" t="str">
            <v>defsi</v>
          </cell>
        </row>
        <row r="2119">
          <cell r="B2119" t="b">
            <v>1</v>
          </cell>
          <cell r="E2119" t="str">
            <v>Socorro</v>
          </cell>
          <cell r="H2119" t="str">
            <v>ecografias</v>
          </cell>
          <cell r="J2119" t="str">
            <v>bueno</v>
          </cell>
          <cell r="K2119" t="str">
            <v>defsi</v>
          </cell>
        </row>
        <row r="2120">
          <cell r="B2120" t="b">
            <v>1</v>
          </cell>
          <cell r="E2120" t="str">
            <v>Socorro</v>
          </cell>
          <cell r="H2120" t="str">
            <v>consulta_externa</v>
          </cell>
          <cell r="J2120" t="str">
            <v>bueno</v>
          </cell>
          <cell r="K2120" t="str">
            <v>defsi</v>
          </cell>
        </row>
        <row r="2121">
          <cell r="B2121" t="b">
            <v>1</v>
          </cell>
          <cell r="E2121" t="str">
            <v>Socorro</v>
          </cell>
          <cell r="H2121" t="str">
            <v>salud_oral</v>
          </cell>
          <cell r="J2121" t="str">
            <v>bueno</v>
          </cell>
          <cell r="K2121" t="str">
            <v>defsi</v>
          </cell>
        </row>
        <row r="2122">
          <cell r="B2122" t="b">
            <v>1</v>
          </cell>
          <cell r="E2122" t="str">
            <v>Socorro</v>
          </cell>
          <cell r="H2122" t="str">
            <v>laboratorio</v>
          </cell>
          <cell r="J2122" t="str">
            <v>bueno</v>
          </cell>
          <cell r="K2122" t="str">
            <v>defsi</v>
          </cell>
        </row>
        <row r="2123">
          <cell r="B2123" t="b">
            <v>1</v>
          </cell>
          <cell r="E2123" t="str">
            <v>Socorro</v>
          </cell>
          <cell r="H2123" t="str">
            <v>ecografias</v>
          </cell>
          <cell r="J2123" t="str">
            <v>bueno</v>
          </cell>
          <cell r="K2123" t="str">
            <v>defsi</v>
          </cell>
        </row>
        <row r="2124">
          <cell r="B2124" t="b">
            <v>1</v>
          </cell>
          <cell r="E2124" t="str">
            <v>Bosque</v>
          </cell>
          <cell r="H2124" t="str">
            <v>consulta_externa</v>
          </cell>
          <cell r="J2124" t="str">
            <v>bueno</v>
          </cell>
          <cell r="K2124" t="str">
            <v>probsi</v>
          </cell>
        </row>
        <row r="2125">
          <cell r="B2125" t="b">
            <v>1</v>
          </cell>
          <cell r="E2125" t="str">
            <v>Bosque</v>
          </cell>
          <cell r="H2125" t="str">
            <v>consulta_externa</v>
          </cell>
          <cell r="J2125" t="str">
            <v>bueno</v>
          </cell>
          <cell r="K2125" t="str">
            <v>probsi</v>
          </cell>
        </row>
        <row r="2126">
          <cell r="B2126" t="b">
            <v>1</v>
          </cell>
          <cell r="E2126" t="str">
            <v>Bosque</v>
          </cell>
          <cell r="H2126" t="str">
            <v>consulta_externa</v>
          </cell>
          <cell r="J2126" t="str">
            <v>bueno</v>
          </cell>
          <cell r="K2126" t="str">
            <v>probsi</v>
          </cell>
        </row>
        <row r="2127">
          <cell r="B2127" t="b">
            <v>1</v>
          </cell>
          <cell r="E2127" t="str">
            <v>Bosque</v>
          </cell>
          <cell r="H2127" t="str">
            <v>consulta_externa</v>
          </cell>
          <cell r="J2127" t="str">
            <v>bueno</v>
          </cell>
          <cell r="K2127" t="str">
            <v>probsi</v>
          </cell>
        </row>
        <row r="2128">
          <cell r="B2128" t="b">
            <v>1</v>
          </cell>
          <cell r="E2128" t="str">
            <v>Bosque</v>
          </cell>
          <cell r="H2128" t="str">
            <v>consulta_externa</v>
          </cell>
          <cell r="J2128" t="str">
            <v>bueno</v>
          </cell>
          <cell r="K2128" t="str">
            <v>probsi</v>
          </cell>
        </row>
        <row r="2129">
          <cell r="B2129" t="b">
            <v>1</v>
          </cell>
          <cell r="E2129" t="str">
            <v>Bosque</v>
          </cell>
          <cell r="H2129" t="str">
            <v>consulta_externa</v>
          </cell>
          <cell r="J2129" t="str">
            <v>bueno</v>
          </cell>
          <cell r="K2129" t="str">
            <v>probsi</v>
          </cell>
        </row>
        <row r="2130">
          <cell r="B2130" t="b">
            <v>1</v>
          </cell>
          <cell r="E2130" t="str">
            <v>Bosque</v>
          </cell>
          <cell r="H2130" t="str">
            <v>salud_oral</v>
          </cell>
          <cell r="J2130" t="str">
            <v>bueno</v>
          </cell>
          <cell r="K2130" t="str">
            <v>probsi</v>
          </cell>
        </row>
        <row r="2131">
          <cell r="B2131" t="b">
            <v>1</v>
          </cell>
          <cell r="E2131" t="str">
            <v>Bosque</v>
          </cell>
          <cell r="H2131" t="str">
            <v>salud_oral</v>
          </cell>
          <cell r="J2131" t="str">
            <v>bueno</v>
          </cell>
          <cell r="K2131" t="str">
            <v>probsi</v>
          </cell>
        </row>
        <row r="2132">
          <cell r="B2132" t="b">
            <v>1</v>
          </cell>
          <cell r="E2132" t="str">
            <v>Bosque</v>
          </cell>
          <cell r="H2132" t="str">
            <v>salud_oral</v>
          </cell>
          <cell r="J2132" t="str">
            <v>bueno</v>
          </cell>
          <cell r="K2132" t="str">
            <v>probsi</v>
          </cell>
        </row>
        <row r="2133">
          <cell r="B2133" t="b">
            <v>1</v>
          </cell>
          <cell r="E2133" t="str">
            <v>Bosque</v>
          </cell>
          <cell r="H2133" t="str">
            <v>salud_oral</v>
          </cell>
          <cell r="J2133" t="str">
            <v>bueno</v>
          </cell>
          <cell r="K2133" t="str">
            <v>probsi</v>
          </cell>
        </row>
        <row r="2134">
          <cell r="B2134" t="b">
            <v>1</v>
          </cell>
          <cell r="E2134" t="str">
            <v>Bosque</v>
          </cell>
          <cell r="H2134" t="str">
            <v>salud_oral</v>
          </cell>
          <cell r="J2134" t="str">
            <v>bueno</v>
          </cell>
          <cell r="K2134" t="str">
            <v>probsi</v>
          </cell>
        </row>
        <row r="2135">
          <cell r="B2135" t="b">
            <v>1</v>
          </cell>
          <cell r="E2135" t="str">
            <v>Bosque</v>
          </cell>
          <cell r="H2135" t="str">
            <v>laboratorio</v>
          </cell>
          <cell r="J2135" t="str">
            <v>bueno</v>
          </cell>
          <cell r="K2135" t="str">
            <v>probsi</v>
          </cell>
        </row>
        <row r="2136">
          <cell r="B2136" t="b">
            <v>1</v>
          </cell>
          <cell r="E2136" t="str">
            <v>Bosque</v>
          </cell>
          <cell r="H2136" t="str">
            <v>laboratorio</v>
          </cell>
          <cell r="J2136" t="str">
            <v>bueno</v>
          </cell>
          <cell r="K2136" t="str">
            <v>probsi</v>
          </cell>
        </row>
        <row r="2137">
          <cell r="B2137" t="b">
            <v>1</v>
          </cell>
          <cell r="E2137" t="str">
            <v>Bosque</v>
          </cell>
          <cell r="H2137" t="str">
            <v>laboratorio</v>
          </cell>
          <cell r="J2137" t="str">
            <v>bueno</v>
          </cell>
          <cell r="K2137" t="str">
            <v>probsi</v>
          </cell>
        </row>
        <row r="2138">
          <cell r="B2138" t="b">
            <v>1</v>
          </cell>
          <cell r="E2138" t="str">
            <v>Bosque</v>
          </cell>
          <cell r="H2138" t="str">
            <v>laboratorio</v>
          </cell>
          <cell r="J2138" t="str">
            <v>bueno</v>
          </cell>
          <cell r="K2138" t="str">
            <v>probsi</v>
          </cell>
        </row>
        <row r="2139">
          <cell r="B2139" t="b">
            <v>1</v>
          </cell>
          <cell r="E2139" t="str">
            <v>Bosque</v>
          </cell>
          <cell r="H2139" t="str">
            <v>laboratorio</v>
          </cell>
          <cell r="J2139" t="str">
            <v>bueno</v>
          </cell>
          <cell r="K2139" t="str">
            <v>probsi</v>
          </cell>
        </row>
        <row r="2140">
          <cell r="B2140" t="b">
            <v>1</v>
          </cell>
          <cell r="E2140" t="str">
            <v>Socorro</v>
          </cell>
          <cell r="H2140" t="str">
            <v>consulta_externa</v>
          </cell>
          <cell r="J2140" t="str">
            <v>bueno</v>
          </cell>
          <cell r="K2140" t="str">
            <v>defsi</v>
          </cell>
        </row>
        <row r="2141">
          <cell r="B2141" t="b">
            <v>1</v>
          </cell>
          <cell r="E2141" t="str">
            <v>Socorro</v>
          </cell>
          <cell r="H2141" t="str">
            <v>salud_oral</v>
          </cell>
          <cell r="J2141" t="str">
            <v>bueno</v>
          </cell>
          <cell r="K2141" t="str">
            <v>defsi</v>
          </cell>
        </row>
        <row r="2142">
          <cell r="B2142" t="b">
            <v>1</v>
          </cell>
          <cell r="E2142" t="str">
            <v>Socorro</v>
          </cell>
          <cell r="H2142" t="str">
            <v>laboratorio</v>
          </cell>
          <cell r="J2142" t="str">
            <v>bueno</v>
          </cell>
          <cell r="K2142" t="str">
            <v>defsi</v>
          </cell>
        </row>
        <row r="2143">
          <cell r="B2143" t="b">
            <v>1</v>
          </cell>
          <cell r="E2143" t="str">
            <v>Socorro</v>
          </cell>
          <cell r="H2143" t="str">
            <v>ecografias</v>
          </cell>
          <cell r="J2143" t="str">
            <v>bueno</v>
          </cell>
          <cell r="K2143" t="str">
            <v>defsi</v>
          </cell>
        </row>
        <row r="2144">
          <cell r="B2144" t="b">
            <v>1</v>
          </cell>
          <cell r="E2144" t="str">
            <v>Socorro</v>
          </cell>
          <cell r="H2144" t="str">
            <v>consulta_externa</v>
          </cell>
          <cell r="J2144" t="str">
            <v>bueno</v>
          </cell>
          <cell r="K2144" t="str">
            <v>defsi</v>
          </cell>
        </row>
        <row r="2145">
          <cell r="B2145" t="b">
            <v>1</v>
          </cell>
          <cell r="E2145" t="str">
            <v>Socorro</v>
          </cell>
          <cell r="H2145" t="str">
            <v>salud_oral</v>
          </cell>
          <cell r="J2145" t="str">
            <v>bueno</v>
          </cell>
          <cell r="K2145" t="str">
            <v>defsi</v>
          </cell>
        </row>
        <row r="2146">
          <cell r="B2146" t="b">
            <v>1</v>
          </cell>
          <cell r="E2146" t="str">
            <v>Socorro</v>
          </cell>
          <cell r="H2146" t="str">
            <v>laboratorio</v>
          </cell>
          <cell r="J2146" t="str">
            <v>bueno</v>
          </cell>
          <cell r="K2146" t="str">
            <v>defsi</v>
          </cell>
        </row>
        <row r="2147">
          <cell r="B2147" t="b">
            <v>1</v>
          </cell>
          <cell r="E2147" t="str">
            <v>Socorro</v>
          </cell>
          <cell r="H2147" t="str">
            <v>consulta_externa</v>
          </cell>
          <cell r="J2147" t="str">
            <v>bueno</v>
          </cell>
          <cell r="K2147" t="str">
            <v>defsi</v>
          </cell>
        </row>
        <row r="2148">
          <cell r="B2148" t="b">
            <v>1</v>
          </cell>
          <cell r="E2148" t="str">
            <v>Socorro</v>
          </cell>
          <cell r="H2148" t="str">
            <v>salud_oral</v>
          </cell>
          <cell r="J2148" t="str">
            <v>bueno</v>
          </cell>
          <cell r="K2148" t="str">
            <v>defsi</v>
          </cell>
        </row>
        <row r="2149">
          <cell r="B2149" t="b">
            <v>1</v>
          </cell>
          <cell r="E2149" t="str">
            <v>Socorro</v>
          </cell>
          <cell r="H2149" t="str">
            <v>laboratorio</v>
          </cell>
          <cell r="J2149" t="str">
            <v>bueno</v>
          </cell>
          <cell r="K2149" t="str">
            <v>defsi</v>
          </cell>
        </row>
        <row r="2150">
          <cell r="B2150" t="b">
            <v>1</v>
          </cell>
          <cell r="E2150" t="str">
            <v>Socorro</v>
          </cell>
          <cell r="H2150" t="str">
            <v>consulta_externa</v>
          </cell>
          <cell r="J2150" t="str">
            <v>bueno</v>
          </cell>
          <cell r="K2150" t="str">
            <v>defsi</v>
          </cell>
        </row>
        <row r="2151">
          <cell r="B2151" t="b">
            <v>1</v>
          </cell>
          <cell r="E2151" t="str">
            <v>Socorro</v>
          </cell>
          <cell r="H2151" t="str">
            <v>salud_oral</v>
          </cell>
          <cell r="J2151" t="str">
            <v>bueno</v>
          </cell>
          <cell r="K2151" t="str">
            <v>defsi</v>
          </cell>
        </row>
        <row r="2152">
          <cell r="B2152" t="b">
            <v>1</v>
          </cell>
          <cell r="E2152" t="str">
            <v>Socorro</v>
          </cell>
          <cell r="H2152" t="str">
            <v>laboratorio</v>
          </cell>
          <cell r="J2152" t="str">
            <v>bueno</v>
          </cell>
          <cell r="K2152" t="str">
            <v>defsi</v>
          </cell>
        </row>
        <row r="2153">
          <cell r="B2153" t="b">
            <v>1</v>
          </cell>
          <cell r="E2153" t="str">
            <v>Socorro</v>
          </cell>
          <cell r="H2153" t="str">
            <v>salud_oral</v>
          </cell>
          <cell r="J2153" t="str">
            <v>bueno</v>
          </cell>
          <cell r="K2153" t="str">
            <v>defsi</v>
          </cell>
        </row>
        <row r="2154">
          <cell r="B2154" t="b">
            <v>1</v>
          </cell>
          <cell r="E2154" t="str">
            <v>Socorro</v>
          </cell>
          <cell r="H2154" t="str">
            <v>laboratorio</v>
          </cell>
          <cell r="J2154" t="str">
            <v>bueno</v>
          </cell>
          <cell r="K2154" t="str">
            <v>defsi</v>
          </cell>
        </row>
        <row r="2155">
          <cell r="B2155" t="b">
            <v>1</v>
          </cell>
          <cell r="E2155" t="str">
            <v>Socorro</v>
          </cell>
          <cell r="H2155" t="str">
            <v>ecografias</v>
          </cell>
          <cell r="J2155" t="str">
            <v>bueno</v>
          </cell>
          <cell r="K2155" t="str">
            <v>defsi</v>
          </cell>
        </row>
        <row r="2156">
          <cell r="B2156" t="b">
            <v>1</v>
          </cell>
          <cell r="E2156" t="str">
            <v>Socorro</v>
          </cell>
          <cell r="H2156" t="str">
            <v>consulta_externa</v>
          </cell>
          <cell r="J2156" t="str">
            <v>bueno</v>
          </cell>
          <cell r="K2156" t="str">
            <v>defsi</v>
          </cell>
        </row>
        <row r="2157">
          <cell r="B2157" t="b">
            <v>1</v>
          </cell>
          <cell r="E2157" t="str">
            <v>Socorro</v>
          </cell>
          <cell r="H2157" t="str">
            <v>salud_oral</v>
          </cell>
          <cell r="J2157" t="str">
            <v>bueno</v>
          </cell>
          <cell r="K2157" t="str">
            <v>defsi</v>
          </cell>
        </row>
        <row r="2158">
          <cell r="B2158" t="b">
            <v>1</v>
          </cell>
          <cell r="E2158" t="str">
            <v>Socorro</v>
          </cell>
          <cell r="H2158" t="str">
            <v>laboratorio</v>
          </cell>
          <cell r="J2158" t="str">
            <v>bueno</v>
          </cell>
          <cell r="K2158" t="str">
            <v>defsi</v>
          </cell>
        </row>
        <row r="2159">
          <cell r="B2159" t="b">
            <v>1</v>
          </cell>
          <cell r="E2159" t="str">
            <v>Socorro</v>
          </cell>
          <cell r="H2159" t="str">
            <v>consulta_externa</v>
          </cell>
          <cell r="J2159" t="str">
            <v>bueno</v>
          </cell>
          <cell r="K2159" t="str">
            <v>defsi</v>
          </cell>
        </row>
        <row r="2160">
          <cell r="B2160" t="b">
            <v>1</v>
          </cell>
          <cell r="E2160" t="str">
            <v>Socorro</v>
          </cell>
          <cell r="H2160" t="str">
            <v>salud_oral</v>
          </cell>
          <cell r="J2160" t="str">
            <v>bueno</v>
          </cell>
          <cell r="K2160" t="str">
            <v>defsi</v>
          </cell>
        </row>
        <row r="2161">
          <cell r="B2161" t="b">
            <v>1</v>
          </cell>
          <cell r="E2161" t="str">
            <v>Socorro</v>
          </cell>
          <cell r="H2161" t="str">
            <v>laboratorio</v>
          </cell>
          <cell r="J2161" t="str">
            <v>bueno</v>
          </cell>
          <cell r="K2161" t="str">
            <v>defsi</v>
          </cell>
        </row>
        <row r="2162">
          <cell r="B2162" t="b">
            <v>1</v>
          </cell>
          <cell r="E2162" t="str">
            <v>Socorro</v>
          </cell>
          <cell r="H2162" t="str">
            <v>consulta_externa</v>
          </cell>
          <cell r="J2162" t="str">
            <v>bueno</v>
          </cell>
          <cell r="K2162" t="str">
            <v>defsi</v>
          </cell>
        </row>
        <row r="2163">
          <cell r="B2163" t="b">
            <v>1</v>
          </cell>
          <cell r="E2163" t="str">
            <v>Socorro</v>
          </cell>
          <cell r="H2163" t="str">
            <v>salud_oral</v>
          </cell>
          <cell r="J2163" t="str">
            <v>bueno</v>
          </cell>
          <cell r="K2163" t="str">
            <v>defsi</v>
          </cell>
        </row>
        <row r="2164">
          <cell r="B2164" t="b">
            <v>1</v>
          </cell>
          <cell r="E2164" t="str">
            <v>Socorro</v>
          </cell>
          <cell r="H2164" t="str">
            <v>laboratorio</v>
          </cell>
          <cell r="J2164" t="str">
            <v>bueno</v>
          </cell>
          <cell r="K2164" t="str">
            <v>defsi</v>
          </cell>
        </row>
        <row r="2165">
          <cell r="B2165" t="b">
            <v>1</v>
          </cell>
          <cell r="E2165" t="str">
            <v>Socorro</v>
          </cell>
          <cell r="H2165" t="str">
            <v>consulta_externa</v>
          </cell>
          <cell r="J2165" t="str">
            <v>bueno</v>
          </cell>
          <cell r="K2165" t="str">
            <v>defsi</v>
          </cell>
        </row>
        <row r="2166">
          <cell r="B2166" t="b">
            <v>1</v>
          </cell>
          <cell r="E2166" t="str">
            <v>Socorro</v>
          </cell>
          <cell r="H2166" t="str">
            <v>salud_oral</v>
          </cell>
          <cell r="J2166" t="str">
            <v>bueno</v>
          </cell>
          <cell r="K2166" t="str">
            <v>defsi</v>
          </cell>
        </row>
        <row r="2167">
          <cell r="B2167" t="b">
            <v>1</v>
          </cell>
          <cell r="E2167" t="str">
            <v>Socorro</v>
          </cell>
          <cell r="H2167" t="str">
            <v>laboratorio</v>
          </cell>
          <cell r="J2167" t="str">
            <v>bueno</v>
          </cell>
          <cell r="K2167" t="str">
            <v>defsi</v>
          </cell>
        </row>
        <row r="2168">
          <cell r="B2168" t="b">
            <v>1</v>
          </cell>
          <cell r="E2168" t="str">
            <v>Socorro</v>
          </cell>
          <cell r="H2168" t="str">
            <v>consulta_externa</v>
          </cell>
          <cell r="J2168" t="str">
            <v>bueno</v>
          </cell>
          <cell r="K2168" t="str">
            <v>defsi</v>
          </cell>
        </row>
        <row r="2169">
          <cell r="B2169" t="b">
            <v>1</v>
          </cell>
          <cell r="E2169" t="str">
            <v>Socorro</v>
          </cell>
          <cell r="H2169" t="str">
            <v>salud_oral</v>
          </cell>
          <cell r="J2169" t="str">
            <v>bueno</v>
          </cell>
          <cell r="K2169" t="str">
            <v>defsi</v>
          </cell>
        </row>
        <row r="2170">
          <cell r="B2170" t="b">
            <v>1</v>
          </cell>
          <cell r="E2170" t="str">
            <v>Socorro</v>
          </cell>
          <cell r="H2170" t="str">
            <v>laboratorio</v>
          </cell>
          <cell r="J2170" t="str">
            <v>bueno</v>
          </cell>
          <cell r="K2170" t="str">
            <v>defsi</v>
          </cell>
        </row>
        <row r="2171">
          <cell r="B2171" t="b">
            <v>1</v>
          </cell>
          <cell r="E2171" t="str">
            <v>Socorro</v>
          </cell>
          <cell r="H2171" t="str">
            <v>consulta_externa</v>
          </cell>
          <cell r="J2171" t="str">
            <v>bueno</v>
          </cell>
          <cell r="K2171" t="str">
            <v>defsi</v>
          </cell>
        </row>
        <row r="2172">
          <cell r="B2172" t="b">
            <v>1</v>
          </cell>
          <cell r="E2172" t="str">
            <v>Socorro</v>
          </cell>
          <cell r="H2172" t="str">
            <v>salud_oral</v>
          </cell>
          <cell r="J2172" t="str">
            <v>bueno</v>
          </cell>
          <cell r="K2172" t="str">
            <v>defsi</v>
          </cell>
        </row>
        <row r="2173">
          <cell r="B2173" t="b">
            <v>1</v>
          </cell>
          <cell r="E2173" t="str">
            <v>Socorro</v>
          </cell>
          <cell r="H2173" t="str">
            <v>laboratorio</v>
          </cell>
          <cell r="J2173" t="str">
            <v>bueno</v>
          </cell>
          <cell r="K2173" t="str">
            <v>defsi</v>
          </cell>
        </row>
        <row r="2174">
          <cell r="B2174" t="b">
            <v>1</v>
          </cell>
          <cell r="E2174" t="str">
            <v>Manzanillo</v>
          </cell>
          <cell r="H2174" t="str">
            <v>consulta_externa</v>
          </cell>
          <cell r="J2174" t="str">
            <v>bueno</v>
          </cell>
          <cell r="K2174" t="str">
            <v>probsi</v>
          </cell>
        </row>
        <row r="2175">
          <cell r="B2175" t="b">
            <v>1</v>
          </cell>
          <cell r="E2175" t="str">
            <v>Manzanillo</v>
          </cell>
          <cell r="H2175" t="str">
            <v>salud_oral</v>
          </cell>
          <cell r="J2175" t="str">
            <v>muybueno</v>
          </cell>
          <cell r="K2175" t="str">
            <v>probsi</v>
          </cell>
        </row>
        <row r="2176">
          <cell r="B2176" t="b">
            <v>1</v>
          </cell>
          <cell r="E2176" t="str">
            <v>Manzanillo</v>
          </cell>
          <cell r="H2176" t="str">
            <v>salud_oral</v>
          </cell>
          <cell r="J2176" t="str">
            <v>muybueno</v>
          </cell>
          <cell r="K2176" t="str">
            <v>probsi</v>
          </cell>
        </row>
        <row r="2177">
          <cell r="B2177" t="b">
            <v>1</v>
          </cell>
          <cell r="E2177" t="str">
            <v>Manzanillo</v>
          </cell>
          <cell r="H2177" t="str">
            <v>salud_oral</v>
          </cell>
          <cell r="J2177" t="str">
            <v>muybueno</v>
          </cell>
          <cell r="K2177" t="str">
            <v>probsi</v>
          </cell>
        </row>
        <row r="2178">
          <cell r="B2178" t="b">
            <v>1</v>
          </cell>
          <cell r="E2178" t="str">
            <v>Baru</v>
          </cell>
          <cell r="H2178" t="str">
            <v>consulta_externa</v>
          </cell>
          <cell r="J2178" t="str">
            <v>muybueno</v>
          </cell>
          <cell r="K2178" t="str">
            <v>defsi</v>
          </cell>
        </row>
        <row r="2179">
          <cell r="B2179" t="b">
            <v>1</v>
          </cell>
          <cell r="E2179" t="str">
            <v>Baru</v>
          </cell>
          <cell r="H2179" t="str">
            <v>salud_oral</v>
          </cell>
          <cell r="J2179" t="str">
            <v>muybueno</v>
          </cell>
          <cell r="K2179" t="str">
            <v>defsi</v>
          </cell>
        </row>
        <row r="2180">
          <cell r="B2180" t="b">
            <v>1</v>
          </cell>
          <cell r="E2180" t="str">
            <v>Canapote</v>
          </cell>
          <cell r="H2180" t="str">
            <v>consulta_externa</v>
          </cell>
          <cell r="J2180" t="str">
            <v>bueno</v>
          </cell>
          <cell r="K2180" t="str">
            <v>probsi</v>
          </cell>
        </row>
        <row r="2181">
          <cell r="B2181" t="b">
            <v>0</v>
          </cell>
          <cell r="E2181" t="str">
            <v>Canapote</v>
          </cell>
          <cell r="H2181" t="str">
            <v>laboratorio</v>
          </cell>
          <cell r="J2181" t="str">
            <v>regular</v>
          </cell>
          <cell r="K2181" t="str">
            <v>probsi</v>
          </cell>
        </row>
        <row r="2182">
          <cell r="B2182" t="b">
            <v>1</v>
          </cell>
          <cell r="E2182" t="str">
            <v>Baru</v>
          </cell>
          <cell r="H2182" t="str">
            <v>laboratorio</v>
          </cell>
          <cell r="J2182" t="str">
            <v>muybueno</v>
          </cell>
          <cell r="K2182" t="str">
            <v>defsi</v>
          </cell>
        </row>
        <row r="2183">
          <cell r="B2183" t="b">
            <v>0</v>
          </cell>
          <cell r="E2183" t="str">
            <v>Canapote</v>
          </cell>
          <cell r="H2183" t="str">
            <v>laboratorio</v>
          </cell>
          <cell r="J2183" t="str">
            <v>regular</v>
          </cell>
          <cell r="K2183" t="str">
            <v>probsi</v>
          </cell>
        </row>
        <row r="2184">
          <cell r="B2184" t="b">
            <v>1</v>
          </cell>
          <cell r="E2184" t="str">
            <v>Canapote</v>
          </cell>
          <cell r="H2184" t="str">
            <v>consulta_externa</v>
          </cell>
          <cell r="J2184" t="str">
            <v>bueno</v>
          </cell>
          <cell r="K2184" t="str">
            <v>probsi</v>
          </cell>
        </row>
        <row r="2185">
          <cell r="B2185" t="b">
            <v>1</v>
          </cell>
          <cell r="E2185" t="str">
            <v>Canapote</v>
          </cell>
          <cell r="H2185" t="str">
            <v>consulta_externa</v>
          </cell>
          <cell r="J2185" t="str">
            <v>bueno</v>
          </cell>
          <cell r="K2185" t="str">
            <v>probsi</v>
          </cell>
        </row>
        <row r="2186">
          <cell r="B2186" t="b">
            <v>1</v>
          </cell>
          <cell r="E2186" t="str">
            <v>Canapote</v>
          </cell>
          <cell r="H2186" t="str">
            <v>consulta_externa</v>
          </cell>
          <cell r="J2186" t="str">
            <v>bueno</v>
          </cell>
          <cell r="K2186" t="str">
            <v>probsi</v>
          </cell>
        </row>
        <row r="2187">
          <cell r="B2187" t="b">
            <v>1</v>
          </cell>
          <cell r="E2187" t="str">
            <v>Canapote</v>
          </cell>
          <cell r="H2187" t="str">
            <v>laboratorio</v>
          </cell>
          <cell r="J2187" t="str">
            <v>bueno</v>
          </cell>
          <cell r="K2187" t="str">
            <v>probsi</v>
          </cell>
        </row>
        <row r="2188">
          <cell r="B2188" t="b">
            <v>1</v>
          </cell>
          <cell r="E2188" t="str">
            <v>Canapote</v>
          </cell>
          <cell r="H2188" t="str">
            <v>salud_oral</v>
          </cell>
          <cell r="J2188" t="str">
            <v>bueno</v>
          </cell>
          <cell r="K2188" t="str">
            <v>probsi</v>
          </cell>
        </row>
        <row r="2189">
          <cell r="B2189" t="b">
            <v>1</v>
          </cell>
          <cell r="E2189" t="str">
            <v>Canapote</v>
          </cell>
          <cell r="H2189" t="str">
            <v>salud_oral</v>
          </cell>
          <cell r="J2189" t="str">
            <v>bueno</v>
          </cell>
          <cell r="K2189" t="str">
            <v>probsi</v>
          </cell>
        </row>
        <row r="2190">
          <cell r="B2190" t="b">
            <v>1</v>
          </cell>
          <cell r="E2190" t="str">
            <v>Canapote</v>
          </cell>
          <cell r="H2190" t="str">
            <v>salud_oral</v>
          </cell>
          <cell r="J2190" t="str">
            <v>bueno</v>
          </cell>
          <cell r="K2190" t="str">
            <v>probsi</v>
          </cell>
        </row>
        <row r="2191">
          <cell r="B2191" t="b">
            <v>1</v>
          </cell>
          <cell r="E2191" t="str">
            <v>Canapote</v>
          </cell>
          <cell r="H2191" t="str">
            <v>consulta_externa</v>
          </cell>
          <cell r="J2191" t="str">
            <v>bueno</v>
          </cell>
          <cell r="K2191" t="str">
            <v>probsi</v>
          </cell>
        </row>
        <row r="2192">
          <cell r="B2192" t="b">
            <v>0</v>
          </cell>
          <cell r="E2192" t="str">
            <v>Canapote</v>
          </cell>
          <cell r="H2192" t="str">
            <v>laboratorio</v>
          </cell>
          <cell r="J2192" t="str">
            <v>regular</v>
          </cell>
          <cell r="K2192" t="str">
            <v>probsi</v>
          </cell>
        </row>
        <row r="2193">
          <cell r="B2193" t="b">
            <v>1</v>
          </cell>
          <cell r="E2193" t="str">
            <v>Baru</v>
          </cell>
          <cell r="H2193" t="str">
            <v>consulta_externa</v>
          </cell>
          <cell r="J2193" t="str">
            <v>muybueno</v>
          </cell>
          <cell r="K2193" t="str">
            <v>defsi</v>
          </cell>
        </row>
        <row r="2194">
          <cell r="B2194" t="b">
            <v>1</v>
          </cell>
          <cell r="E2194" t="str">
            <v>Canapote</v>
          </cell>
          <cell r="H2194" t="str">
            <v>consulta_externa</v>
          </cell>
          <cell r="J2194" t="str">
            <v>bueno</v>
          </cell>
          <cell r="K2194" t="str">
            <v>probsi</v>
          </cell>
        </row>
        <row r="2195">
          <cell r="B2195" t="b">
            <v>1</v>
          </cell>
          <cell r="E2195" t="str">
            <v>Baru</v>
          </cell>
          <cell r="H2195" t="str">
            <v>consulta_externa</v>
          </cell>
          <cell r="J2195" t="str">
            <v>muybueno</v>
          </cell>
          <cell r="K2195" t="str">
            <v>defsi</v>
          </cell>
        </row>
        <row r="2196">
          <cell r="B2196" t="b">
            <v>0</v>
          </cell>
          <cell r="E2196" t="str">
            <v>Canapote</v>
          </cell>
          <cell r="H2196" t="str">
            <v>laboratorio</v>
          </cell>
          <cell r="J2196" t="str">
            <v>regular</v>
          </cell>
          <cell r="K2196" t="str">
            <v>probsi</v>
          </cell>
        </row>
        <row r="2197">
          <cell r="B2197" t="b">
            <v>1</v>
          </cell>
          <cell r="E2197" t="str">
            <v>Baru</v>
          </cell>
          <cell r="H2197" t="str">
            <v>laboratorio</v>
          </cell>
          <cell r="J2197" t="str">
            <v>muybueno</v>
          </cell>
          <cell r="K2197" t="str">
            <v>defsi</v>
          </cell>
        </row>
        <row r="2198">
          <cell r="B2198" t="b">
            <v>1</v>
          </cell>
          <cell r="E2198" t="str">
            <v>Canapote</v>
          </cell>
          <cell r="H2198" t="str">
            <v>consulta_externa</v>
          </cell>
          <cell r="J2198" t="str">
            <v>bueno</v>
          </cell>
          <cell r="K2198" t="str">
            <v>probsi</v>
          </cell>
        </row>
        <row r="2199">
          <cell r="B2199" t="b">
            <v>1</v>
          </cell>
          <cell r="E2199" t="str">
            <v>Canapote</v>
          </cell>
          <cell r="H2199" t="str">
            <v>salud_oral</v>
          </cell>
          <cell r="J2199" t="str">
            <v>bueno</v>
          </cell>
          <cell r="K2199" t="str">
            <v>probsi</v>
          </cell>
        </row>
        <row r="2200">
          <cell r="B2200" t="b">
            <v>0</v>
          </cell>
          <cell r="E2200" t="str">
            <v>Canapote</v>
          </cell>
          <cell r="H2200" t="str">
            <v>consulta_externa</v>
          </cell>
          <cell r="J2200" t="str">
            <v>malo</v>
          </cell>
          <cell r="K2200" t="str">
            <v>probno</v>
          </cell>
        </row>
        <row r="2201">
          <cell r="B2201" t="b">
            <v>0</v>
          </cell>
          <cell r="E2201" t="str">
            <v>Canapote</v>
          </cell>
          <cell r="H2201" t="str">
            <v>laboratorio</v>
          </cell>
          <cell r="J2201" t="str">
            <v>malo</v>
          </cell>
          <cell r="K2201" t="str">
            <v>probno</v>
          </cell>
        </row>
        <row r="2202">
          <cell r="B2202" t="b">
            <v>1</v>
          </cell>
          <cell r="E2202" t="str">
            <v>Arroz Barato</v>
          </cell>
          <cell r="H2202" t="str">
            <v>consulta_externa</v>
          </cell>
          <cell r="J2202" t="str">
            <v>bueno</v>
          </cell>
          <cell r="K2202" t="str">
            <v>defsi</v>
          </cell>
        </row>
        <row r="2203">
          <cell r="B2203" t="b">
            <v>1</v>
          </cell>
          <cell r="E2203" t="str">
            <v>Baru</v>
          </cell>
          <cell r="H2203" t="str">
            <v>consulta_externa</v>
          </cell>
          <cell r="J2203" t="str">
            <v>muybueno</v>
          </cell>
          <cell r="K2203" t="str">
            <v>defsi</v>
          </cell>
        </row>
        <row r="2204">
          <cell r="B2204" t="b">
            <v>1</v>
          </cell>
          <cell r="E2204" t="str">
            <v>Manzanillo</v>
          </cell>
          <cell r="H2204" t="str">
            <v>consulta_externa</v>
          </cell>
          <cell r="J2204" t="str">
            <v>bueno</v>
          </cell>
          <cell r="K2204" t="str">
            <v>probsi</v>
          </cell>
        </row>
        <row r="2205">
          <cell r="B2205" t="b">
            <v>1</v>
          </cell>
          <cell r="E2205" t="str">
            <v>Arroz Barato</v>
          </cell>
          <cell r="H2205" t="str">
            <v>salud_oral</v>
          </cell>
          <cell r="J2205" t="str">
            <v>bueno</v>
          </cell>
          <cell r="K2205" t="str">
            <v>defsi</v>
          </cell>
        </row>
        <row r="2206">
          <cell r="B2206" t="b">
            <v>1</v>
          </cell>
          <cell r="E2206" t="str">
            <v>Arroz Barato</v>
          </cell>
          <cell r="H2206" t="str">
            <v>laboratorio</v>
          </cell>
          <cell r="J2206" t="str">
            <v>bueno</v>
          </cell>
          <cell r="K2206" t="str">
            <v>defsi</v>
          </cell>
        </row>
        <row r="2207">
          <cell r="B2207" t="b">
            <v>1</v>
          </cell>
          <cell r="E2207" t="str">
            <v>Arroz Barato</v>
          </cell>
          <cell r="H2207" t="str">
            <v>urgencia</v>
          </cell>
          <cell r="J2207" t="str">
            <v>bueno</v>
          </cell>
          <cell r="K2207" t="str">
            <v>defsi</v>
          </cell>
        </row>
        <row r="2208">
          <cell r="B2208" t="b">
            <v>1</v>
          </cell>
          <cell r="E2208" t="str">
            <v>Arroz Barato</v>
          </cell>
          <cell r="H2208" t="str">
            <v>rx</v>
          </cell>
          <cell r="J2208" t="str">
            <v>bueno</v>
          </cell>
          <cell r="K2208" t="str">
            <v>defsi</v>
          </cell>
        </row>
        <row r="2209">
          <cell r="B2209" t="b">
            <v>1</v>
          </cell>
          <cell r="E2209" t="str">
            <v>Manzanillo</v>
          </cell>
          <cell r="H2209" t="str">
            <v>consulta_externa</v>
          </cell>
          <cell r="J2209" t="str">
            <v>bueno</v>
          </cell>
          <cell r="K2209" t="str">
            <v>probsi</v>
          </cell>
        </row>
        <row r="2210">
          <cell r="B2210" t="b">
            <v>1</v>
          </cell>
          <cell r="E2210" t="str">
            <v>Manzanillo</v>
          </cell>
          <cell r="H2210" t="str">
            <v>laboratorio</v>
          </cell>
          <cell r="J2210" t="str">
            <v>bueno</v>
          </cell>
          <cell r="K2210" t="str">
            <v>probsi</v>
          </cell>
        </row>
        <row r="2211">
          <cell r="B2211" t="b">
            <v>1</v>
          </cell>
          <cell r="E2211" t="str">
            <v>Manzanillo</v>
          </cell>
          <cell r="H2211" t="str">
            <v>salud_oral</v>
          </cell>
          <cell r="J2211" t="str">
            <v>bueno</v>
          </cell>
          <cell r="K2211" t="str">
            <v>probsi</v>
          </cell>
        </row>
        <row r="2212">
          <cell r="B2212" t="b">
            <v>1</v>
          </cell>
          <cell r="E2212" t="str">
            <v>Manzanillo</v>
          </cell>
          <cell r="H2212" t="str">
            <v>salud_oral</v>
          </cell>
          <cell r="J2212" t="str">
            <v>bueno</v>
          </cell>
          <cell r="K2212" t="str">
            <v>probsi</v>
          </cell>
        </row>
        <row r="2213">
          <cell r="B2213" t="b">
            <v>1</v>
          </cell>
          <cell r="E2213" t="str">
            <v>Manzanillo</v>
          </cell>
          <cell r="H2213" t="str">
            <v>salud_oral</v>
          </cell>
          <cell r="J2213" t="str">
            <v>bueno</v>
          </cell>
          <cell r="K2213" t="str">
            <v>probsi</v>
          </cell>
        </row>
        <row r="2214">
          <cell r="B2214" t="b">
            <v>1</v>
          </cell>
          <cell r="E2214" t="str">
            <v>Canapote</v>
          </cell>
          <cell r="H2214" t="str">
            <v>consulta_externa</v>
          </cell>
          <cell r="J2214" t="str">
            <v>bueno</v>
          </cell>
          <cell r="K2214" t="str">
            <v>probsi</v>
          </cell>
        </row>
        <row r="2215">
          <cell r="B2215" t="b">
            <v>1</v>
          </cell>
          <cell r="E2215" t="str">
            <v>Canapote</v>
          </cell>
          <cell r="H2215" t="str">
            <v>salud_oral</v>
          </cell>
          <cell r="J2215" t="str">
            <v>bueno</v>
          </cell>
          <cell r="K2215" t="str">
            <v>probsi</v>
          </cell>
        </row>
        <row r="2216">
          <cell r="B2216" t="b">
            <v>1</v>
          </cell>
          <cell r="E2216" t="str">
            <v>Manzanillo</v>
          </cell>
          <cell r="H2216" t="str">
            <v>laboratorio</v>
          </cell>
          <cell r="J2216" t="str">
            <v>bueno</v>
          </cell>
          <cell r="K2216" t="str">
            <v>probsi</v>
          </cell>
        </row>
        <row r="2217">
          <cell r="B2217" t="b">
            <v>1</v>
          </cell>
          <cell r="E2217" t="str">
            <v>Manzanillo</v>
          </cell>
          <cell r="H2217" t="str">
            <v>laboratorio</v>
          </cell>
          <cell r="J2217" t="str">
            <v>bueno</v>
          </cell>
          <cell r="K2217" t="str">
            <v>probsi</v>
          </cell>
        </row>
        <row r="2218">
          <cell r="B2218" t="b">
            <v>1</v>
          </cell>
          <cell r="E2218" t="str">
            <v>Canapote</v>
          </cell>
          <cell r="H2218" t="str">
            <v>laboratorio</v>
          </cell>
          <cell r="J2218" t="str">
            <v>bueno</v>
          </cell>
          <cell r="K2218" t="str">
            <v>probsi</v>
          </cell>
        </row>
        <row r="2219">
          <cell r="B2219" t="b">
            <v>1</v>
          </cell>
          <cell r="E2219" t="str">
            <v>Manzanillo</v>
          </cell>
          <cell r="H2219" t="str">
            <v>laboratorio</v>
          </cell>
          <cell r="J2219" t="str">
            <v>bueno</v>
          </cell>
          <cell r="K2219" t="str">
            <v>probsi</v>
          </cell>
        </row>
        <row r="2220">
          <cell r="B2220" t="b">
            <v>1</v>
          </cell>
          <cell r="E2220" t="str">
            <v>Manzanillo</v>
          </cell>
          <cell r="H2220" t="str">
            <v>laboratorio</v>
          </cell>
          <cell r="J2220" t="str">
            <v>bueno</v>
          </cell>
          <cell r="K2220" t="str">
            <v>probsi</v>
          </cell>
        </row>
        <row r="2221">
          <cell r="B2221" t="b">
            <v>1</v>
          </cell>
          <cell r="E2221" t="str">
            <v>Baru</v>
          </cell>
          <cell r="H2221" t="str">
            <v>consulta_externa</v>
          </cell>
          <cell r="J2221" t="str">
            <v>muybueno</v>
          </cell>
          <cell r="K2221" t="str">
            <v>defsi</v>
          </cell>
        </row>
        <row r="2222">
          <cell r="B2222" t="b">
            <v>1</v>
          </cell>
          <cell r="E2222" t="str">
            <v>Baru</v>
          </cell>
          <cell r="H2222" t="str">
            <v>salud_oral</v>
          </cell>
          <cell r="J2222" t="str">
            <v>muybueno</v>
          </cell>
          <cell r="K2222" t="str">
            <v>defsi</v>
          </cell>
        </row>
        <row r="2223">
          <cell r="B2223" t="b">
            <v>1</v>
          </cell>
          <cell r="E2223" t="str">
            <v>Arroz Barato</v>
          </cell>
          <cell r="H2223" t="str">
            <v>consulta_externa</v>
          </cell>
          <cell r="J2223" t="str">
            <v>bueno</v>
          </cell>
          <cell r="K2223" t="str">
            <v>defsi</v>
          </cell>
        </row>
        <row r="2224">
          <cell r="B2224" t="b">
            <v>1</v>
          </cell>
          <cell r="E2224" t="str">
            <v>Arroz Barato</v>
          </cell>
          <cell r="H2224" t="str">
            <v>salud_oral</v>
          </cell>
          <cell r="J2224" t="str">
            <v>bueno</v>
          </cell>
          <cell r="K2224" t="str">
            <v>defsi</v>
          </cell>
        </row>
        <row r="2225">
          <cell r="B2225" t="b">
            <v>1</v>
          </cell>
          <cell r="E2225" t="str">
            <v>Arroz Barato</v>
          </cell>
          <cell r="H2225" t="str">
            <v>laboratorio</v>
          </cell>
          <cell r="J2225" t="str">
            <v>bueno</v>
          </cell>
          <cell r="K2225" t="str">
            <v>defsi</v>
          </cell>
        </row>
        <row r="2226">
          <cell r="B2226" t="b">
            <v>1</v>
          </cell>
          <cell r="E2226" t="str">
            <v>Arroz Barato</v>
          </cell>
          <cell r="H2226" t="str">
            <v>urgencia</v>
          </cell>
          <cell r="J2226" t="str">
            <v>bueno</v>
          </cell>
          <cell r="K2226" t="str">
            <v>defsi</v>
          </cell>
        </row>
        <row r="2227">
          <cell r="B2227" t="b">
            <v>1</v>
          </cell>
          <cell r="E2227" t="str">
            <v>Isla del Rosario</v>
          </cell>
          <cell r="H2227" t="str">
            <v>consulta_externa</v>
          </cell>
          <cell r="J2227" t="str">
            <v>muybueno</v>
          </cell>
          <cell r="K2227" t="str">
            <v>defsi</v>
          </cell>
        </row>
        <row r="2228">
          <cell r="B2228" t="b">
            <v>1</v>
          </cell>
          <cell r="E2228" t="str">
            <v>Isla del Rosario</v>
          </cell>
          <cell r="H2228" t="str">
            <v>laboratorio</v>
          </cell>
          <cell r="J2228" t="str">
            <v>muybueno</v>
          </cell>
          <cell r="K2228" t="str">
            <v>defsi</v>
          </cell>
        </row>
        <row r="2229">
          <cell r="B2229" t="b">
            <v>1</v>
          </cell>
          <cell r="E2229" t="str">
            <v>Arroz Barato</v>
          </cell>
          <cell r="H2229" t="str">
            <v>rx</v>
          </cell>
          <cell r="J2229" t="str">
            <v>bueno</v>
          </cell>
          <cell r="K2229" t="str">
            <v>defsi</v>
          </cell>
        </row>
        <row r="2230">
          <cell r="B2230" t="b">
            <v>1</v>
          </cell>
          <cell r="E2230" t="str">
            <v>Nelson Mandela UPA</v>
          </cell>
          <cell r="H2230" t="str">
            <v>laboratorio</v>
          </cell>
          <cell r="J2230" t="str">
            <v>bueno</v>
          </cell>
          <cell r="K2230" t="str">
            <v>defsi</v>
          </cell>
        </row>
        <row r="2231">
          <cell r="B2231" t="b">
            <v>1</v>
          </cell>
          <cell r="E2231" t="str">
            <v>Canapote</v>
          </cell>
          <cell r="H2231" t="str">
            <v>consulta_externa</v>
          </cell>
          <cell r="J2231" t="str">
            <v>bueno</v>
          </cell>
          <cell r="K2231" t="str">
            <v>probsi</v>
          </cell>
        </row>
        <row r="2232">
          <cell r="B2232" t="b">
            <v>1</v>
          </cell>
          <cell r="E2232" t="str">
            <v>Isla del Rosario</v>
          </cell>
          <cell r="H2232" t="str">
            <v>consulta_externa</v>
          </cell>
          <cell r="J2232" t="str">
            <v>muybueno</v>
          </cell>
          <cell r="K2232" t="str">
            <v>defsi</v>
          </cell>
        </row>
        <row r="2233">
          <cell r="B2233" t="b">
            <v>1</v>
          </cell>
          <cell r="E2233" t="str">
            <v>Canapote</v>
          </cell>
          <cell r="H2233" t="str">
            <v>salud_oral</v>
          </cell>
          <cell r="J2233" t="str">
            <v>bueno</v>
          </cell>
          <cell r="K2233" t="str">
            <v>probsi</v>
          </cell>
        </row>
        <row r="2234">
          <cell r="B2234" t="b">
            <v>1</v>
          </cell>
          <cell r="E2234" t="str">
            <v>Arroz Barato</v>
          </cell>
          <cell r="H2234" t="str">
            <v>consulta_externa</v>
          </cell>
          <cell r="J2234" t="str">
            <v>bueno</v>
          </cell>
          <cell r="K2234" t="str">
            <v>defsi</v>
          </cell>
        </row>
        <row r="2235">
          <cell r="B2235" t="b">
            <v>1</v>
          </cell>
          <cell r="E2235" t="str">
            <v>Canapote</v>
          </cell>
          <cell r="H2235" t="str">
            <v>consulta_externa</v>
          </cell>
          <cell r="J2235" t="str">
            <v>bueno</v>
          </cell>
          <cell r="K2235" t="str">
            <v>probsi</v>
          </cell>
        </row>
        <row r="2236">
          <cell r="B2236" t="b">
            <v>1</v>
          </cell>
          <cell r="E2236" t="str">
            <v>Arroz Barato</v>
          </cell>
          <cell r="H2236" t="str">
            <v>salud_oral</v>
          </cell>
          <cell r="J2236" t="str">
            <v>bueno</v>
          </cell>
          <cell r="K2236" t="str">
            <v>defsi</v>
          </cell>
        </row>
        <row r="2237">
          <cell r="B2237" t="b">
            <v>1</v>
          </cell>
          <cell r="E2237" t="str">
            <v>Canapote</v>
          </cell>
          <cell r="H2237" t="str">
            <v>salud_oral</v>
          </cell>
          <cell r="J2237" t="str">
            <v>bueno</v>
          </cell>
          <cell r="K2237" t="str">
            <v>probsi</v>
          </cell>
        </row>
        <row r="2238">
          <cell r="B2238" t="b">
            <v>0</v>
          </cell>
          <cell r="E2238" t="str">
            <v>Canapote</v>
          </cell>
          <cell r="H2238" t="str">
            <v>laboratorio</v>
          </cell>
          <cell r="J2238" t="str">
            <v>regular</v>
          </cell>
          <cell r="K2238" t="str">
            <v>probsi</v>
          </cell>
        </row>
        <row r="2239">
          <cell r="B2239" t="b">
            <v>1</v>
          </cell>
          <cell r="E2239" t="str">
            <v>Arroz Barato</v>
          </cell>
          <cell r="H2239" t="str">
            <v>laboratorio</v>
          </cell>
          <cell r="J2239" t="str">
            <v>bueno</v>
          </cell>
          <cell r="K2239" t="str">
            <v>defsi</v>
          </cell>
        </row>
        <row r="2240">
          <cell r="B2240" t="b">
            <v>1</v>
          </cell>
          <cell r="E2240" t="str">
            <v>Arroz Barato</v>
          </cell>
          <cell r="H2240" t="str">
            <v>urgencia</v>
          </cell>
          <cell r="J2240" t="str">
            <v>bueno</v>
          </cell>
          <cell r="K2240" t="str">
            <v>defsi</v>
          </cell>
        </row>
        <row r="2241">
          <cell r="B2241" t="b">
            <v>0</v>
          </cell>
          <cell r="E2241" t="str">
            <v>Canapote</v>
          </cell>
          <cell r="H2241" t="str">
            <v>laboratorio</v>
          </cell>
          <cell r="J2241" t="str">
            <v>regular</v>
          </cell>
          <cell r="K2241" t="str">
            <v>probsi</v>
          </cell>
        </row>
        <row r="2242">
          <cell r="B2242" t="b">
            <v>1</v>
          </cell>
          <cell r="E2242" t="str">
            <v>Arroz Barato</v>
          </cell>
          <cell r="H2242" t="str">
            <v>rx</v>
          </cell>
          <cell r="J2242" t="str">
            <v>bueno</v>
          </cell>
          <cell r="K2242" t="str">
            <v>defsi</v>
          </cell>
        </row>
        <row r="2243">
          <cell r="B2243" t="b">
            <v>1</v>
          </cell>
          <cell r="E2243" t="str">
            <v>Canapote</v>
          </cell>
          <cell r="H2243" t="str">
            <v>consulta_externa</v>
          </cell>
          <cell r="J2243" t="str">
            <v>bueno</v>
          </cell>
          <cell r="K2243" t="str">
            <v>probsi</v>
          </cell>
        </row>
        <row r="2244">
          <cell r="B2244" t="b">
            <v>1</v>
          </cell>
          <cell r="E2244" t="str">
            <v>Canapote</v>
          </cell>
          <cell r="H2244" t="str">
            <v>laboratorio</v>
          </cell>
          <cell r="J2244" t="str">
            <v>bueno</v>
          </cell>
          <cell r="K2244" t="str">
            <v>probsi</v>
          </cell>
        </row>
        <row r="2245">
          <cell r="B2245" t="b">
            <v>1</v>
          </cell>
          <cell r="E2245" t="str">
            <v>Isla del Rosario</v>
          </cell>
          <cell r="H2245" t="str">
            <v>consulta_externa</v>
          </cell>
          <cell r="J2245" t="str">
            <v>muybueno</v>
          </cell>
          <cell r="K2245" t="str">
            <v>defsi</v>
          </cell>
        </row>
        <row r="2246">
          <cell r="B2246" t="b">
            <v>1</v>
          </cell>
          <cell r="E2246" t="str">
            <v>Isla del Rosario</v>
          </cell>
          <cell r="H2246" t="str">
            <v>laboratorio</v>
          </cell>
          <cell r="J2246" t="str">
            <v>muybueno</v>
          </cell>
          <cell r="K2246" t="str">
            <v>defsi</v>
          </cell>
        </row>
        <row r="2247">
          <cell r="B2247" t="b">
            <v>0</v>
          </cell>
          <cell r="E2247" t="str">
            <v>Canapote</v>
          </cell>
          <cell r="H2247" t="str">
            <v>consulta_externa</v>
          </cell>
          <cell r="J2247" t="str">
            <v>regular</v>
          </cell>
          <cell r="K2247" t="str">
            <v>probsi</v>
          </cell>
        </row>
        <row r="2248">
          <cell r="B2248" t="b">
            <v>1</v>
          </cell>
          <cell r="E2248" t="str">
            <v>Canapote</v>
          </cell>
          <cell r="H2248" t="str">
            <v>salud_oral</v>
          </cell>
          <cell r="J2248" t="str">
            <v>bueno</v>
          </cell>
          <cell r="K2248" t="str">
            <v>probsi</v>
          </cell>
        </row>
        <row r="2249">
          <cell r="B2249" t="b">
            <v>0</v>
          </cell>
          <cell r="E2249" t="str">
            <v>Canapote</v>
          </cell>
          <cell r="H2249" t="str">
            <v>laboratorio</v>
          </cell>
          <cell r="J2249" t="str">
            <v>regular</v>
          </cell>
          <cell r="K2249" t="str">
            <v>probsi</v>
          </cell>
        </row>
        <row r="2250">
          <cell r="B2250" t="b">
            <v>1</v>
          </cell>
          <cell r="E2250" t="str">
            <v>Manzanillo</v>
          </cell>
          <cell r="H2250" t="str">
            <v>consulta_externa</v>
          </cell>
          <cell r="J2250" t="str">
            <v>bueno</v>
          </cell>
          <cell r="K2250" t="str">
            <v>probsi</v>
          </cell>
        </row>
        <row r="2251">
          <cell r="B2251" t="b">
            <v>1</v>
          </cell>
          <cell r="E2251" t="str">
            <v>Manzanillo</v>
          </cell>
          <cell r="H2251" t="str">
            <v>salud_oral</v>
          </cell>
          <cell r="J2251" t="str">
            <v>bueno</v>
          </cell>
          <cell r="K2251" t="str">
            <v>probsi</v>
          </cell>
        </row>
        <row r="2252">
          <cell r="B2252" t="b">
            <v>1</v>
          </cell>
          <cell r="E2252" t="str">
            <v>Isla del Rosario</v>
          </cell>
          <cell r="H2252" t="str">
            <v>consulta_externa</v>
          </cell>
          <cell r="J2252" t="str">
            <v>muybueno</v>
          </cell>
          <cell r="K2252" t="str">
            <v>defsi</v>
          </cell>
        </row>
        <row r="2253">
          <cell r="B2253" t="b">
            <v>1</v>
          </cell>
          <cell r="E2253" t="str">
            <v>Arroz Barato</v>
          </cell>
          <cell r="H2253" t="str">
            <v>consulta_externa</v>
          </cell>
          <cell r="J2253" t="str">
            <v>bueno</v>
          </cell>
          <cell r="K2253" t="str">
            <v>defsi</v>
          </cell>
        </row>
        <row r="2254">
          <cell r="B2254" t="b">
            <v>1</v>
          </cell>
          <cell r="E2254" t="str">
            <v>Arroz Barato</v>
          </cell>
          <cell r="H2254" t="str">
            <v>salud_oral</v>
          </cell>
          <cell r="J2254" t="str">
            <v>bueno</v>
          </cell>
          <cell r="K2254" t="str">
            <v>defsi</v>
          </cell>
        </row>
        <row r="2255">
          <cell r="B2255" t="b">
            <v>1</v>
          </cell>
          <cell r="E2255" t="str">
            <v>Arroz Barato</v>
          </cell>
          <cell r="H2255" t="str">
            <v>laboratorio</v>
          </cell>
          <cell r="J2255" t="str">
            <v>bueno</v>
          </cell>
          <cell r="K2255" t="str">
            <v>defsi</v>
          </cell>
        </row>
        <row r="2256">
          <cell r="B2256" t="b">
            <v>1</v>
          </cell>
          <cell r="E2256" t="str">
            <v>Arroz Barato</v>
          </cell>
          <cell r="H2256" t="str">
            <v>urgencia</v>
          </cell>
          <cell r="J2256" t="str">
            <v>bueno</v>
          </cell>
          <cell r="K2256" t="str">
            <v>defsi</v>
          </cell>
        </row>
        <row r="2257">
          <cell r="B2257" t="b">
            <v>1</v>
          </cell>
          <cell r="E2257" t="str">
            <v>Arroz Barato</v>
          </cell>
          <cell r="H2257" t="str">
            <v>rx</v>
          </cell>
          <cell r="J2257" t="str">
            <v>bueno</v>
          </cell>
          <cell r="K2257" t="str">
            <v>defsi</v>
          </cell>
        </row>
        <row r="2258">
          <cell r="B2258" t="b">
            <v>1</v>
          </cell>
          <cell r="E2258" t="str">
            <v>Isla del Rosario</v>
          </cell>
          <cell r="H2258" t="str">
            <v>salud_oral</v>
          </cell>
          <cell r="J2258" t="str">
            <v>muybueno</v>
          </cell>
          <cell r="K2258" t="str">
            <v>defsi</v>
          </cell>
        </row>
        <row r="2259">
          <cell r="B2259" t="b">
            <v>1</v>
          </cell>
          <cell r="E2259" t="str">
            <v>Nelson Mandela UPA</v>
          </cell>
          <cell r="H2259" t="str">
            <v>consulta_externa</v>
          </cell>
          <cell r="J2259" t="str">
            <v>bueno</v>
          </cell>
          <cell r="K2259" t="str">
            <v>probsi</v>
          </cell>
        </row>
        <row r="2260">
          <cell r="B2260" t="b">
            <v>1</v>
          </cell>
          <cell r="E2260" t="str">
            <v>Arroz Barato</v>
          </cell>
          <cell r="H2260" t="str">
            <v>consulta_externa</v>
          </cell>
          <cell r="J2260" t="str">
            <v>bueno</v>
          </cell>
          <cell r="K2260" t="str">
            <v>defsi</v>
          </cell>
        </row>
        <row r="2261">
          <cell r="B2261" t="b">
            <v>1</v>
          </cell>
          <cell r="E2261" t="str">
            <v>Isla del Rosario</v>
          </cell>
          <cell r="H2261" t="str">
            <v>consulta_externa</v>
          </cell>
          <cell r="J2261" t="str">
            <v>muybueno</v>
          </cell>
          <cell r="K2261" t="str">
            <v>defsi</v>
          </cell>
        </row>
        <row r="2262">
          <cell r="B2262" t="b">
            <v>1</v>
          </cell>
          <cell r="E2262" t="str">
            <v>Nelson Mandela UPA</v>
          </cell>
          <cell r="H2262" t="str">
            <v>consulta_externa</v>
          </cell>
          <cell r="J2262" t="str">
            <v>bueno</v>
          </cell>
          <cell r="K2262" t="str">
            <v>defsi</v>
          </cell>
        </row>
        <row r="2263">
          <cell r="B2263" t="b">
            <v>1</v>
          </cell>
          <cell r="E2263" t="str">
            <v>Arroz Barato</v>
          </cell>
          <cell r="H2263" t="str">
            <v>salud_oral</v>
          </cell>
          <cell r="J2263" t="str">
            <v>bueno</v>
          </cell>
          <cell r="K2263" t="str">
            <v>defsi</v>
          </cell>
        </row>
        <row r="2264">
          <cell r="B2264" t="b">
            <v>1</v>
          </cell>
          <cell r="E2264" t="str">
            <v>Nelson Mandela UPA</v>
          </cell>
          <cell r="H2264" t="str">
            <v>laboratorio</v>
          </cell>
          <cell r="J2264" t="str">
            <v>bueno</v>
          </cell>
          <cell r="K2264" t="str">
            <v>defsi</v>
          </cell>
        </row>
        <row r="2265">
          <cell r="B2265" t="b">
            <v>1</v>
          </cell>
          <cell r="E2265" t="str">
            <v>Arroz Barato</v>
          </cell>
          <cell r="H2265" t="str">
            <v>laboratorio</v>
          </cell>
          <cell r="J2265" t="str">
            <v>bueno</v>
          </cell>
          <cell r="K2265" t="str">
            <v>defsi</v>
          </cell>
        </row>
        <row r="2266">
          <cell r="B2266" t="b">
            <v>1</v>
          </cell>
          <cell r="E2266" t="str">
            <v>Nelson Mandela UPA</v>
          </cell>
          <cell r="H2266" t="str">
            <v>consulta_externa</v>
          </cell>
          <cell r="J2266" t="str">
            <v>bueno</v>
          </cell>
          <cell r="K2266" t="str">
            <v>defsi</v>
          </cell>
        </row>
        <row r="2267">
          <cell r="B2267" t="b">
            <v>1</v>
          </cell>
          <cell r="E2267" t="str">
            <v>Nelson Mandela UPA</v>
          </cell>
          <cell r="H2267" t="str">
            <v>laboratorio</v>
          </cell>
          <cell r="J2267" t="str">
            <v>bueno</v>
          </cell>
          <cell r="K2267" t="str">
            <v>defsi</v>
          </cell>
        </row>
        <row r="2268">
          <cell r="B2268" t="b">
            <v>1</v>
          </cell>
          <cell r="E2268" t="str">
            <v>Arroz Barato</v>
          </cell>
          <cell r="H2268" t="str">
            <v>urgencia</v>
          </cell>
          <cell r="J2268" t="str">
            <v>bueno</v>
          </cell>
          <cell r="K2268" t="str">
            <v>defsi</v>
          </cell>
        </row>
        <row r="2269">
          <cell r="B2269" t="b">
            <v>1</v>
          </cell>
          <cell r="E2269" t="str">
            <v>Arroz Barato</v>
          </cell>
          <cell r="H2269" t="str">
            <v>rx</v>
          </cell>
          <cell r="J2269" t="str">
            <v>bueno</v>
          </cell>
          <cell r="K2269" t="str">
            <v>defsi</v>
          </cell>
        </row>
        <row r="2270">
          <cell r="B2270" t="b">
            <v>1</v>
          </cell>
          <cell r="E2270" t="str">
            <v>Nelson Mandela UPA</v>
          </cell>
          <cell r="H2270" t="str">
            <v>urgencia</v>
          </cell>
          <cell r="J2270" t="str">
            <v>bueno</v>
          </cell>
          <cell r="K2270" t="str">
            <v>defsi</v>
          </cell>
        </row>
        <row r="2271">
          <cell r="B2271" t="b">
            <v>1</v>
          </cell>
          <cell r="E2271" t="str">
            <v>Nelson Mandela UPA</v>
          </cell>
          <cell r="H2271" t="str">
            <v>consulta_externa</v>
          </cell>
          <cell r="J2271" t="str">
            <v>bueno</v>
          </cell>
          <cell r="K2271" t="str">
            <v>defsi</v>
          </cell>
        </row>
        <row r="2272">
          <cell r="B2272" t="b">
            <v>1</v>
          </cell>
          <cell r="E2272" t="str">
            <v>Isla del Rosario</v>
          </cell>
          <cell r="H2272" t="str">
            <v>consulta_externa</v>
          </cell>
          <cell r="J2272" t="str">
            <v>muybueno</v>
          </cell>
          <cell r="K2272" t="str">
            <v>defsi</v>
          </cell>
        </row>
        <row r="2273">
          <cell r="B2273" t="b">
            <v>1</v>
          </cell>
          <cell r="E2273" t="str">
            <v>Isla del Rosario</v>
          </cell>
          <cell r="H2273" t="str">
            <v>laboratorio</v>
          </cell>
          <cell r="J2273" t="str">
            <v>muybueno</v>
          </cell>
          <cell r="K2273" t="str">
            <v>defsi</v>
          </cell>
        </row>
        <row r="2274">
          <cell r="B2274" t="b">
            <v>1</v>
          </cell>
          <cell r="E2274" t="str">
            <v>Nelson Mandela UPA</v>
          </cell>
          <cell r="H2274" t="str">
            <v>laboratorio</v>
          </cell>
          <cell r="J2274" t="str">
            <v>bueno</v>
          </cell>
          <cell r="K2274" t="str">
            <v>defsi</v>
          </cell>
        </row>
        <row r="2275">
          <cell r="B2275" t="b">
            <v>1</v>
          </cell>
          <cell r="E2275" t="str">
            <v>Arroz Barato</v>
          </cell>
          <cell r="H2275" t="str">
            <v>consulta_externa</v>
          </cell>
          <cell r="J2275" t="str">
            <v>bueno</v>
          </cell>
          <cell r="K2275" t="str">
            <v>defsi</v>
          </cell>
        </row>
        <row r="2276">
          <cell r="B2276" t="b">
            <v>1</v>
          </cell>
          <cell r="E2276" t="str">
            <v>Nelson Mandela UPA</v>
          </cell>
          <cell r="H2276" t="str">
            <v>consulta_externa</v>
          </cell>
          <cell r="J2276" t="str">
            <v>bueno</v>
          </cell>
          <cell r="K2276" t="str">
            <v>defsi</v>
          </cell>
        </row>
        <row r="2277">
          <cell r="B2277" t="b">
            <v>1</v>
          </cell>
          <cell r="E2277" t="str">
            <v>Nelson Mandela UPA</v>
          </cell>
          <cell r="H2277" t="str">
            <v>salud_oral</v>
          </cell>
          <cell r="J2277" t="str">
            <v>bueno</v>
          </cell>
          <cell r="K2277" t="str">
            <v>defsi</v>
          </cell>
        </row>
        <row r="2278">
          <cell r="B2278" t="b">
            <v>1</v>
          </cell>
          <cell r="E2278" t="str">
            <v>Arroz Barato</v>
          </cell>
          <cell r="H2278" t="str">
            <v>salud_oral</v>
          </cell>
          <cell r="J2278" t="str">
            <v>bueno</v>
          </cell>
          <cell r="K2278" t="str">
            <v>defsi</v>
          </cell>
        </row>
        <row r="2279">
          <cell r="B2279" t="b">
            <v>1</v>
          </cell>
          <cell r="E2279" t="str">
            <v>Nelson Mandela UPA</v>
          </cell>
          <cell r="H2279" t="str">
            <v>salud_oral</v>
          </cell>
          <cell r="J2279" t="str">
            <v>bueno</v>
          </cell>
          <cell r="K2279" t="str">
            <v>defsi</v>
          </cell>
        </row>
        <row r="2280">
          <cell r="B2280" t="b">
            <v>0</v>
          </cell>
          <cell r="E2280" t="str">
            <v>San Francisco I</v>
          </cell>
          <cell r="H2280" t="str">
            <v>salud_oral</v>
          </cell>
          <cell r="J2280" t="str">
            <v>malo</v>
          </cell>
          <cell r="K2280" t="str">
            <v>probno</v>
          </cell>
        </row>
        <row r="2281">
          <cell r="B2281" t="b">
            <v>1</v>
          </cell>
          <cell r="E2281" t="str">
            <v>San Francisco I</v>
          </cell>
          <cell r="H2281" t="str">
            <v>consulta_externa</v>
          </cell>
          <cell r="J2281" t="str">
            <v>bueno</v>
          </cell>
          <cell r="K2281" t="str">
            <v>probsi</v>
          </cell>
        </row>
        <row r="2282">
          <cell r="B2282" t="b">
            <v>1</v>
          </cell>
          <cell r="E2282" t="str">
            <v>Arroz Barato</v>
          </cell>
          <cell r="H2282" t="str">
            <v>laboratorio</v>
          </cell>
          <cell r="J2282" t="str">
            <v>bueno</v>
          </cell>
          <cell r="K2282" t="str">
            <v>defsi</v>
          </cell>
        </row>
        <row r="2283">
          <cell r="B2283" t="b">
            <v>1</v>
          </cell>
          <cell r="E2283" t="str">
            <v>Arroz Barato</v>
          </cell>
          <cell r="H2283" t="str">
            <v>urgencia</v>
          </cell>
          <cell r="J2283" t="str">
            <v>bueno</v>
          </cell>
          <cell r="K2283" t="str">
            <v>defsi</v>
          </cell>
        </row>
        <row r="2284">
          <cell r="B2284" t="b">
            <v>1</v>
          </cell>
          <cell r="E2284" t="str">
            <v>San Francisco I</v>
          </cell>
          <cell r="H2284" t="str">
            <v>consulta_externa</v>
          </cell>
          <cell r="J2284" t="str">
            <v>bueno</v>
          </cell>
          <cell r="K2284" t="str">
            <v>probsi</v>
          </cell>
        </row>
        <row r="2285">
          <cell r="B2285" t="b">
            <v>1</v>
          </cell>
          <cell r="E2285" t="str">
            <v>Arroz Barato</v>
          </cell>
          <cell r="H2285" t="str">
            <v>rx</v>
          </cell>
          <cell r="J2285" t="str">
            <v>bueno</v>
          </cell>
          <cell r="K2285" t="str">
            <v>defsi</v>
          </cell>
        </row>
        <row r="2286">
          <cell r="B2286" t="b">
            <v>1</v>
          </cell>
          <cell r="E2286" t="str">
            <v>San Francisco I</v>
          </cell>
          <cell r="H2286" t="str">
            <v>consulta_externa</v>
          </cell>
          <cell r="J2286" t="str">
            <v>bueno</v>
          </cell>
          <cell r="K2286" t="str">
            <v>probsi</v>
          </cell>
        </row>
        <row r="2287">
          <cell r="B2287" t="b">
            <v>1</v>
          </cell>
          <cell r="E2287" t="str">
            <v>San Francisco I</v>
          </cell>
          <cell r="H2287" t="str">
            <v>consulta_externa</v>
          </cell>
          <cell r="J2287" t="str">
            <v>bueno</v>
          </cell>
          <cell r="K2287" t="str">
            <v>probsi</v>
          </cell>
        </row>
        <row r="2288">
          <cell r="B2288" t="b">
            <v>1</v>
          </cell>
          <cell r="E2288" t="str">
            <v>San Francisco I</v>
          </cell>
          <cell r="H2288" t="str">
            <v>salud_oral</v>
          </cell>
          <cell r="J2288" t="str">
            <v>bueno</v>
          </cell>
          <cell r="K2288" t="str">
            <v>probsi</v>
          </cell>
        </row>
        <row r="2289">
          <cell r="B2289" t="b">
            <v>1</v>
          </cell>
          <cell r="E2289" t="str">
            <v>Manzanillo</v>
          </cell>
          <cell r="H2289" t="str">
            <v>consulta_externa</v>
          </cell>
          <cell r="J2289" t="str">
            <v>bueno</v>
          </cell>
          <cell r="K2289" t="str">
            <v>probsi</v>
          </cell>
        </row>
        <row r="2290">
          <cell r="B2290" t="b">
            <v>1</v>
          </cell>
          <cell r="E2290" t="str">
            <v>San Francisco I</v>
          </cell>
          <cell r="H2290" t="str">
            <v>laboratorio</v>
          </cell>
          <cell r="J2290" t="str">
            <v>bueno</v>
          </cell>
          <cell r="K2290" t="str">
            <v>probsi</v>
          </cell>
        </row>
        <row r="2291">
          <cell r="B2291" t="b">
            <v>1</v>
          </cell>
          <cell r="E2291" t="str">
            <v>Manzanillo</v>
          </cell>
          <cell r="H2291" t="str">
            <v>laboratorio</v>
          </cell>
          <cell r="J2291" t="str">
            <v>bueno</v>
          </cell>
          <cell r="K2291" t="str">
            <v>probsi</v>
          </cell>
        </row>
        <row r="2292">
          <cell r="B2292" t="b">
            <v>1</v>
          </cell>
          <cell r="E2292" t="str">
            <v>Manzanillo</v>
          </cell>
          <cell r="H2292" t="str">
            <v>laboratorio</v>
          </cell>
          <cell r="J2292" t="str">
            <v>bueno</v>
          </cell>
          <cell r="K2292" t="str">
            <v>probsi</v>
          </cell>
        </row>
        <row r="2293">
          <cell r="B2293" t="b">
            <v>1</v>
          </cell>
          <cell r="E2293" t="str">
            <v>Nelson Mandela UPA</v>
          </cell>
          <cell r="H2293" t="str">
            <v>laboratorio</v>
          </cell>
          <cell r="J2293" t="str">
            <v>bueno</v>
          </cell>
          <cell r="K2293" t="str">
            <v>defsi</v>
          </cell>
        </row>
        <row r="2294">
          <cell r="B2294" t="b">
            <v>1</v>
          </cell>
          <cell r="E2294" t="str">
            <v>Isla del Rosario</v>
          </cell>
          <cell r="H2294" t="str">
            <v>consulta_externa</v>
          </cell>
          <cell r="J2294" t="str">
            <v>muybueno</v>
          </cell>
          <cell r="K2294" t="str">
            <v>defsi</v>
          </cell>
        </row>
        <row r="2295">
          <cell r="B2295" t="b">
            <v>1</v>
          </cell>
          <cell r="E2295" t="str">
            <v>San Francisco I</v>
          </cell>
          <cell r="H2295" t="str">
            <v>consulta_externa</v>
          </cell>
          <cell r="J2295" t="str">
            <v>bueno</v>
          </cell>
          <cell r="K2295" t="str">
            <v>probsi</v>
          </cell>
        </row>
        <row r="2296">
          <cell r="B2296" t="b">
            <v>1</v>
          </cell>
          <cell r="E2296" t="str">
            <v>Isla del Rosario</v>
          </cell>
          <cell r="H2296" t="str">
            <v>laboratorio</v>
          </cell>
          <cell r="J2296" t="str">
            <v>muybueno</v>
          </cell>
          <cell r="K2296" t="str">
            <v>defsi</v>
          </cell>
        </row>
        <row r="2297">
          <cell r="B2297" t="b">
            <v>1</v>
          </cell>
          <cell r="E2297" t="str">
            <v>San Francisco I</v>
          </cell>
          <cell r="H2297" t="str">
            <v>consulta_externa</v>
          </cell>
          <cell r="J2297" t="str">
            <v>muybueno</v>
          </cell>
          <cell r="K2297" t="str">
            <v>probsi</v>
          </cell>
        </row>
        <row r="2298">
          <cell r="B2298" t="b">
            <v>1</v>
          </cell>
          <cell r="E2298" t="str">
            <v>Arroz Barato</v>
          </cell>
          <cell r="H2298" t="str">
            <v>consulta_externa</v>
          </cell>
          <cell r="J2298" t="str">
            <v>bueno</v>
          </cell>
          <cell r="K2298" t="str">
            <v>defsi</v>
          </cell>
        </row>
        <row r="2299">
          <cell r="B2299" t="b">
            <v>1</v>
          </cell>
          <cell r="E2299" t="str">
            <v>San Francisco I</v>
          </cell>
          <cell r="H2299" t="str">
            <v>laboratorio</v>
          </cell>
          <cell r="J2299" t="str">
            <v>bueno</v>
          </cell>
          <cell r="K2299" t="str">
            <v>probsi</v>
          </cell>
        </row>
        <row r="2300">
          <cell r="B2300" t="b">
            <v>1</v>
          </cell>
          <cell r="E2300" t="str">
            <v>San Francisco I</v>
          </cell>
          <cell r="H2300" t="str">
            <v>consulta_externa</v>
          </cell>
          <cell r="J2300" t="str">
            <v>bueno</v>
          </cell>
          <cell r="K2300" t="str">
            <v>probsi</v>
          </cell>
        </row>
        <row r="2301">
          <cell r="B2301" t="b">
            <v>1</v>
          </cell>
          <cell r="E2301" t="str">
            <v>San Francisco I</v>
          </cell>
          <cell r="H2301" t="str">
            <v>salud_oral</v>
          </cell>
          <cell r="J2301" t="str">
            <v>bueno</v>
          </cell>
          <cell r="K2301" t="str">
            <v>probsi</v>
          </cell>
        </row>
        <row r="2302">
          <cell r="B2302" t="b">
            <v>1</v>
          </cell>
          <cell r="E2302" t="str">
            <v>Arroz Barato</v>
          </cell>
          <cell r="H2302" t="str">
            <v>salud_oral</v>
          </cell>
          <cell r="J2302" t="str">
            <v>bueno</v>
          </cell>
          <cell r="K2302" t="str">
            <v>defsi</v>
          </cell>
        </row>
        <row r="2303">
          <cell r="B2303" t="b">
            <v>1</v>
          </cell>
          <cell r="E2303" t="str">
            <v>Arroz Barato</v>
          </cell>
          <cell r="H2303" t="str">
            <v>laboratorio</v>
          </cell>
          <cell r="J2303" t="str">
            <v>bueno</v>
          </cell>
          <cell r="K2303" t="str">
            <v>defsi</v>
          </cell>
        </row>
        <row r="2304">
          <cell r="B2304" t="b">
            <v>1</v>
          </cell>
          <cell r="E2304" t="str">
            <v>Arroz Barato</v>
          </cell>
          <cell r="H2304" t="str">
            <v>urgencia</v>
          </cell>
          <cell r="J2304" t="str">
            <v>bueno</v>
          </cell>
          <cell r="K2304" t="str">
            <v>defsi</v>
          </cell>
        </row>
        <row r="2305">
          <cell r="B2305" t="b">
            <v>1</v>
          </cell>
          <cell r="E2305" t="str">
            <v>Arroz Barato</v>
          </cell>
          <cell r="H2305" t="str">
            <v>rx</v>
          </cell>
          <cell r="J2305" t="str">
            <v>bueno</v>
          </cell>
          <cell r="K2305" t="str">
            <v>defsi</v>
          </cell>
        </row>
        <row r="2306">
          <cell r="B2306" t="b">
            <v>1</v>
          </cell>
          <cell r="E2306" t="str">
            <v>San Francisco I</v>
          </cell>
          <cell r="H2306" t="str">
            <v>consulta_externa</v>
          </cell>
          <cell r="J2306" t="str">
            <v>bueno</v>
          </cell>
          <cell r="K2306" t="str">
            <v>probsi</v>
          </cell>
        </row>
        <row r="2307">
          <cell r="B2307" t="b">
            <v>1</v>
          </cell>
          <cell r="E2307" t="str">
            <v>San Francisco I</v>
          </cell>
          <cell r="H2307" t="str">
            <v>salud_oral</v>
          </cell>
          <cell r="J2307" t="str">
            <v>bueno</v>
          </cell>
          <cell r="K2307" t="str">
            <v>probsi</v>
          </cell>
        </row>
        <row r="2308">
          <cell r="B2308" t="b">
            <v>1</v>
          </cell>
          <cell r="E2308" t="str">
            <v>San Francisco I</v>
          </cell>
          <cell r="H2308" t="str">
            <v>salud_oral</v>
          </cell>
          <cell r="J2308" t="str">
            <v>bueno</v>
          </cell>
          <cell r="K2308" t="str">
            <v>probsi</v>
          </cell>
        </row>
        <row r="2309">
          <cell r="B2309" t="b">
            <v>1</v>
          </cell>
          <cell r="E2309" t="str">
            <v>San Francisco I</v>
          </cell>
          <cell r="H2309" t="str">
            <v>salud_oral</v>
          </cell>
          <cell r="J2309" t="str">
            <v>bueno</v>
          </cell>
          <cell r="K2309" t="str">
            <v>probsi</v>
          </cell>
        </row>
        <row r="2310">
          <cell r="B2310" t="b">
            <v>1</v>
          </cell>
          <cell r="E2310" t="str">
            <v>San Francisco I</v>
          </cell>
          <cell r="H2310" t="str">
            <v>consulta_externa</v>
          </cell>
          <cell r="J2310" t="str">
            <v>bueno</v>
          </cell>
          <cell r="K2310" t="str">
            <v>probsi</v>
          </cell>
        </row>
        <row r="2311">
          <cell r="B2311" t="b">
            <v>1</v>
          </cell>
          <cell r="E2311" t="str">
            <v>San Francisco I</v>
          </cell>
          <cell r="H2311" t="str">
            <v>laboratorio</v>
          </cell>
          <cell r="J2311" t="str">
            <v>bueno</v>
          </cell>
          <cell r="K2311" t="str">
            <v>probsi</v>
          </cell>
        </row>
        <row r="2312">
          <cell r="B2312" t="b">
            <v>1</v>
          </cell>
          <cell r="E2312" t="str">
            <v>San Francisco I</v>
          </cell>
          <cell r="H2312" t="str">
            <v>laboratorio</v>
          </cell>
          <cell r="J2312" t="str">
            <v>bueno</v>
          </cell>
          <cell r="K2312" t="str">
            <v>probsi</v>
          </cell>
        </row>
        <row r="2313">
          <cell r="B2313" t="b">
            <v>1</v>
          </cell>
          <cell r="E2313" t="str">
            <v>San Francisco I</v>
          </cell>
          <cell r="H2313" t="str">
            <v>laboratorio</v>
          </cell>
          <cell r="J2313" t="str">
            <v>bueno</v>
          </cell>
          <cell r="K2313" t="str">
            <v>probsi</v>
          </cell>
        </row>
        <row r="2314">
          <cell r="B2314" t="b">
            <v>1</v>
          </cell>
          <cell r="E2314" t="str">
            <v>San Francisco I</v>
          </cell>
          <cell r="H2314" t="str">
            <v>laboratorio</v>
          </cell>
          <cell r="J2314" t="str">
            <v>bueno</v>
          </cell>
          <cell r="K2314" t="str">
            <v>probsi</v>
          </cell>
        </row>
        <row r="2315">
          <cell r="B2315" t="b">
            <v>1</v>
          </cell>
          <cell r="E2315" t="str">
            <v>San Francisco I</v>
          </cell>
          <cell r="H2315" t="str">
            <v>salud_oral</v>
          </cell>
          <cell r="J2315" t="str">
            <v>bueno</v>
          </cell>
          <cell r="K2315" t="str">
            <v>probsi</v>
          </cell>
        </row>
        <row r="2316">
          <cell r="B2316" t="b">
            <v>1</v>
          </cell>
          <cell r="E2316" t="str">
            <v>Manzanillo</v>
          </cell>
          <cell r="H2316" t="str">
            <v>consulta_externa</v>
          </cell>
          <cell r="J2316" t="str">
            <v>bueno</v>
          </cell>
          <cell r="K2316" t="str">
            <v>probsi</v>
          </cell>
        </row>
        <row r="2317">
          <cell r="B2317" t="b">
            <v>1</v>
          </cell>
          <cell r="E2317" t="str">
            <v>San Francisco I</v>
          </cell>
          <cell r="H2317" t="str">
            <v>consulta_externa</v>
          </cell>
          <cell r="J2317" t="str">
            <v>muybueno</v>
          </cell>
          <cell r="K2317" t="str">
            <v>probsi</v>
          </cell>
        </row>
        <row r="2318">
          <cell r="B2318" t="b">
            <v>1</v>
          </cell>
          <cell r="E2318" t="str">
            <v>Manzanillo</v>
          </cell>
          <cell r="H2318" t="str">
            <v>consulta_externa</v>
          </cell>
          <cell r="J2318" t="str">
            <v>bueno</v>
          </cell>
          <cell r="K2318" t="str">
            <v>probsi</v>
          </cell>
        </row>
        <row r="2319">
          <cell r="B2319" t="b">
            <v>1</v>
          </cell>
          <cell r="E2319" t="str">
            <v>Manzanillo</v>
          </cell>
          <cell r="H2319" t="str">
            <v>consulta_externa</v>
          </cell>
          <cell r="J2319" t="str">
            <v>bueno</v>
          </cell>
          <cell r="K2319" t="str">
            <v>probsi</v>
          </cell>
        </row>
        <row r="2320">
          <cell r="B2320" t="b">
            <v>1</v>
          </cell>
          <cell r="E2320" t="str">
            <v>San Francisco I</v>
          </cell>
          <cell r="H2320" t="str">
            <v>salud_oral</v>
          </cell>
          <cell r="J2320" t="str">
            <v>bueno</v>
          </cell>
          <cell r="K2320" t="str">
            <v>probsi</v>
          </cell>
        </row>
        <row r="2321">
          <cell r="B2321" t="b">
            <v>1</v>
          </cell>
          <cell r="E2321" t="str">
            <v>San Francisco I</v>
          </cell>
          <cell r="H2321" t="str">
            <v>laboratorio</v>
          </cell>
          <cell r="J2321" t="str">
            <v>bueno</v>
          </cell>
          <cell r="K2321" t="str">
            <v>probsi</v>
          </cell>
        </row>
        <row r="2322">
          <cell r="B2322" t="b">
            <v>1</v>
          </cell>
          <cell r="E2322" t="str">
            <v>Manzanillo</v>
          </cell>
          <cell r="H2322" t="str">
            <v>consulta_externa</v>
          </cell>
          <cell r="J2322" t="str">
            <v>bueno</v>
          </cell>
          <cell r="K2322" t="str">
            <v>probsi</v>
          </cell>
        </row>
        <row r="2323">
          <cell r="B2323" t="b">
            <v>1</v>
          </cell>
          <cell r="E2323" t="str">
            <v>Manzanillo</v>
          </cell>
          <cell r="H2323" t="str">
            <v>consulta_externa</v>
          </cell>
          <cell r="J2323" t="str">
            <v>bueno</v>
          </cell>
          <cell r="K2323" t="str">
            <v>probsi</v>
          </cell>
        </row>
        <row r="2324">
          <cell r="B2324" t="b">
            <v>1</v>
          </cell>
          <cell r="E2324" t="str">
            <v>Manzanillo</v>
          </cell>
          <cell r="H2324" t="str">
            <v>laboratorio</v>
          </cell>
          <cell r="J2324" t="str">
            <v>bueno</v>
          </cell>
          <cell r="K2324" t="str">
            <v>defsi</v>
          </cell>
        </row>
        <row r="2325">
          <cell r="B2325" t="b">
            <v>1</v>
          </cell>
          <cell r="E2325" t="str">
            <v>Arroz Barato</v>
          </cell>
          <cell r="H2325" t="str">
            <v>consulta_externa</v>
          </cell>
          <cell r="J2325" t="str">
            <v>bueno</v>
          </cell>
          <cell r="K2325" t="str">
            <v>defsi</v>
          </cell>
        </row>
        <row r="2326">
          <cell r="B2326" t="b">
            <v>1</v>
          </cell>
          <cell r="E2326" t="str">
            <v>Arroz Barato</v>
          </cell>
          <cell r="H2326" t="str">
            <v>salud_oral</v>
          </cell>
          <cell r="J2326" t="str">
            <v>bueno</v>
          </cell>
          <cell r="K2326" t="str">
            <v>defsi</v>
          </cell>
        </row>
        <row r="2327">
          <cell r="B2327" t="b">
            <v>1</v>
          </cell>
          <cell r="E2327" t="str">
            <v>Arroz Barato</v>
          </cell>
          <cell r="H2327" t="str">
            <v>laboratorio</v>
          </cell>
          <cell r="J2327" t="str">
            <v>bueno</v>
          </cell>
          <cell r="K2327" t="str">
            <v>defsi</v>
          </cell>
        </row>
        <row r="2328">
          <cell r="B2328" t="b">
            <v>1</v>
          </cell>
          <cell r="E2328" t="str">
            <v>Arroz Barato</v>
          </cell>
          <cell r="H2328" t="str">
            <v>urgencia</v>
          </cell>
          <cell r="J2328" t="str">
            <v>bueno</v>
          </cell>
          <cell r="K2328" t="str">
            <v>defsi</v>
          </cell>
        </row>
        <row r="2329">
          <cell r="B2329" t="b">
            <v>1</v>
          </cell>
          <cell r="E2329" t="str">
            <v>Arroz Barato</v>
          </cell>
          <cell r="H2329" t="str">
            <v>rx</v>
          </cell>
          <cell r="J2329" t="str">
            <v>bueno</v>
          </cell>
          <cell r="K2329" t="str">
            <v>defsi</v>
          </cell>
        </row>
        <row r="2330">
          <cell r="B2330" t="b">
            <v>1</v>
          </cell>
          <cell r="E2330" t="str">
            <v>Arroz Barato</v>
          </cell>
          <cell r="H2330" t="str">
            <v>consulta_externa</v>
          </cell>
          <cell r="J2330" t="str">
            <v>bueno</v>
          </cell>
          <cell r="K2330" t="str">
            <v>defsi</v>
          </cell>
        </row>
        <row r="2331">
          <cell r="B2331" t="b">
            <v>1</v>
          </cell>
          <cell r="E2331" t="str">
            <v>Arroz Barato</v>
          </cell>
          <cell r="H2331" t="str">
            <v>salud_oral</v>
          </cell>
          <cell r="J2331" t="str">
            <v>bueno</v>
          </cell>
          <cell r="K2331" t="str">
            <v>defsi</v>
          </cell>
        </row>
        <row r="2332">
          <cell r="B2332" t="b">
            <v>1</v>
          </cell>
          <cell r="E2332" t="str">
            <v>Arroz Barato</v>
          </cell>
          <cell r="H2332" t="str">
            <v>laboratorio</v>
          </cell>
          <cell r="J2332" t="str">
            <v>bueno</v>
          </cell>
          <cell r="K2332" t="str">
            <v>defsi</v>
          </cell>
        </row>
        <row r="2333">
          <cell r="B2333" t="b">
            <v>1</v>
          </cell>
          <cell r="E2333" t="str">
            <v>Arroz Barato</v>
          </cell>
          <cell r="H2333" t="str">
            <v>urgencia</v>
          </cell>
          <cell r="J2333" t="str">
            <v>bueno</v>
          </cell>
          <cell r="K2333" t="str">
            <v>defsi</v>
          </cell>
        </row>
        <row r="2334">
          <cell r="B2334" t="b">
            <v>1</v>
          </cell>
          <cell r="E2334" t="str">
            <v>Arroz Barato</v>
          </cell>
          <cell r="H2334" t="str">
            <v>rx</v>
          </cell>
          <cell r="J2334" t="str">
            <v>bueno</v>
          </cell>
          <cell r="K2334" t="str">
            <v>defsi</v>
          </cell>
        </row>
        <row r="2335">
          <cell r="B2335" t="b">
            <v>1</v>
          </cell>
          <cell r="E2335" t="str">
            <v>Arroz Barato</v>
          </cell>
          <cell r="H2335" t="str">
            <v>consulta_externa</v>
          </cell>
          <cell r="J2335" t="str">
            <v>bueno</v>
          </cell>
          <cell r="K2335" t="str">
            <v>defsi</v>
          </cell>
        </row>
        <row r="2336">
          <cell r="B2336" t="b">
            <v>1</v>
          </cell>
          <cell r="E2336" t="str">
            <v>Arroz Barato</v>
          </cell>
          <cell r="H2336" t="str">
            <v>salud_oral</v>
          </cell>
          <cell r="J2336" t="str">
            <v>bueno</v>
          </cell>
          <cell r="K2336" t="str">
            <v>defsi</v>
          </cell>
        </row>
        <row r="2337">
          <cell r="B2337" t="b">
            <v>1</v>
          </cell>
          <cell r="E2337" t="str">
            <v>Arroz Barato</v>
          </cell>
          <cell r="H2337" t="str">
            <v>laboratorio</v>
          </cell>
          <cell r="J2337" t="str">
            <v>bueno</v>
          </cell>
          <cell r="K2337" t="str">
            <v>defsi</v>
          </cell>
        </row>
        <row r="2338">
          <cell r="B2338" t="b">
            <v>1</v>
          </cell>
          <cell r="E2338" t="str">
            <v>Arroz Barato</v>
          </cell>
          <cell r="H2338" t="str">
            <v>urgencia</v>
          </cell>
          <cell r="J2338" t="str">
            <v>bueno</v>
          </cell>
          <cell r="K2338" t="str">
            <v>defsi</v>
          </cell>
        </row>
        <row r="2339">
          <cell r="B2339" t="b">
            <v>1</v>
          </cell>
          <cell r="E2339" t="str">
            <v>Arroz Barato</v>
          </cell>
          <cell r="H2339" t="str">
            <v>rx</v>
          </cell>
          <cell r="J2339" t="str">
            <v>bueno</v>
          </cell>
          <cell r="K2339" t="str">
            <v>defsi</v>
          </cell>
        </row>
        <row r="2340">
          <cell r="B2340" t="b">
            <v>1</v>
          </cell>
          <cell r="E2340" t="str">
            <v>Arroz Barato</v>
          </cell>
          <cell r="H2340" t="str">
            <v>consulta_externa</v>
          </cell>
          <cell r="J2340" t="str">
            <v>bueno</v>
          </cell>
          <cell r="K2340" t="str">
            <v>defsi</v>
          </cell>
        </row>
        <row r="2341">
          <cell r="B2341" t="b">
            <v>1</v>
          </cell>
          <cell r="E2341" t="str">
            <v>Arroz Barato</v>
          </cell>
          <cell r="H2341" t="str">
            <v>salud_oral</v>
          </cell>
          <cell r="J2341" t="str">
            <v>bueno</v>
          </cell>
          <cell r="K2341" t="str">
            <v>defsi</v>
          </cell>
        </row>
        <row r="2342">
          <cell r="B2342" t="b">
            <v>1</v>
          </cell>
          <cell r="E2342" t="str">
            <v>Arroz Barato</v>
          </cell>
          <cell r="H2342" t="str">
            <v>laboratorio</v>
          </cell>
          <cell r="J2342" t="str">
            <v>bueno</v>
          </cell>
          <cell r="K2342" t="str">
            <v>defsi</v>
          </cell>
        </row>
        <row r="2343">
          <cell r="B2343" t="b">
            <v>1</v>
          </cell>
          <cell r="E2343" t="str">
            <v>Arroz Barato</v>
          </cell>
          <cell r="H2343" t="str">
            <v>urgencia</v>
          </cell>
          <cell r="J2343" t="str">
            <v>bueno</v>
          </cell>
          <cell r="K2343" t="str">
            <v>defsi</v>
          </cell>
        </row>
        <row r="2344">
          <cell r="B2344" t="b">
            <v>1</v>
          </cell>
          <cell r="E2344" t="str">
            <v>Arroz Barato</v>
          </cell>
          <cell r="H2344" t="str">
            <v>rx</v>
          </cell>
          <cell r="J2344" t="str">
            <v>bueno</v>
          </cell>
          <cell r="K2344" t="str">
            <v>defsi</v>
          </cell>
        </row>
        <row r="2345">
          <cell r="B2345" t="b">
            <v>1</v>
          </cell>
          <cell r="E2345" t="str">
            <v>Arroz Barato</v>
          </cell>
          <cell r="H2345" t="str">
            <v>consulta_externa</v>
          </cell>
          <cell r="J2345" t="str">
            <v>bueno</v>
          </cell>
          <cell r="K2345" t="str">
            <v>defsi</v>
          </cell>
        </row>
        <row r="2346">
          <cell r="B2346" t="b">
            <v>1</v>
          </cell>
          <cell r="E2346" t="str">
            <v>Arroz Barato</v>
          </cell>
          <cell r="H2346" t="str">
            <v>salud_oral</v>
          </cell>
          <cell r="J2346" t="str">
            <v>bueno</v>
          </cell>
          <cell r="K2346" t="str">
            <v>defsi</v>
          </cell>
        </row>
        <row r="2347">
          <cell r="B2347" t="b">
            <v>1</v>
          </cell>
          <cell r="E2347" t="str">
            <v>Arroz Barato</v>
          </cell>
          <cell r="H2347" t="str">
            <v>laboratorio</v>
          </cell>
          <cell r="J2347" t="str">
            <v>bueno</v>
          </cell>
          <cell r="K2347" t="str">
            <v>defsi</v>
          </cell>
        </row>
        <row r="2348">
          <cell r="B2348" t="b">
            <v>1</v>
          </cell>
          <cell r="E2348" t="str">
            <v>Arroz Barato</v>
          </cell>
          <cell r="H2348" t="str">
            <v>urgencia</v>
          </cell>
          <cell r="J2348" t="str">
            <v>bueno</v>
          </cell>
          <cell r="K2348" t="str">
            <v>defsi</v>
          </cell>
        </row>
        <row r="2349">
          <cell r="B2349" t="b">
            <v>1</v>
          </cell>
          <cell r="E2349" t="str">
            <v>Boquilla</v>
          </cell>
          <cell r="H2349" t="str">
            <v>consulta_externa</v>
          </cell>
          <cell r="J2349" t="str">
            <v>muybueno</v>
          </cell>
          <cell r="K2349" t="str">
            <v>defsi</v>
          </cell>
        </row>
        <row r="2350">
          <cell r="B2350" t="b">
            <v>1</v>
          </cell>
          <cell r="E2350" t="str">
            <v>Boquilla</v>
          </cell>
          <cell r="H2350" t="str">
            <v>salud_oral</v>
          </cell>
          <cell r="J2350" t="str">
            <v>muybueno</v>
          </cell>
          <cell r="K2350" t="str">
            <v>defsi</v>
          </cell>
        </row>
        <row r="2351">
          <cell r="B2351" t="b">
            <v>1</v>
          </cell>
          <cell r="E2351" t="str">
            <v>Boquilla</v>
          </cell>
          <cell r="H2351" t="str">
            <v>consulta_externa</v>
          </cell>
          <cell r="J2351" t="str">
            <v>bueno</v>
          </cell>
          <cell r="K2351" t="str">
            <v>probsi</v>
          </cell>
        </row>
        <row r="2352">
          <cell r="B2352" t="b">
            <v>0</v>
          </cell>
          <cell r="E2352" t="str">
            <v>Boquilla</v>
          </cell>
          <cell r="H2352" t="str">
            <v>urgencia</v>
          </cell>
          <cell r="J2352" t="str">
            <v>regular</v>
          </cell>
          <cell r="K2352" t="str">
            <v>probsi</v>
          </cell>
        </row>
        <row r="2353">
          <cell r="B2353" t="b">
            <v>1</v>
          </cell>
          <cell r="E2353" t="str">
            <v>Boquilla</v>
          </cell>
          <cell r="H2353" t="str">
            <v>consulta_externa</v>
          </cell>
          <cell r="J2353" t="str">
            <v>bueno</v>
          </cell>
          <cell r="K2353" t="str">
            <v>probsi</v>
          </cell>
        </row>
        <row r="2354">
          <cell r="B2354" t="b">
            <v>1</v>
          </cell>
          <cell r="E2354" t="str">
            <v>Boquilla</v>
          </cell>
          <cell r="H2354" t="str">
            <v>laboratorio</v>
          </cell>
          <cell r="J2354" t="str">
            <v>bueno</v>
          </cell>
          <cell r="K2354" t="str">
            <v>probsi</v>
          </cell>
        </row>
        <row r="2355">
          <cell r="B2355" t="b">
            <v>1</v>
          </cell>
          <cell r="E2355" t="str">
            <v>Boquilla</v>
          </cell>
          <cell r="H2355" t="str">
            <v>laboratorio</v>
          </cell>
          <cell r="J2355" t="str">
            <v>bueno</v>
          </cell>
          <cell r="K2355" t="str">
            <v>probsi</v>
          </cell>
        </row>
        <row r="2356">
          <cell r="B2356" t="b">
            <v>1</v>
          </cell>
          <cell r="E2356" t="str">
            <v>Boquilla</v>
          </cell>
          <cell r="H2356" t="str">
            <v>laboratorio</v>
          </cell>
          <cell r="J2356" t="str">
            <v>bueno</v>
          </cell>
          <cell r="K2356" t="str">
            <v>probsi</v>
          </cell>
        </row>
        <row r="2357">
          <cell r="B2357" t="b">
            <v>1</v>
          </cell>
          <cell r="E2357" t="str">
            <v>Boquilla</v>
          </cell>
          <cell r="H2357" t="str">
            <v>consulta_externa</v>
          </cell>
          <cell r="J2357" t="str">
            <v>bueno</v>
          </cell>
          <cell r="K2357" t="str">
            <v>probsi</v>
          </cell>
        </row>
        <row r="2358">
          <cell r="B2358" t="b">
            <v>0</v>
          </cell>
          <cell r="E2358" t="str">
            <v>Boquilla</v>
          </cell>
          <cell r="H2358" t="str">
            <v>urgencia</v>
          </cell>
          <cell r="J2358" t="str">
            <v>regular</v>
          </cell>
          <cell r="K2358" t="str">
            <v>probno</v>
          </cell>
        </row>
        <row r="2359">
          <cell r="B2359" t="b">
            <v>0</v>
          </cell>
          <cell r="E2359" t="str">
            <v>Boquilla</v>
          </cell>
          <cell r="H2359" t="str">
            <v>urgencia</v>
          </cell>
          <cell r="J2359" t="str">
            <v>regular</v>
          </cell>
          <cell r="K2359" t="str">
            <v>probno</v>
          </cell>
        </row>
        <row r="2360">
          <cell r="B2360" t="b">
            <v>1</v>
          </cell>
          <cell r="E2360" t="str">
            <v>Boquilla</v>
          </cell>
          <cell r="H2360" t="str">
            <v>ecografias</v>
          </cell>
          <cell r="J2360" t="str">
            <v>bueno</v>
          </cell>
          <cell r="K2360" t="str">
            <v>probsi</v>
          </cell>
        </row>
        <row r="2361">
          <cell r="B2361" t="b">
            <v>1</v>
          </cell>
          <cell r="E2361" t="str">
            <v>Isla del Rosario</v>
          </cell>
          <cell r="H2361" t="str">
            <v>consulta_externa</v>
          </cell>
          <cell r="J2361" t="str">
            <v>muybueno</v>
          </cell>
          <cell r="K2361" t="str">
            <v>defsi</v>
          </cell>
        </row>
        <row r="2362">
          <cell r="B2362" t="b">
            <v>1</v>
          </cell>
          <cell r="E2362" t="str">
            <v>Isla del Rosario</v>
          </cell>
          <cell r="H2362" t="str">
            <v>salud_oral</v>
          </cell>
          <cell r="J2362" t="str">
            <v>muybueno</v>
          </cell>
          <cell r="K2362" t="str">
            <v>defsi</v>
          </cell>
        </row>
        <row r="2363">
          <cell r="B2363" t="b">
            <v>1</v>
          </cell>
          <cell r="E2363" t="str">
            <v>Boquilla</v>
          </cell>
          <cell r="H2363" t="str">
            <v>urgencia</v>
          </cell>
          <cell r="J2363" t="str">
            <v>bueno</v>
          </cell>
          <cell r="K2363" t="str">
            <v>probsi</v>
          </cell>
        </row>
        <row r="2364">
          <cell r="B2364" t="b">
            <v>1</v>
          </cell>
          <cell r="E2364" t="str">
            <v>Isla del Rosario</v>
          </cell>
          <cell r="H2364" t="str">
            <v>consulta_externa</v>
          </cell>
          <cell r="J2364" t="str">
            <v>muybueno</v>
          </cell>
          <cell r="K2364" t="str">
            <v>defsi</v>
          </cell>
        </row>
        <row r="2365">
          <cell r="B2365" t="b">
            <v>1</v>
          </cell>
          <cell r="E2365" t="str">
            <v>Isla del Rosario</v>
          </cell>
          <cell r="H2365" t="str">
            <v>laboratorio</v>
          </cell>
          <cell r="J2365" t="str">
            <v>muybueno</v>
          </cell>
          <cell r="K2365" t="str">
            <v>defsi</v>
          </cell>
        </row>
        <row r="2366">
          <cell r="B2366" t="b">
            <v>1</v>
          </cell>
          <cell r="E2366" t="str">
            <v>Canapote</v>
          </cell>
          <cell r="H2366" t="str">
            <v>salud_oral</v>
          </cell>
          <cell r="J2366" t="str">
            <v>bueno</v>
          </cell>
          <cell r="K2366" t="str">
            <v>probsi</v>
          </cell>
        </row>
        <row r="2367">
          <cell r="B2367" t="b">
            <v>1</v>
          </cell>
          <cell r="E2367" t="str">
            <v>Canapote</v>
          </cell>
          <cell r="H2367" t="str">
            <v>salud_oral</v>
          </cell>
          <cell r="J2367" t="str">
            <v>bueno</v>
          </cell>
          <cell r="K2367" t="str">
            <v>probsi</v>
          </cell>
        </row>
        <row r="2368">
          <cell r="B2368" t="b">
            <v>1</v>
          </cell>
          <cell r="E2368" t="str">
            <v>Canapote</v>
          </cell>
          <cell r="H2368" t="str">
            <v>salud_oral</v>
          </cell>
          <cell r="J2368" t="str">
            <v>bueno</v>
          </cell>
          <cell r="K2368" t="str">
            <v>probsi</v>
          </cell>
        </row>
        <row r="2369">
          <cell r="B2369" t="b">
            <v>1</v>
          </cell>
          <cell r="E2369" t="str">
            <v>Canapote</v>
          </cell>
          <cell r="H2369" t="str">
            <v>salud_oral</v>
          </cell>
          <cell r="J2369" t="str">
            <v>bueno</v>
          </cell>
          <cell r="K2369" t="str">
            <v>probsi</v>
          </cell>
        </row>
        <row r="2370">
          <cell r="B2370" t="b">
            <v>1</v>
          </cell>
          <cell r="E2370" t="str">
            <v>Canapote</v>
          </cell>
          <cell r="H2370" t="str">
            <v>consulta_externa</v>
          </cell>
          <cell r="J2370" t="str">
            <v>bueno</v>
          </cell>
          <cell r="K2370" t="str">
            <v>probsi</v>
          </cell>
        </row>
        <row r="2371">
          <cell r="B2371" t="b">
            <v>1</v>
          </cell>
          <cell r="E2371" t="str">
            <v>Canapote</v>
          </cell>
          <cell r="H2371" t="str">
            <v>laboratorio</v>
          </cell>
          <cell r="J2371" t="str">
            <v>bueno</v>
          </cell>
          <cell r="K2371" t="str">
            <v>probsi</v>
          </cell>
        </row>
        <row r="2372">
          <cell r="B2372" t="b">
            <v>1</v>
          </cell>
          <cell r="E2372" t="str">
            <v>San Francisco I</v>
          </cell>
          <cell r="H2372" t="str">
            <v>salud_oral</v>
          </cell>
          <cell r="J2372" t="str">
            <v>bueno</v>
          </cell>
          <cell r="K2372" t="str">
            <v>probsi</v>
          </cell>
        </row>
        <row r="2373">
          <cell r="B2373" t="b">
            <v>1</v>
          </cell>
          <cell r="E2373" t="str">
            <v>San Francisco I</v>
          </cell>
          <cell r="H2373" t="str">
            <v>salud_oral</v>
          </cell>
          <cell r="J2373" t="str">
            <v>bueno</v>
          </cell>
          <cell r="K2373" t="str">
            <v>probsi</v>
          </cell>
        </row>
        <row r="2374">
          <cell r="B2374" t="b">
            <v>1</v>
          </cell>
          <cell r="E2374" t="str">
            <v>San Francisco I</v>
          </cell>
          <cell r="H2374" t="str">
            <v>salud_oral</v>
          </cell>
          <cell r="J2374" t="str">
            <v>bueno</v>
          </cell>
          <cell r="K2374" t="str">
            <v>probsi</v>
          </cell>
        </row>
        <row r="2375">
          <cell r="B2375" t="b">
            <v>1</v>
          </cell>
          <cell r="E2375" t="str">
            <v>San Francisco I</v>
          </cell>
          <cell r="H2375" t="str">
            <v>salud_oral</v>
          </cell>
          <cell r="J2375" t="str">
            <v>bueno</v>
          </cell>
          <cell r="K2375" t="str">
            <v>probsi</v>
          </cell>
        </row>
        <row r="2376">
          <cell r="B2376" t="b">
            <v>0</v>
          </cell>
          <cell r="E2376" t="str">
            <v>San Francisco I</v>
          </cell>
          <cell r="H2376" t="str">
            <v>laboratorio</v>
          </cell>
          <cell r="J2376" t="str">
            <v>regular</v>
          </cell>
          <cell r="K2376" t="str">
            <v>probsi</v>
          </cell>
        </row>
        <row r="2377">
          <cell r="B2377" t="b">
            <v>1</v>
          </cell>
          <cell r="E2377" t="str">
            <v>San Francisco I</v>
          </cell>
          <cell r="H2377" t="str">
            <v>laboratorio</v>
          </cell>
          <cell r="J2377" t="str">
            <v>bueno</v>
          </cell>
          <cell r="K2377" t="str">
            <v>probsi</v>
          </cell>
        </row>
        <row r="2378">
          <cell r="B2378" t="b">
            <v>1</v>
          </cell>
          <cell r="E2378" t="str">
            <v>San Francisco I</v>
          </cell>
          <cell r="H2378" t="str">
            <v>laboratorio</v>
          </cell>
          <cell r="J2378" t="str">
            <v>bueno</v>
          </cell>
          <cell r="K2378" t="str">
            <v>probsi</v>
          </cell>
        </row>
        <row r="2379">
          <cell r="B2379" t="b">
            <v>1</v>
          </cell>
          <cell r="E2379" t="str">
            <v>Arroz Barato</v>
          </cell>
          <cell r="H2379" t="str">
            <v>consulta_externa</v>
          </cell>
          <cell r="J2379" t="str">
            <v>bueno</v>
          </cell>
          <cell r="K2379" t="str">
            <v>defsi</v>
          </cell>
        </row>
        <row r="2380">
          <cell r="B2380" t="b">
            <v>1</v>
          </cell>
          <cell r="E2380" t="str">
            <v>Arroz Barato</v>
          </cell>
          <cell r="H2380" t="str">
            <v>salud_oral</v>
          </cell>
          <cell r="J2380" t="str">
            <v>bueno</v>
          </cell>
          <cell r="K2380" t="str">
            <v>defsi</v>
          </cell>
        </row>
        <row r="2381">
          <cell r="B2381" t="b">
            <v>1</v>
          </cell>
          <cell r="E2381" t="str">
            <v>Arroz Barato</v>
          </cell>
          <cell r="H2381" t="str">
            <v>laboratorio</v>
          </cell>
          <cell r="J2381" t="str">
            <v>bueno</v>
          </cell>
          <cell r="K2381" t="str">
            <v>defsi</v>
          </cell>
        </row>
        <row r="2382">
          <cell r="B2382" t="b">
            <v>1</v>
          </cell>
          <cell r="E2382" t="str">
            <v>Arroz Barato</v>
          </cell>
          <cell r="H2382" t="str">
            <v>urgencia</v>
          </cell>
          <cell r="J2382" t="str">
            <v>bueno</v>
          </cell>
          <cell r="K2382" t="str">
            <v>defsi</v>
          </cell>
        </row>
        <row r="2383">
          <cell r="B2383" t="b">
            <v>1</v>
          </cell>
          <cell r="E2383" t="str">
            <v>Isla del Rosario</v>
          </cell>
          <cell r="H2383" t="str">
            <v>consulta_externa</v>
          </cell>
          <cell r="J2383" t="str">
            <v>muybueno</v>
          </cell>
          <cell r="K2383" t="str">
            <v>defsi</v>
          </cell>
        </row>
        <row r="2384">
          <cell r="B2384" t="b">
            <v>1</v>
          </cell>
          <cell r="E2384" t="str">
            <v>Boquilla</v>
          </cell>
          <cell r="H2384" t="str">
            <v>consulta_externa</v>
          </cell>
          <cell r="J2384" t="str">
            <v>bueno</v>
          </cell>
          <cell r="K2384" t="str">
            <v>probsi</v>
          </cell>
        </row>
        <row r="2385">
          <cell r="B2385" t="b">
            <v>1</v>
          </cell>
          <cell r="E2385" t="str">
            <v>Arroz Barato</v>
          </cell>
          <cell r="H2385" t="str">
            <v>rx</v>
          </cell>
          <cell r="J2385" t="str">
            <v>bueno</v>
          </cell>
          <cell r="K2385" t="str">
            <v>defsi</v>
          </cell>
        </row>
        <row r="2386">
          <cell r="B2386" t="b">
            <v>1</v>
          </cell>
          <cell r="E2386" t="str">
            <v>Boquilla</v>
          </cell>
          <cell r="H2386" t="str">
            <v>salud_oral</v>
          </cell>
          <cell r="J2386" t="str">
            <v>bueno</v>
          </cell>
          <cell r="K2386" t="str">
            <v>probsi</v>
          </cell>
        </row>
        <row r="2387">
          <cell r="B2387" t="b">
            <v>1</v>
          </cell>
          <cell r="E2387" t="str">
            <v>Boquilla</v>
          </cell>
          <cell r="H2387" t="str">
            <v>salud_oral</v>
          </cell>
          <cell r="J2387" t="str">
            <v>bueno</v>
          </cell>
          <cell r="K2387" t="str">
            <v>probsi</v>
          </cell>
        </row>
        <row r="2388">
          <cell r="B2388" t="b">
            <v>1</v>
          </cell>
          <cell r="E2388" t="str">
            <v>Arroz Barato</v>
          </cell>
          <cell r="H2388" t="str">
            <v>consulta_externa</v>
          </cell>
          <cell r="J2388" t="str">
            <v>bueno</v>
          </cell>
          <cell r="K2388" t="str">
            <v>defsi</v>
          </cell>
        </row>
        <row r="2389">
          <cell r="B2389" t="b">
            <v>1</v>
          </cell>
          <cell r="E2389" t="str">
            <v>Arroz Barato</v>
          </cell>
          <cell r="H2389" t="str">
            <v>salud_oral</v>
          </cell>
          <cell r="J2389" t="str">
            <v>bueno</v>
          </cell>
          <cell r="K2389" t="str">
            <v>defsi</v>
          </cell>
        </row>
        <row r="2390">
          <cell r="B2390" t="b">
            <v>1</v>
          </cell>
          <cell r="E2390" t="str">
            <v>Islote de San Bernardo</v>
          </cell>
          <cell r="H2390" t="str">
            <v>consulta_externa</v>
          </cell>
          <cell r="J2390" t="str">
            <v>muybueno</v>
          </cell>
          <cell r="K2390" t="str">
            <v>defsi</v>
          </cell>
        </row>
        <row r="2391">
          <cell r="B2391" t="b">
            <v>1</v>
          </cell>
          <cell r="E2391" t="str">
            <v>Arroz Barato</v>
          </cell>
          <cell r="H2391" t="str">
            <v>laboratorio</v>
          </cell>
          <cell r="J2391" t="str">
            <v>bueno</v>
          </cell>
          <cell r="K2391" t="str">
            <v>defsi</v>
          </cell>
        </row>
        <row r="2392">
          <cell r="B2392" t="b">
            <v>1</v>
          </cell>
          <cell r="E2392" t="str">
            <v>Arroz Barato</v>
          </cell>
          <cell r="H2392" t="str">
            <v>urgencia</v>
          </cell>
          <cell r="J2392" t="str">
            <v>bueno</v>
          </cell>
          <cell r="K2392" t="str">
            <v>defsi</v>
          </cell>
        </row>
        <row r="2393">
          <cell r="B2393" t="b">
            <v>1</v>
          </cell>
          <cell r="E2393" t="str">
            <v>Arroz Barato</v>
          </cell>
          <cell r="H2393" t="str">
            <v>rx</v>
          </cell>
          <cell r="J2393" t="str">
            <v>bueno</v>
          </cell>
          <cell r="K2393" t="str">
            <v>defsi</v>
          </cell>
        </row>
        <row r="2394">
          <cell r="B2394" t="b">
            <v>1</v>
          </cell>
          <cell r="E2394" t="str">
            <v>Boquilla</v>
          </cell>
          <cell r="H2394" t="str">
            <v>consulta_externa</v>
          </cell>
          <cell r="J2394" t="str">
            <v>bueno</v>
          </cell>
          <cell r="K2394" t="str">
            <v>probsi</v>
          </cell>
        </row>
        <row r="2395">
          <cell r="B2395" t="b">
            <v>1</v>
          </cell>
          <cell r="E2395" t="str">
            <v>Boquilla</v>
          </cell>
          <cell r="H2395" t="str">
            <v>salud_oral</v>
          </cell>
          <cell r="J2395" t="str">
            <v>bueno</v>
          </cell>
          <cell r="K2395" t="str">
            <v>defsi</v>
          </cell>
        </row>
        <row r="2396">
          <cell r="B2396" t="b">
            <v>1</v>
          </cell>
          <cell r="E2396" t="str">
            <v>Islote de San Bernardo</v>
          </cell>
          <cell r="H2396" t="str">
            <v>salud_oral</v>
          </cell>
          <cell r="J2396" t="str">
            <v>muybueno</v>
          </cell>
          <cell r="K2396" t="str">
            <v>defsi</v>
          </cell>
        </row>
        <row r="2397">
          <cell r="B2397" t="b">
            <v>1</v>
          </cell>
          <cell r="E2397" t="str">
            <v>Boquilla</v>
          </cell>
          <cell r="H2397" t="str">
            <v>consulta_externa</v>
          </cell>
          <cell r="J2397" t="str">
            <v>bueno</v>
          </cell>
          <cell r="K2397" t="str">
            <v>probsi</v>
          </cell>
        </row>
        <row r="2398">
          <cell r="B2398" t="b">
            <v>1</v>
          </cell>
          <cell r="E2398" t="str">
            <v>Islote de San Bernardo</v>
          </cell>
          <cell r="H2398" t="str">
            <v>consulta_externa</v>
          </cell>
          <cell r="J2398" t="str">
            <v>muybueno</v>
          </cell>
          <cell r="K2398" t="str">
            <v>defsi</v>
          </cell>
        </row>
        <row r="2399">
          <cell r="B2399" t="b">
            <v>1</v>
          </cell>
          <cell r="E2399" t="str">
            <v>Boquilla</v>
          </cell>
          <cell r="H2399" t="str">
            <v>consulta_externa</v>
          </cell>
          <cell r="J2399" t="str">
            <v>bueno</v>
          </cell>
          <cell r="K2399" t="str">
            <v>probsi</v>
          </cell>
        </row>
        <row r="2400">
          <cell r="B2400" t="b">
            <v>1</v>
          </cell>
          <cell r="E2400" t="str">
            <v>Boquilla</v>
          </cell>
          <cell r="H2400" t="str">
            <v>urgencia</v>
          </cell>
          <cell r="J2400" t="str">
            <v>bueno</v>
          </cell>
          <cell r="K2400" t="str">
            <v>probsi</v>
          </cell>
        </row>
        <row r="2401">
          <cell r="B2401" t="b">
            <v>1</v>
          </cell>
          <cell r="E2401" t="str">
            <v>Boquilla</v>
          </cell>
          <cell r="H2401" t="str">
            <v>salud_oral</v>
          </cell>
          <cell r="J2401" t="str">
            <v>bueno</v>
          </cell>
          <cell r="K2401" t="str">
            <v>defsi</v>
          </cell>
        </row>
        <row r="2402">
          <cell r="B2402" t="b">
            <v>1</v>
          </cell>
          <cell r="E2402" t="str">
            <v>Boquilla</v>
          </cell>
          <cell r="H2402" t="str">
            <v>salud_oral</v>
          </cell>
          <cell r="J2402" t="str">
            <v>bueno</v>
          </cell>
          <cell r="K2402" t="str">
            <v>defsi</v>
          </cell>
        </row>
        <row r="2403">
          <cell r="B2403" t="b">
            <v>1</v>
          </cell>
          <cell r="E2403" t="str">
            <v>Boquilla</v>
          </cell>
          <cell r="H2403" t="str">
            <v>consulta_externa</v>
          </cell>
          <cell r="J2403" t="str">
            <v>bueno</v>
          </cell>
          <cell r="K2403" t="str">
            <v>probsi</v>
          </cell>
        </row>
        <row r="2404">
          <cell r="B2404" t="b">
            <v>1</v>
          </cell>
          <cell r="E2404" t="str">
            <v>Boquilla</v>
          </cell>
          <cell r="H2404" t="str">
            <v>consulta_externa</v>
          </cell>
          <cell r="J2404" t="str">
            <v>bueno</v>
          </cell>
          <cell r="K2404" t="str">
            <v>probsi</v>
          </cell>
        </row>
        <row r="2405">
          <cell r="B2405" t="b">
            <v>1</v>
          </cell>
          <cell r="E2405" t="str">
            <v>Arroz Barato</v>
          </cell>
          <cell r="H2405" t="str">
            <v>consulta_externa</v>
          </cell>
          <cell r="J2405" t="str">
            <v>bueno</v>
          </cell>
          <cell r="K2405" t="str">
            <v>defsi</v>
          </cell>
        </row>
        <row r="2406">
          <cell r="B2406" t="b">
            <v>1</v>
          </cell>
          <cell r="E2406" t="str">
            <v>Arroz Barato</v>
          </cell>
          <cell r="H2406" t="str">
            <v>salud_oral</v>
          </cell>
          <cell r="J2406" t="str">
            <v>bueno</v>
          </cell>
          <cell r="K2406" t="str">
            <v>defsi</v>
          </cell>
        </row>
        <row r="2407">
          <cell r="B2407" t="b">
            <v>1</v>
          </cell>
          <cell r="E2407" t="str">
            <v>Arroz Barato</v>
          </cell>
          <cell r="H2407" t="str">
            <v>laboratorio</v>
          </cell>
          <cell r="J2407" t="str">
            <v>bueno</v>
          </cell>
          <cell r="K2407" t="str">
            <v>defsi</v>
          </cell>
        </row>
        <row r="2408">
          <cell r="B2408" t="b">
            <v>1</v>
          </cell>
          <cell r="E2408" t="str">
            <v>Arroz Barato</v>
          </cell>
          <cell r="H2408" t="str">
            <v>urgencia</v>
          </cell>
          <cell r="J2408" t="str">
            <v>bueno</v>
          </cell>
          <cell r="K2408" t="str">
            <v>defsi</v>
          </cell>
        </row>
        <row r="2409">
          <cell r="B2409" t="b">
            <v>1</v>
          </cell>
          <cell r="E2409" t="str">
            <v>Arroz Barato</v>
          </cell>
          <cell r="H2409" t="str">
            <v>rx</v>
          </cell>
          <cell r="J2409" t="str">
            <v>bueno</v>
          </cell>
          <cell r="K2409" t="str">
            <v>defsi</v>
          </cell>
        </row>
        <row r="2410">
          <cell r="B2410" t="b">
            <v>1</v>
          </cell>
          <cell r="E2410" t="str">
            <v>Islote de San Bernardo</v>
          </cell>
          <cell r="H2410" t="str">
            <v>consulta_externa</v>
          </cell>
          <cell r="J2410" t="str">
            <v>muybueno</v>
          </cell>
          <cell r="K2410" t="str">
            <v>defsi</v>
          </cell>
        </row>
        <row r="2411">
          <cell r="B2411" t="b">
            <v>1</v>
          </cell>
          <cell r="E2411" t="str">
            <v>Arroz Barato</v>
          </cell>
          <cell r="H2411" t="str">
            <v>consulta_externa</v>
          </cell>
          <cell r="J2411" t="str">
            <v>bueno</v>
          </cell>
          <cell r="K2411" t="str">
            <v>defsi</v>
          </cell>
        </row>
        <row r="2412">
          <cell r="B2412" t="b">
            <v>1</v>
          </cell>
          <cell r="E2412" t="str">
            <v>Arroz Barato</v>
          </cell>
          <cell r="H2412" t="str">
            <v>salud_oral</v>
          </cell>
          <cell r="J2412" t="str">
            <v>bueno</v>
          </cell>
          <cell r="K2412" t="str">
            <v>defsi</v>
          </cell>
        </row>
        <row r="2413">
          <cell r="B2413" t="b">
            <v>1</v>
          </cell>
          <cell r="E2413" t="str">
            <v>Arroz Barato</v>
          </cell>
          <cell r="H2413" t="str">
            <v>laboratorio</v>
          </cell>
          <cell r="J2413" t="str">
            <v>bueno</v>
          </cell>
          <cell r="K2413" t="str">
            <v>defsi</v>
          </cell>
        </row>
        <row r="2414">
          <cell r="B2414" t="b">
            <v>1</v>
          </cell>
          <cell r="E2414" t="str">
            <v>Arroz Barato</v>
          </cell>
          <cell r="H2414" t="str">
            <v>urgencia</v>
          </cell>
          <cell r="J2414" t="str">
            <v>bueno</v>
          </cell>
          <cell r="K2414" t="str">
            <v>defsi</v>
          </cell>
        </row>
        <row r="2415">
          <cell r="B2415" t="b">
            <v>1</v>
          </cell>
          <cell r="E2415" t="str">
            <v>Nelson Mandela UPA</v>
          </cell>
          <cell r="H2415" t="str">
            <v>salud_oral</v>
          </cell>
          <cell r="J2415" t="str">
            <v>bueno</v>
          </cell>
          <cell r="K2415" t="str">
            <v>defsi</v>
          </cell>
        </row>
        <row r="2416">
          <cell r="B2416" t="b">
            <v>1</v>
          </cell>
          <cell r="E2416" t="str">
            <v>Arroz Barato</v>
          </cell>
          <cell r="H2416" t="str">
            <v>rx</v>
          </cell>
          <cell r="J2416" t="str">
            <v>bueno</v>
          </cell>
          <cell r="K2416" t="str">
            <v>defsi</v>
          </cell>
        </row>
        <row r="2417">
          <cell r="B2417" t="b">
            <v>1</v>
          </cell>
          <cell r="E2417" t="str">
            <v>Nelson Mandela UPA</v>
          </cell>
          <cell r="H2417" t="str">
            <v>salud_oral</v>
          </cell>
          <cell r="J2417" t="str">
            <v>bueno</v>
          </cell>
          <cell r="K2417" t="str">
            <v>defsi</v>
          </cell>
        </row>
        <row r="2418">
          <cell r="B2418" t="b">
            <v>1</v>
          </cell>
          <cell r="E2418" t="str">
            <v>Nelson Mandela UPA</v>
          </cell>
          <cell r="H2418" t="str">
            <v>salud_oral</v>
          </cell>
          <cell r="J2418" t="str">
            <v>bueno</v>
          </cell>
          <cell r="K2418" t="str">
            <v>defsi</v>
          </cell>
        </row>
        <row r="2419">
          <cell r="B2419" t="b">
            <v>0</v>
          </cell>
          <cell r="E2419" t="str">
            <v>Nelson Mandela UPA</v>
          </cell>
          <cell r="H2419" t="str">
            <v>salud_oral</v>
          </cell>
          <cell r="J2419" t="str">
            <v>regular</v>
          </cell>
          <cell r="K2419" t="str">
            <v>defsi</v>
          </cell>
        </row>
        <row r="2420">
          <cell r="B2420" t="b">
            <v>1</v>
          </cell>
          <cell r="E2420" t="str">
            <v>Nelson Mandela UPA</v>
          </cell>
          <cell r="H2420" t="str">
            <v>salud_oral</v>
          </cell>
          <cell r="J2420" t="str">
            <v>bueno</v>
          </cell>
          <cell r="K2420" t="str">
            <v>defsi</v>
          </cell>
        </row>
        <row r="2421">
          <cell r="B2421" t="b">
            <v>1</v>
          </cell>
          <cell r="E2421" t="str">
            <v>Nelson Mandela UPA</v>
          </cell>
          <cell r="H2421" t="str">
            <v>consulta_externa</v>
          </cell>
          <cell r="J2421" t="str">
            <v>bueno</v>
          </cell>
          <cell r="K2421" t="str">
            <v>defsi</v>
          </cell>
        </row>
        <row r="2422">
          <cell r="B2422" t="b">
            <v>1</v>
          </cell>
          <cell r="E2422" t="str">
            <v>Nelson Mandela UPA</v>
          </cell>
          <cell r="H2422" t="str">
            <v>laboratorio</v>
          </cell>
          <cell r="J2422" t="str">
            <v>bueno</v>
          </cell>
          <cell r="K2422" t="str">
            <v>defsi</v>
          </cell>
        </row>
        <row r="2423">
          <cell r="B2423" t="b">
            <v>1</v>
          </cell>
          <cell r="E2423" t="str">
            <v>Nelson Mandela UPA</v>
          </cell>
          <cell r="H2423" t="str">
            <v>laboratorio</v>
          </cell>
          <cell r="J2423" t="str">
            <v>bueno</v>
          </cell>
          <cell r="K2423" t="str">
            <v>defsi</v>
          </cell>
        </row>
        <row r="2424">
          <cell r="B2424" t="b">
            <v>1</v>
          </cell>
          <cell r="E2424" t="str">
            <v>Nelson Mandela UPA</v>
          </cell>
          <cell r="H2424" t="str">
            <v>laboratorio</v>
          </cell>
          <cell r="J2424" t="str">
            <v>bueno</v>
          </cell>
          <cell r="K2424" t="str">
            <v>defsi</v>
          </cell>
        </row>
        <row r="2425">
          <cell r="B2425" t="b">
            <v>0</v>
          </cell>
          <cell r="E2425" t="str">
            <v>Nelson Mandela UPA</v>
          </cell>
          <cell r="H2425" t="str">
            <v>consulta_externa</v>
          </cell>
          <cell r="J2425" t="str">
            <v>regular</v>
          </cell>
          <cell r="K2425" t="str">
            <v>defsi</v>
          </cell>
        </row>
        <row r="2426">
          <cell r="B2426" t="b">
            <v>1</v>
          </cell>
          <cell r="E2426" t="str">
            <v>Nelson Mandela UPA</v>
          </cell>
          <cell r="H2426" t="str">
            <v>consulta_externa</v>
          </cell>
          <cell r="J2426" t="str">
            <v>bueno</v>
          </cell>
          <cell r="K2426" t="str">
            <v>defsi</v>
          </cell>
        </row>
        <row r="2427">
          <cell r="B2427" t="b">
            <v>1</v>
          </cell>
          <cell r="E2427" t="str">
            <v>Nelson Mandela UPA</v>
          </cell>
          <cell r="H2427" t="str">
            <v>salud_oral</v>
          </cell>
          <cell r="J2427" t="str">
            <v>bueno</v>
          </cell>
          <cell r="K2427" t="str">
            <v>defsi</v>
          </cell>
        </row>
        <row r="2428">
          <cell r="B2428" t="b">
            <v>1</v>
          </cell>
          <cell r="E2428" t="str">
            <v>Nelson Mandela UPA</v>
          </cell>
          <cell r="H2428" t="str">
            <v>salud_oral</v>
          </cell>
          <cell r="J2428" t="str">
            <v>bueno</v>
          </cell>
          <cell r="K2428" t="str">
            <v>defsi</v>
          </cell>
        </row>
        <row r="2429">
          <cell r="B2429" t="b">
            <v>1</v>
          </cell>
          <cell r="E2429" t="str">
            <v>Nelson Mandela UPA</v>
          </cell>
          <cell r="H2429" t="str">
            <v>salud_oral</v>
          </cell>
          <cell r="J2429" t="str">
            <v>bueno</v>
          </cell>
          <cell r="K2429" t="str">
            <v>defsi</v>
          </cell>
        </row>
        <row r="2430">
          <cell r="B2430" t="b">
            <v>1</v>
          </cell>
          <cell r="E2430" t="str">
            <v>Nelson Mandela UPA</v>
          </cell>
          <cell r="H2430" t="str">
            <v>laboratorio</v>
          </cell>
          <cell r="J2430" t="str">
            <v>bueno</v>
          </cell>
          <cell r="K2430" t="str">
            <v>defsi</v>
          </cell>
        </row>
        <row r="2431">
          <cell r="B2431" t="b">
            <v>1</v>
          </cell>
          <cell r="E2431" t="str">
            <v>Nelson Mandela UPA</v>
          </cell>
          <cell r="H2431" t="str">
            <v>laboratorio</v>
          </cell>
          <cell r="J2431" t="str">
            <v>bueno</v>
          </cell>
          <cell r="K2431" t="str">
            <v>defsi</v>
          </cell>
        </row>
        <row r="2432">
          <cell r="B2432" t="b">
            <v>0</v>
          </cell>
          <cell r="E2432" t="str">
            <v>Nelson Mandela UPA</v>
          </cell>
          <cell r="H2432" t="str">
            <v>laboratorio</v>
          </cell>
          <cell r="J2432" t="str">
            <v>regular</v>
          </cell>
          <cell r="K2432" t="str">
            <v>defsi</v>
          </cell>
        </row>
        <row r="2433">
          <cell r="B2433" t="b">
            <v>1</v>
          </cell>
          <cell r="E2433" t="str">
            <v>Nelson Mandela UPA</v>
          </cell>
          <cell r="H2433" t="str">
            <v>salud_oral</v>
          </cell>
          <cell r="J2433" t="str">
            <v>bueno</v>
          </cell>
          <cell r="K2433" t="str">
            <v>defsi</v>
          </cell>
        </row>
        <row r="2434">
          <cell r="B2434" t="b">
            <v>1</v>
          </cell>
          <cell r="E2434" t="str">
            <v>Nelson Mandela UPA</v>
          </cell>
          <cell r="H2434" t="str">
            <v>salud_oral</v>
          </cell>
          <cell r="J2434" t="str">
            <v>bueno</v>
          </cell>
          <cell r="K2434" t="str">
            <v>defsi</v>
          </cell>
        </row>
        <row r="2435">
          <cell r="B2435" t="b">
            <v>0</v>
          </cell>
          <cell r="E2435" t="str">
            <v>Nelson Mandela UPA</v>
          </cell>
          <cell r="H2435" t="str">
            <v>consulta_externa</v>
          </cell>
          <cell r="J2435" t="str">
            <v>regular</v>
          </cell>
          <cell r="K2435" t="str">
            <v>defsi</v>
          </cell>
        </row>
        <row r="2436">
          <cell r="B2436" t="b">
            <v>1</v>
          </cell>
          <cell r="E2436" t="str">
            <v>Nelson Mandela UPA</v>
          </cell>
          <cell r="H2436" t="str">
            <v>consulta_externa</v>
          </cell>
          <cell r="J2436" t="str">
            <v>bueno</v>
          </cell>
          <cell r="K2436" t="str">
            <v>defsi</v>
          </cell>
        </row>
        <row r="2437">
          <cell r="B2437" t="b">
            <v>0</v>
          </cell>
          <cell r="E2437" t="str">
            <v>Nelson Mandela UPA</v>
          </cell>
          <cell r="H2437" t="str">
            <v>urgencia</v>
          </cell>
          <cell r="J2437" t="str">
            <v>regular</v>
          </cell>
          <cell r="K2437" t="str">
            <v>defsi</v>
          </cell>
        </row>
        <row r="2438">
          <cell r="B2438" t="b">
            <v>0</v>
          </cell>
          <cell r="E2438" t="str">
            <v>Nelson Mandela UPA</v>
          </cell>
          <cell r="H2438" t="str">
            <v>urgencia</v>
          </cell>
          <cell r="J2438" t="str">
            <v>regular</v>
          </cell>
          <cell r="K2438" t="str">
            <v>defsi</v>
          </cell>
        </row>
        <row r="2439">
          <cell r="B2439" t="b">
            <v>1</v>
          </cell>
          <cell r="E2439" t="str">
            <v>Nelson Mandela UPA</v>
          </cell>
          <cell r="H2439" t="str">
            <v>salud_oral</v>
          </cell>
          <cell r="J2439" t="str">
            <v>bueno</v>
          </cell>
          <cell r="K2439" t="str">
            <v>defsi</v>
          </cell>
        </row>
        <row r="2440">
          <cell r="B2440" t="b">
            <v>1</v>
          </cell>
          <cell r="E2440" t="str">
            <v>Nelson Mandela UPA</v>
          </cell>
          <cell r="H2440" t="str">
            <v>salud_oral</v>
          </cell>
          <cell r="J2440" t="str">
            <v>bueno</v>
          </cell>
          <cell r="K2440" t="str">
            <v>defsi</v>
          </cell>
        </row>
        <row r="2441">
          <cell r="B2441" t="b">
            <v>0</v>
          </cell>
          <cell r="E2441" t="str">
            <v>Nelson Mandela UPA</v>
          </cell>
          <cell r="H2441" t="str">
            <v>urgencia</v>
          </cell>
          <cell r="J2441" t="str">
            <v>regular</v>
          </cell>
          <cell r="K2441" t="str">
            <v>defsi</v>
          </cell>
        </row>
        <row r="2442">
          <cell r="B2442" t="b">
            <v>1</v>
          </cell>
          <cell r="E2442" t="str">
            <v>San Francisco I</v>
          </cell>
          <cell r="H2442" t="str">
            <v>consulta_externa</v>
          </cell>
          <cell r="J2442" t="str">
            <v>bueno</v>
          </cell>
          <cell r="K2442" t="str">
            <v>probsi</v>
          </cell>
        </row>
        <row r="2443">
          <cell r="B2443" t="b">
            <v>1</v>
          </cell>
          <cell r="E2443" t="str">
            <v>San Francisco I</v>
          </cell>
          <cell r="H2443" t="str">
            <v>consulta_externa</v>
          </cell>
          <cell r="J2443" t="str">
            <v>bueno</v>
          </cell>
          <cell r="K2443" t="str">
            <v>probsi</v>
          </cell>
        </row>
        <row r="2444">
          <cell r="B2444" t="b">
            <v>0</v>
          </cell>
          <cell r="E2444" t="str">
            <v>Nelson Mandela UPA</v>
          </cell>
          <cell r="H2444" t="str">
            <v>urgencia</v>
          </cell>
          <cell r="J2444" t="str">
            <v>regular</v>
          </cell>
          <cell r="K2444" t="str">
            <v>defsi</v>
          </cell>
        </row>
        <row r="2445">
          <cell r="B2445" t="b">
            <v>1</v>
          </cell>
          <cell r="E2445" t="str">
            <v>San Francisco I</v>
          </cell>
          <cell r="H2445" t="str">
            <v>consulta_externa</v>
          </cell>
          <cell r="J2445" t="str">
            <v>bueno</v>
          </cell>
          <cell r="K2445" t="str">
            <v>probsi</v>
          </cell>
        </row>
        <row r="2446">
          <cell r="B2446" t="b">
            <v>1</v>
          </cell>
          <cell r="E2446" t="str">
            <v>San Francisco I</v>
          </cell>
          <cell r="H2446" t="str">
            <v>consulta_externa</v>
          </cell>
          <cell r="J2446" t="str">
            <v>bueno</v>
          </cell>
          <cell r="K2446" t="str">
            <v>probsi</v>
          </cell>
        </row>
        <row r="2447">
          <cell r="B2447" t="b">
            <v>1</v>
          </cell>
          <cell r="E2447" t="str">
            <v>San Francisco I</v>
          </cell>
          <cell r="H2447" t="str">
            <v>salud_oral</v>
          </cell>
          <cell r="J2447" t="str">
            <v>bueno</v>
          </cell>
          <cell r="K2447" t="str">
            <v>probsi</v>
          </cell>
        </row>
        <row r="2448">
          <cell r="B2448" t="b">
            <v>1</v>
          </cell>
          <cell r="E2448" t="str">
            <v>Nelson Mandela UPA</v>
          </cell>
          <cell r="H2448" t="str">
            <v>urgencia</v>
          </cell>
          <cell r="J2448" t="str">
            <v>bueno</v>
          </cell>
          <cell r="K2448" t="str">
            <v>defsi</v>
          </cell>
        </row>
        <row r="2449">
          <cell r="B2449" t="b">
            <v>1</v>
          </cell>
          <cell r="E2449" t="str">
            <v>San Francisco I</v>
          </cell>
          <cell r="H2449" t="str">
            <v>salud_oral</v>
          </cell>
          <cell r="J2449" t="str">
            <v>bueno</v>
          </cell>
          <cell r="K2449" t="str">
            <v>probsi</v>
          </cell>
        </row>
        <row r="2450">
          <cell r="B2450" t="b">
            <v>1</v>
          </cell>
          <cell r="E2450" t="str">
            <v>San Francisco I</v>
          </cell>
          <cell r="H2450" t="str">
            <v>laboratorio</v>
          </cell>
          <cell r="J2450" t="str">
            <v>bueno</v>
          </cell>
          <cell r="K2450" t="str">
            <v>probsi</v>
          </cell>
        </row>
        <row r="2451">
          <cell r="B2451" t="b">
            <v>1</v>
          </cell>
          <cell r="E2451" t="str">
            <v>Nelson Mandela UPA</v>
          </cell>
          <cell r="H2451" t="str">
            <v>consulta_externa</v>
          </cell>
          <cell r="J2451" t="str">
            <v>bueno</v>
          </cell>
          <cell r="K2451" t="str">
            <v>defsi</v>
          </cell>
        </row>
        <row r="2452">
          <cell r="B2452" t="b">
            <v>1</v>
          </cell>
          <cell r="E2452" t="str">
            <v>San Francisco I</v>
          </cell>
          <cell r="H2452" t="str">
            <v>laboratorio</v>
          </cell>
          <cell r="J2452" t="str">
            <v>bueno</v>
          </cell>
          <cell r="K2452" t="str">
            <v>probsi</v>
          </cell>
        </row>
        <row r="2453">
          <cell r="B2453" t="b">
            <v>1</v>
          </cell>
          <cell r="E2453" t="str">
            <v>San Francisco I</v>
          </cell>
          <cell r="H2453" t="str">
            <v>laboratorio</v>
          </cell>
          <cell r="J2453" t="str">
            <v>bueno</v>
          </cell>
          <cell r="K2453" t="str">
            <v>probsi</v>
          </cell>
        </row>
        <row r="2454">
          <cell r="B2454" t="b">
            <v>1</v>
          </cell>
          <cell r="E2454" t="str">
            <v>Daniel Lemaitre</v>
          </cell>
          <cell r="H2454" t="str">
            <v>consulta_externa</v>
          </cell>
          <cell r="J2454" t="str">
            <v>bueno</v>
          </cell>
          <cell r="K2454" t="str">
            <v>probsi</v>
          </cell>
        </row>
        <row r="2455">
          <cell r="B2455" t="b">
            <v>1</v>
          </cell>
          <cell r="E2455" t="str">
            <v>Nelson Mandela UPA</v>
          </cell>
          <cell r="H2455" t="str">
            <v>urgencia</v>
          </cell>
          <cell r="J2455" t="str">
            <v>bueno</v>
          </cell>
          <cell r="K2455" t="str">
            <v>defsi</v>
          </cell>
        </row>
        <row r="2456">
          <cell r="B2456" t="b">
            <v>0</v>
          </cell>
          <cell r="E2456" t="str">
            <v>Nelson Mandela UPA</v>
          </cell>
          <cell r="H2456" t="str">
            <v>urgencia</v>
          </cell>
          <cell r="J2456" t="str">
            <v>regular</v>
          </cell>
          <cell r="K2456" t="str">
            <v>defsi</v>
          </cell>
        </row>
        <row r="2457">
          <cell r="B2457" t="b">
            <v>1</v>
          </cell>
          <cell r="E2457" t="str">
            <v>Nelson Mandela UPA</v>
          </cell>
          <cell r="H2457" t="str">
            <v>consulta_externa</v>
          </cell>
          <cell r="J2457" t="str">
            <v>bueno</v>
          </cell>
          <cell r="K2457" t="str">
            <v>defsi</v>
          </cell>
        </row>
        <row r="2458">
          <cell r="B2458" t="b">
            <v>1</v>
          </cell>
          <cell r="E2458" t="str">
            <v>Daniel Lemaitre</v>
          </cell>
          <cell r="H2458" t="str">
            <v>salud_oral</v>
          </cell>
          <cell r="J2458" t="str">
            <v>bueno</v>
          </cell>
          <cell r="K2458" t="str">
            <v>probsi</v>
          </cell>
        </row>
        <row r="2459">
          <cell r="B2459" t="b">
            <v>1</v>
          </cell>
          <cell r="E2459" t="str">
            <v>Daniel Lemaitre</v>
          </cell>
          <cell r="H2459" t="str">
            <v>salud_oral</v>
          </cell>
          <cell r="J2459" t="str">
            <v>bueno</v>
          </cell>
          <cell r="K2459" t="str">
            <v>probsi</v>
          </cell>
        </row>
        <row r="2460">
          <cell r="B2460" t="b">
            <v>1</v>
          </cell>
          <cell r="E2460" t="str">
            <v>Daniel Lemaitre</v>
          </cell>
          <cell r="H2460" t="str">
            <v>salud_oral</v>
          </cell>
          <cell r="J2460" t="str">
            <v>bueno</v>
          </cell>
          <cell r="K2460" t="str">
            <v>probsi</v>
          </cell>
        </row>
        <row r="2461">
          <cell r="B2461" t="b">
            <v>1</v>
          </cell>
          <cell r="E2461" t="str">
            <v>Daniel Lemaitre</v>
          </cell>
          <cell r="H2461" t="str">
            <v>salud_oral</v>
          </cell>
          <cell r="J2461" t="str">
            <v>bueno</v>
          </cell>
          <cell r="K2461" t="str">
            <v>probsi</v>
          </cell>
        </row>
        <row r="2462">
          <cell r="B2462" t="b">
            <v>1</v>
          </cell>
          <cell r="E2462" t="str">
            <v>Daniel Lemaitre</v>
          </cell>
          <cell r="H2462" t="str">
            <v>salud_oral</v>
          </cell>
          <cell r="J2462" t="str">
            <v>bueno</v>
          </cell>
          <cell r="K2462" t="str">
            <v>probsi</v>
          </cell>
        </row>
        <row r="2463">
          <cell r="B2463" t="b">
            <v>1</v>
          </cell>
          <cell r="E2463" t="str">
            <v>Daniel Lemaitre</v>
          </cell>
          <cell r="H2463" t="str">
            <v>laboratorio</v>
          </cell>
          <cell r="J2463" t="str">
            <v>bueno</v>
          </cell>
          <cell r="K2463" t="str">
            <v>probsi</v>
          </cell>
        </row>
        <row r="2464">
          <cell r="B2464" t="b">
            <v>1</v>
          </cell>
          <cell r="E2464" t="str">
            <v>Daniel Lemaitre</v>
          </cell>
          <cell r="H2464" t="str">
            <v>laboratorio</v>
          </cell>
          <cell r="J2464" t="str">
            <v>bueno</v>
          </cell>
          <cell r="K2464" t="str">
            <v>probsi</v>
          </cell>
        </row>
        <row r="2465">
          <cell r="B2465" t="b">
            <v>1</v>
          </cell>
          <cell r="E2465" t="str">
            <v>Daniel Lemaitre</v>
          </cell>
          <cell r="H2465" t="str">
            <v>laboratorio</v>
          </cell>
          <cell r="J2465" t="str">
            <v>bueno</v>
          </cell>
          <cell r="K2465" t="str">
            <v>probsi</v>
          </cell>
        </row>
        <row r="2466">
          <cell r="B2466" t="b">
            <v>1</v>
          </cell>
          <cell r="E2466" t="str">
            <v>Daniel Lemaitre</v>
          </cell>
          <cell r="H2466" t="str">
            <v>laboratorio</v>
          </cell>
          <cell r="J2466" t="str">
            <v>bueno</v>
          </cell>
          <cell r="K2466" t="str">
            <v>probsi</v>
          </cell>
        </row>
        <row r="2467">
          <cell r="B2467" t="b">
            <v>1</v>
          </cell>
          <cell r="E2467" t="str">
            <v>Daniel Lemaitre</v>
          </cell>
          <cell r="H2467" t="str">
            <v>laboratorio</v>
          </cell>
          <cell r="J2467" t="str">
            <v>bueno</v>
          </cell>
          <cell r="K2467" t="str">
            <v>probsi</v>
          </cell>
        </row>
        <row r="2468">
          <cell r="B2468" t="b">
            <v>1</v>
          </cell>
          <cell r="E2468" t="str">
            <v>Daniel Lemaitre</v>
          </cell>
          <cell r="H2468" t="str">
            <v>laboratorio</v>
          </cell>
          <cell r="J2468" t="str">
            <v>bueno</v>
          </cell>
          <cell r="K2468" t="str">
            <v>probsi</v>
          </cell>
        </row>
        <row r="2469">
          <cell r="B2469" t="b">
            <v>1</v>
          </cell>
          <cell r="E2469" t="str">
            <v>Daniel Lemaitre</v>
          </cell>
          <cell r="H2469" t="str">
            <v>consulta_externa</v>
          </cell>
          <cell r="J2469" t="str">
            <v>bueno</v>
          </cell>
          <cell r="K2469" t="str">
            <v>probsi</v>
          </cell>
        </row>
        <row r="2470">
          <cell r="B2470" t="b">
            <v>1</v>
          </cell>
          <cell r="E2470" t="str">
            <v>Daniel Lemaitre</v>
          </cell>
          <cell r="H2470" t="str">
            <v>consulta_externa</v>
          </cell>
          <cell r="J2470" t="str">
            <v>bueno</v>
          </cell>
          <cell r="K2470" t="str">
            <v>probsi</v>
          </cell>
        </row>
        <row r="2471">
          <cell r="B2471" t="b">
            <v>1</v>
          </cell>
          <cell r="E2471" t="str">
            <v>Daniel Lemaitre</v>
          </cell>
          <cell r="H2471" t="str">
            <v>consulta_externa</v>
          </cell>
          <cell r="J2471" t="str">
            <v>bueno</v>
          </cell>
          <cell r="K2471" t="str">
            <v>probsi</v>
          </cell>
        </row>
        <row r="2472">
          <cell r="B2472" t="b">
            <v>1</v>
          </cell>
          <cell r="E2472" t="str">
            <v>Daniel Lemaitre</v>
          </cell>
          <cell r="H2472" t="str">
            <v>consulta_externa</v>
          </cell>
          <cell r="J2472" t="str">
            <v>bueno</v>
          </cell>
          <cell r="K2472" t="str">
            <v>probsi</v>
          </cell>
        </row>
        <row r="2473">
          <cell r="B2473" t="b">
            <v>1</v>
          </cell>
          <cell r="E2473" t="str">
            <v>Daniel Lemaitre</v>
          </cell>
          <cell r="H2473" t="str">
            <v>consulta_externa</v>
          </cell>
          <cell r="J2473" t="str">
            <v>bueno</v>
          </cell>
          <cell r="K2473" t="str">
            <v>probsi</v>
          </cell>
        </row>
        <row r="2474">
          <cell r="B2474" t="b">
            <v>1</v>
          </cell>
          <cell r="E2474" t="str">
            <v>Daniel Lemaitre</v>
          </cell>
          <cell r="H2474" t="str">
            <v>consulta_externa</v>
          </cell>
          <cell r="J2474" t="str">
            <v>bueno</v>
          </cell>
          <cell r="K2474" t="str">
            <v>probsi</v>
          </cell>
        </row>
        <row r="2475">
          <cell r="B2475" t="b">
            <v>1</v>
          </cell>
          <cell r="E2475" t="str">
            <v>Daniel Lemaitre</v>
          </cell>
          <cell r="H2475" t="str">
            <v>consulta_externa</v>
          </cell>
          <cell r="J2475" t="str">
            <v>bueno</v>
          </cell>
          <cell r="K2475" t="str">
            <v>probsi</v>
          </cell>
        </row>
        <row r="2476">
          <cell r="B2476" t="b">
            <v>1</v>
          </cell>
          <cell r="E2476" t="str">
            <v>Arroz Barato</v>
          </cell>
          <cell r="H2476" t="str">
            <v>consulta_externa</v>
          </cell>
          <cell r="J2476" t="str">
            <v>bueno</v>
          </cell>
          <cell r="K2476" t="str">
            <v>defsi</v>
          </cell>
        </row>
        <row r="2477">
          <cell r="B2477" t="b">
            <v>1</v>
          </cell>
          <cell r="E2477" t="str">
            <v>Arroz Barato</v>
          </cell>
          <cell r="H2477" t="str">
            <v>salud_oral</v>
          </cell>
          <cell r="J2477" t="str">
            <v>bueno</v>
          </cell>
          <cell r="K2477" t="str">
            <v>defsi</v>
          </cell>
        </row>
        <row r="2478">
          <cell r="B2478" t="b">
            <v>1</v>
          </cell>
          <cell r="E2478" t="str">
            <v>Las Reinas</v>
          </cell>
          <cell r="H2478" t="str">
            <v>consulta_externa</v>
          </cell>
          <cell r="J2478" t="str">
            <v>bueno</v>
          </cell>
          <cell r="K2478" t="str">
            <v>defsi</v>
          </cell>
        </row>
        <row r="2479">
          <cell r="B2479" t="b">
            <v>1</v>
          </cell>
          <cell r="E2479" t="str">
            <v>Las Reinas</v>
          </cell>
          <cell r="H2479" t="str">
            <v>salud_oral</v>
          </cell>
          <cell r="J2479" t="str">
            <v>bueno</v>
          </cell>
          <cell r="K2479" t="str">
            <v>defsi</v>
          </cell>
        </row>
        <row r="2480">
          <cell r="B2480" t="b">
            <v>0</v>
          </cell>
          <cell r="E2480" t="str">
            <v>Las Reinas</v>
          </cell>
          <cell r="H2480" t="str">
            <v>salud_oral</v>
          </cell>
          <cell r="J2480" t="str">
            <v>regular</v>
          </cell>
          <cell r="K2480" t="str">
            <v>defsi</v>
          </cell>
        </row>
        <row r="2481">
          <cell r="B2481" t="b">
            <v>1</v>
          </cell>
          <cell r="E2481" t="str">
            <v>Las Reinas</v>
          </cell>
          <cell r="H2481" t="str">
            <v>consulta_externa</v>
          </cell>
          <cell r="J2481" t="str">
            <v>bueno</v>
          </cell>
          <cell r="K2481" t="str">
            <v>defsi</v>
          </cell>
        </row>
        <row r="2482">
          <cell r="B2482" t="b">
            <v>1</v>
          </cell>
          <cell r="E2482" t="str">
            <v>Las Reinas</v>
          </cell>
          <cell r="H2482" t="str">
            <v>consulta_externa</v>
          </cell>
          <cell r="J2482" t="str">
            <v>bueno</v>
          </cell>
          <cell r="K2482" t="str">
            <v>defsi</v>
          </cell>
        </row>
        <row r="2483">
          <cell r="B2483" t="b">
            <v>1</v>
          </cell>
          <cell r="E2483" t="str">
            <v>Las Reinas</v>
          </cell>
          <cell r="H2483" t="str">
            <v>consulta_externa</v>
          </cell>
          <cell r="J2483" t="str">
            <v>bueno</v>
          </cell>
          <cell r="K2483" t="str">
            <v>defsi</v>
          </cell>
        </row>
        <row r="2484">
          <cell r="B2484" t="b">
            <v>1</v>
          </cell>
          <cell r="E2484" t="str">
            <v>Las Reinas</v>
          </cell>
          <cell r="H2484" t="str">
            <v>laboratorio</v>
          </cell>
          <cell r="J2484" t="str">
            <v>bueno</v>
          </cell>
          <cell r="K2484" t="str">
            <v>defsi</v>
          </cell>
        </row>
        <row r="2485">
          <cell r="B2485" t="b">
            <v>1</v>
          </cell>
          <cell r="E2485" t="str">
            <v>Arroz Barato</v>
          </cell>
          <cell r="H2485" t="str">
            <v>laboratorio</v>
          </cell>
          <cell r="J2485" t="str">
            <v>bueno</v>
          </cell>
          <cell r="K2485" t="str">
            <v>defsi</v>
          </cell>
        </row>
        <row r="2486">
          <cell r="B2486" t="b">
            <v>1</v>
          </cell>
          <cell r="E2486" t="str">
            <v>Las Reinas</v>
          </cell>
          <cell r="H2486" t="str">
            <v>consulta_externa</v>
          </cell>
          <cell r="J2486" t="str">
            <v>bueno</v>
          </cell>
          <cell r="K2486" t="str">
            <v>defsi</v>
          </cell>
        </row>
        <row r="2487">
          <cell r="B2487" t="b">
            <v>1</v>
          </cell>
          <cell r="E2487" t="str">
            <v>Arroz Barato</v>
          </cell>
          <cell r="H2487" t="str">
            <v>urgencia</v>
          </cell>
          <cell r="J2487" t="str">
            <v>bueno</v>
          </cell>
          <cell r="K2487" t="str">
            <v>defsi</v>
          </cell>
        </row>
        <row r="2488">
          <cell r="B2488" t="b">
            <v>1</v>
          </cell>
          <cell r="E2488" t="str">
            <v>Las Reinas</v>
          </cell>
          <cell r="H2488" t="str">
            <v>salud_oral</v>
          </cell>
          <cell r="J2488" t="str">
            <v>bueno</v>
          </cell>
          <cell r="K2488" t="str">
            <v>defsi</v>
          </cell>
        </row>
        <row r="2489">
          <cell r="B2489" t="b">
            <v>1</v>
          </cell>
          <cell r="E2489" t="str">
            <v>Arroz Barato</v>
          </cell>
          <cell r="H2489" t="str">
            <v>rx</v>
          </cell>
          <cell r="J2489" t="str">
            <v>bueno</v>
          </cell>
          <cell r="K2489" t="str">
            <v>defsi</v>
          </cell>
        </row>
        <row r="2490">
          <cell r="B2490" t="b">
            <v>1</v>
          </cell>
          <cell r="E2490" t="str">
            <v>Las Reinas</v>
          </cell>
          <cell r="H2490" t="str">
            <v>laboratorio</v>
          </cell>
          <cell r="J2490" t="str">
            <v>bueno</v>
          </cell>
          <cell r="K2490" t="str">
            <v>defsi</v>
          </cell>
        </row>
        <row r="2491">
          <cell r="B2491" t="b">
            <v>1</v>
          </cell>
          <cell r="E2491" t="str">
            <v>Arroz Barato</v>
          </cell>
          <cell r="H2491" t="str">
            <v>consulta_externa</v>
          </cell>
          <cell r="J2491" t="str">
            <v>bueno</v>
          </cell>
          <cell r="K2491" t="str">
            <v>defsi</v>
          </cell>
        </row>
        <row r="2492">
          <cell r="B2492" t="b">
            <v>1</v>
          </cell>
          <cell r="E2492" t="str">
            <v>Las Reinas</v>
          </cell>
          <cell r="H2492" t="str">
            <v>laboratorio</v>
          </cell>
          <cell r="J2492" t="str">
            <v>bueno</v>
          </cell>
          <cell r="K2492" t="str">
            <v>defsi</v>
          </cell>
        </row>
        <row r="2493">
          <cell r="B2493" t="b">
            <v>1</v>
          </cell>
          <cell r="E2493" t="str">
            <v>Arroz Barato</v>
          </cell>
          <cell r="H2493" t="str">
            <v>salud_oral</v>
          </cell>
          <cell r="J2493" t="str">
            <v>bueno</v>
          </cell>
          <cell r="K2493" t="str">
            <v>defsi</v>
          </cell>
        </row>
        <row r="2494">
          <cell r="B2494" t="b">
            <v>1</v>
          </cell>
          <cell r="E2494" t="str">
            <v>Las Reinas</v>
          </cell>
          <cell r="H2494" t="str">
            <v>laboratorio</v>
          </cell>
          <cell r="J2494" t="str">
            <v>bueno</v>
          </cell>
          <cell r="K2494" t="str">
            <v>defsi</v>
          </cell>
        </row>
        <row r="2495">
          <cell r="B2495" t="b">
            <v>1</v>
          </cell>
          <cell r="E2495" t="str">
            <v>Arroz Barato</v>
          </cell>
          <cell r="H2495" t="str">
            <v>laboratorio</v>
          </cell>
          <cell r="J2495" t="str">
            <v>bueno</v>
          </cell>
          <cell r="K2495" t="str">
            <v>defsi</v>
          </cell>
        </row>
        <row r="2496">
          <cell r="B2496" t="b">
            <v>1</v>
          </cell>
          <cell r="E2496" t="str">
            <v>Las Reinas</v>
          </cell>
          <cell r="H2496" t="str">
            <v>consulta_externa</v>
          </cell>
          <cell r="J2496" t="str">
            <v>bueno</v>
          </cell>
          <cell r="K2496" t="str">
            <v>defsi</v>
          </cell>
        </row>
        <row r="2497">
          <cell r="B2497" t="b">
            <v>1</v>
          </cell>
          <cell r="E2497" t="str">
            <v>Arroz Barato</v>
          </cell>
          <cell r="H2497" t="str">
            <v>urgencia</v>
          </cell>
          <cell r="J2497" t="str">
            <v>bueno</v>
          </cell>
          <cell r="K2497" t="str">
            <v>defsi</v>
          </cell>
        </row>
        <row r="2498">
          <cell r="B2498" t="b">
            <v>1</v>
          </cell>
          <cell r="E2498" t="str">
            <v>Las Reinas</v>
          </cell>
          <cell r="H2498" t="str">
            <v>salud_oral</v>
          </cell>
          <cell r="J2498" t="str">
            <v>bueno</v>
          </cell>
          <cell r="K2498" t="str">
            <v>defsi</v>
          </cell>
        </row>
        <row r="2499">
          <cell r="B2499" t="b">
            <v>1</v>
          </cell>
          <cell r="E2499" t="str">
            <v>Las Reinas</v>
          </cell>
          <cell r="H2499" t="str">
            <v>salud_oral</v>
          </cell>
          <cell r="J2499" t="str">
            <v>bueno</v>
          </cell>
          <cell r="K2499" t="str">
            <v>defsi</v>
          </cell>
        </row>
        <row r="2500">
          <cell r="B2500" t="b">
            <v>1</v>
          </cell>
          <cell r="E2500" t="str">
            <v>Las Reinas</v>
          </cell>
          <cell r="H2500" t="str">
            <v>salud_oral</v>
          </cell>
          <cell r="J2500" t="str">
            <v>bueno</v>
          </cell>
          <cell r="K2500" t="str">
            <v>defsi</v>
          </cell>
        </row>
        <row r="2501">
          <cell r="B2501" t="b">
            <v>1</v>
          </cell>
          <cell r="E2501" t="str">
            <v>Las Reinas</v>
          </cell>
          <cell r="H2501" t="str">
            <v>consulta_externa</v>
          </cell>
          <cell r="J2501" t="str">
            <v>bueno</v>
          </cell>
          <cell r="K2501" t="str">
            <v>defsi</v>
          </cell>
        </row>
        <row r="2502">
          <cell r="B2502" t="b">
            <v>1</v>
          </cell>
          <cell r="E2502" t="str">
            <v>Las Reinas</v>
          </cell>
          <cell r="H2502" t="str">
            <v>laboratorio</v>
          </cell>
          <cell r="J2502" t="str">
            <v>bueno</v>
          </cell>
          <cell r="K2502" t="str">
            <v>defsi</v>
          </cell>
        </row>
        <row r="2503">
          <cell r="B2503" t="b">
            <v>1</v>
          </cell>
          <cell r="E2503" t="str">
            <v>Arroz Barato</v>
          </cell>
          <cell r="H2503" t="str">
            <v>rx</v>
          </cell>
          <cell r="J2503" t="str">
            <v>bueno</v>
          </cell>
          <cell r="K2503" t="str">
            <v>defsi</v>
          </cell>
        </row>
        <row r="2504">
          <cell r="B2504" t="b">
            <v>1</v>
          </cell>
          <cell r="E2504" t="str">
            <v>Arroz Barato</v>
          </cell>
          <cell r="H2504" t="str">
            <v>consulta_externa</v>
          </cell>
          <cell r="J2504" t="str">
            <v>bueno</v>
          </cell>
          <cell r="K2504" t="str">
            <v>defsi</v>
          </cell>
        </row>
        <row r="2505">
          <cell r="B2505" t="b">
            <v>1</v>
          </cell>
          <cell r="E2505" t="str">
            <v>Arroz Barato</v>
          </cell>
          <cell r="H2505" t="str">
            <v>salud_oral</v>
          </cell>
          <cell r="J2505" t="str">
            <v>bueno</v>
          </cell>
          <cell r="K2505" t="str">
            <v>defsi</v>
          </cell>
        </row>
        <row r="2506">
          <cell r="B2506" t="b">
            <v>1</v>
          </cell>
          <cell r="E2506" t="str">
            <v>Arroz Barato</v>
          </cell>
          <cell r="H2506" t="str">
            <v>laboratorio</v>
          </cell>
          <cell r="J2506" t="str">
            <v>bueno</v>
          </cell>
          <cell r="K2506" t="str">
            <v>defsi</v>
          </cell>
        </row>
        <row r="2507">
          <cell r="B2507" t="b">
            <v>1</v>
          </cell>
          <cell r="E2507" t="str">
            <v>Arroz Barato</v>
          </cell>
          <cell r="H2507" t="str">
            <v>urgencia</v>
          </cell>
          <cell r="J2507" t="str">
            <v>bueno</v>
          </cell>
          <cell r="K2507" t="str">
            <v>defsi</v>
          </cell>
        </row>
        <row r="2508">
          <cell r="B2508" t="b">
            <v>1</v>
          </cell>
          <cell r="E2508" t="str">
            <v>Arroz Barato</v>
          </cell>
          <cell r="H2508" t="str">
            <v>rx</v>
          </cell>
          <cell r="J2508" t="str">
            <v>bueno</v>
          </cell>
          <cell r="K2508" t="str">
            <v>defsi</v>
          </cell>
        </row>
        <row r="2509">
          <cell r="B2509" t="b">
            <v>1</v>
          </cell>
          <cell r="E2509" t="str">
            <v>Arroz Barato</v>
          </cell>
          <cell r="H2509" t="str">
            <v>consulta_externa</v>
          </cell>
          <cell r="J2509" t="str">
            <v>bueno</v>
          </cell>
          <cell r="K2509" t="str">
            <v>defsi</v>
          </cell>
        </row>
        <row r="2510">
          <cell r="B2510" t="b">
            <v>1</v>
          </cell>
          <cell r="E2510" t="str">
            <v>Arroz Barato</v>
          </cell>
          <cell r="H2510" t="str">
            <v>salud_oral</v>
          </cell>
          <cell r="J2510" t="str">
            <v>bueno</v>
          </cell>
          <cell r="K2510" t="str">
            <v>defsi</v>
          </cell>
        </row>
        <row r="2511">
          <cell r="B2511" t="b">
            <v>1</v>
          </cell>
          <cell r="E2511" t="str">
            <v>Boquilla</v>
          </cell>
          <cell r="H2511" t="str">
            <v>laboratorio</v>
          </cell>
          <cell r="J2511" t="str">
            <v>bueno</v>
          </cell>
          <cell r="K2511" t="str">
            <v>probsi</v>
          </cell>
        </row>
        <row r="2512">
          <cell r="B2512" t="b">
            <v>1</v>
          </cell>
          <cell r="E2512" t="str">
            <v>Boquilla</v>
          </cell>
          <cell r="H2512" t="str">
            <v>laboratorio</v>
          </cell>
          <cell r="J2512" t="str">
            <v>bueno</v>
          </cell>
          <cell r="K2512" t="str">
            <v>probsi</v>
          </cell>
        </row>
        <row r="2513">
          <cell r="B2513" t="b">
            <v>1</v>
          </cell>
          <cell r="E2513" t="str">
            <v>Arroz Barato</v>
          </cell>
          <cell r="H2513" t="str">
            <v>laboratorio</v>
          </cell>
          <cell r="J2513" t="str">
            <v>bueno</v>
          </cell>
          <cell r="K2513" t="str">
            <v>defsi</v>
          </cell>
        </row>
        <row r="2514">
          <cell r="B2514" t="b">
            <v>1</v>
          </cell>
          <cell r="E2514" t="str">
            <v>Boquilla</v>
          </cell>
          <cell r="H2514" t="str">
            <v>laboratorio</v>
          </cell>
          <cell r="J2514" t="str">
            <v>bueno</v>
          </cell>
          <cell r="K2514" t="str">
            <v>probsi</v>
          </cell>
        </row>
        <row r="2515">
          <cell r="B2515" t="b">
            <v>1</v>
          </cell>
          <cell r="E2515" t="str">
            <v>Boquilla</v>
          </cell>
          <cell r="H2515" t="str">
            <v>laboratorio</v>
          </cell>
          <cell r="J2515" t="str">
            <v>bueno</v>
          </cell>
          <cell r="K2515" t="str">
            <v>probsi</v>
          </cell>
        </row>
        <row r="2516">
          <cell r="B2516" t="b">
            <v>1</v>
          </cell>
          <cell r="E2516" t="str">
            <v>Boquilla</v>
          </cell>
          <cell r="H2516" t="str">
            <v>laboratorio</v>
          </cell>
          <cell r="J2516" t="str">
            <v>bueno</v>
          </cell>
          <cell r="K2516" t="str">
            <v>probsi</v>
          </cell>
        </row>
        <row r="2517">
          <cell r="B2517" t="b">
            <v>1</v>
          </cell>
          <cell r="E2517" t="str">
            <v>Arroz Barato</v>
          </cell>
          <cell r="H2517" t="str">
            <v>urgencia</v>
          </cell>
          <cell r="J2517" t="str">
            <v>bueno</v>
          </cell>
          <cell r="K2517" t="str">
            <v>defsi</v>
          </cell>
        </row>
        <row r="2518">
          <cell r="B2518" t="b">
            <v>1</v>
          </cell>
          <cell r="E2518" t="str">
            <v>Boquilla</v>
          </cell>
          <cell r="H2518" t="str">
            <v>laboratorio</v>
          </cell>
          <cell r="J2518" t="str">
            <v>bueno</v>
          </cell>
          <cell r="K2518" t="str">
            <v>probsi</v>
          </cell>
        </row>
        <row r="2519">
          <cell r="B2519" t="b">
            <v>1</v>
          </cell>
          <cell r="E2519" t="str">
            <v>Arroz Barato</v>
          </cell>
          <cell r="H2519" t="str">
            <v>rx</v>
          </cell>
          <cell r="J2519" t="str">
            <v>bueno</v>
          </cell>
          <cell r="K2519" t="str">
            <v>defsi</v>
          </cell>
        </row>
        <row r="2520">
          <cell r="B2520" t="b">
            <v>1</v>
          </cell>
          <cell r="E2520" t="str">
            <v>Boquilla</v>
          </cell>
          <cell r="H2520" t="str">
            <v>laboratorio</v>
          </cell>
          <cell r="J2520" t="str">
            <v>bueno</v>
          </cell>
          <cell r="K2520" t="str">
            <v>probsi</v>
          </cell>
        </row>
        <row r="2521">
          <cell r="B2521" t="b">
            <v>1</v>
          </cell>
          <cell r="E2521" t="str">
            <v>Boquilla</v>
          </cell>
          <cell r="H2521" t="str">
            <v>laboratorio</v>
          </cell>
          <cell r="J2521" t="str">
            <v>bueno</v>
          </cell>
          <cell r="K2521" t="str">
            <v>probsi</v>
          </cell>
        </row>
        <row r="2522">
          <cell r="B2522" t="b">
            <v>1</v>
          </cell>
          <cell r="E2522" t="str">
            <v>Boquilla</v>
          </cell>
          <cell r="H2522" t="str">
            <v>laboratorio</v>
          </cell>
          <cell r="J2522" t="str">
            <v>bueno</v>
          </cell>
          <cell r="K2522" t="str">
            <v>probsi</v>
          </cell>
        </row>
        <row r="2523">
          <cell r="B2523" t="b">
            <v>1</v>
          </cell>
          <cell r="E2523" t="str">
            <v>Pasacaballos</v>
          </cell>
          <cell r="H2523" t="str">
            <v>consulta_externa</v>
          </cell>
          <cell r="J2523" t="str">
            <v>bueno</v>
          </cell>
          <cell r="K2523" t="str">
            <v>defsi</v>
          </cell>
        </row>
        <row r="2524">
          <cell r="B2524" t="b">
            <v>1</v>
          </cell>
          <cell r="E2524" t="str">
            <v>Pasacaballos</v>
          </cell>
          <cell r="H2524" t="str">
            <v>salud_oral</v>
          </cell>
          <cell r="J2524" t="str">
            <v>bueno</v>
          </cell>
          <cell r="K2524" t="str">
            <v>defsi</v>
          </cell>
        </row>
        <row r="2525">
          <cell r="B2525" t="b">
            <v>1</v>
          </cell>
          <cell r="E2525" t="str">
            <v>Pasacaballos</v>
          </cell>
          <cell r="H2525" t="str">
            <v>laboratorio</v>
          </cell>
          <cell r="J2525" t="str">
            <v>bueno</v>
          </cell>
          <cell r="K2525" t="str">
            <v>defsi</v>
          </cell>
        </row>
        <row r="2526">
          <cell r="B2526" t="b">
            <v>1</v>
          </cell>
          <cell r="E2526" t="str">
            <v>Daniel Lemaitre</v>
          </cell>
          <cell r="H2526" t="str">
            <v>salud_oral</v>
          </cell>
          <cell r="J2526" t="str">
            <v>bueno</v>
          </cell>
          <cell r="K2526" t="str">
            <v>probsi</v>
          </cell>
        </row>
        <row r="2527">
          <cell r="B2527" t="b">
            <v>1</v>
          </cell>
          <cell r="E2527" t="str">
            <v>Daniel Lemaitre</v>
          </cell>
          <cell r="H2527" t="str">
            <v>salud_oral</v>
          </cell>
          <cell r="J2527" t="str">
            <v>bueno</v>
          </cell>
          <cell r="K2527" t="str">
            <v>probsi</v>
          </cell>
        </row>
        <row r="2528">
          <cell r="B2528" t="b">
            <v>1</v>
          </cell>
          <cell r="E2528" t="str">
            <v>Daniel Lemaitre</v>
          </cell>
          <cell r="H2528" t="str">
            <v>salud_oral</v>
          </cell>
          <cell r="J2528" t="str">
            <v>bueno</v>
          </cell>
          <cell r="K2528" t="str">
            <v>probsi</v>
          </cell>
        </row>
        <row r="2529">
          <cell r="B2529" t="b">
            <v>1</v>
          </cell>
          <cell r="E2529" t="str">
            <v>Pasacaballos</v>
          </cell>
          <cell r="H2529" t="str">
            <v>urgencia</v>
          </cell>
          <cell r="J2529" t="str">
            <v>bueno</v>
          </cell>
          <cell r="K2529" t="str">
            <v>defsi</v>
          </cell>
        </row>
        <row r="2530">
          <cell r="B2530" t="b">
            <v>1</v>
          </cell>
          <cell r="E2530" t="str">
            <v>Daniel Lemaitre</v>
          </cell>
          <cell r="H2530" t="str">
            <v>salud_oral</v>
          </cell>
          <cell r="J2530" t="str">
            <v>bueno</v>
          </cell>
          <cell r="K2530" t="str">
            <v>probsi</v>
          </cell>
        </row>
        <row r="2531">
          <cell r="B2531" t="b">
            <v>1</v>
          </cell>
          <cell r="E2531" t="str">
            <v>Daniel Lemaitre</v>
          </cell>
          <cell r="H2531" t="str">
            <v>salud_oral</v>
          </cell>
          <cell r="J2531" t="str">
            <v>bueno</v>
          </cell>
          <cell r="K2531" t="str">
            <v>probsi</v>
          </cell>
        </row>
        <row r="2532">
          <cell r="B2532" t="b">
            <v>1</v>
          </cell>
          <cell r="E2532" t="str">
            <v>Daniel Lemaitre</v>
          </cell>
          <cell r="H2532" t="str">
            <v>consulta_externa</v>
          </cell>
          <cell r="J2532" t="str">
            <v>bueno</v>
          </cell>
          <cell r="K2532" t="str">
            <v>probsi</v>
          </cell>
        </row>
        <row r="2533">
          <cell r="B2533" t="b">
            <v>1</v>
          </cell>
          <cell r="E2533" t="str">
            <v>Daniel Lemaitre</v>
          </cell>
          <cell r="H2533" t="str">
            <v>consulta_externa</v>
          </cell>
          <cell r="J2533" t="str">
            <v>bueno</v>
          </cell>
          <cell r="K2533" t="str">
            <v>probsi</v>
          </cell>
        </row>
        <row r="2534">
          <cell r="B2534" t="b">
            <v>1</v>
          </cell>
          <cell r="E2534" t="str">
            <v>Daniel Lemaitre</v>
          </cell>
          <cell r="H2534" t="str">
            <v>consulta_externa</v>
          </cell>
          <cell r="J2534" t="str">
            <v>bueno</v>
          </cell>
          <cell r="K2534" t="str">
            <v>probsi</v>
          </cell>
        </row>
        <row r="2535">
          <cell r="B2535" t="b">
            <v>1</v>
          </cell>
          <cell r="E2535" t="str">
            <v>Daniel Lemaitre</v>
          </cell>
          <cell r="H2535" t="str">
            <v>laboratorio</v>
          </cell>
          <cell r="J2535" t="str">
            <v>bueno</v>
          </cell>
          <cell r="K2535" t="str">
            <v>probsi</v>
          </cell>
        </row>
        <row r="2536">
          <cell r="B2536" t="b">
            <v>0</v>
          </cell>
          <cell r="E2536" t="str">
            <v>Daniel Lemaitre</v>
          </cell>
          <cell r="H2536" t="str">
            <v>laboratorio</v>
          </cell>
          <cell r="J2536" t="str">
            <v>regular</v>
          </cell>
          <cell r="K2536" t="str">
            <v>probsi</v>
          </cell>
        </row>
        <row r="2537">
          <cell r="B2537" t="b">
            <v>1</v>
          </cell>
          <cell r="E2537" t="str">
            <v>Daniel Lemaitre</v>
          </cell>
          <cell r="H2537" t="str">
            <v>laboratorio</v>
          </cell>
          <cell r="J2537" t="str">
            <v>bueno</v>
          </cell>
          <cell r="K2537" t="str">
            <v>probsi</v>
          </cell>
        </row>
        <row r="2538">
          <cell r="B2538" t="b">
            <v>1</v>
          </cell>
          <cell r="E2538" t="str">
            <v>Daniel Lemaitre</v>
          </cell>
          <cell r="H2538" t="str">
            <v>laboratorio</v>
          </cell>
          <cell r="J2538" t="str">
            <v>bueno</v>
          </cell>
          <cell r="K2538" t="str">
            <v>probsi</v>
          </cell>
        </row>
        <row r="2539">
          <cell r="B2539" t="b">
            <v>1</v>
          </cell>
          <cell r="E2539" t="str">
            <v>Pasacaballos</v>
          </cell>
          <cell r="H2539" t="str">
            <v>consulta_externa</v>
          </cell>
          <cell r="J2539" t="str">
            <v>bueno</v>
          </cell>
          <cell r="K2539" t="str">
            <v>defsi</v>
          </cell>
        </row>
        <row r="2540">
          <cell r="B2540" t="b">
            <v>1</v>
          </cell>
          <cell r="E2540" t="str">
            <v>Pasacaballos</v>
          </cell>
          <cell r="H2540" t="str">
            <v>salud_oral</v>
          </cell>
          <cell r="J2540" t="str">
            <v>bueno</v>
          </cell>
          <cell r="K2540" t="str">
            <v>defsi</v>
          </cell>
        </row>
        <row r="2541">
          <cell r="B2541" t="b">
            <v>1</v>
          </cell>
          <cell r="E2541" t="str">
            <v>Pasacaballos</v>
          </cell>
          <cell r="H2541" t="str">
            <v>laboratorio</v>
          </cell>
          <cell r="J2541" t="str">
            <v>bueno</v>
          </cell>
          <cell r="K2541" t="str">
            <v>defsi</v>
          </cell>
        </row>
        <row r="2542">
          <cell r="B2542" t="b">
            <v>1</v>
          </cell>
          <cell r="E2542" t="str">
            <v>Pasacaballos</v>
          </cell>
          <cell r="H2542" t="str">
            <v>urgencia</v>
          </cell>
          <cell r="J2542" t="str">
            <v>bueno</v>
          </cell>
          <cell r="K2542" t="str">
            <v>defsi</v>
          </cell>
        </row>
        <row r="2543">
          <cell r="B2543" t="b">
            <v>1</v>
          </cell>
          <cell r="E2543" t="str">
            <v>Pasacaballos</v>
          </cell>
          <cell r="H2543" t="str">
            <v>consulta_externa</v>
          </cell>
          <cell r="J2543" t="str">
            <v>bueno</v>
          </cell>
          <cell r="K2543" t="str">
            <v>defsi</v>
          </cell>
        </row>
        <row r="2544">
          <cell r="B2544" t="b">
            <v>1</v>
          </cell>
          <cell r="E2544" t="str">
            <v>Pasacaballos</v>
          </cell>
          <cell r="H2544" t="str">
            <v>salud_oral</v>
          </cell>
          <cell r="J2544" t="str">
            <v>bueno</v>
          </cell>
          <cell r="K2544" t="str">
            <v>defsi</v>
          </cell>
        </row>
        <row r="2545">
          <cell r="B2545" t="b">
            <v>1</v>
          </cell>
          <cell r="E2545" t="str">
            <v>Pasacaballos</v>
          </cell>
          <cell r="H2545" t="str">
            <v>laboratorio</v>
          </cell>
          <cell r="J2545" t="str">
            <v>bueno</v>
          </cell>
          <cell r="K2545" t="str">
            <v>defsi</v>
          </cell>
        </row>
        <row r="2546">
          <cell r="B2546" t="b">
            <v>1</v>
          </cell>
          <cell r="E2546" t="str">
            <v>Pasacaballos</v>
          </cell>
          <cell r="H2546" t="str">
            <v>urgencia</v>
          </cell>
          <cell r="J2546" t="str">
            <v>bueno</v>
          </cell>
          <cell r="K2546" t="str">
            <v>defsi</v>
          </cell>
        </row>
        <row r="2547">
          <cell r="B2547" t="b">
            <v>1</v>
          </cell>
          <cell r="E2547" t="str">
            <v>Pasacaballos</v>
          </cell>
          <cell r="H2547" t="str">
            <v>consulta_externa</v>
          </cell>
          <cell r="J2547" t="str">
            <v>bueno</v>
          </cell>
          <cell r="K2547" t="str">
            <v>defsi</v>
          </cell>
        </row>
        <row r="2548">
          <cell r="B2548" t="b">
            <v>1</v>
          </cell>
          <cell r="E2548" t="str">
            <v>Pasacaballos</v>
          </cell>
          <cell r="H2548" t="str">
            <v>salud_oral</v>
          </cell>
          <cell r="J2548" t="str">
            <v>bueno</v>
          </cell>
          <cell r="K2548" t="str">
            <v>defsi</v>
          </cell>
        </row>
        <row r="2549">
          <cell r="B2549" t="b">
            <v>1</v>
          </cell>
          <cell r="E2549" t="str">
            <v>Pasacaballos</v>
          </cell>
          <cell r="H2549" t="str">
            <v>laboratorio</v>
          </cell>
          <cell r="J2549" t="str">
            <v>bueno</v>
          </cell>
          <cell r="K2549" t="str">
            <v>defsi</v>
          </cell>
        </row>
        <row r="2550">
          <cell r="B2550" t="b">
            <v>1</v>
          </cell>
          <cell r="E2550" t="str">
            <v>Pasacaballos</v>
          </cell>
          <cell r="H2550" t="str">
            <v>urgencia</v>
          </cell>
          <cell r="J2550" t="str">
            <v>bueno</v>
          </cell>
          <cell r="K2550" t="str">
            <v>defsi</v>
          </cell>
        </row>
        <row r="2551">
          <cell r="B2551" t="b">
            <v>1</v>
          </cell>
          <cell r="E2551" t="str">
            <v>Pasacaballos</v>
          </cell>
          <cell r="H2551" t="str">
            <v>consulta_externa</v>
          </cell>
          <cell r="J2551" t="str">
            <v>bueno</v>
          </cell>
          <cell r="K2551" t="str">
            <v>defsi</v>
          </cell>
        </row>
        <row r="2552">
          <cell r="B2552" t="b">
            <v>1</v>
          </cell>
          <cell r="E2552" t="str">
            <v>Pasacaballos</v>
          </cell>
          <cell r="H2552" t="str">
            <v>salud_oral</v>
          </cell>
          <cell r="J2552" t="str">
            <v>bueno</v>
          </cell>
          <cell r="K2552" t="str">
            <v>defsi</v>
          </cell>
        </row>
        <row r="2553">
          <cell r="B2553" t="b">
            <v>1</v>
          </cell>
          <cell r="E2553" t="str">
            <v>Pasacaballos</v>
          </cell>
          <cell r="H2553" t="str">
            <v>laboratorio</v>
          </cell>
          <cell r="J2553" t="str">
            <v>bueno</v>
          </cell>
          <cell r="K2553" t="str">
            <v>defsi</v>
          </cell>
        </row>
        <row r="2554">
          <cell r="B2554" t="b">
            <v>1</v>
          </cell>
          <cell r="E2554" t="str">
            <v>Pasacaballos</v>
          </cell>
          <cell r="H2554" t="str">
            <v>urgencia</v>
          </cell>
          <cell r="J2554" t="str">
            <v>bueno</v>
          </cell>
          <cell r="K2554" t="str">
            <v>defsi</v>
          </cell>
        </row>
        <row r="2555">
          <cell r="B2555" t="b">
            <v>1</v>
          </cell>
          <cell r="E2555" t="str">
            <v>Pasacaballos</v>
          </cell>
          <cell r="H2555" t="str">
            <v>consulta_externa</v>
          </cell>
          <cell r="J2555" t="str">
            <v>bueno</v>
          </cell>
          <cell r="K2555" t="str">
            <v>defsi</v>
          </cell>
        </row>
        <row r="2556">
          <cell r="B2556" t="b">
            <v>1</v>
          </cell>
          <cell r="E2556" t="str">
            <v>Pasacaballos</v>
          </cell>
          <cell r="H2556" t="str">
            <v>salud_oral</v>
          </cell>
          <cell r="J2556" t="str">
            <v>bueno</v>
          </cell>
          <cell r="K2556" t="str">
            <v>defsi</v>
          </cell>
        </row>
        <row r="2557">
          <cell r="B2557" t="b">
            <v>1</v>
          </cell>
          <cell r="E2557" t="str">
            <v>Pasacaballos</v>
          </cell>
          <cell r="H2557" t="str">
            <v>laboratorio</v>
          </cell>
          <cell r="J2557" t="str">
            <v>bueno</v>
          </cell>
          <cell r="K2557" t="str">
            <v>defsi</v>
          </cell>
        </row>
        <row r="2558">
          <cell r="B2558" t="b">
            <v>1</v>
          </cell>
          <cell r="E2558" t="str">
            <v>Pasacaballos</v>
          </cell>
          <cell r="H2558" t="str">
            <v>urgencia</v>
          </cell>
          <cell r="J2558" t="str">
            <v>bueno</v>
          </cell>
          <cell r="K2558" t="str">
            <v>defsi</v>
          </cell>
        </row>
        <row r="2559">
          <cell r="B2559" t="b">
            <v>1</v>
          </cell>
          <cell r="E2559" t="str">
            <v>Pasacaballos</v>
          </cell>
          <cell r="H2559" t="str">
            <v>consulta_externa</v>
          </cell>
          <cell r="J2559" t="str">
            <v>bueno</v>
          </cell>
          <cell r="K2559" t="str">
            <v>defsi</v>
          </cell>
        </row>
        <row r="2560">
          <cell r="B2560" t="b">
            <v>1</v>
          </cell>
          <cell r="E2560" t="str">
            <v>Pasacaballos</v>
          </cell>
          <cell r="H2560" t="str">
            <v>salud_oral</v>
          </cell>
          <cell r="J2560" t="str">
            <v>bueno</v>
          </cell>
          <cell r="K2560" t="str">
            <v>defsi</v>
          </cell>
        </row>
        <row r="2561">
          <cell r="B2561" t="b">
            <v>1</v>
          </cell>
          <cell r="E2561" t="str">
            <v>Pasacaballos</v>
          </cell>
          <cell r="H2561" t="str">
            <v>laboratorio</v>
          </cell>
          <cell r="J2561" t="str">
            <v>bueno</v>
          </cell>
          <cell r="K2561" t="str">
            <v>defsi</v>
          </cell>
        </row>
        <row r="2562">
          <cell r="B2562" t="b">
            <v>1</v>
          </cell>
          <cell r="E2562" t="str">
            <v>Pasacaballos</v>
          </cell>
          <cell r="H2562" t="str">
            <v>urgencia</v>
          </cell>
          <cell r="J2562" t="str">
            <v>bueno</v>
          </cell>
          <cell r="K2562" t="str">
            <v>defsi</v>
          </cell>
        </row>
        <row r="2563">
          <cell r="B2563" t="b">
            <v>1</v>
          </cell>
          <cell r="E2563" t="str">
            <v>Pasacaballos</v>
          </cell>
          <cell r="H2563" t="str">
            <v>consulta_externa</v>
          </cell>
          <cell r="J2563" t="str">
            <v>bueno</v>
          </cell>
          <cell r="K2563" t="str">
            <v>defsi</v>
          </cell>
        </row>
        <row r="2564">
          <cell r="B2564" t="b">
            <v>1</v>
          </cell>
          <cell r="E2564" t="str">
            <v>Pasacaballos</v>
          </cell>
          <cell r="H2564" t="str">
            <v>salud_oral</v>
          </cell>
          <cell r="J2564" t="str">
            <v>bueno</v>
          </cell>
          <cell r="K2564" t="str">
            <v>defsi</v>
          </cell>
        </row>
        <row r="2565">
          <cell r="B2565" t="b">
            <v>1</v>
          </cell>
          <cell r="E2565" t="str">
            <v>Pasacaballos</v>
          </cell>
          <cell r="H2565" t="str">
            <v>laboratorio</v>
          </cell>
          <cell r="J2565" t="str">
            <v>bueno</v>
          </cell>
          <cell r="K2565" t="str">
            <v>defsi</v>
          </cell>
        </row>
        <row r="2566">
          <cell r="B2566" t="b">
            <v>1</v>
          </cell>
          <cell r="E2566" t="str">
            <v>Pasacaballos</v>
          </cell>
          <cell r="H2566" t="str">
            <v>urgencia</v>
          </cell>
          <cell r="J2566" t="str">
            <v>bueno</v>
          </cell>
          <cell r="K2566" t="str">
            <v>defsi</v>
          </cell>
        </row>
        <row r="2567">
          <cell r="B2567" t="b">
            <v>1</v>
          </cell>
          <cell r="E2567" t="str">
            <v>Pasacaballos</v>
          </cell>
          <cell r="H2567" t="str">
            <v>consulta_externa</v>
          </cell>
          <cell r="J2567" t="str">
            <v>bueno</v>
          </cell>
          <cell r="K2567" t="str">
            <v>defsi</v>
          </cell>
        </row>
        <row r="2568">
          <cell r="B2568" t="b">
            <v>1</v>
          </cell>
          <cell r="E2568" t="str">
            <v>Pasacaballos</v>
          </cell>
          <cell r="H2568" t="str">
            <v>salud_oral</v>
          </cell>
          <cell r="J2568" t="str">
            <v>bueno</v>
          </cell>
          <cell r="K2568" t="str">
            <v>defsi</v>
          </cell>
        </row>
        <row r="2569">
          <cell r="B2569" t="b">
            <v>1</v>
          </cell>
          <cell r="E2569" t="str">
            <v>Pasacaballos</v>
          </cell>
          <cell r="H2569" t="str">
            <v>laboratorio</v>
          </cell>
          <cell r="J2569" t="str">
            <v>bueno</v>
          </cell>
          <cell r="K2569" t="str">
            <v>defsi</v>
          </cell>
        </row>
        <row r="2570">
          <cell r="B2570" t="b">
            <v>1</v>
          </cell>
          <cell r="E2570" t="str">
            <v>Pasacaballos</v>
          </cell>
          <cell r="H2570" t="str">
            <v>urgencia</v>
          </cell>
          <cell r="J2570" t="str">
            <v>bueno</v>
          </cell>
          <cell r="K2570" t="str">
            <v>defsi</v>
          </cell>
        </row>
        <row r="2571">
          <cell r="B2571" t="b">
            <v>1</v>
          </cell>
          <cell r="E2571" t="str">
            <v>Pasacaballos</v>
          </cell>
          <cell r="H2571" t="str">
            <v>consulta_externa</v>
          </cell>
          <cell r="J2571" t="str">
            <v>bueno</v>
          </cell>
          <cell r="K2571" t="str">
            <v>defsi</v>
          </cell>
        </row>
        <row r="2572">
          <cell r="B2572" t="b">
            <v>1</v>
          </cell>
          <cell r="E2572" t="str">
            <v>Pasacaballos</v>
          </cell>
          <cell r="H2572" t="str">
            <v>salud_oral</v>
          </cell>
          <cell r="J2572" t="str">
            <v>bueno</v>
          </cell>
          <cell r="K2572" t="str">
            <v>defsi</v>
          </cell>
        </row>
        <row r="2573">
          <cell r="B2573" t="b">
            <v>1</v>
          </cell>
          <cell r="E2573" t="str">
            <v>Pasacaballos</v>
          </cell>
          <cell r="H2573" t="str">
            <v>laboratorio</v>
          </cell>
          <cell r="J2573" t="str">
            <v>bueno</v>
          </cell>
          <cell r="K2573" t="str">
            <v>defsi</v>
          </cell>
        </row>
        <row r="2574">
          <cell r="B2574" t="b">
            <v>1</v>
          </cell>
          <cell r="E2574" t="str">
            <v>Pasacaballos</v>
          </cell>
          <cell r="H2574" t="str">
            <v>urgencia</v>
          </cell>
          <cell r="J2574" t="str">
            <v>bueno</v>
          </cell>
          <cell r="K2574" t="str">
            <v>defsi</v>
          </cell>
        </row>
        <row r="2575">
          <cell r="B2575" t="b">
            <v>1</v>
          </cell>
          <cell r="E2575" t="str">
            <v>Pasacaballos</v>
          </cell>
          <cell r="H2575" t="str">
            <v>consulta_externa</v>
          </cell>
          <cell r="J2575" t="str">
            <v>bueno</v>
          </cell>
          <cell r="K2575" t="str">
            <v>defsi</v>
          </cell>
        </row>
        <row r="2576">
          <cell r="B2576" t="b">
            <v>1</v>
          </cell>
          <cell r="E2576" t="str">
            <v>Pasacaballos</v>
          </cell>
          <cell r="H2576" t="str">
            <v>consulta_externa</v>
          </cell>
          <cell r="J2576" t="str">
            <v>bueno</v>
          </cell>
          <cell r="K2576" t="str">
            <v>defsi</v>
          </cell>
        </row>
        <row r="2577">
          <cell r="B2577" t="b">
            <v>1</v>
          </cell>
          <cell r="E2577" t="str">
            <v>Pasacaballos</v>
          </cell>
          <cell r="H2577" t="str">
            <v>salud_oral</v>
          </cell>
          <cell r="J2577" t="str">
            <v>bueno</v>
          </cell>
          <cell r="K2577" t="str">
            <v>defsi</v>
          </cell>
        </row>
        <row r="2578">
          <cell r="B2578" t="b">
            <v>1</v>
          </cell>
          <cell r="E2578" t="str">
            <v>Pasacaballos</v>
          </cell>
          <cell r="H2578" t="str">
            <v>laboratorio</v>
          </cell>
          <cell r="J2578" t="str">
            <v>bueno</v>
          </cell>
          <cell r="K2578" t="str">
            <v>defsi</v>
          </cell>
        </row>
        <row r="2579">
          <cell r="B2579" t="b">
            <v>1</v>
          </cell>
          <cell r="E2579" t="str">
            <v>Pasacaballos</v>
          </cell>
          <cell r="H2579" t="str">
            <v>urgencia</v>
          </cell>
          <cell r="J2579" t="str">
            <v>bueno</v>
          </cell>
          <cell r="K2579" t="str">
            <v>defsi</v>
          </cell>
        </row>
        <row r="2580">
          <cell r="B2580" t="b">
            <v>1</v>
          </cell>
          <cell r="E2580" t="str">
            <v>Pasacaballos</v>
          </cell>
          <cell r="H2580" t="str">
            <v>consulta_externa</v>
          </cell>
          <cell r="J2580" t="str">
            <v>bueno</v>
          </cell>
          <cell r="K2580" t="str">
            <v>defsi</v>
          </cell>
        </row>
        <row r="2581">
          <cell r="B2581" t="b">
            <v>1</v>
          </cell>
          <cell r="E2581" t="str">
            <v>Pasacaballos</v>
          </cell>
          <cell r="H2581" t="str">
            <v>salud_oral</v>
          </cell>
          <cell r="J2581" t="str">
            <v>bueno</v>
          </cell>
          <cell r="K2581" t="str">
            <v>defsi</v>
          </cell>
        </row>
        <row r="2582">
          <cell r="B2582" t="b">
            <v>1</v>
          </cell>
          <cell r="E2582" t="str">
            <v>Pasacaballos</v>
          </cell>
          <cell r="H2582" t="str">
            <v>laboratorio</v>
          </cell>
          <cell r="J2582" t="str">
            <v>bueno</v>
          </cell>
          <cell r="K2582" t="str">
            <v>defsi</v>
          </cell>
        </row>
        <row r="2583">
          <cell r="B2583" t="b">
            <v>1</v>
          </cell>
          <cell r="E2583" t="str">
            <v>Pasacaballos</v>
          </cell>
          <cell r="H2583" t="str">
            <v>urgencia</v>
          </cell>
          <cell r="J2583" t="str">
            <v>bueno</v>
          </cell>
          <cell r="K2583" t="str">
            <v>defsi</v>
          </cell>
        </row>
        <row r="2584">
          <cell r="B2584" t="b">
            <v>1</v>
          </cell>
          <cell r="E2584" t="str">
            <v>Pasacaballos</v>
          </cell>
          <cell r="H2584" t="str">
            <v>consulta_externa</v>
          </cell>
          <cell r="J2584" t="str">
            <v>bueno</v>
          </cell>
          <cell r="K2584" t="str">
            <v>defsi</v>
          </cell>
        </row>
        <row r="2585">
          <cell r="B2585" t="b">
            <v>1</v>
          </cell>
          <cell r="E2585" t="str">
            <v>Pasacaballos</v>
          </cell>
          <cell r="H2585" t="str">
            <v>salud_oral</v>
          </cell>
          <cell r="J2585" t="str">
            <v>bueno</v>
          </cell>
          <cell r="K2585" t="str">
            <v>defsi</v>
          </cell>
        </row>
        <row r="2586">
          <cell r="B2586" t="b">
            <v>1</v>
          </cell>
          <cell r="E2586" t="str">
            <v>Pasacaballos</v>
          </cell>
          <cell r="H2586" t="str">
            <v>laboratorio</v>
          </cell>
          <cell r="J2586" t="str">
            <v>bueno</v>
          </cell>
          <cell r="K2586" t="str">
            <v>defsi</v>
          </cell>
        </row>
        <row r="2587">
          <cell r="B2587" t="b">
            <v>1</v>
          </cell>
          <cell r="E2587" t="str">
            <v>Pasacaballos</v>
          </cell>
          <cell r="H2587" t="str">
            <v>urgencia</v>
          </cell>
          <cell r="J2587" t="str">
            <v>bueno</v>
          </cell>
          <cell r="K2587" t="str">
            <v>defsi</v>
          </cell>
        </row>
        <row r="2588">
          <cell r="B2588" t="b">
            <v>1</v>
          </cell>
          <cell r="E2588" t="str">
            <v>Puerto Rey</v>
          </cell>
          <cell r="H2588" t="str">
            <v>salud_oral</v>
          </cell>
          <cell r="J2588" t="str">
            <v>bueno</v>
          </cell>
          <cell r="K2588" t="str">
            <v>probsi</v>
          </cell>
        </row>
        <row r="2589">
          <cell r="B2589" t="b">
            <v>1</v>
          </cell>
          <cell r="E2589" t="str">
            <v>Puerto Rey</v>
          </cell>
          <cell r="H2589" t="str">
            <v>salud_oral</v>
          </cell>
          <cell r="J2589" t="str">
            <v>bueno</v>
          </cell>
          <cell r="K2589" t="str">
            <v>probsi</v>
          </cell>
        </row>
        <row r="2590">
          <cell r="B2590" t="b">
            <v>1</v>
          </cell>
          <cell r="E2590" t="str">
            <v>Puerto Rey</v>
          </cell>
          <cell r="H2590" t="str">
            <v>salud_oral</v>
          </cell>
          <cell r="J2590" t="str">
            <v>muybueno</v>
          </cell>
          <cell r="K2590" t="str">
            <v>defsi</v>
          </cell>
        </row>
        <row r="2591">
          <cell r="B2591" t="b">
            <v>1</v>
          </cell>
          <cell r="E2591" t="str">
            <v>Puerto Rey</v>
          </cell>
          <cell r="H2591" t="str">
            <v>consulta_externa</v>
          </cell>
          <cell r="J2591" t="str">
            <v>muybueno</v>
          </cell>
          <cell r="K2591" t="str">
            <v>defsi</v>
          </cell>
        </row>
        <row r="2592">
          <cell r="B2592" t="b">
            <v>1</v>
          </cell>
          <cell r="E2592" t="str">
            <v>Puerto Rey</v>
          </cell>
          <cell r="H2592" t="str">
            <v>laboratorio</v>
          </cell>
          <cell r="J2592" t="str">
            <v>muybueno</v>
          </cell>
          <cell r="K2592" t="str">
            <v>defsi</v>
          </cell>
        </row>
        <row r="2593">
          <cell r="B2593" t="b">
            <v>1</v>
          </cell>
          <cell r="E2593" t="str">
            <v>Puerto Rey</v>
          </cell>
          <cell r="H2593" t="str">
            <v>consulta_externa</v>
          </cell>
          <cell r="J2593" t="str">
            <v>bueno</v>
          </cell>
          <cell r="K2593" t="str">
            <v>defsi</v>
          </cell>
        </row>
        <row r="2594">
          <cell r="B2594" t="b">
            <v>1</v>
          </cell>
          <cell r="E2594" t="str">
            <v>Puerto Rey</v>
          </cell>
          <cell r="H2594" t="str">
            <v>consulta_externa</v>
          </cell>
          <cell r="J2594" t="str">
            <v>bueno</v>
          </cell>
          <cell r="K2594" t="str">
            <v>defsi</v>
          </cell>
        </row>
        <row r="2595">
          <cell r="B2595" t="b">
            <v>1</v>
          </cell>
          <cell r="E2595" t="str">
            <v>Puerto Rey</v>
          </cell>
          <cell r="H2595" t="str">
            <v>salud_oral</v>
          </cell>
          <cell r="J2595" t="str">
            <v>bueno</v>
          </cell>
          <cell r="K2595" t="str">
            <v>defsi</v>
          </cell>
        </row>
        <row r="2596">
          <cell r="B2596" t="b">
            <v>1</v>
          </cell>
          <cell r="E2596" t="str">
            <v>Puerto Rey</v>
          </cell>
          <cell r="H2596" t="str">
            <v>consulta_externa</v>
          </cell>
          <cell r="J2596" t="str">
            <v>muybueno</v>
          </cell>
          <cell r="K2596" t="str">
            <v>defsi</v>
          </cell>
        </row>
        <row r="2597">
          <cell r="B2597" t="b">
            <v>1</v>
          </cell>
          <cell r="E2597" t="str">
            <v>Puerto Rey</v>
          </cell>
          <cell r="H2597" t="str">
            <v>salud_oral</v>
          </cell>
          <cell r="J2597" t="str">
            <v>muybueno</v>
          </cell>
          <cell r="K2597" t="str">
            <v>defsi</v>
          </cell>
        </row>
        <row r="2598">
          <cell r="B2598" t="b">
            <v>1</v>
          </cell>
          <cell r="E2598" t="str">
            <v>Isla Fuerte</v>
          </cell>
          <cell r="H2598" t="str">
            <v>consulta_externa</v>
          </cell>
          <cell r="J2598" t="str">
            <v>muybueno</v>
          </cell>
          <cell r="K2598" t="str">
            <v>defsi</v>
          </cell>
        </row>
        <row r="2599">
          <cell r="B2599" t="b">
            <v>1</v>
          </cell>
          <cell r="E2599" t="str">
            <v>Pontezuela</v>
          </cell>
          <cell r="H2599" t="str">
            <v>consulta_externa</v>
          </cell>
          <cell r="J2599" t="str">
            <v>bueno</v>
          </cell>
          <cell r="K2599" t="str">
            <v>probsi</v>
          </cell>
        </row>
        <row r="2600">
          <cell r="B2600" t="b">
            <v>1</v>
          </cell>
          <cell r="E2600" t="str">
            <v>Pontezuela</v>
          </cell>
          <cell r="H2600" t="str">
            <v>salud_oral</v>
          </cell>
          <cell r="J2600" t="str">
            <v>bueno</v>
          </cell>
          <cell r="K2600" t="str">
            <v>probsi</v>
          </cell>
        </row>
        <row r="2601">
          <cell r="B2601" t="b">
            <v>1</v>
          </cell>
          <cell r="E2601" t="str">
            <v>Isla Fuerte</v>
          </cell>
          <cell r="H2601" t="str">
            <v>laboratorio</v>
          </cell>
          <cell r="J2601" t="str">
            <v>muybueno</v>
          </cell>
          <cell r="K2601" t="str">
            <v>defsi</v>
          </cell>
        </row>
        <row r="2602">
          <cell r="B2602" t="b">
            <v>1</v>
          </cell>
          <cell r="E2602" t="str">
            <v>Pontezuela</v>
          </cell>
          <cell r="H2602" t="str">
            <v>consulta_externa</v>
          </cell>
          <cell r="J2602" t="str">
            <v>bueno</v>
          </cell>
          <cell r="K2602" t="str">
            <v>probsi</v>
          </cell>
        </row>
        <row r="2603">
          <cell r="B2603" t="b">
            <v>1</v>
          </cell>
          <cell r="E2603" t="str">
            <v>Pontezuela</v>
          </cell>
          <cell r="H2603" t="str">
            <v>salud_oral</v>
          </cell>
          <cell r="J2603" t="str">
            <v>bueno</v>
          </cell>
          <cell r="K2603" t="str">
            <v>probsi</v>
          </cell>
        </row>
        <row r="2604">
          <cell r="B2604" t="b">
            <v>1</v>
          </cell>
          <cell r="E2604" t="str">
            <v>Isla Fuerte</v>
          </cell>
          <cell r="H2604" t="str">
            <v>consulta_externa</v>
          </cell>
          <cell r="J2604" t="str">
            <v>muybueno</v>
          </cell>
          <cell r="K2604" t="str">
            <v>defsi</v>
          </cell>
        </row>
        <row r="2605">
          <cell r="B2605" t="b">
            <v>1</v>
          </cell>
          <cell r="E2605" t="str">
            <v>Pontezuela</v>
          </cell>
          <cell r="H2605" t="str">
            <v>consulta_externa</v>
          </cell>
          <cell r="J2605" t="str">
            <v>bueno</v>
          </cell>
          <cell r="K2605" t="str">
            <v>probsi</v>
          </cell>
        </row>
        <row r="2606">
          <cell r="B2606" t="b">
            <v>1</v>
          </cell>
          <cell r="E2606" t="str">
            <v>Pontezuela</v>
          </cell>
          <cell r="H2606" t="str">
            <v>salud_oral</v>
          </cell>
          <cell r="J2606" t="str">
            <v>bueno</v>
          </cell>
          <cell r="K2606" t="str">
            <v>probsi</v>
          </cell>
        </row>
        <row r="2607">
          <cell r="B2607" t="b">
            <v>1</v>
          </cell>
          <cell r="E2607" t="str">
            <v>Isla Fuerte</v>
          </cell>
          <cell r="H2607" t="str">
            <v>consulta_externa</v>
          </cell>
          <cell r="J2607" t="str">
            <v>muybueno</v>
          </cell>
          <cell r="K2607" t="str">
            <v>defsi</v>
          </cell>
        </row>
        <row r="2608">
          <cell r="B2608" t="b">
            <v>1</v>
          </cell>
          <cell r="E2608" t="str">
            <v>Pontezuela</v>
          </cell>
          <cell r="H2608" t="str">
            <v>consulta_externa</v>
          </cell>
          <cell r="J2608" t="str">
            <v>muybueno</v>
          </cell>
          <cell r="K2608" t="str">
            <v>probsi</v>
          </cell>
        </row>
        <row r="2609">
          <cell r="B2609" t="b">
            <v>1</v>
          </cell>
          <cell r="E2609" t="str">
            <v>Isla Fuerte</v>
          </cell>
          <cell r="H2609" t="str">
            <v>laboratorio</v>
          </cell>
          <cell r="J2609" t="str">
            <v>muybueno</v>
          </cell>
          <cell r="K2609" t="str">
            <v>defsi</v>
          </cell>
        </row>
        <row r="2610">
          <cell r="B2610" t="b">
            <v>1</v>
          </cell>
          <cell r="E2610" t="str">
            <v>Pontezuela</v>
          </cell>
          <cell r="H2610" t="str">
            <v>salud_oral</v>
          </cell>
          <cell r="J2610" t="str">
            <v>muybueno</v>
          </cell>
          <cell r="K2610" t="str">
            <v>probsi</v>
          </cell>
        </row>
        <row r="2611">
          <cell r="B2611" t="b">
            <v>1</v>
          </cell>
          <cell r="E2611" t="str">
            <v>Isla Fuerte</v>
          </cell>
          <cell r="H2611" t="str">
            <v>salud_oral</v>
          </cell>
          <cell r="J2611" t="str">
            <v>muybueno</v>
          </cell>
          <cell r="K2611" t="str">
            <v>defsi</v>
          </cell>
        </row>
        <row r="2612">
          <cell r="B2612" t="b">
            <v>1</v>
          </cell>
          <cell r="E2612" t="str">
            <v>Pontezuela</v>
          </cell>
          <cell r="H2612" t="str">
            <v>consulta_externa</v>
          </cell>
          <cell r="J2612" t="str">
            <v>bueno</v>
          </cell>
          <cell r="K2612" t="str">
            <v>probsi</v>
          </cell>
        </row>
        <row r="2613">
          <cell r="B2613" t="b">
            <v>1</v>
          </cell>
          <cell r="E2613" t="str">
            <v>Pontezuela</v>
          </cell>
          <cell r="H2613" t="str">
            <v>salud_oral</v>
          </cell>
          <cell r="J2613" t="str">
            <v>bueno</v>
          </cell>
          <cell r="K2613" t="str">
            <v>probsi</v>
          </cell>
        </row>
        <row r="2614">
          <cell r="B2614" t="b">
            <v>1</v>
          </cell>
          <cell r="E2614" t="str">
            <v>Puerto Rey</v>
          </cell>
          <cell r="H2614" t="str">
            <v>salud_oral</v>
          </cell>
          <cell r="J2614" t="str">
            <v>bueno</v>
          </cell>
          <cell r="K2614" t="str">
            <v>probsi</v>
          </cell>
        </row>
        <row r="2615">
          <cell r="B2615" t="b">
            <v>1</v>
          </cell>
          <cell r="E2615" t="str">
            <v>Pontezuela</v>
          </cell>
          <cell r="H2615" t="str">
            <v>consulta_externa</v>
          </cell>
          <cell r="J2615" t="str">
            <v>bueno</v>
          </cell>
          <cell r="K2615" t="str">
            <v>probsi</v>
          </cell>
        </row>
        <row r="2616">
          <cell r="B2616" t="b">
            <v>1</v>
          </cell>
          <cell r="E2616" t="str">
            <v>Puerto Rey</v>
          </cell>
          <cell r="H2616" t="str">
            <v>consulta_externa</v>
          </cell>
          <cell r="J2616" t="str">
            <v>bueno</v>
          </cell>
          <cell r="K2616" t="str">
            <v>probsi</v>
          </cell>
        </row>
        <row r="2617">
          <cell r="B2617" t="b">
            <v>1</v>
          </cell>
          <cell r="E2617" t="str">
            <v>Pontezuela</v>
          </cell>
          <cell r="H2617" t="str">
            <v>salud_oral</v>
          </cell>
          <cell r="J2617" t="str">
            <v>bueno</v>
          </cell>
          <cell r="K2617" t="str">
            <v>probsi</v>
          </cell>
        </row>
        <row r="2618">
          <cell r="B2618" t="b">
            <v>1</v>
          </cell>
          <cell r="E2618" t="str">
            <v>Pontezuela</v>
          </cell>
          <cell r="H2618" t="str">
            <v>consulta_externa</v>
          </cell>
          <cell r="J2618" t="str">
            <v>bueno</v>
          </cell>
          <cell r="K2618" t="str">
            <v>probsi</v>
          </cell>
        </row>
        <row r="2619">
          <cell r="B2619" t="b">
            <v>1</v>
          </cell>
          <cell r="E2619" t="str">
            <v>Pontezuela</v>
          </cell>
          <cell r="H2619" t="str">
            <v>consulta_externa</v>
          </cell>
          <cell r="J2619" t="str">
            <v>bueno</v>
          </cell>
          <cell r="K2619" t="str">
            <v>probsi</v>
          </cell>
        </row>
        <row r="2620">
          <cell r="B2620" t="b">
            <v>1</v>
          </cell>
          <cell r="E2620" t="str">
            <v>Pontezuela</v>
          </cell>
          <cell r="H2620" t="str">
            <v>salud_oral</v>
          </cell>
          <cell r="J2620" t="str">
            <v>bueno</v>
          </cell>
          <cell r="K2620" t="str">
            <v>probsi</v>
          </cell>
        </row>
        <row r="2621">
          <cell r="B2621" t="b">
            <v>0</v>
          </cell>
          <cell r="E2621" t="str">
            <v>Puerto Rey</v>
          </cell>
          <cell r="H2621" t="str">
            <v>salud_oral</v>
          </cell>
          <cell r="J2621" t="str">
            <v>regular</v>
          </cell>
          <cell r="K2621" t="str">
            <v>probsi</v>
          </cell>
        </row>
        <row r="2622">
          <cell r="B2622" t="b">
            <v>1</v>
          </cell>
          <cell r="E2622" t="str">
            <v>Isla Fuerte</v>
          </cell>
          <cell r="H2622" t="str">
            <v>consulta_externa</v>
          </cell>
          <cell r="J2622" t="str">
            <v>muybueno</v>
          </cell>
          <cell r="K2622" t="str">
            <v>defsi</v>
          </cell>
        </row>
        <row r="2623">
          <cell r="B2623" t="b">
            <v>1</v>
          </cell>
          <cell r="E2623" t="str">
            <v>Isla Fuerte</v>
          </cell>
          <cell r="H2623" t="str">
            <v>laboratorio</v>
          </cell>
          <cell r="J2623" t="str">
            <v>muybueno</v>
          </cell>
          <cell r="K2623" t="str">
            <v>defsi</v>
          </cell>
        </row>
        <row r="2624">
          <cell r="B2624" t="b">
            <v>0</v>
          </cell>
          <cell r="E2624" t="str">
            <v>Puerto Rey</v>
          </cell>
          <cell r="H2624" t="str">
            <v>salud_oral</v>
          </cell>
          <cell r="J2624" t="str">
            <v>regular</v>
          </cell>
          <cell r="K2624" t="str">
            <v>probsi</v>
          </cell>
        </row>
        <row r="2625">
          <cell r="B2625" t="b">
            <v>1</v>
          </cell>
          <cell r="E2625" t="str">
            <v>San Vicente de Paul</v>
          </cell>
          <cell r="H2625" t="str">
            <v>consulta_externa</v>
          </cell>
          <cell r="J2625" t="str">
            <v>bueno</v>
          </cell>
          <cell r="K2625" t="str">
            <v>defsi</v>
          </cell>
        </row>
        <row r="2626">
          <cell r="B2626" t="b">
            <v>1</v>
          </cell>
          <cell r="E2626" t="str">
            <v>Pontezuela</v>
          </cell>
          <cell r="H2626" t="str">
            <v>consulta_externa</v>
          </cell>
          <cell r="J2626" t="str">
            <v>bueno</v>
          </cell>
          <cell r="K2626" t="str">
            <v>probsi</v>
          </cell>
        </row>
        <row r="2627">
          <cell r="B2627" t="b">
            <v>1</v>
          </cell>
          <cell r="E2627" t="str">
            <v>Pontezuela</v>
          </cell>
          <cell r="H2627" t="str">
            <v>salud_oral</v>
          </cell>
          <cell r="J2627" t="str">
            <v>bueno</v>
          </cell>
          <cell r="K2627" t="str">
            <v>probsi</v>
          </cell>
        </row>
        <row r="2628">
          <cell r="B2628" t="b">
            <v>1</v>
          </cell>
          <cell r="E2628" t="str">
            <v>San Vicente de Paul</v>
          </cell>
          <cell r="H2628" t="str">
            <v>salud_oral</v>
          </cell>
          <cell r="J2628" t="str">
            <v>bueno</v>
          </cell>
          <cell r="K2628" t="str">
            <v>defsi</v>
          </cell>
        </row>
        <row r="2629">
          <cell r="B2629" t="b">
            <v>0</v>
          </cell>
          <cell r="E2629" t="str">
            <v>Puerto Rey</v>
          </cell>
          <cell r="H2629" t="str">
            <v>consulta_externa</v>
          </cell>
          <cell r="J2629" t="str">
            <v>regular</v>
          </cell>
          <cell r="K2629" t="str">
            <v>probsi</v>
          </cell>
        </row>
        <row r="2630">
          <cell r="B2630" t="b">
            <v>0</v>
          </cell>
          <cell r="E2630" t="str">
            <v>Puerto Rey</v>
          </cell>
          <cell r="H2630" t="str">
            <v>consulta_externa</v>
          </cell>
          <cell r="J2630" t="str">
            <v>regular</v>
          </cell>
          <cell r="K2630" t="str">
            <v>probsi</v>
          </cell>
        </row>
        <row r="2631">
          <cell r="B2631" t="b">
            <v>1</v>
          </cell>
          <cell r="E2631" t="str">
            <v>San Vicente de Paul</v>
          </cell>
          <cell r="H2631" t="str">
            <v>laboratorio</v>
          </cell>
          <cell r="J2631" t="str">
            <v>bueno</v>
          </cell>
          <cell r="K2631" t="str">
            <v>defsi</v>
          </cell>
        </row>
        <row r="2632">
          <cell r="B2632" t="b">
            <v>1</v>
          </cell>
          <cell r="E2632" t="str">
            <v>San Vicente de Paul</v>
          </cell>
          <cell r="H2632" t="str">
            <v>consulta_externa</v>
          </cell>
          <cell r="J2632" t="str">
            <v>bueno</v>
          </cell>
          <cell r="K2632" t="str">
            <v>defsi</v>
          </cell>
        </row>
        <row r="2633">
          <cell r="B2633" t="b">
            <v>1</v>
          </cell>
          <cell r="E2633" t="str">
            <v>Puerto Rey</v>
          </cell>
          <cell r="H2633" t="str">
            <v>consulta_externa</v>
          </cell>
          <cell r="J2633" t="str">
            <v>bueno</v>
          </cell>
          <cell r="K2633" t="str">
            <v>probsi</v>
          </cell>
        </row>
        <row r="2634">
          <cell r="B2634" t="b">
            <v>1</v>
          </cell>
          <cell r="E2634" t="str">
            <v>Puerto Rey</v>
          </cell>
          <cell r="H2634" t="str">
            <v>consulta_externa</v>
          </cell>
          <cell r="J2634" t="str">
            <v>bueno</v>
          </cell>
          <cell r="K2634" t="str">
            <v>probsi</v>
          </cell>
        </row>
        <row r="2635">
          <cell r="B2635" t="b">
            <v>1</v>
          </cell>
          <cell r="E2635" t="str">
            <v>San Vicente de Paul</v>
          </cell>
          <cell r="H2635" t="str">
            <v>salud_oral</v>
          </cell>
          <cell r="J2635" t="str">
            <v>bueno</v>
          </cell>
          <cell r="K2635" t="str">
            <v>defsi</v>
          </cell>
        </row>
        <row r="2636">
          <cell r="B2636" t="b">
            <v>1</v>
          </cell>
          <cell r="E2636" t="str">
            <v>Puerto Rey</v>
          </cell>
          <cell r="H2636" t="str">
            <v>salud_oral</v>
          </cell>
          <cell r="J2636" t="str">
            <v>muybueno</v>
          </cell>
          <cell r="K2636" t="str">
            <v>defsi</v>
          </cell>
        </row>
        <row r="2637">
          <cell r="B2637" t="b">
            <v>1</v>
          </cell>
          <cell r="E2637" t="str">
            <v>Puerto Rey</v>
          </cell>
          <cell r="H2637" t="str">
            <v>salud_oral</v>
          </cell>
          <cell r="J2637" t="str">
            <v>muybueno</v>
          </cell>
          <cell r="K2637" t="str">
            <v>defsi</v>
          </cell>
        </row>
        <row r="2638">
          <cell r="B2638" t="b">
            <v>1</v>
          </cell>
          <cell r="E2638" t="str">
            <v>San Vicente de Paul</v>
          </cell>
          <cell r="H2638" t="str">
            <v>laboratorio</v>
          </cell>
          <cell r="J2638" t="str">
            <v>bueno</v>
          </cell>
          <cell r="K2638" t="str">
            <v>defsi</v>
          </cell>
        </row>
        <row r="2639">
          <cell r="B2639" t="b">
            <v>1</v>
          </cell>
          <cell r="E2639" t="str">
            <v>Pontezuela</v>
          </cell>
          <cell r="H2639" t="str">
            <v>consulta_externa</v>
          </cell>
          <cell r="J2639" t="str">
            <v>muybueno</v>
          </cell>
          <cell r="K2639" t="str">
            <v>probsi</v>
          </cell>
        </row>
        <row r="2640">
          <cell r="B2640" t="b">
            <v>1</v>
          </cell>
          <cell r="E2640" t="str">
            <v>Pontezuela</v>
          </cell>
          <cell r="H2640" t="str">
            <v>salud_oral</v>
          </cell>
          <cell r="J2640" t="str">
            <v>muybueno</v>
          </cell>
          <cell r="K2640" t="str">
            <v>probsi</v>
          </cell>
        </row>
        <row r="2641">
          <cell r="B2641" t="b">
            <v>1</v>
          </cell>
          <cell r="E2641" t="str">
            <v>Puerto Rey</v>
          </cell>
          <cell r="H2641" t="str">
            <v>consulta_externa</v>
          </cell>
          <cell r="J2641" t="str">
            <v>bueno</v>
          </cell>
          <cell r="K2641" t="str">
            <v>probsi</v>
          </cell>
        </row>
        <row r="2642">
          <cell r="B2642" t="b">
            <v>1</v>
          </cell>
          <cell r="E2642" t="str">
            <v>Puerto Rey</v>
          </cell>
          <cell r="H2642" t="str">
            <v>consulta_externa</v>
          </cell>
          <cell r="J2642" t="str">
            <v>bueno</v>
          </cell>
          <cell r="K2642" t="str">
            <v>probsi</v>
          </cell>
        </row>
        <row r="2643">
          <cell r="B2643" t="b">
            <v>1</v>
          </cell>
          <cell r="E2643" t="str">
            <v>Isla Fuerte</v>
          </cell>
          <cell r="H2643" t="str">
            <v>salud_oral</v>
          </cell>
          <cell r="J2643" t="str">
            <v>muybueno</v>
          </cell>
          <cell r="K2643" t="str">
            <v>defsi</v>
          </cell>
        </row>
        <row r="2644">
          <cell r="B2644" t="b">
            <v>1</v>
          </cell>
          <cell r="E2644" t="str">
            <v>Pontezuela</v>
          </cell>
          <cell r="H2644" t="str">
            <v>consulta_externa</v>
          </cell>
          <cell r="J2644" t="str">
            <v>muybueno</v>
          </cell>
          <cell r="K2644" t="str">
            <v>probsi</v>
          </cell>
        </row>
        <row r="2645">
          <cell r="B2645" t="b">
            <v>1</v>
          </cell>
          <cell r="E2645" t="str">
            <v>Isla Fuerte</v>
          </cell>
          <cell r="H2645" t="str">
            <v>consulta_externa</v>
          </cell>
          <cell r="J2645" t="str">
            <v>muybueno</v>
          </cell>
          <cell r="K2645" t="str">
            <v>defsi</v>
          </cell>
        </row>
        <row r="2646">
          <cell r="B2646" t="b">
            <v>1</v>
          </cell>
          <cell r="E2646" t="str">
            <v>Isla Fuerte</v>
          </cell>
          <cell r="H2646" t="str">
            <v>laboratorio</v>
          </cell>
          <cell r="J2646" t="str">
            <v>muybueno</v>
          </cell>
          <cell r="K2646" t="str">
            <v>defsi</v>
          </cell>
        </row>
        <row r="2647">
          <cell r="B2647" t="b">
            <v>1</v>
          </cell>
          <cell r="E2647" t="str">
            <v>Pontezuela</v>
          </cell>
          <cell r="H2647" t="str">
            <v>consulta_externa</v>
          </cell>
          <cell r="J2647" t="str">
            <v>bueno</v>
          </cell>
          <cell r="K2647" t="str">
            <v>probsi</v>
          </cell>
        </row>
        <row r="2648">
          <cell r="B2648" t="b">
            <v>1</v>
          </cell>
          <cell r="E2648" t="str">
            <v>Pontezuela</v>
          </cell>
          <cell r="H2648" t="str">
            <v>salud_oral</v>
          </cell>
          <cell r="J2648" t="str">
            <v>bueno</v>
          </cell>
          <cell r="K2648" t="str">
            <v>probsi</v>
          </cell>
        </row>
        <row r="2649">
          <cell r="B2649" t="b">
            <v>1</v>
          </cell>
          <cell r="E2649" t="str">
            <v>San Vicente de Paul</v>
          </cell>
          <cell r="H2649" t="str">
            <v>consulta_externa</v>
          </cell>
          <cell r="J2649" t="str">
            <v>bueno</v>
          </cell>
          <cell r="K2649" t="str">
            <v>defsi</v>
          </cell>
        </row>
        <row r="2650">
          <cell r="B2650" t="b">
            <v>1</v>
          </cell>
          <cell r="E2650" t="str">
            <v>San Vicente de Paul</v>
          </cell>
          <cell r="H2650" t="str">
            <v>salud_oral</v>
          </cell>
          <cell r="J2650" t="str">
            <v>bueno</v>
          </cell>
          <cell r="K2650" t="str">
            <v>defsi</v>
          </cell>
        </row>
        <row r="2651">
          <cell r="B2651" t="b">
            <v>1</v>
          </cell>
          <cell r="E2651" t="str">
            <v>San Vicente de Paul</v>
          </cell>
          <cell r="H2651" t="str">
            <v>laboratorio</v>
          </cell>
          <cell r="J2651" t="str">
            <v>bueno</v>
          </cell>
          <cell r="K2651" t="str">
            <v>defsi</v>
          </cell>
        </row>
        <row r="2652">
          <cell r="B2652" t="b">
            <v>1</v>
          </cell>
          <cell r="E2652" t="str">
            <v>Isla Fuerte</v>
          </cell>
          <cell r="H2652" t="str">
            <v>consulta_externa</v>
          </cell>
          <cell r="J2652" t="str">
            <v>muybueno</v>
          </cell>
          <cell r="K2652" t="str">
            <v>defsi</v>
          </cell>
        </row>
        <row r="2653">
          <cell r="B2653" t="b">
            <v>1</v>
          </cell>
          <cell r="E2653" t="str">
            <v>Pontezuela</v>
          </cell>
          <cell r="H2653" t="str">
            <v>consulta_externa</v>
          </cell>
          <cell r="J2653" t="str">
            <v>bueno</v>
          </cell>
          <cell r="K2653" t="str">
            <v>probsi</v>
          </cell>
        </row>
        <row r="2654">
          <cell r="B2654" t="b">
            <v>1</v>
          </cell>
          <cell r="E2654" t="str">
            <v>San Vicente de Paul</v>
          </cell>
          <cell r="H2654" t="str">
            <v>consulta_externa</v>
          </cell>
          <cell r="J2654" t="str">
            <v>bueno</v>
          </cell>
          <cell r="K2654" t="str">
            <v>defsi</v>
          </cell>
        </row>
        <row r="2655">
          <cell r="B2655" t="b">
            <v>1</v>
          </cell>
          <cell r="E2655" t="str">
            <v>Candelaria</v>
          </cell>
          <cell r="H2655" t="str">
            <v>salud_oral</v>
          </cell>
          <cell r="J2655" t="str">
            <v>bueno</v>
          </cell>
          <cell r="K2655" t="str">
            <v>defsi</v>
          </cell>
        </row>
        <row r="2656">
          <cell r="B2656" t="b">
            <v>1</v>
          </cell>
          <cell r="E2656" t="str">
            <v>Pontezuela</v>
          </cell>
          <cell r="H2656" t="str">
            <v>consulta_externa</v>
          </cell>
          <cell r="J2656" t="str">
            <v>bueno</v>
          </cell>
          <cell r="K2656" t="str">
            <v>probsi</v>
          </cell>
        </row>
        <row r="2657">
          <cell r="B2657" t="b">
            <v>1</v>
          </cell>
          <cell r="E2657" t="str">
            <v>Candelaria</v>
          </cell>
          <cell r="H2657" t="str">
            <v>laboratorio</v>
          </cell>
          <cell r="J2657" t="str">
            <v>bueno</v>
          </cell>
          <cell r="K2657" t="str">
            <v>defsi</v>
          </cell>
        </row>
        <row r="2658">
          <cell r="B2658" t="b">
            <v>1</v>
          </cell>
          <cell r="E2658" t="str">
            <v>Candelaria</v>
          </cell>
          <cell r="H2658" t="str">
            <v>electros</v>
          </cell>
          <cell r="J2658" t="str">
            <v>bueno</v>
          </cell>
          <cell r="K2658" t="str">
            <v>defsi</v>
          </cell>
        </row>
        <row r="2659">
          <cell r="B2659" t="b">
            <v>1</v>
          </cell>
          <cell r="E2659" t="str">
            <v>Candelaria</v>
          </cell>
          <cell r="H2659" t="str">
            <v>consulta_externa</v>
          </cell>
          <cell r="J2659" t="str">
            <v>bueno</v>
          </cell>
          <cell r="K2659" t="str">
            <v>defsi</v>
          </cell>
        </row>
        <row r="2660">
          <cell r="B2660" t="b">
            <v>0</v>
          </cell>
          <cell r="E2660" t="str">
            <v>Pontezuela</v>
          </cell>
          <cell r="H2660" t="str">
            <v>consulta_externa</v>
          </cell>
          <cell r="J2660" t="str">
            <v>regular</v>
          </cell>
          <cell r="K2660" t="str">
            <v>probsi</v>
          </cell>
        </row>
        <row r="2661">
          <cell r="B2661" t="b">
            <v>1</v>
          </cell>
          <cell r="E2661" t="str">
            <v>Isla Fuerte</v>
          </cell>
          <cell r="H2661" t="str">
            <v>salud_oral</v>
          </cell>
          <cell r="J2661" t="str">
            <v>muybueno</v>
          </cell>
          <cell r="K2661" t="str">
            <v>defsi</v>
          </cell>
        </row>
        <row r="2662">
          <cell r="B2662" t="b">
            <v>1</v>
          </cell>
          <cell r="E2662" t="str">
            <v>San Vicente de Paul</v>
          </cell>
          <cell r="H2662" t="str">
            <v>salud_oral</v>
          </cell>
          <cell r="J2662" t="str">
            <v>bueno</v>
          </cell>
          <cell r="K2662" t="str">
            <v>defsi</v>
          </cell>
        </row>
        <row r="2663">
          <cell r="B2663" t="b">
            <v>1</v>
          </cell>
          <cell r="E2663" t="str">
            <v>Candelaria</v>
          </cell>
          <cell r="H2663" t="str">
            <v>consulta_externa</v>
          </cell>
          <cell r="J2663" t="str">
            <v>bueno</v>
          </cell>
          <cell r="K2663" t="str">
            <v>defsi</v>
          </cell>
        </row>
        <row r="2664">
          <cell r="B2664" t="b">
            <v>1</v>
          </cell>
          <cell r="E2664" t="str">
            <v>Candelaria</v>
          </cell>
          <cell r="H2664" t="str">
            <v>laboratorio</v>
          </cell>
          <cell r="J2664" t="str">
            <v>bueno</v>
          </cell>
          <cell r="K2664" t="str">
            <v>defsi</v>
          </cell>
        </row>
        <row r="2665">
          <cell r="B2665" t="b">
            <v>1</v>
          </cell>
          <cell r="E2665" t="str">
            <v>San Vicente de Paul</v>
          </cell>
          <cell r="H2665" t="str">
            <v>laboratorio</v>
          </cell>
          <cell r="J2665" t="str">
            <v>bueno</v>
          </cell>
          <cell r="K2665" t="str">
            <v>defsi</v>
          </cell>
        </row>
        <row r="2666">
          <cell r="B2666" t="b">
            <v>1</v>
          </cell>
          <cell r="E2666" t="str">
            <v>Candelaria</v>
          </cell>
          <cell r="H2666" t="str">
            <v>consulta_externa</v>
          </cell>
          <cell r="J2666" t="str">
            <v>bueno</v>
          </cell>
          <cell r="K2666" t="str">
            <v>defsi</v>
          </cell>
        </row>
        <row r="2667">
          <cell r="B2667" t="b">
            <v>1</v>
          </cell>
          <cell r="E2667" t="str">
            <v>Candelaria</v>
          </cell>
          <cell r="H2667" t="str">
            <v>laboratorio</v>
          </cell>
          <cell r="J2667" t="str">
            <v>bueno</v>
          </cell>
          <cell r="K2667" t="str">
            <v>defsi</v>
          </cell>
        </row>
        <row r="2668">
          <cell r="B2668" t="b">
            <v>1</v>
          </cell>
          <cell r="E2668" t="str">
            <v>Candelaria</v>
          </cell>
          <cell r="H2668" t="str">
            <v>consulta_externa</v>
          </cell>
          <cell r="J2668" t="str">
            <v>bueno</v>
          </cell>
          <cell r="K2668" t="str">
            <v>defsi</v>
          </cell>
        </row>
        <row r="2669">
          <cell r="B2669" t="b">
            <v>1</v>
          </cell>
          <cell r="E2669" t="str">
            <v>Candelaria</v>
          </cell>
          <cell r="H2669" t="str">
            <v>laboratorio</v>
          </cell>
          <cell r="J2669" t="str">
            <v>bueno</v>
          </cell>
          <cell r="K2669" t="str">
            <v>defsi</v>
          </cell>
        </row>
        <row r="2670">
          <cell r="B2670" t="b">
            <v>1</v>
          </cell>
          <cell r="E2670" t="str">
            <v>Candelaria</v>
          </cell>
          <cell r="H2670" t="str">
            <v>salud_oral</v>
          </cell>
          <cell r="J2670" t="str">
            <v>bueno</v>
          </cell>
          <cell r="K2670" t="str">
            <v>defsi</v>
          </cell>
        </row>
        <row r="2671">
          <cell r="B2671" t="b">
            <v>1</v>
          </cell>
          <cell r="E2671" t="str">
            <v>San Vicente de Paul</v>
          </cell>
          <cell r="H2671" t="str">
            <v>consulta_externa</v>
          </cell>
          <cell r="J2671" t="str">
            <v>bueno</v>
          </cell>
          <cell r="K2671" t="str">
            <v>defsi</v>
          </cell>
        </row>
        <row r="2672">
          <cell r="B2672" t="b">
            <v>1</v>
          </cell>
          <cell r="E2672" t="str">
            <v>Candelaria</v>
          </cell>
          <cell r="H2672" t="str">
            <v>salud_oral</v>
          </cell>
          <cell r="J2672" t="str">
            <v>bueno</v>
          </cell>
          <cell r="K2672" t="str">
            <v>defsi</v>
          </cell>
        </row>
        <row r="2673">
          <cell r="B2673" t="b">
            <v>1</v>
          </cell>
          <cell r="E2673" t="str">
            <v>Candelaria</v>
          </cell>
          <cell r="H2673" t="str">
            <v>salud_oral</v>
          </cell>
          <cell r="J2673" t="str">
            <v>bueno</v>
          </cell>
          <cell r="K2673" t="str">
            <v>defsi</v>
          </cell>
        </row>
        <row r="2674">
          <cell r="B2674" t="b">
            <v>1</v>
          </cell>
          <cell r="E2674" t="str">
            <v>Candelaria</v>
          </cell>
          <cell r="H2674" t="str">
            <v>salud_oral</v>
          </cell>
          <cell r="J2674" t="str">
            <v>bueno</v>
          </cell>
          <cell r="K2674" t="str">
            <v>defsi</v>
          </cell>
        </row>
        <row r="2675">
          <cell r="B2675" t="b">
            <v>1</v>
          </cell>
          <cell r="E2675" t="str">
            <v>Candelaria</v>
          </cell>
          <cell r="H2675" t="str">
            <v>salud_oral</v>
          </cell>
          <cell r="J2675" t="str">
            <v>bueno</v>
          </cell>
          <cell r="K2675" t="str">
            <v>defsi</v>
          </cell>
        </row>
        <row r="2676">
          <cell r="B2676" t="b">
            <v>1</v>
          </cell>
          <cell r="E2676" t="str">
            <v>San Vicente de Paul</v>
          </cell>
          <cell r="H2676" t="str">
            <v>salud_oral</v>
          </cell>
          <cell r="J2676" t="str">
            <v>bueno</v>
          </cell>
          <cell r="K2676" t="str">
            <v>defsi</v>
          </cell>
        </row>
        <row r="2677">
          <cell r="B2677" t="b">
            <v>1</v>
          </cell>
          <cell r="E2677" t="str">
            <v>San Vicente de Paul</v>
          </cell>
          <cell r="H2677" t="str">
            <v>laboratorio</v>
          </cell>
          <cell r="J2677" t="str">
            <v>bueno</v>
          </cell>
          <cell r="K2677" t="str">
            <v>defsi</v>
          </cell>
        </row>
        <row r="2678">
          <cell r="B2678" t="b">
            <v>1</v>
          </cell>
          <cell r="E2678" t="str">
            <v>San Vicente de Paul</v>
          </cell>
          <cell r="H2678" t="str">
            <v>consulta_externa</v>
          </cell>
          <cell r="J2678" t="str">
            <v>bueno</v>
          </cell>
          <cell r="K2678" t="str">
            <v>defsi</v>
          </cell>
        </row>
        <row r="2679">
          <cell r="B2679" t="b">
            <v>1</v>
          </cell>
          <cell r="E2679" t="str">
            <v>Isla Fuerte</v>
          </cell>
          <cell r="H2679" t="str">
            <v>consulta_externa</v>
          </cell>
          <cell r="J2679" t="str">
            <v>muybueno</v>
          </cell>
          <cell r="K2679" t="str">
            <v>defsi</v>
          </cell>
        </row>
        <row r="2680">
          <cell r="B2680" t="b">
            <v>1</v>
          </cell>
          <cell r="E2680" t="str">
            <v>Isla Fuerte</v>
          </cell>
          <cell r="H2680" t="str">
            <v>laboratorio</v>
          </cell>
          <cell r="J2680" t="str">
            <v>muybueno</v>
          </cell>
          <cell r="K2680" t="str">
            <v>defsi</v>
          </cell>
        </row>
        <row r="2681">
          <cell r="B2681" t="b">
            <v>1</v>
          </cell>
          <cell r="E2681" t="str">
            <v>San Vicente de Paul</v>
          </cell>
          <cell r="H2681" t="str">
            <v>salud_oral</v>
          </cell>
          <cell r="J2681" t="str">
            <v>bueno</v>
          </cell>
          <cell r="K2681" t="str">
            <v>defsi</v>
          </cell>
        </row>
        <row r="2682">
          <cell r="B2682" t="b">
            <v>1</v>
          </cell>
          <cell r="E2682" t="str">
            <v>San Vicente de Paul</v>
          </cell>
          <cell r="H2682" t="str">
            <v>laboratorio</v>
          </cell>
          <cell r="J2682" t="str">
            <v>bueno</v>
          </cell>
          <cell r="K2682" t="str">
            <v>defsi</v>
          </cell>
        </row>
        <row r="2683">
          <cell r="B2683" t="b">
            <v>1</v>
          </cell>
          <cell r="E2683" t="str">
            <v>Isla Fuerte</v>
          </cell>
          <cell r="H2683" t="str">
            <v>salud_oral</v>
          </cell>
          <cell r="J2683" t="str">
            <v>muybueno</v>
          </cell>
          <cell r="K2683" t="str">
            <v>defsi</v>
          </cell>
        </row>
        <row r="2684">
          <cell r="B2684" t="b">
            <v>1</v>
          </cell>
          <cell r="E2684" t="str">
            <v>Tierra Baja</v>
          </cell>
          <cell r="H2684" t="str">
            <v>consulta_externa</v>
          </cell>
          <cell r="J2684" t="str">
            <v>bueno</v>
          </cell>
          <cell r="K2684" t="str">
            <v>probsi</v>
          </cell>
        </row>
        <row r="2685">
          <cell r="B2685" t="b">
            <v>1</v>
          </cell>
          <cell r="E2685" t="str">
            <v>Candelaria</v>
          </cell>
          <cell r="H2685" t="str">
            <v>consulta_externa</v>
          </cell>
          <cell r="J2685" t="str">
            <v>bueno</v>
          </cell>
          <cell r="K2685" t="str">
            <v>defsi</v>
          </cell>
        </row>
        <row r="2686">
          <cell r="B2686" t="b">
            <v>1</v>
          </cell>
          <cell r="E2686" t="str">
            <v>Tierra Baja</v>
          </cell>
          <cell r="H2686" t="str">
            <v>salud_oral</v>
          </cell>
          <cell r="J2686" t="str">
            <v>bueno</v>
          </cell>
          <cell r="K2686" t="str">
            <v>probsi</v>
          </cell>
        </row>
        <row r="2687">
          <cell r="B2687" t="b">
            <v>1</v>
          </cell>
          <cell r="E2687" t="str">
            <v>Tierra Baja</v>
          </cell>
          <cell r="H2687" t="str">
            <v>salud_oral</v>
          </cell>
          <cell r="J2687" t="str">
            <v>bueno</v>
          </cell>
          <cell r="K2687" t="str">
            <v>probsi</v>
          </cell>
        </row>
        <row r="2688">
          <cell r="B2688" t="b">
            <v>1</v>
          </cell>
          <cell r="E2688" t="str">
            <v>Candelaria</v>
          </cell>
          <cell r="H2688" t="str">
            <v>consulta_externa</v>
          </cell>
          <cell r="J2688" t="str">
            <v>bueno</v>
          </cell>
          <cell r="K2688" t="str">
            <v>defsi</v>
          </cell>
        </row>
        <row r="2689">
          <cell r="B2689" t="b">
            <v>1</v>
          </cell>
          <cell r="E2689" t="str">
            <v>Isla Fuerte</v>
          </cell>
          <cell r="H2689" t="str">
            <v>consulta_externa</v>
          </cell>
          <cell r="J2689" t="str">
            <v>muybueno</v>
          </cell>
          <cell r="K2689" t="str">
            <v>defsi</v>
          </cell>
        </row>
        <row r="2690">
          <cell r="B2690" t="b">
            <v>0</v>
          </cell>
          <cell r="E2690" t="str">
            <v>Candelaria</v>
          </cell>
          <cell r="H2690" t="str">
            <v>urgencia</v>
          </cell>
          <cell r="J2690" t="str">
            <v>malo</v>
          </cell>
          <cell r="K2690" t="str">
            <v>defno</v>
          </cell>
        </row>
        <row r="2691">
          <cell r="B2691" t="b">
            <v>1</v>
          </cell>
          <cell r="E2691" t="str">
            <v>Candelaria</v>
          </cell>
          <cell r="H2691" t="str">
            <v>electros</v>
          </cell>
          <cell r="J2691" t="str">
            <v>bueno</v>
          </cell>
          <cell r="K2691" t="str">
            <v>defsi</v>
          </cell>
        </row>
        <row r="2692">
          <cell r="B2692" t="b">
            <v>1</v>
          </cell>
          <cell r="E2692" t="str">
            <v>Candelaria</v>
          </cell>
          <cell r="H2692" t="str">
            <v>electros</v>
          </cell>
          <cell r="J2692" t="str">
            <v>bueno</v>
          </cell>
          <cell r="K2692" t="str">
            <v>defsi</v>
          </cell>
        </row>
        <row r="2693">
          <cell r="B2693" t="b">
            <v>1</v>
          </cell>
          <cell r="E2693" t="str">
            <v>Candelaria</v>
          </cell>
          <cell r="H2693" t="str">
            <v>electros</v>
          </cell>
          <cell r="J2693" t="str">
            <v>bueno</v>
          </cell>
          <cell r="K2693" t="str">
            <v>defsi</v>
          </cell>
        </row>
        <row r="2694">
          <cell r="B2694" t="b">
            <v>1</v>
          </cell>
          <cell r="E2694" t="str">
            <v>Candelaria</v>
          </cell>
          <cell r="H2694" t="str">
            <v>salud_oral</v>
          </cell>
          <cell r="J2694" t="str">
            <v>bueno</v>
          </cell>
          <cell r="K2694" t="str">
            <v>probno</v>
          </cell>
        </row>
        <row r="2695">
          <cell r="B2695" t="b">
            <v>1</v>
          </cell>
          <cell r="E2695" t="str">
            <v>Candelaria</v>
          </cell>
          <cell r="H2695" t="str">
            <v>consulta_externa</v>
          </cell>
          <cell r="J2695" t="str">
            <v>bueno</v>
          </cell>
          <cell r="K2695" t="str">
            <v>defsi</v>
          </cell>
        </row>
        <row r="2696">
          <cell r="B2696" t="b">
            <v>1</v>
          </cell>
          <cell r="E2696" t="str">
            <v>Candelaria</v>
          </cell>
          <cell r="H2696" t="str">
            <v>laboratorio</v>
          </cell>
          <cell r="J2696" t="str">
            <v>bueno</v>
          </cell>
          <cell r="K2696" t="str">
            <v>defsi</v>
          </cell>
        </row>
        <row r="2697">
          <cell r="B2697" t="b">
            <v>1</v>
          </cell>
          <cell r="E2697" t="str">
            <v>Candelaria</v>
          </cell>
          <cell r="H2697" t="str">
            <v>salud_oral</v>
          </cell>
          <cell r="J2697" t="str">
            <v>bueno</v>
          </cell>
          <cell r="K2697" t="str">
            <v>defsi</v>
          </cell>
        </row>
        <row r="2698">
          <cell r="B2698" t="b">
            <v>1</v>
          </cell>
          <cell r="E2698" t="str">
            <v>Isla Fuerte</v>
          </cell>
          <cell r="H2698" t="str">
            <v>consulta_externa</v>
          </cell>
          <cell r="J2698" t="str">
            <v>muybueno</v>
          </cell>
          <cell r="K2698" t="str">
            <v>defsi</v>
          </cell>
        </row>
        <row r="2699">
          <cell r="B2699" t="b">
            <v>1</v>
          </cell>
          <cell r="E2699" t="str">
            <v>Isla Fuerte</v>
          </cell>
          <cell r="H2699" t="str">
            <v>salud_oral</v>
          </cell>
          <cell r="J2699" t="str">
            <v>muybueno</v>
          </cell>
          <cell r="K2699" t="str">
            <v>defsi</v>
          </cell>
        </row>
        <row r="2700">
          <cell r="B2700" t="b">
            <v>1</v>
          </cell>
          <cell r="E2700" t="str">
            <v>Candelaria</v>
          </cell>
          <cell r="H2700" t="str">
            <v>consulta_externa</v>
          </cell>
          <cell r="J2700" t="str">
            <v>bueno</v>
          </cell>
          <cell r="K2700" t="str">
            <v>probno</v>
          </cell>
        </row>
        <row r="2701">
          <cell r="B2701" t="b">
            <v>1</v>
          </cell>
          <cell r="E2701" t="str">
            <v>Candelaria</v>
          </cell>
          <cell r="H2701" t="str">
            <v>consulta_externa</v>
          </cell>
          <cell r="J2701" t="str">
            <v>bueno</v>
          </cell>
          <cell r="K2701" t="str">
            <v>defsi</v>
          </cell>
        </row>
        <row r="2702">
          <cell r="B2702" t="b">
            <v>1</v>
          </cell>
          <cell r="E2702" t="str">
            <v>Tierra Baja</v>
          </cell>
          <cell r="H2702" t="str">
            <v>consulta_externa</v>
          </cell>
          <cell r="J2702" t="str">
            <v>bueno</v>
          </cell>
          <cell r="K2702" t="str">
            <v>probsi</v>
          </cell>
        </row>
        <row r="2703">
          <cell r="B2703" t="b">
            <v>1</v>
          </cell>
          <cell r="E2703" t="str">
            <v>Candelaria</v>
          </cell>
          <cell r="H2703" t="str">
            <v>salud_oral</v>
          </cell>
          <cell r="J2703" t="str">
            <v>bueno</v>
          </cell>
          <cell r="K2703" t="str">
            <v>defsi</v>
          </cell>
        </row>
        <row r="2704">
          <cell r="B2704" t="b">
            <v>1</v>
          </cell>
          <cell r="E2704" t="str">
            <v>Tierra Baja</v>
          </cell>
          <cell r="H2704" t="str">
            <v>salud_oral</v>
          </cell>
          <cell r="J2704" t="str">
            <v>bueno</v>
          </cell>
          <cell r="K2704" t="str">
            <v>probsi</v>
          </cell>
        </row>
        <row r="2705">
          <cell r="B2705" t="b">
            <v>1</v>
          </cell>
          <cell r="E2705" t="str">
            <v>Bayunca</v>
          </cell>
          <cell r="H2705" t="str">
            <v>consulta_externa</v>
          </cell>
          <cell r="J2705" t="str">
            <v>bueno</v>
          </cell>
          <cell r="K2705" t="str">
            <v>probsi</v>
          </cell>
        </row>
        <row r="2706">
          <cell r="B2706" t="b">
            <v>1</v>
          </cell>
          <cell r="E2706" t="str">
            <v>Bayunca</v>
          </cell>
          <cell r="H2706" t="str">
            <v>laboratorio</v>
          </cell>
          <cell r="J2706" t="str">
            <v>bueno</v>
          </cell>
          <cell r="K2706" t="str">
            <v>probsi</v>
          </cell>
        </row>
        <row r="2707">
          <cell r="B2707" t="b">
            <v>1</v>
          </cell>
          <cell r="E2707" t="str">
            <v>Bayunca</v>
          </cell>
          <cell r="H2707" t="str">
            <v>consulta_externa</v>
          </cell>
          <cell r="J2707" t="str">
            <v>bueno</v>
          </cell>
          <cell r="K2707" t="str">
            <v>probsi</v>
          </cell>
        </row>
        <row r="2708">
          <cell r="B2708" t="b">
            <v>1</v>
          </cell>
          <cell r="E2708" t="str">
            <v>Bayunca</v>
          </cell>
          <cell r="H2708" t="str">
            <v>laboratorio</v>
          </cell>
          <cell r="J2708" t="str">
            <v>bueno</v>
          </cell>
          <cell r="K2708" t="str">
            <v>probsi</v>
          </cell>
        </row>
        <row r="2709">
          <cell r="B2709" t="b">
            <v>1</v>
          </cell>
          <cell r="E2709" t="str">
            <v>Bayunca</v>
          </cell>
          <cell r="H2709" t="str">
            <v>consulta_externa</v>
          </cell>
          <cell r="J2709" t="str">
            <v>bueno</v>
          </cell>
          <cell r="K2709" t="str">
            <v>probsi</v>
          </cell>
        </row>
        <row r="2710">
          <cell r="B2710" t="b">
            <v>1</v>
          </cell>
          <cell r="E2710" t="str">
            <v>Bayunca</v>
          </cell>
          <cell r="H2710" t="str">
            <v>salud_oral</v>
          </cell>
          <cell r="J2710" t="str">
            <v>bueno</v>
          </cell>
          <cell r="K2710" t="str">
            <v>probsi</v>
          </cell>
        </row>
        <row r="2711">
          <cell r="B2711" t="b">
            <v>1</v>
          </cell>
          <cell r="E2711" t="str">
            <v>Bayunca</v>
          </cell>
          <cell r="H2711" t="str">
            <v>laboratorio</v>
          </cell>
          <cell r="J2711" t="str">
            <v>bueno</v>
          </cell>
          <cell r="K2711" t="str">
            <v>probsi</v>
          </cell>
        </row>
        <row r="2712">
          <cell r="B2712" t="b">
            <v>1</v>
          </cell>
          <cell r="E2712" t="str">
            <v>Bayunca</v>
          </cell>
          <cell r="H2712" t="str">
            <v>consulta_externa</v>
          </cell>
          <cell r="J2712" t="str">
            <v>bueno</v>
          </cell>
          <cell r="K2712" t="str">
            <v>probsi</v>
          </cell>
        </row>
        <row r="2713">
          <cell r="B2713" t="b">
            <v>1</v>
          </cell>
          <cell r="E2713" t="str">
            <v>Bayunca</v>
          </cell>
          <cell r="H2713" t="str">
            <v>salud_oral</v>
          </cell>
          <cell r="J2713" t="str">
            <v>bueno</v>
          </cell>
          <cell r="K2713" t="str">
            <v>probsi</v>
          </cell>
        </row>
        <row r="2714">
          <cell r="B2714" t="b">
            <v>1</v>
          </cell>
          <cell r="E2714" t="str">
            <v>Bayunca</v>
          </cell>
          <cell r="H2714" t="str">
            <v>laboratorio</v>
          </cell>
          <cell r="J2714" t="str">
            <v>bueno</v>
          </cell>
          <cell r="K2714" t="str">
            <v>probsi</v>
          </cell>
        </row>
        <row r="2715">
          <cell r="B2715" t="b">
            <v>0</v>
          </cell>
          <cell r="E2715" t="str">
            <v>Bayunca</v>
          </cell>
          <cell r="H2715" t="str">
            <v>consulta_externa</v>
          </cell>
          <cell r="J2715" t="str">
            <v>regular</v>
          </cell>
          <cell r="K2715" t="str">
            <v>probsi</v>
          </cell>
        </row>
        <row r="2716">
          <cell r="B2716" t="b">
            <v>1</v>
          </cell>
          <cell r="E2716" t="str">
            <v>Bayunca</v>
          </cell>
          <cell r="H2716" t="str">
            <v>consulta_externa</v>
          </cell>
          <cell r="J2716" t="str">
            <v>bueno</v>
          </cell>
          <cell r="K2716" t="str">
            <v>probsi</v>
          </cell>
        </row>
        <row r="2717">
          <cell r="B2717" t="b">
            <v>0</v>
          </cell>
          <cell r="E2717" t="str">
            <v>Tierra Baja</v>
          </cell>
          <cell r="H2717" t="str">
            <v>consulta_externa</v>
          </cell>
          <cell r="J2717" t="str">
            <v>regular</v>
          </cell>
          <cell r="K2717" t="str">
            <v>probsi</v>
          </cell>
        </row>
        <row r="2718">
          <cell r="B2718" t="b">
            <v>0</v>
          </cell>
          <cell r="E2718" t="str">
            <v>Tierra Baja</v>
          </cell>
          <cell r="H2718" t="str">
            <v>consulta_externa</v>
          </cell>
          <cell r="J2718" t="str">
            <v>regular</v>
          </cell>
          <cell r="K2718" t="str">
            <v>probsi</v>
          </cell>
        </row>
        <row r="2719">
          <cell r="B2719" t="b">
            <v>1</v>
          </cell>
          <cell r="E2719" t="str">
            <v>Bayunca</v>
          </cell>
          <cell r="H2719" t="str">
            <v>salud_oral</v>
          </cell>
          <cell r="J2719" t="str">
            <v>bueno</v>
          </cell>
          <cell r="K2719" t="str">
            <v>probsi</v>
          </cell>
        </row>
        <row r="2720">
          <cell r="B2720" t="b">
            <v>1</v>
          </cell>
          <cell r="E2720" t="str">
            <v>Bayunca</v>
          </cell>
          <cell r="H2720" t="str">
            <v>consulta_externa</v>
          </cell>
          <cell r="J2720" t="str">
            <v>bueno</v>
          </cell>
          <cell r="K2720" t="str">
            <v>probsi</v>
          </cell>
        </row>
        <row r="2721">
          <cell r="B2721" t="b">
            <v>1</v>
          </cell>
          <cell r="E2721" t="str">
            <v>Bayunca</v>
          </cell>
          <cell r="H2721" t="str">
            <v>salud_oral</v>
          </cell>
          <cell r="J2721" t="str">
            <v>bueno</v>
          </cell>
          <cell r="K2721" t="str">
            <v>probsi</v>
          </cell>
        </row>
        <row r="2722">
          <cell r="B2722" t="b">
            <v>1</v>
          </cell>
          <cell r="E2722" t="str">
            <v>Bayunca</v>
          </cell>
          <cell r="H2722" t="str">
            <v>laboratorio</v>
          </cell>
          <cell r="J2722" t="str">
            <v>bueno</v>
          </cell>
          <cell r="K2722" t="str">
            <v>probsi</v>
          </cell>
        </row>
        <row r="2723">
          <cell r="B2723" t="b">
            <v>1</v>
          </cell>
          <cell r="E2723" t="str">
            <v>Bayunca</v>
          </cell>
          <cell r="H2723" t="str">
            <v>consulta_externa</v>
          </cell>
          <cell r="J2723" t="str">
            <v>bueno</v>
          </cell>
          <cell r="K2723" t="str">
            <v>probsi</v>
          </cell>
        </row>
        <row r="2724">
          <cell r="B2724" t="b">
            <v>1</v>
          </cell>
          <cell r="E2724" t="str">
            <v>Bayunca</v>
          </cell>
          <cell r="H2724" t="str">
            <v>salud_oral</v>
          </cell>
          <cell r="J2724" t="str">
            <v>bueno</v>
          </cell>
          <cell r="K2724" t="str">
            <v>probsi</v>
          </cell>
        </row>
        <row r="2725">
          <cell r="B2725" t="b">
            <v>1</v>
          </cell>
          <cell r="E2725" t="str">
            <v>Bayunca</v>
          </cell>
          <cell r="H2725" t="str">
            <v>laboratorio</v>
          </cell>
          <cell r="J2725" t="str">
            <v>bueno</v>
          </cell>
          <cell r="K2725" t="str">
            <v>probsi</v>
          </cell>
        </row>
        <row r="2726">
          <cell r="B2726" t="b">
            <v>1</v>
          </cell>
          <cell r="E2726" t="str">
            <v>Bayunca</v>
          </cell>
          <cell r="H2726" t="str">
            <v>consulta_externa</v>
          </cell>
          <cell r="J2726" t="str">
            <v>bueno</v>
          </cell>
          <cell r="K2726" t="str">
            <v>probsi</v>
          </cell>
        </row>
        <row r="2727">
          <cell r="B2727" t="b">
            <v>1</v>
          </cell>
          <cell r="E2727" t="str">
            <v>Bayunca</v>
          </cell>
          <cell r="H2727" t="str">
            <v>laboratorio</v>
          </cell>
          <cell r="J2727" t="str">
            <v>bueno</v>
          </cell>
          <cell r="K2727" t="str">
            <v>probsi</v>
          </cell>
        </row>
        <row r="2728">
          <cell r="B2728" t="b">
            <v>1</v>
          </cell>
          <cell r="E2728" t="str">
            <v>Candelaria</v>
          </cell>
          <cell r="H2728" t="str">
            <v>consulta_externa</v>
          </cell>
          <cell r="J2728" t="str">
            <v>bueno</v>
          </cell>
          <cell r="K2728" t="str">
            <v>defsi</v>
          </cell>
        </row>
        <row r="2729">
          <cell r="B2729" t="b">
            <v>1</v>
          </cell>
          <cell r="E2729" t="str">
            <v>Candelaria</v>
          </cell>
          <cell r="H2729" t="str">
            <v>laboratorio</v>
          </cell>
          <cell r="J2729" t="str">
            <v>bueno</v>
          </cell>
          <cell r="K2729" t="str">
            <v>defsi</v>
          </cell>
        </row>
        <row r="2730">
          <cell r="B2730" t="b">
            <v>1</v>
          </cell>
          <cell r="E2730" t="str">
            <v>Candelaria</v>
          </cell>
          <cell r="H2730" t="str">
            <v>laboratorio</v>
          </cell>
          <cell r="J2730" t="str">
            <v>bueno</v>
          </cell>
          <cell r="K2730" t="str">
            <v>defsi</v>
          </cell>
        </row>
        <row r="2731">
          <cell r="B2731" t="b">
            <v>1</v>
          </cell>
          <cell r="E2731" t="str">
            <v>Candelaria</v>
          </cell>
          <cell r="H2731" t="str">
            <v>consulta_externa</v>
          </cell>
          <cell r="J2731" t="str">
            <v>bueno</v>
          </cell>
          <cell r="K2731" t="str">
            <v>defsi</v>
          </cell>
        </row>
        <row r="2732">
          <cell r="B2732" t="b">
            <v>1</v>
          </cell>
          <cell r="E2732" t="str">
            <v>Candelaria</v>
          </cell>
          <cell r="H2732" t="str">
            <v>laboratorio</v>
          </cell>
          <cell r="J2732" t="str">
            <v>bueno</v>
          </cell>
          <cell r="K2732" t="str">
            <v>defsi</v>
          </cell>
        </row>
        <row r="2733">
          <cell r="B2733" t="b">
            <v>0</v>
          </cell>
          <cell r="E2733" t="str">
            <v>Bayunca</v>
          </cell>
          <cell r="H2733" t="str">
            <v>consulta_externa</v>
          </cell>
          <cell r="J2733" t="str">
            <v>regular</v>
          </cell>
          <cell r="K2733" t="str">
            <v>probsi</v>
          </cell>
        </row>
        <row r="2734">
          <cell r="B2734" t="b">
            <v>1</v>
          </cell>
          <cell r="E2734" t="str">
            <v>Bayunca</v>
          </cell>
          <cell r="H2734" t="str">
            <v>salud_oral</v>
          </cell>
          <cell r="J2734" t="str">
            <v>bueno</v>
          </cell>
          <cell r="K2734" t="str">
            <v>probsi</v>
          </cell>
        </row>
        <row r="2735">
          <cell r="B2735" t="b">
            <v>1</v>
          </cell>
          <cell r="E2735" t="str">
            <v>Bayunca</v>
          </cell>
          <cell r="H2735" t="str">
            <v>laboratorio</v>
          </cell>
          <cell r="J2735" t="str">
            <v>bueno</v>
          </cell>
          <cell r="K2735" t="str">
            <v>probsi</v>
          </cell>
        </row>
        <row r="2736">
          <cell r="B2736" t="b">
            <v>0</v>
          </cell>
          <cell r="E2736" t="str">
            <v>Bayunca</v>
          </cell>
          <cell r="H2736" t="str">
            <v>urgencia</v>
          </cell>
          <cell r="J2736" t="str">
            <v>regular</v>
          </cell>
          <cell r="K2736" t="str">
            <v>probsi</v>
          </cell>
        </row>
        <row r="2737">
          <cell r="B2737" t="b">
            <v>1</v>
          </cell>
          <cell r="E2737" t="str">
            <v>Candelaria</v>
          </cell>
          <cell r="H2737" t="str">
            <v>consulta_externa</v>
          </cell>
          <cell r="J2737" t="str">
            <v>bueno</v>
          </cell>
          <cell r="K2737" t="str">
            <v>defsi</v>
          </cell>
        </row>
        <row r="2738">
          <cell r="B2738" t="b">
            <v>1</v>
          </cell>
          <cell r="E2738" t="str">
            <v>Candelaria</v>
          </cell>
          <cell r="H2738" t="str">
            <v>consulta_externa</v>
          </cell>
          <cell r="J2738" t="str">
            <v>muybueno</v>
          </cell>
          <cell r="K2738" t="str">
            <v>defsi</v>
          </cell>
        </row>
        <row r="2739">
          <cell r="B2739" t="b">
            <v>1</v>
          </cell>
          <cell r="E2739" t="str">
            <v>Candelaria</v>
          </cell>
          <cell r="H2739" t="str">
            <v>consulta_externa</v>
          </cell>
          <cell r="J2739" t="str">
            <v>muybueno</v>
          </cell>
          <cell r="K2739" t="str">
            <v>defsi</v>
          </cell>
        </row>
        <row r="2740">
          <cell r="B2740" t="b">
            <v>1</v>
          </cell>
          <cell r="E2740" t="str">
            <v>Candelaria</v>
          </cell>
          <cell r="H2740" t="str">
            <v>consulta_externa</v>
          </cell>
          <cell r="J2740" t="str">
            <v>muybueno</v>
          </cell>
          <cell r="K2740" t="str">
            <v>defsi</v>
          </cell>
        </row>
        <row r="2741">
          <cell r="B2741" t="b">
            <v>1</v>
          </cell>
          <cell r="E2741" t="str">
            <v>Candelaria</v>
          </cell>
          <cell r="H2741" t="str">
            <v>laboratorio</v>
          </cell>
          <cell r="J2741" t="str">
            <v>muybueno</v>
          </cell>
          <cell r="K2741" t="str">
            <v>defsi</v>
          </cell>
        </row>
        <row r="2742">
          <cell r="B2742" t="b">
            <v>1</v>
          </cell>
          <cell r="E2742" t="str">
            <v>Candelaria</v>
          </cell>
          <cell r="H2742" t="str">
            <v>laboratorio</v>
          </cell>
          <cell r="J2742" t="str">
            <v>muybueno</v>
          </cell>
          <cell r="K2742" t="str">
            <v>defsi</v>
          </cell>
        </row>
        <row r="2743">
          <cell r="B2743" t="b">
            <v>1</v>
          </cell>
          <cell r="E2743" t="str">
            <v>Candelaria</v>
          </cell>
          <cell r="H2743" t="str">
            <v>laboratorio</v>
          </cell>
          <cell r="J2743" t="str">
            <v>bueno</v>
          </cell>
          <cell r="K2743" t="str">
            <v>defsi</v>
          </cell>
        </row>
        <row r="2744">
          <cell r="B2744" t="b">
            <v>1</v>
          </cell>
          <cell r="E2744" t="str">
            <v>Candelaria</v>
          </cell>
          <cell r="H2744" t="str">
            <v>consulta_externa</v>
          </cell>
          <cell r="J2744" t="str">
            <v>bueno</v>
          </cell>
          <cell r="K2744" t="str">
            <v>defsi</v>
          </cell>
        </row>
        <row r="2745">
          <cell r="B2745" t="b">
            <v>1</v>
          </cell>
          <cell r="E2745" t="str">
            <v>Candelaria</v>
          </cell>
          <cell r="H2745" t="str">
            <v>salud_oral</v>
          </cell>
          <cell r="J2745" t="str">
            <v>bueno</v>
          </cell>
          <cell r="K2745" t="str">
            <v>defsi</v>
          </cell>
        </row>
        <row r="2746">
          <cell r="B2746" t="b">
            <v>1</v>
          </cell>
          <cell r="E2746" t="str">
            <v>Bayunca</v>
          </cell>
          <cell r="H2746" t="str">
            <v>consulta_externa</v>
          </cell>
          <cell r="J2746" t="str">
            <v>bueno</v>
          </cell>
          <cell r="K2746" t="str">
            <v>probsi</v>
          </cell>
        </row>
        <row r="2747">
          <cell r="B2747" t="b">
            <v>1</v>
          </cell>
          <cell r="E2747" t="str">
            <v>Candelaria</v>
          </cell>
          <cell r="H2747" t="str">
            <v>salud_oral</v>
          </cell>
          <cell r="J2747" t="str">
            <v>bueno</v>
          </cell>
          <cell r="K2747" t="str">
            <v>defsi</v>
          </cell>
        </row>
        <row r="2748">
          <cell r="B2748" t="b">
            <v>1</v>
          </cell>
          <cell r="E2748" t="str">
            <v>Bayunca</v>
          </cell>
          <cell r="H2748" t="str">
            <v>salud_oral</v>
          </cell>
          <cell r="J2748" t="str">
            <v>bueno</v>
          </cell>
          <cell r="K2748" t="str">
            <v>probsi</v>
          </cell>
        </row>
        <row r="2749">
          <cell r="B2749" t="b">
            <v>1</v>
          </cell>
          <cell r="E2749" t="str">
            <v>Bayunca</v>
          </cell>
          <cell r="H2749" t="str">
            <v>urgencia</v>
          </cell>
          <cell r="J2749" t="str">
            <v>muybueno</v>
          </cell>
          <cell r="K2749" t="str">
            <v>probsi</v>
          </cell>
        </row>
        <row r="2750">
          <cell r="B2750" t="b">
            <v>1</v>
          </cell>
          <cell r="E2750" t="str">
            <v>Bayunca</v>
          </cell>
          <cell r="H2750" t="str">
            <v>consulta_externa</v>
          </cell>
          <cell r="J2750" t="str">
            <v>bueno</v>
          </cell>
          <cell r="K2750" t="str">
            <v>probsi</v>
          </cell>
        </row>
        <row r="2751">
          <cell r="B2751" t="b">
            <v>1</v>
          </cell>
          <cell r="E2751" t="str">
            <v>Candelaria</v>
          </cell>
          <cell r="H2751" t="str">
            <v>salud_oral</v>
          </cell>
          <cell r="J2751" t="str">
            <v>bueno</v>
          </cell>
          <cell r="K2751" t="str">
            <v>defsi</v>
          </cell>
        </row>
        <row r="2752">
          <cell r="B2752" t="b">
            <v>1</v>
          </cell>
          <cell r="E2752" t="str">
            <v>Bayunca</v>
          </cell>
          <cell r="H2752" t="str">
            <v>laboratorio</v>
          </cell>
          <cell r="J2752" t="str">
            <v>bueno</v>
          </cell>
          <cell r="K2752" t="str">
            <v>probsi</v>
          </cell>
        </row>
        <row r="2753">
          <cell r="B2753" t="b">
            <v>1</v>
          </cell>
          <cell r="E2753" t="str">
            <v>Bayunca</v>
          </cell>
          <cell r="H2753" t="str">
            <v>salud_oral</v>
          </cell>
          <cell r="J2753" t="str">
            <v>bueno</v>
          </cell>
          <cell r="K2753" t="str">
            <v>probsi</v>
          </cell>
        </row>
        <row r="2754">
          <cell r="B2754" t="b">
            <v>1</v>
          </cell>
          <cell r="E2754" t="str">
            <v>San Vicente de Paul</v>
          </cell>
          <cell r="H2754" t="str">
            <v>consulta_externa</v>
          </cell>
          <cell r="J2754" t="str">
            <v>bueno</v>
          </cell>
          <cell r="K2754" t="str">
            <v>defsi</v>
          </cell>
        </row>
        <row r="2755">
          <cell r="B2755" t="b">
            <v>1</v>
          </cell>
          <cell r="E2755" t="str">
            <v>Bayunca</v>
          </cell>
          <cell r="H2755" t="str">
            <v>ecografias</v>
          </cell>
          <cell r="J2755" t="str">
            <v>bueno</v>
          </cell>
          <cell r="K2755" t="str">
            <v>probsi</v>
          </cell>
        </row>
        <row r="2756">
          <cell r="B2756" t="b">
            <v>1</v>
          </cell>
          <cell r="E2756" t="str">
            <v>Bayunca</v>
          </cell>
          <cell r="H2756" t="str">
            <v>pediatria</v>
          </cell>
          <cell r="J2756" t="str">
            <v>bueno</v>
          </cell>
          <cell r="K2756" t="str">
            <v>probsi</v>
          </cell>
        </row>
        <row r="2757">
          <cell r="B2757" t="b">
            <v>1</v>
          </cell>
          <cell r="E2757" t="str">
            <v>Candelaria</v>
          </cell>
          <cell r="H2757" t="str">
            <v>salud_oral</v>
          </cell>
          <cell r="J2757" t="str">
            <v>bueno</v>
          </cell>
          <cell r="K2757" t="str">
            <v>defsi</v>
          </cell>
        </row>
        <row r="2758">
          <cell r="B2758" t="b">
            <v>1</v>
          </cell>
          <cell r="E2758" t="str">
            <v>Bayunca</v>
          </cell>
          <cell r="H2758" t="str">
            <v>consulta_externa</v>
          </cell>
          <cell r="J2758" t="str">
            <v>bueno</v>
          </cell>
          <cell r="K2758" t="str">
            <v>probsi</v>
          </cell>
        </row>
        <row r="2759">
          <cell r="B2759" t="b">
            <v>1</v>
          </cell>
          <cell r="E2759" t="str">
            <v>Bayunca</v>
          </cell>
          <cell r="H2759" t="str">
            <v>salud_oral</v>
          </cell>
          <cell r="J2759" t="str">
            <v>bueno</v>
          </cell>
          <cell r="K2759" t="str">
            <v>probsi</v>
          </cell>
        </row>
        <row r="2760">
          <cell r="B2760" t="b">
            <v>1</v>
          </cell>
          <cell r="E2760" t="str">
            <v>Bayunca</v>
          </cell>
          <cell r="H2760" t="str">
            <v>ecografias</v>
          </cell>
          <cell r="J2760" t="str">
            <v>bueno</v>
          </cell>
          <cell r="K2760" t="str">
            <v>probsi</v>
          </cell>
        </row>
        <row r="2761">
          <cell r="B2761" t="b">
            <v>1</v>
          </cell>
          <cell r="E2761" t="str">
            <v>Bayunca</v>
          </cell>
          <cell r="H2761" t="str">
            <v>urgencia</v>
          </cell>
          <cell r="J2761" t="str">
            <v>bueno</v>
          </cell>
          <cell r="K2761" t="str">
            <v>probsi</v>
          </cell>
        </row>
        <row r="2762">
          <cell r="B2762" t="b">
            <v>1</v>
          </cell>
          <cell r="E2762" t="str">
            <v>Bayunca</v>
          </cell>
          <cell r="H2762" t="str">
            <v>consulta_externa</v>
          </cell>
          <cell r="J2762" t="str">
            <v>bueno</v>
          </cell>
          <cell r="K2762" t="str">
            <v>probsi</v>
          </cell>
        </row>
        <row r="2763">
          <cell r="B2763" t="b">
            <v>1</v>
          </cell>
          <cell r="E2763" t="str">
            <v>Bayunca</v>
          </cell>
          <cell r="H2763" t="str">
            <v>ecografias</v>
          </cell>
          <cell r="J2763" t="str">
            <v>bueno</v>
          </cell>
          <cell r="K2763" t="str">
            <v>probsi</v>
          </cell>
        </row>
        <row r="2764">
          <cell r="B2764" t="b">
            <v>1</v>
          </cell>
          <cell r="E2764" t="str">
            <v>San Vicente de Paul</v>
          </cell>
          <cell r="H2764" t="str">
            <v>salud_oral</v>
          </cell>
          <cell r="J2764" t="str">
            <v>bueno</v>
          </cell>
          <cell r="K2764" t="str">
            <v>defsi</v>
          </cell>
        </row>
        <row r="2765">
          <cell r="B2765" t="b">
            <v>1</v>
          </cell>
          <cell r="E2765" t="str">
            <v>Bayunca</v>
          </cell>
          <cell r="H2765" t="str">
            <v>consulta_externa</v>
          </cell>
          <cell r="J2765" t="str">
            <v>bueno</v>
          </cell>
          <cell r="K2765" t="str">
            <v>probsi</v>
          </cell>
        </row>
        <row r="2766">
          <cell r="B2766" t="b">
            <v>1</v>
          </cell>
          <cell r="E2766" t="str">
            <v>Bayunca</v>
          </cell>
          <cell r="H2766" t="str">
            <v>ecografias</v>
          </cell>
          <cell r="J2766" t="str">
            <v>bueno</v>
          </cell>
          <cell r="K2766" t="str">
            <v>probsi</v>
          </cell>
        </row>
        <row r="2767">
          <cell r="B2767" t="b">
            <v>0</v>
          </cell>
          <cell r="E2767" t="str">
            <v>Bayunca</v>
          </cell>
          <cell r="H2767" t="str">
            <v>urgencia</v>
          </cell>
          <cell r="J2767" t="str">
            <v>regular</v>
          </cell>
          <cell r="K2767" t="str">
            <v>probsi</v>
          </cell>
        </row>
        <row r="2768">
          <cell r="B2768" t="b">
            <v>1</v>
          </cell>
          <cell r="E2768" t="str">
            <v>San Vicente de Paul</v>
          </cell>
          <cell r="H2768" t="str">
            <v>laboratorio</v>
          </cell>
          <cell r="J2768" t="str">
            <v>bueno</v>
          </cell>
          <cell r="K2768" t="str">
            <v>defsi</v>
          </cell>
        </row>
        <row r="2769">
          <cell r="B2769" t="b">
            <v>1</v>
          </cell>
          <cell r="E2769" t="str">
            <v>San Vicente de Paul</v>
          </cell>
          <cell r="H2769" t="str">
            <v>consulta_externa</v>
          </cell>
          <cell r="J2769" t="str">
            <v>bueno</v>
          </cell>
          <cell r="K2769" t="str">
            <v>defsi</v>
          </cell>
        </row>
        <row r="2770">
          <cell r="B2770" t="b">
            <v>1</v>
          </cell>
          <cell r="E2770" t="str">
            <v>San Vicente de Paul</v>
          </cell>
          <cell r="H2770" t="str">
            <v>salud_oral</v>
          </cell>
          <cell r="J2770" t="str">
            <v>bueno</v>
          </cell>
          <cell r="K2770" t="str">
            <v>defsi</v>
          </cell>
        </row>
        <row r="2771">
          <cell r="B2771" t="b">
            <v>1</v>
          </cell>
          <cell r="E2771" t="str">
            <v>San Vicente de Paul</v>
          </cell>
          <cell r="H2771" t="str">
            <v>laboratorio</v>
          </cell>
          <cell r="J2771" t="str">
            <v>bueno</v>
          </cell>
          <cell r="K2771" t="str">
            <v>defsi</v>
          </cell>
        </row>
        <row r="2772">
          <cell r="B2772" t="b">
            <v>1</v>
          </cell>
          <cell r="E2772" t="str">
            <v>San Vicente de Paul</v>
          </cell>
          <cell r="H2772" t="str">
            <v>consulta_externa</v>
          </cell>
          <cell r="J2772" t="str">
            <v>bueno</v>
          </cell>
          <cell r="K2772" t="str">
            <v>defsi</v>
          </cell>
        </row>
        <row r="2773">
          <cell r="B2773" t="b">
            <v>1</v>
          </cell>
          <cell r="E2773" t="str">
            <v>San Vicente de Paul</v>
          </cell>
          <cell r="H2773" t="str">
            <v>salud_oral</v>
          </cell>
          <cell r="J2773" t="str">
            <v>bueno</v>
          </cell>
          <cell r="K2773" t="str">
            <v>defsi</v>
          </cell>
        </row>
        <row r="2774">
          <cell r="B2774" t="b">
            <v>1</v>
          </cell>
          <cell r="E2774" t="str">
            <v>San Vicente de Paul</v>
          </cell>
          <cell r="H2774" t="str">
            <v>laboratorio</v>
          </cell>
          <cell r="J2774" t="str">
            <v>bueno</v>
          </cell>
          <cell r="K2774" t="str">
            <v>defsi</v>
          </cell>
        </row>
        <row r="2775">
          <cell r="B2775" t="b">
            <v>1</v>
          </cell>
          <cell r="E2775" t="str">
            <v>Bayunca</v>
          </cell>
          <cell r="H2775" t="str">
            <v>urgencia</v>
          </cell>
          <cell r="J2775" t="str">
            <v>bueno</v>
          </cell>
          <cell r="K2775" t="str">
            <v>probsi</v>
          </cell>
        </row>
        <row r="2776">
          <cell r="B2776" t="b">
            <v>0</v>
          </cell>
          <cell r="E2776" t="str">
            <v>Bayunca</v>
          </cell>
          <cell r="H2776" t="str">
            <v>urgencia</v>
          </cell>
          <cell r="J2776" t="str">
            <v>regular</v>
          </cell>
          <cell r="K2776" t="str">
            <v>probsi</v>
          </cell>
        </row>
        <row r="2777">
          <cell r="B2777" t="b">
            <v>1</v>
          </cell>
          <cell r="E2777" t="str">
            <v>Bayunca</v>
          </cell>
          <cell r="H2777" t="str">
            <v>urgencia</v>
          </cell>
          <cell r="J2777" t="str">
            <v>bueno</v>
          </cell>
          <cell r="K2777" t="str">
            <v>probsi</v>
          </cell>
        </row>
        <row r="2778">
          <cell r="B2778" t="b">
            <v>1</v>
          </cell>
          <cell r="E2778" t="str">
            <v>Tierra Baja</v>
          </cell>
          <cell r="H2778" t="str">
            <v>consulta_externa</v>
          </cell>
          <cell r="J2778" t="str">
            <v>bueno</v>
          </cell>
          <cell r="K2778" t="str">
            <v>probsi</v>
          </cell>
        </row>
        <row r="2779">
          <cell r="B2779" t="b">
            <v>1</v>
          </cell>
          <cell r="E2779" t="str">
            <v>San Vicente de Paul</v>
          </cell>
          <cell r="H2779" t="str">
            <v>consulta_externa</v>
          </cell>
          <cell r="J2779" t="str">
            <v>bueno</v>
          </cell>
          <cell r="K2779" t="str">
            <v>defsi</v>
          </cell>
        </row>
        <row r="2780">
          <cell r="B2780" t="b">
            <v>1</v>
          </cell>
          <cell r="E2780" t="str">
            <v>Tierra Baja</v>
          </cell>
          <cell r="H2780" t="str">
            <v>salud_oral</v>
          </cell>
          <cell r="J2780" t="str">
            <v>bueno</v>
          </cell>
          <cell r="K2780" t="str">
            <v>probsi</v>
          </cell>
        </row>
        <row r="2781">
          <cell r="B2781" t="b">
            <v>1</v>
          </cell>
          <cell r="E2781" t="str">
            <v>San Vicente de Paul</v>
          </cell>
          <cell r="H2781" t="str">
            <v>salud_oral</v>
          </cell>
          <cell r="J2781" t="str">
            <v>bueno</v>
          </cell>
          <cell r="K2781" t="str">
            <v>defsi</v>
          </cell>
        </row>
        <row r="2782">
          <cell r="B2782" t="b">
            <v>1</v>
          </cell>
          <cell r="E2782" t="str">
            <v>San Vicente de Paul</v>
          </cell>
          <cell r="H2782" t="str">
            <v>laboratorio</v>
          </cell>
          <cell r="J2782" t="str">
            <v>bueno</v>
          </cell>
          <cell r="K2782" t="str">
            <v>defsi</v>
          </cell>
        </row>
        <row r="2783">
          <cell r="B2783" t="b">
            <v>1</v>
          </cell>
          <cell r="E2783" t="str">
            <v>San Vicente de Paul</v>
          </cell>
          <cell r="H2783" t="str">
            <v>consulta_externa</v>
          </cell>
          <cell r="J2783" t="str">
            <v>bueno</v>
          </cell>
          <cell r="K2783" t="str">
            <v>defsi</v>
          </cell>
        </row>
        <row r="2784">
          <cell r="B2784" t="b">
            <v>1</v>
          </cell>
          <cell r="E2784" t="str">
            <v>San Vicente de Paul</v>
          </cell>
          <cell r="H2784" t="str">
            <v>salud_oral</v>
          </cell>
          <cell r="J2784" t="str">
            <v>bueno</v>
          </cell>
          <cell r="K2784" t="str">
            <v>defsi</v>
          </cell>
        </row>
        <row r="2785">
          <cell r="B2785" t="b">
            <v>1</v>
          </cell>
          <cell r="E2785" t="str">
            <v>Tierra Baja</v>
          </cell>
          <cell r="H2785" t="str">
            <v>consulta_externa</v>
          </cell>
          <cell r="J2785" t="str">
            <v>bueno</v>
          </cell>
          <cell r="K2785" t="str">
            <v>probsi</v>
          </cell>
        </row>
        <row r="2786">
          <cell r="B2786" t="b">
            <v>1</v>
          </cell>
          <cell r="E2786" t="str">
            <v>Tierra Baja</v>
          </cell>
          <cell r="H2786" t="str">
            <v>salud_oral</v>
          </cell>
          <cell r="J2786" t="str">
            <v>bueno</v>
          </cell>
          <cell r="K2786" t="str">
            <v>probsi</v>
          </cell>
        </row>
        <row r="2787">
          <cell r="B2787" t="b">
            <v>1</v>
          </cell>
          <cell r="E2787" t="str">
            <v>Tierra Baja</v>
          </cell>
          <cell r="H2787" t="str">
            <v>salud_oral</v>
          </cell>
          <cell r="J2787" t="str">
            <v>bueno</v>
          </cell>
          <cell r="K2787" t="str">
            <v>probsi</v>
          </cell>
        </row>
        <row r="2788">
          <cell r="B2788" t="b">
            <v>1</v>
          </cell>
          <cell r="E2788" t="str">
            <v>Tierra Baja</v>
          </cell>
          <cell r="H2788" t="str">
            <v>laboratorio</v>
          </cell>
          <cell r="J2788" t="str">
            <v>bueno</v>
          </cell>
          <cell r="K2788" t="str">
            <v>probsi</v>
          </cell>
        </row>
        <row r="2789">
          <cell r="B2789" t="b">
            <v>1</v>
          </cell>
          <cell r="E2789" t="str">
            <v>Tierra Baja</v>
          </cell>
          <cell r="H2789" t="str">
            <v>laboratorio</v>
          </cell>
          <cell r="J2789" t="str">
            <v>bueno</v>
          </cell>
          <cell r="K2789" t="str">
            <v>probsi</v>
          </cell>
        </row>
        <row r="2790">
          <cell r="B2790" t="b">
            <v>1</v>
          </cell>
          <cell r="E2790" t="str">
            <v>Tierra Baja</v>
          </cell>
          <cell r="H2790" t="str">
            <v>laboratorio</v>
          </cell>
          <cell r="J2790" t="str">
            <v>bueno</v>
          </cell>
          <cell r="K2790" t="str">
            <v>probsi</v>
          </cell>
        </row>
        <row r="2791">
          <cell r="B2791" t="b">
            <v>1</v>
          </cell>
          <cell r="E2791" t="str">
            <v>Tierra Baja</v>
          </cell>
          <cell r="H2791" t="str">
            <v>laboratorio</v>
          </cell>
          <cell r="J2791" t="str">
            <v>bueno</v>
          </cell>
          <cell r="K2791" t="str">
            <v>probsi</v>
          </cell>
        </row>
        <row r="2792">
          <cell r="B2792" t="b">
            <v>0</v>
          </cell>
          <cell r="E2792" t="str">
            <v>Tierra Baja</v>
          </cell>
          <cell r="H2792" t="str">
            <v>laboratorio</v>
          </cell>
          <cell r="J2792" t="str">
            <v>regular</v>
          </cell>
          <cell r="K2792" t="str">
            <v>probsi</v>
          </cell>
        </row>
        <row r="2793">
          <cell r="B2793" t="b">
            <v>1</v>
          </cell>
          <cell r="E2793" t="str">
            <v>San Vicente de Paul</v>
          </cell>
          <cell r="H2793" t="str">
            <v>laboratorio</v>
          </cell>
          <cell r="J2793" t="str">
            <v>bueno</v>
          </cell>
          <cell r="K2793" t="str">
            <v>defsi</v>
          </cell>
        </row>
        <row r="2794">
          <cell r="B2794" t="b">
            <v>1</v>
          </cell>
          <cell r="E2794" t="str">
            <v>San Vicente de Paul</v>
          </cell>
          <cell r="H2794" t="str">
            <v>consulta_externa</v>
          </cell>
          <cell r="J2794" t="str">
            <v>bueno</v>
          </cell>
          <cell r="K2794" t="str">
            <v>defsi</v>
          </cell>
        </row>
        <row r="2795">
          <cell r="B2795" t="b">
            <v>1</v>
          </cell>
          <cell r="E2795" t="str">
            <v>San Vicente de Paul</v>
          </cell>
          <cell r="H2795" t="str">
            <v>salud_oral</v>
          </cell>
          <cell r="J2795" t="str">
            <v>bueno</v>
          </cell>
          <cell r="K2795" t="str">
            <v>defsi</v>
          </cell>
        </row>
        <row r="2796">
          <cell r="B2796" t="b">
            <v>1</v>
          </cell>
          <cell r="E2796" t="str">
            <v>San Vicente de Paul</v>
          </cell>
          <cell r="H2796" t="str">
            <v>laboratorio</v>
          </cell>
          <cell r="J2796" t="str">
            <v>bueno</v>
          </cell>
          <cell r="K2796" t="str">
            <v>defsi</v>
          </cell>
        </row>
        <row r="2797">
          <cell r="B2797" t="b">
            <v>1</v>
          </cell>
          <cell r="E2797" t="str">
            <v>Candelaria</v>
          </cell>
          <cell r="H2797" t="str">
            <v>salud_oral</v>
          </cell>
          <cell r="J2797" t="str">
            <v>bueno</v>
          </cell>
          <cell r="K2797" t="str">
            <v>defsi</v>
          </cell>
        </row>
        <row r="2798">
          <cell r="B2798" t="b">
            <v>1</v>
          </cell>
          <cell r="E2798" t="str">
            <v>Candelaria</v>
          </cell>
          <cell r="H2798" t="str">
            <v>salud_oral</v>
          </cell>
          <cell r="J2798" t="str">
            <v>bueno</v>
          </cell>
          <cell r="K2798" t="str">
            <v>defsi</v>
          </cell>
        </row>
        <row r="2799">
          <cell r="B2799" t="b">
            <v>0</v>
          </cell>
          <cell r="E2799" t="str">
            <v>Candelaria</v>
          </cell>
          <cell r="H2799" t="str">
            <v>urgencia</v>
          </cell>
          <cell r="J2799" t="str">
            <v>regular</v>
          </cell>
          <cell r="K2799" t="str">
            <v>defsi</v>
          </cell>
        </row>
        <row r="2800">
          <cell r="B2800" t="b">
            <v>0</v>
          </cell>
          <cell r="E2800" t="str">
            <v>Candelaria</v>
          </cell>
          <cell r="H2800" t="str">
            <v>urgencia</v>
          </cell>
          <cell r="J2800" t="str">
            <v>regular</v>
          </cell>
          <cell r="K2800" t="str">
            <v>defsi</v>
          </cell>
        </row>
        <row r="2801">
          <cell r="B2801" t="b">
            <v>1</v>
          </cell>
          <cell r="E2801" t="str">
            <v>Candelaria</v>
          </cell>
          <cell r="H2801" t="str">
            <v>urgencia</v>
          </cell>
          <cell r="J2801" t="str">
            <v>bueno</v>
          </cell>
          <cell r="K2801" t="str">
            <v>defsi</v>
          </cell>
        </row>
        <row r="2802">
          <cell r="B2802" t="b">
            <v>0</v>
          </cell>
          <cell r="E2802" t="str">
            <v>Candelaria</v>
          </cell>
          <cell r="H2802" t="str">
            <v>urgencia</v>
          </cell>
          <cell r="J2802" t="str">
            <v>regular</v>
          </cell>
          <cell r="K2802" t="str">
            <v>probsi</v>
          </cell>
        </row>
        <row r="2803">
          <cell r="B2803" t="b">
            <v>1</v>
          </cell>
          <cell r="E2803" t="str">
            <v>San Vicente de Paul</v>
          </cell>
          <cell r="H2803" t="str">
            <v>consulta_externa</v>
          </cell>
          <cell r="J2803" t="str">
            <v>bueno</v>
          </cell>
          <cell r="K2803" t="str">
            <v>defsi</v>
          </cell>
        </row>
        <row r="2804">
          <cell r="B2804" t="b">
            <v>1</v>
          </cell>
          <cell r="E2804" t="str">
            <v>San Vicente de Paul</v>
          </cell>
          <cell r="H2804" t="str">
            <v>salud_oral</v>
          </cell>
          <cell r="J2804" t="str">
            <v>bueno</v>
          </cell>
          <cell r="K2804" t="str">
            <v>defsi</v>
          </cell>
        </row>
        <row r="2805">
          <cell r="B2805" t="b">
            <v>1</v>
          </cell>
          <cell r="E2805" t="str">
            <v>San Vicente de Paul</v>
          </cell>
          <cell r="H2805" t="str">
            <v>laboratorio</v>
          </cell>
          <cell r="J2805" t="str">
            <v>bueno</v>
          </cell>
          <cell r="K2805" t="str">
            <v>defsi</v>
          </cell>
        </row>
        <row r="2806">
          <cell r="B2806" t="b">
            <v>1</v>
          </cell>
          <cell r="E2806" t="str">
            <v>Candelaria</v>
          </cell>
          <cell r="H2806" t="str">
            <v>urgencia</v>
          </cell>
          <cell r="J2806" t="str">
            <v>bueno</v>
          </cell>
          <cell r="K2806" t="str">
            <v>defsi</v>
          </cell>
        </row>
        <row r="2807">
          <cell r="B2807" t="b">
            <v>1</v>
          </cell>
          <cell r="E2807" t="str">
            <v>Candelaria</v>
          </cell>
          <cell r="H2807" t="str">
            <v>urgencia</v>
          </cell>
          <cell r="J2807" t="str">
            <v>bueno</v>
          </cell>
          <cell r="K2807" t="str">
            <v>defsi</v>
          </cell>
        </row>
        <row r="2808">
          <cell r="B2808" t="b">
            <v>1</v>
          </cell>
          <cell r="E2808" t="str">
            <v>San Vicente de Paul</v>
          </cell>
          <cell r="H2808" t="str">
            <v>consulta_externa</v>
          </cell>
          <cell r="J2808" t="str">
            <v>bueno</v>
          </cell>
          <cell r="K2808" t="str">
            <v>defsi</v>
          </cell>
        </row>
        <row r="2809">
          <cell r="B2809" t="b">
            <v>1</v>
          </cell>
          <cell r="E2809" t="str">
            <v>San Vicente de Paul</v>
          </cell>
          <cell r="H2809" t="str">
            <v>salud_oral</v>
          </cell>
          <cell r="J2809" t="str">
            <v>bueno</v>
          </cell>
          <cell r="K2809" t="str">
            <v>defsi</v>
          </cell>
        </row>
        <row r="2810">
          <cell r="B2810" t="b">
            <v>1</v>
          </cell>
          <cell r="E2810" t="str">
            <v>San Vicente de Paul</v>
          </cell>
          <cell r="H2810" t="str">
            <v>laboratorio</v>
          </cell>
          <cell r="J2810" t="str">
            <v>bueno</v>
          </cell>
          <cell r="K2810" t="str">
            <v>defsi</v>
          </cell>
        </row>
        <row r="2811">
          <cell r="B2811" t="b">
            <v>1</v>
          </cell>
          <cell r="E2811" t="str">
            <v>Tierra Baja</v>
          </cell>
          <cell r="H2811" t="str">
            <v>consulta_externa</v>
          </cell>
          <cell r="J2811" t="str">
            <v>bueno</v>
          </cell>
          <cell r="K2811" t="str">
            <v>probsi</v>
          </cell>
        </row>
        <row r="2812">
          <cell r="B2812" t="b">
            <v>1</v>
          </cell>
          <cell r="E2812" t="str">
            <v>Tierra Baja</v>
          </cell>
          <cell r="H2812" t="str">
            <v>salud_oral</v>
          </cell>
          <cell r="J2812" t="str">
            <v>bueno</v>
          </cell>
          <cell r="K2812" t="str">
            <v>probsi</v>
          </cell>
        </row>
        <row r="2813">
          <cell r="B2813" t="b">
            <v>1</v>
          </cell>
          <cell r="E2813" t="str">
            <v>San Vicente de Paul</v>
          </cell>
          <cell r="H2813" t="str">
            <v>consulta_externa</v>
          </cell>
          <cell r="J2813" t="str">
            <v>bueno</v>
          </cell>
          <cell r="K2813" t="str">
            <v>defsi</v>
          </cell>
        </row>
        <row r="2814">
          <cell r="B2814" t="b">
            <v>1</v>
          </cell>
          <cell r="E2814" t="str">
            <v>San Vicente de Paul</v>
          </cell>
          <cell r="H2814" t="str">
            <v>salud_oral</v>
          </cell>
          <cell r="J2814" t="str">
            <v>bueno</v>
          </cell>
          <cell r="K2814" t="str">
            <v>defsi</v>
          </cell>
        </row>
        <row r="2815">
          <cell r="B2815" t="b">
            <v>1</v>
          </cell>
          <cell r="E2815" t="str">
            <v>San Vicente de Paul</v>
          </cell>
          <cell r="H2815" t="str">
            <v>laboratorio</v>
          </cell>
          <cell r="J2815" t="str">
            <v>bueno</v>
          </cell>
          <cell r="K2815" t="str">
            <v>defsi</v>
          </cell>
        </row>
        <row r="2816">
          <cell r="B2816" t="b">
            <v>1</v>
          </cell>
          <cell r="E2816" t="str">
            <v>San Vicente de Paul</v>
          </cell>
          <cell r="H2816" t="str">
            <v>consulta_externa</v>
          </cell>
          <cell r="J2816" t="str">
            <v>bueno</v>
          </cell>
          <cell r="K2816" t="str">
            <v>defsi</v>
          </cell>
        </row>
        <row r="2817">
          <cell r="B2817" t="b">
            <v>1</v>
          </cell>
          <cell r="E2817" t="str">
            <v>San Vicente de Paul</v>
          </cell>
          <cell r="H2817" t="str">
            <v>salud_oral</v>
          </cell>
          <cell r="J2817" t="str">
            <v>bueno</v>
          </cell>
          <cell r="K2817" t="str">
            <v>defsi</v>
          </cell>
        </row>
        <row r="2818">
          <cell r="B2818" t="b">
            <v>1</v>
          </cell>
          <cell r="E2818" t="str">
            <v>San Vicente de Paul</v>
          </cell>
          <cell r="H2818" t="str">
            <v>laboratorio</v>
          </cell>
          <cell r="J2818" t="str">
            <v>bueno</v>
          </cell>
          <cell r="K2818" t="str">
            <v>defsi</v>
          </cell>
        </row>
        <row r="2819">
          <cell r="B2819" t="b">
            <v>1</v>
          </cell>
          <cell r="E2819" t="str">
            <v>San Vicente de Paul</v>
          </cell>
          <cell r="H2819" t="str">
            <v>consulta_externa</v>
          </cell>
          <cell r="J2819" t="str">
            <v>bueno</v>
          </cell>
          <cell r="K2819" t="str">
            <v>defsi</v>
          </cell>
        </row>
        <row r="2820">
          <cell r="B2820" t="b">
            <v>1</v>
          </cell>
          <cell r="E2820" t="str">
            <v>San Vicente de Paul</v>
          </cell>
          <cell r="H2820" t="str">
            <v>salud_oral</v>
          </cell>
          <cell r="J2820" t="str">
            <v>bueno</v>
          </cell>
          <cell r="K2820" t="str">
            <v>defsi</v>
          </cell>
        </row>
        <row r="2821">
          <cell r="B2821" t="b">
            <v>1</v>
          </cell>
          <cell r="E2821" t="str">
            <v>San Vicente de Paul</v>
          </cell>
          <cell r="H2821" t="str">
            <v>laboratorio</v>
          </cell>
          <cell r="J2821" t="str">
            <v>bueno</v>
          </cell>
          <cell r="K2821" t="str">
            <v>defsi</v>
          </cell>
        </row>
        <row r="2822">
          <cell r="B2822" t="b">
            <v>1</v>
          </cell>
          <cell r="E2822" t="str">
            <v>San Vicente de Paul</v>
          </cell>
          <cell r="H2822" t="str">
            <v>consulta_externa</v>
          </cell>
          <cell r="J2822" t="str">
            <v>bueno</v>
          </cell>
          <cell r="K2822" t="str">
            <v>defsi</v>
          </cell>
        </row>
        <row r="2823">
          <cell r="B2823" t="b">
            <v>1</v>
          </cell>
          <cell r="E2823" t="str">
            <v>San Vicente de Paul</v>
          </cell>
          <cell r="H2823" t="str">
            <v>salud_oral</v>
          </cell>
          <cell r="J2823" t="str">
            <v>bueno</v>
          </cell>
          <cell r="K2823" t="str">
            <v>defsi</v>
          </cell>
        </row>
        <row r="2824">
          <cell r="B2824" t="b">
            <v>1</v>
          </cell>
          <cell r="E2824" t="str">
            <v>San Vicente de Paul</v>
          </cell>
          <cell r="H2824" t="str">
            <v>laboratorio</v>
          </cell>
          <cell r="J2824" t="str">
            <v>bueno</v>
          </cell>
          <cell r="K2824" t="str">
            <v>defsi</v>
          </cell>
        </row>
        <row r="2825">
          <cell r="B2825" t="b">
            <v>1</v>
          </cell>
          <cell r="E2825" t="str">
            <v>San Vicente de Paul</v>
          </cell>
          <cell r="H2825" t="str">
            <v>consulta_externa</v>
          </cell>
          <cell r="J2825" t="str">
            <v>bueno</v>
          </cell>
          <cell r="K2825" t="str">
            <v>defsi</v>
          </cell>
        </row>
        <row r="2826">
          <cell r="B2826" t="b">
            <v>1</v>
          </cell>
          <cell r="E2826" t="str">
            <v>San Vicente de Paul</v>
          </cell>
          <cell r="H2826" t="str">
            <v>salud_oral</v>
          </cell>
          <cell r="J2826" t="str">
            <v>bueno</v>
          </cell>
          <cell r="K2826" t="str">
            <v>defsi</v>
          </cell>
        </row>
        <row r="2827">
          <cell r="B2827" t="b">
            <v>1</v>
          </cell>
          <cell r="E2827" t="str">
            <v>San Vicente de Paul</v>
          </cell>
          <cell r="H2827" t="str">
            <v>laboratorio</v>
          </cell>
          <cell r="J2827" t="str">
            <v>bueno</v>
          </cell>
          <cell r="K2827" t="str">
            <v>defsi</v>
          </cell>
        </row>
        <row r="2828">
          <cell r="B2828" t="b">
            <v>1</v>
          </cell>
          <cell r="E2828" t="str">
            <v>Santa Ana</v>
          </cell>
          <cell r="H2828" t="str">
            <v>consulta_externa</v>
          </cell>
          <cell r="J2828" t="str">
            <v>muybueno</v>
          </cell>
          <cell r="K2828" t="str">
            <v>defsi</v>
          </cell>
        </row>
        <row r="2829">
          <cell r="B2829" t="b">
            <v>1</v>
          </cell>
          <cell r="E2829" t="str">
            <v>Santa Ana</v>
          </cell>
          <cell r="H2829" t="str">
            <v>laboratorio</v>
          </cell>
          <cell r="J2829" t="str">
            <v>muybueno</v>
          </cell>
          <cell r="K2829" t="str">
            <v>defsi</v>
          </cell>
        </row>
        <row r="2830">
          <cell r="B2830" t="b">
            <v>1</v>
          </cell>
          <cell r="E2830" t="str">
            <v>Tierra Baja</v>
          </cell>
          <cell r="H2830" t="str">
            <v>consulta_externa</v>
          </cell>
          <cell r="J2830" t="str">
            <v>muybueno</v>
          </cell>
          <cell r="K2830" t="str">
            <v>defsi</v>
          </cell>
        </row>
        <row r="2831">
          <cell r="B2831" t="b">
            <v>1</v>
          </cell>
          <cell r="E2831" t="str">
            <v>Tierra Baja</v>
          </cell>
          <cell r="H2831" t="str">
            <v>salud_oral</v>
          </cell>
          <cell r="J2831" t="str">
            <v>muybueno</v>
          </cell>
          <cell r="K2831" t="str">
            <v>defsi</v>
          </cell>
        </row>
        <row r="2832">
          <cell r="B2832" t="b">
            <v>1</v>
          </cell>
          <cell r="E2832" t="str">
            <v>Tierra Baja</v>
          </cell>
          <cell r="H2832" t="str">
            <v>laboratorio</v>
          </cell>
          <cell r="J2832" t="str">
            <v>bueno</v>
          </cell>
          <cell r="K2832" t="str">
            <v>probsi</v>
          </cell>
        </row>
        <row r="2833">
          <cell r="B2833" t="b">
            <v>1</v>
          </cell>
          <cell r="E2833" t="str">
            <v>Tierra Baja</v>
          </cell>
          <cell r="H2833" t="str">
            <v>laboratorio</v>
          </cell>
          <cell r="J2833" t="str">
            <v>bueno</v>
          </cell>
          <cell r="K2833" t="str">
            <v>probsi</v>
          </cell>
        </row>
        <row r="2834">
          <cell r="B2834" t="b">
            <v>1</v>
          </cell>
          <cell r="E2834" t="str">
            <v>Tierra Baja</v>
          </cell>
          <cell r="H2834" t="str">
            <v>laboratorio</v>
          </cell>
          <cell r="J2834" t="str">
            <v>bueno</v>
          </cell>
          <cell r="K2834" t="str">
            <v>probsi</v>
          </cell>
        </row>
        <row r="2835">
          <cell r="B2835" t="b">
            <v>1</v>
          </cell>
          <cell r="E2835" t="str">
            <v>Tierra Baja</v>
          </cell>
          <cell r="H2835" t="str">
            <v>laboratorio</v>
          </cell>
          <cell r="J2835" t="str">
            <v>bueno</v>
          </cell>
          <cell r="K2835" t="str">
            <v>probsi</v>
          </cell>
        </row>
        <row r="2836">
          <cell r="B2836" t="b">
            <v>1</v>
          </cell>
          <cell r="E2836" t="str">
            <v>Tierra Baja</v>
          </cell>
          <cell r="H2836" t="str">
            <v>laboratorio</v>
          </cell>
          <cell r="J2836" t="str">
            <v>bueno</v>
          </cell>
          <cell r="K2836" t="str">
            <v>probsi</v>
          </cell>
        </row>
        <row r="2837">
          <cell r="B2837" t="b">
            <v>1</v>
          </cell>
          <cell r="E2837" t="str">
            <v>Tierra Baja</v>
          </cell>
          <cell r="H2837" t="str">
            <v>laboratorio</v>
          </cell>
          <cell r="J2837" t="str">
            <v>bueno</v>
          </cell>
          <cell r="K2837" t="str">
            <v>probsi</v>
          </cell>
        </row>
        <row r="2838">
          <cell r="B2838" t="b">
            <v>1</v>
          </cell>
          <cell r="E2838" t="str">
            <v>Tierra Baja</v>
          </cell>
          <cell r="H2838" t="str">
            <v>consulta_externa</v>
          </cell>
          <cell r="J2838" t="str">
            <v>bueno</v>
          </cell>
          <cell r="K2838" t="str">
            <v>probsi</v>
          </cell>
        </row>
        <row r="2839">
          <cell r="B2839" t="b">
            <v>1</v>
          </cell>
          <cell r="E2839" t="str">
            <v>Tierra Baja</v>
          </cell>
          <cell r="H2839" t="str">
            <v>consulta_externa</v>
          </cell>
          <cell r="J2839" t="str">
            <v>bueno</v>
          </cell>
          <cell r="K2839" t="str">
            <v>probsi</v>
          </cell>
        </row>
        <row r="2840">
          <cell r="B2840" t="b">
            <v>1</v>
          </cell>
          <cell r="E2840" t="str">
            <v>Tierra Baja</v>
          </cell>
          <cell r="H2840" t="str">
            <v>salud_oral</v>
          </cell>
          <cell r="J2840" t="str">
            <v>bueno</v>
          </cell>
          <cell r="K2840" t="str">
            <v>defsi</v>
          </cell>
        </row>
        <row r="2841">
          <cell r="B2841" t="b">
            <v>1</v>
          </cell>
          <cell r="E2841" t="str">
            <v>Santa Ana</v>
          </cell>
          <cell r="H2841" t="str">
            <v>salud_oral</v>
          </cell>
          <cell r="J2841" t="str">
            <v>muybueno</v>
          </cell>
          <cell r="K2841" t="str">
            <v>defsi</v>
          </cell>
        </row>
        <row r="2842">
          <cell r="B2842" t="b">
            <v>1</v>
          </cell>
          <cell r="E2842" t="str">
            <v>Santa Ana</v>
          </cell>
          <cell r="H2842" t="str">
            <v>consulta_externa</v>
          </cell>
          <cell r="J2842" t="str">
            <v>muybueno</v>
          </cell>
          <cell r="K2842" t="str">
            <v>defsi</v>
          </cell>
        </row>
        <row r="2843">
          <cell r="B2843" t="b">
            <v>1</v>
          </cell>
          <cell r="E2843" t="str">
            <v>Santa Ana</v>
          </cell>
          <cell r="H2843" t="str">
            <v>consulta_externa</v>
          </cell>
          <cell r="J2843" t="str">
            <v>muybueno</v>
          </cell>
          <cell r="K2843" t="str">
            <v>defsi</v>
          </cell>
        </row>
        <row r="2844">
          <cell r="B2844" t="b">
            <v>1</v>
          </cell>
          <cell r="E2844" t="str">
            <v>Santa Ana</v>
          </cell>
          <cell r="H2844" t="str">
            <v>laboratorio</v>
          </cell>
          <cell r="J2844" t="str">
            <v>muybueno</v>
          </cell>
          <cell r="K2844" t="str">
            <v>defsi</v>
          </cell>
        </row>
        <row r="2845">
          <cell r="B2845" t="b">
            <v>1</v>
          </cell>
          <cell r="E2845" t="str">
            <v>Tierra Baja</v>
          </cell>
          <cell r="H2845" t="str">
            <v>consulta_externa</v>
          </cell>
          <cell r="J2845" t="str">
            <v>bueno</v>
          </cell>
          <cell r="K2845" t="str">
            <v>probsi</v>
          </cell>
        </row>
        <row r="2846">
          <cell r="B2846" t="b">
            <v>1</v>
          </cell>
          <cell r="E2846" t="str">
            <v>San Vicente de Paul</v>
          </cell>
          <cell r="H2846" t="str">
            <v>consulta_externa</v>
          </cell>
          <cell r="J2846" t="str">
            <v>bueno</v>
          </cell>
          <cell r="K2846" t="str">
            <v>defsi</v>
          </cell>
        </row>
        <row r="2847">
          <cell r="B2847" t="b">
            <v>1</v>
          </cell>
          <cell r="E2847" t="str">
            <v>San Vicente de Paul</v>
          </cell>
          <cell r="H2847" t="str">
            <v>salud_oral</v>
          </cell>
          <cell r="J2847" t="str">
            <v>bueno</v>
          </cell>
          <cell r="K2847" t="str">
            <v>defsi</v>
          </cell>
        </row>
        <row r="2848">
          <cell r="B2848" t="b">
            <v>1</v>
          </cell>
          <cell r="E2848" t="str">
            <v>San Vicente de Paul</v>
          </cell>
          <cell r="H2848" t="str">
            <v>laboratorio</v>
          </cell>
          <cell r="J2848" t="str">
            <v>bueno</v>
          </cell>
          <cell r="K2848" t="str">
            <v>defsi</v>
          </cell>
        </row>
        <row r="2849">
          <cell r="B2849" t="b">
            <v>1</v>
          </cell>
          <cell r="E2849" t="str">
            <v>Tierra Baja</v>
          </cell>
          <cell r="H2849" t="str">
            <v>consulta_externa</v>
          </cell>
          <cell r="J2849" t="str">
            <v>bueno</v>
          </cell>
          <cell r="K2849" t="str">
            <v>defsi</v>
          </cell>
        </row>
        <row r="2850">
          <cell r="B2850" t="b">
            <v>1</v>
          </cell>
          <cell r="E2850" t="str">
            <v>Candelaria</v>
          </cell>
          <cell r="H2850" t="str">
            <v>electros</v>
          </cell>
          <cell r="J2850" t="str">
            <v>bueno</v>
          </cell>
          <cell r="K2850" t="str">
            <v>defsi</v>
          </cell>
        </row>
        <row r="2851">
          <cell r="B2851" t="b">
            <v>1</v>
          </cell>
          <cell r="E2851" t="str">
            <v>Candelaria</v>
          </cell>
          <cell r="H2851" t="str">
            <v>electros</v>
          </cell>
          <cell r="J2851" t="str">
            <v>bueno</v>
          </cell>
          <cell r="K2851" t="str">
            <v>defsi</v>
          </cell>
        </row>
        <row r="2852">
          <cell r="B2852" t="b">
            <v>1</v>
          </cell>
          <cell r="E2852" t="str">
            <v>Candelaria</v>
          </cell>
          <cell r="H2852" t="str">
            <v>electros</v>
          </cell>
          <cell r="J2852" t="str">
            <v>bueno</v>
          </cell>
          <cell r="K2852" t="str">
            <v>defsi</v>
          </cell>
        </row>
        <row r="2853">
          <cell r="B2853" t="b">
            <v>1</v>
          </cell>
          <cell r="E2853" t="str">
            <v>Candelaria</v>
          </cell>
          <cell r="H2853" t="str">
            <v>electros</v>
          </cell>
          <cell r="J2853" t="str">
            <v>bueno</v>
          </cell>
          <cell r="K2853" t="str">
            <v>defsi</v>
          </cell>
        </row>
        <row r="2854">
          <cell r="B2854" t="b">
            <v>1</v>
          </cell>
          <cell r="E2854" t="str">
            <v>Candelaria</v>
          </cell>
          <cell r="H2854" t="str">
            <v>electros</v>
          </cell>
          <cell r="J2854" t="str">
            <v>bueno</v>
          </cell>
          <cell r="K2854" t="str">
            <v>defsi</v>
          </cell>
        </row>
        <row r="2855">
          <cell r="B2855" t="b">
            <v>1</v>
          </cell>
          <cell r="E2855" t="str">
            <v>Candelaria</v>
          </cell>
          <cell r="H2855" t="str">
            <v>electros</v>
          </cell>
          <cell r="J2855" t="str">
            <v>bueno</v>
          </cell>
          <cell r="K2855" t="str">
            <v>defsi</v>
          </cell>
        </row>
        <row r="2856">
          <cell r="B2856" t="b">
            <v>1</v>
          </cell>
          <cell r="E2856" t="str">
            <v>Candelaria</v>
          </cell>
          <cell r="H2856" t="str">
            <v>electros</v>
          </cell>
          <cell r="J2856" t="str">
            <v>bueno</v>
          </cell>
          <cell r="K2856" t="str">
            <v>defsi</v>
          </cell>
        </row>
        <row r="2857">
          <cell r="B2857" t="b">
            <v>1</v>
          </cell>
          <cell r="E2857" t="str">
            <v>Candelaria</v>
          </cell>
          <cell r="H2857" t="str">
            <v>electros</v>
          </cell>
          <cell r="J2857" t="str">
            <v>bueno</v>
          </cell>
          <cell r="K2857" t="str">
            <v>defsi</v>
          </cell>
        </row>
        <row r="2858">
          <cell r="B2858" t="b">
            <v>1</v>
          </cell>
          <cell r="E2858" t="str">
            <v>Candelaria</v>
          </cell>
          <cell r="H2858" t="str">
            <v>electros</v>
          </cell>
          <cell r="J2858" t="str">
            <v>bueno</v>
          </cell>
          <cell r="K2858" t="str">
            <v>defsi</v>
          </cell>
        </row>
        <row r="2859">
          <cell r="B2859" t="b">
            <v>1</v>
          </cell>
          <cell r="E2859" t="str">
            <v>Candelaria</v>
          </cell>
          <cell r="H2859" t="str">
            <v>electros</v>
          </cell>
          <cell r="J2859" t="str">
            <v>bueno</v>
          </cell>
          <cell r="K2859" t="str">
            <v>defsi</v>
          </cell>
        </row>
        <row r="2860">
          <cell r="B2860" t="b">
            <v>0</v>
          </cell>
          <cell r="E2860" t="str">
            <v>Bayunca</v>
          </cell>
          <cell r="H2860" t="str">
            <v>laboratorio</v>
          </cell>
          <cell r="J2860" t="str">
            <v>regular</v>
          </cell>
          <cell r="K2860" t="str">
            <v>probsi</v>
          </cell>
        </row>
        <row r="2861">
          <cell r="B2861" t="b">
            <v>1</v>
          </cell>
          <cell r="E2861" t="str">
            <v>Bayunca</v>
          </cell>
          <cell r="H2861" t="str">
            <v>laboratorio</v>
          </cell>
          <cell r="J2861" t="str">
            <v>bueno</v>
          </cell>
          <cell r="K2861" t="str">
            <v>probsi</v>
          </cell>
        </row>
        <row r="2862">
          <cell r="B2862" t="b">
            <v>1</v>
          </cell>
          <cell r="E2862" t="str">
            <v>Bayunca</v>
          </cell>
          <cell r="H2862" t="str">
            <v>laboratorio</v>
          </cell>
          <cell r="J2862" t="str">
            <v>bueno</v>
          </cell>
          <cell r="K2862" t="str">
            <v>probsi</v>
          </cell>
        </row>
        <row r="2863">
          <cell r="B2863" t="b">
            <v>1</v>
          </cell>
          <cell r="E2863" t="str">
            <v>Bayunca</v>
          </cell>
          <cell r="H2863" t="str">
            <v>laboratorio</v>
          </cell>
          <cell r="J2863" t="str">
            <v>bueno</v>
          </cell>
          <cell r="K2863" t="str">
            <v>probsi</v>
          </cell>
        </row>
        <row r="2864">
          <cell r="B2864" t="b">
            <v>1</v>
          </cell>
          <cell r="E2864" t="str">
            <v>Santa Ana</v>
          </cell>
          <cell r="H2864" t="str">
            <v>consulta_externa</v>
          </cell>
          <cell r="J2864" t="str">
            <v>muybueno</v>
          </cell>
          <cell r="K2864" t="str">
            <v>defsi</v>
          </cell>
        </row>
        <row r="2865">
          <cell r="B2865" t="b">
            <v>1</v>
          </cell>
          <cell r="E2865" t="str">
            <v>Santa Ana</v>
          </cell>
          <cell r="H2865" t="str">
            <v>salud_oral</v>
          </cell>
          <cell r="J2865" t="str">
            <v>muybueno</v>
          </cell>
          <cell r="K2865" t="str">
            <v>defsi</v>
          </cell>
        </row>
        <row r="2866">
          <cell r="B2866" t="b">
            <v>1</v>
          </cell>
          <cell r="E2866" t="str">
            <v>Tierra Baja</v>
          </cell>
          <cell r="H2866" t="str">
            <v>consulta_externa</v>
          </cell>
          <cell r="J2866" t="str">
            <v>bueno</v>
          </cell>
          <cell r="K2866" t="str">
            <v>probsi</v>
          </cell>
        </row>
        <row r="2867">
          <cell r="B2867" t="b">
            <v>1</v>
          </cell>
          <cell r="E2867" t="str">
            <v>Tierra Baja</v>
          </cell>
          <cell r="H2867" t="str">
            <v>salud_oral</v>
          </cell>
          <cell r="J2867" t="str">
            <v>bueno</v>
          </cell>
          <cell r="K2867" t="str">
            <v>probsi</v>
          </cell>
        </row>
        <row r="2868">
          <cell r="B2868" t="b">
            <v>1</v>
          </cell>
          <cell r="E2868" t="str">
            <v>Tierra Baja</v>
          </cell>
          <cell r="H2868" t="str">
            <v>salud_oral</v>
          </cell>
          <cell r="J2868" t="str">
            <v>bueno</v>
          </cell>
          <cell r="K2868" t="str">
            <v>probsi</v>
          </cell>
        </row>
        <row r="2869">
          <cell r="B2869" t="b">
            <v>1</v>
          </cell>
          <cell r="E2869" t="str">
            <v>Santa Ana</v>
          </cell>
          <cell r="H2869" t="str">
            <v>salud_oral</v>
          </cell>
          <cell r="J2869" t="str">
            <v>muybueno</v>
          </cell>
          <cell r="K2869" t="str">
            <v>defsi</v>
          </cell>
        </row>
        <row r="2870">
          <cell r="B2870" t="b">
            <v>1</v>
          </cell>
          <cell r="E2870" t="str">
            <v>San Vicente de Paul</v>
          </cell>
          <cell r="H2870" t="str">
            <v>consulta_externa</v>
          </cell>
          <cell r="J2870" t="str">
            <v>bueno</v>
          </cell>
          <cell r="K2870" t="str">
            <v>defsi</v>
          </cell>
        </row>
        <row r="2871">
          <cell r="B2871" t="b">
            <v>1</v>
          </cell>
          <cell r="E2871" t="str">
            <v>San Vicente de Paul</v>
          </cell>
          <cell r="H2871" t="str">
            <v>salud_oral</v>
          </cell>
          <cell r="J2871" t="str">
            <v>bueno</v>
          </cell>
          <cell r="K2871" t="str">
            <v>defsi</v>
          </cell>
        </row>
        <row r="2872">
          <cell r="B2872" t="b">
            <v>1</v>
          </cell>
          <cell r="E2872" t="str">
            <v>San Vicente de Paul</v>
          </cell>
          <cell r="H2872" t="str">
            <v>laboratorio</v>
          </cell>
          <cell r="J2872" t="str">
            <v>bueno</v>
          </cell>
          <cell r="K2872" t="str">
            <v>defsi</v>
          </cell>
        </row>
        <row r="2873">
          <cell r="B2873" t="b">
            <v>1</v>
          </cell>
          <cell r="E2873" t="str">
            <v>San Vicente de Paul</v>
          </cell>
          <cell r="H2873" t="str">
            <v>consulta_externa</v>
          </cell>
          <cell r="J2873" t="str">
            <v>bueno</v>
          </cell>
          <cell r="K2873" t="str">
            <v>defsi</v>
          </cell>
        </row>
        <row r="2874">
          <cell r="B2874" t="b">
            <v>1</v>
          </cell>
          <cell r="E2874" t="str">
            <v>San Vicente de Paul</v>
          </cell>
          <cell r="H2874" t="str">
            <v>salud_oral</v>
          </cell>
          <cell r="J2874" t="str">
            <v>bueno</v>
          </cell>
          <cell r="K2874" t="str">
            <v>defsi</v>
          </cell>
        </row>
        <row r="2875">
          <cell r="B2875" t="b">
            <v>1</v>
          </cell>
          <cell r="E2875" t="str">
            <v>San Vicente de Paul</v>
          </cell>
          <cell r="H2875" t="str">
            <v>laboratorio</v>
          </cell>
          <cell r="J2875" t="str">
            <v>bueno</v>
          </cell>
          <cell r="K2875" t="str">
            <v>defsi</v>
          </cell>
        </row>
        <row r="2876">
          <cell r="B2876" t="b">
            <v>1</v>
          </cell>
          <cell r="E2876" t="str">
            <v>San Vicente de Paul</v>
          </cell>
          <cell r="H2876" t="str">
            <v>consulta_externa</v>
          </cell>
          <cell r="J2876" t="str">
            <v>bueno</v>
          </cell>
          <cell r="K2876" t="str">
            <v>defsi</v>
          </cell>
        </row>
        <row r="2877">
          <cell r="B2877" t="b">
            <v>1</v>
          </cell>
          <cell r="E2877" t="str">
            <v>San Vicente de Paul</v>
          </cell>
          <cell r="H2877" t="str">
            <v>salud_oral</v>
          </cell>
          <cell r="J2877" t="str">
            <v>bueno</v>
          </cell>
          <cell r="K2877" t="str">
            <v>defsi</v>
          </cell>
        </row>
        <row r="2878">
          <cell r="B2878" t="b">
            <v>1</v>
          </cell>
          <cell r="E2878" t="str">
            <v>San Vicente de Paul</v>
          </cell>
          <cell r="H2878" t="str">
            <v>laboratorio</v>
          </cell>
          <cell r="J2878" t="str">
            <v>bueno</v>
          </cell>
          <cell r="K2878" t="str">
            <v>defsi</v>
          </cell>
        </row>
        <row r="2879">
          <cell r="B2879" t="b">
            <v>1</v>
          </cell>
          <cell r="E2879" t="str">
            <v>San Vicente de Paul</v>
          </cell>
          <cell r="H2879" t="str">
            <v>consulta_externa</v>
          </cell>
          <cell r="J2879" t="str">
            <v>bueno</v>
          </cell>
          <cell r="K2879" t="str">
            <v>defsi</v>
          </cell>
        </row>
        <row r="2880">
          <cell r="B2880" t="b">
            <v>1</v>
          </cell>
          <cell r="E2880" t="str">
            <v>Libano</v>
          </cell>
          <cell r="H2880" t="str">
            <v>consulta_externa</v>
          </cell>
          <cell r="J2880" t="str">
            <v>bueno</v>
          </cell>
          <cell r="K2880" t="str">
            <v>defsi</v>
          </cell>
        </row>
        <row r="2881">
          <cell r="B2881" t="b">
            <v>1</v>
          </cell>
          <cell r="E2881" t="str">
            <v>Libano</v>
          </cell>
          <cell r="H2881" t="str">
            <v>salud_oral</v>
          </cell>
          <cell r="J2881" t="str">
            <v>bueno</v>
          </cell>
          <cell r="K2881" t="str">
            <v>defsi</v>
          </cell>
        </row>
        <row r="2882">
          <cell r="B2882" t="b">
            <v>1</v>
          </cell>
          <cell r="E2882" t="str">
            <v>Libano</v>
          </cell>
          <cell r="H2882" t="str">
            <v>laboratorio</v>
          </cell>
          <cell r="J2882" t="str">
            <v>bueno</v>
          </cell>
          <cell r="K2882" t="str">
            <v>defsi</v>
          </cell>
        </row>
        <row r="2883">
          <cell r="B2883" t="b">
            <v>1</v>
          </cell>
          <cell r="E2883" t="str">
            <v>Libano</v>
          </cell>
          <cell r="H2883" t="str">
            <v>ecografias</v>
          </cell>
          <cell r="J2883" t="str">
            <v>bueno</v>
          </cell>
          <cell r="K2883" t="str">
            <v>defsi</v>
          </cell>
        </row>
        <row r="2884">
          <cell r="B2884" t="b">
            <v>1</v>
          </cell>
          <cell r="E2884" t="str">
            <v>Libano</v>
          </cell>
          <cell r="H2884" t="str">
            <v>ginecologia</v>
          </cell>
          <cell r="J2884" t="str">
            <v>bueno</v>
          </cell>
          <cell r="K2884" t="str">
            <v>defsi</v>
          </cell>
        </row>
        <row r="2885">
          <cell r="B2885" t="b">
            <v>1</v>
          </cell>
          <cell r="E2885" t="str">
            <v>Libano</v>
          </cell>
          <cell r="H2885" t="str">
            <v>pediatria</v>
          </cell>
          <cell r="J2885" t="str">
            <v>bueno</v>
          </cell>
          <cell r="K2885" t="str">
            <v>defsi</v>
          </cell>
        </row>
        <row r="2886">
          <cell r="B2886" t="b">
            <v>1</v>
          </cell>
          <cell r="E2886" t="str">
            <v>Libano</v>
          </cell>
          <cell r="H2886" t="str">
            <v>consulta_externa</v>
          </cell>
          <cell r="J2886" t="str">
            <v>bueno</v>
          </cell>
          <cell r="K2886" t="str">
            <v>defsi</v>
          </cell>
        </row>
        <row r="2887">
          <cell r="B2887" t="b">
            <v>1</v>
          </cell>
          <cell r="E2887" t="str">
            <v>Libano</v>
          </cell>
          <cell r="H2887" t="str">
            <v>salud_oral</v>
          </cell>
          <cell r="J2887" t="str">
            <v>bueno</v>
          </cell>
          <cell r="K2887" t="str">
            <v>defsi</v>
          </cell>
        </row>
        <row r="2888">
          <cell r="B2888" t="b">
            <v>1</v>
          </cell>
          <cell r="E2888" t="str">
            <v>Libano</v>
          </cell>
          <cell r="H2888" t="str">
            <v>laboratorio</v>
          </cell>
          <cell r="J2888" t="str">
            <v>bueno</v>
          </cell>
          <cell r="K2888" t="str">
            <v>defsi</v>
          </cell>
        </row>
        <row r="2889">
          <cell r="B2889" t="b">
            <v>1</v>
          </cell>
          <cell r="E2889" t="str">
            <v>Libano</v>
          </cell>
          <cell r="H2889" t="str">
            <v>ecografias</v>
          </cell>
          <cell r="J2889" t="str">
            <v>bueno</v>
          </cell>
          <cell r="K2889" t="str">
            <v>defsi</v>
          </cell>
        </row>
        <row r="2890">
          <cell r="B2890" t="b">
            <v>1</v>
          </cell>
          <cell r="E2890" t="str">
            <v>Libano</v>
          </cell>
          <cell r="H2890" t="str">
            <v>ginecologia</v>
          </cell>
          <cell r="J2890" t="str">
            <v>bueno</v>
          </cell>
          <cell r="K2890" t="str">
            <v>defsi</v>
          </cell>
        </row>
        <row r="2891">
          <cell r="B2891" t="b">
            <v>1</v>
          </cell>
          <cell r="E2891" t="str">
            <v>Libano</v>
          </cell>
          <cell r="H2891" t="str">
            <v>pediatria</v>
          </cell>
          <cell r="J2891" t="str">
            <v>bueno</v>
          </cell>
          <cell r="K2891" t="str">
            <v>defsi</v>
          </cell>
        </row>
        <row r="2892">
          <cell r="B2892" t="b">
            <v>1</v>
          </cell>
          <cell r="E2892" t="str">
            <v>Libano</v>
          </cell>
          <cell r="H2892" t="str">
            <v>consulta_externa</v>
          </cell>
          <cell r="J2892" t="str">
            <v>bueno</v>
          </cell>
          <cell r="K2892" t="str">
            <v>defsi</v>
          </cell>
        </row>
        <row r="2893">
          <cell r="B2893" t="b">
            <v>1</v>
          </cell>
          <cell r="E2893" t="str">
            <v>Libano</v>
          </cell>
          <cell r="H2893" t="str">
            <v>salud_oral</v>
          </cell>
          <cell r="J2893" t="str">
            <v>bueno</v>
          </cell>
          <cell r="K2893" t="str">
            <v>defsi</v>
          </cell>
        </row>
        <row r="2894">
          <cell r="B2894" t="b">
            <v>1</v>
          </cell>
          <cell r="E2894" t="str">
            <v>Libano</v>
          </cell>
          <cell r="H2894" t="str">
            <v>laboratorio</v>
          </cell>
          <cell r="J2894" t="str">
            <v>bueno</v>
          </cell>
          <cell r="K2894" t="str">
            <v>defsi</v>
          </cell>
        </row>
        <row r="2895">
          <cell r="B2895" t="b">
            <v>1</v>
          </cell>
          <cell r="E2895" t="str">
            <v>Libano</v>
          </cell>
          <cell r="H2895" t="str">
            <v>ginecologia</v>
          </cell>
          <cell r="J2895" t="str">
            <v>bueno</v>
          </cell>
          <cell r="K2895" t="str">
            <v>defsi</v>
          </cell>
        </row>
        <row r="2896">
          <cell r="B2896" t="b">
            <v>1</v>
          </cell>
          <cell r="E2896" t="str">
            <v>Libano</v>
          </cell>
          <cell r="H2896" t="str">
            <v>ginecologia</v>
          </cell>
          <cell r="J2896" t="str">
            <v>bueno</v>
          </cell>
          <cell r="K2896" t="str">
            <v>defsi</v>
          </cell>
        </row>
        <row r="2897">
          <cell r="B2897" t="b">
            <v>1</v>
          </cell>
          <cell r="E2897" t="str">
            <v>Libano</v>
          </cell>
          <cell r="H2897" t="str">
            <v>pediatria</v>
          </cell>
          <cell r="J2897" t="str">
            <v>bueno</v>
          </cell>
          <cell r="K2897" t="str">
            <v>defsi</v>
          </cell>
        </row>
        <row r="2898">
          <cell r="B2898" t="b">
            <v>1</v>
          </cell>
          <cell r="E2898" t="str">
            <v>Libano</v>
          </cell>
          <cell r="H2898" t="str">
            <v>consulta_externa</v>
          </cell>
          <cell r="J2898" t="str">
            <v>bueno</v>
          </cell>
          <cell r="K2898" t="str">
            <v>defsi</v>
          </cell>
        </row>
        <row r="2899">
          <cell r="B2899" t="b">
            <v>1</v>
          </cell>
          <cell r="E2899" t="str">
            <v>Libano</v>
          </cell>
          <cell r="H2899" t="str">
            <v>salud_oral</v>
          </cell>
          <cell r="J2899" t="str">
            <v>bueno</v>
          </cell>
          <cell r="K2899" t="str">
            <v>defsi</v>
          </cell>
        </row>
        <row r="2900">
          <cell r="B2900" t="b">
            <v>1</v>
          </cell>
          <cell r="E2900" t="str">
            <v>Libano</v>
          </cell>
          <cell r="H2900" t="str">
            <v>ecografias</v>
          </cell>
          <cell r="J2900" t="str">
            <v>bueno</v>
          </cell>
          <cell r="K2900" t="str">
            <v>defsi</v>
          </cell>
        </row>
        <row r="2901">
          <cell r="B2901" t="b">
            <v>1</v>
          </cell>
          <cell r="E2901" t="str">
            <v>Libano</v>
          </cell>
          <cell r="H2901" t="str">
            <v>ecografias</v>
          </cell>
          <cell r="J2901" t="str">
            <v>bueno</v>
          </cell>
          <cell r="K2901" t="str">
            <v>defsi</v>
          </cell>
        </row>
        <row r="2902">
          <cell r="B2902" t="b">
            <v>1</v>
          </cell>
          <cell r="E2902" t="str">
            <v>Libano</v>
          </cell>
          <cell r="H2902" t="str">
            <v>ginecologia</v>
          </cell>
          <cell r="J2902" t="str">
            <v>bueno</v>
          </cell>
          <cell r="K2902" t="str">
            <v>defsi</v>
          </cell>
        </row>
        <row r="2903">
          <cell r="B2903" t="b">
            <v>1</v>
          </cell>
          <cell r="E2903" t="str">
            <v>Libano</v>
          </cell>
          <cell r="H2903" t="str">
            <v>pediatria</v>
          </cell>
          <cell r="J2903" t="str">
            <v>bueno</v>
          </cell>
          <cell r="K2903" t="str">
            <v>defsi</v>
          </cell>
        </row>
        <row r="2904">
          <cell r="B2904" t="b">
            <v>1</v>
          </cell>
          <cell r="E2904" t="str">
            <v>Libano</v>
          </cell>
          <cell r="H2904" t="str">
            <v>consulta_externa</v>
          </cell>
          <cell r="J2904" t="str">
            <v>bueno</v>
          </cell>
          <cell r="K2904" t="str">
            <v>defsi</v>
          </cell>
        </row>
        <row r="2905">
          <cell r="B2905" t="b">
            <v>1</v>
          </cell>
          <cell r="E2905" t="str">
            <v>Libano</v>
          </cell>
          <cell r="H2905" t="str">
            <v>salud_oral</v>
          </cell>
          <cell r="J2905" t="str">
            <v>bueno</v>
          </cell>
          <cell r="K2905" t="str">
            <v>defsi</v>
          </cell>
        </row>
        <row r="2906">
          <cell r="B2906" t="b">
            <v>1</v>
          </cell>
          <cell r="E2906" t="str">
            <v>Libano</v>
          </cell>
          <cell r="H2906" t="str">
            <v>laboratorio</v>
          </cell>
          <cell r="J2906" t="str">
            <v>bueno</v>
          </cell>
          <cell r="K2906" t="str">
            <v>defsi</v>
          </cell>
        </row>
        <row r="2907">
          <cell r="B2907" t="b">
            <v>1</v>
          </cell>
          <cell r="E2907" t="str">
            <v>Libano</v>
          </cell>
          <cell r="H2907" t="str">
            <v>ecografias</v>
          </cell>
          <cell r="J2907" t="str">
            <v>bueno</v>
          </cell>
          <cell r="K2907" t="str">
            <v>defsi</v>
          </cell>
        </row>
        <row r="2908">
          <cell r="B2908" t="b">
            <v>1</v>
          </cell>
          <cell r="E2908" t="str">
            <v>Libano</v>
          </cell>
          <cell r="H2908" t="str">
            <v>ginecologia</v>
          </cell>
          <cell r="J2908" t="str">
            <v>bueno</v>
          </cell>
          <cell r="K2908" t="str">
            <v>defsi</v>
          </cell>
        </row>
        <row r="2909">
          <cell r="B2909" t="b">
            <v>1</v>
          </cell>
          <cell r="E2909" t="str">
            <v>Libano</v>
          </cell>
          <cell r="H2909" t="str">
            <v>pediatria</v>
          </cell>
          <cell r="J2909" t="str">
            <v>bueno</v>
          </cell>
          <cell r="K2909" t="str">
            <v>defsi</v>
          </cell>
        </row>
        <row r="2910">
          <cell r="B2910" t="b">
            <v>0</v>
          </cell>
          <cell r="E2910" t="str">
            <v>Bayunca</v>
          </cell>
          <cell r="H2910" t="str">
            <v>urgencia</v>
          </cell>
          <cell r="J2910" t="str">
            <v>regular</v>
          </cell>
          <cell r="K2910" t="str">
            <v>probsi</v>
          </cell>
        </row>
        <row r="2911">
          <cell r="B2911" t="b">
            <v>0</v>
          </cell>
          <cell r="E2911" t="str">
            <v>Bayunca</v>
          </cell>
          <cell r="H2911" t="str">
            <v>urgencia</v>
          </cell>
          <cell r="J2911" t="str">
            <v>regular</v>
          </cell>
          <cell r="K2911" t="str">
            <v>probsi</v>
          </cell>
        </row>
        <row r="2912">
          <cell r="B2912" t="b">
            <v>1</v>
          </cell>
          <cell r="E2912" t="str">
            <v>Bayunca</v>
          </cell>
          <cell r="H2912" t="str">
            <v>urgencia</v>
          </cell>
          <cell r="J2912" t="str">
            <v>bueno</v>
          </cell>
          <cell r="K2912" t="str">
            <v>probsi</v>
          </cell>
        </row>
        <row r="2913">
          <cell r="B2913" t="b">
            <v>0</v>
          </cell>
          <cell r="E2913" t="str">
            <v>Bayunca</v>
          </cell>
          <cell r="H2913" t="str">
            <v>urgencia</v>
          </cell>
          <cell r="J2913" t="str">
            <v>regular</v>
          </cell>
          <cell r="K2913" t="str">
            <v>probsi</v>
          </cell>
        </row>
        <row r="2914">
          <cell r="B2914" t="b">
            <v>1</v>
          </cell>
          <cell r="E2914" t="str">
            <v>Bayunca</v>
          </cell>
          <cell r="H2914" t="str">
            <v>urgencia</v>
          </cell>
          <cell r="J2914" t="str">
            <v>bueno</v>
          </cell>
          <cell r="K2914" t="str">
            <v>probsi</v>
          </cell>
        </row>
        <row r="2915">
          <cell r="B2915" t="b">
            <v>1</v>
          </cell>
          <cell r="E2915" t="str">
            <v>Bayunca</v>
          </cell>
          <cell r="H2915" t="str">
            <v>urgencia</v>
          </cell>
          <cell r="J2915" t="str">
            <v>bueno</v>
          </cell>
          <cell r="K2915" t="str">
            <v>probsi</v>
          </cell>
        </row>
        <row r="2916">
          <cell r="B2916" t="b">
            <v>1</v>
          </cell>
          <cell r="E2916" t="str">
            <v>Bayunca</v>
          </cell>
          <cell r="H2916" t="str">
            <v>urgencia</v>
          </cell>
          <cell r="J2916" t="str">
            <v>bueno</v>
          </cell>
          <cell r="K2916" t="str">
            <v>probsi</v>
          </cell>
        </row>
        <row r="2917">
          <cell r="B2917" t="b">
            <v>1</v>
          </cell>
          <cell r="E2917" t="str">
            <v>Bayunca</v>
          </cell>
          <cell r="H2917" t="str">
            <v>urgencia</v>
          </cell>
          <cell r="J2917" t="str">
            <v>bueno</v>
          </cell>
          <cell r="K2917" t="str">
            <v>probsi</v>
          </cell>
        </row>
        <row r="2918">
          <cell r="B2918" t="b">
            <v>1</v>
          </cell>
          <cell r="E2918" t="str">
            <v>Libano</v>
          </cell>
          <cell r="H2918" t="str">
            <v>consulta_externa</v>
          </cell>
          <cell r="J2918" t="str">
            <v>bueno</v>
          </cell>
          <cell r="K2918" t="str">
            <v>defsi</v>
          </cell>
        </row>
        <row r="2919">
          <cell r="B2919" t="b">
            <v>1</v>
          </cell>
          <cell r="E2919" t="str">
            <v>Libano</v>
          </cell>
          <cell r="H2919" t="str">
            <v>salud_oral</v>
          </cell>
          <cell r="J2919" t="str">
            <v>bueno</v>
          </cell>
          <cell r="K2919" t="str">
            <v>defsi</v>
          </cell>
        </row>
        <row r="2920">
          <cell r="B2920" t="b">
            <v>1</v>
          </cell>
          <cell r="E2920" t="str">
            <v>Libano</v>
          </cell>
          <cell r="H2920" t="str">
            <v>laboratorio</v>
          </cell>
          <cell r="J2920" t="str">
            <v>bueno</v>
          </cell>
          <cell r="K2920" t="str">
            <v>defsi</v>
          </cell>
        </row>
        <row r="2921">
          <cell r="B2921" t="b">
            <v>1</v>
          </cell>
          <cell r="E2921" t="str">
            <v>Libano</v>
          </cell>
          <cell r="H2921" t="str">
            <v>ecografias</v>
          </cell>
          <cell r="J2921" t="str">
            <v>bueno</v>
          </cell>
          <cell r="K2921" t="str">
            <v>defsi</v>
          </cell>
        </row>
        <row r="2922">
          <cell r="B2922" t="b">
            <v>1</v>
          </cell>
          <cell r="E2922" t="str">
            <v>Libano</v>
          </cell>
          <cell r="H2922" t="str">
            <v>ginecologia</v>
          </cell>
          <cell r="J2922" t="str">
            <v>bueno</v>
          </cell>
          <cell r="K2922" t="str">
            <v>defsi</v>
          </cell>
        </row>
        <row r="2923">
          <cell r="B2923" t="b">
            <v>1</v>
          </cell>
          <cell r="E2923" t="str">
            <v>Libano</v>
          </cell>
          <cell r="H2923" t="str">
            <v>pediatria</v>
          </cell>
          <cell r="J2923" t="str">
            <v>bueno</v>
          </cell>
          <cell r="K2923" t="str">
            <v>defsi</v>
          </cell>
        </row>
        <row r="2924">
          <cell r="B2924" t="b">
            <v>1</v>
          </cell>
          <cell r="E2924" t="str">
            <v>Libano</v>
          </cell>
          <cell r="H2924" t="str">
            <v>consulta_externa</v>
          </cell>
          <cell r="J2924" t="str">
            <v>bueno</v>
          </cell>
          <cell r="K2924" t="str">
            <v>defsi</v>
          </cell>
        </row>
        <row r="2925">
          <cell r="B2925" t="b">
            <v>1</v>
          </cell>
          <cell r="E2925" t="str">
            <v>Libano</v>
          </cell>
          <cell r="H2925" t="str">
            <v>salud_oral</v>
          </cell>
          <cell r="J2925" t="str">
            <v>bueno</v>
          </cell>
          <cell r="K2925" t="str">
            <v>defsi</v>
          </cell>
        </row>
        <row r="2926">
          <cell r="B2926" t="b">
            <v>1</v>
          </cell>
          <cell r="E2926" t="str">
            <v>Libano</v>
          </cell>
          <cell r="H2926" t="str">
            <v>laboratorio</v>
          </cell>
          <cell r="J2926" t="str">
            <v>bueno</v>
          </cell>
          <cell r="K2926" t="str">
            <v>defsi</v>
          </cell>
        </row>
        <row r="2927">
          <cell r="B2927" t="b">
            <v>1</v>
          </cell>
          <cell r="E2927" t="str">
            <v>Libano</v>
          </cell>
          <cell r="H2927" t="str">
            <v>ginecologia</v>
          </cell>
          <cell r="J2927" t="str">
            <v>bueno</v>
          </cell>
          <cell r="K2927" t="str">
            <v>defsi</v>
          </cell>
        </row>
        <row r="2928">
          <cell r="B2928" t="b">
            <v>1</v>
          </cell>
          <cell r="E2928" t="str">
            <v>Libano</v>
          </cell>
          <cell r="H2928" t="str">
            <v>pediatria</v>
          </cell>
          <cell r="J2928" t="str">
            <v>bueno</v>
          </cell>
          <cell r="K2928" t="str">
            <v>defsi</v>
          </cell>
        </row>
        <row r="2929">
          <cell r="B2929" t="b">
            <v>1</v>
          </cell>
          <cell r="E2929" t="str">
            <v>Libano</v>
          </cell>
          <cell r="H2929" t="str">
            <v>consulta_externa</v>
          </cell>
          <cell r="J2929" t="str">
            <v>bueno</v>
          </cell>
          <cell r="K2929" t="str">
            <v>defsi</v>
          </cell>
        </row>
        <row r="2930">
          <cell r="B2930" t="b">
            <v>1</v>
          </cell>
          <cell r="E2930" t="str">
            <v>Libano</v>
          </cell>
          <cell r="H2930" t="str">
            <v>salud_oral</v>
          </cell>
          <cell r="J2930" t="str">
            <v>bueno</v>
          </cell>
          <cell r="K2930" t="str">
            <v>defsi</v>
          </cell>
        </row>
        <row r="2931">
          <cell r="B2931" t="b">
            <v>1</v>
          </cell>
          <cell r="E2931" t="str">
            <v>Libano</v>
          </cell>
          <cell r="H2931" t="str">
            <v>laboratorio</v>
          </cell>
          <cell r="J2931" t="str">
            <v>bueno</v>
          </cell>
          <cell r="K2931" t="str">
            <v>defsi</v>
          </cell>
        </row>
        <row r="2932">
          <cell r="B2932" t="b">
            <v>1</v>
          </cell>
          <cell r="E2932" t="str">
            <v>Libano</v>
          </cell>
          <cell r="H2932" t="str">
            <v>pediatria</v>
          </cell>
          <cell r="J2932" t="str">
            <v>bueno</v>
          </cell>
          <cell r="K2932" t="str">
            <v>defsi</v>
          </cell>
        </row>
        <row r="2933">
          <cell r="B2933" t="b">
            <v>1</v>
          </cell>
          <cell r="E2933" t="str">
            <v>Libano</v>
          </cell>
          <cell r="H2933" t="str">
            <v>consulta_externa</v>
          </cell>
          <cell r="J2933" t="str">
            <v>bueno</v>
          </cell>
          <cell r="K2933" t="str">
            <v>defsi</v>
          </cell>
        </row>
        <row r="2934">
          <cell r="B2934" t="b">
            <v>1</v>
          </cell>
          <cell r="E2934" t="str">
            <v>Libano</v>
          </cell>
          <cell r="H2934" t="str">
            <v>salud_oral</v>
          </cell>
          <cell r="J2934" t="str">
            <v>bueno</v>
          </cell>
          <cell r="K2934" t="str">
            <v>defsi</v>
          </cell>
        </row>
        <row r="2935">
          <cell r="B2935" t="b">
            <v>1</v>
          </cell>
          <cell r="E2935" t="str">
            <v>Libano</v>
          </cell>
          <cell r="H2935" t="str">
            <v>laboratorio</v>
          </cell>
          <cell r="J2935" t="str">
            <v>bueno</v>
          </cell>
          <cell r="K2935" t="str">
            <v>defsi</v>
          </cell>
        </row>
        <row r="2936">
          <cell r="B2936" t="b">
            <v>1</v>
          </cell>
          <cell r="E2936" t="str">
            <v>Libano</v>
          </cell>
          <cell r="H2936" t="str">
            <v>pediatria</v>
          </cell>
          <cell r="J2936" t="str">
            <v>bueno</v>
          </cell>
          <cell r="K2936" t="str">
            <v>defsi</v>
          </cell>
        </row>
        <row r="2937">
          <cell r="B2937" t="b">
            <v>1</v>
          </cell>
          <cell r="E2937" t="str">
            <v>Libano</v>
          </cell>
          <cell r="H2937" t="str">
            <v>consulta_externa</v>
          </cell>
          <cell r="J2937" t="str">
            <v>bueno</v>
          </cell>
          <cell r="K2937" t="str">
            <v>defsi</v>
          </cell>
        </row>
        <row r="2938">
          <cell r="B2938" t="b">
            <v>1</v>
          </cell>
          <cell r="E2938" t="str">
            <v>Libano</v>
          </cell>
          <cell r="H2938" t="str">
            <v>salud_oral</v>
          </cell>
          <cell r="J2938" t="str">
            <v>bueno</v>
          </cell>
          <cell r="K2938" t="str">
            <v>defsi</v>
          </cell>
        </row>
        <row r="2939">
          <cell r="B2939" t="b">
            <v>1</v>
          </cell>
          <cell r="E2939" t="str">
            <v>Libano</v>
          </cell>
          <cell r="H2939" t="str">
            <v>laboratorio</v>
          </cell>
          <cell r="J2939" t="str">
            <v>bueno</v>
          </cell>
          <cell r="K2939" t="str">
            <v>defsi</v>
          </cell>
        </row>
        <row r="2940">
          <cell r="B2940" t="b">
            <v>1</v>
          </cell>
          <cell r="E2940" t="str">
            <v>Libano</v>
          </cell>
          <cell r="H2940" t="str">
            <v>consulta_externa</v>
          </cell>
          <cell r="J2940" t="str">
            <v>bueno</v>
          </cell>
          <cell r="K2940" t="str">
            <v>defsi</v>
          </cell>
        </row>
        <row r="2941">
          <cell r="B2941" t="b">
            <v>1</v>
          </cell>
          <cell r="E2941" t="str">
            <v>Libano</v>
          </cell>
          <cell r="H2941" t="str">
            <v>consulta_externa</v>
          </cell>
          <cell r="J2941" t="str">
            <v>bueno</v>
          </cell>
          <cell r="K2941" t="str">
            <v>defsi</v>
          </cell>
        </row>
        <row r="2942">
          <cell r="B2942" t="b">
            <v>1</v>
          </cell>
          <cell r="E2942" t="str">
            <v>Libano</v>
          </cell>
          <cell r="H2942" t="str">
            <v>salud_oral</v>
          </cell>
          <cell r="J2942" t="str">
            <v>bueno</v>
          </cell>
          <cell r="K2942" t="str">
            <v>defsi</v>
          </cell>
        </row>
        <row r="2943">
          <cell r="B2943" t="b">
            <v>1</v>
          </cell>
          <cell r="E2943" t="str">
            <v>Libano</v>
          </cell>
          <cell r="H2943" t="str">
            <v>laboratorio</v>
          </cell>
          <cell r="J2943" t="str">
            <v>bueno</v>
          </cell>
          <cell r="K2943" t="str">
            <v>defsi</v>
          </cell>
        </row>
        <row r="2944">
          <cell r="B2944" t="b">
            <v>1</v>
          </cell>
          <cell r="E2944" t="str">
            <v>Libano</v>
          </cell>
          <cell r="H2944" t="str">
            <v>consulta_externa</v>
          </cell>
          <cell r="J2944" t="str">
            <v>bueno</v>
          </cell>
          <cell r="K2944" t="str">
            <v>defsi</v>
          </cell>
        </row>
        <row r="2945">
          <cell r="B2945" t="b">
            <v>1</v>
          </cell>
          <cell r="E2945" t="str">
            <v>Libano</v>
          </cell>
          <cell r="H2945" t="str">
            <v>salud_oral</v>
          </cell>
          <cell r="J2945" t="str">
            <v>bueno</v>
          </cell>
          <cell r="K2945" t="str">
            <v>defsi</v>
          </cell>
        </row>
        <row r="2946">
          <cell r="B2946" t="b">
            <v>1</v>
          </cell>
          <cell r="E2946" t="str">
            <v>Libano</v>
          </cell>
          <cell r="H2946" t="str">
            <v>laboratorio</v>
          </cell>
          <cell r="J2946" t="str">
            <v>bueno</v>
          </cell>
          <cell r="K2946" t="str">
            <v>defsi</v>
          </cell>
        </row>
        <row r="2947">
          <cell r="B2947" t="b">
            <v>1</v>
          </cell>
          <cell r="E2947" t="str">
            <v>Tierra Bomba</v>
          </cell>
          <cell r="H2947" t="str">
            <v>salud_oral</v>
          </cell>
          <cell r="J2947" t="str">
            <v>muybueno</v>
          </cell>
          <cell r="K2947" t="str">
            <v>probsi</v>
          </cell>
        </row>
        <row r="2948">
          <cell r="B2948" t="b">
            <v>1</v>
          </cell>
          <cell r="E2948" t="str">
            <v>Tierra Bomba</v>
          </cell>
          <cell r="H2948" t="str">
            <v>laboratorio</v>
          </cell>
          <cell r="J2948" t="str">
            <v>muybueno</v>
          </cell>
          <cell r="K2948" t="str">
            <v>probsi</v>
          </cell>
        </row>
        <row r="2949">
          <cell r="B2949" t="b">
            <v>1</v>
          </cell>
          <cell r="E2949" t="str">
            <v>Baru</v>
          </cell>
          <cell r="H2949" t="str">
            <v>consulta_externa</v>
          </cell>
          <cell r="J2949" t="str">
            <v>muybueno</v>
          </cell>
          <cell r="K2949" t="str">
            <v>defsi</v>
          </cell>
        </row>
        <row r="2950">
          <cell r="B2950" t="b">
            <v>1</v>
          </cell>
          <cell r="E2950" t="str">
            <v>Baru</v>
          </cell>
          <cell r="H2950" t="str">
            <v>laboratorio</v>
          </cell>
          <cell r="J2950" t="str">
            <v>muybueno</v>
          </cell>
          <cell r="K2950" t="str">
            <v>defsi</v>
          </cell>
        </row>
        <row r="2951">
          <cell r="B2951" t="b">
            <v>1</v>
          </cell>
          <cell r="E2951" t="str">
            <v>Baru</v>
          </cell>
          <cell r="H2951" t="str">
            <v>consulta_externa</v>
          </cell>
          <cell r="J2951" t="str">
            <v>muybueno</v>
          </cell>
          <cell r="K2951" t="str">
            <v>defsi</v>
          </cell>
        </row>
        <row r="2952">
          <cell r="B2952" t="b">
            <v>1</v>
          </cell>
          <cell r="E2952" t="str">
            <v>Tierra Bomba</v>
          </cell>
          <cell r="H2952" t="str">
            <v>laboratorio</v>
          </cell>
          <cell r="J2952" t="str">
            <v>bueno</v>
          </cell>
          <cell r="K2952" t="str">
            <v>probsi</v>
          </cell>
        </row>
        <row r="2953">
          <cell r="B2953" t="b">
            <v>1</v>
          </cell>
          <cell r="E2953" t="str">
            <v>Tierra Bomba</v>
          </cell>
          <cell r="H2953" t="str">
            <v>laboratorio</v>
          </cell>
          <cell r="J2953" t="str">
            <v>bueno</v>
          </cell>
          <cell r="K2953" t="str">
            <v>probsi</v>
          </cell>
        </row>
        <row r="2954">
          <cell r="B2954" t="b">
            <v>1</v>
          </cell>
          <cell r="E2954" t="str">
            <v>Tierra Bomba</v>
          </cell>
          <cell r="H2954" t="str">
            <v>laboratorio</v>
          </cell>
          <cell r="J2954" t="str">
            <v>bueno</v>
          </cell>
          <cell r="K2954" t="str">
            <v>probsi</v>
          </cell>
        </row>
        <row r="2955">
          <cell r="B2955" t="b">
            <v>1</v>
          </cell>
          <cell r="E2955" t="str">
            <v>Baru</v>
          </cell>
          <cell r="H2955" t="str">
            <v>consulta_externa</v>
          </cell>
          <cell r="J2955" t="str">
            <v>muybueno</v>
          </cell>
          <cell r="K2955" t="str">
            <v>defsi</v>
          </cell>
        </row>
        <row r="2956">
          <cell r="B2956" t="b">
            <v>1</v>
          </cell>
          <cell r="E2956" t="str">
            <v>Tierra Bomba</v>
          </cell>
          <cell r="H2956" t="str">
            <v>laboratorio</v>
          </cell>
          <cell r="J2956" t="str">
            <v>bueno</v>
          </cell>
          <cell r="K2956" t="str">
            <v>probsi</v>
          </cell>
        </row>
        <row r="2957">
          <cell r="B2957" t="b">
            <v>1</v>
          </cell>
          <cell r="E2957" t="str">
            <v>Baru</v>
          </cell>
          <cell r="H2957" t="str">
            <v>salud_oral</v>
          </cell>
          <cell r="J2957" t="str">
            <v>muybueno</v>
          </cell>
          <cell r="K2957" t="str">
            <v>defsi</v>
          </cell>
        </row>
        <row r="2958">
          <cell r="B2958" t="b">
            <v>1</v>
          </cell>
          <cell r="E2958" t="str">
            <v>Tierra Bomba</v>
          </cell>
          <cell r="H2958" t="str">
            <v>laboratorio</v>
          </cell>
          <cell r="J2958" t="str">
            <v>bueno</v>
          </cell>
          <cell r="K2958" t="str">
            <v>probsi</v>
          </cell>
        </row>
        <row r="2959">
          <cell r="B2959" t="b">
            <v>1</v>
          </cell>
          <cell r="E2959" t="str">
            <v>Tierra Bomba</v>
          </cell>
          <cell r="H2959" t="str">
            <v>laboratorio</v>
          </cell>
          <cell r="J2959" t="str">
            <v>bueno</v>
          </cell>
          <cell r="K2959" t="str">
            <v>probsi</v>
          </cell>
        </row>
        <row r="2960">
          <cell r="B2960" t="b">
            <v>1</v>
          </cell>
          <cell r="E2960" t="str">
            <v>Tierra Bomba</v>
          </cell>
          <cell r="H2960" t="str">
            <v>consulta_externa</v>
          </cell>
          <cell r="J2960" t="str">
            <v>bueno</v>
          </cell>
          <cell r="K2960" t="str">
            <v>probsi</v>
          </cell>
        </row>
        <row r="2961">
          <cell r="B2961" t="b">
            <v>1</v>
          </cell>
          <cell r="E2961" t="str">
            <v>Tierra Bomba</v>
          </cell>
          <cell r="H2961" t="str">
            <v>consulta_externa</v>
          </cell>
          <cell r="J2961" t="str">
            <v>bueno</v>
          </cell>
          <cell r="K2961" t="str">
            <v>probsi</v>
          </cell>
        </row>
        <row r="2962">
          <cell r="B2962" t="b">
            <v>1</v>
          </cell>
          <cell r="E2962" t="str">
            <v>Tierra Bomba</v>
          </cell>
          <cell r="H2962" t="str">
            <v>consulta_externa</v>
          </cell>
          <cell r="J2962" t="str">
            <v>bueno</v>
          </cell>
          <cell r="K2962" t="str">
            <v>probsi</v>
          </cell>
        </row>
        <row r="2963">
          <cell r="B2963" t="b">
            <v>1</v>
          </cell>
          <cell r="E2963" t="str">
            <v>Tierra Bomba</v>
          </cell>
          <cell r="H2963" t="str">
            <v>salud_oral</v>
          </cell>
          <cell r="J2963" t="str">
            <v>bueno</v>
          </cell>
          <cell r="K2963" t="str">
            <v>probsi</v>
          </cell>
        </row>
        <row r="2964">
          <cell r="B2964" t="b">
            <v>1</v>
          </cell>
          <cell r="E2964" t="str">
            <v>Tierra Bomba</v>
          </cell>
          <cell r="H2964" t="str">
            <v>salud_oral</v>
          </cell>
          <cell r="J2964" t="str">
            <v>bueno</v>
          </cell>
          <cell r="K2964" t="str">
            <v>probsi</v>
          </cell>
        </row>
        <row r="2965">
          <cell r="B2965" t="b">
            <v>1</v>
          </cell>
          <cell r="E2965" t="str">
            <v>Tierra Bomba</v>
          </cell>
          <cell r="H2965" t="str">
            <v>salud_oral</v>
          </cell>
          <cell r="J2965" t="str">
            <v>bueno</v>
          </cell>
          <cell r="K2965" t="str">
            <v>probsi</v>
          </cell>
        </row>
        <row r="2966">
          <cell r="B2966" t="b">
            <v>1</v>
          </cell>
          <cell r="E2966" t="str">
            <v>Baru</v>
          </cell>
          <cell r="H2966" t="str">
            <v>consulta_externa</v>
          </cell>
          <cell r="J2966" t="str">
            <v>muybueno</v>
          </cell>
          <cell r="K2966" t="str">
            <v>defsi</v>
          </cell>
        </row>
        <row r="2967">
          <cell r="B2967" t="b">
            <v>1</v>
          </cell>
          <cell r="E2967" t="str">
            <v>Tierra Bomba</v>
          </cell>
          <cell r="H2967" t="str">
            <v>laboratorio</v>
          </cell>
          <cell r="J2967" t="str">
            <v>bueno</v>
          </cell>
          <cell r="K2967" t="str">
            <v>defsi</v>
          </cell>
        </row>
        <row r="2968">
          <cell r="B2968" t="b">
            <v>1</v>
          </cell>
          <cell r="E2968" t="str">
            <v>Tierra Bomba</v>
          </cell>
          <cell r="H2968" t="str">
            <v>consulta_externa</v>
          </cell>
          <cell r="J2968" t="str">
            <v>bueno</v>
          </cell>
          <cell r="K2968" t="str">
            <v>defsi</v>
          </cell>
        </row>
        <row r="2969">
          <cell r="B2969" t="b">
            <v>1</v>
          </cell>
          <cell r="E2969" t="str">
            <v>Foco Rojo</v>
          </cell>
          <cell r="H2969" t="str">
            <v>salud_oral</v>
          </cell>
          <cell r="J2969" t="str">
            <v>bueno</v>
          </cell>
          <cell r="K2969" t="str">
            <v>defsi</v>
          </cell>
        </row>
        <row r="2970">
          <cell r="B2970" t="b">
            <v>1</v>
          </cell>
          <cell r="E2970" t="str">
            <v>Tierra Bomba</v>
          </cell>
          <cell r="H2970" t="str">
            <v>consulta_externa</v>
          </cell>
          <cell r="J2970" t="str">
            <v>bueno</v>
          </cell>
          <cell r="K2970" t="str">
            <v>defsi</v>
          </cell>
        </row>
        <row r="2971">
          <cell r="B2971" t="b">
            <v>1</v>
          </cell>
          <cell r="E2971" t="str">
            <v>Foco Rojo</v>
          </cell>
          <cell r="H2971" t="str">
            <v>laboratorio</v>
          </cell>
          <cell r="J2971" t="str">
            <v>bueno</v>
          </cell>
          <cell r="K2971" t="str">
            <v>defsi</v>
          </cell>
        </row>
        <row r="2972">
          <cell r="B2972" t="b">
            <v>1</v>
          </cell>
          <cell r="E2972" t="str">
            <v>Foco Rojo</v>
          </cell>
          <cell r="H2972" t="str">
            <v>consulta_externa</v>
          </cell>
          <cell r="J2972" t="str">
            <v>bueno</v>
          </cell>
          <cell r="K2972" t="str">
            <v>defsi</v>
          </cell>
        </row>
        <row r="2973">
          <cell r="B2973" t="b">
            <v>1</v>
          </cell>
          <cell r="E2973" t="str">
            <v>Foco Rojo</v>
          </cell>
          <cell r="H2973" t="str">
            <v>consulta_externa</v>
          </cell>
          <cell r="J2973" t="str">
            <v>bueno</v>
          </cell>
          <cell r="K2973" t="str">
            <v>defsi</v>
          </cell>
        </row>
        <row r="2974">
          <cell r="B2974" t="b">
            <v>1</v>
          </cell>
          <cell r="E2974" t="str">
            <v>Foco Rojo</v>
          </cell>
          <cell r="H2974" t="str">
            <v>laboratorio</v>
          </cell>
          <cell r="J2974" t="str">
            <v>bueno</v>
          </cell>
          <cell r="K2974" t="str">
            <v>defsi</v>
          </cell>
        </row>
        <row r="2975">
          <cell r="B2975" t="b">
            <v>1</v>
          </cell>
          <cell r="E2975" t="str">
            <v>Baru</v>
          </cell>
          <cell r="H2975" t="str">
            <v>consulta_externa</v>
          </cell>
          <cell r="J2975" t="str">
            <v>muybueno</v>
          </cell>
          <cell r="K2975" t="str">
            <v>defsi</v>
          </cell>
        </row>
        <row r="2976">
          <cell r="B2976" t="b">
            <v>1</v>
          </cell>
          <cell r="E2976" t="str">
            <v>Baru</v>
          </cell>
          <cell r="H2976" t="str">
            <v>laboratorio</v>
          </cell>
          <cell r="J2976" t="str">
            <v>muybueno</v>
          </cell>
          <cell r="K2976" t="str">
            <v>defsi</v>
          </cell>
        </row>
        <row r="2977">
          <cell r="B2977" t="b">
            <v>1</v>
          </cell>
          <cell r="E2977" t="str">
            <v>Foco Rojo</v>
          </cell>
          <cell r="H2977" t="str">
            <v>laboratorio</v>
          </cell>
          <cell r="J2977" t="str">
            <v>bueno</v>
          </cell>
          <cell r="K2977" t="str">
            <v>defsi</v>
          </cell>
        </row>
        <row r="2978">
          <cell r="B2978" t="b">
            <v>1</v>
          </cell>
          <cell r="E2978" t="str">
            <v>Foco Rojo</v>
          </cell>
          <cell r="H2978" t="str">
            <v>salud_oral</v>
          </cell>
          <cell r="J2978" t="str">
            <v>muybueno</v>
          </cell>
          <cell r="K2978" t="str">
            <v>defsi</v>
          </cell>
        </row>
        <row r="2979">
          <cell r="B2979" t="b">
            <v>1</v>
          </cell>
          <cell r="E2979" t="str">
            <v>Foco Rojo</v>
          </cell>
          <cell r="H2979" t="str">
            <v>consulta_externa</v>
          </cell>
          <cell r="J2979" t="str">
            <v>bueno</v>
          </cell>
          <cell r="K2979" t="str">
            <v>defsi</v>
          </cell>
        </row>
        <row r="2980">
          <cell r="B2980" t="b">
            <v>1</v>
          </cell>
          <cell r="E2980" t="str">
            <v>Foco Rojo</v>
          </cell>
          <cell r="H2980" t="str">
            <v>salud_oral</v>
          </cell>
          <cell r="J2980" t="str">
            <v>bueno</v>
          </cell>
          <cell r="K2980" t="str">
            <v>defsi</v>
          </cell>
        </row>
        <row r="2981">
          <cell r="B2981" t="b">
            <v>1</v>
          </cell>
          <cell r="E2981" t="str">
            <v>Foco Rojo</v>
          </cell>
          <cell r="H2981" t="str">
            <v>laboratorio</v>
          </cell>
          <cell r="J2981" t="str">
            <v>bueno</v>
          </cell>
          <cell r="K2981" t="str">
            <v>defsi</v>
          </cell>
        </row>
        <row r="2982">
          <cell r="B2982" t="b">
            <v>1</v>
          </cell>
          <cell r="E2982" t="str">
            <v>Foco Rojo</v>
          </cell>
          <cell r="H2982" t="str">
            <v>consulta_externa</v>
          </cell>
          <cell r="J2982" t="str">
            <v>bueno</v>
          </cell>
          <cell r="K2982" t="str">
            <v>defsi</v>
          </cell>
        </row>
        <row r="2983">
          <cell r="B2983" t="b">
            <v>1</v>
          </cell>
          <cell r="E2983" t="str">
            <v>Foco Rojo</v>
          </cell>
          <cell r="H2983" t="str">
            <v>salud_oral</v>
          </cell>
          <cell r="J2983" t="str">
            <v>bueno</v>
          </cell>
          <cell r="K2983" t="str">
            <v>defsi</v>
          </cell>
        </row>
        <row r="2984">
          <cell r="B2984" t="b">
            <v>1</v>
          </cell>
          <cell r="E2984" t="str">
            <v>Tierra Bomba</v>
          </cell>
          <cell r="H2984" t="str">
            <v>laboratorio</v>
          </cell>
          <cell r="J2984" t="str">
            <v>bueno</v>
          </cell>
          <cell r="K2984" t="str">
            <v>defsi</v>
          </cell>
        </row>
        <row r="2985">
          <cell r="B2985" t="b">
            <v>1</v>
          </cell>
          <cell r="E2985" t="str">
            <v>Tierra Bomba</v>
          </cell>
          <cell r="H2985" t="str">
            <v>laboratorio</v>
          </cell>
          <cell r="J2985" t="str">
            <v>bueno</v>
          </cell>
          <cell r="K2985" t="str">
            <v>defsi</v>
          </cell>
        </row>
        <row r="2986">
          <cell r="B2986" t="b">
            <v>1</v>
          </cell>
          <cell r="E2986" t="str">
            <v>Foco Rojo</v>
          </cell>
          <cell r="H2986" t="str">
            <v>consulta_externa</v>
          </cell>
          <cell r="J2986" t="str">
            <v>bueno</v>
          </cell>
          <cell r="K2986" t="str">
            <v>defsi</v>
          </cell>
        </row>
        <row r="2987">
          <cell r="B2987" t="b">
            <v>1</v>
          </cell>
          <cell r="E2987" t="str">
            <v>San Pedro y Libertad</v>
          </cell>
          <cell r="H2987" t="str">
            <v>consulta_externa</v>
          </cell>
          <cell r="J2987" t="str">
            <v>bueno</v>
          </cell>
          <cell r="K2987" t="str">
            <v>probsi</v>
          </cell>
        </row>
        <row r="2988">
          <cell r="B2988" t="b">
            <v>1</v>
          </cell>
          <cell r="E2988" t="str">
            <v>Foco Rojo</v>
          </cell>
          <cell r="H2988" t="str">
            <v>salud_oral</v>
          </cell>
          <cell r="J2988" t="str">
            <v>bueno</v>
          </cell>
          <cell r="K2988" t="str">
            <v>defsi</v>
          </cell>
        </row>
        <row r="2989">
          <cell r="B2989" t="b">
            <v>1</v>
          </cell>
          <cell r="E2989" t="str">
            <v>San Pedro y Libertad</v>
          </cell>
          <cell r="H2989" t="str">
            <v>laboratorio</v>
          </cell>
          <cell r="J2989" t="str">
            <v>bueno</v>
          </cell>
          <cell r="K2989" t="str">
            <v>probsi</v>
          </cell>
        </row>
        <row r="2990">
          <cell r="B2990" t="b">
            <v>1</v>
          </cell>
          <cell r="E2990" t="str">
            <v>San Pedro y Libertad</v>
          </cell>
          <cell r="H2990" t="str">
            <v>consulta_externa</v>
          </cell>
          <cell r="J2990" t="str">
            <v>bueno</v>
          </cell>
          <cell r="K2990" t="str">
            <v>probsi</v>
          </cell>
        </row>
        <row r="2991">
          <cell r="B2991" t="b">
            <v>1</v>
          </cell>
          <cell r="E2991" t="str">
            <v>Foco Rojo</v>
          </cell>
          <cell r="H2991" t="str">
            <v>consulta_externa</v>
          </cell>
          <cell r="J2991" t="str">
            <v>bueno</v>
          </cell>
          <cell r="K2991" t="str">
            <v>defsi</v>
          </cell>
        </row>
        <row r="2992">
          <cell r="B2992" t="b">
            <v>1</v>
          </cell>
          <cell r="E2992" t="str">
            <v>San Pedro y Libertad</v>
          </cell>
          <cell r="H2992" t="str">
            <v>salud_oral</v>
          </cell>
          <cell r="J2992" t="str">
            <v>bueno</v>
          </cell>
          <cell r="K2992" t="str">
            <v>probsi</v>
          </cell>
        </row>
        <row r="2993">
          <cell r="B2993" t="b">
            <v>1</v>
          </cell>
          <cell r="E2993" t="str">
            <v>Foco Rojo</v>
          </cell>
          <cell r="H2993" t="str">
            <v>salud_oral</v>
          </cell>
          <cell r="J2993" t="str">
            <v>bueno</v>
          </cell>
          <cell r="K2993" t="str">
            <v>defsi</v>
          </cell>
        </row>
        <row r="2994">
          <cell r="B2994" t="b">
            <v>1</v>
          </cell>
          <cell r="E2994" t="str">
            <v>Foco Rojo</v>
          </cell>
          <cell r="H2994" t="str">
            <v>laboratorio</v>
          </cell>
          <cell r="J2994" t="str">
            <v>bueno</v>
          </cell>
          <cell r="K2994" t="str">
            <v>defsi</v>
          </cell>
        </row>
        <row r="2995">
          <cell r="B2995" t="b">
            <v>1</v>
          </cell>
          <cell r="E2995" t="str">
            <v>San Pedro y Libertad</v>
          </cell>
          <cell r="H2995" t="str">
            <v>salud_oral</v>
          </cell>
          <cell r="J2995" t="str">
            <v>bueno</v>
          </cell>
          <cell r="K2995" t="str">
            <v>probsi</v>
          </cell>
        </row>
        <row r="2996">
          <cell r="B2996" t="b">
            <v>1</v>
          </cell>
          <cell r="E2996" t="str">
            <v>San Pedro y Libertad</v>
          </cell>
          <cell r="H2996" t="str">
            <v>consulta_externa</v>
          </cell>
          <cell r="J2996" t="str">
            <v>bueno</v>
          </cell>
          <cell r="K2996" t="str">
            <v>probsi</v>
          </cell>
        </row>
        <row r="2997">
          <cell r="B2997" t="b">
            <v>1</v>
          </cell>
          <cell r="E2997" t="str">
            <v>San Pedro y Libertad</v>
          </cell>
          <cell r="H2997" t="str">
            <v>consulta_externa</v>
          </cell>
          <cell r="J2997" t="str">
            <v>bueno</v>
          </cell>
          <cell r="K2997" t="str">
            <v>probsi</v>
          </cell>
        </row>
        <row r="2998">
          <cell r="B2998" t="b">
            <v>1</v>
          </cell>
          <cell r="E2998" t="str">
            <v>San Pedro y Libertad</v>
          </cell>
          <cell r="H2998" t="str">
            <v>consulta_externa</v>
          </cell>
          <cell r="J2998" t="str">
            <v>bueno</v>
          </cell>
          <cell r="K2998" t="str">
            <v>probsi</v>
          </cell>
        </row>
        <row r="2999">
          <cell r="B2999" t="b">
            <v>1</v>
          </cell>
          <cell r="E2999" t="str">
            <v>San Pedro y Libertad</v>
          </cell>
          <cell r="H2999" t="str">
            <v>salud_oral</v>
          </cell>
          <cell r="J2999" t="str">
            <v>bueno</v>
          </cell>
          <cell r="K2999" t="str">
            <v>probsi</v>
          </cell>
        </row>
        <row r="3000">
          <cell r="B3000" t="b">
            <v>1</v>
          </cell>
          <cell r="E3000" t="str">
            <v>San Pedro y Libertad</v>
          </cell>
          <cell r="H3000" t="str">
            <v>laboratorio</v>
          </cell>
          <cell r="J3000" t="str">
            <v>bueno</v>
          </cell>
          <cell r="K3000" t="str">
            <v>probsi</v>
          </cell>
        </row>
        <row r="3001">
          <cell r="B3001" t="b">
            <v>1</v>
          </cell>
          <cell r="E3001" t="str">
            <v>Nuevo Bosque</v>
          </cell>
          <cell r="H3001" t="str">
            <v>consulta_externa</v>
          </cell>
          <cell r="J3001" t="str">
            <v>bueno</v>
          </cell>
          <cell r="K3001" t="str">
            <v>defsi</v>
          </cell>
        </row>
        <row r="3002">
          <cell r="B3002" t="b">
            <v>1</v>
          </cell>
          <cell r="E3002" t="str">
            <v>San Pedro y Libertad</v>
          </cell>
          <cell r="H3002" t="str">
            <v>consulta_externa</v>
          </cell>
          <cell r="J3002" t="str">
            <v>bueno</v>
          </cell>
          <cell r="K3002" t="str">
            <v>probsi</v>
          </cell>
        </row>
        <row r="3003">
          <cell r="B3003" t="b">
            <v>1</v>
          </cell>
          <cell r="E3003" t="str">
            <v>San Pedro y Libertad</v>
          </cell>
          <cell r="H3003" t="str">
            <v>salud_oral</v>
          </cell>
          <cell r="J3003" t="str">
            <v>bueno</v>
          </cell>
          <cell r="K3003" t="str">
            <v>probsi</v>
          </cell>
        </row>
        <row r="3004">
          <cell r="B3004" t="b">
            <v>1</v>
          </cell>
          <cell r="E3004" t="str">
            <v>Nuevo Bosque</v>
          </cell>
          <cell r="H3004" t="str">
            <v>salud_oral</v>
          </cell>
          <cell r="J3004" t="str">
            <v>bueno</v>
          </cell>
          <cell r="K3004" t="str">
            <v>defsi</v>
          </cell>
        </row>
        <row r="3005">
          <cell r="B3005" t="b">
            <v>1</v>
          </cell>
          <cell r="E3005" t="str">
            <v>San Pedro y Libertad</v>
          </cell>
          <cell r="H3005" t="str">
            <v>laboratorio</v>
          </cell>
          <cell r="J3005" t="str">
            <v>bueno</v>
          </cell>
          <cell r="K3005" t="str">
            <v>probsi</v>
          </cell>
        </row>
        <row r="3006">
          <cell r="B3006" t="b">
            <v>1</v>
          </cell>
          <cell r="E3006" t="str">
            <v>Tierra Bomba</v>
          </cell>
          <cell r="H3006" t="str">
            <v>consulta_externa</v>
          </cell>
          <cell r="J3006" t="str">
            <v>bueno</v>
          </cell>
          <cell r="K3006" t="str">
            <v>defsi</v>
          </cell>
        </row>
        <row r="3007">
          <cell r="B3007" t="b">
            <v>1</v>
          </cell>
          <cell r="E3007" t="str">
            <v>Tierra Bomba</v>
          </cell>
          <cell r="H3007" t="str">
            <v>salud_oral</v>
          </cell>
          <cell r="J3007" t="str">
            <v>bueno</v>
          </cell>
          <cell r="K3007" t="str">
            <v>defsi</v>
          </cell>
        </row>
        <row r="3008">
          <cell r="B3008" t="b">
            <v>1</v>
          </cell>
          <cell r="E3008" t="str">
            <v>Foco Rojo</v>
          </cell>
          <cell r="H3008" t="str">
            <v>salud_oral</v>
          </cell>
          <cell r="J3008" t="str">
            <v>bueno</v>
          </cell>
          <cell r="K3008" t="str">
            <v>defsi</v>
          </cell>
        </row>
        <row r="3009">
          <cell r="B3009" t="b">
            <v>1</v>
          </cell>
          <cell r="E3009" t="str">
            <v>Nuevo Bosque</v>
          </cell>
          <cell r="H3009" t="str">
            <v>laboratorio</v>
          </cell>
          <cell r="J3009" t="str">
            <v>bueno</v>
          </cell>
          <cell r="K3009" t="str">
            <v>defsi</v>
          </cell>
        </row>
        <row r="3010">
          <cell r="B3010" t="b">
            <v>1</v>
          </cell>
          <cell r="E3010" t="str">
            <v>San Pedro y Libertad</v>
          </cell>
          <cell r="H3010" t="str">
            <v>consulta_externa</v>
          </cell>
          <cell r="J3010" t="str">
            <v>bueno</v>
          </cell>
          <cell r="K3010" t="str">
            <v>probsi</v>
          </cell>
        </row>
        <row r="3011">
          <cell r="B3011" t="b">
            <v>1</v>
          </cell>
          <cell r="E3011" t="str">
            <v>Nuevo Bosque</v>
          </cell>
          <cell r="H3011" t="str">
            <v>urgencia</v>
          </cell>
          <cell r="J3011" t="str">
            <v>bueno</v>
          </cell>
          <cell r="K3011" t="str">
            <v>defsi</v>
          </cell>
        </row>
        <row r="3012">
          <cell r="B3012" t="b">
            <v>1</v>
          </cell>
          <cell r="E3012" t="str">
            <v>San Pedro y Libertad</v>
          </cell>
          <cell r="H3012" t="str">
            <v>salud_oral</v>
          </cell>
          <cell r="J3012" t="str">
            <v>bueno</v>
          </cell>
          <cell r="K3012" t="str">
            <v>probsi</v>
          </cell>
        </row>
        <row r="3013">
          <cell r="B3013" t="b">
            <v>0</v>
          </cell>
          <cell r="E3013" t="str">
            <v>San Pedro y Libertad</v>
          </cell>
          <cell r="H3013" t="str">
            <v>laboratorio</v>
          </cell>
          <cell r="J3013" t="str">
            <v>regular</v>
          </cell>
          <cell r="K3013" t="str">
            <v>probsi</v>
          </cell>
        </row>
        <row r="3014">
          <cell r="B3014" t="b">
            <v>0</v>
          </cell>
          <cell r="E3014" t="str">
            <v>San Pedro y Libertad</v>
          </cell>
          <cell r="H3014" t="str">
            <v>laboratorio</v>
          </cell>
          <cell r="J3014" t="str">
            <v>regular</v>
          </cell>
          <cell r="K3014" t="str">
            <v>probsi</v>
          </cell>
        </row>
        <row r="3015">
          <cell r="B3015" t="b">
            <v>1</v>
          </cell>
          <cell r="E3015" t="str">
            <v>Nuevo Bosque</v>
          </cell>
          <cell r="H3015" t="str">
            <v>consulta_externa</v>
          </cell>
          <cell r="J3015" t="str">
            <v>bueno</v>
          </cell>
          <cell r="K3015" t="str">
            <v>defsi</v>
          </cell>
        </row>
        <row r="3016">
          <cell r="B3016" t="b">
            <v>1</v>
          </cell>
          <cell r="E3016" t="str">
            <v>Nuevo Bosque</v>
          </cell>
          <cell r="H3016" t="str">
            <v>salud_oral</v>
          </cell>
          <cell r="J3016" t="str">
            <v>bueno</v>
          </cell>
          <cell r="K3016" t="str">
            <v>defsi</v>
          </cell>
        </row>
        <row r="3017">
          <cell r="B3017" t="b">
            <v>1</v>
          </cell>
          <cell r="E3017" t="str">
            <v>Nuevo Bosque</v>
          </cell>
          <cell r="H3017" t="str">
            <v>laboratorio</v>
          </cell>
          <cell r="J3017" t="str">
            <v>bueno</v>
          </cell>
          <cell r="K3017" t="str">
            <v>defsi</v>
          </cell>
        </row>
        <row r="3018">
          <cell r="B3018" t="b">
            <v>1</v>
          </cell>
          <cell r="E3018" t="str">
            <v>Tierra Bomba</v>
          </cell>
          <cell r="H3018" t="str">
            <v>consulta_externa</v>
          </cell>
          <cell r="J3018" t="str">
            <v>bueno</v>
          </cell>
          <cell r="K3018" t="str">
            <v>defsi</v>
          </cell>
        </row>
        <row r="3019">
          <cell r="B3019" t="b">
            <v>1</v>
          </cell>
          <cell r="E3019" t="str">
            <v>Tierra Bomba</v>
          </cell>
          <cell r="H3019" t="str">
            <v>consulta_externa</v>
          </cell>
          <cell r="J3019" t="str">
            <v>bueno</v>
          </cell>
          <cell r="K3019" t="str">
            <v>defsi</v>
          </cell>
        </row>
        <row r="3020">
          <cell r="B3020" t="b">
            <v>1</v>
          </cell>
          <cell r="E3020" t="str">
            <v>Baru</v>
          </cell>
          <cell r="H3020" t="str">
            <v>salud_oral</v>
          </cell>
          <cell r="J3020" t="str">
            <v>muybueno</v>
          </cell>
          <cell r="K3020" t="str">
            <v>defsi</v>
          </cell>
        </row>
        <row r="3021">
          <cell r="B3021" t="b">
            <v>1</v>
          </cell>
          <cell r="E3021" t="str">
            <v>Nuevo Bosque</v>
          </cell>
          <cell r="H3021" t="str">
            <v>urgencia</v>
          </cell>
          <cell r="J3021" t="str">
            <v>bueno</v>
          </cell>
          <cell r="K3021" t="str">
            <v>defsi</v>
          </cell>
        </row>
        <row r="3022">
          <cell r="B3022" t="b">
            <v>1</v>
          </cell>
          <cell r="E3022" t="str">
            <v>Nuevo Bosque</v>
          </cell>
          <cell r="H3022" t="str">
            <v>consulta_externa</v>
          </cell>
          <cell r="J3022" t="str">
            <v>bueno</v>
          </cell>
          <cell r="K3022" t="str">
            <v>defsi</v>
          </cell>
        </row>
        <row r="3023">
          <cell r="B3023" t="b">
            <v>1</v>
          </cell>
          <cell r="E3023" t="str">
            <v>Nuevo Bosque</v>
          </cell>
          <cell r="H3023" t="str">
            <v>salud_oral</v>
          </cell>
          <cell r="J3023" t="str">
            <v>bueno</v>
          </cell>
          <cell r="K3023" t="str">
            <v>defsi</v>
          </cell>
        </row>
        <row r="3024">
          <cell r="B3024" t="b">
            <v>1</v>
          </cell>
          <cell r="E3024" t="str">
            <v>Nuevo Bosque</v>
          </cell>
          <cell r="H3024" t="str">
            <v>laboratorio</v>
          </cell>
          <cell r="J3024" t="str">
            <v>bueno</v>
          </cell>
          <cell r="K3024" t="str">
            <v>defsi</v>
          </cell>
        </row>
        <row r="3025">
          <cell r="B3025" t="b">
            <v>0</v>
          </cell>
          <cell r="E3025" t="str">
            <v>San Pedro y Libertad</v>
          </cell>
          <cell r="H3025" t="str">
            <v>consulta_externa</v>
          </cell>
          <cell r="J3025" t="str">
            <v>regular</v>
          </cell>
          <cell r="K3025" t="str">
            <v>probsi</v>
          </cell>
        </row>
        <row r="3026">
          <cell r="B3026" t="b">
            <v>1</v>
          </cell>
          <cell r="E3026" t="str">
            <v>San Pedro y Libertad</v>
          </cell>
          <cell r="H3026" t="str">
            <v>consulta_externa</v>
          </cell>
          <cell r="J3026" t="str">
            <v>bueno</v>
          </cell>
          <cell r="K3026" t="str">
            <v>probsi</v>
          </cell>
        </row>
        <row r="3027">
          <cell r="B3027" t="b">
            <v>1</v>
          </cell>
          <cell r="E3027" t="str">
            <v>Nuevo Bosque</v>
          </cell>
          <cell r="H3027" t="str">
            <v>urgencia</v>
          </cell>
          <cell r="J3027" t="str">
            <v>bueno</v>
          </cell>
          <cell r="K3027" t="str">
            <v>defsi</v>
          </cell>
        </row>
        <row r="3028">
          <cell r="B3028" t="b">
            <v>1</v>
          </cell>
          <cell r="E3028" t="str">
            <v>San Pedro y Libertad</v>
          </cell>
          <cell r="H3028" t="str">
            <v>consulta_externa</v>
          </cell>
          <cell r="J3028" t="str">
            <v>bueno</v>
          </cell>
          <cell r="K3028" t="str">
            <v>probsi</v>
          </cell>
        </row>
        <row r="3029">
          <cell r="B3029" t="b">
            <v>1</v>
          </cell>
          <cell r="E3029" t="str">
            <v>San Pedro y Libertad</v>
          </cell>
          <cell r="H3029" t="str">
            <v>salud_oral</v>
          </cell>
          <cell r="J3029" t="str">
            <v>bueno</v>
          </cell>
          <cell r="K3029" t="str">
            <v>probsi</v>
          </cell>
        </row>
        <row r="3030">
          <cell r="B3030" t="b">
            <v>1</v>
          </cell>
          <cell r="E3030" t="str">
            <v>San Pedro y Libertad</v>
          </cell>
          <cell r="H3030" t="str">
            <v>salud_oral</v>
          </cell>
          <cell r="J3030" t="str">
            <v>bueno</v>
          </cell>
          <cell r="K3030" t="str">
            <v>probsi</v>
          </cell>
        </row>
        <row r="3031">
          <cell r="B3031" t="b">
            <v>1</v>
          </cell>
          <cell r="E3031" t="str">
            <v>Foco Rojo</v>
          </cell>
          <cell r="H3031" t="str">
            <v>consulta_externa</v>
          </cell>
          <cell r="J3031" t="str">
            <v>bueno</v>
          </cell>
          <cell r="K3031" t="str">
            <v>defsi</v>
          </cell>
        </row>
        <row r="3032">
          <cell r="B3032" t="b">
            <v>1</v>
          </cell>
          <cell r="E3032" t="str">
            <v>Tierra Bomba</v>
          </cell>
          <cell r="H3032" t="str">
            <v>salud_oral</v>
          </cell>
          <cell r="J3032" t="str">
            <v>bueno</v>
          </cell>
          <cell r="K3032" t="str">
            <v>probsi</v>
          </cell>
        </row>
        <row r="3033">
          <cell r="B3033" t="b">
            <v>1</v>
          </cell>
          <cell r="E3033" t="str">
            <v>San Pedro y Libertad</v>
          </cell>
          <cell r="H3033" t="str">
            <v>salud_oral</v>
          </cell>
          <cell r="J3033" t="str">
            <v>bueno</v>
          </cell>
          <cell r="K3033" t="str">
            <v>probsi</v>
          </cell>
        </row>
        <row r="3034">
          <cell r="B3034" t="b">
            <v>1</v>
          </cell>
          <cell r="E3034" t="str">
            <v>Tierra Bomba</v>
          </cell>
          <cell r="H3034" t="str">
            <v>salud_oral</v>
          </cell>
          <cell r="J3034" t="str">
            <v>bueno</v>
          </cell>
          <cell r="K3034" t="str">
            <v>probsi</v>
          </cell>
        </row>
        <row r="3035">
          <cell r="B3035" t="b">
            <v>1</v>
          </cell>
          <cell r="E3035" t="str">
            <v>Foco Rojo</v>
          </cell>
          <cell r="H3035" t="str">
            <v>salud_oral</v>
          </cell>
          <cell r="J3035" t="str">
            <v>bueno</v>
          </cell>
          <cell r="K3035" t="str">
            <v>defsi</v>
          </cell>
        </row>
        <row r="3036">
          <cell r="B3036" t="b">
            <v>1</v>
          </cell>
          <cell r="E3036" t="str">
            <v>San Pedro y Libertad</v>
          </cell>
          <cell r="H3036" t="str">
            <v>laboratorio</v>
          </cell>
          <cell r="J3036" t="str">
            <v>bueno</v>
          </cell>
          <cell r="K3036" t="str">
            <v>probsi</v>
          </cell>
        </row>
        <row r="3037">
          <cell r="B3037" t="b">
            <v>1</v>
          </cell>
          <cell r="E3037" t="str">
            <v>Foco Rojo</v>
          </cell>
          <cell r="H3037" t="str">
            <v>salud_oral</v>
          </cell>
          <cell r="J3037" t="str">
            <v>bueno</v>
          </cell>
          <cell r="K3037" t="str">
            <v>defsi</v>
          </cell>
        </row>
        <row r="3038">
          <cell r="B3038" t="b">
            <v>1</v>
          </cell>
          <cell r="E3038" t="str">
            <v>Tierra Bomba</v>
          </cell>
          <cell r="H3038" t="str">
            <v>laboratorio</v>
          </cell>
          <cell r="J3038" t="str">
            <v>bueno</v>
          </cell>
          <cell r="K3038" t="str">
            <v>defsi</v>
          </cell>
        </row>
        <row r="3039">
          <cell r="B3039" t="b">
            <v>1</v>
          </cell>
          <cell r="E3039" t="str">
            <v>San Pedro y Libertad</v>
          </cell>
          <cell r="H3039" t="str">
            <v>consulta_externa</v>
          </cell>
          <cell r="J3039" t="str">
            <v>bueno</v>
          </cell>
          <cell r="K3039" t="str">
            <v>probsi</v>
          </cell>
        </row>
        <row r="3040">
          <cell r="B3040" t="b">
            <v>1</v>
          </cell>
          <cell r="E3040" t="str">
            <v>San Pedro y Libertad</v>
          </cell>
          <cell r="H3040" t="str">
            <v>laboratorio</v>
          </cell>
          <cell r="J3040" t="str">
            <v>bueno</v>
          </cell>
          <cell r="K3040" t="str">
            <v>probsi</v>
          </cell>
        </row>
        <row r="3041">
          <cell r="B3041" t="b">
            <v>1</v>
          </cell>
          <cell r="E3041" t="str">
            <v>Baru</v>
          </cell>
          <cell r="H3041" t="str">
            <v>consulta_externa</v>
          </cell>
          <cell r="J3041" t="str">
            <v>muybueno</v>
          </cell>
          <cell r="K3041" t="str">
            <v>defsi</v>
          </cell>
        </row>
        <row r="3042">
          <cell r="B3042" t="b">
            <v>1</v>
          </cell>
          <cell r="E3042" t="str">
            <v>Baru</v>
          </cell>
          <cell r="H3042" t="str">
            <v>laboratorio</v>
          </cell>
          <cell r="J3042" t="str">
            <v>muybueno</v>
          </cell>
          <cell r="K3042" t="str">
            <v>defsi</v>
          </cell>
        </row>
        <row r="3043">
          <cell r="B3043" t="b">
            <v>1</v>
          </cell>
          <cell r="E3043" t="str">
            <v>Foco Rojo</v>
          </cell>
          <cell r="H3043" t="str">
            <v>laboratorio</v>
          </cell>
          <cell r="J3043" t="str">
            <v>bueno</v>
          </cell>
          <cell r="K3043" t="str">
            <v>defsi</v>
          </cell>
        </row>
        <row r="3044">
          <cell r="B3044" t="b">
            <v>1</v>
          </cell>
          <cell r="E3044" t="str">
            <v>Foco Rojo</v>
          </cell>
          <cell r="H3044" t="str">
            <v>consulta_externa</v>
          </cell>
          <cell r="J3044" t="str">
            <v>bueno</v>
          </cell>
          <cell r="K3044" t="str">
            <v>defsi</v>
          </cell>
        </row>
        <row r="3045">
          <cell r="B3045" t="b">
            <v>1</v>
          </cell>
          <cell r="E3045" t="str">
            <v>Foco Rojo</v>
          </cell>
          <cell r="H3045" t="str">
            <v>consulta_externa</v>
          </cell>
          <cell r="J3045" t="str">
            <v>bueno</v>
          </cell>
          <cell r="K3045" t="str">
            <v>defsi</v>
          </cell>
        </row>
        <row r="3046">
          <cell r="B3046" t="b">
            <v>1</v>
          </cell>
          <cell r="E3046" t="str">
            <v>Foco Rojo</v>
          </cell>
          <cell r="H3046" t="str">
            <v>salud_oral</v>
          </cell>
          <cell r="J3046" t="str">
            <v>bueno</v>
          </cell>
          <cell r="K3046" t="str">
            <v>defsi</v>
          </cell>
        </row>
        <row r="3047">
          <cell r="B3047" t="b">
            <v>1</v>
          </cell>
          <cell r="E3047" t="str">
            <v>Nuevo Bosque</v>
          </cell>
          <cell r="H3047" t="str">
            <v>consulta_externa</v>
          </cell>
          <cell r="J3047" t="str">
            <v>bueno</v>
          </cell>
          <cell r="K3047" t="str">
            <v>defsi</v>
          </cell>
        </row>
        <row r="3048">
          <cell r="B3048" t="b">
            <v>1</v>
          </cell>
          <cell r="E3048" t="str">
            <v>Tierra Bomba</v>
          </cell>
          <cell r="H3048" t="str">
            <v>consulta_externa</v>
          </cell>
          <cell r="J3048" t="str">
            <v>bueno</v>
          </cell>
          <cell r="K3048" t="str">
            <v>defsi</v>
          </cell>
        </row>
        <row r="3049">
          <cell r="B3049" t="b">
            <v>1</v>
          </cell>
          <cell r="E3049" t="str">
            <v>San Pedro y Libertad</v>
          </cell>
          <cell r="H3049" t="str">
            <v>consulta_externa</v>
          </cell>
          <cell r="J3049" t="str">
            <v>bueno</v>
          </cell>
          <cell r="K3049" t="str">
            <v>probsi</v>
          </cell>
        </row>
        <row r="3050">
          <cell r="B3050" t="b">
            <v>1</v>
          </cell>
          <cell r="E3050" t="str">
            <v>San Pedro y Libertad</v>
          </cell>
          <cell r="H3050" t="str">
            <v>laboratorio</v>
          </cell>
          <cell r="J3050" t="str">
            <v>bueno</v>
          </cell>
          <cell r="K3050" t="str">
            <v>probsi</v>
          </cell>
        </row>
        <row r="3051">
          <cell r="B3051" t="b">
            <v>1</v>
          </cell>
          <cell r="E3051" t="str">
            <v>San Pedro y Libertad</v>
          </cell>
          <cell r="H3051" t="str">
            <v>consulta_externa</v>
          </cell>
          <cell r="J3051" t="str">
            <v>bueno</v>
          </cell>
          <cell r="K3051" t="str">
            <v>probsi</v>
          </cell>
        </row>
        <row r="3052">
          <cell r="B3052" t="b">
            <v>1</v>
          </cell>
          <cell r="E3052" t="str">
            <v>San Pedro y Libertad</v>
          </cell>
          <cell r="H3052" t="str">
            <v>salud_oral</v>
          </cell>
          <cell r="J3052" t="str">
            <v>bueno</v>
          </cell>
          <cell r="K3052" t="str">
            <v>probsi</v>
          </cell>
        </row>
        <row r="3053">
          <cell r="B3053" t="b">
            <v>1</v>
          </cell>
          <cell r="E3053" t="str">
            <v>Tierra Bomba</v>
          </cell>
          <cell r="H3053" t="str">
            <v>salud_oral</v>
          </cell>
          <cell r="J3053" t="str">
            <v>bueno</v>
          </cell>
          <cell r="K3053" t="str">
            <v>defsi</v>
          </cell>
        </row>
        <row r="3054">
          <cell r="B3054" t="b">
            <v>1</v>
          </cell>
          <cell r="E3054" t="str">
            <v>Tierra Bomba</v>
          </cell>
          <cell r="H3054" t="str">
            <v>consulta_externa</v>
          </cell>
          <cell r="J3054" t="str">
            <v>bueno</v>
          </cell>
          <cell r="K3054" t="str">
            <v>defsi</v>
          </cell>
        </row>
        <row r="3055">
          <cell r="B3055" t="b">
            <v>1</v>
          </cell>
          <cell r="E3055" t="str">
            <v>Nuevo Bosque</v>
          </cell>
          <cell r="H3055" t="str">
            <v>salud_oral</v>
          </cell>
          <cell r="J3055" t="str">
            <v>bueno</v>
          </cell>
          <cell r="K3055" t="str">
            <v>defsi</v>
          </cell>
        </row>
        <row r="3056">
          <cell r="B3056" t="b">
            <v>1</v>
          </cell>
          <cell r="E3056" t="str">
            <v>Tierra Bomba</v>
          </cell>
          <cell r="H3056" t="str">
            <v>consulta_externa</v>
          </cell>
          <cell r="J3056" t="str">
            <v>bueno</v>
          </cell>
          <cell r="K3056" t="str">
            <v>defsi</v>
          </cell>
        </row>
        <row r="3057">
          <cell r="B3057" t="b">
            <v>1</v>
          </cell>
          <cell r="E3057" t="str">
            <v>Nuevo Bosque</v>
          </cell>
          <cell r="H3057" t="str">
            <v>laboratorio</v>
          </cell>
          <cell r="J3057" t="str">
            <v>bueno</v>
          </cell>
          <cell r="K3057" t="str">
            <v>defsi</v>
          </cell>
        </row>
        <row r="3058">
          <cell r="B3058" t="b">
            <v>1</v>
          </cell>
          <cell r="E3058" t="str">
            <v>Foco Rojo</v>
          </cell>
          <cell r="H3058" t="str">
            <v>salud_oral</v>
          </cell>
          <cell r="J3058" t="str">
            <v>bueno</v>
          </cell>
          <cell r="K3058" t="str">
            <v>defsi</v>
          </cell>
        </row>
        <row r="3059">
          <cell r="B3059" t="b">
            <v>1</v>
          </cell>
          <cell r="E3059" t="str">
            <v>Tierra Bomba</v>
          </cell>
          <cell r="H3059" t="str">
            <v>consulta_externa</v>
          </cell>
          <cell r="J3059" t="str">
            <v>bueno</v>
          </cell>
          <cell r="K3059" t="str">
            <v>defsi</v>
          </cell>
        </row>
        <row r="3060">
          <cell r="B3060" t="b">
            <v>1</v>
          </cell>
          <cell r="E3060" t="str">
            <v>Tierra Bomba</v>
          </cell>
          <cell r="H3060" t="str">
            <v>consulta_externa</v>
          </cell>
          <cell r="J3060" t="str">
            <v>bueno</v>
          </cell>
          <cell r="K3060" t="str">
            <v>defsi</v>
          </cell>
        </row>
        <row r="3061">
          <cell r="B3061" t="b">
            <v>1</v>
          </cell>
          <cell r="E3061" t="str">
            <v>Nuevo Bosque</v>
          </cell>
          <cell r="H3061" t="str">
            <v>urgencia</v>
          </cell>
          <cell r="J3061" t="str">
            <v>bueno</v>
          </cell>
          <cell r="K3061" t="str">
            <v>defsi</v>
          </cell>
        </row>
        <row r="3062">
          <cell r="B3062" t="b">
            <v>1</v>
          </cell>
          <cell r="E3062" t="str">
            <v>San Pedro y Libertad</v>
          </cell>
          <cell r="H3062" t="str">
            <v>consulta_externa</v>
          </cell>
          <cell r="J3062" t="str">
            <v>muybueno</v>
          </cell>
          <cell r="K3062" t="str">
            <v>probsi</v>
          </cell>
        </row>
        <row r="3063">
          <cell r="B3063" t="b">
            <v>1</v>
          </cell>
          <cell r="E3063" t="str">
            <v>San Pedro y Libertad</v>
          </cell>
          <cell r="H3063" t="str">
            <v>laboratorio</v>
          </cell>
          <cell r="J3063" t="str">
            <v>bueno</v>
          </cell>
          <cell r="K3063" t="str">
            <v>probsi</v>
          </cell>
        </row>
        <row r="3064">
          <cell r="B3064" t="b">
            <v>1</v>
          </cell>
          <cell r="E3064" t="str">
            <v>San Pedro y Libertad</v>
          </cell>
          <cell r="H3064" t="str">
            <v>salud_oral</v>
          </cell>
          <cell r="J3064" t="str">
            <v>bueno</v>
          </cell>
          <cell r="K3064" t="str">
            <v>probsi</v>
          </cell>
        </row>
        <row r="3065">
          <cell r="B3065" t="b">
            <v>1</v>
          </cell>
          <cell r="E3065" t="str">
            <v>Tierra Bomba</v>
          </cell>
          <cell r="H3065" t="str">
            <v>consulta_externa</v>
          </cell>
          <cell r="J3065" t="str">
            <v>bueno</v>
          </cell>
          <cell r="K3065" t="str">
            <v>defsi</v>
          </cell>
        </row>
        <row r="3066">
          <cell r="B3066" t="b">
            <v>1</v>
          </cell>
          <cell r="E3066" t="str">
            <v>Tierra Bomba</v>
          </cell>
          <cell r="H3066" t="str">
            <v>laboratorio</v>
          </cell>
          <cell r="J3066" t="str">
            <v>bueno</v>
          </cell>
          <cell r="K3066" t="str">
            <v>defsi</v>
          </cell>
        </row>
        <row r="3067">
          <cell r="B3067" t="b">
            <v>1</v>
          </cell>
          <cell r="E3067" t="str">
            <v>San Pedro y Libertad</v>
          </cell>
          <cell r="H3067" t="str">
            <v>consulta_externa</v>
          </cell>
          <cell r="J3067" t="str">
            <v>bueno</v>
          </cell>
          <cell r="K3067" t="str">
            <v>probsi</v>
          </cell>
        </row>
        <row r="3068">
          <cell r="B3068" t="b">
            <v>1</v>
          </cell>
          <cell r="E3068" t="str">
            <v>Tierra Bomba</v>
          </cell>
          <cell r="H3068" t="str">
            <v>laboratorio</v>
          </cell>
          <cell r="J3068" t="str">
            <v>bueno</v>
          </cell>
          <cell r="K3068" t="str">
            <v>defsi</v>
          </cell>
        </row>
        <row r="3069">
          <cell r="B3069" t="b">
            <v>1</v>
          </cell>
          <cell r="E3069" t="str">
            <v>Baru</v>
          </cell>
          <cell r="H3069" t="str">
            <v>consulta_externa</v>
          </cell>
          <cell r="J3069" t="str">
            <v>muybueno</v>
          </cell>
          <cell r="K3069" t="str">
            <v>defsi</v>
          </cell>
        </row>
        <row r="3070">
          <cell r="B3070" t="b">
            <v>1</v>
          </cell>
          <cell r="E3070" t="str">
            <v>Baru</v>
          </cell>
          <cell r="H3070" t="str">
            <v>laboratorio</v>
          </cell>
          <cell r="J3070" t="str">
            <v>muybueno</v>
          </cell>
          <cell r="K3070" t="str">
            <v>defsi</v>
          </cell>
        </row>
        <row r="3071">
          <cell r="B3071" t="b">
            <v>1</v>
          </cell>
          <cell r="E3071" t="str">
            <v>San Pedro y Libertad</v>
          </cell>
          <cell r="H3071" t="str">
            <v>consulta_externa</v>
          </cell>
          <cell r="J3071" t="str">
            <v>bueno</v>
          </cell>
          <cell r="K3071" t="str">
            <v>probsi</v>
          </cell>
        </row>
        <row r="3072">
          <cell r="B3072" t="b">
            <v>1</v>
          </cell>
          <cell r="E3072" t="str">
            <v>San Pedro y Libertad</v>
          </cell>
          <cell r="H3072" t="str">
            <v>salud_oral</v>
          </cell>
          <cell r="J3072" t="str">
            <v>bueno</v>
          </cell>
          <cell r="K3072" t="str">
            <v>probsi</v>
          </cell>
        </row>
        <row r="3073">
          <cell r="B3073" t="b">
            <v>1</v>
          </cell>
          <cell r="E3073" t="str">
            <v>San Pedro y Libertad</v>
          </cell>
          <cell r="H3073" t="str">
            <v>salud_oral</v>
          </cell>
          <cell r="J3073" t="str">
            <v>bueno</v>
          </cell>
          <cell r="K3073" t="str">
            <v>probsi</v>
          </cell>
        </row>
        <row r="3074">
          <cell r="B3074" t="b">
            <v>1</v>
          </cell>
          <cell r="E3074" t="str">
            <v>San Pedro y Libertad</v>
          </cell>
          <cell r="H3074" t="str">
            <v>consulta_externa</v>
          </cell>
          <cell r="J3074" t="str">
            <v>bueno</v>
          </cell>
          <cell r="K3074" t="str">
            <v>probsi</v>
          </cell>
        </row>
        <row r="3075">
          <cell r="B3075" t="b">
            <v>0</v>
          </cell>
          <cell r="E3075" t="str">
            <v>San Pedro y Libertad</v>
          </cell>
          <cell r="H3075" t="str">
            <v>consulta_externa</v>
          </cell>
          <cell r="J3075" t="str">
            <v>regular</v>
          </cell>
          <cell r="K3075" t="str">
            <v>probsi</v>
          </cell>
        </row>
        <row r="3076">
          <cell r="B3076" t="b">
            <v>1</v>
          </cell>
          <cell r="E3076" t="str">
            <v>Foco Rojo</v>
          </cell>
          <cell r="H3076" t="str">
            <v>salud_oral</v>
          </cell>
          <cell r="J3076" t="str">
            <v>bueno</v>
          </cell>
          <cell r="K3076" t="str">
            <v>defsi</v>
          </cell>
        </row>
        <row r="3077">
          <cell r="B3077" t="b">
            <v>1</v>
          </cell>
          <cell r="E3077" t="str">
            <v>Foco Rojo</v>
          </cell>
          <cell r="H3077" t="str">
            <v>laboratorio</v>
          </cell>
          <cell r="J3077" t="str">
            <v>bueno</v>
          </cell>
          <cell r="K3077" t="str">
            <v>defsi</v>
          </cell>
        </row>
        <row r="3078">
          <cell r="B3078" t="b">
            <v>1</v>
          </cell>
          <cell r="E3078" t="str">
            <v>Foco Rojo</v>
          </cell>
          <cell r="H3078" t="str">
            <v>laboratorio</v>
          </cell>
          <cell r="J3078" t="str">
            <v>bueno</v>
          </cell>
          <cell r="K3078" t="str">
            <v>defsi</v>
          </cell>
        </row>
        <row r="3079">
          <cell r="B3079" t="b">
            <v>1</v>
          </cell>
          <cell r="E3079" t="str">
            <v>Foco Rojo</v>
          </cell>
          <cell r="H3079" t="str">
            <v>consulta_externa</v>
          </cell>
          <cell r="J3079" t="str">
            <v>bueno</v>
          </cell>
          <cell r="K3079" t="str">
            <v>defsi</v>
          </cell>
        </row>
        <row r="3080">
          <cell r="B3080" t="b">
            <v>1</v>
          </cell>
          <cell r="E3080" t="str">
            <v>Foco Rojo</v>
          </cell>
          <cell r="H3080" t="str">
            <v>consulta_externa</v>
          </cell>
          <cell r="J3080" t="str">
            <v>bueno</v>
          </cell>
          <cell r="K3080" t="str">
            <v>defsi</v>
          </cell>
        </row>
        <row r="3081">
          <cell r="B3081" t="b">
            <v>1</v>
          </cell>
          <cell r="E3081" t="str">
            <v>Foco Rojo</v>
          </cell>
          <cell r="H3081" t="str">
            <v>salud_oral</v>
          </cell>
          <cell r="J3081" t="str">
            <v>muybueno</v>
          </cell>
          <cell r="K3081" t="str">
            <v>defsi</v>
          </cell>
        </row>
        <row r="3082">
          <cell r="B3082" t="b">
            <v>1</v>
          </cell>
          <cell r="E3082" t="str">
            <v>Foco Rojo</v>
          </cell>
          <cell r="H3082" t="str">
            <v>salud_oral</v>
          </cell>
          <cell r="J3082" t="str">
            <v>muybueno</v>
          </cell>
          <cell r="K3082" t="str">
            <v>defsi</v>
          </cell>
        </row>
        <row r="3083">
          <cell r="B3083" t="b">
            <v>1</v>
          </cell>
          <cell r="E3083" t="str">
            <v>Tierra Bomba</v>
          </cell>
          <cell r="H3083" t="str">
            <v>laboratorio</v>
          </cell>
          <cell r="J3083" t="str">
            <v>bueno</v>
          </cell>
          <cell r="K3083" t="str">
            <v>defsi</v>
          </cell>
        </row>
        <row r="3084">
          <cell r="B3084" t="b">
            <v>1</v>
          </cell>
          <cell r="E3084" t="str">
            <v>Baru</v>
          </cell>
          <cell r="H3084" t="str">
            <v>salud_oral</v>
          </cell>
          <cell r="J3084" t="str">
            <v>muybueno</v>
          </cell>
          <cell r="K3084" t="str">
            <v>defsi</v>
          </cell>
        </row>
        <row r="3085">
          <cell r="B3085" t="b">
            <v>1</v>
          </cell>
          <cell r="E3085" t="str">
            <v>Foco Rojo</v>
          </cell>
          <cell r="H3085" t="str">
            <v>consulta_externa</v>
          </cell>
          <cell r="J3085" t="str">
            <v>bueno</v>
          </cell>
          <cell r="K3085" t="str">
            <v>defsi</v>
          </cell>
        </row>
        <row r="3086">
          <cell r="B3086" t="b">
            <v>1</v>
          </cell>
          <cell r="E3086" t="str">
            <v>Tierra Bomba</v>
          </cell>
          <cell r="H3086" t="str">
            <v>consulta_externa</v>
          </cell>
          <cell r="J3086" t="str">
            <v>bueno</v>
          </cell>
          <cell r="K3086" t="str">
            <v>defsi</v>
          </cell>
        </row>
        <row r="3087">
          <cell r="B3087" t="b">
            <v>1</v>
          </cell>
          <cell r="E3087" t="str">
            <v>Tierra Bomba</v>
          </cell>
          <cell r="H3087" t="str">
            <v>laboratorio</v>
          </cell>
          <cell r="J3087" t="str">
            <v>bueno</v>
          </cell>
          <cell r="K3087" t="str">
            <v>probsi</v>
          </cell>
        </row>
        <row r="3088">
          <cell r="B3088" t="b">
            <v>1</v>
          </cell>
          <cell r="E3088" t="str">
            <v>Baru</v>
          </cell>
          <cell r="H3088" t="str">
            <v>consulta_externa</v>
          </cell>
          <cell r="J3088" t="str">
            <v>muybueno</v>
          </cell>
          <cell r="K3088" t="str">
            <v>defsi</v>
          </cell>
        </row>
        <row r="3089">
          <cell r="B3089" t="b">
            <v>1</v>
          </cell>
          <cell r="E3089" t="str">
            <v>San Pedro y Libertad</v>
          </cell>
          <cell r="H3089" t="str">
            <v>laboratorio</v>
          </cell>
          <cell r="J3089" t="str">
            <v>bueno</v>
          </cell>
          <cell r="K3089" t="str">
            <v>probsi</v>
          </cell>
        </row>
        <row r="3090">
          <cell r="B3090" t="b">
            <v>1</v>
          </cell>
          <cell r="E3090" t="str">
            <v>San Pedro y Libertad</v>
          </cell>
          <cell r="H3090" t="str">
            <v>laboratorio</v>
          </cell>
          <cell r="J3090" t="str">
            <v>bueno</v>
          </cell>
          <cell r="K3090" t="str">
            <v>probsi</v>
          </cell>
        </row>
        <row r="3091">
          <cell r="B3091" t="b">
            <v>1</v>
          </cell>
          <cell r="E3091" t="str">
            <v>San Pedro y Libertad</v>
          </cell>
          <cell r="H3091" t="str">
            <v>laboratorio</v>
          </cell>
          <cell r="J3091" t="str">
            <v>bueno</v>
          </cell>
          <cell r="K3091" t="str">
            <v>probsi</v>
          </cell>
        </row>
        <row r="3092">
          <cell r="B3092" t="b">
            <v>1</v>
          </cell>
          <cell r="E3092" t="str">
            <v>San Pedro y Libertad</v>
          </cell>
          <cell r="H3092" t="str">
            <v>laboratorio</v>
          </cell>
          <cell r="J3092" t="str">
            <v>bueno</v>
          </cell>
          <cell r="K3092" t="str">
            <v>probsi</v>
          </cell>
        </row>
        <row r="3093">
          <cell r="B3093" t="b">
            <v>1</v>
          </cell>
          <cell r="E3093" t="str">
            <v>San Pedro y Libertad</v>
          </cell>
          <cell r="H3093" t="str">
            <v>laboratorio</v>
          </cell>
          <cell r="J3093" t="str">
            <v>bueno</v>
          </cell>
          <cell r="K3093" t="str">
            <v>probsi</v>
          </cell>
        </row>
        <row r="3094">
          <cell r="B3094" t="b">
            <v>1</v>
          </cell>
          <cell r="E3094" t="str">
            <v>Nuevo Bosque</v>
          </cell>
          <cell r="H3094" t="str">
            <v>consulta_externa</v>
          </cell>
          <cell r="J3094" t="str">
            <v>bueno</v>
          </cell>
          <cell r="K3094" t="str">
            <v>defsi</v>
          </cell>
        </row>
        <row r="3095">
          <cell r="B3095" t="b">
            <v>1</v>
          </cell>
          <cell r="E3095" t="str">
            <v>Tierra Bomba</v>
          </cell>
          <cell r="H3095" t="str">
            <v>consulta_externa</v>
          </cell>
          <cell r="J3095" t="str">
            <v>bueno</v>
          </cell>
          <cell r="K3095" t="str">
            <v>defsi</v>
          </cell>
        </row>
        <row r="3096">
          <cell r="B3096" t="b">
            <v>1</v>
          </cell>
          <cell r="E3096" t="str">
            <v>Tierra Bomba</v>
          </cell>
          <cell r="H3096" t="str">
            <v>salud_oral</v>
          </cell>
          <cell r="J3096" t="str">
            <v>bueno</v>
          </cell>
          <cell r="K3096" t="str">
            <v>defsi</v>
          </cell>
        </row>
        <row r="3097">
          <cell r="B3097" t="b">
            <v>1</v>
          </cell>
          <cell r="E3097" t="str">
            <v>Tierra Bomba</v>
          </cell>
          <cell r="H3097" t="str">
            <v>consulta_externa</v>
          </cell>
          <cell r="J3097" t="str">
            <v>bueno</v>
          </cell>
          <cell r="K3097" t="str">
            <v>defsi</v>
          </cell>
        </row>
        <row r="3098">
          <cell r="B3098" t="b">
            <v>1</v>
          </cell>
          <cell r="E3098" t="str">
            <v>Baru</v>
          </cell>
          <cell r="H3098" t="str">
            <v>consulta_externa</v>
          </cell>
          <cell r="J3098" t="str">
            <v>muybueno</v>
          </cell>
          <cell r="K3098" t="str">
            <v>defsi</v>
          </cell>
        </row>
        <row r="3099">
          <cell r="B3099" t="b">
            <v>1</v>
          </cell>
          <cell r="E3099" t="str">
            <v>Baru</v>
          </cell>
          <cell r="H3099" t="str">
            <v>laboratorio</v>
          </cell>
          <cell r="J3099" t="str">
            <v>muybueno</v>
          </cell>
          <cell r="K3099" t="str">
            <v>defsi</v>
          </cell>
        </row>
        <row r="3100">
          <cell r="B3100" t="b">
            <v>1</v>
          </cell>
          <cell r="E3100" t="str">
            <v>Foco Rojo</v>
          </cell>
          <cell r="H3100" t="str">
            <v>consulta_externa</v>
          </cell>
          <cell r="J3100" t="str">
            <v>bueno</v>
          </cell>
          <cell r="K3100" t="str">
            <v>defsi</v>
          </cell>
        </row>
        <row r="3101">
          <cell r="B3101" t="b">
            <v>1</v>
          </cell>
          <cell r="E3101" t="str">
            <v>Foco Rojo</v>
          </cell>
          <cell r="H3101" t="str">
            <v>laboratorio</v>
          </cell>
          <cell r="J3101" t="str">
            <v>bueno</v>
          </cell>
          <cell r="K3101" t="str">
            <v>defsi</v>
          </cell>
        </row>
        <row r="3102">
          <cell r="B3102" t="b">
            <v>1</v>
          </cell>
          <cell r="E3102" t="str">
            <v>Foco Rojo</v>
          </cell>
          <cell r="H3102" t="str">
            <v>laboratorio</v>
          </cell>
          <cell r="J3102" t="str">
            <v>bueno</v>
          </cell>
          <cell r="K3102" t="str">
            <v>defsi</v>
          </cell>
        </row>
        <row r="3103">
          <cell r="B3103" t="b">
            <v>1</v>
          </cell>
          <cell r="E3103" t="str">
            <v>Foco Rojo</v>
          </cell>
          <cell r="H3103" t="str">
            <v>laboratorio</v>
          </cell>
          <cell r="J3103" t="str">
            <v>bueno</v>
          </cell>
          <cell r="K3103" t="str">
            <v>defsi</v>
          </cell>
        </row>
        <row r="3104">
          <cell r="B3104" t="b">
            <v>1</v>
          </cell>
          <cell r="E3104" t="str">
            <v>Foco Rojo</v>
          </cell>
          <cell r="H3104" t="str">
            <v>laboratorio</v>
          </cell>
          <cell r="J3104" t="str">
            <v>bueno</v>
          </cell>
          <cell r="K3104" t="str">
            <v>defsi</v>
          </cell>
        </row>
        <row r="3105">
          <cell r="B3105" t="b">
            <v>1</v>
          </cell>
          <cell r="E3105" t="str">
            <v>Foco Rojo</v>
          </cell>
          <cell r="H3105" t="str">
            <v>consulta_externa</v>
          </cell>
          <cell r="J3105" t="str">
            <v>bueno</v>
          </cell>
          <cell r="K3105" t="str">
            <v>defsi</v>
          </cell>
        </row>
        <row r="3106">
          <cell r="B3106" t="b">
            <v>1</v>
          </cell>
          <cell r="E3106" t="str">
            <v>Esperanza</v>
          </cell>
          <cell r="H3106" t="str">
            <v>consulta_externa</v>
          </cell>
          <cell r="J3106" t="str">
            <v>bueno</v>
          </cell>
          <cell r="K3106" t="str">
            <v>probsi</v>
          </cell>
        </row>
        <row r="3107">
          <cell r="B3107" t="b">
            <v>1</v>
          </cell>
          <cell r="E3107" t="str">
            <v>Foco Rojo</v>
          </cell>
          <cell r="H3107" t="str">
            <v>laboratorio</v>
          </cell>
          <cell r="J3107" t="str">
            <v>bueno</v>
          </cell>
          <cell r="K3107" t="str">
            <v>defsi</v>
          </cell>
        </row>
        <row r="3108">
          <cell r="B3108" t="b">
            <v>1</v>
          </cell>
          <cell r="E3108" t="str">
            <v>Esperanza</v>
          </cell>
          <cell r="H3108" t="str">
            <v>salud_oral</v>
          </cell>
          <cell r="J3108" t="str">
            <v>bueno</v>
          </cell>
          <cell r="K3108" t="str">
            <v>probsi</v>
          </cell>
        </row>
        <row r="3109">
          <cell r="B3109" t="b">
            <v>1</v>
          </cell>
          <cell r="E3109" t="str">
            <v>Foco Rojo</v>
          </cell>
          <cell r="H3109" t="str">
            <v>salud_oral</v>
          </cell>
          <cell r="J3109" t="str">
            <v>bueno</v>
          </cell>
          <cell r="K3109" t="str">
            <v>defsi</v>
          </cell>
        </row>
        <row r="3110">
          <cell r="B3110" t="b">
            <v>1</v>
          </cell>
          <cell r="E3110" t="str">
            <v>Foco Rojo</v>
          </cell>
          <cell r="H3110" t="str">
            <v>salud_oral</v>
          </cell>
          <cell r="J3110" t="str">
            <v>bueno</v>
          </cell>
          <cell r="K3110" t="str">
            <v>defsi</v>
          </cell>
        </row>
        <row r="3111">
          <cell r="B3111" t="b">
            <v>1</v>
          </cell>
          <cell r="E3111" t="str">
            <v>Esperanza</v>
          </cell>
          <cell r="H3111" t="str">
            <v>urgencia</v>
          </cell>
          <cell r="J3111" t="str">
            <v>bueno</v>
          </cell>
          <cell r="K3111" t="str">
            <v>probsi</v>
          </cell>
        </row>
        <row r="3112">
          <cell r="B3112" t="b">
            <v>1</v>
          </cell>
          <cell r="E3112" t="str">
            <v>Foco Rojo</v>
          </cell>
          <cell r="H3112" t="str">
            <v>salud_oral</v>
          </cell>
          <cell r="J3112" t="str">
            <v>bueno</v>
          </cell>
          <cell r="K3112" t="str">
            <v>probsi</v>
          </cell>
        </row>
        <row r="3113">
          <cell r="B3113" t="b">
            <v>1</v>
          </cell>
          <cell r="E3113" t="str">
            <v>Baru</v>
          </cell>
          <cell r="H3113" t="str">
            <v>consulta_externa</v>
          </cell>
          <cell r="J3113" t="str">
            <v>muybueno</v>
          </cell>
          <cell r="K3113" t="str">
            <v>defsi</v>
          </cell>
        </row>
        <row r="3114">
          <cell r="B3114" t="b">
            <v>1</v>
          </cell>
          <cell r="E3114" t="str">
            <v>Tierra Bomba</v>
          </cell>
          <cell r="H3114" t="str">
            <v>consulta_externa</v>
          </cell>
          <cell r="J3114" t="str">
            <v>bueno</v>
          </cell>
          <cell r="K3114" t="str">
            <v>probsi</v>
          </cell>
        </row>
        <row r="3115">
          <cell r="B3115" t="b">
            <v>1</v>
          </cell>
          <cell r="E3115" t="str">
            <v>Tierra Bomba</v>
          </cell>
          <cell r="H3115" t="str">
            <v>salud_oral</v>
          </cell>
          <cell r="J3115" t="str">
            <v>bueno</v>
          </cell>
          <cell r="K3115" t="str">
            <v>defsi</v>
          </cell>
        </row>
        <row r="3116">
          <cell r="B3116" t="b">
            <v>1</v>
          </cell>
          <cell r="E3116" t="str">
            <v>Tierra Bomba</v>
          </cell>
          <cell r="H3116" t="str">
            <v>salud_oral</v>
          </cell>
          <cell r="J3116" t="str">
            <v>bueno</v>
          </cell>
          <cell r="K3116" t="str">
            <v>defsi</v>
          </cell>
        </row>
        <row r="3117">
          <cell r="B3117" t="b">
            <v>1</v>
          </cell>
          <cell r="E3117" t="str">
            <v>Tierra Bomba</v>
          </cell>
          <cell r="H3117" t="str">
            <v>salud_oral</v>
          </cell>
          <cell r="J3117" t="str">
            <v>bueno</v>
          </cell>
          <cell r="K3117" t="str">
            <v>defsi</v>
          </cell>
        </row>
        <row r="3118">
          <cell r="B3118" t="b">
            <v>1</v>
          </cell>
          <cell r="E3118" t="str">
            <v>Tierra Bomba</v>
          </cell>
          <cell r="H3118" t="str">
            <v>salud_oral</v>
          </cell>
          <cell r="J3118" t="str">
            <v>bueno</v>
          </cell>
          <cell r="K3118" t="str">
            <v>defsi</v>
          </cell>
        </row>
        <row r="3119">
          <cell r="B3119" t="b">
            <v>1</v>
          </cell>
          <cell r="E3119" t="str">
            <v>Tierra Bomba</v>
          </cell>
          <cell r="H3119" t="str">
            <v>salud_oral</v>
          </cell>
          <cell r="J3119" t="str">
            <v>bueno</v>
          </cell>
          <cell r="K3119" t="str">
            <v>defsi</v>
          </cell>
        </row>
        <row r="3120">
          <cell r="B3120" t="b">
            <v>1</v>
          </cell>
          <cell r="E3120" t="str">
            <v>Tierra Bomba</v>
          </cell>
          <cell r="H3120" t="str">
            <v>salud_oral</v>
          </cell>
          <cell r="J3120" t="str">
            <v>bueno</v>
          </cell>
          <cell r="K3120" t="str">
            <v>defsi</v>
          </cell>
        </row>
        <row r="3121">
          <cell r="B3121" t="b">
            <v>1</v>
          </cell>
          <cell r="E3121" t="str">
            <v>Tierra Bomba</v>
          </cell>
          <cell r="H3121" t="str">
            <v>salud_oral</v>
          </cell>
          <cell r="J3121" t="str">
            <v>bueno</v>
          </cell>
          <cell r="K3121" t="str">
            <v>defsi</v>
          </cell>
        </row>
        <row r="3122">
          <cell r="B3122" t="b">
            <v>1</v>
          </cell>
          <cell r="E3122" t="str">
            <v>Esperanza</v>
          </cell>
          <cell r="H3122" t="str">
            <v>consulta_externa</v>
          </cell>
          <cell r="J3122" t="str">
            <v>bueno</v>
          </cell>
          <cell r="K3122" t="str">
            <v>probsi</v>
          </cell>
        </row>
        <row r="3123">
          <cell r="B3123" t="b">
            <v>1</v>
          </cell>
          <cell r="E3123" t="str">
            <v>Esperanza</v>
          </cell>
          <cell r="H3123" t="str">
            <v>salud_oral</v>
          </cell>
          <cell r="J3123" t="str">
            <v>bueno</v>
          </cell>
          <cell r="K3123" t="str">
            <v>probsi</v>
          </cell>
        </row>
        <row r="3124">
          <cell r="B3124" t="b">
            <v>1</v>
          </cell>
          <cell r="E3124" t="str">
            <v>Esperanza</v>
          </cell>
          <cell r="H3124" t="str">
            <v>laboratorio</v>
          </cell>
          <cell r="J3124" t="str">
            <v>bueno</v>
          </cell>
          <cell r="K3124" t="str">
            <v>probsi</v>
          </cell>
        </row>
        <row r="3125">
          <cell r="B3125" t="b">
            <v>1</v>
          </cell>
          <cell r="E3125" t="str">
            <v>Esperanza</v>
          </cell>
          <cell r="H3125" t="str">
            <v>consulta_externa</v>
          </cell>
          <cell r="J3125" t="str">
            <v>bueno</v>
          </cell>
          <cell r="K3125" t="str">
            <v>probsi</v>
          </cell>
        </row>
        <row r="3126">
          <cell r="B3126" t="b">
            <v>1</v>
          </cell>
          <cell r="E3126" t="str">
            <v>Tierra Bomba</v>
          </cell>
          <cell r="H3126" t="str">
            <v>consulta_externa</v>
          </cell>
          <cell r="J3126" t="str">
            <v>muybueno</v>
          </cell>
          <cell r="K3126" t="str">
            <v>defsi</v>
          </cell>
        </row>
        <row r="3127">
          <cell r="B3127" t="b">
            <v>0</v>
          </cell>
          <cell r="E3127" t="str">
            <v>Las Reinas</v>
          </cell>
          <cell r="H3127" t="str">
            <v>salud_oral</v>
          </cell>
          <cell r="J3127" t="str">
            <v>regular</v>
          </cell>
          <cell r="K3127" t="str">
            <v>defsi</v>
          </cell>
        </row>
        <row r="3128">
          <cell r="B3128" t="b">
            <v>1</v>
          </cell>
          <cell r="E3128" t="str">
            <v>Tierra Bomba</v>
          </cell>
          <cell r="H3128" t="str">
            <v>salud_oral</v>
          </cell>
          <cell r="J3128" t="str">
            <v>muybueno</v>
          </cell>
          <cell r="K3128" t="str">
            <v>defsi</v>
          </cell>
        </row>
        <row r="3129">
          <cell r="B3129" t="b">
            <v>1</v>
          </cell>
          <cell r="E3129" t="str">
            <v>Las Reinas</v>
          </cell>
          <cell r="H3129" t="str">
            <v>salud_oral</v>
          </cell>
          <cell r="J3129" t="str">
            <v>bueno</v>
          </cell>
          <cell r="K3129" t="str">
            <v>defsi</v>
          </cell>
        </row>
        <row r="3130">
          <cell r="B3130" t="b">
            <v>1</v>
          </cell>
          <cell r="E3130" t="str">
            <v>Tierra Bomba</v>
          </cell>
          <cell r="H3130" t="str">
            <v>laboratorio</v>
          </cell>
          <cell r="J3130" t="str">
            <v>muybueno</v>
          </cell>
          <cell r="K3130" t="str">
            <v>defsi</v>
          </cell>
        </row>
        <row r="3131">
          <cell r="B3131" t="b">
            <v>1</v>
          </cell>
          <cell r="E3131" t="str">
            <v>Esperanza</v>
          </cell>
          <cell r="H3131" t="str">
            <v>consulta_externa</v>
          </cell>
          <cell r="J3131" t="str">
            <v>bueno</v>
          </cell>
          <cell r="K3131" t="str">
            <v>probsi</v>
          </cell>
        </row>
        <row r="3132">
          <cell r="B3132" t="b">
            <v>1</v>
          </cell>
          <cell r="E3132" t="str">
            <v>Esperanza</v>
          </cell>
          <cell r="H3132" t="str">
            <v>salud_oral</v>
          </cell>
          <cell r="J3132" t="str">
            <v>bueno</v>
          </cell>
          <cell r="K3132" t="str">
            <v>probsi</v>
          </cell>
        </row>
        <row r="3133">
          <cell r="B3133" t="b">
            <v>1</v>
          </cell>
          <cell r="E3133" t="str">
            <v>Esperanza</v>
          </cell>
          <cell r="H3133" t="str">
            <v>salud_oral</v>
          </cell>
          <cell r="J3133" t="str">
            <v>bueno</v>
          </cell>
          <cell r="K3133" t="str">
            <v>probsi</v>
          </cell>
        </row>
        <row r="3134">
          <cell r="B3134" t="b">
            <v>1</v>
          </cell>
          <cell r="E3134" t="str">
            <v>Las Reinas</v>
          </cell>
          <cell r="H3134" t="str">
            <v>salud_oral</v>
          </cell>
          <cell r="J3134" t="str">
            <v>bueno</v>
          </cell>
          <cell r="K3134" t="str">
            <v>defsi</v>
          </cell>
        </row>
        <row r="3135">
          <cell r="B3135" t="b">
            <v>1</v>
          </cell>
          <cell r="E3135" t="str">
            <v>Esperanza</v>
          </cell>
          <cell r="H3135" t="str">
            <v>consulta_externa</v>
          </cell>
          <cell r="J3135" t="str">
            <v>bueno</v>
          </cell>
          <cell r="K3135" t="str">
            <v>probsi</v>
          </cell>
        </row>
        <row r="3136">
          <cell r="B3136" t="b">
            <v>1</v>
          </cell>
          <cell r="E3136" t="str">
            <v>Nuevo Bosque</v>
          </cell>
          <cell r="H3136" t="str">
            <v>salud_oral</v>
          </cell>
          <cell r="J3136" t="str">
            <v>bueno</v>
          </cell>
          <cell r="K3136" t="str">
            <v>defsi</v>
          </cell>
        </row>
        <row r="3137">
          <cell r="B3137" t="b">
            <v>1</v>
          </cell>
          <cell r="E3137" t="str">
            <v>Nuevo Bosque</v>
          </cell>
          <cell r="H3137" t="str">
            <v>laboratorio</v>
          </cell>
          <cell r="J3137" t="str">
            <v>bueno</v>
          </cell>
          <cell r="K3137" t="str">
            <v>defsi</v>
          </cell>
        </row>
        <row r="3138">
          <cell r="B3138" t="b">
            <v>1</v>
          </cell>
          <cell r="E3138" t="str">
            <v>Esperanza</v>
          </cell>
          <cell r="H3138" t="str">
            <v>consulta_externa</v>
          </cell>
          <cell r="J3138" t="str">
            <v>bueno</v>
          </cell>
          <cell r="K3138" t="str">
            <v>probsi</v>
          </cell>
        </row>
        <row r="3139">
          <cell r="B3139" t="b">
            <v>1</v>
          </cell>
          <cell r="E3139" t="str">
            <v>Nuevo Bosque</v>
          </cell>
          <cell r="H3139" t="str">
            <v>urgencia</v>
          </cell>
          <cell r="J3139" t="str">
            <v>bueno</v>
          </cell>
          <cell r="K3139" t="str">
            <v>defsi</v>
          </cell>
        </row>
        <row r="3140">
          <cell r="B3140" t="b">
            <v>1</v>
          </cell>
          <cell r="E3140" t="str">
            <v>Nuevo Bosque</v>
          </cell>
          <cell r="H3140" t="str">
            <v>consulta_externa</v>
          </cell>
          <cell r="J3140" t="str">
            <v>bueno</v>
          </cell>
          <cell r="K3140" t="str">
            <v>defsi</v>
          </cell>
        </row>
        <row r="3141">
          <cell r="B3141" t="b">
            <v>1</v>
          </cell>
          <cell r="E3141" t="str">
            <v>Esperanza</v>
          </cell>
          <cell r="H3141" t="str">
            <v>consulta_externa</v>
          </cell>
          <cell r="J3141" t="str">
            <v>bueno</v>
          </cell>
          <cell r="K3141" t="str">
            <v>probsi</v>
          </cell>
        </row>
        <row r="3142">
          <cell r="B3142" t="b">
            <v>1</v>
          </cell>
          <cell r="E3142" t="str">
            <v>Esperanza</v>
          </cell>
          <cell r="H3142" t="str">
            <v>consulta_externa</v>
          </cell>
          <cell r="J3142" t="str">
            <v>bueno</v>
          </cell>
          <cell r="K3142" t="str">
            <v>probsi</v>
          </cell>
        </row>
        <row r="3143">
          <cell r="B3143" t="b">
            <v>1</v>
          </cell>
          <cell r="E3143" t="str">
            <v>Tierra Bomba</v>
          </cell>
          <cell r="H3143" t="str">
            <v>laboratorio</v>
          </cell>
          <cell r="J3143" t="str">
            <v>bueno</v>
          </cell>
          <cell r="K3143" t="str">
            <v>defsi</v>
          </cell>
        </row>
        <row r="3144">
          <cell r="B3144" t="b">
            <v>1</v>
          </cell>
          <cell r="E3144" t="str">
            <v>Esperanza</v>
          </cell>
          <cell r="H3144" t="str">
            <v>salud_oral</v>
          </cell>
          <cell r="J3144" t="str">
            <v>bueno</v>
          </cell>
          <cell r="K3144" t="str">
            <v>probsi</v>
          </cell>
        </row>
        <row r="3145">
          <cell r="B3145" t="b">
            <v>1</v>
          </cell>
          <cell r="E3145" t="str">
            <v>Nuevo Bosque</v>
          </cell>
          <cell r="H3145" t="str">
            <v>salud_oral</v>
          </cell>
          <cell r="J3145" t="str">
            <v>bueno</v>
          </cell>
          <cell r="K3145" t="str">
            <v>defsi</v>
          </cell>
        </row>
        <row r="3146">
          <cell r="B3146" t="b">
            <v>1</v>
          </cell>
          <cell r="E3146" t="str">
            <v>Tierra Bomba</v>
          </cell>
          <cell r="H3146" t="str">
            <v>laboratorio</v>
          </cell>
          <cell r="J3146" t="str">
            <v>bueno</v>
          </cell>
          <cell r="K3146" t="str">
            <v>defsi</v>
          </cell>
        </row>
        <row r="3147">
          <cell r="B3147" t="b">
            <v>1</v>
          </cell>
          <cell r="E3147" t="str">
            <v>Tierra Bomba</v>
          </cell>
          <cell r="H3147" t="str">
            <v>laboratorio</v>
          </cell>
          <cell r="J3147" t="str">
            <v>bueno</v>
          </cell>
          <cell r="K3147" t="str">
            <v>defsi</v>
          </cell>
        </row>
        <row r="3148">
          <cell r="B3148" t="b">
            <v>1</v>
          </cell>
          <cell r="E3148" t="str">
            <v>Esperanza</v>
          </cell>
          <cell r="H3148" t="str">
            <v>consulta_externa</v>
          </cell>
          <cell r="J3148" t="str">
            <v>bueno</v>
          </cell>
          <cell r="K3148" t="str">
            <v>probsi</v>
          </cell>
        </row>
        <row r="3149">
          <cell r="B3149" t="b">
            <v>1</v>
          </cell>
          <cell r="E3149" t="str">
            <v>Tierra Bomba</v>
          </cell>
          <cell r="H3149" t="str">
            <v>laboratorio</v>
          </cell>
          <cell r="J3149" t="str">
            <v>bueno</v>
          </cell>
          <cell r="K3149" t="str">
            <v>defsi</v>
          </cell>
        </row>
        <row r="3150">
          <cell r="B3150" t="b">
            <v>1</v>
          </cell>
          <cell r="E3150" t="str">
            <v>Tierra Bomba</v>
          </cell>
          <cell r="H3150" t="str">
            <v>laboratorio</v>
          </cell>
          <cell r="J3150" t="str">
            <v>bueno</v>
          </cell>
          <cell r="K3150" t="str">
            <v>defsi</v>
          </cell>
        </row>
        <row r="3151">
          <cell r="B3151" t="b">
            <v>1</v>
          </cell>
          <cell r="E3151" t="str">
            <v>Tierra Bomba</v>
          </cell>
          <cell r="H3151" t="str">
            <v>salud_oral</v>
          </cell>
          <cell r="J3151" t="str">
            <v>bueno</v>
          </cell>
          <cell r="K3151" t="str">
            <v>probsi</v>
          </cell>
        </row>
        <row r="3152">
          <cell r="B3152" t="b">
            <v>1</v>
          </cell>
          <cell r="E3152" t="str">
            <v>Nuevo Bosque</v>
          </cell>
          <cell r="H3152" t="str">
            <v>laboratorio</v>
          </cell>
          <cell r="J3152" t="str">
            <v>bueno</v>
          </cell>
          <cell r="K3152" t="str">
            <v>defsi</v>
          </cell>
        </row>
        <row r="3153">
          <cell r="B3153" t="b">
            <v>1</v>
          </cell>
          <cell r="E3153" t="str">
            <v>Tierra Bomba</v>
          </cell>
          <cell r="H3153" t="str">
            <v>salud_oral</v>
          </cell>
          <cell r="J3153" t="str">
            <v>bueno</v>
          </cell>
          <cell r="K3153" t="str">
            <v>probsi</v>
          </cell>
        </row>
        <row r="3154">
          <cell r="B3154" t="b">
            <v>1</v>
          </cell>
          <cell r="E3154" t="str">
            <v>Tierra Bomba</v>
          </cell>
          <cell r="H3154" t="str">
            <v>salud_oral</v>
          </cell>
          <cell r="J3154" t="str">
            <v>bueno</v>
          </cell>
          <cell r="K3154" t="str">
            <v>probsi</v>
          </cell>
        </row>
        <row r="3155">
          <cell r="B3155" t="b">
            <v>0</v>
          </cell>
          <cell r="E3155" t="str">
            <v>Esperanza</v>
          </cell>
          <cell r="H3155" t="str">
            <v>consulta_externa</v>
          </cell>
          <cell r="J3155" t="str">
            <v>regular</v>
          </cell>
          <cell r="K3155" t="str">
            <v>probsi</v>
          </cell>
        </row>
        <row r="3156">
          <cell r="B3156" t="b">
            <v>1</v>
          </cell>
          <cell r="E3156" t="str">
            <v>Baru</v>
          </cell>
          <cell r="H3156" t="str">
            <v>consulta_externa</v>
          </cell>
          <cell r="J3156" t="str">
            <v>muybueno</v>
          </cell>
          <cell r="K3156" t="str">
            <v>defsi</v>
          </cell>
        </row>
        <row r="3157">
          <cell r="B3157" t="b">
            <v>1</v>
          </cell>
          <cell r="E3157" t="str">
            <v>Esperanza</v>
          </cell>
          <cell r="H3157" t="str">
            <v>salud_oral</v>
          </cell>
          <cell r="J3157" t="str">
            <v>bueno</v>
          </cell>
          <cell r="K3157" t="str">
            <v>probsi</v>
          </cell>
        </row>
        <row r="3158">
          <cell r="B3158" t="b">
            <v>1</v>
          </cell>
          <cell r="E3158" t="str">
            <v>Tierra Bomba</v>
          </cell>
          <cell r="H3158" t="str">
            <v>consulta_externa</v>
          </cell>
          <cell r="J3158" t="str">
            <v>bueno</v>
          </cell>
          <cell r="K3158" t="str">
            <v>probsi</v>
          </cell>
        </row>
        <row r="3159">
          <cell r="B3159" t="b">
            <v>1</v>
          </cell>
          <cell r="E3159" t="str">
            <v>Tierra Bomba</v>
          </cell>
          <cell r="H3159" t="str">
            <v>consulta_externa</v>
          </cell>
          <cell r="J3159" t="str">
            <v>bueno</v>
          </cell>
          <cell r="K3159" t="str">
            <v>probsi</v>
          </cell>
        </row>
        <row r="3160">
          <cell r="B3160" t="b">
            <v>1</v>
          </cell>
          <cell r="E3160" t="str">
            <v>Esperanza</v>
          </cell>
          <cell r="H3160" t="str">
            <v>electros</v>
          </cell>
          <cell r="J3160" t="str">
            <v>bueno</v>
          </cell>
          <cell r="K3160" t="str">
            <v>probsi</v>
          </cell>
        </row>
        <row r="3161">
          <cell r="B3161" t="b">
            <v>0</v>
          </cell>
          <cell r="E3161" t="str">
            <v>Esperanza</v>
          </cell>
          <cell r="H3161" t="str">
            <v>consulta_externa</v>
          </cell>
          <cell r="J3161" t="str">
            <v>regular</v>
          </cell>
          <cell r="K3161" t="str">
            <v>probsi</v>
          </cell>
        </row>
        <row r="3162">
          <cell r="B3162" t="b">
            <v>1</v>
          </cell>
          <cell r="E3162" t="str">
            <v>Nuevo Bosque</v>
          </cell>
          <cell r="H3162" t="str">
            <v>urgencia</v>
          </cell>
          <cell r="J3162" t="str">
            <v>bueno</v>
          </cell>
          <cell r="K3162" t="str">
            <v>defsi</v>
          </cell>
        </row>
        <row r="3163">
          <cell r="B3163" t="b">
            <v>1</v>
          </cell>
          <cell r="E3163" t="str">
            <v>Esperanza</v>
          </cell>
          <cell r="H3163" t="str">
            <v>salud_oral</v>
          </cell>
          <cell r="J3163" t="str">
            <v>bueno</v>
          </cell>
          <cell r="K3163" t="str">
            <v>probsi</v>
          </cell>
        </row>
        <row r="3164">
          <cell r="B3164" t="b">
            <v>1</v>
          </cell>
          <cell r="E3164" t="str">
            <v>Esperanza</v>
          </cell>
          <cell r="H3164" t="str">
            <v>laboratorio</v>
          </cell>
          <cell r="J3164" t="str">
            <v>bueno</v>
          </cell>
          <cell r="K3164" t="str">
            <v>probsi</v>
          </cell>
        </row>
        <row r="3165">
          <cell r="B3165" t="b">
            <v>1</v>
          </cell>
          <cell r="E3165" t="str">
            <v>Nuevo Bosque</v>
          </cell>
          <cell r="H3165" t="str">
            <v>consulta_externa</v>
          </cell>
          <cell r="J3165" t="str">
            <v>bueno</v>
          </cell>
          <cell r="K3165" t="str">
            <v>defsi</v>
          </cell>
        </row>
        <row r="3166">
          <cell r="B3166" t="b">
            <v>1</v>
          </cell>
          <cell r="E3166" t="str">
            <v>Esperanza</v>
          </cell>
          <cell r="H3166" t="str">
            <v>consulta_externa</v>
          </cell>
          <cell r="J3166" t="str">
            <v>bueno</v>
          </cell>
          <cell r="K3166" t="str">
            <v>probsi</v>
          </cell>
        </row>
        <row r="3167">
          <cell r="B3167" t="b">
            <v>1</v>
          </cell>
          <cell r="E3167" t="str">
            <v>Esperanza</v>
          </cell>
          <cell r="H3167" t="str">
            <v>electros</v>
          </cell>
          <cell r="J3167" t="str">
            <v>bueno</v>
          </cell>
          <cell r="K3167" t="str">
            <v>probsi</v>
          </cell>
        </row>
        <row r="3168">
          <cell r="B3168" t="b">
            <v>1</v>
          </cell>
          <cell r="E3168" t="str">
            <v>Esperanza</v>
          </cell>
          <cell r="H3168" t="str">
            <v>laboratorio</v>
          </cell>
          <cell r="J3168" t="str">
            <v>bueno</v>
          </cell>
          <cell r="K3168" t="str">
            <v>probsi</v>
          </cell>
        </row>
        <row r="3169">
          <cell r="B3169" t="b">
            <v>1</v>
          </cell>
          <cell r="E3169" t="str">
            <v>Nuevo Bosque</v>
          </cell>
          <cell r="H3169" t="str">
            <v>salud_oral</v>
          </cell>
          <cell r="J3169" t="str">
            <v>bueno</v>
          </cell>
          <cell r="K3169" t="str">
            <v>defsi</v>
          </cell>
        </row>
        <row r="3170">
          <cell r="B3170" t="b">
            <v>1</v>
          </cell>
          <cell r="E3170" t="str">
            <v>Esperanza</v>
          </cell>
          <cell r="H3170" t="str">
            <v>urgencia</v>
          </cell>
          <cell r="J3170" t="str">
            <v>bueno</v>
          </cell>
          <cell r="K3170" t="str">
            <v>probsi</v>
          </cell>
        </row>
        <row r="3171">
          <cell r="B3171" t="b">
            <v>1</v>
          </cell>
          <cell r="E3171" t="str">
            <v>Nuevo Bosque</v>
          </cell>
          <cell r="H3171" t="str">
            <v>laboratorio</v>
          </cell>
          <cell r="J3171" t="str">
            <v>bueno</v>
          </cell>
          <cell r="K3171" t="str">
            <v>defsi</v>
          </cell>
        </row>
        <row r="3172">
          <cell r="B3172" t="b">
            <v>1</v>
          </cell>
          <cell r="E3172" t="str">
            <v>Nuevo Bosque</v>
          </cell>
          <cell r="H3172" t="str">
            <v>urgencia</v>
          </cell>
          <cell r="J3172" t="str">
            <v>bueno</v>
          </cell>
          <cell r="K3172" t="str">
            <v>defsi</v>
          </cell>
        </row>
        <row r="3173">
          <cell r="B3173" t="b">
            <v>1</v>
          </cell>
          <cell r="E3173" t="str">
            <v>Nuevo Bosque</v>
          </cell>
          <cell r="H3173" t="str">
            <v>consulta_externa</v>
          </cell>
          <cell r="J3173" t="str">
            <v>bueno</v>
          </cell>
          <cell r="K3173" t="str">
            <v>defsi</v>
          </cell>
        </row>
        <row r="3174">
          <cell r="B3174" t="b">
            <v>1</v>
          </cell>
          <cell r="E3174" t="str">
            <v>Nuevo Bosque</v>
          </cell>
          <cell r="H3174" t="str">
            <v>salud_oral</v>
          </cell>
          <cell r="J3174" t="str">
            <v>bueno</v>
          </cell>
          <cell r="K3174" t="str">
            <v>defsi</v>
          </cell>
        </row>
        <row r="3175">
          <cell r="B3175" t="b">
            <v>1</v>
          </cell>
          <cell r="E3175" t="str">
            <v>Nuevo Bosque</v>
          </cell>
          <cell r="H3175" t="str">
            <v>laboratorio</v>
          </cell>
          <cell r="J3175" t="str">
            <v>bueno</v>
          </cell>
          <cell r="K3175" t="str">
            <v>defsi</v>
          </cell>
        </row>
        <row r="3176">
          <cell r="B3176" t="b">
            <v>1</v>
          </cell>
          <cell r="E3176" t="str">
            <v>Baru</v>
          </cell>
          <cell r="H3176" t="str">
            <v>consulta_externa</v>
          </cell>
          <cell r="J3176" t="str">
            <v>muybueno</v>
          </cell>
          <cell r="K3176" t="str">
            <v>defsi</v>
          </cell>
        </row>
        <row r="3177">
          <cell r="B3177" t="b">
            <v>1</v>
          </cell>
          <cell r="E3177" t="str">
            <v>Baru</v>
          </cell>
          <cell r="H3177" t="str">
            <v>laboratorio</v>
          </cell>
          <cell r="J3177" t="str">
            <v>muybueno</v>
          </cell>
          <cell r="K3177" t="str">
            <v>defsi</v>
          </cell>
        </row>
        <row r="3178">
          <cell r="B3178" t="b">
            <v>1</v>
          </cell>
          <cell r="E3178" t="str">
            <v>Nuevo Bosque</v>
          </cell>
          <cell r="H3178" t="str">
            <v>urgencia</v>
          </cell>
          <cell r="J3178" t="str">
            <v>bueno</v>
          </cell>
          <cell r="K3178" t="str">
            <v>defsi</v>
          </cell>
        </row>
        <row r="3179">
          <cell r="B3179" t="b">
            <v>1</v>
          </cell>
          <cell r="E3179" t="str">
            <v>Nuevo Bosque</v>
          </cell>
          <cell r="H3179" t="str">
            <v>consulta_externa</v>
          </cell>
          <cell r="J3179" t="str">
            <v>bueno</v>
          </cell>
          <cell r="K3179" t="str">
            <v>defsi</v>
          </cell>
        </row>
        <row r="3180">
          <cell r="B3180" t="b">
            <v>1</v>
          </cell>
          <cell r="E3180" t="str">
            <v>Nuevo Bosque</v>
          </cell>
          <cell r="H3180" t="str">
            <v>salud_oral</v>
          </cell>
          <cell r="J3180" t="str">
            <v>bueno</v>
          </cell>
          <cell r="K3180" t="str">
            <v>defsi</v>
          </cell>
        </row>
        <row r="3181">
          <cell r="B3181" t="b">
            <v>1</v>
          </cell>
          <cell r="E3181" t="str">
            <v>Esperanza</v>
          </cell>
          <cell r="H3181" t="str">
            <v>consulta_externa</v>
          </cell>
          <cell r="J3181" t="str">
            <v>bueno</v>
          </cell>
          <cell r="K3181" t="str">
            <v>probsi</v>
          </cell>
        </row>
        <row r="3182">
          <cell r="B3182" t="b">
            <v>1</v>
          </cell>
          <cell r="E3182" t="str">
            <v>Esperanza</v>
          </cell>
          <cell r="H3182" t="str">
            <v>urgencia</v>
          </cell>
          <cell r="J3182" t="str">
            <v>bueno</v>
          </cell>
          <cell r="K3182" t="str">
            <v>probsi</v>
          </cell>
        </row>
        <row r="3183">
          <cell r="B3183" t="b">
            <v>1</v>
          </cell>
          <cell r="E3183" t="str">
            <v>Nuevo Bosque</v>
          </cell>
          <cell r="H3183" t="str">
            <v>laboratorio</v>
          </cell>
          <cell r="J3183" t="str">
            <v>bueno</v>
          </cell>
          <cell r="K3183" t="str">
            <v>defsi</v>
          </cell>
        </row>
        <row r="3184">
          <cell r="B3184" t="b">
            <v>1</v>
          </cell>
          <cell r="E3184" t="str">
            <v>Nuevo Bosque</v>
          </cell>
          <cell r="H3184" t="str">
            <v>urgencia</v>
          </cell>
          <cell r="J3184" t="str">
            <v>bueno</v>
          </cell>
          <cell r="K3184" t="str">
            <v>defsi</v>
          </cell>
        </row>
        <row r="3185">
          <cell r="B3185" t="b">
            <v>1</v>
          </cell>
          <cell r="E3185" t="str">
            <v>Esperanza</v>
          </cell>
          <cell r="H3185" t="str">
            <v>urgencia</v>
          </cell>
          <cell r="J3185" t="str">
            <v>bueno</v>
          </cell>
          <cell r="K3185" t="str">
            <v>probsi</v>
          </cell>
        </row>
        <row r="3186">
          <cell r="B3186" t="b">
            <v>1</v>
          </cell>
          <cell r="E3186" t="str">
            <v>Nuevo Bosque</v>
          </cell>
          <cell r="H3186" t="str">
            <v>consulta_externa</v>
          </cell>
          <cell r="J3186" t="str">
            <v>bueno</v>
          </cell>
          <cell r="K3186" t="str">
            <v>defsi</v>
          </cell>
        </row>
        <row r="3187">
          <cell r="B3187" t="b">
            <v>1</v>
          </cell>
          <cell r="E3187" t="str">
            <v>Nuevo Bosque</v>
          </cell>
          <cell r="H3187" t="str">
            <v>salud_oral</v>
          </cell>
          <cell r="J3187" t="str">
            <v>bueno</v>
          </cell>
          <cell r="K3187" t="str">
            <v>defsi</v>
          </cell>
        </row>
        <row r="3188">
          <cell r="B3188" t="b">
            <v>1</v>
          </cell>
          <cell r="E3188" t="str">
            <v>Esperanza</v>
          </cell>
          <cell r="H3188" t="str">
            <v>electros</v>
          </cell>
          <cell r="J3188" t="str">
            <v>bueno</v>
          </cell>
          <cell r="K3188" t="str">
            <v>probsi</v>
          </cell>
        </row>
        <row r="3189">
          <cell r="B3189" t="b">
            <v>1</v>
          </cell>
          <cell r="E3189" t="str">
            <v>Esperanza</v>
          </cell>
          <cell r="H3189" t="str">
            <v>electros</v>
          </cell>
          <cell r="J3189" t="str">
            <v>bueno</v>
          </cell>
          <cell r="K3189" t="str">
            <v>probsi</v>
          </cell>
        </row>
        <row r="3190">
          <cell r="B3190" t="b">
            <v>1</v>
          </cell>
          <cell r="E3190" t="str">
            <v>Nuevo Bosque</v>
          </cell>
          <cell r="H3190" t="str">
            <v>laboratorio</v>
          </cell>
          <cell r="J3190" t="str">
            <v>bueno</v>
          </cell>
          <cell r="K3190" t="str">
            <v>defsi</v>
          </cell>
        </row>
        <row r="3191">
          <cell r="B3191" t="b">
            <v>1</v>
          </cell>
          <cell r="E3191" t="str">
            <v>Esperanza</v>
          </cell>
          <cell r="H3191" t="str">
            <v>electros</v>
          </cell>
          <cell r="J3191" t="str">
            <v>bueno</v>
          </cell>
          <cell r="K3191" t="str">
            <v>probsi</v>
          </cell>
        </row>
        <row r="3192">
          <cell r="B3192" t="b">
            <v>1</v>
          </cell>
          <cell r="E3192" t="str">
            <v>Esperanza</v>
          </cell>
          <cell r="H3192" t="str">
            <v>electros</v>
          </cell>
          <cell r="J3192" t="str">
            <v>bueno</v>
          </cell>
          <cell r="K3192" t="str">
            <v>probsi</v>
          </cell>
        </row>
        <row r="3193">
          <cell r="B3193" t="b">
            <v>1</v>
          </cell>
          <cell r="E3193" t="str">
            <v>Nuevo Bosque</v>
          </cell>
          <cell r="H3193" t="str">
            <v>urgencia</v>
          </cell>
          <cell r="J3193" t="str">
            <v>bueno</v>
          </cell>
          <cell r="K3193" t="str">
            <v>defsi</v>
          </cell>
        </row>
        <row r="3194">
          <cell r="B3194" t="b">
            <v>1</v>
          </cell>
          <cell r="E3194" t="str">
            <v>Esperanza</v>
          </cell>
          <cell r="H3194" t="str">
            <v>electros</v>
          </cell>
          <cell r="J3194" t="str">
            <v>bueno</v>
          </cell>
          <cell r="K3194" t="str">
            <v>probsi</v>
          </cell>
        </row>
        <row r="3195">
          <cell r="B3195" t="b">
            <v>1</v>
          </cell>
          <cell r="E3195" t="str">
            <v>Esperanza</v>
          </cell>
          <cell r="H3195" t="str">
            <v>electros</v>
          </cell>
          <cell r="J3195" t="str">
            <v>bueno</v>
          </cell>
          <cell r="K3195" t="str">
            <v>probsi</v>
          </cell>
        </row>
        <row r="3196">
          <cell r="B3196" t="b">
            <v>1</v>
          </cell>
          <cell r="E3196" t="str">
            <v>Nuevo Bosque</v>
          </cell>
          <cell r="H3196" t="str">
            <v>consulta_externa</v>
          </cell>
          <cell r="J3196" t="str">
            <v>bueno</v>
          </cell>
          <cell r="K3196" t="str">
            <v>defsi</v>
          </cell>
        </row>
        <row r="3197">
          <cell r="B3197" t="b">
            <v>1</v>
          </cell>
          <cell r="E3197" t="str">
            <v>Nuevo Bosque</v>
          </cell>
          <cell r="H3197" t="str">
            <v>salud_oral</v>
          </cell>
          <cell r="J3197" t="str">
            <v>bueno</v>
          </cell>
          <cell r="K3197" t="str">
            <v>defsi</v>
          </cell>
        </row>
        <row r="3198">
          <cell r="B3198" t="b">
            <v>1</v>
          </cell>
          <cell r="E3198" t="str">
            <v>Nuevo Bosque</v>
          </cell>
          <cell r="H3198" t="str">
            <v>laboratorio</v>
          </cell>
          <cell r="J3198" t="str">
            <v>bueno</v>
          </cell>
          <cell r="K3198" t="str">
            <v>defsi</v>
          </cell>
        </row>
        <row r="3199">
          <cell r="B3199" t="b">
            <v>1</v>
          </cell>
          <cell r="E3199" t="str">
            <v>Nuevo Bosque</v>
          </cell>
          <cell r="H3199" t="str">
            <v>urgencia</v>
          </cell>
          <cell r="J3199" t="str">
            <v>bueno</v>
          </cell>
          <cell r="K3199" t="str">
            <v>defsi</v>
          </cell>
        </row>
        <row r="3200">
          <cell r="B3200" t="b">
            <v>1</v>
          </cell>
          <cell r="E3200" t="str">
            <v>Nuevo Bosque</v>
          </cell>
          <cell r="H3200" t="str">
            <v>consulta_externa</v>
          </cell>
          <cell r="J3200" t="str">
            <v>bueno</v>
          </cell>
          <cell r="K3200" t="str">
            <v>defsi</v>
          </cell>
        </row>
        <row r="3201">
          <cell r="B3201" t="b">
            <v>1</v>
          </cell>
          <cell r="E3201" t="str">
            <v>Nuevo Bosque</v>
          </cell>
          <cell r="H3201" t="str">
            <v>salud_oral</v>
          </cell>
          <cell r="J3201" t="str">
            <v>bueno</v>
          </cell>
          <cell r="K3201" t="str">
            <v>defsi</v>
          </cell>
        </row>
        <row r="3202">
          <cell r="B3202" t="b">
            <v>1</v>
          </cell>
          <cell r="E3202" t="str">
            <v>Nuevo Bosque</v>
          </cell>
          <cell r="H3202" t="str">
            <v>laboratorio</v>
          </cell>
          <cell r="J3202" t="str">
            <v>bueno</v>
          </cell>
          <cell r="K3202" t="str">
            <v>defsi</v>
          </cell>
        </row>
        <row r="3203">
          <cell r="B3203" t="b">
            <v>1</v>
          </cell>
          <cell r="E3203" t="str">
            <v>Nuevo Bosque</v>
          </cell>
          <cell r="H3203" t="str">
            <v>urgencia</v>
          </cell>
          <cell r="J3203" t="str">
            <v>bueno</v>
          </cell>
          <cell r="K3203" t="str">
            <v>defsi</v>
          </cell>
        </row>
        <row r="3204">
          <cell r="B3204" t="b">
            <v>1</v>
          </cell>
          <cell r="E3204" t="str">
            <v>San Pedro y Libertad</v>
          </cell>
          <cell r="H3204" t="str">
            <v>salud_oral</v>
          </cell>
          <cell r="J3204" t="str">
            <v>bueno</v>
          </cell>
          <cell r="K3204" t="str">
            <v>probsi</v>
          </cell>
        </row>
        <row r="3205">
          <cell r="B3205" t="b">
            <v>1</v>
          </cell>
          <cell r="E3205" t="str">
            <v>San Pedro y Libertad</v>
          </cell>
          <cell r="H3205" t="str">
            <v>salud_oral</v>
          </cell>
          <cell r="J3205" t="str">
            <v>bueno</v>
          </cell>
          <cell r="K3205" t="str">
            <v>probsi</v>
          </cell>
        </row>
        <row r="3206">
          <cell r="B3206" t="b">
            <v>1</v>
          </cell>
          <cell r="E3206" t="str">
            <v>San Pedro y Libertad</v>
          </cell>
          <cell r="H3206" t="str">
            <v>salud_oral</v>
          </cell>
          <cell r="J3206" t="str">
            <v>bueno</v>
          </cell>
          <cell r="K3206" t="str">
            <v>probsi</v>
          </cell>
        </row>
        <row r="3207">
          <cell r="B3207" t="b">
            <v>1</v>
          </cell>
          <cell r="E3207" t="str">
            <v>San Pedro y Libertad</v>
          </cell>
          <cell r="H3207" t="str">
            <v>salud_oral</v>
          </cell>
          <cell r="J3207" t="str">
            <v>bueno</v>
          </cell>
          <cell r="K3207" t="str">
            <v>probsi</v>
          </cell>
        </row>
        <row r="3208">
          <cell r="B3208" t="b">
            <v>1</v>
          </cell>
          <cell r="E3208" t="str">
            <v>San Pedro y Libertad</v>
          </cell>
          <cell r="H3208" t="str">
            <v>salud_oral</v>
          </cell>
          <cell r="J3208" t="str">
            <v>bueno</v>
          </cell>
          <cell r="K3208" t="str">
            <v>probsi</v>
          </cell>
        </row>
        <row r="3209">
          <cell r="B3209" t="b">
            <v>1</v>
          </cell>
          <cell r="E3209" t="str">
            <v>San Pedro y Libertad</v>
          </cell>
          <cell r="H3209" t="str">
            <v>salud_oral</v>
          </cell>
          <cell r="J3209" t="str">
            <v>bueno</v>
          </cell>
          <cell r="K3209" t="str">
            <v>probsi</v>
          </cell>
        </row>
        <row r="3210">
          <cell r="B3210" t="b">
            <v>1</v>
          </cell>
          <cell r="E3210" t="str">
            <v>Nuevo Bosque</v>
          </cell>
          <cell r="H3210" t="str">
            <v>consulta_externa</v>
          </cell>
          <cell r="J3210" t="str">
            <v>bueno</v>
          </cell>
          <cell r="K3210" t="str">
            <v>defsi</v>
          </cell>
        </row>
        <row r="3211">
          <cell r="B3211" t="b">
            <v>1</v>
          </cell>
          <cell r="E3211" t="str">
            <v>Nuevo Bosque</v>
          </cell>
          <cell r="H3211" t="str">
            <v>salud_oral</v>
          </cell>
          <cell r="J3211" t="str">
            <v>bueno</v>
          </cell>
          <cell r="K3211" t="str">
            <v>defsi</v>
          </cell>
        </row>
        <row r="3212">
          <cell r="B3212" t="b">
            <v>1</v>
          </cell>
          <cell r="E3212" t="str">
            <v>Nuevo Bosque</v>
          </cell>
          <cell r="H3212" t="str">
            <v>laboratorio</v>
          </cell>
          <cell r="J3212" t="str">
            <v>bueno</v>
          </cell>
          <cell r="K3212" t="str">
            <v>defsi</v>
          </cell>
        </row>
        <row r="3213">
          <cell r="B3213" t="b">
            <v>1</v>
          </cell>
          <cell r="E3213" t="str">
            <v>Nuevo Bosque</v>
          </cell>
          <cell r="H3213" t="str">
            <v>urgencia</v>
          </cell>
          <cell r="J3213" t="str">
            <v>bueno</v>
          </cell>
          <cell r="K3213" t="str">
            <v>defsi</v>
          </cell>
        </row>
        <row r="3214">
          <cell r="B3214" t="b">
            <v>1</v>
          </cell>
          <cell r="E3214" t="str">
            <v>Isla del Rosario</v>
          </cell>
          <cell r="H3214" t="str">
            <v>consulta_externa</v>
          </cell>
          <cell r="J3214" t="str">
            <v>muybueno</v>
          </cell>
          <cell r="K3214" t="str">
            <v>defsi</v>
          </cell>
        </row>
        <row r="3215">
          <cell r="B3215" t="b">
            <v>1</v>
          </cell>
          <cell r="E3215" t="str">
            <v>Isla del Rosario</v>
          </cell>
          <cell r="H3215" t="str">
            <v>laboratorio</v>
          </cell>
          <cell r="J3215" t="str">
            <v>muybueno</v>
          </cell>
          <cell r="K3215" t="str">
            <v>defsi</v>
          </cell>
        </row>
        <row r="3216">
          <cell r="B3216" t="b">
            <v>1</v>
          </cell>
          <cell r="E3216" t="str">
            <v>Isla del Rosario</v>
          </cell>
          <cell r="H3216" t="str">
            <v>laboratorio</v>
          </cell>
          <cell r="J3216" t="str">
            <v>muybueno</v>
          </cell>
          <cell r="K3216" t="str">
            <v>defsi</v>
          </cell>
        </row>
        <row r="3217">
          <cell r="B3217" t="b">
            <v>1</v>
          </cell>
          <cell r="E3217" t="str">
            <v>Isla del Rosario</v>
          </cell>
          <cell r="H3217" t="str">
            <v>salud_oral</v>
          </cell>
          <cell r="J3217" t="str">
            <v>muybueno</v>
          </cell>
          <cell r="K3217" t="str">
            <v>defsi</v>
          </cell>
        </row>
        <row r="3218">
          <cell r="B3218" t="b">
            <v>1</v>
          </cell>
          <cell r="E3218" t="str">
            <v>Isla del Rosario</v>
          </cell>
          <cell r="H3218" t="str">
            <v>salud_oral</v>
          </cell>
          <cell r="J3218" t="str">
            <v>muybueno</v>
          </cell>
          <cell r="K3218" t="str">
            <v>defsi</v>
          </cell>
        </row>
        <row r="3219">
          <cell r="B3219" t="b">
            <v>1</v>
          </cell>
          <cell r="E3219" t="str">
            <v>Isla del Rosario</v>
          </cell>
          <cell r="H3219" t="str">
            <v>consulta_externa</v>
          </cell>
          <cell r="J3219" t="str">
            <v>muybueno</v>
          </cell>
          <cell r="K3219" t="str">
            <v>defsi</v>
          </cell>
        </row>
        <row r="3220">
          <cell r="B3220" t="b">
            <v>1</v>
          </cell>
          <cell r="E3220" t="str">
            <v>Isla del Rosario</v>
          </cell>
          <cell r="H3220" t="str">
            <v>laboratorio</v>
          </cell>
          <cell r="J3220" t="str">
            <v>muybueno</v>
          </cell>
          <cell r="K3220" t="str">
            <v>defsi</v>
          </cell>
        </row>
        <row r="3221">
          <cell r="B3221" t="b">
            <v>1</v>
          </cell>
          <cell r="E3221" t="str">
            <v>Isla del Rosario</v>
          </cell>
          <cell r="H3221" t="str">
            <v>consulta_externa</v>
          </cell>
          <cell r="J3221" t="str">
            <v>muybueno</v>
          </cell>
          <cell r="K3221" t="str">
            <v>defsi</v>
          </cell>
        </row>
        <row r="3222">
          <cell r="B3222" t="b">
            <v>1</v>
          </cell>
          <cell r="E3222" t="str">
            <v>Nuevo Bosque</v>
          </cell>
          <cell r="H3222" t="str">
            <v>consulta_externa</v>
          </cell>
          <cell r="J3222" t="str">
            <v>bueno</v>
          </cell>
          <cell r="K3222" t="str">
            <v>defsi</v>
          </cell>
        </row>
        <row r="3223">
          <cell r="B3223" t="b">
            <v>1</v>
          </cell>
          <cell r="E3223" t="str">
            <v>Nuevo Bosque</v>
          </cell>
          <cell r="H3223" t="str">
            <v>salud_oral</v>
          </cell>
          <cell r="J3223" t="str">
            <v>bueno</v>
          </cell>
          <cell r="K3223" t="str">
            <v>defsi</v>
          </cell>
        </row>
        <row r="3224">
          <cell r="B3224" t="b">
            <v>1</v>
          </cell>
          <cell r="E3224" t="str">
            <v>Nuevo Bosque</v>
          </cell>
          <cell r="H3224" t="str">
            <v>laboratorio</v>
          </cell>
          <cell r="J3224" t="str">
            <v>bueno</v>
          </cell>
          <cell r="K3224" t="str">
            <v>defsi</v>
          </cell>
        </row>
        <row r="3225">
          <cell r="B3225" t="b">
            <v>1</v>
          </cell>
          <cell r="E3225" t="str">
            <v>Nuevo Bosque</v>
          </cell>
          <cell r="H3225" t="str">
            <v>urgencia</v>
          </cell>
          <cell r="J3225" t="str">
            <v>bueno</v>
          </cell>
          <cell r="K3225" t="str">
            <v>defsi</v>
          </cell>
        </row>
        <row r="3226">
          <cell r="B3226" t="b">
            <v>1</v>
          </cell>
          <cell r="E3226" t="str">
            <v>Nuevo Bosque</v>
          </cell>
          <cell r="H3226" t="str">
            <v>consulta_externa</v>
          </cell>
          <cell r="J3226" t="str">
            <v>bueno</v>
          </cell>
          <cell r="K3226" t="str">
            <v>defsi</v>
          </cell>
        </row>
        <row r="3227">
          <cell r="B3227" t="b">
            <v>1</v>
          </cell>
          <cell r="E3227" t="str">
            <v>Nuevo Bosque</v>
          </cell>
          <cell r="H3227" t="str">
            <v>salud_oral</v>
          </cell>
          <cell r="J3227" t="str">
            <v>bueno</v>
          </cell>
          <cell r="K3227" t="str">
            <v>defsi</v>
          </cell>
        </row>
        <row r="3228">
          <cell r="B3228" t="b">
            <v>1</v>
          </cell>
          <cell r="E3228" t="str">
            <v>Nuevo Bosque</v>
          </cell>
          <cell r="H3228" t="str">
            <v>laboratorio</v>
          </cell>
          <cell r="J3228" t="str">
            <v>bueno</v>
          </cell>
          <cell r="K3228" t="str">
            <v>defsi</v>
          </cell>
        </row>
        <row r="3229">
          <cell r="B3229" t="b">
            <v>1</v>
          </cell>
          <cell r="E3229" t="str">
            <v>Nuevo Bosque</v>
          </cell>
          <cell r="H3229" t="str">
            <v>urgencia</v>
          </cell>
          <cell r="J3229" t="str">
            <v>bueno</v>
          </cell>
          <cell r="K3229" t="str">
            <v>defsi</v>
          </cell>
        </row>
        <row r="3230">
          <cell r="B3230" t="b">
            <v>1</v>
          </cell>
          <cell r="E3230" t="str">
            <v>San Pedro y Libertad</v>
          </cell>
          <cell r="H3230" t="str">
            <v>consulta_externa</v>
          </cell>
          <cell r="J3230" t="str">
            <v>bueno</v>
          </cell>
          <cell r="K3230" t="str">
            <v>probsi</v>
          </cell>
        </row>
        <row r="3231">
          <cell r="B3231" t="b">
            <v>1</v>
          </cell>
          <cell r="E3231" t="str">
            <v>San Pedro y Libertad</v>
          </cell>
          <cell r="H3231" t="str">
            <v>consulta_externa</v>
          </cell>
          <cell r="J3231" t="str">
            <v>bueno</v>
          </cell>
          <cell r="K3231" t="str">
            <v>probsi</v>
          </cell>
        </row>
        <row r="3232">
          <cell r="B3232" t="b">
            <v>1</v>
          </cell>
          <cell r="E3232" t="str">
            <v>San Pedro y Libertad</v>
          </cell>
          <cell r="H3232" t="str">
            <v>salud_oral</v>
          </cell>
          <cell r="J3232" t="str">
            <v>bueno</v>
          </cell>
          <cell r="K3232" t="str">
            <v>probsi</v>
          </cell>
        </row>
        <row r="3233">
          <cell r="B3233" t="b">
            <v>1</v>
          </cell>
          <cell r="E3233" t="str">
            <v>San Pedro y Libertad</v>
          </cell>
          <cell r="H3233" t="str">
            <v>salud_oral</v>
          </cell>
          <cell r="J3233" t="str">
            <v>bueno</v>
          </cell>
          <cell r="K3233" t="str">
            <v>probsi</v>
          </cell>
        </row>
        <row r="3234">
          <cell r="B3234" t="b">
            <v>0</v>
          </cell>
          <cell r="E3234" t="str">
            <v>San Pedro y Libertad</v>
          </cell>
          <cell r="H3234" t="str">
            <v>consulta_externa</v>
          </cell>
          <cell r="J3234" t="str">
            <v>regular</v>
          </cell>
          <cell r="K3234" t="str">
            <v>probsi</v>
          </cell>
        </row>
        <row r="3235">
          <cell r="B3235" t="b">
            <v>0</v>
          </cell>
          <cell r="E3235" t="str">
            <v>San Pedro y Libertad</v>
          </cell>
          <cell r="H3235" t="str">
            <v>consulta_externa</v>
          </cell>
          <cell r="J3235" t="str">
            <v>regular</v>
          </cell>
          <cell r="K3235" t="str">
            <v>probsi</v>
          </cell>
        </row>
        <row r="3236">
          <cell r="B3236" t="b">
            <v>1</v>
          </cell>
          <cell r="E3236" t="str">
            <v>San Pedro y Libertad</v>
          </cell>
          <cell r="H3236" t="str">
            <v>salud_oral</v>
          </cell>
          <cell r="J3236" t="str">
            <v>bueno</v>
          </cell>
          <cell r="K3236" t="str">
            <v>probsi</v>
          </cell>
        </row>
        <row r="3237">
          <cell r="B3237" t="b">
            <v>1</v>
          </cell>
          <cell r="E3237" t="str">
            <v>San Pedro y Libertad</v>
          </cell>
          <cell r="H3237" t="str">
            <v>salud_oral</v>
          </cell>
          <cell r="J3237" t="str">
            <v>bueno</v>
          </cell>
          <cell r="K3237" t="str">
            <v>probsi</v>
          </cell>
        </row>
        <row r="3238">
          <cell r="B3238" t="b">
            <v>1</v>
          </cell>
          <cell r="E3238" t="str">
            <v>San Pedro y Libertad</v>
          </cell>
          <cell r="H3238" t="str">
            <v>salud_oral</v>
          </cell>
          <cell r="J3238" t="str">
            <v>bueno</v>
          </cell>
          <cell r="K3238" t="str">
            <v>probsi</v>
          </cell>
        </row>
        <row r="3239">
          <cell r="B3239" t="b">
            <v>1</v>
          </cell>
          <cell r="E3239" t="str">
            <v>San Pedro y Libertad</v>
          </cell>
          <cell r="H3239" t="str">
            <v>salud_oral</v>
          </cell>
          <cell r="J3239" t="str">
            <v>bueno</v>
          </cell>
          <cell r="K3239" t="str">
            <v>probsi</v>
          </cell>
        </row>
        <row r="3240">
          <cell r="B3240" t="b">
            <v>1</v>
          </cell>
          <cell r="E3240" t="str">
            <v>San Pedro y Libertad</v>
          </cell>
          <cell r="H3240" t="str">
            <v>laboratorio</v>
          </cell>
          <cell r="J3240" t="str">
            <v>bueno</v>
          </cell>
          <cell r="K3240" t="str">
            <v>probsi</v>
          </cell>
        </row>
        <row r="3241">
          <cell r="B3241" t="b">
            <v>0</v>
          </cell>
          <cell r="E3241" t="str">
            <v>San Pedro y Libertad</v>
          </cell>
          <cell r="H3241" t="str">
            <v>laboratorio</v>
          </cell>
          <cell r="J3241" t="str">
            <v>regular</v>
          </cell>
          <cell r="K3241" t="str">
            <v>probsi</v>
          </cell>
        </row>
        <row r="3242">
          <cell r="B3242" t="b">
            <v>1</v>
          </cell>
          <cell r="E3242" t="str">
            <v>San Pedro y Libertad</v>
          </cell>
          <cell r="H3242" t="str">
            <v>laboratorio</v>
          </cell>
          <cell r="J3242" t="str">
            <v>bueno</v>
          </cell>
          <cell r="K3242" t="str">
            <v>probsi</v>
          </cell>
        </row>
        <row r="3243">
          <cell r="B3243" t="b">
            <v>1</v>
          </cell>
          <cell r="E3243" t="str">
            <v>San Pedro y Libertad</v>
          </cell>
          <cell r="H3243" t="str">
            <v>laboratorio</v>
          </cell>
          <cell r="J3243" t="str">
            <v>bueno</v>
          </cell>
          <cell r="K3243" t="str">
            <v>probsi</v>
          </cell>
        </row>
        <row r="3244">
          <cell r="B3244" t="b">
            <v>1</v>
          </cell>
          <cell r="E3244" t="str">
            <v>Esperanza</v>
          </cell>
          <cell r="H3244" t="str">
            <v>laboratorio</v>
          </cell>
          <cell r="J3244" t="str">
            <v>bueno</v>
          </cell>
          <cell r="K3244" t="str">
            <v>probsi</v>
          </cell>
        </row>
        <row r="3245">
          <cell r="B3245" t="b">
            <v>1</v>
          </cell>
          <cell r="E3245" t="str">
            <v>Esperanza</v>
          </cell>
          <cell r="H3245" t="str">
            <v>laboratorio</v>
          </cell>
          <cell r="J3245" t="str">
            <v>bueno</v>
          </cell>
          <cell r="K3245" t="str">
            <v>probsi</v>
          </cell>
        </row>
        <row r="3246">
          <cell r="B3246" t="b">
            <v>1</v>
          </cell>
          <cell r="E3246" t="str">
            <v>Esperanza</v>
          </cell>
          <cell r="H3246" t="str">
            <v>laboratorio</v>
          </cell>
          <cell r="J3246" t="str">
            <v>bueno</v>
          </cell>
          <cell r="K3246" t="str">
            <v>probsi</v>
          </cell>
        </row>
        <row r="3247">
          <cell r="B3247" t="b">
            <v>1</v>
          </cell>
          <cell r="E3247" t="str">
            <v>Esperanza</v>
          </cell>
          <cell r="H3247" t="str">
            <v>laboratorio</v>
          </cell>
          <cell r="J3247" t="str">
            <v>bueno</v>
          </cell>
          <cell r="K3247" t="str">
            <v>probsi</v>
          </cell>
        </row>
        <row r="3248">
          <cell r="B3248" t="b">
            <v>1</v>
          </cell>
          <cell r="E3248" t="str">
            <v>Esperanza</v>
          </cell>
          <cell r="H3248" t="str">
            <v>laboratorio</v>
          </cell>
          <cell r="J3248" t="str">
            <v>bueno</v>
          </cell>
          <cell r="K3248" t="str">
            <v>probsi</v>
          </cell>
        </row>
        <row r="3249">
          <cell r="B3249" t="b">
            <v>1</v>
          </cell>
          <cell r="E3249" t="str">
            <v>Esperanza</v>
          </cell>
          <cell r="H3249" t="str">
            <v>salud_oral</v>
          </cell>
          <cell r="J3249" t="str">
            <v>bueno</v>
          </cell>
          <cell r="K3249" t="str">
            <v>probsi</v>
          </cell>
        </row>
        <row r="3250">
          <cell r="B3250" t="b">
            <v>1</v>
          </cell>
          <cell r="E3250" t="str">
            <v>Esperanza</v>
          </cell>
          <cell r="H3250" t="str">
            <v>salud_oral</v>
          </cell>
          <cell r="J3250" t="str">
            <v>bueno</v>
          </cell>
          <cell r="K3250" t="str">
            <v>probsi</v>
          </cell>
        </row>
        <row r="3251">
          <cell r="B3251" t="b">
            <v>1</v>
          </cell>
          <cell r="E3251" t="str">
            <v>Esperanza</v>
          </cell>
          <cell r="H3251" t="str">
            <v>salud_oral</v>
          </cell>
          <cell r="J3251" t="str">
            <v>bueno</v>
          </cell>
          <cell r="K3251" t="str">
            <v>probsi</v>
          </cell>
        </row>
        <row r="3252">
          <cell r="B3252" t="b">
            <v>1</v>
          </cell>
          <cell r="E3252" t="str">
            <v>Esperanza</v>
          </cell>
          <cell r="H3252" t="str">
            <v>salud_oral</v>
          </cell>
          <cell r="J3252" t="str">
            <v>bueno</v>
          </cell>
          <cell r="K3252" t="str">
            <v>probsi</v>
          </cell>
        </row>
        <row r="3253">
          <cell r="B3253" t="b">
            <v>1</v>
          </cell>
          <cell r="E3253" t="str">
            <v>Esperanza</v>
          </cell>
          <cell r="H3253" t="str">
            <v>salud_oral</v>
          </cell>
          <cell r="J3253" t="str">
            <v>bueno</v>
          </cell>
          <cell r="K3253" t="str">
            <v>probsi</v>
          </cell>
        </row>
        <row r="3254">
          <cell r="B3254" t="b">
            <v>1</v>
          </cell>
          <cell r="E3254" t="str">
            <v>Esperanza</v>
          </cell>
          <cell r="H3254" t="str">
            <v>salud_oral</v>
          </cell>
          <cell r="J3254" t="str">
            <v>bueno</v>
          </cell>
          <cell r="K3254" t="str">
            <v>probsi</v>
          </cell>
        </row>
        <row r="3255">
          <cell r="B3255" t="b">
            <v>1</v>
          </cell>
          <cell r="E3255" t="str">
            <v>Esperanza</v>
          </cell>
          <cell r="H3255" t="str">
            <v>electros</v>
          </cell>
          <cell r="J3255" t="str">
            <v>bueno</v>
          </cell>
          <cell r="K3255" t="str">
            <v>probsi</v>
          </cell>
        </row>
        <row r="3256">
          <cell r="B3256" t="b">
            <v>1</v>
          </cell>
          <cell r="E3256" t="str">
            <v>Esperanza</v>
          </cell>
          <cell r="H3256" t="str">
            <v>electros</v>
          </cell>
          <cell r="J3256" t="str">
            <v>bueno</v>
          </cell>
          <cell r="K3256" t="str">
            <v>probsi</v>
          </cell>
        </row>
        <row r="3257">
          <cell r="B3257" t="b">
            <v>1</v>
          </cell>
          <cell r="E3257" t="str">
            <v>Esperanza</v>
          </cell>
          <cell r="H3257" t="str">
            <v>electros</v>
          </cell>
          <cell r="J3257" t="str">
            <v>bueno</v>
          </cell>
          <cell r="K3257" t="str">
            <v>probsi</v>
          </cell>
        </row>
        <row r="3258">
          <cell r="B3258" t="b">
            <v>1</v>
          </cell>
          <cell r="E3258" t="str">
            <v>Esperanza</v>
          </cell>
          <cell r="H3258" t="str">
            <v>electros</v>
          </cell>
          <cell r="J3258" t="str">
            <v>bueno</v>
          </cell>
          <cell r="K3258" t="str">
            <v>probsi</v>
          </cell>
        </row>
        <row r="3259">
          <cell r="B3259" t="b">
            <v>1</v>
          </cell>
          <cell r="E3259" t="str">
            <v>Esperanza</v>
          </cell>
          <cell r="H3259" t="str">
            <v>electros</v>
          </cell>
          <cell r="J3259" t="str">
            <v>bueno</v>
          </cell>
          <cell r="K3259" t="str">
            <v>probsi</v>
          </cell>
        </row>
        <row r="3260">
          <cell r="B3260" t="b">
            <v>1</v>
          </cell>
          <cell r="E3260" t="str">
            <v>Esperanza</v>
          </cell>
          <cell r="H3260" t="str">
            <v>electros</v>
          </cell>
          <cell r="J3260" t="str">
            <v>bueno</v>
          </cell>
          <cell r="K3260" t="str">
            <v>probsi</v>
          </cell>
        </row>
        <row r="3261">
          <cell r="B3261" t="b">
            <v>1</v>
          </cell>
          <cell r="E3261" t="str">
            <v>Esperanza</v>
          </cell>
          <cell r="H3261" t="str">
            <v>electros</v>
          </cell>
          <cell r="J3261" t="str">
            <v>bueno</v>
          </cell>
          <cell r="K3261" t="str">
            <v>probsi</v>
          </cell>
        </row>
        <row r="3262">
          <cell r="B3262" t="b">
            <v>1</v>
          </cell>
          <cell r="E3262" t="str">
            <v>Esperanza</v>
          </cell>
          <cell r="H3262" t="str">
            <v>urgencia</v>
          </cell>
          <cell r="J3262" t="str">
            <v>bueno</v>
          </cell>
          <cell r="K3262" t="str">
            <v>probsi</v>
          </cell>
        </row>
        <row r="3263">
          <cell r="B3263" t="b">
            <v>1</v>
          </cell>
          <cell r="E3263" t="str">
            <v>Esperanza</v>
          </cell>
          <cell r="H3263" t="str">
            <v>urgencia</v>
          </cell>
          <cell r="J3263" t="str">
            <v>bueno</v>
          </cell>
          <cell r="K3263" t="str">
            <v>probsi</v>
          </cell>
        </row>
        <row r="3264">
          <cell r="B3264" t="b">
            <v>1</v>
          </cell>
          <cell r="E3264" t="str">
            <v>Esperanza</v>
          </cell>
          <cell r="H3264" t="str">
            <v>urgencia</v>
          </cell>
          <cell r="J3264" t="str">
            <v>bueno</v>
          </cell>
          <cell r="K3264" t="str">
            <v>probsi</v>
          </cell>
        </row>
        <row r="3265">
          <cell r="B3265" t="b">
            <v>1</v>
          </cell>
          <cell r="E3265" t="str">
            <v>Esperanza</v>
          </cell>
          <cell r="H3265" t="str">
            <v>urgencia</v>
          </cell>
          <cell r="J3265" t="str">
            <v>bueno</v>
          </cell>
          <cell r="K3265" t="str">
            <v>probsi</v>
          </cell>
        </row>
        <row r="3266">
          <cell r="B3266" t="b">
            <v>0</v>
          </cell>
          <cell r="E3266" t="str">
            <v>Esperanza</v>
          </cell>
          <cell r="H3266" t="str">
            <v>urgencia</v>
          </cell>
          <cell r="J3266" t="str">
            <v>regular</v>
          </cell>
          <cell r="K3266" t="str">
            <v>probsi</v>
          </cell>
        </row>
        <row r="3267">
          <cell r="B3267" t="b">
            <v>0</v>
          </cell>
          <cell r="E3267" t="str">
            <v>Esperanza</v>
          </cell>
          <cell r="H3267" t="str">
            <v>urgencia</v>
          </cell>
          <cell r="J3267" t="str">
            <v>regular</v>
          </cell>
          <cell r="K3267" t="str">
            <v>probsi</v>
          </cell>
        </row>
        <row r="3268">
          <cell r="B3268" t="b">
            <v>1</v>
          </cell>
          <cell r="E3268" t="str">
            <v>Esperanza</v>
          </cell>
          <cell r="H3268" t="str">
            <v>urgencia</v>
          </cell>
          <cell r="J3268" t="str">
            <v>bueno</v>
          </cell>
          <cell r="K3268" t="str">
            <v>probsi</v>
          </cell>
        </row>
        <row r="3269">
          <cell r="B3269" t="b">
            <v>1</v>
          </cell>
          <cell r="E3269" t="str">
            <v>Esperanza</v>
          </cell>
          <cell r="H3269" t="str">
            <v>urgencia</v>
          </cell>
          <cell r="J3269" t="str">
            <v>bueno</v>
          </cell>
          <cell r="K3269" t="str">
            <v>probsi</v>
          </cell>
        </row>
        <row r="3270">
          <cell r="B3270" t="b">
            <v>1</v>
          </cell>
          <cell r="E3270" t="str">
            <v>Nuevo Bosque</v>
          </cell>
          <cell r="H3270" t="str">
            <v>consulta_externa</v>
          </cell>
          <cell r="J3270" t="str">
            <v>bueno</v>
          </cell>
          <cell r="K3270" t="str">
            <v>defsi</v>
          </cell>
        </row>
        <row r="3271">
          <cell r="B3271" t="b">
            <v>1</v>
          </cell>
          <cell r="E3271" t="str">
            <v>Nuevo Bosque</v>
          </cell>
          <cell r="H3271" t="str">
            <v>salud_oral</v>
          </cell>
          <cell r="J3271" t="str">
            <v>bueno</v>
          </cell>
          <cell r="K3271" t="str">
            <v>defsi</v>
          </cell>
        </row>
        <row r="3272">
          <cell r="B3272" t="b">
            <v>1</v>
          </cell>
          <cell r="E3272" t="str">
            <v>Nuevo Bosque</v>
          </cell>
          <cell r="H3272" t="str">
            <v>laboratorio</v>
          </cell>
          <cell r="J3272" t="str">
            <v>bueno</v>
          </cell>
          <cell r="K3272" t="str">
            <v>defsi</v>
          </cell>
        </row>
        <row r="3273">
          <cell r="B3273" t="b">
            <v>1</v>
          </cell>
          <cell r="E3273" t="str">
            <v>Nuevo Bosque</v>
          </cell>
          <cell r="H3273" t="str">
            <v>urgencia</v>
          </cell>
          <cell r="J3273" t="str">
            <v>bueno</v>
          </cell>
          <cell r="K3273" t="str">
            <v>defsi</v>
          </cell>
        </row>
        <row r="3274">
          <cell r="B3274" t="b">
            <v>1</v>
          </cell>
          <cell r="E3274" t="str">
            <v>Nuevo Bosque</v>
          </cell>
          <cell r="H3274" t="str">
            <v>consulta_externa</v>
          </cell>
          <cell r="J3274" t="str">
            <v>bueno</v>
          </cell>
          <cell r="K3274" t="str">
            <v>defsi</v>
          </cell>
        </row>
        <row r="3275">
          <cell r="B3275" t="b">
            <v>1</v>
          </cell>
          <cell r="E3275" t="str">
            <v>Nuevo Bosque</v>
          </cell>
          <cell r="H3275" t="str">
            <v>salud_oral</v>
          </cell>
          <cell r="J3275" t="str">
            <v>bueno</v>
          </cell>
          <cell r="K3275" t="str">
            <v>defsi</v>
          </cell>
        </row>
        <row r="3276">
          <cell r="B3276" t="b">
            <v>1</v>
          </cell>
          <cell r="E3276" t="str">
            <v>Nuevo Bosque</v>
          </cell>
          <cell r="H3276" t="str">
            <v>laboratorio</v>
          </cell>
          <cell r="J3276" t="str">
            <v>bueno</v>
          </cell>
          <cell r="K3276" t="str">
            <v>defsi</v>
          </cell>
        </row>
        <row r="3277">
          <cell r="B3277" t="b">
            <v>1</v>
          </cell>
          <cell r="E3277" t="str">
            <v>Nuevo Bosque</v>
          </cell>
          <cell r="H3277" t="str">
            <v>urgencia</v>
          </cell>
          <cell r="J3277" t="str">
            <v>bueno</v>
          </cell>
          <cell r="K3277" t="str">
            <v>defsi</v>
          </cell>
        </row>
        <row r="3278">
          <cell r="B3278" t="b">
            <v>1</v>
          </cell>
          <cell r="E3278" t="str">
            <v>Nuevo Bosque</v>
          </cell>
          <cell r="H3278" t="str">
            <v>consulta_externa</v>
          </cell>
          <cell r="J3278" t="str">
            <v>bueno</v>
          </cell>
          <cell r="K3278" t="str">
            <v>defsi</v>
          </cell>
        </row>
        <row r="3279">
          <cell r="B3279" t="b">
            <v>1</v>
          </cell>
          <cell r="E3279" t="str">
            <v>Nuevo Bosque</v>
          </cell>
          <cell r="H3279" t="str">
            <v>salud_oral</v>
          </cell>
          <cell r="J3279" t="str">
            <v>bueno</v>
          </cell>
          <cell r="K3279" t="str">
            <v>defsi</v>
          </cell>
        </row>
        <row r="3280">
          <cell r="B3280" t="b">
            <v>1</v>
          </cell>
          <cell r="E3280" t="str">
            <v>Nuevo Bosque</v>
          </cell>
          <cell r="H3280" t="str">
            <v>laboratorio</v>
          </cell>
          <cell r="J3280" t="str">
            <v>bueno</v>
          </cell>
          <cell r="K3280" t="str">
            <v>defsi</v>
          </cell>
        </row>
        <row r="3281">
          <cell r="B3281" t="b">
            <v>1</v>
          </cell>
          <cell r="E3281" t="str">
            <v>Nuevo Bosque</v>
          </cell>
          <cell r="H3281" t="str">
            <v>urgencia</v>
          </cell>
          <cell r="J3281" t="str">
            <v>bueno</v>
          </cell>
          <cell r="K3281" t="str">
            <v>defsi</v>
          </cell>
        </row>
        <row r="3282">
          <cell r="B3282" t="b">
            <v>1</v>
          </cell>
          <cell r="E3282" t="str">
            <v>Nuevo Bosque</v>
          </cell>
          <cell r="H3282" t="str">
            <v>consulta_externa</v>
          </cell>
          <cell r="J3282" t="str">
            <v>bueno</v>
          </cell>
          <cell r="K3282" t="str">
            <v>defsi</v>
          </cell>
        </row>
        <row r="3283">
          <cell r="B3283" t="b">
            <v>1</v>
          </cell>
          <cell r="E3283" t="str">
            <v>Nuevo Bosque</v>
          </cell>
          <cell r="H3283" t="str">
            <v>salud_oral</v>
          </cell>
          <cell r="J3283" t="str">
            <v>bueno</v>
          </cell>
          <cell r="K3283" t="str">
            <v>defsi</v>
          </cell>
        </row>
        <row r="3284">
          <cell r="B3284" t="b">
            <v>1</v>
          </cell>
          <cell r="E3284" t="str">
            <v>Nuevo Bosque</v>
          </cell>
          <cell r="H3284" t="str">
            <v>laboratorio</v>
          </cell>
          <cell r="J3284" t="str">
            <v>bueno</v>
          </cell>
          <cell r="K3284" t="str">
            <v>defsi</v>
          </cell>
        </row>
        <row r="3285">
          <cell r="B3285" t="b">
            <v>1</v>
          </cell>
          <cell r="E3285" t="str">
            <v>Nuevo Bosque</v>
          </cell>
          <cell r="H3285" t="str">
            <v>urgencia</v>
          </cell>
          <cell r="J3285" t="str">
            <v>bueno</v>
          </cell>
          <cell r="K3285" t="str">
            <v>defsi</v>
          </cell>
        </row>
        <row r="3286">
          <cell r="B3286" t="b">
            <v>1</v>
          </cell>
          <cell r="E3286" t="str">
            <v>Nuevo Bosque</v>
          </cell>
          <cell r="H3286" t="str">
            <v>consulta_externa</v>
          </cell>
          <cell r="J3286" t="str">
            <v>bueno</v>
          </cell>
          <cell r="K3286" t="str">
            <v>defsi</v>
          </cell>
        </row>
        <row r="3287">
          <cell r="B3287" t="b">
            <v>1</v>
          </cell>
          <cell r="E3287" t="str">
            <v>Nuevo Bosque</v>
          </cell>
          <cell r="H3287" t="str">
            <v>salud_oral</v>
          </cell>
          <cell r="J3287" t="str">
            <v>bueno</v>
          </cell>
          <cell r="K3287" t="str">
            <v>defsi</v>
          </cell>
        </row>
        <row r="3288">
          <cell r="B3288" t="b">
            <v>1</v>
          </cell>
          <cell r="E3288" t="str">
            <v>Nuevo Bosque</v>
          </cell>
          <cell r="H3288" t="str">
            <v>laboratorio</v>
          </cell>
          <cell r="J3288" t="str">
            <v>bueno</v>
          </cell>
          <cell r="K3288" t="str">
            <v>defsi</v>
          </cell>
        </row>
        <row r="3289">
          <cell r="B3289" t="b">
            <v>1</v>
          </cell>
          <cell r="E3289" t="str">
            <v>Nuevo Bosque</v>
          </cell>
          <cell r="H3289" t="str">
            <v>urgencia</v>
          </cell>
          <cell r="J3289" t="str">
            <v>bueno</v>
          </cell>
          <cell r="K3289" t="str">
            <v>defsi</v>
          </cell>
        </row>
        <row r="3290">
          <cell r="B3290" t="b">
            <v>1</v>
          </cell>
          <cell r="E3290" t="str">
            <v>Nuevo Bosque</v>
          </cell>
          <cell r="H3290" t="str">
            <v>consulta_externa</v>
          </cell>
          <cell r="J3290" t="str">
            <v>bueno</v>
          </cell>
          <cell r="K3290" t="str">
            <v>defsi</v>
          </cell>
        </row>
        <row r="3291">
          <cell r="B3291" t="b">
            <v>1</v>
          </cell>
          <cell r="E3291" t="str">
            <v>Nuevo Bosque</v>
          </cell>
          <cell r="H3291" t="str">
            <v>salud_oral</v>
          </cell>
          <cell r="J3291" t="str">
            <v>bueno</v>
          </cell>
          <cell r="K3291" t="str">
            <v>defsi</v>
          </cell>
        </row>
        <row r="3292">
          <cell r="B3292" t="b">
            <v>1</v>
          </cell>
          <cell r="E3292" t="str">
            <v>Nuevo Bosque</v>
          </cell>
          <cell r="H3292" t="str">
            <v>laboratorio</v>
          </cell>
          <cell r="J3292" t="str">
            <v>bueno</v>
          </cell>
          <cell r="K3292" t="str">
            <v>defsi</v>
          </cell>
        </row>
        <row r="3293">
          <cell r="B3293" t="b">
            <v>1</v>
          </cell>
          <cell r="E3293" t="str">
            <v>Nuevo Bosque</v>
          </cell>
          <cell r="H3293" t="str">
            <v>urgencia</v>
          </cell>
          <cell r="J3293" t="str">
            <v>bueno</v>
          </cell>
          <cell r="K3293" t="str">
            <v>defsi</v>
          </cell>
        </row>
        <row r="3294">
          <cell r="B3294" t="b">
            <v>1</v>
          </cell>
          <cell r="E3294" t="str">
            <v>Nuevo Bosque</v>
          </cell>
          <cell r="H3294" t="str">
            <v>consulta_externa</v>
          </cell>
          <cell r="J3294" t="str">
            <v>bueno</v>
          </cell>
          <cell r="K3294" t="str">
            <v>defsi</v>
          </cell>
        </row>
        <row r="3295">
          <cell r="B3295" t="b">
            <v>1</v>
          </cell>
          <cell r="E3295" t="str">
            <v>Nuevo Bosque</v>
          </cell>
          <cell r="H3295" t="str">
            <v>salud_oral</v>
          </cell>
          <cell r="J3295" t="str">
            <v>bueno</v>
          </cell>
          <cell r="K3295" t="str">
            <v>defsi</v>
          </cell>
        </row>
        <row r="3296">
          <cell r="B3296" t="b">
            <v>1</v>
          </cell>
          <cell r="E3296" t="str">
            <v>Nuevo Bosque</v>
          </cell>
          <cell r="H3296" t="str">
            <v>consulta_externa</v>
          </cell>
          <cell r="J3296" t="str">
            <v>bueno</v>
          </cell>
          <cell r="K3296" t="str">
            <v>defsi</v>
          </cell>
        </row>
        <row r="3297">
          <cell r="B3297" t="b">
            <v>1</v>
          </cell>
          <cell r="E3297" t="str">
            <v>Nuevo Bosque</v>
          </cell>
          <cell r="H3297" t="str">
            <v>salud_oral</v>
          </cell>
          <cell r="J3297" t="str">
            <v>bueno</v>
          </cell>
          <cell r="K3297" t="str">
            <v>defsi</v>
          </cell>
        </row>
        <row r="3298">
          <cell r="B3298" t="b">
            <v>1</v>
          </cell>
          <cell r="E3298" t="str">
            <v>Nuevo Bosque</v>
          </cell>
          <cell r="H3298" t="str">
            <v>laboratorio</v>
          </cell>
          <cell r="J3298" t="str">
            <v>bueno</v>
          </cell>
          <cell r="K3298" t="str">
            <v>defsi</v>
          </cell>
        </row>
        <row r="3299">
          <cell r="B3299" t="b">
            <v>1</v>
          </cell>
          <cell r="E3299" t="str">
            <v>Nuevo Bosque</v>
          </cell>
          <cell r="H3299" t="str">
            <v>urgencia</v>
          </cell>
          <cell r="J3299" t="str">
            <v>bueno</v>
          </cell>
          <cell r="K3299" t="str">
            <v>defsi</v>
          </cell>
        </row>
        <row r="3300">
          <cell r="B3300" t="b">
            <v>1</v>
          </cell>
          <cell r="E3300" t="str">
            <v>Daniel Lemaitre</v>
          </cell>
          <cell r="H3300" t="str">
            <v>consulta_externa</v>
          </cell>
          <cell r="J3300" t="str">
            <v>bueno</v>
          </cell>
          <cell r="K3300" t="str">
            <v>probsi</v>
          </cell>
        </row>
        <row r="3301">
          <cell r="B3301" t="b">
            <v>1</v>
          </cell>
          <cell r="E3301" t="str">
            <v>Daniel Lemaitre</v>
          </cell>
          <cell r="H3301" t="str">
            <v>salud_oral</v>
          </cell>
          <cell r="J3301" t="str">
            <v>bueno</v>
          </cell>
          <cell r="K3301" t="str">
            <v>probsi</v>
          </cell>
        </row>
        <row r="3302">
          <cell r="B3302" t="b">
            <v>1</v>
          </cell>
          <cell r="E3302" t="str">
            <v>Daniel Lemaitre</v>
          </cell>
          <cell r="H3302" t="str">
            <v>laboratorio</v>
          </cell>
          <cell r="J3302" t="str">
            <v>bueno</v>
          </cell>
          <cell r="K3302" t="str">
            <v>probsi</v>
          </cell>
        </row>
        <row r="3303">
          <cell r="B3303" t="b">
            <v>1</v>
          </cell>
          <cell r="E3303" t="str">
            <v>Daniel Lemaitre</v>
          </cell>
          <cell r="H3303" t="str">
            <v>consulta_externa</v>
          </cell>
          <cell r="J3303" t="str">
            <v>bueno</v>
          </cell>
          <cell r="K3303" t="str">
            <v>probsi</v>
          </cell>
        </row>
        <row r="3304">
          <cell r="B3304" t="b">
            <v>1</v>
          </cell>
          <cell r="E3304" t="str">
            <v>Daniel Lemaitre</v>
          </cell>
          <cell r="H3304" t="str">
            <v>salud_oral</v>
          </cell>
          <cell r="J3304" t="str">
            <v>bueno</v>
          </cell>
          <cell r="K3304" t="str">
            <v>probsi</v>
          </cell>
        </row>
        <row r="3305">
          <cell r="B3305" t="b">
            <v>1</v>
          </cell>
          <cell r="E3305" t="str">
            <v>Daniel Lemaitre</v>
          </cell>
          <cell r="H3305" t="str">
            <v>consulta_externa</v>
          </cell>
          <cell r="J3305" t="str">
            <v>bueno</v>
          </cell>
          <cell r="K3305" t="str">
            <v>probsi</v>
          </cell>
        </row>
        <row r="3306">
          <cell r="B3306" t="b">
            <v>1</v>
          </cell>
          <cell r="E3306" t="str">
            <v>Daniel Lemaitre</v>
          </cell>
          <cell r="H3306" t="str">
            <v>consulta_externa</v>
          </cell>
          <cell r="J3306" t="str">
            <v>bueno</v>
          </cell>
          <cell r="K3306" t="str">
            <v>probsi</v>
          </cell>
        </row>
        <row r="3307">
          <cell r="B3307" t="b">
            <v>1</v>
          </cell>
          <cell r="E3307" t="str">
            <v>Daniel Lemaitre</v>
          </cell>
          <cell r="H3307" t="str">
            <v>laboratorio</v>
          </cell>
          <cell r="J3307" t="str">
            <v>bueno</v>
          </cell>
          <cell r="K3307" t="str">
            <v>probsi</v>
          </cell>
        </row>
        <row r="3308">
          <cell r="B3308" t="b">
            <v>1</v>
          </cell>
          <cell r="E3308" t="str">
            <v>Daniel Lemaitre</v>
          </cell>
          <cell r="H3308" t="str">
            <v>consulta_externa</v>
          </cell>
          <cell r="J3308" t="str">
            <v>bueno</v>
          </cell>
          <cell r="K3308" t="str">
            <v>probsi</v>
          </cell>
        </row>
        <row r="3309">
          <cell r="B3309" t="b">
            <v>1</v>
          </cell>
          <cell r="E3309" t="str">
            <v>Daniel Lemaitre</v>
          </cell>
          <cell r="H3309" t="str">
            <v>consulta_externa</v>
          </cell>
          <cell r="J3309" t="str">
            <v>bueno</v>
          </cell>
          <cell r="K3309" t="str">
            <v>probsi</v>
          </cell>
        </row>
        <row r="3310">
          <cell r="B3310" t="b">
            <v>1</v>
          </cell>
          <cell r="E3310" t="str">
            <v>Daniel Lemaitre</v>
          </cell>
          <cell r="H3310" t="str">
            <v>laboratorio</v>
          </cell>
          <cell r="J3310" t="str">
            <v>bueno</v>
          </cell>
          <cell r="K3310" t="str">
            <v>probsi</v>
          </cell>
        </row>
        <row r="3311">
          <cell r="B3311" t="b">
            <v>1</v>
          </cell>
          <cell r="E3311" t="str">
            <v>Daniel Lemaitre</v>
          </cell>
          <cell r="H3311" t="str">
            <v>salud_oral</v>
          </cell>
          <cell r="J3311" t="str">
            <v>bueno</v>
          </cell>
          <cell r="K3311" t="str">
            <v>probsi</v>
          </cell>
        </row>
        <row r="3312">
          <cell r="B3312" t="b">
            <v>1</v>
          </cell>
          <cell r="E3312" t="str">
            <v>Daniel Lemaitre</v>
          </cell>
          <cell r="H3312" t="str">
            <v>consulta_externa</v>
          </cell>
          <cell r="J3312" t="str">
            <v>bueno</v>
          </cell>
          <cell r="K3312" t="str">
            <v>probsi</v>
          </cell>
        </row>
        <row r="3313">
          <cell r="B3313" t="b">
            <v>1</v>
          </cell>
          <cell r="E3313" t="str">
            <v>Daniel Lemaitre</v>
          </cell>
          <cell r="H3313" t="str">
            <v>laboratorio</v>
          </cell>
          <cell r="J3313" t="str">
            <v>bueno</v>
          </cell>
          <cell r="K3313" t="str">
            <v>probsi</v>
          </cell>
        </row>
        <row r="3314">
          <cell r="B3314" t="b">
            <v>1</v>
          </cell>
          <cell r="E3314" t="str">
            <v>Daniel Lemaitre</v>
          </cell>
          <cell r="H3314" t="str">
            <v>consulta_externa</v>
          </cell>
          <cell r="J3314" t="str">
            <v>bueno</v>
          </cell>
          <cell r="K3314" t="str">
            <v>probsi</v>
          </cell>
        </row>
        <row r="3315">
          <cell r="B3315" t="b">
            <v>1</v>
          </cell>
          <cell r="E3315" t="str">
            <v>Daniel Lemaitre</v>
          </cell>
          <cell r="H3315" t="str">
            <v>consulta_externa</v>
          </cell>
          <cell r="J3315" t="str">
            <v>bueno</v>
          </cell>
          <cell r="K3315" t="str">
            <v>probsi</v>
          </cell>
        </row>
        <row r="3316">
          <cell r="B3316" t="b">
            <v>1</v>
          </cell>
          <cell r="E3316" t="str">
            <v>Daniel Lemaitre</v>
          </cell>
          <cell r="H3316" t="str">
            <v>salud_oral</v>
          </cell>
          <cell r="J3316" t="str">
            <v>bueno</v>
          </cell>
          <cell r="K3316" t="str">
            <v>probsi</v>
          </cell>
        </row>
        <row r="3317">
          <cell r="B3317" t="b">
            <v>1</v>
          </cell>
          <cell r="E3317" t="str">
            <v>Daniel Lemaitre</v>
          </cell>
          <cell r="H3317" t="str">
            <v>salud_oral</v>
          </cell>
          <cell r="J3317" t="str">
            <v>bueno</v>
          </cell>
          <cell r="K3317" t="str">
            <v>probsi</v>
          </cell>
        </row>
        <row r="3318">
          <cell r="B3318" t="b">
            <v>1</v>
          </cell>
          <cell r="E3318" t="str">
            <v>Daniel Lemaitre</v>
          </cell>
          <cell r="H3318" t="str">
            <v>consulta_externa</v>
          </cell>
          <cell r="J3318" t="str">
            <v>bueno</v>
          </cell>
          <cell r="K3318" t="str">
            <v>probsi</v>
          </cell>
        </row>
        <row r="3319">
          <cell r="B3319" t="b">
            <v>1</v>
          </cell>
          <cell r="E3319" t="str">
            <v>Daniel Lemaitre</v>
          </cell>
          <cell r="H3319" t="str">
            <v>consulta_externa</v>
          </cell>
          <cell r="J3319" t="str">
            <v>muybueno</v>
          </cell>
          <cell r="K3319" t="str">
            <v>probsi</v>
          </cell>
        </row>
        <row r="3320">
          <cell r="B3320" t="b">
            <v>1</v>
          </cell>
          <cell r="E3320" t="str">
            <v>Daniel Lemaitre</v>
          </cell>
          <cell r="H3320" t="str">
            <v>laboratorio</v>
          </cell>
          <cell r="J3320" t="str">
            <v>bueno</v>
          </cell>
          <cell r="K3320" t="str">
            <v>probsi</v>
          </cell>
        </row>
        <row r="3321">
          <cell r="B3321" t="b">
            <v>1</v>
          </cell>
          <cell r="E3321" t="str">
            <v>Daniel Lemaitre</v>
          </cell>
          <cell r="H3321" t="str">
            <v>laboratorio</v>
          </cell>
          <cell r="J3321" t="str">
            <v>bueno</v>
          </cell>
          <cell r="K3321" t="str">
            <v>probsi</v>
          </cell>
        </row>
        <row r="3322">
          <cell r="B3322" t="b">
            <v>1</v>
          </cell>
          <cell r="E3322" t="str">
            <v>Daniel Lemaitre</v>
          </cell>
          <cell r="H3322" t="str">
            <v>laboratorio</v>
          </cell>
          <cell r="J3322" t="str">
            <v>bueno</v>
          </cell>
          <cell r="K3322" t="str">
            <v>probsi</v>
          </cell>
        </row>
        <row r="3323">
          <cell r="B3323" t="b">
            <v>1</v>
          </cell>
          <cell r="E3323" t="str">
            <v>Bocachica</v>
          </cell>
          <cell r="H3323" t="str">
            <v>consulta_externa</v>
          </cell>
          <cell r="J3323" t="str">
            <v>muybueno</v>
          </cell>
          <cell r="K3323" t="str">
            <v>defsi</v>
          </cell>
        </row>
        <row r="3324">
          <cell r="B3324" t="b">
            <v>1</v>
          </cell>
          <cell r="E3324" t="str">
            <v>Bocachica</v>
          </cell>
          <cell r="H3324" t="str">
            <v>consulta_externa</v>
          </cell>
          <cell r="J3324" t="str">
            <v>muybueno</v>
          </cell>
          <cell r="K3324" t="str">
            <v>defsi</v>
          </cell>
        </row>
        <row r="3325">
          <cell r="B3325" t="b">
            <v>1</v>
          </cell>
          <cell r="E3325" t="str">
            <v>Bocachica</v>
          </cell>
          <cell r="H3325" t="str">
            <v>laboratorio</v>
          </cell>
          <cell r="J3325" t="str">
            <v>bueno</v>
          </cell>
          <cell r="K3325" t="str">
            <v>defsi</v>
          </cell>
        </row>
        <row r="3326">
          <cell r="B3326" t="b">
            <v>1</v>
          </cell>
          <cell r="E3326" t="str">
            <v>Bocachica</v>
          </cell>
          <cell r="H3326" t="str">
            <v>consulta_externa</v>
          </cell>
          <cell r="J3326" t="str">
            <v>bueno</v>
          </cell>
          <cell r="K3326" t="str">
            <v>defsi</v>
          </cell>
        </row>
        <row r="3327">
          <cell r="B3327" t="b">
            <v>1</v>
          </cell>
          <cell r="E3327" t="str">
            <v>Isla del Rosario</v>
          </cell>
          <cell r="H3327" t="str">
            <v>consulta_externa</v>
          </cell>
          <cell r="J3327" t="str">
            <v>muybueno</v>
          </cell>
          <cell r="K3327" t="str">
            <v>defsi</v>
          </cell>
        </row>
        <row r="3328">
          <cell r="B3328" t="b">
            <v>1</v>
          </cell>
          <cell r="E3328" t="str">
            <v>Bocachica</v>
          </cell>
          <cell r="H3328" t="str">
            <v>consulta_externa</v>
          </cell>
          <cell r="J3328" t="str">
            <v>bueno</v>
          </cell>
          <cell r="K3328" t="str">
            <v>defsi</v>
          </cell>
        </row>
        <row r="3329">
          <cell r="B3329" t="b">
            <v>1</v>
          </cell>
          <cell r="E3329" t="str">
            <v>Isla del Rosario</v>
          </cell>
          <cell r="H3329" t="str">
            <v>laboratorio</v>
          </cell>
          <cell r="J3329" t="str">
            <v>muybueno</v>
          </cell>
          <cell r="K3329" t="str">
            <v>defsi</v>
          </cell>
        </row>
        <row r="3330">
          <cell r="B3330" t="b">
            <v>1</v>
          </cell>
          <cell r="E3330" t="str">
            <v>Bocachica</v>
          </cell>
          <cell r="H3330" t="str">
            <v>consulta_externa</v>
          </cell>
          <cell r="J3330" t="str">
            <v>muybueno</v>
          </cell>
          <cell r="K3330" t="str">
            <v>defsi</v>
          </cell>
        </row>
        <row r="3331">
          <cell r="B3331" t="b">
            <v>1</v>
          </cell>
          <cell r="E3331" t="str">
            <v>Isla del Rosario</v>
          </cell>
          <cell r="H3331" t="str">
            <v>salud_oral</v>
          </cell>
          <cell r="J3331" t="str">
            <v>muybueno</v>
          </cell>
          <cell r="K3331" t="str">
            <v>defsi</v>
          </cell>
        </row>
        <row r="3332">
          <cell r="B3332" t="b">
            <v>1</v>
          </cell>
          <cell r="E3332" t="str">
            <v>Bocachica</v>
          </cell>
          <cell r="H3332" t="str">
            <v>laboratorio</v>
          </cell>
          <cell r="J3332" t="str">
            <v>muybueno</v>
          </cell>
          <cell r="K3332" t="str">
            <v>defsi</v>
          </cell>
        </row>
        <row r="3333">
          <cell r="B3333" t="b">
            <v>1</v>
          </cell>
          <cell r="E3333" t="str">
            <v>Bocachica</v>
          </cell>
          <cell r="H3333" t="str">
            <v>laboratorio</v>
          </cell>
          <cell r="J3333" t="str">
            <v>muybueno</v>
          </cell>
          <cell r="K3333" t="str">
            <v>defsi</v>
          </cell>
        </row>
        <row r="3334">
          <cell r="B3334" t="b">
            <v>1</v>
          </cell>
          <cell r="E3334" t="str">
            <v>Los Cerros</v>
          </cell>
          <cell r="H3334" t="str">
            <v>consulta_externa</v>
          </cell>
          <cell r="J3334" t="str">
            <v>bueno</v>
          </cell>
          <cell r="K3334" t="str">
            <v>defsi</v>
          </cell>
        </row>
        <row r="3335">
          <cell r="B3335" t="b">
            <v>1</v>
          </cell>
          <cell r="E3335" t="str">
            <v>Isla del Rosario</v>
          </cell>
          <cell r="H3335" t="str">
            <v>consulta_externa</v>
          </cell>
          <cell r="J3335" t="str">
            <v>muybueno</v>
          </cell>
          <cell r="K3335" t="str">
            <v>defsi</v>
          </cell>
        </row>
        <row r="3336">
          <cell r="B3336" t="b">
            <v>1</v>
          </cell>
          <cell r="E3336" t="str">
            <v>Los Cerros</v>
          </cell>
          <cell r="H3336" t="str">
            <v>salud_oral</v>
          </cell>
          <cell r="J3336" t="str">
            <v>bueno</v>
          </cell>
          <cell r="K3336" t="str">
            <v>defsi</v>
          </cell>
        </row>
        <row r="3337">
          <cell r="B3337" t="b">
            <v>1</v>
          </cell>
          <cell r="E3337" t="str">
            <v>Isla del Rosario</v>
          </cell>
          <cell r="H3337" t="str">
            <v>consulta_externa</v>
          </cell>
          <cell r="J3337" t="str">
            <v>muybueno</v>
          </cell>
          <cell r="K3337" t="str">
            <v>defsi</v>
          </cell>
        </row>
        <row r="3338">
          <cell r="B3338" t="b">
            <v>1</v>
          </cell>
          <cell r="E3338" t="str">
            <v>Bocachica</v>
          </cell>
          <cell r="H3338" t="str">
            <v>laboratorio</v>
          </cell>
          <cell r="J3338" t="str">
            <v>bueno</v>
          </cell>
          <cell r="K3338" t="str">
            <v>defsi</v>
          </cell>
        </row>
        <row r="3339">
          <cell r="B3339" t="b">
            <v>1</v>
          </cell>
          <cell r="E3339" t="str">
            <v>Isla del Rosario</v>
          </cell>
          <cell r="H3339" t="str">
            <v>laboratorio</v>
          </cell>
          <cell r="J3339" t="str">
            <v>muybueno</v>
          </cell>
          <cell r="K3339" t="str">
            <v>defsi</v>
          </cell>
        </row>
        <row r="3340">
          <cell r="B3340" t="b">
            <v>1</v>
          </cell>
          <cell r="E3340" t="str">
            <v>Los Cerros</v>
          </cell>
          <cell r="H3340" t="str">
            <v>laboratorio</v>
          </cell>
          <cell r="J3340" t="str">
            <v>bueno</v>
          </cell>
          <cell r="K3340" t="str">
            <v>defsi</v>
          </cell>
        </row>
        <row r="3341">
          <cell r="B3341" t="b">
            <v>1</v>
          </cell>
          <cell r="E3341" t="str">
            <v>Bocachica</v>
          </cell>
          <cell r="H3341" t="str">
            <v>laboratorio</v>
          </cell>
          <cell r="J3341" t="str">
            <v>bueno</v>
          </cell>
          <cell r="K3341" t="str">
            <v>defsi</v>
          </cell>
        </row>
        <row r="3342">
          <cell r="B3342" t="b">
            <v>1</v>
          </cell>
          <cell r="E3342" t="str">
            <v>Los Cerros</v>
          </cell>
          <cell r="H3342" t="str">
            <v>ecografias</v>
          </cell>
          <cell r="J3342" t="str">
            <v>bueno</v>
          </cell>
          <cell r="K3342" t="str">
            <v>defsi</v>
          </cell>
        </row>
        <row r="3343">
          <cell r="B3343" t="b">
            <v>1</v>
          </cell>
          <cell r="E3343" t="str">
            <v>Bocachica</v>
          </cell>
          <cell r="H3343" t="str">
            <v>laboratorio</v>
          </cell>
          <cell r="J3343" t="str">
            <v>bueno</v>
          </cell>
          <cell r="K3343" t="str">
            <v>defsi</v>
          </cell>
        </row>
        <row r="3344">
          <cell r="B3344" t="b">
            <v>1</v>
          </cell>
          <cell r="E3344" t="str">
            <v>Bocachica</v>
          </cell>
          <cell r="H3344" t="str">
            <v>consulta_externa</v>
          </cell>
          <cell r="J3344" t="str">
            <v>bueno</v>
          </cell>
          <cell r="K3344" t="str">
            <v>defsi</v>
          </cell>
        </row>
        <row r="3345">
          <cell r="B3345" t="b">
            <v>1</v>
          </cell>
          <cell r="E3345" t="str">
            <v>Bocachica</v>
          </cell>
          <cell r="H3345" t="str">
            <v>consulta_externa</v>
          </cell>
          <cell r="J3345" t="str">
            <v>bueno</v>
          </cell>
          <cell r="K3345" t="str">
            <v>defsi</v>
          </cell>
        </row>
        <row r="3346">
          <cell r="B3346" t="b">
            <v>1</v>
          </cell>
          <cell r="E3346" t="str">
            <v>Los Cerros</v>
          </cell>
          <cell r="H3346" t="str">
            <v>medicina_interna</v>
          </cell>
          <cell r="J3346" t="str">
            <v>bueno</v>
          </cell>
          <cell r="K3346" t="str">
            <v>defsi</v>
          </cell>
        </row>
        <row r="3347">
          <cell r="B3347" t="b">
            <v>1</v>
          </cell>
          <cell r="E3347" t="str">
            <v>Bocachica</v>
          </cell>
          <cell r="H3347" t="str">
            <v>consulta_externa</v>
          </cell>
          <cell r="J3347" t="str">
            <v>bueno</v>
          </cell>
          <cell r="K3347" t="str">
            <v>defsi</v>
          </cell>
        </row>
        <row r="3348">
          <cell r="B3348" t="b">
            <v>1</v>
          </cell>
          <cell r="E3348" t="str">
            <v>Nuevo Porvenir</v>
          </cell>
          <cell r="H3348" t="str">
            <v>salud_oral</v>
          </cell>
          <cell r="J3348" t="str">
            <v>bueno</v>
          </cell>
          <cell r="K3348" t="str">
            <v>defsi</v>
          </cell>
        </row>
        <row r="3349">
          <cell r="B3349" t="b">
            <v>1</v>
          </cell>
          <cell r="E3349" t="str">
            <v>Nuevo Porvenir</v>
          </cell>
          <cell r="H3349" t="str">
            <v>consulta_externa</v>
          </cell>
          <cell r="J3349" t="str">
            <v>bueno</v>
          </cell>
          <cell r="K3349" t="str">
            <v>defsi</v>
          </cell>
        </row>
        <row r="3350">
          <cell r="B3350" t="b">
            <v>1</v>
          </cell>
          <cell r="E3350" t="str">
            <v>Isla del Rosario</v>
          </cell>
          <cell r="H3350" t="str">
            <v>consulta_externa</v>
          </cell>
          <cell r="J3350" t="str">
            <v>muybueno</v>
          </cell>
          <cell r="K3350" t="str">
            <v>defsi</v>
          </cell>
        </row>
        <row r="3351">
          <cell r="B3351" t="b">
            <v>1</v>
          </cell>
          <cell r="E3351" t="str">
            <v>Nuevo Porvenir</v>
          </cell>
          <cell r="H3351" t="str">
            <v>laboratorio</v>
          </cell>
          <cell r="J3351" t="str">
            <v>bueno</v>
          </cell>
          <cell r="K3351" t="str">
            <v>defsi</v>
          </cell>
        </row>
        <row r="3352">
          <cell r="B3352" t="b">
            <v>1</v>
          </cell>
          <cell r="E3352" t="str">
            <v>Isla del Rosario</v>
          </cell>
          <cell r="H3352" t="str">
            <v>laboratorio</v>
          </cell>
          <cell r="J3352" t="str">
            <v>muybueno</v>
          </cell>
          <cell r="K3352" t="str">
            <v>defsi</v>
          </cell>
        </row>
        <row r="3353">
          <cell r="B3353" t="b">
            <v>1</v>
          </cell>
          <cell r="E3353" t="str">
            <v>Bocachica</v>
          </cell>
          <cell r="H3353" t="str">
            <v>laboratorio</v>
          </cell>
          <cell r="J3353" t="str">
            <v>bueno</v>
          </cell>
          <cell r="K3353" t="str">
            <v>defsi</v>
          </cell>
        </row>
        <row r="3354">
          <cell r="B3354" t="b">
            <v>1</v>
          </cell>
          <cell r="E3354" t="str">
            <v>Bocachica</v>
          </cell>
          <cell r="H3354" t="str">
            <v>urgencia</v>
          </cell>
          <cell r="J3354" t="str">
            <v>bueno</v>
          </cell>
          <cell r="K3354" t="str">
            <v>defsi</v>
          </cell>
        </row>
        <row r="3355">
          <cell r="B3355" t="b">
            <v>1</v>
          </cell>
          <cell r="E3355" t="str">
            <v>Isla del Rosario</v>
          </cell>
          <cell r="H3355" t="str">
            <v>consulta_externa</v>
          </cell>
          <cell r="J3355" t="str">
            <v>muybueno</v>
          </cell>
          <cell r="K3355" t="str">
            <v>defsi</v>
          </cell>
        </row>
        <row r="3356">
          <cell r="B3356" t="b">
            <v>1</v>
          </cell>
          <cell r="E3356" t="str">
            <v>Nuevo Porvenir</v>
          </cell>
          <cell r="H3356" t="str">
            <v>consulta_externa</v>
          </cell>
          <cell r="J3356" t="str">
            <v>bueno</v>
          </cell>
          <cell r="K3356" t="str">
            <v>defsi</v>
          </cell>
        </row>
        <row r="3357">
          <cell r="B3357" t="b">
            <v>1</v>
          </cell>
          <cell r="E3357" t="str">
            <v>Nuevo Porvenir</v>
          </cell>
          <cell r="H3357" t="str">
            <v>salud_oral</v>
          </cell>
          <cell r="J3357" t="str">
            <v>bueno</v>
          </cell>
          <cell r="K3357" t="str">
            <v>defsi</v>
          </cell>
        </row>
        <row r="3358">
          <cell r="B3358" t="b">
            <v>1</v>
          </cell>
          <cell r="E3358" t="str">
            <v>Nuevo Porvenir</v>
          </cell>
          <cell r="H3358" t="str">
            <v>salud_oral</v>
          </cell>
          <cell r="J3358" t="str">
            <v>bueno</v>
          </cell>
          <cell r="K3358" t="str">
            <v>defsi</v>
          </cell>
        </row>
        <row r="3359">
          <cell r="B3359" t="b">
            <v>1</v>
          </cell>
          <cell r="E3359" t="str">
            <v>Nuevo Porvenir</v>
          </cell>
          <cell r="H3359" t="str">
            <v>salud_oral</v>
          </cell>
          <cell r="J3359" t="str">
            <v>muybueno</v>
          </cell>
          <cell r="K3359" t="str">
            <v>defsi</v>
          </cell>
        </row>
        <row r="3360">
          <cell r="B3360" t="b">
            <v>1</v>
          </cell>
          <cell r="E3360" t="str">
            <v>Bocachica</v>
          </cell>
          <cell r="H3360" t="str">
            <v>salud_oral</v>
          </cell>
          <cell r="J3360" t="str">
            <v>muybueno</v>
          </cell>
          <cell r="K3360" t="str">
            <v>defsi</v>
          </cell>
        </row>
        <row r="3361">
          <cell r="B3361" t="b">
            <v>1</v>
          </cell>
          <cell r="E3361" t="str">
            <v>Bocachica</v>
          </cell>
          <cell r="H3361" t="str">
            <v>urgencia</v>
          </cell>
          <cell r="J3361" t="str">
            <v>bueno</v>
          </cell>
          <cell r="K3361" t="str">
            <v>defsi</v>
          </cell>
        </row>
        <row r="3362">
          <cell r="B3362" t="b">
            <v>1</v>
          </cell>
          <cell r="E3362" t="str">
            <v>Nuevo Porvenir</v>
          </cell>
          <cell r="H3362" t="str">
            <v>laboratorio</v>
          </cell>
          <cell r="J3362" t="str">
            <v>bueno</v>
          </cell>
          <cell r="K3362" t="str">
            <v>defsi</v>
          </cell>
        </row>
        <row r="3363">
          <cell r="B3363" t="b">
            <v>1</v>
          </cell>
          <cell r="E3363" t="str">
            <v>Los Cerros</v>
          </cell>
          <cell r="H3363" t="str">
            <v>consulta_externa</v>
          </cell>
          <cell r="J3363" t="str">
            <v>bueno</v>
          </cell>
          <cell r="K3363" t="str">
            <v>defsi</v>
          </cell>
        </row>
        <row r="3364">
          <cell r="B3364" t="b">
            <v>1</v>
          </cell>
          <cell r="E3364" t="str">
            <v>Los Cerros</v>
          </cell>
          <cell r="H3364" t="str">
            <v>salud_oral</v>
          </cell>
          <cell r="J3364" t="str">
            <v>bueno</v>
          </cell>
          <cell r="K3364" t="str">
            <v>defsi</v>
          </cell>
        </row>
        <row r="3365">
          <cell r="B3365" t="b">
            <v>1</v>
          </cell>
          <cell r="E3365" t="str">
            <v>Nuevo Porvenir</v>
          </cell>
          <cell r="H3365" t="str">
            <v>consulta_externa</v>
          </cell>
          <cell r="J3365" t="str">
            <v>bueno</v>
          </cell>
          <cell r="K3365" t="str">
            <v>defsi</v>
          </cell>
        </row>
        <row r="3366">
          <cell r="B3366" t="b">
            <v>1</v>
          </cell>
          <cell r="E3366" t="str">
            <v>Isla del Rosario</v>
          </cell>
          <cell r="H3366" t="str">
            <v>consulta_externa</v>
          </cell>
          <cell r="J3366" t="str">
            <v>muybueno</v>
          </cell>
          <cell r="K3366" t="str">
            <v>defsi</v>
          </cell>
        </row>
        <row r="3367">
          <cell r="B3367" t="b">
            <v>1</v>
          </cell>
          <cell r="E3367" t="str">
            <v>Bocachica</v>
          </cell>
          <cell r="H3367" t="str">
            <v>consulta_externa</v>
          </cell>
          <cell r="J3367" t="str">
            <v>muybueno</v>
          </cell>
          <cell r="K3367" t="str">
            <v>defsi</v>
          </cell>
        </row>
        <row r="3368">
          <cell r="B3368" t="b">
            <v>1</v>
          </cell>
          <cell r="E3368" t="str">
            <v>Nuevo Porvenir</v>
          </cell>
          <cell r="H3368" t="str">
            <v>laboratorio</v>
          </cell>
          <cell r="J3368" t="str">
            <v>bueno</v>
          </cell>
          <cell r="K3368" t="str">
            <v>defsi</v>
          </cell>
        </row>
        <row r="3369">
          <cell r="B3369" t="b">
            <v>1</v>
          </cell>
          <cell r="E3369" t="str">
            <v>Los Cerros</v>
          </cell>
          <cell r="H3369" t="str">
            <v>laboratorio</v>
          </cell>
          <cell r="J3369" t="str">
            <v>bueno</v>
          </cell>
          <cell r="K3369" t="str">
            <v>defsi</v>
          </cell>
        </row>
        <row r="3370">
          <cell r="B3370" t="b">
            <v>1</v>
          </cell>
          <cell r="E3370" t="str">
            <v>Nuevo Porvenir</v>
          </cell>
          <cell r="H3370" t="str">
            <v>laboratorio</v>
          </cell>
          <cell r="J3370" t="str">
            <v>bueno</v>
          </cell>
          <cell r="K3370" t="str">
            <v>defsi</v>
          </cell>
        </row>
        <row r="3371">
          <cell r="B3371" t="b">
            <v>1</v>
          </cell>
          <cell r="E3371" t="str">
            <v>Nuevo Porvenir</v>
          </cell>
          <cell r="H3371" t="str">
            <v>consulta_externa</v>
          </cell>
          <cell r="J3371" t="str">
            <v>bueno</v>
          </cell>
          <cell r="K3371" t="str">
            <v>defsi</v>
          </cell>
        </row>
        <row r="3372">
          <cell r="B3372" t="b">
            <v>1</v>
          </cell>
          <cell r="E3372" t="str">
            <v>Los Cerros</v>
          </cell>
          <cell r="H3372" t="str">
            <v>pediatria</v>
          </cell>
          <cell r="J3372" t="str">
            <v>bueno</v>
          </cell>
          <cell r="K3372" t="str">
            <v>defsi</v>
          </cell>
        </row>
        <row r="3373">
          <cell r="B3373" t="b">
            <v>1</v>
          </cell>
          <cell r="E3373" t="str">
            <v>Nuevo Porvenir</v>
          </cell>
          <cell r="H3373" t="str">
            <v>laboratorio</v>
          </cell>
          <cell r="J3373" t="str">
            <v>bueno</v>
          </cell>
          <cell r="K3373" t="str">
            <v>defsi</v>
          </cell>
        </row>
        <row r="3374">
          <cell r="B3374" t="b">
            <v>1</v>
          </cell>
          <cell r="E3374" t="str">
            <v>Los Cerros</v>
          </cell>
          <cell r="H3374" t="str">
            <v>medicina_interna</v>
          </cell>
          <cell r="J3374" t="str">
            <v>bueno</v>
          </cell>
          <cell r="K3374" t="str">
            <v>defsi</v>
          </cell>
        </row>
        <row r="3375">
          <cell r="B3375" t="b">
            <v>1</v>
          </cell>
          <cell r="E3375" t="str">
            <v>Nuevo Porvenir</v>
          </cell>
          <cell r="H3375" t="str">
            <v>consulta_externa</v>
          </cell>
          <cell r="J3375" t="str">
            <v>bueno</v>
          </cell>
          <cell r="K3375" t="str">
            <v>defsi</v>
          </cell>
        </row>
        <row r="3376">
          <cell r="B3376" t="b">
            <v>1</v>
          </cell>
          <cell r="E3376" t="str">
            <v>Nuevo Porvenir</v>
          </cell>
          <cell r="H3376" t="str">
            <v>laboratorio</v>
          </cell>
          <cell r="J3376" t="str">
            <v>bueno</v>
          </cell>
          <cell r="K3376" t="str">
            <v>defsi</v>
          </cell>
        </row>
        <row r="3377">
          <cell r="B3377" t="b">
            <v>1</v>
          </cell>
          <cell r="E3377" t="str">
            <v>Nuevo Porvenir</v>
          </cell>
          <cell r="H3377" t="str">
            <v>salud_oral</v>
          </cell>
          <cell r="J3377" t="str">
            <v>bueno</v>
          </cell>
          <cell r="K3377" t="str">
            <v>defsi</v>
          </cell>
        </row>
        <row r="3378">
          <cell r="B3378" t="b">
            <v>1</v>
          </cell>
          <cell r="E3378" t="str">
            <v>Isla del Rosario</v>
          </cell>
          <cell r="H3378" t="str">
            <v>salud_oral</v>
          </cell>
          <cell r="J3378" t="str">
            <v>muybueno</v>
          </cell>
          <cell r="K3378" t="str">
            <v>defsi</v>
          </cell>
        </row>
        <row r="3379">
          <cell r="B3379" t="b">
            <v>1</v>
          </cell>
          <cell r="E3379" t="str">
            <v>Bocachica</v>
          </cell>
          <cell r="H3379" t="str">
            <v>laboratorio</v>
          </cell>
          <cell r="J3379" t="str">
            <v>bueno</v>
          </cell>
          <cell r="K3379" t="str">
            <v>defsi</v>
          </cell>
        </row>
        <row r="3380">
          <cell r="B3380" t="b">
            <v>1</v>
          </cell>
          <cell r="E3380" t="str">
            <v>Bocachica</v>
          </cell>
          <cell r="H3380" t="str">
            <v>urgencia</v>
          </cell>
          <cell r="J3380" t="str">
            <v>bueno</v>
          </cell>
          <cell r="K3380" t="str">
            <v>defsi</v>
          </cell>
        </row>
        <row r="3381">
          <cell r="B3381" t="b">
            <v>1</v>
          </cell>
          <cell r="E3381" t="str">
            <v>Nuevo Porvenir</v>
          </cell>
          <cell r="H3381" t="str">
            <v>consulta_externa</v>
          </cell>
          <cell r="J3381" t="str">
            <v>bueno</v>
          </cell>
          <cell r="K3381" t="str">
            <v>defsi</v>
          </cell>
        </row>
        <row r="3382">
          <cell r="B3382" t="b">
            <v>1</v>
          </cell>
          <cell r="E3382" t="str">
            <v>Nuevo Porvenir</v>
          </cell>
          <cell r="H3382" t="str">
            <v>consulta_externa</v>
          </cell>
          <cell r="J3382" t="str">
            <v>muybueno</v>
          </cell>
          <cell r="K3382" t="str">
            <v>defsi</v>
          </cell>
        </row>
        <row r="3383">
          <cell r="B3383" t="b">
            <v>1</v>
          </cell>
          <cell r="E3383" t="str">
            <v>Nuevo Porvenir</v>
          </cell>
          <cell r="H3383" t="str">
            <v>laboratorio</v>
          </cell>
          <cell r="J3383" t="str">
            <v>muybueno</v>
          </cell>
          <cell r="K3383" t="str">
            <v>defsi</v>
          </cell>
        </row>
        <row r="3384">
          <cell r="B3384" t="b">
            <v>1</v>
          </cell>
          <cell r="E3384" t="str">
            <v>Nuevo Porvenir</v>
          </cell>
          <cell r="H3384" t="str">
            <v>consulta_externa</v>
          </cell>
          <cell r="J3384" t="str">
            <v>bueno</v>
          </cell>
          <cell r="K3384" t="str">
            <v>defsi</v>
          </cell>
        </row>
        <row r="3385">
          <cell r="B3385" t="b">
            <v>1</v>
          </cell>
          <cell r="E3385" t="str">
            <v>Nuevo Porvenir</v>
          </cell>
          <cell r="H3385" t="str">
            <v>laboratorio</v>
          </cell>
          <cell r="J3385" t="str">
            <v>bueno</v>
          </cell>
          <cell r="K3385" t="str">
            <v>defsi</v>
          </cell>
        </row>
        <row r="3386">
          <cell r="B3386" t="b">
            <v>1</v>
          </cell>
          <cell r="E3386" t="str">
            <v>Bocachica</v>
          </cell>
          <cell r="H3386" t="str">
            <v>salud_oral</v>
          </cell>
          <cell r="J3386" t="str">
            <v>muybueno</v>
          </cell>
          <cell r="K3386" t="str">
            <v>defsi</v>
          </cell>
        </row>
        <row r="3387">
          <cell r="B3387" t="b">
            <v>1</v>
          </cell>
          <cell r="E3387" t="str">
            <v>Bocachica</v>
          </cell>
          <cell r="H3387" t="str">
            <v>consulta_externa</v>
          </cell>
          <cell r="J3387" t="str">
            <v>muybueno</v>
          </cell>
          <cell r="K3387" t="str">
            <v>defsi</v>
          </cell>
        </row>
        <row r="3388">
          <cell r="B3388" t="b">
            <v>1</v>
          </cell>
          <cell r="E3388" t="str">
            <v>Nuevo Porvenir</v>
          </cell>
          <cell r="H3388" t="str">
            <v>consulta_externa</v>
          </cell>
          <cell r="J3388" t="str">
            <v>bueno</v>
          </cell>
          <cell r="K3388" t="str">
            <v>defsi</v>
          </cell>
        </row>
        <row r="3389">
          <cell r="B3389" t="b">
            <v>1</v>
          </cell>
          <cell r="E3389" t="str">
            <v>Nuevo Porvenir</v>
          </cell>
          <cell r="H3389" t="str">
            <v>salud_oral</v>
          </cell>
          <cell r="J3389" t="str">
            <v>bueno</v>
          </cell>
          <cell r="K3389" t="str">
            <v>defsi</v>
          </cell>
        </row>
        <row r="3390">
          <cell r="B3390" t="b">
            <v>1</v>
          </cell>
          <cell r="E3390" t="str">
            <v>Los Cerros</v>
          </cell>
          <cell r="H3390" t="str">
            <v>consulta_externa</v>
          </cell>
          <cell r="J3390" t="str">
            <v>bueno</v>
          </cell>
          <cell r="K3390" t="str">
            <v>defsi</v>
          </cell>
        </row>
        <row r="3391">
          <cell r="B3391" t="b">
            <v>1</v>
          </cell>
          <cell r="E3391" t="str">
            <v>Isla del Rosario</v>
          </cell>
          <cell r="H3391" t="str">
            <v>consulta_externa</v>
          </cell>
          <cell r="J3391" t="str">
            <v>muybueno</v>
          </cell>
          <cell r="K3391" t="str">
            <v>defsi</v>
          </cell>
        </row>
        <row r="3392">
          <cell r="B3392" t="b">
            <v>1</v>
          </cell>
          <cell r="E3392" t="str">
            <v>Los Cerros</v>
          </cell>
          <cell r="H3392" t="str">
            <v>salud_oral</v>
          </cell>
          <cell r="J3392" t="str">
            <v>bueno</v>
          </cell>
          <cell r="K3392" t="str">
            <v>defsi</v>
          </cell>
        </row>
        <row r="3393">
          <cell r="B3393" t="b">
            <v>1</v>
          </cell>
          <cell r="E3393" t="str">
            <v>Isla del Rosario</v>
          </cell>
          <cell r="H3393" t="str">
            <v>laboratorio</v>
          </cell>
          <cell r="J3393" t="str">
            <v>muybueno</v>
          </cell>
          <cell r="K3393" t="str">
            <v>defsi</v>
          </cell>
        </row>
        <row r="3394">
          <cell r="B3394" t="b">
            <v>1</v>
          </cell>
          <cell r="E3394" t="str">
            <v>Los Cerros</v>
          </cell>
          <cell r="H3394" t="str">
            <v>laboratorio</v>
          </cell>
          <cell r="J3394" t="str">
            <v>bueno</v>
          </cell>
          <cell r="K3394" t="str">
            <v>defsi</v>
          </cell>
        </row>
        <row r="3395">
          <cell r="B3395" t="b">
            <v>0</v>
          </cell>
          <cell r="E3395" t="str">
            <v>Daniel Lemaitre</v>
          </cell>
          <cell r="H3395" t="str">
            <v>laboratorio</v>
          </cell>
          <cell r="J3395" t="str">
            <v>regular</v>
          </cell>
          <cell r="K3395" t="str">
            <v>probsi</v>
          </cell>
        </row>
        <row r="3396">
          <cell r="B3396" t="b">
            <v>1</v>
          </cell>
          <cell r="E3396" t="str">
            <v>Los Cerros</v>
          </cell>
          <cell r="H3396" t="str">
            <v>medicina_interna</v>
          </cell>
          <cell r="J3396" t="str">
            <v>bueno</v>
          </cell>
          <cell r="K3396" t="str">
            <v>defsi</v>
          </cell>
        </row>
        <row r="3397">
          <cell r="B3397" t="b">
            <v>1</v>
          </cell>
          <cell r="E3397" t="str">
            <v>Nuevo Porvenir</v>
          </cell>
          <cell r="H3397" t="str">
            <v>consulta_externa</v>
          </cell>
          <cell r="J3397" t="str">
            <v>bueno</v>
          </cell>
          <cell r="K3397" t="str">
            <v>defsi</v>
          </cell>
        </row>
        <row r="3398">
          <cell r="B3398" t="b">
            <v>1</v>
          </cell>
          <cell r="E3398" t="str">
            <v>Nuevo Porvenir</v>
          </cell>
          <cell r="H3398" t="str">
            <v>laboratorio</v>
          </cell>
          <cell r="J3398" t="str">
            <v>bueno</v>
          </cell>
          <cell r="K3398" t="str">
            <v>defsi</v>
          </cell>
        </row>
        <row r="3399">
          <cell r="B3399" t="b">
            <v>1</v>
          </cell>
          <cell r="E3399" t="str">
            <v>Isla del Rosario</v>
          </cell>
          <cell r="H3399" t="str">
            <v>consulta_externa</v>
          </cell>
          <cell r="J3399" t="str">
            <v>muybueno</v>
          </cell>
          <cell r="K3399" t="str">
            <v>defsi</v>
          </cell>
        </row>
        <row r="3400">
          <cell r="B3400" t="b">
            <v>0</v>
          </cell>
          <cell r="E3400" t="str">
            <v>Daniel Lemaitre</v>
          </cell>
          <cell r="H3400" t="str">
            <v>laboratorio</v>
          </cell>
          <cell r="J3400" t="str">
            <v>regular</v>
          </cell>
          <cell r="K3400" t="str">
            <v>probsi</v>
          </cell>
        </row>
        <row r="3401">
          <cell r="B3401" t="b">
            <v>1</v>
          </cell>
          <cell r="E3401" t="str">
            <v>Daniel Lemaitre</v>
          </cell>
          <cell r="H3401" t="str">
            <v>laboratorio</v>
          </cell>
          <cell r="J3401" t="str">
            <v>bueno</v>
          </cell>
          <cell r="K3401" t="str">
            <v>probsi</v>
          </cell>
        </row>
        <row r="3402">
          <cell r="B3402" t="b">
            <v>1</v>
          </cell>
          <cell r="E3402" t="str">
            <v>Daniel Lemaitre</v>
          </cell>
          <cell r="H3402" t="str">
            <v>laboratorio</v>
          </cell>
          <cell r="J3402" t="str">
            <v>bueno</v>
          </cell>
          <cell r="K3402" t="str">
            <v>probsi</v>
          </cell>
        </row>
        <row r="3403">
          <cell r="B3403" t="b">
            <v>1</v>
          </cell>
          <cell r="E3403" t="str">
            <v>Daniel Lemaitre</v>
          </cell>
          <cell r="H3403" t="str">
            <v>laboratorio</v>
          </cell>
          <cell r="J3403" t="str">
            <v>bueno</v>
          </cell>
          <cell r="K3403" t="str">
            <v>probsi</v>
          </cell>
        </row>
        <row r="3404">
          <cell r="B3404" t="b">
            <v>1</v>
          </cell>
          <cell r="E3404" t="str">
            <v>Daniel Lemaitre</v>
          </cell>
          <cell r="H3404" t="str">
            <v>laboratorio</v>
          </cell>
          <cell r="J3404" t="str">
            <v>bueno</v>
          </cell>
          <cell r="K3404" t="str">
            <v>probsi</v>
          </cell>
        </row>
        <row r="3405">
          <cell r="B3405" t="b">
            <v>1</v>
          </cell>
          <cell r="E3405" t="str">
            <v>Daniel Lemaitre</v>
          </cell>
          <cell r="H3405" t="str">
            <v>salud_oral</v>
          </cell>
          <cell r="J3405" t="str">
            <v>bueno</v>
          </cell>
          <cell r="K3405" t="str">
            <v>probsi</v>
          </cell>
        </row>
        <row r="3406">
          <cell r="B3406" t="b">
            <v>1</v>
          </cell>
          <cell r="E3406" t="str">
            <v>Daniel Lemaitre</v>
          </cell>
          <cell r="H3406" t="str">
            <v>salud_oral</v>
          </cell>
          <cell r="J3406" t="str">
            <v>bueno</v>
          </cell>
          <cell r="K3406" t="str">
            <v>probsi</v>
          </cell>
        </row>
        <row r="3407">
          <cell r="B3407" t="b">
            <v>1</v>
          </cell>
          <cell r="E3407" t="str">
            <v>Nuevo Porvenir</v>
          </cell>
          <cell r="H3407" t="str">
            <v>consulta_externa</v>
          </cell>
          <cell r="J3407" t="str">
            <v>bueno</v>
          </cell>
          <cell r="K3407" t="str">
            <v>defsi</v>
          </cell>
        </row>
        <row r="3408">
          <cell r="B3408" t="b">
            <v>1</v>
          </cell>
          <cell r="E3408" t="str">
            <v>Nuevo Porvenir</v>
          </cell>
          <cell r="H3408" t="str">
            <v>salud_oral</v>
          </cell>
          <cell r="J3408" t="str">
            <v>bueno</v>
          </cell>
          <cell r="K3408" t="str">
            <v>defsi</v>
          </cell>
        </row>
        <row r="3409">
          <cell r="B3409" t="b">
            <v>1</v>
          </cell>
          <cell r="E3409" t="str">
            <v>Nuevo Porvenir</v>
          </cell>
          <cell r="H3409" t="str">
            <v>laboratorio</v>
          </cell>
          <cell r="J3409" t="str">
            <v>bueno</v>
          </cell>
          <cell r="K3409" t="str">
            <v>defsi</v>
          </cell>
        </row>
        <row r="3410">
          <cell r="B3410" t="b">
            <v>1</v>
          </cell>
          <cell r="E3410" t="str">
            <v>Los Cerros</v>
          </cell>
          <cell r="H3410" t="str">
            <v>consulta_externa</v>
          </cell>
          <cell r="J3410" t="str">
            <v>bueno</v>
          </cell>
          <cell r="K3410" t="str">
            <v>defsi</v>
          </cell>
        </row>
        <row r="3411">
          <cell r="B3411" t="b">
            <v>1</v>
          </cell>
          <cell r="E3411" t="str">
            <v>Daniel Lemaitre</v>
          </cell>
          <cell r="H3411" t="str">
            <v>salud_oral</v>
          </cell>
          <cell r="J3411" t="str">
            <v>bueno</v>
          </cell>
          <cell r="K3411" t="str">
            <v>probsi</v>
          </cell>
        </row>
        <row r="3412">
          <cell r="B3412" t="b">
            <v>1</v>
          </cell>
          <cell r="E3412" t="str">
            <v>Bocachica</v>
          </cell>
          <cell r="H3412" t="str">
            <v>consulta_externa</v>
          </cell>
          <cell r="J3412" t="str">
            <v>bueno</v>
          </cell>
          <cell r="K3412" t="str">
            <v>defsi</v>
          </cell>
        </row>
        <row r="3413">
          <cell r="B3413" t="b">
            <v>1</v>
          </cell>
          <cell r="E3413" t="str">
            <v>Daniel Lemaitre</v>
          </cell>
          <cell r="H3413" t="str">
            <v>salud_oral</v>
          </cell>
          <cell r="J3413" t="str">
            <v>bueno</v>
          </cell>
          <cell r="K3413" t="str">
            <v>probsi</v>
          </cell>
        </row>
        <row r="3414">
          <cell r="B3414" t="b">
            <v>1</v>
          </cell>
          <cell r="E3414" t="str">
            <v>Bocachica</v>
          </cell>
          <cell r="H3414" t="str">
            <v>salud_oral</v>
          </cell>
          <cell r="J3414" t="str">
            <v>bueno</v>
          </cell>
          <cell r="K3414" t="str">
            <v>defsi</v>
          </cell>
        </row>
        <row r="3415">
          <cell r="B3415" t="b">
            <v>1</v>
          </cell>
          <cell r="E3415" t="str">
            <v>Daniel Lemaitre</v>
          </cell>
          <cell r="H3415" t="str">
            <v>salud_oral</v>
          </cell>
          <cell r="J3415" t="str">
            <v>bueno</v>
          </cell>
          <cell r="K3415" t="str">
            <v>probsi</v>
          </cell>
        </row>
        <row r="3416">
          <cell r="B3416" t="b">
            <v>1</v>
          </cell>
          <cell r="E3416" t="str">
            <v>Los Cerros</v>
          </cell>
          <cell r="H3416" t="str">
            <v>salud_oral</v>
          </cell>
          <cell r="J3416" t="str">
            <v>bueno</v>
          </cell>
          <cell r="K3416" t="str">
            <v>defsi</v>
          </cell>
        </row>
        <row r="3417">
          <cell r="B3417" t="b">
            <v>1</v>
          </cell>
          <cell r="E3417" t="str">
            <v>Bocachica</v>
          </cell>
          <cell r="H3417" t="str">
            <v>consulta_externa</v>
          </cell>
          <cell r="J3417" t="str">
            <v>bueno</v>
          </cell>
          <cell r="K3417" t="str">
            <v>defsi</v>
          </cell>
        </row>
        <row r="3418">
          <cell r="B3418" t="b">
            <v>1</v>
          </cell>
          <cell r="E3418" t="str">
            <v>Los Cerros</v>
          </cell>
          <cell r="H3418" t="str">
            <v>pediatria</v>
          </cell>
          <cell r="J3418" t="str">
            <v>bueno</v>
          </cell>
          <cell r="K3418" t="str">
            <v>defsi</v>
          </cell>
        </row>
        <row r="3419">
          <cell r="B3419" t="b">
            <v>1</v>
          </cell>
          <cell r="E3419" t="str">
            <v>Los Cerros</v>
          </cell>
          <cell r="H3419" t="str">
            <v>medicina_interna</v>
          </cell>
          <cell r="J3419" t="str">
            <v>bueno</v>
          </cell>
          <cell r="K3419" t="str">
            <v>defsi</v>
          </cell>
        </row>
        <row r="3420">
          <cell r="B3420" t="b">
            <v>1</v>
          </cell>
          <cell r="E3420" t="str">
            <v>Daniel Lemaitre</v>
          </cell>
          <cell r="H3420" t="str">
            <v>salud_oral</v>
          </cell>
          <cell r="J3420" t="str">
            <v>bueno</v>
          </cell>
          <cell r="K3420" t="str">
            <v>probsi</v>
          </cell>
        </row>
        <row r="3421">
          <cell r="B3421" t="b">
            <v>1</v>
          </cell>
          <cell r="E3421" t="str">
            <v>Isla del Rosario</v>
          </cell>
          <cell r="H3421" t="str">
            <v>consulta_externa</v>
          </cell>
          <cell r="J3421" t="str">
            <v>muybueno</v>
          </cell>
          <cell r="K3421" t="str">
            <v>defsi</v>
          </cell>
        </row>
        <row r="3422">
          <cell r="B3422" t="b">
            <v>1</v>
          </cell>
          <cell r="E3422" t="str">
            <v>Daniel Lemaitre</v>
          </cell>
          <cell r="H3422" t="str">
            <v>salud_oral</v>
          </cell>
          <cell r="J3422" t="str">
            <v>bueno</v>
          </cell>
          <cell r="K3422" t="str">
            <v>probsi</v>
          </cell>
        </row>
        <row r="3423">
          <cell r="B3423" t="b">
            <v>1</v>
          </cell>
          <cell r="E3423" t="str">
            <v>Bocachica</v>
          </cell>
          <cell r="H3423" t="str">
            <v>consulta_externa</v>
          </cell>
          <cell r="J3423" t="str">
            <v>bueno</v>
          </cell>
          <cell r="K3423" t="str">
            <v>defsi</v>
          </cell>
        </row>
        <row r="3424">
          <cell r="B3424" t="b">
            <v>1</v>
          </cell>
          <cell r="E3424" t="str">
            <v>Daniel Lemaitre</v>
          </cell>
          <cell r="H3424" t="str">
            <v>salud_oral</v>
          </cell>
          <cell r="J3424" t="str">
            <v>bueno</v>
          </cell>
          <cell r="K3424" t="str">
            <v>probsi</v>
          </cell>
        </row>
        <row r="3425">
          <cell r="B3425" t="b">
            <v>1</v>
          </cell>
          <cell r="E3425" t="str">
            <v>San Francisco I</v>
          </cell>
          <cell r="H3425" t="str">
            <v>consulta_externa</v>
          </cell>
          <cell r="J3425" t="str">
            <v>bueno</v>
          </cell>
          <cell r="K3425" t="str">
            <v>probsi</v>
          </cell>
        </row>
        <row r="3426">
          <cell r="B3426" t="b">
            <v>1</v>
          </cell>
          <cell r="E3426" t="str">
            <v>Bocachica</v>
          </cell>
          <cell r="H3426" t="str">
            <v>urgencia</v>
          </cell>
          <cell r="J3426" t="str">
            <v>bueno</v>
          </cell>
          <cell r="K3426" t="str">
            <v>defsi</v>
          </cell>
        </row>
        <row r="3427">
          <cell r="B3427" t="b">
            <v>1</v>
          </cell>
          <cell r="E3427" t="str">
            <v>San Francisco I</v>
          </cell>
          <cell r="H3427" t="str">
            <v>consulta_externa</v>
          </cell>
          <cell r="J3427" t="str">
            <v>bueno</v>
          </cell>
          <cell r="K3427" t="str">
            <v>probsi</v>
          </cell>
        </row>
        <row r="3428">
          <cell r="B3428" t="b">
            <v>1</v>
          </cell>
          <cell r="E3428" t="str">
            <v>San Francisco I</v>
          </cell>
          <cell r="H3428" t="str">
            <v>salud_oral</v>
          </cell>
          <cell r="J3428" t="str">
            <v>bueno</v>
          </cell>
          <cell r="K3428" t="str">
            <v>probsi</v>
          </cell>
        </row>
        <row r="3429">
          <cell r="B3429" t="b">
            <v>1</v>
          </cell>
          <cell r="E3429" t="str">
            <v>Bocachica</v>
          </cell>
          <cell r="H3429" t="str">
            <v>consulta_externa</v>
          </cell>
          <cell r="J3429" t="str">
            <v>bueno</v>
          </cell>
          <cell r="K3429" t="str">
            <v>defsi</v>
          </cell>
        </row>
        <row r="3430">
          <cell r="B3430" t="b">
            <v>1</v>
          </cell>
          <cell r="E3430" t="str">
            <v>Nuevo Porvenir</v>
          </cell>
          <cell r="H3430" t="str">
            <v>consulta_externa</v>
          </cell>
          <cell r="J3430" t="str">
            <v>bueno</v>
          </cell>
          <cell r="K3430" t="str">
            <v>defsi</v>
          </cell>
        </row>
        <row r="3431">
          <cell r="B3431" t="b">
            <v>1</v>
          </cell>
          <cell r="E3431" t="str">
            <v>Nuevo Porvenir</v>
          </cell>
          <cell r="H3431" t="str">
            <v>laboratorio</v>
          </cell>
          <cell r="J3431" t="str">
            <v>bueno</v>
          </cell>
          <cell r="K3431" t="str">
            <v>defsi</v>
          </cell>
        </row>
        <row r="3432">
          <cell r="B3432" t="b">
            <v>1</v>
          </cell>
          <cell r="E3432" t="str">
            <v>Nuevo Porvenir</v>
          </cell>
          <cell r="H3432" t="str">
            <v>laboratorio</v>
          </cell>
          <cell r="J3432" t="str">
            <v>bueno</v>
          </cell>
          <cell r="K3432" t="str">
            <v>defsi</v>
          </cell>
        </row>
        <row r="3433">
          <cell r="B3433" t="b">
            <v>1</v>
          </cell>
          <cell r="E3433" t="str">
            <v>Nuevo Porvenir</v>
          </cell>
          <cell r="H3433" t="str">
            <v>laboratorio</v>
          </cell>
          <cell r="J3433" t="str">
            <v>bueno</v>
          </cell>
          <cell r="K3433" t="str">
            <v>defsi</v>
          </cell>
        </row>
        <row r="3434">
          <cell r="B3434" t="b">
            <v>1</v>
          </cell>
          <cell r="E3434" t="str">
            <v>Nuevo Porvenir</v>
          </cell>
          <cell r="H3434" t="str">
            <v>laboratorio</v>
          </cell>
          <cell r="J3434" t="str">
            <v>bueno</v>
          </cell>
          <cell r="K3434" t="str">
            <v>defsi</v>
          </cell>
        </row>
        <row r="3435">
          <cell r="B3435" t="b">
            <v>1</v>
          </cell>
          <cell r="E3435" t="str">
            <v>Isla del Rosario</v>
          </cell>
          <cell r="H3435" t="str">
            <v>consulta_externa</v>
          </cell>
          <cell r="J3435" t="str">
            <v>muybueno</v>
          </cell>
          <cell r="K3435" t="str">
            <v>defsi</v>
          </cell>
        </row>
        <row r="3436">
          <cell r="B3436" t="b">
            <v>1</v>
          </cell>
          <cell r="E3436" t="str">
            <v>Nuevo Porvenir</v>
          </cell>
          <cell r="H3436" t="str">
            <v>consulta_externa</v>
          </cell>
          <cell r="J3436" t="str">
            <v>bueno</v>
          </cell>
          <cell r="K3436" t="str">
            <v>defsi</v>
          </cell>
        </row>
        <row r="3437">
          <cell r="B3437" t="b">
            <v>1</v>
          </cell>
          <cell r="E3437" t="str">
            <v>Nuevo Porvenir</v>
          </cell>
          <cell r="H3437" t="str">
            <v>consulta_externa</v>
          </cell>
          <cell r="J3437" t="str">
            <v>bueno</v>
          </cell>
          <cell r="K3437" t="str">
            <v>defsi</v>
          </cell>
        </row>
        <row r="3438">
          <cell r="B3438" t="b">
            <v>1</v>
          </cell>
          <cell r="E3438" t="str">
            <v>Nuevo Porvenir</v>
          </cell>
          <cell r="H3438" t="str">
            <v>consulta_externa</v>
          </cell>
          <cell r="J3438" t="str">
            <v>bueno</v>
          </cell>
          <cell r="K3438" t="str">
            <v>defsi</v>
          </cell>
        </row>
        <row r="3439">
          <cell r="B3439" t="b">
            <v>1</v>
          </cell>
          <cell r="E3439" t="str">
            <v>San Francisco I</v>
          </cell>
          <cell r="H3439" t="str">
            <v>consulta_externa</v>
          </cell>
          <cell r="J3439" t="str">
            <v>bueno</v>
          </cell>
          <cell r="K3439" t="str">
            <v>probsi</v>
          </cell>
        </row>
        <row r="3440">
          <cell r="B3440" t="b">
            <v>1</v>
          </cell>
          <cell r="E3440" t="str">
            <v>San Francisco I</v>
          </cell>
          <cell r="H3440" t="str">
            <v>salud_oral</v>
          </cell>
          <cell r="J3440" t="str">
            <v>bueno</v>
          </cell>
          <cell r="K3440" t="str">
            <v>probsi</v>
          </cell>
        </row>
        <row r="3441">
          <cell r="B3441" t="b">
            <v>1</v>
          </cell>
          <cell r="E3441" t="str">
            <v>San Francisco I</v>
          </cell>
          <cell r="H3441" t="str">
            <v>laboratorio</v>
          </cell>
          <cell r="J3441" t="str">
            <v>bueno</v>
          </cell>
          <cell r="K3441" t="str">
            <v>probsi</v>
          </cell>
        </row>
        <row r="3442">
          <cell r="B3442" t="b">
            <v>1</v>
          </cell>
          <cell r="E3442" t="str">
            <v>San Francisco I</v>
          </cell>
          <cell r="H3442" t="str">
            <v>consulta_externa</v>
          </cell>
          <cell r="J3442" t="str">
            <v>bueno</v>
          </cell>
          <cell r="K3442" t="str">
            <v>probsi</v>
          </cell>
        </row>
        <row r="3443">
          <cell r="B3443" t="b">
            <v>1</v>
          </cell>
          <cell r="E3443" t="str">
            <v>San Francisco I</v>
          </cell>
          <cell r="H3443" t="str">
            <v>salud_oral</v>
          </cell>
          <cell r="J3443" t="str">
            <v>bueno</v>
          </cell>
          <cell r="K3443" t="str">
            <v>probsi</v>
          </cell>
        </row>
        <row r="3444">
          <cell r="B3444" t="b">
            <v>1</v>
          </cell>
          <cell r="E3444" t="str">
            <v>San Francisco I</v>
          </cell>
          <cell r="H3444" t="str">
            <v>consulta_externa</v>
          </cell>
          <cell r="J3444" t="str">
            <v>bueno</v>
          </cell>
          <cell r="K3444" t="str">
            <v>probsi</v>
          </cell>
        </row>
        <row r="3445">
          <cell r="B3445" t="b">
            <v>1</v>
          </cell>
          <cell r="E3445" t="str">
            <v>San Francisco I</v>
          </cell>
          <cell r="H3445" t="str">
            <v>salud_oral</v>
          </cell>
          <cell r="J3445" t="str">
            <v>bueno</v>
          </cell>
          <cell r="K3445" t="str">
            <v>probsi</v>
          </cell>
        </row>
        <row r="3446">
          <cell r="B3446" t="b">
            <v>1</v>
          </cell>
          <cell r="E3446" t="str">
            <v>San Francisco I</v>
          </cell>
          <cell r="H3446" t="str">
            <v>laboratorio</v>
          </cell>
          <cell r="J3446" t="str">
            <v>bueno</v>
          </cell>
          <cell r="K3446" t="str">
            <v>probsi</v>
          </cell>
        </row>
        <row r="3447">
          <cell r="B3447" t="b">
            <v>1</v>
          </cell>
          <cell r="E3447" t="str">
            <v>Nuevo Porvenir</v>
          </cell>
          <cell r="H3447" t="str">
            <v>laboratorio</v>
          </cell>
          <cell r="J3447" t="str">
            <v>bueno</v>
          </cell>
          <cell r="K3447" t="str">
            <v>defsi</v>
          </cell>
        </row>
        <row r="3448">
          <cell r="B3448" t="b">
            <v>1</v>
          </cell>
          <cell r="E3448" t="str">
            <v>San Francisco I</v>
          </cell>
          <cell r="H3448" t="str">
            <v>consulta_externa</v>
          </cell>
          <cell r="J3448" t="str">
            <v>bueno</v>
          </cell>
          <cell r="K3448" t="str">
            <v>probsi</v>
          </cell>
        </row>
        <row r="3449">
          <cell r="B3449" t="b">
            <v>1</v>
          </cell>
          <cell r="E3449" t="str">
            <v>Nuevo Porvenir</v>
          </cell>
          <cell r="H3449" t="str">
            <v>laboratorio</v>
          </cell>
          <cell r="J3449" t="str">
            <v>bueno</v>
          </cell>
          <cell r="K3449" t="str">
            <v>defsi</v>
          </cell>
        </row>
        <row r="3450">
          <cell r="B3450" t="b">
            <v>1</v>
          </cell>
          <cell r="E3450" t="str">
            <v>San Francisco I</v>
          </cell>
          <cell r="H3450" t="str">
            <v>salud_oral</v>
          </cell>
          <cell r="J3450" t="str">
            <v>bueno</v>
          </cell>
          <cell r="K3450" t="str">
            <v>probsi</v>
          </cell>
        </row>
        <row r="3451">
          <cell r="B3451" t="b">
            <v>1</v>
          </cell>
          <cell r="E3451" t="str">
            <v>Nuevo Porvenir</v>
          </cell>
          <cell r="H3451" t="str">
            <v>consulta_externa</v>
          </cell>
          <cell r="J3451" t="str">
            <v>bueno</v>
          </cell>
          <cell r="K3451" t="str">
            <v>defsi</v>
          </cell>
        </row>
        <row r="3452">
          <cell r="B3452" t="b">
            <v>1</v>
          </cell>
          <cell r="E3452" t="str">
            <v>San Francisco I</v>
          </cell>
          <cell r="H3452" t="str">
            <v>laboratorio</v>
          </cell>
          <cell r="J3452" t="str">
            <v>bueno</v>
          </cell>
          <cell r="K3452" t="str">
            <v>probsi</v>
          </cell>
        </row>
        <row r="3453">
          <cell r="B3453" t="b">
            <v>1</v>
          </cell>
          <cell r="E3453" t="str">
            <v>San Francisco I</v>
          </cell>
          <cell r="H3453" t="str">
            <v>consulta_externa</v>
          </cell>
          <cell r="J3453" t="str">
            <v>bueno</v>
          </cell>
          <cell r="K3453" t="str">
            <v>probsi</v>
          </cell>
        </row>
        <row r="3454">
          <cell r="B3454" t="b">
            <v>1</v>
          </cell>
          <cell r="E3454" t="str">
            <v>San Francisco I</v>
          </cell>
          <cell r="H3454" t="str">
            <v>salud_oral</v>
          </cell>
          <cell r="J3454" t="str">
            <v>bueno</v>
          </cell>
          <cell r="K3454" t="str">
            <v>probsi</v>
          </cell>
        </row>
        <row r="3455">
          <cell r="B3455" t="b">
            <v>1</v>
          </cell>
          <cell r="E3455" t="str">
            <v>Nuevo Porvenir</v>
          </cell>
          <cell r="H3455" t="str">
            <v>consulta_externa</v>
          </cell>
          <cell r="J3455" t="str">
            <v>bueno</v>
          </cell>
          <cell r="K3455" t="str">
            <v>defsi</v>
          </cell>
        </row>
        <row r="3456">
          <cell r="B3456" t="b">
            <v>1</v>
          </cell>
          <cell r="E3456" t="str">
            <v>Nuevo Porvenir</v>
          </cell>
          <cell r="H3456" t="str">
            <v>laboratorio</v>
          </cell>
          <cell r="J3456" t="str">
            <v>bueno</v>
          </cell>
          <cell r="K3456" t="str">
            <v>defsi</v>
          </cell>
        </row>
        <row r="3457">
          <cell r="B3457" t="b">
            <v>1</v>
          </cell>
          <cell r="E3457" t="str">
            <v>Nuevo Porvenir</v>
          </cell>
          <cell r="H3457" t="str">
            <v>laboratorio</v>
          </cell>
          <cell r="J3457" t="str">
            <v>bueno</v>
          </cell>
          <cell r="K3457" t="str">
            <v>defsi</v>
          </cell>
        </row>
        <row r="3458">
          <cell r="B3458" t="b">
            <v>1</v>
          </cell>
          <cell r="E3458" t="str">
            <v>Nuevo Porvenir</v>
          </cell>
          <cell r="H3458" t="str">
            <v>laboratorio</v>
          </cell>
          <cell r="J3458" t="str">
            <v>bueno</v>
          </cell>
          <cell r="K3458" t="str">
            <v>defsi</v>
          </cell>
        </row>
        <row r="3459">
          <cell r="B3459" t="b">
            <v>1</v>
          </cell>
          <cell r="E3459" t="str">
            <v>Los Cerros</v>
          </cell>
          <cell r="H3459" t="str">
            <v>consulta_externa</v>
          </cell>
          <cell r="J3459" t="str">
            <v>bueno</v>
          </cell>
          <cell r="K3459" t="str">
            <v>defsi</v>
          </cell>
        </row>
        <row r="3460">
          <cell r="B3460" t="b">
            <v>1</v>
          </cell>
          <cell r="E3460" t="str">
            <v>Los Cerros</v>
          </cell>
          <cell r="H3460" t="str">
            <v>salud_oral</v>
          </cell>
          <cell r="J3460" t="str">
            <v>bueno</v>
          </cell>
          <cell r="K3460" t="str">
            <v>defsi</v>
          </cell>
        </row>
        <row r="3461">
          <cell r="B3461" t="b">
            <v>1</v>
          </cell>
          <cell r="E3461" t="str">
            <v>Los Cerros</v>
          </cell>
          <cell r="H3461" t="str">
            <v>laboratorio</v>
          </cell>
          <cell r="J3461" t="str">
            <v>bueno</v>
          </cell>
          <cell r="K3461" t="str">
            <v>defsi</v>
          </cell>
        </row>
        <row r="3462">
          <cell r="B3462" t="b">
            <v>1</v>
          </cell>
          <cell r="E3462" t="str">
            <v>Isla del Rosario</v>
          </cell>
          <cell r="H3462" t="str">
            <v>consulta_externa</v>
          </cell>
          <cell r="J3462" t="str">
            <v>muybueno</v>
          </cell>
          <cell r="K3462" t="str">
            <v>defsi</v>
          </cell>
        </row>
        <row r="3463">
          <cell r="B3463" t="b">
            <v>1</v>
          </cell>
          <cell r="E3463" t="str">
            <v>Isla del Rosario</v>
          </cell>
          <cell r="H3463" t="str">
            <v>salud_oral</v>
          </cell>
          <cell r="J3463" t="str">
            <v>muybueno</v>
          </cell>
          <cell r="K3463" t="str">
            <v>defsi</v>
          </cell>
        </row>
        <row r="3464">
          <cell r="B3464" t="b">
            <v>1</v>
          </cell>
          <cell r="E3464" t="str">
            <v>Los Cerros</v>
          </cell>
          <cell r="H3464" t="str">
            <v>pediatria</v>
          </cell>
          <cell r="J3464" t="str">
            <v>bueno</v>
          </cell>
          <cell r="K3464" t="str">
            <v>defsi</v>
          </cell>
        </row>
        <row r="3465">
          <cell r="B3465" t="b">
            <v>1</v>
          </cell>
          <cell r="E3465" t="str">
            <v>Los Cerros</v>
          </cell>
          <cell r="H3465" t="str">
            <v>medicina_interna</v>
          </cell>
          <cell r="J3465" t="str">
            <v>bueno</v>
          </cell>
          <cell r="K3465" t="str">
            <v>defsi</v>
          </cell>
        </row>
        <row r="3466">
          <cell r="B3466" t="b">
            <v>1</v>
          </cell>
          <cell r="E3466" t="str">
            <v>Bocachica</v>
          </cell>
          <cell r="H3466" t="str">
            <v>salud_oral</v>
          </cell>
          <cell r="J3466" t="str">
            <v>bueno</v>
          </cell>
          <cell r="K3466" t="str">
            <v>defsi</v>
          </cell>
        </row>
        <row r="3467">
          <cell r="B3467" t="b">
            <v>1</v>
          </cell>
          <cell r="E3467" t="str">
            <v>Bocachica</v>
          </cell>
          <cell r="H3467" t="str">
            <v>salud_oral</v>
          </cell>
          <cell r="J3467" t="str">
            <v>bueno</v>
          </cell>
          <cell r="K3467" t="str">
            <v>defsi</v>
          </cell>
        </row>
        <row r="3468">
          <cell r="B3468" t="b">
            <v>1</v>
          </cell>
          <cell r="E3468" t="str">
            <v>Isla del Rosario</v>
          </cell>
          <cell r="H3468" t="str">
            <v>consulta_externa</v>
          </cell>
          <cell r="J3468" t="str">
            <v>muybueno</v>
          </cell>
          <cell r="K3468" t="str">
            <v>defsi</v>
          </cell>
        </row>
        <row r="3469">
          <cell r="B3469" t="b">
            <v>1</v>
          </cell>
          <cell r="E3469" t="str">
            <v>Isla del Rosario</v>
          </cell>
          <cell r="H3469" t="str">
            <v>laboratorio</v>
          </cell>
          <cell r="J3469" t="str">
            <v>muybueno</v>
          </cell>
          <cell r="K3469" t="str">
            <v>defsi</v>
          </cell>
        </row>
        <row r="3470">
          <cell r="B3470" t="b">
            <v>1</v>
          </cell>
          <cell r="E3470" t="str">
            <v>Los Cerros</v>
          </cell>
          <cell r="H3470" t="str">
            <v>consulta_externa</v>
          </cell>
          <cell r="J3470" t="str">
            <v>bueno</v>
          </cell>
          <cell r="K3470" t="str">
            <v>defsi</v>
          </cell>
        </row>
        <row r="3471">
          <cell r="B3471" t="b">
            <v>1</v>
          </cell>
          <cell r="E3471" t="str">
            <v>Los Cerros</v>
          </cell>
          <cell r="H3471" t="str">
            <v>salud_oral</v>
          </cell>
          <cell r="J3471" t="str">
            <v>bueno</v>
          </cell>
          <cell r="K3471" t="str">
            <v>defsi</v>
          </cell>
        </row>
        <row r="3472">
          <cell r="B3472" t="b">
            <v>1</v>
          </cell>
          <cell r="E3472" t="str">
            <v>Los Cerros</v>
          </cell>
          <cell r="H3472" t="str">
            <v>laboratorio</v>
          </cell>
          <cell r="J3472" t="str">
            <v>bueno</v>
          </cell>
          <cell r="K3472" t="str">
            <v>defsi</v>
          </cell>
        </row>
        <row r="3473">
          <cell r="B3473" t="b">
            <v>1</v>
          </cell>
          <cell r="E3473" t="str">
            <v>Los Cerros</v>
          </cell>
          <cell r="H3473" t="str">
            <v>pediatria</v>
          </cell>
          <cell r="J3473" t="str">
            <v>bueno</v>
          </cell>
          <cell r="K3473" t="str">
            <v>defsi</v>
          </cell>
        </row>
        <row r="3474">
          <cell r="B3474" t="b">
            <v>1</v>
          </cell>
          <cell r="E3474" t="str">
            <v>Los Cerros</v>
          </cell>
          <cell r="H3474" t="str">
            <v>medicina_interna</v>
          </cell>
          <cell r="J3474" t="str">
            <v>bueno</v>
          </cell>
          <cell r="K3474" t="str">
            <v>defsi</v>
          </cell>
        </row>
        <row r="3475">
          <cell r="B3475" t="b">
            <v>1</v>
          </cell>
          <cell r="E3475" t="str">
            <v>Fredonia</v>
          </cell>
          <cell r="H3475" t="str">
            <v>consulta_externa</v>
          </cell>
          <cell r="J3475" t="str">
            <v>bueno</v>
          </cell>
          <cell r="K3475" t="str">
            <v>defsi</v>
          </cell>
        </row>
        <row r="3476">
          <cell r="B3476" t="b">
            <v>1</v>
          </cell>
          <cell r="E3476" t="str">
            <v>Fredonia</v>
          </cell>
          <cell r="H3476" t="str">
            <v>consulta_externa</v>
          </cell>
          <cell r="J3476" t="str">
            <v>bueno</v>
          </cell>
          <cell r="K3476" t="str">
            <v>defsi</v>
          </cell>
        </row>
        <row r="3477">
          <cell r="B3477" t="b">
            <v>1</v>
          </cell>
          <cell r="E3477" t="str">
            <v>Fredonia</v>
          </cell>
          <cell r="H3477" t="str">
            <v>laboratorio</v>
          </cell>
          <cell r="J3477" t="str">
            <v>bueno</v>
          </cell>
          <cell r="K3477" t="str">
            <v>defsi</v>
          </cell>
        </row>
        <row r="3478">
          <cell r="B3478" t="b">
            <v>1</v>
          </cell>
          <cell r="E3478" t="str">
            <v>Fredonia</v>
          </cell>
          <cell r="H3478" t="str">
            <v>consulta_externa</v>
          </cell>
          <cell r="J3478" t="str">
            <v>bueno</v>
          </cell>
          <cell r="K3478" t="str">
            <v>defsi</v>
          </cell>
        </row>
        <row r="3479">
          <cell r="B3479" t="b">
            <v>1</v>
          </cell>
          <cell r="E3479" t="str">
            <v>Fredonia</v>
          </cell>
          <cell r="H3479" t="str">
            <v>consulta_externa</v>
          </cell>
          <cell r="J3479" t="str">
            <v>bueno</v>
          </cell>
          <cell r="K3479" t="str">
            <v>defsi</v>
          </cell>
        </row>
        <row r="3480">
          <cell r="B3480" t="b">
            <v>1</v>
          </cell>
          <cell r="E3480" t="str">
            <v>Isla del Rosario</v>
          </cell>
          <cell r="H3480" t="str">
            <v>consulta_externa</v>
          </cell>
          <cell r="J3480" t="str">
            <v>muybueno</v>
          </cell>
          <cell r="K3480" t="str">
            <v>defsi</v>
          </cell>
        </row>
        <row r="3481">
          <cell r="B3481" t="b">
            <v>1</v>
          </cell>
          <cell r="E3481" t="str">
            <v>Isla del Rosario</v>
          </cell>
          <cell r="H3481" t="str">
            <v>laboratorio</v>
          </cell>
          <cell r="J3481" t="str">
            <v>muybueno</v>
          </cell>
          <cell r="K3481" t="str">
            <v>defsi</v>
          </cell>
        </row>
        <row r="3482">
          <cell r="B3482" t="b">
            <v>1</v>
          </cell>
          <cell r="E3482" t="str">
            <v>Fredonia</v>
          </cell>
          <cell r="H3482" t="str">
            <v>consulta_externa</v>
          </cell>
          <cell r="J3482" t="str">
            <v>bueno</v>
          </cell>
          <cell r="K3482" t="str">
            <v>defsi</v>
          </cell>
        </row>
        <row r="3483">
          <cell r="B3483" t="b">
            <v>1</v>
          </cell>
          <cell r="E3483" t="str">
            <v>San Francisco I</v>
          </cell>
          <cell r="H3483" t="str">
            <v>consulta_externa</v>
          </cell>
          <cell r="J3483" t="str">
            <v>bueno</v>
          </cell>
          <cell r="K3483" t="str">
            <v>probsi</v>
          </cell>
        </row>
        <row r="3484">
          <cell r="B3484" t="b">
            <v>1</v>
          </cell>
          <cell r="E3484" t="str">
            <v>San Francisco I</v>
          </cell>
          <cell r="H3484" t="str">
            <v>laboratorio</v>
          </cell>
          <cell r="J3484" t="str">
            <v>bueno</v>
          </cell>
          <cell r="K3484" t="str">
            <v>probsi</v>
          </cell>
        </row>
        <row r="3485">
          <cell r="B3485" t="b">
            <v>1</v>
          </cell>
          <cell r="E3485" t="str">
            <v>San Francisco I</v>
          </cell>
          <cell r="H3485" t="str">
            <v>laboratorio</v>
          </cell>
          <cell r="J3485" t="str">
            <v>bueno</v>
          </cell>
          <cell r="K3485" t="str">
            <v>probsi</v>
          </cell>
        </row>
        <row r="3486">
          <cell r="B3486" t="b">
            <v>1</v>
          </cell>
          <cell r="E3486" t="str">
            <v>Bocachica</v>
          </cell>
          <cell r="H3486" t="str">
            <v>consulta_externa</v>
          </cell>
          <cell r="J3486" t="str">
            <v>bueno</v>
          </cell>
          <cell r="K3486" t="str">
            <v>defsi</v>
          </cell>
        </row>
        <row r="3487">
          <cell r="B3487" t="b">
            <v>1</v>
          </cell>
          <cell r="E3487" t="str">
            <v>San Francisco I</v>
          </cell>
          <cell r="H3487" t="str">
            <v>consulta_externa</v>
          </cell>
          <cell r="J3487" t="str">
            <v>bueno</v>
          </cell>
          <cell r="K3487" t="str">
            <v>probsi</v>
          </cell>
        </row>
        <row r="3488">
          <cell r="B3488" t="b">
            <v>1</v>
          </cell>
          <cell r="E3488" t="str">
            <v>Bocachica</v>
          </cell>
          <cell r="H3488" t="str">
            <v>salud_oral</v>
          </cell>
          <cell r="J3488" t="str">
            <v>bueno</v>
          </cell>
          <cell r="K3488" t="str">
            <v>defsi</v>
          </cell>
        </row>
        <row r="3489">
          <cell r="B3489" t="b">
            <v>1</v>
          </cell>
          <cell r="E3489" t="str">
            <v>San Francisco I</v>
          </cell>
          <cell r="H3489" t="str">
            <v>salud_oral</v>
          </cell>
          <cell r="J3489" t="str">
            <v>bueno</v>
          </cell>
          <cell r="K3489" t="str">
            <v>probsi</v>
          </cell>
        </row>
        <row r="3490">
          <cell r="B3490" t="b">
            <v>1</v>
          </cell>
          <cell r="E3490" t="str">
            <v>San Francisco I</v>
          </cell>
          <cell r="H3490" t="str">
            <v>laboratorio</v>
          </cell>
          <cell r="J3490" t="str">
            <v>bueno</v>
          </cell>
          <cell r="K3490" t="str">
            <v>probsi</v>
          </cell>
        </row>
        <row r="3491">
          <cell r="B3491" t="b">
            <v>1</v>
          </cell>
          <cell r="E3491" t="str">
            <v>Bocachica</v>
          </cell>
          <cell r="H3491" t="str">
            <v>consulta_externa</v>
          </cell>
          <cell r="J3491" t="str">
            <v>bueno</v>
          </cell>
          <cell r="K3491" t="str">
            <v>defsi</v>
          </cell>
        </row>
        <row r="3492">
          <cell r="B3492" t="b">
            <v>1</v>
          </cell>
          <cell r="E3492" t="str">
            <v>Isla del Rosario</v>
          </cell>
          <cell r="H3492" t="str">
            <v>consulta_externa</v>
          </cell>
          <cell r="J3492" t="str">
            <v>muybueno</v>
          </cell>
          <cell r="K3492" t="str">
            <v>defsi</v>
          </cell>
        </row>
        <row r="3493">
          <cell r="B3493" t="b">
            <v>1</v>
          </cell>
          <cell r="E3493" t="str">
            <v>Fredonia</v>
          </cell>
          <cell r="H3493" t="str">
            <v>consulta_externa</v>
          </cell>
          <cell r="J3493" t="str">
            <v>bueno</v>
          </cell>
          <cell r="K3493" t="str">
            <v>defsi</v>
          </cell>
        </row>
        <row r="3494">
          <cell r="B3494" t="b">
            <v>1</v>
          </cell>
          <cell r="E3494" t="str">
            <v>Fredonia</v>
          </cell>
          <cell r="H3494" t="str">
            <v>consulta_externa</v>
          </cell>
          <cell r="J3494" t="str">
            <v>bueno</v>
          </cell>
          <cell r="K3494" t="str">
            <v>defsi</v>
          </cell>
        </row>
        <row r="3495">
          <cell r="B3495" t="b">
            <v>1</v>
          </cell>
          <cell r="E3495" t="str">
            <v>Bocachica</v>
          </cell>
          <cell r="H3495" t="str">
            <v>laboratorio</v>
          </cell>
          <cell r="J3495" t="str">
            <v>bueno</v>
          </cell>
          <cell r="K3495" t="str">
            <v>defsi</v>
          </cell>
        </row>
        <row r="3496">
          <cell r="B3496" t="b">
            <v>1</v>
          </cell>
          <cell r="E3496" t="str">
            <v>Fredonia</v>
          </cell>
          <cell r="H3496" t="str">
            <v>laboratorio</v>
          </cell>
          <cell r="J3496" t="str">
            <v>bueno</v>
          </cell>
          <cell r="K3496" t="str">
            <v>defsi</v>
          </cell>
        </row>
        <row r="3497">
          <cell r="B3497" t="b">
            <v>1</v>
          </cell>
          <cell r="E3497" t="str">
            <v>Fredonia</v>
          </cell>
          <cell r="H3497" t="str">
            <v>laboratorio</v>
          </cell>
          <cell r="J3497" t="str">
            <v>bueno</v>
          </cell>
          <cell r="K3497" t="str">
            <v>defsi</v>
          </cell>
        </row>
        <row r="3498">
          <cell r="B3498" t="b">
            <v>1</v>
          </cell>
          <cell r="E3498" t="str">
            <v>Los Cerros</v>
          </cell>
          <cell r="H3498" t="str">
            <v>consulta_externa</v>
          </cell>
          <cell r="J3498" t="str">
            <v>bueno</v>
          </cell>
          <cell r="K3498" t="str">
            <v>defsi</v>
          </cell>
        </row>
        <row r="3499">
          <cell r="B3499" t="b">
            <v>1</v>
          </cell>
          <cell r="E3499" t="str">
            <v>Fredonia</v>
          </cell>
          <cell r="H3499" t="str">
            <v>laboratorio</v>
          </cell>
          <cell r="J3499" t="str">
            <v>bueno</v>
          </cell>
          <cell r="K3499" t="str">
            <v>defsi</v>
          </cell>
        </row>
        <row r="3500">
          <cell r="B3500" t="b">
            <v>1</v>
          </cell>
          <cell r="E3500" t="str">
            <v>Fredonia</v>
          </cell>
          <cell r="H3500" t="str">
            <v>consulta_externa</v>
          </cell>
          <cell r="J3500" t="str">
            <v>bueno</v>
          </cell>
          <cell r="K3500" t="str">
            <v>defsi</v>
          </cell>
        </row>
        <row r="3501">
          <cell r="B3501" t="b">
            <v>1</v>
          </cell>
          <cell r="E3501" t="str">
            <v>Los Cerros</v>
          </cell>
          <cell r="H3501" t="str">
            <v>salud_oral</v>
          </cell>
          <cell r="J3501" t="str">
            <v>bueno</v>
          </cell>
          <cell r="K3501" t="str">
            <v>defsi</v>
          </cell>
        </row>
        <row r="3502">
          <cell r="B3502" t="b">
            <v>1</v>
          </cell>
          <cell r="E3502" t="str">
            <v>Isla del Rosario</v>
          </cell>
          <cell r="H3502" t="str">
            <v>consulta_externa</v>
          </cell>
          <cell r="J3502" t="str">
            <v>muybueno</v>
          </cell>
          <cell r="K3502" t="str">
            <v>defsi</v>
          </cell>
        </row>
        <row r="3503">
          <cell r="B3503" t="b">
            <v>1</v>
          </cell>
          <cell r="E3503" t="str">
            <v>San Francisco I</v>
          </cell>
          <cell r="H3503" t="str">
            <v>consulta_externa</v>
          </cell>
          <cell r="J3503" t="str">
            <v>bueno</v>
          </cell>
          <cell r="K3503" t="str">
            <v>probsi</v>
          </cell>
        </row>
        <row r="3504">
          <cell r="B3504" t="b">
            <v>1</v>
          </cell>
          <cell r="E3504" t="str">
            <v>Isla del Rosario</v>
          </cell>
          <cell r="H3504" t="str">
            <v>laboratorio</v>
          </cell>
          <cell r="J3504" t="str">
            <v>muybueno</v>
          </cell>
          <cell r="K3504" t="str">
            <v>defsi</v>
          </cell>
        </row>
        <row r="3505">
          <cell r="B3505" t="b">
            <v>1</v>
          </cell>
          <cell r="E3505" t="str">
            <v>San Francisco I</v>
          </cell>
          <cell r="H3505" t="str">
            <v>consulta_externa</v>
          </cell>
          <cell r="J3505" t="str">
            <v>bueno</v>
          </cell>
          <cell r="K3505" t="str">
            <v>probsi</v>
          </cell>
        </row>
        <row r="3506">
          <cell r="B3506" t="b">
            <v>1</v>
          </cell>
          <cell r="E3506" t="str">
            <v>Los Cerros</v>
          </cell>
          <cell r="H3506" t="str">
            <v>laboratorio</v>
          </cell>
          <cell r="J3506" t="str">
            <v>bueno</v>
          </cell>
          <cell r="K3506" t="str">
            <v>defsi</v>
          </cell>
        </row>
        <row r="3507">
          <cell r="B3507" t="b">
            <v>1</v>
          </cell>
          <cell r="E3507" t="str">
            <v>Bocachica</v>
          </cell>
          <cell r="H3507" t="str">
            <v>salud_oral</v>
          </cell>
          <cell r="J3507" t="str">
            <v>muybueno</v>
          </cell>
          <cell r="K3507" t="str">
            <v>defsi</v>
          </cell>
        </row>
        <row r="3508">
          <cell r="B3508" t="b">
            <v>1</v>
          </cell>
          <cell r="E3508" t="str">
            <v>San Francisco I</v>
          </cell>
          <cell r="H3508" t="str">
            <v>consulta_externa</v>
          </cell>
          <cell r="J3508" t="str">
            <v>bueno</v>
          </cell>
          <cell r="K3508" t="str">
            <v>probsi</v>
          </cell>
        </row>
        <row r="3509">
          <cell r="B3509" t="b">
            <v>1</v>
          </cell>
          <cell r="E3509" t="str">
            <v>Fredonia</v>
          </cell>
          <cell r="H3509" t="str">
            <v>laboratorio</v>
          </cell>
          <cell r="J3509" t="str">
            <v>bueno</v>
          </cell>
          <cell r="K3509" t="str">
            <v>defsi</v>
          </cell>
        </row>
        <row r="3510">
          <cell r="B3510" t="b">
            <v>1</v>
          </cell>
          <cell r="E3510" t="str">
            <v>San Francisco I</v>
          </cell>
          <cell r="H3510" t="str">
            <v>salud_oral</v>
          </cell>
          <cell r="J3510" t="str">
            <v>bueno</v>
          </cell>
          <cell r="K3510" t="str">
            <v>probsi</v>
          </cell>
        </row>
        <row r="3511">
          <cell r="B3511" t="b">
            <v>1</v>
          </cell>
          <cell r="E3511" t="str">
            <v>San Francisco I</v>
          </cell>
          <cell r="H3511" t="str">
            <v>laboratorio</v>
          </cell>
          <cell r="J3511" t="str">
            <v>bueno</v>
          </cell>
          <cell r="K3511" t="str">
            <v>probsi</v>
          </cell>
        </row>
        <row r="3512">
          <cell r="B3512" t="b">
            <v>0</v>
          </cell>
          <cell r="E3512" t="str">
            <v>Fredonia</v>
          </cell>
          <cell r="H3512" t="str">
            <v>laboratorio</v>
          </cell>
          <cell r="J3512" t="str">
            <v>regular</v>
          </cell>
          <cell r="K3512" t="str">
            <v>defsi</v>
          </cell>
        </row>
        <row r="3513">
          <cell r="B3513" t="b">
            <v>1</v>
          </cell>
          <cell r="E3513" t="str">
            <v>Los Cerros</v>
          </cell>
          <cell r="H3513" t="str">
            <v>pediatria</v>
          </cell>
          <cell r="J3513" t="str">
            <v>bueno</v>
          </cell>
          <cell r="K3513" t="str">
            <v>defsi</v>
          </cell>
        </row>
        <row r="3514">
          <cell r="B3514" t="b">
            <v>1</v>
          </cell>
          <cell r="E3514" t="str">
            <v>Fredonia</v>
          </cell>
          <cell r="H3514" t="str">
            <v>laboratorio</v>
          </cell>
          <cell r="J3514" t="str">
            <v>bueno</v>
          </cell>
          <cell r="K3514" t="str">
            <v>defsi</v>
          </cell>
        </row>
        <row r="3515">
          <cell r="B3515" t="b">
            <v>1</v>
          </cell>
          <cell r="E3515" t="str">
            <v>Los Cerros</v>
          </cell>
          <cell r="H3515" t="str">
            <v>medicina_interna</v>
          </cell>
          <cell r="J3515" t="str">
            <v>bueno</v>
          </cell>
          <cell r="K3515" t="str">
            <v>defsi</v>
          </cell>
        </row>
        <row r="3516">
          <cell r="B3516" t="b">
            <v>1</v>
          </cell>
          <cell r="E3516" t="str">
            <v>San Francisco I</v>
          </cell>
          <cell r="H3516" t="str">
            <v>salud_oral</v>
          </cell>
          <cell r="J3516" t="str">
            <v>bueno</v>
          </cell>
          <cell r="K3516" t="str">
            <v>probsi</v>
          </cell>
        </row>
        <row r="3517">
          <cell r="B3517" t="b">
            <v>1</v>
          </cell>
          <cell r="E3517" t="str">
            <v>San Francisco I</v>
          </cell>
          <cell r="H3517" t="str">
            <v>laboratorio</v>
          </cell>
          <cell r="J3517" t="str">
            <v>bueno</v>
          </cell>
          <cell r="K3517" t="str">
            <v>probsi</v>
          </cell>
        </row>
        <row r="3518">
          <cell r="B3518" t="b">
            <v>1</v>
          </cell>
          <cell r="E3518" t="str">
            <v>Los Cerros</v>
          </cell>
          <cell r="H3518" t="str">
            <v>consulta_externa</v>
          </cell>
          <cell r="J3518" t="str">
            <v>bueno</v>
          </cell>
          <cell r="K3518" t="str">
            <v>defsi</v>
          </cell>
        </row>
        <row r="3519">
          <cell r="B3519" t="b">
            <v>1</v>
          </cell>
          <cell r="E3519" t="str">
            <v>Los Cerros</v>
          </cell>
          <cell r="H3519" t="str">
            <v>salud_oral</v>
          </cell>
          <cell r="J3519" t="str">
            <v>bueno</v>
          </cell>
          <cell r="K3519" t="str">
            <v>defsi</v>
          </cell>
        </row>
        <row r="3520">
          <cell r="B3520" t="b">
            <v>1</v>
          </cell>
          <cell r="E3520" t="str">
            <v>Fredonia</v>
          </cell>
          <cell r="H3520" t="str">
            <v>laboratorio</v>
          </cell>
          <cell r="J3520" t="str">
            <v>bueno</v>
          </cell>
          <cell r="K3520" t="str">
            <v>defsi</v>
          </cell>
        </row>
        <row r="3521">
          <cell r="B3521" t="b">
            <v>1</v>
          </cell>
          <cell r="E3521" t="str">
            <v>Los Cerros</v>
          </cell>
          <cell r="H3521" t="str">
            <v>laboratorio</v>
          </cell>
          <cell r="J3521" t="str">
            <v>bueno</v>
          </cell>
          <cell r="K3521" t="str">
            <v>defsi</v>
          </cell>
        </row>
        <row r="3522">
          <cell r="B3522" t="b">
            <v>1</v>
          </cell>
          <cell r="E3522" t="str">
            <v>Fredonia</v>
          </cell>
          <cell r="H3522" t="str">
            <v>laboratorio</v>
          </cell>
          <cell r="J3522" t="str">
            <v>bueno</v>
          </cell>
          <cell r="K3522" t="str">
            <v>defsi</v>
          </cell>
        </row>
        <row r="3523">
          <cell r="B3523" t="b">
            <v>1</v>
          </cell>
          <cell r="E3523" t="str">
            <v>Los Cerros</v>
          </cell>
          <cell r="H3523" t="str">
            <v>pediatria</v>
          </cell>
          <cell r="J3523" t="str">
            <v>bueno</v>
          </cell>
          <cell r="K3523" t="str">
            <v>defsi</v>
          </cell>
        </row>
        <row r="3524">
          <cell r="B3524" t="b">
            <v>1</v>
          </cell>
          <cell r="E3524" t="str">
            <v>Fredonia</v>
          </cell>
          <cell r="H3524" t="str">
            <v>salud_oral</v>
          </cell>
          <cell r="J3524" t="str">
            <v>bueno</v>
          </cell>
          <cell r="K3524" t="str">
            <v>defsi</v>
          </cell>
        </row>
        <row r="3525">
          <cell r="B3525" t="b">
            <v>1</v>
          </cell>
          <cell r="E3525" t="str">
            <v>Los Cerros</v>
          </cell>
          <cell r="H3525" t="str">
            <v>medicina_interna</v>
          </cell>
          <cell r="J3525" t="str">
            <v>bueno</v>
          </cell>
          <cell r="K3525" t="str">
            <v>defsi</v>
          </cell>
        </row>
        <row r="3526">
          <cell r="B3526" t="b">
            <v>1</v>
          </cell>
          <cell r="E3526" t="str">
            <v>Fredonia</v>
          </cell>
          <cell r="H3526" t="str">
            <v>salud_oral</v>
          </cell>
          <cell r="J3526" t="str">
            <v>bueno</v>
          </cell>
          <cell r="K3526" t="str">
            <v>defsi</v>
          </cell>
        </row>
        <row r="3527">
          <cell r="B3527" t="b">
            <v>1</v>
          </cell>
          <cell r="E3527" t="str">
            <v>Fredonia</v>
          </cell>
          <cell r="H3527" t="str">
            <v>salud_oral</v>
          </cell>
          <cell r="J3527" t="str">
            <v>bueno</v>
          </cell>
          <cell r="K3527" t="str">
            <v>defsi</v>
          </cell>
        </row>
        <row r="3528">
          <cell r="B3528" t="b">
            <v>1</v>
          </cell>
          <cell r="E3528" t="str">
            <v>Bocachica</v>
          </cell>
          <cell r="H3528" t="str">
            <v>salud_oral</v>
          </cell>
          <cell r="J3528" t="str">
            <v>bueno</v>
          </cell>
          <cell r="K3528" t="str">
            <v>defsi</v>
          </cell>
        </row>
        <row r="3529">
          <cell r="B3529" t="b">
            <v>1</v>
          </cell>
          <cell r="E3529" t="str">
            <v>San Francisco I</v>
          </cell>
          <cell r="H3529" t="str">
            <v>consulta_externa</v>
          </cell>
          <cell r="J3529" t="str">
            <v>bueno</v>
          </cell>
          <cell r="K3529" t="str">
            <v>probsi</v>
          </cell>
        </row>
        <row r="3530">
          <cell r="B3530" t="b">
            <v>1</v>
          </cell>
          <cell r="E3530" t="str">
            <v>San Francisco I</v>
          </cell>
          <cell r="H3530" t="str">
            <v>laboratorio</v>
          </cell>
          <cell r="J3530" t="str">
            <v>bueno</v>
          </cell>
          <cell r="K3530" t="str">
            <v>probsi</v>
          </cell>
        </row>
        <row r="3531">
          <cell r="B3531" t="b">
            <v>1</v>
          </cell>
          <cell r="E3531" t="str">
            <v>San Francisco I</v>
          </cell>
          <cell r="H3531" t="str">
            <v>salud_oral</v>
          </cell>
          <cell r="J3531" t="str">
            <v>bueno</v>
          </cell>
          <cell r="K3531" t="str">
            <v>probsi</v>
          </cell>
        </row>
        <row r="3532">
          <cell r="B3532" t="b">
            <v>1</v>
          </cell>
          <cell r="E3532" t="str">
            <v>San Francisco I</v>
          </cell>
          <cell r="H3532" t="str">
            <v>laboratorio</v>
          </cell>
          <cell r="J3532" t="str">
            <v>bueno</v>
          </cell>
          <cell r="K3532" t="str">
            <v>probsi</v>
          </cell>
        </row>
        <row r="3533">
          <cell r="B3533" t="b">
            <v>1</v>
          </cell>
          <cell r="E3533" t="str">
            <v>Fredonia</v>
          </cell>
          <cell r="H3533" t="str">
            <v>consulta_externa</v>
          </cell>
          <cell r="J3533" t="str">
            <v>bueno</v>
          </cell>
          <cell r="K3533" t="str">
            <v>defsi</v>
          </cell>
        </row>
        <row r="3534">
          <cell r="B3534" t="b">
            <v>1</v>
          </cell>
          <cell r="E3534" t="str">
            <v>Fredonia</v>
          </cell>
          <cell r="H3534" t="str">
            <v>salud_oral</v>
          </cell>
          <cell r="J3534" t="str">
            <v>muybueno</v>
          </cell>
          <cell r="K3534" t="str">
            <v>defsi</v>
          </cell>
        </row>
        <row r="3535">
          <cell r="B3535" t="b">
            <v>1</v>
          </cell>
          <cell r="E3535" t="str">
            <v>Fredonia</v>
          </cell>
          <cell r="H3535" t="str">
            <v>salud_oral</v>
          </cell>
          <cell r="J3535" t="str">
            <v>muybueno</v>
          </cell>
          <cell r="K3535" t="str">
            <v>defsi</v>
          </cell>
        </row>
        <row r="3536">
          <cell r="B3536" t="b">
            <v>1</v>
          </cell>
          <cell r="E3536" t="str">
            <v>Fredonia</v>
          </cell>
          <cell r="H3536" t="str">
            <v>consulta_externa</v>
          </cell>
          <cell r="J3536" t="str">
            <v>bueno</v>
          </cell>
          <cell r="K3536" t="str">
            <v>defsi</v>
          </cell>
        </row>
        <row r="3537">
          <cell r="B3537" t="b">
            <v>1</v>
          </cell>
          <cell r="E3537" t="str">
            <v>Fredonia</v>
          </cell>
          <cell r="H3537" t="str">
            <v>laboratorio</v>
          </cell>
          <cell r="J3537" t="str">
            <v>bueno</v>
          </cell>
          <cell r="K3537" t="str">
            <v>defsi</v>
          </cell>
        </row>
        <row r="3538">
          <cell r="B3538" t="b">
            <v>1</v>
          </cell>
          <cell r="E3538" t="str">
            <v>Fredonia</v>
          </cell>
          <cell r="H3538" t="str">
            <v>consulta_externa</v>
          </cell>
          <cell r="J3538" t="str">
            <v>bueno</v>
          </cell>
          <cell r="K3538" t="str">
            <v>defsi</v>
          </cell>
        </row>
        <row r="3539">
          <cell r="B3539" t="b">
            <v>1</v>
          </cell>
          <cell r="E3539" t="str">
            <v>Fredonia</v>
          </cell>
          <cell r="H3539" t="str">
            <v>laboratorio</v>
          </cell>
          <cell r="J3539" t="str">
            <v>bueno</v>
          </cell>
          <cell r="K3539" t="str">
            <v>defsi</v>
          </cell>
        </row>
        <row r="3540">
          <cell r="B3540" t="b">
            <v>1</v>
          </cell>
          <cell r="E3540" t="str">
            <v>Bocachica</v>
          </cell>
          <cell r="H3540" t="str">
            <v>salud_oral</v>
          </cell>
          <cell r="J3540" t="str">
            <v>bueno</v>
          </cell>
          <cell r="K3540" t="str">
            <v>defsi</v>
          </cell>
        </row>
        <row r="3541">
          <cell r="B3541" t="b">
            <v>1</v>
          </cell>
          <cell r="E3541" t="str">
            <v>Bocachica</v>
          </cell>
          <cell r="H3541" t="str">
            <v>urgencia</v>
          </cell>
          <cell r="J3541" t="str">
            <v>bueno</v>
          </cell>
          <cell r="K3541" t="str">
            <v>defsi</v>
          </cell>
        </row>
        <row r="3542">
          <cell r="B3542" t="b">
            <v>1</v>
          </cell>
          <cell r="E3542" t="str">
            <v>Bocachica</v>
          </cell>
          <cell r="H3542" t="str">
            <v>salud_oral</v>
          </cell>
          <cell r="J3542" t="str">
            <v>bueno</v>
          </cell>
          <cell r="K3542" t="str">
            <v>defsi</v>
          </cell>
        </row>
        <row r="3543">
          <cell r="B3543" t="b">
            <v>1</v>
          </cell>
          <cell r="E3543" t="str">
            <v>Bocachica</v>
          </cell>
          <cell r="H3543" t="str">
            <v>salud_oral</v>
          </cell>
          <cell r="J3543" t="str">
            <v>bueno</v>
          </cell>
          <cell r="K3543" t="str">
            <v>defsi</v>
          </cell>
        </row>
        <row r="3544">
          <cell r="B3544" t="b">
            <v>1</v>
          </cell>
          <cell r="E3544" t="str">
            <v>Canapote</v>
          </cell>
          <cell r="H3544" t="str">
            <v>consulta_externa</v>
          </cell>
          <cell r="J3544" t="str">
            <v>bueno</v>
          </cell>
          <cell r="K3544" t="str">
            <v>probsi</v>
          </cell>
        </row>
        <row r="3545">
          <cell r="B3545" t="b">
            <v>1</v>
          </cell>
          <cell r="E3545" t="str">
            <v>Canapote</v>
          </cell>
          <cell r="H3545" t="str">
            <v>consulta_externa</v>
          </cell>
          <cell r="J3545" t="str">
            <v>bueno</v>
          </cell>
          <cell r="K3545" t="str">
            <v>probsi</v>
          </cell>
        </row>
        <row r="3546">
          <cell r="B3546" t="b">
            <v>1</v>
          </cell>
          <cell r="E3546" t="str">
            <v>Canapote</v>
          </cell>
          <cell r="H3546" t="str">
            <v>consulta_externa</v>
          </cell>
          <cell r="J3546" t="str">
            <v>bueno</v>
          </cell>
          <cell r="K3546" t="str">
            <v>probsi</v>
          </cell>
        </row>
        <row r="3547">
          <cell r="B3547" t="b">
            <v>1</v>
          </cell>
          <cell r="E3547" t="str">
            <v>Canapote</v>
          </cell>
          <cell r="H3547" t="str">
            <v>consulta_externa</v>
          </cell>
          <cell r="J3547" t="str">
            <v>bueno</v>
          </cell>
          <cell r="K3547" t="str">
            <v>probsi</v>
          </cell>
        </row>
        <row r="3548">
          <cell r="B3548" t="b">
            <v>1</v>
          </cell>
          <cell r="E3548" t="str">
            <v>Canapote</v>
          </cell>
          <cell r="H3548" t="str">
            <v>laboratorio</v>
          </cell>
          <cell r="J3548" t="str">
            <v>bueno</v>
          </cell>
          <cell r="K3548" t="str">
            <v>probsi</v>
          </cell>
        </row>
        <row r="3549">
          <cell r="B3549" t="b">
            <v>1</v>
          </cell>
          <cell r="E3549" t="str">
            <v>Canapote</v>
          </cell>
          <cell r="H3549" t="str">
            <v>laboratorio</v>
          </cell>
          <cell r="J3549" t="str">
            <v>bueno</v>
          </cell>
          <cell r="K3549" t="str">
            <v>probsi</v>
          </cell>
        </row>
        <row r="3550">
          <cell r="B3550" t="b">
            <v>1</v>
          </cell>
          <cell r="E3550" t="str">
            <v>Canapote</v>
          </cell>
          <cell r="H3550" t="str">
            <v>laboratorio</v>
          </cell>
          <cell r="J3550" t="str">
            <v>bueno</v>
          </cell>
          <cell r="K3550" t="str">
            <v>probsi</v>
          </cell>
        </row>
        <row r="3551">
          <cell r="B3551" t="b">
            <v>1</v>
          </cell>
          <cell r="E3551" t="str">
            <v>Canapote</v>
          </cell>
          <cell r="H3551" t="str">
            <v>laboratorio</v>
          </cell>
          <cell r="J3551" t="str">
            <v>bueno</v>
          </cell>
          <cell r="K3551" t="str">
            <v>probsi</v>
          </cell>
        </row>
        <row r="3552">
          <cell r="B3552" t="b">
            <v>1</v>
          </cell>
          <cell r="E3552" t="str">
            <v>Canapote</v>
          </cell>
          <cell r="H3552" t="str">
            <v>salud_oral</v>
          </cell>
          <cell r="J3552" t="str">
            <v>bueno</v>
          </cell>
          <cell r="K3552" t="str">
            <v>probsi</v>
          </cell>
        </row>
        <row r="3553">
          <cell r="B3553" t="b">
            <v>1</v>
          </cell>
          <cell r="E3553" t="str">
            <v>Canapote</v>
          </cell>
          <cell r="H3553" t="str">
            <v>salud_oral</v>
          </cell>
          <cell r="J3553" t="str">
            <v>bueno</v>
          </cell>
          <cell r="K3553" t="str">
            <v>probsi</v>
          </cell>
        </row>
        <row r="3554">
          <cell r="B3554" t="b">
            <v>1</v>
          </cell>
          <cell r="E3554" t="str">
            <v>Canapote</v>
          </cell>
          <cell r="H3554" t="str">
            <v>salud_oral</v>
          </cell>
          <cell r="J3554" t="str">
            <v>bueno</v>
          </cell>
          <cell r="K3554" t="str">
            <v>probsi</v>
          </cell>
        </row>
        <row r="3555">
          <cell r="B3555" t="b">
            <v>1</v>
          </cell>
          <cell r="E3555" t="str">
            <v>Canapote</v>
          </cell>
          <cell r="H3555" t="str">
            <v>salud_oral</v>
          </cell>
          <cell r="J3555" t="str">
            <v>bueno</v>
          </cell>
          <cell r="K3555" t="str">
            <v>probsi</v>
          </cell>
        </row>
        <row r="3556">
          <cell r="B3556" t="b">
            <v>1</v>
          </cell>
          <cell r="E3556" t="str">
            <v>Canapote</v>
          </cell>
          <cell r="H3556" t="str">
            <v>salud_oral</v>
          </cell>
          <cell r="J3556" t="str">
            <v>bueno</v>
          </cell>
          <cell r="K3556" t="str">
            <v>probsi</v>
          </cell>
        </row>
        <row r="3557">
          <cell r="B3557" t="b">
            <v>1</v>
          </cell>
          <cell r="E3557" t="str">
            <v>Los Cerros</v>
          </cell>
          <cell r="H3557" t="str">
            <v>consulta_externa</v>
          </cell>
          <cell r="J3557" t="str">
            <v>bueno</v>
          </cell>
          <cell r="K3557" t="str">
            <v>defsi</v>
          </cell>
        </row>
        <row r="3558">
          <cell r="B3558" t="b">
            <v>1</v>
          </cell>
          <cell r="E3558" t="str">
            <v>Los Cerros</v>
          </cell>
          <cell r="H3558" t="str">
            <v>salud_oral</v>
          </cell>
          <cell r="J3558" t="str">
            <v>bueno</v>
          </cell>
          <cell r="K3558" t="str">
            <v>defsi</v>
          </cell>
        </row>
        <row r="3559">
          <cell r="B3559" t="b">
            <v>1</v>
          </cell>
          <cell r="E3559" t="str">
            <v>Los Cerros</v>
          </cell>
          <cell r="H3559" t="str">
            <v>laboratorio</v>
          </cell>
          <cell r="J3559" t="str">
            <v>bueno</v>
          </cell>
          <cell r="K3559" t="str">
            <v>defsi</v>
          </cell>
        </row>
        <row r="3560">
          <cell r="B3560" t="b">
            <v>1</v>
          </cell>
          <cell r="E3560" t="str">
            <v>Fredonia</v>
          </cell>
          <cell r="H3560" t="str">
            <v>salud_oral</v>
          </cell>
          <cell r="J3560" t="str">
            <v>bueno</v>
          </cell>
          <cell r="K3560" t="str">
            <v>defsi</v>
          </cell>
        </row>
        <row r="3561">
          <cell r="B3561" t="b">
            <v>1</v>
          </cell>
          <cell r="E3561" t="str">
            <v>Fredonia</v>
          </cell>
          <cell r="H3561" t="str">
            <v>salud_oral</v>
          </cell>
          <cell r="J3561" t="str">
            <v>bueno</v>
          </cell>
          <cell r="K3561" t="str">
            <v>defsi</v>
          </cell>
        </row>
        <row r="3562">
          <cell r="B3562" t="b">
            <v>1</v>
          </cell>
          <cell r="E3562" t="str">
            <v>Fredonia</v>
          </cell>
          <cell r="H3562" t="str">
            <v>salud_oral</v>
          </cell>
          <cell r="J3562" t="str">
            <v>muybueno</v>
          </cell>
          <cell r="K3562" t="str">
            <v>defsi</v>
          </cell>
        </row>
        <row r="3563">
          <cell r="B3563" t="b">
            <v>1</v>
          </cell>
          <cell r="E3563" t="str">
            <v>Fredonia</v>
          </cell>
          <cell r="H3563" t="str">
            <v>salud_oral</v>
          </cell>
          <cell r="J3563" t="str">
            <v>bueno</v>
          </cell>
          <cell r="K3563" t="str">
            <v>defsi</v>
          </cell>
        </row>
        <row r="3564">
          <cell r="B3564" t="b">
            <v>1</v>
          </cell>
          <cell r="E3564" t="str">
            <v>Los Cerros</v>
          </cell>
          <cell r="H3564" t="str">
            <v>pediatria</v>
          </cell>
          <cell r="J3564" t="str">
            <v>bueno</v>
          </cell>
          <cell r="K3564" t="str">
            <v>defsi</v>
          </cell>
        </row>
        <row r="3565">
          <cell r="B3565" t="b">
            <v>1</v>
          </cell>
          <cell r="E3565" t="str">
            <v>Fredonia</v>
          </cell>
          <cell r="H3565" t="str">
            <v>consulta_externa</v>
          </cell>
          <cell r="J3565" t="str">
            <v>bueno</v>
          </cell>
          <cell r="K3565" t="str">
            <v>defsi</v>
          </cell>
        </row>
        <row r="3566">
          <cell r="B3566" t="b">
            <v>1</v>
          </cell>
          <cell r="E3566" t="str">
            <v>Los Cerros</v>
          </cell>
          <cell r="H3566" t="str">
            <v>consulta_externa</v>
          </cell>
          <cell r="J3566" t="str">
            <v>bueno</v>
          </cell>
          <cell r="K3566" t="str">
            <v>defsi</v>
          </cell>
        </row>
        <row r="3567">
          <cell r="B3567" t="b">
            <v>1</v>
          </cell>
          <cell r="E3567" t="str">
            <v>Fredonia</v>
          </cell>
          <cell r="H3567" t="str">
            <v>salud_oral</v>
          </cell>
          <cell r="J3567" t="str">
            <v>bueno</v>
          </cell>
          <cell r="K3567" t="str">
            <v>defsi</v>
          </cell>
        </row>
        <row r="3568">
          <cell r="B3568" t="b">
            <v>1</v>
          </cell>
          <cell r="E3568" t="str">
            <v>Fredonia</v>
          </cell>
          <cell r="H3568" t="str">
            <v>salud_oral</v>
          </cell>
          <cell r="J3568" t="str">
            <v>muybueno</v>
          </cell>
          <cell r="K3568" t="str">
            <v>defsi</v>
          </cell>
        </row>
        <row r="3569">
          <cell r="B3569" t="b">
            <v>1</v>
          </cell>
          <cell r="E3569" t="str">
            <v>Los Cerros</v>
          </cell>
          <cell r="H3569" t="str">
            <v>salud_oral</v>
          </cell>
          <cell r="J3569" t="str">
            <v>bueno</v>
          </cell>
          <cell r="K3569" t="str">
            <v>defsi</v>
          </cell>
        </row>
        <row r="3570">
          <cell r="B3570" t="b">
            <v>1</v>
          </cell>
          <cell r="E3570" t="str">
            <v>Fredonia</v>
          </cell>
          <cell r="H3570" t="str">
            <v>salud_oral</v>
          </cell>
          <cell r="J3570" t="str">
            <v>bueno</v>
          </cell>
          <cell r="K3570" t="str">
            <v>defsi</v>
          </cell>
        </row>
        <row r="3571">
          <cell r="B3571" t="b">
            <v>1</v>
          </cell>
          <cell r="E3571" t="str">
            <v>Los Cerros</v>
          </cell>
          <cell r="H3571" t="str">
            <v>laboratorio</v>
          </cell>
          <cell r="J3571" t="str">
            <v>bueno</v>
          </cell>
          <cell r="K3571" t="str">
            <v>defsi</v>
          </cell>
        </row>
        <row r="3572">
          <cell r="B3572" t="b">
            <v>1</v>
          </cell>
          <cell r="E3572" t="str">
            <v>Fredonia</v>
          </cell>
          <cell r="H3572" t="str">
            <v>laboratorio</v>
          </cell>
          <cell r="J3572" t="str">
            <v>bueno</v>
          </cell>
          <cell r="K3572" t="str">
            <v>defsi</v>
          </cell>
        </row>
        <row r="3573">
          <cell r="B3573" t="b">
            <v>1</v>
          </cell>
          <cell r="E3573" t="str">
            <v>Los Cerros</v>
          </cell>
          <cell r="H3573" t="str">
            <v>pediatria</v>
          </cell>
          <cell r="J3573" t="str">
            <v>bueno</v>
          </cell>
          <cell r="K3573" t="str">
            <v>defsi</v>
          </cell>
        </row>
        <row r="3574">
          <cell r="B3574" t="b">
            <v>1</v>
          </cell>
          <cell r="E3574" t="str">
            <v>Fredonia</v>
          </cell>
          <cell r="H3574" t="str">
            <v>consulta_externa</v>
          </cell>
          <cell r="J3574" t="str">
            <v>bueno</v>
          </cell>
          <cell r="K3574" t="str">
            <v>defsi</v>
          </cell>
        </row>
        <row r="3575">
          <cell r="B3575" t="b">
            <v>1</v>
          </cell>
          <cell r="E3575" t="str">
            <v>Fredonia</v>
          </cell>
          <cell r="H3575" t="str">
            <v>laboratorio</v>
          </cell>
          <cell r="J3575" t="str">
            <v>bueno</v>
          </cell>
          <cell r="K3575" t="str">
            <v>defsi</v>
          </cell>
        </row>
        <row r="3576">
          <cell r="B3576" t="b">
            <v>1</v>
          </cell>
          <cell r="E3576" t="str">
            <v>Fredonia</v>
          </cell>
          <cell r="H3576" t="str">
            <v>laboratorio</v>
          </cell>
          <cell r="J3576" t="str">
            <v>bueno</v>
          </cell>
          <cell r="K3576" t="str">
            <v>defsi</v>
          </cell>
        </row>
        <row r="3577">
          <cell r="B3577" t="b">
            <v>1</v>
          </cell>
          <cell r="E3577" t="str">
            <v>Bicentenario</v>
          </cell>
          <cell r="H3577" t="str">
            <v>consulta_externa</v>
          </cell>
          <cell r="J3577" t="str">
            <v>bueno</v>
          </cell>
          <cell r="K3577" t="str">
            <v>defsi</v>
          </cell>
        </row>
        <row r="3578">
          <cell r="B3578" t="b">
            <v>1</v>
          </cell>
          <cell r="E3578" t="str">
            <v>Bicentenario</v>
          </cell>
          <cell r="H3578" t="str">
            <v>laboratorio</v>
          </cell>
          <cell r="J3578" t="str">
            <v>bueno</v>
          </cell>
          <cell r="K3578" t="str">
            <v>defsi</v>
          </cell>
        </row>
        <row r="3579">
          <cell r="B3579" t="b">
            <v>1</v>
          </cell>
          <cell r="E3579" t="str">
            <v>Bicentenario</v>
          </cell>
          <cell r="H3579" t="str">
            <v>consulta_externa</v>
          </cell>
          <cell r="J3579" t="str">
            <v>bueno</v>
          </cell>
          <cell r="K3579" t="str">
            <v>defsi</v>
          </cell>
        </row>
        <row r="3580">
          <cell r="B3580" t="b">
            <v>1</v>
          </cell>
          <cell r="E3580" t="str">
            <v>Bicentenario</v>
          </cell>
          <cell r="H3580" t="str">
            <v>laboratorio</v>
          </cell>
          <cell r="J3580" t="str">
            <v>bueno</v>
          </cell>
          <cell r="K3580" t="str">
            <v>defsi</v>
          </cell>
        </row>
        <row r="3581">
          <cell r="B3581" t="b">
            <v>1</v>
          </cell>
          <cell r="E3581" t="str">
            <v>Bicentenario</v>
          </cell>
          <cell r="H3581" t="str">
            <v>consulta_externa</v>
          </cell>
          <cell r="J3581" t="str">
            <v>bueno</v>
          </cell>
          <cell r="K3581" t="str">
            <v>defsi</v>
          </cell>
        </row>
        <row r="3582">
          <cell r="B3582" t="b">
            <v>1</v>
          </cell>
          <cell r="E3582" t="str">
            <v>Bicentenario</v>
          </cell>
          <cell r="H3582" t="str">
            <v>salud_oral</v>
          </cell>
          <cell r="J3582" t="str">
            <v>bueno</v>
          </cell>
          <cell r="K3582" t="str">
            <v>defsi</v>
          </cell>
        </row>
        <row r="3583">
          <cell r="B3583" t="b">
            <v>0</v>
          </cell>
          <cell r="E3583" t="str">
            <v>Bicentenario</v>
          </cell>
          <cell r="H3583" t="str">
            <v>consulta_externa</v>
          </cell>
          <cell r="J3583" t="str">
            <v>regular</v>
          </cell>
          <cell r="K3583" t="str">
            <v>defsi</v>
          </cell>
        </row>
        <row r="3584">
          <cell r="B3584" t="b">
            <v>0</v>
          </cell>
          <cell r="E3584" t="str">
            <v>Bicentenario</v>
          </cell>
          <cell r="H3584" t="str">
            <v>laboratorio</v>
          </cell>
          <cell r="J3584" t="str">
            <v>regular</v>
          </cell>
          <cell r="K3584" t="str">
            <v>defsi</v>
          </cell>
        </row>
        <row r="3585">
          <cell r="B3585" t="b">
            <v>0</v>
          </cell>
          <cell r="E3585" t="str">
            <v>Bicentenario</v>
          </cell>
          <cell r="H3585" t="str">
            <v>consulta_externa</v>
          </cell>
          <cell r="J3585" t="str">
            <v>regular</v>
          </cell>
          <cell r="K3585" t="str">
            <v>probsi</v>
          </cell>
        </row>
        <row r="3586">
          <cell r="B3586" t="b">
            <v>1</v>
          </cell>
          <cell r="E3586" t="str">
            <v>Los Cerros</v>
          </cell>
          <cell r="H3586" t="str">
            <v>consulta_externa</v>
          </cell>
          <cell r="J3586" t="str">
            <v>bueno</v>
          </cell>
          <cell r="K3586" t="str">
            <v>defsi</v>
          </cell>
        </row>
        <row r="3587">
          <cell r="B3587" t="b">
            <v>1</v>
          </cell>
          <cell r="E3587" t="str">
            <v>Bicentenario</v>
          </cell>
          <cell r="H3587" t="str">
            <v>consulta_externa</v>
          </cell>
          <cell r="J3587" t="str">
            <v>bueno</v>
          </cell>
          <cell r="K3587" t="str">
            <v>defsi</v>
          </cell>
        </row>
        <row r="3588">
          <cell r="B3588" t="b">
            <v>1</v>
          </cell>
          <cell r="E3588" t="str">
            <v>Bicentenario</v>
          </cell>
          <cell r="H3588" t="str">
            <v>salud_oral</v>
          </cell>
          <cell r="J3588" t="str">
            <v>bueno</v>
          </cell>
          <cell r="K3588" t="str">
            <v>defsi</v>
          </cell>
        </row>
        <row r="3589">
          <cell r="B3589" t="b">
            <v>1</v>
          </cell>
          <cell r="E3589" t="str">
            <v>Los Cerros</v>
          </cell>
          <cell r="H3589" t="str">
            <v>salud_oral</v>
          </cell>
          <cell r="J3589" t="str">
            <v>bueno</v>
          </cell>
          <cell r="K3589" t="str">
            <v>defsi</v>
          </cell>
        </row>
        <row r="3590">
          <cell r="B3590" t="b">
            <v>0</v>
          </cell>
          <cell r="E3590" t="str">
            <v>Bicentenario</v>
          </cell>
          <cell r="H3590" t="str">
            <v>salud_oral</v>
          </cell>
          <cell r="J3590" t="str">
            <v>regular</v>
          </cell>
          <cell r="K3590" t="str">
            <v>probsi</v>
          </cell>
        </row>
        <row r="3591">
          <cell r="B3591" t="b">
            <v>1</v>
          </cell>
          <cell r="E3591" t="str">
            <v>Bicentenario</v>
          </cell>
          <cell r="H3591" t="str">
            <v>consulta_externa</v>
          </cell>
          <cell r="J3591" t="str">
            <v>bueno</v>
          </cell>
          <cell r="K3591" t="str">
            <v>defsi</v>
          </cell>
        </row>
        <row r="3592">
          <cell r="B3592" t="b">
            <v>1</v>
          </cell>
          <cell r="E3592" t="str">
            <v>Los Cerros</v>
          </cell>
          <cell r="H3592" t="str">
            <v>laboratorio</v>
          </cell>
          <cell r="J3592" t="str">
            <v>bueno</v>
          </cell>
          <cell r="K3592" t="str">
            <v>defsi</v>
          </cell>
        </row>
        <row r="3593">
          <cell r="B3593" t="b">
            <v>1</v>
          </cell>
          <cell r="E3593" t="str">
            <v>Bicentenario</v>
          </cell>
          <cell r="H3593" t="str">
            <v>consulta_externa</v>
          </cell>
          <cell r="J3593" t="str">
            <v>bueno</v>
          </cell>
          <cell r="K3593" t="str">
            <v>defsi</v>
          </cell>
        </row>
        <row r="3594">
          <cell r="B3594" t="b">
            <v>0</v>
          </cell>
          <cell r="E3594" t="str">
            <v>Bicentenario</v>
          </cell>
          <cell r="H3594" t="str">
            <v>laboratorio</v>
          </cell>
          <cell r="J3594" t="str">
            <v>malo</v>
          </cell>
          <cell r="K3594" t="str">
            <v>probno</v>
          </cell>
        </row>
        <row r="3595">
          <cell r="B3595" t="b">
            <v>1</v>
          </cell>
          <cell r="E3595" t="str">
            <v>Los Cerros</v>
          </cell>
          <cell r="H3595" t="str">
            <v>consulta_externa</v>
          </cell>
          <cell r="J3595" t="str">
            <v>bueno</v>
          </cell>
          <cell r="K3595" t="str">
            <v>defsi</v>
          </cell>
        </row>
        <row r="3596">
          <cell r="B3596" t="b">
            <v>1</v>
          </cell>
          <cell r="E3596" t="str">
            <v>Los Cerros</v>
          </cell>
          <cell r="H3596" t="str">
            <v>salud_oral</v>
          </cell>
          <cell r="J3596" t="str">
            <v>bueno</v>
          </cell>
          <cell r="K3596" t="str">
            <v>defsi</v>
          </cell>
        </row>
        <row r="3597">
          <cell r="B3597" t="b">
            <v>1</v>
          </cell>
          <cell r="E3597" t="str">
            <v>Los Cerros</v>
          </cell>
          <cell r="H3597" t="str">
            <v>laboratorio</v>
          </cell>
          <cell r="J3597" t="str">
            <v>bueno</v>
          </cell>
          <cell r="K3597" t="str">
            <v>defsi</v>
          </cell>
        </row>
        <row r="3598">
          <cell r="B3598" t="b">
            <v>1</v>
          </cell>
          <cell r="E3598" t="str">
            <v>Los Cerros</v>
          </cell>
          <cell r="H3598" t="str">
            <v>consulta_externa</v>
          </cell>
          <cell r="J3598" t="str">
            <v>bueno</v>
          </cell>
          <cell r="K3598" t="str">
            <v>defsi</v>
          </cell>
        </row>
        <row r="3599">
          <cell r="B3599" t="b">
            <v>1</v>
          </cell>
          <cell r="E3599" t="str">
            <v>Bicentenario</v>
          </cell>
          <cell r="H3599" t="str">
            <v>consulta_externa</v>
          </cell>
          <cell r="J3599" t="str">
            <v>bueno</v>
          </cell>
          <cell r="K3599" t="str">
            <v>defsi</v>
          </cell>
        </row>
        <row r="3600">
          <cell r="B3600" t="b">
            <v>1</v>
          </cell>
          <cell r="E3600" t="str">
            <v>Los Cerros</v>
          </cell>
          <cell r="H3600" t="str">
            <v>salud_oral</v>
          </cell>
          <cell r="J3600" t="str">
            <v>bueno</v>
          </cell>
          <cell r="K3600" t="str">
            <v>defsi</v>
          </cell>
        </row>
        <row r="3601">
          <cell r="B3601" t="b">
            <v>1</v>
          </cell>
          <cell r="E3601" t="str">
            <v>Los Cerros</v>
          </cell>
          <cell r="H3601" t="str">
            <v>laboratorio</v>
          </cell>
          <cell r="J3601" t="str">
            <v>bueno</v>
          </cell>
          <cell r="K3601" t="str">
            <v>defsi</v>
          </cell>
        </row>
        <row r="3602">
          <cell r="B3602" t="b">
            <v>1</v>
          </cell>
          <cell r="E3602" t="str">
            <v>Bicentenario</v>
          </cell>
          <cell r="H3602" t="str">
            <v>laboratorio</v>
          </cell>
          <cell r="J3602" t="str">
            <v>bueno</v>
          </cell>
          <cell r="K3602" t="str">
            <v>defsi</v>
          </cell>
        </row>
        <row r="3603">
          <cell r="B3603" t="b">
            <v>1</v>
          </cell>
          <cell r="E3603" t="str">
            <v>Los Cerros</v>
          </cell>
          <cell r="H3603" t="str">
            <v>consulta_externa</v>
          </cell>
          <cell r="J3603" t="str">
            <v>bueno</v>
          </cell>
          <cell r="K3603" t="str">
            <v>defsi</v>
          </cell>
        </row>
        <row r="3604">
          <cell r="B3604" t="b">
            <v>1</v>
          </cell>
          <cell r="E3604" t="str">
            <v>Los Cerros</v>
          </cell>
          <cell r="H3604" t="str">
            <v>salud_oral</v>
          </cell>
          <cell r="J3604" t="str">
            <v>bueno</v>
          </cell>
          <cell r="K3604" t="str">
            <v>defsi</v>
          </cell>
        </row>
        <row r="3605">
          <cell r="B3605" t="b">
            <v>1</v>
          </cell>
          <cell r="E3605" t="str">
            <v>Los Cerros</v>
          </cell>
          <cell r="H3605" t="str">
            <v>salud_oral</v>
          </cell>
          <cell r="J3605" t="str">
            <v>bueno</v>
          </cell>
          <cell r="K3605" t="str">
            <v>defsi</v>
          </cell>
        </row>
        <row r="3606">
          <cell r="B3606" t="b">
            <v>1</v>
          </cell>
          <cell r="E3606" t="str">
            <v>Los Cerros</v>
          </cell>
          <cell r="H3606" t="str">
            <v>consulta_externa</v>
          </cell>
          <cell r="J3606" t="str">
            <v>bueno</v>
          </cell>
          <cell r="K3606" t="str">
            <v>defsi</v>
          </cell>
        </row>
        <row r="3607">
          <cell r="B3607" t="b">
            <v>1</v>
          </cell>
          <cell r="E3607" t="str">
            <v>Los Cerros</v>
          </cell>
          <cell r="H3607" t="str">
            <v>salud_oral</v>
          </cell>
          <cell r="J3607" t="str">
            <v>bueno</v>
          </cell>
          <cell r="K3607" t="str">
            <v>defsi</v>
          </cell>
        </row>
        <row r="3608">
          <cell r="B3608" t="b">
            <v>1</v>
          </cell>
          <cell r="E3608" t="str">
            <v>Los Cerros</v>
          </cell>
          <cell r="H3608" t="str">
            <v>laboratorio</v>
          </cell>
          <cell r="J3608" t="str">
            <v>bueno</v>
          </cell>
          <cell r="K3608" t="str">
            <v>defsi</v>
          </cell>
        </row>
        <row r="3609">
          <cell r="B3609" t="b">
            <v>1</v>
          </cell>
          <cell r="E3609" t="str">
            <v>Los Cerros</v>
          </cell>
          <cell r="H3609" t="str">
            <v>consulta_externa</v>
          </cell>
          <cell r="J3609" t="str">
            <v>bueno</v>
          </cell>
          <cell r="K3609" t="str">
            <v>defsi</v>
          </cell>
        </row>
        <row r="3610">
          <cell r="B3610" t="b">
            <v>1</v>
          </cell>
          <cell r="E3610" t="str">
            <v>Los Cerros</v>
          </cell>
          <cell r="H3610" t="str">
            <v>salud_oral</v>
          </cell>
          <cell r="J3610" t="str">
            <v>bueno</v>
          </cell>
          <cell r="K3610" t="str">
            <v>defsi</v>
          </cell>
        </row>
        <row r="3611">
          <cell r="B3611" t="b">
            <v>1</v>
          </cell>
          <cell r="E3611" t="str">
            <v>Bicentenario</v>
          </cell>
          <cell r="H3611" t="str">
            <v>urgencia</v>
          </cell>
          <cell r="J3611" t="str">
            <v>bueno</v>
          </cell>
          <cell r="K3611" t="str">
            <v>defsi</v>
          </cell>
        </row>
        <row r="3612">
          <cell r="B3612" t="b">
            <v>1</v>
          </cell>
          <cell r="E3612" t="str">
            <v>Isla del Rosario</v>
          </cell>
          <cell r="H3612" t="str">
            <v>consulta_externa</v>
          </cell>
          <cell r="J3612" t="str">
            <v>muybueno</v>
          </cell>
          <cell r="K3612" t="str">
            <v>defsi</v>
          </cell>
        </row>
        <row r="3613">
          <cell r="B3613" t="b">
            <v>1</v>
          </cell>
          <cell r="E3613" t="str">
            <v>Isla del Rosario</v>
          </cell>
          <cell r="H3613" t="str">
            <v>laboratorio</v>
          </cell>
          <cell r="J3613" t="str">
            <v>muybueno</v>
          </cell>
          <cell r="K3613" t="str">
            <v>defsi</v>
          </cell>
        </row>
        <row r="3614">
          <cell r="B3614" t="b">
            <v>1</v>
          </cell>
          <cell r="E3614" t="str">
            <v>Isla del Rosario</v>
          </cell>
          <cell r="H3614" t="str">
            <v>salud_oral</v>
          </cell>
          <cell r="J3614" t="str">
            <v>muybueno</v>
          </cell>
          <cell r="K3614" t="str">
            <v>defsi</v>
          </cell>
        </row>
        <row r="3615">
          <cell r="B3615" t="b">
            <v>1</v>
          </cell>
          <cell r="E3615" t="str">
            <v>Isla del Rosario</v>
          </cell>
          <cell r="H3615" t="str">
            <v>consulta_externa</v>
          </cell>
          <cell r="J3615" t="str">
            <v>muybueno</v>
          </cell>
          <cell r="K3615" t="str">
            <v>defsi</v>
          </cell>
        </row>
        <row r="3616">
          <cell r="B3616" t="b">
            <v>1</v>
          </cell>
          <cell r="E3616" t="str">
            <v>Bicentenario</v>
          </cell>
          <cell r="H3616" t="str">
            <v>urgencia</v>
          </cell>
          <cell r="J3616" t="str">
            <v>muybueno</v>
          </cell>
          <cell r="K3616" t="str">
            <v>defsi</v>
          </cell>
        </row>
        <row r="3617">
          <cell r="B3617" t="b">
            <v>1</v>
          </cell>
          <cell r="E3617" t="str">
            <v>Los Cerros</v>
          </cell>
          <cell r="H3617" t="str">
            <v>consulta_externa</v>
          </cell>
          <cell r="J3617" t="str">
            <v>bueno</v>
          </cell>
          <cell r="K3617" t="str">
            <v>defsi</v>
          </cell>
        </row>
        <row r="3618">
          <cell r="B3618" t="b">
            <v>1</v>
          </cell>
          <cell r="E3618" t="str">
            <v>Los Cerros</v>
          </cell>
          <cell r="H3618" t="str">
            <v>laboratorio</v>
          </cell>
          <cell r="J3618" t="str">
            <v>bueno</v>
          </cell>
          <cell r="K3618" t="str">
            <v>defsi</v>
          </cell>
        </row>
        <row r="3619">
          <cell r="B3619" t="b">
            <v>1</v>
          </cell>
          <cell r="E3619" t="str">
            <v>Los Cerros</v>
          </cell>
          <cell r="H3619" t="str">
            <v>laboratorio</v>
          </cell>
          <cell r="J3619" t="str">
            <v>bueno</v>
          </cell>
          <cell r="K3619" t="str">
            <v>defsi</v>
          </cell>
        </row>
        <row r="3620">
          <cell r="B3620" t="b">
            <v>1</v>
          </cell>
          <cell r="E3620" t="str">
            <v>Isla del Rosario</v>
          </cell>
          <cell r="H3620" t="str">
            <v>consulta_externa</v>
          </cell>
          <cell r="J3620" t="str">
            <v>muybueno</v>
          </cell>
          <cell r="K3620" t="str">
            <v>defsi</v>
          </cell>
        </row>
        <row r="3621">
          <cell r="B3621" t="b">
            <v>1</v>
          </cell>
          <cell r="E3621" t="str">
            <v>Bicentenario</v>
          </cell>
          <cell r="H3621" t="str">
            <v>urgencia</v>
          </cell>
          <cell r="J3621" t="str">
            <v>bueno</v>
          </cell>
          <cell r="K3621" t="str">
            <v>defsi</v>
          </cell>
        </row>
        <row r="3622">
          <cell r="B3622" t="b">
            <v>1</v>
          </cell>
          <cell r="E3622" t="str">
            <v>Isla del Rosario</v>
          </cell>
          <cell r="H3622" t="str">
            <v>consulta_externa</v>
          </cell>
          <cell r="J3622" t="str">
            <v>muybueno</v>
          </cell>
          <cell r="K3622" t="str">
            <v>defsi</v>
          </cell>
        </row>
        <row r="3623">
          <cell r="B3623" t="b">
            <v>1</v>
          </cell>
          <cell r="E3623" t="str">
            <v>Isla del Rosario</v>
          </cell>
          <cell r="H3623" t="str">
            <v>laboratorio</v>
          </cell>
          <cell r="J3623" t="str">
            <v>muybueno</v>
          </cell>
          <cell r="K3623" t="str">
            <v>defsi</v>
          </cell>
        </row>
        <row r="3624">
          <cell r="B3624" t="b">
            <v>1</v>
          </cell>
          <cell r="E3624" t="str">
            <v>Bicentenario</v>
          </cell>
          <cell r="H3624" t="str">
            <v>urgencia</v>
          </cell>
          <cell r="J3624" t="str">
            <v>bueno</v>
          </cell>
          <cell r="K3624" t="str">
            <v>defsi</v>
          </cell>
        </row>
        <row r="3625">
          <cell r="B3625" t="b">
            <v>0</v>
          </cell>
          <cell r="E3625" t="str">
            <v>Bicentenario</v>
          </cell>
          <cell r="H3625" t="str">
            <v>urgencia</v>
          </cell>
          <cell r="J3625" t="str">
            <v>regular</v>
          </cell>
          <cell r="K3625" t="str">
            <v>defsi</v>
          </cell>
        </row>
        <row r="3626">
          <cell r="B3626" t="b">
            <v>1</v>
          </cell>
          <cell r="E3626" t="str">
            <v>Bicentenario</v>
          </cell>
          <cell r="H3626" t="str">
            <v>urgencia</v>
          </cell>
          <cell r="J3626" t="str">
            <v>bueno</v>
          </cell>
          <cell r="K3626" t="str">
            <v>defsi</v>
          </cell>
        </row>
        <row r="3627">
          <cell r="B3627" t="b">
            <v>1</v>
          </cell>
          <cell r="E3627" t="str">
            <v>Isla del Rosario</v>
          </cell>
          <cell r="H3627" t="str">
            <v>consulta_externa</v>
          </cell>
          <cell r="J3627" t="str">
            <v>muybueno</v>
          </cell>
          <cell r="K3627" t="str">
            <v>defsi</v>
          </cell>
        </row>
        <row r="3628">
          <cell r="B3628" t="b">
            <v>1</v>
          </cell>
          <cell r="E3628" t="str">
            <v>Isla del Rosario</v>
          </cell>
          <cell r="H3628" t="str">
            <v>salud_oral</v>
          </cell>
          <cell r="J3628" t="str">
            <v>muybueno</v>
          </cell>
          <cell r="K3628" t="str">
            <v>defsi</v>
          </cell>
        </row>
        <row r="3629">
          <cell r="B3629" t="b">
            <v>0</v>
          </cell>
          <cell r="E3629" t="str">
            <v>Bicentenario</v>
          </cell>
          <cell r="H3629" t="str">
            <v>urgencia</v>
          </cell>
          <cell r="J3629" t="str">
            <v>regular</v>
          </cell>
          <cell r="K3629" t="str">
            <v>defsi</v>
          </cell>
        </row>
        <row r="3630">
          <cell r="B3630" t="b">
            <v>0</v>
          </cell>
          <cell r="E3630" t="str">
            <v>Bicentenario</v>
          </cell>
          <cell r="H3630" t="str">
            <v>urgencia</v>
          </cell>
          <cell r="J3630" t="str">
            <v>regular</v>
          </cell>
          <cell r="K3630" t="str">
            <v>defsi</v>
          </cell>
        </row>
        <row r="3631">
          <cell r="B3631" t="b">
            <v>1</v>
          </cell>
          <cell r="E3631" t="str">
            <v>Bicentenario</v>
          </cell>
          <cell r="H3631" t="str">
            <v>consulta_externa</v>
          </cell>
          <cell r="J3631" t="str">
            <v>muybueno</v>
          </cell>
          <cell r="K3631" t="str">
            <v>defsi</v>
          </cell>
        </row>
        <row r="3632">
          <cell r="B3632" t="b">
            <v>1</v>
          </cell>
          <cell r="E3632" t="str">
            <v>Isla del Rosario</v>
          </cell>
          <cell r="H3632" t="str">
            <v>consulta_externa</v>
          </cell>
          <cell r="J3632" t="str">
            <v>muybueno</v>
          </cell>
          <cell r="K3632" t="str">
            <v>defsi</v>
          </cell>
        </row>
        <row r="3633">
          <cell r="B3633" t="b">
            <v>1</v>
          </cell>
          <cell r="E3633" t="str">
            <v>Bicentenario</v>
          </cell>
          <cell r="H3633" t="str">
            <v>laboratorio</v>
          </cell>
          <cell r="J3633" t="str">
            <v>muybueno</v>
          </cell>
          <cell r="K3633" t="str">
            <v>defsi</v>
          </cell>
        </row>
        <row r="3634">
          <cell r="B3634" t="b">
            <v>1</v>
          </cell>
          <cell r="E3634" t="str">
            <v>Isla del Rosario</v>
          </cell>
          <cell r="H3634" t="str">
            <v>salud_oral</v>
          </cell>
          <cell r="J3634" t="str">
            <v>muybueno</v>
          </cell>
          <cell r="K3634" t="str">
            <v>defsi</v>
          </cell>
        </row>
        <row r="3635">
          <cell r="B3635" t="b">
            <v>1</v>
          </cell>
          <cell r="E3635" t="str">
            <v>Bicentenario</v>
          </cell>
          <cell r="H3635" t="str">
            <v>consulta_externa</v>
          </cell>
          <cell r="J3635" t="str">
            <v>bueno</v>
          </cell>
          <cell r="K3635" t="str">
            <v>defsi</v>
          </cell>
        </row>
        <row r="3636">
          <cell r="B3636" t="b">
            <v>1</v>
          </cell>
          <cell r="E3636" t="str">
            <v>Bicentenario</v>
          </cell>
          <cell r="H3636" t="str">
            <v>salud_oral</v>
          </cell>
          <cell r="J3636" t="str">
            <v>bueno</v>
          </cell>
          <cell r="K3636" t="str">
            <v>defsi</v>
          </cell>
        </row>
        <row r="3637">
          <cell r="B3637" t="b">
            <v>1</v>
          </cell>
          <cell r="E3637" t="str">
            <v>Bicentenario</v>
          </cell>
          <cell r="H3637" t="str">
            <v>salud_oral</v>
          </cell>
          <cell r="J3637" t="str">
            <v>bueno</v>
          </cell>
          <cell r="K3637" t="str">
            <v>defsi</v>
          </cell>
        </row>
        <row r="3638">
          <cell r="B3638" t="b">
            <v>1</v>
          </cell>
          <cell r="E3638" t="str">
            <v>Bicentenario</v>
          </cell>
          <cell r="H3638" t="str">
            <v>salud_oral</v>
          </cell>
          <cell r="J3638" t="str">
            <v>muybueno</v>
          </cell>
          <cell r="K3638" t="str">
            <v>defsi</v>
          </cell>
        </row>
        <row r="3639">
          <cell r="B3639" t="b">
            <v>1</v>
          </cell>
          <cell r="E3639" t="str">
            <v>Bicentenario</v>
          </cell>
          <cell r="H3639" t="str">
            <v>consulta_externa</v>
          </cell>
          <cell r="J3639" t="str">
            <v>bueno</v>
          </cell>
          <cell r="K3639" t="str">
            <v>defsi</v>
          </cell>
        </row>
        <row r="3640">
          <cell r="B3640" t="b">
            <v>1</v>
          </cell>
          <cell r="E3640" t="str">
            <v>Bicentenario</v>
          </cell>
          <cell r="H3640" t="str">
            <v>rx</v>
          </cell>
          <cell r="J3640" t="str">
            <v>bueno</v>
          </cell>
          <cell r="K3640" t="str">
            <v>defsi</v>
          </cell>
        </row>
        <row r="3641">
          <cell r="B3641" t="b">
            <v>1</v>
          </cell>
          <cell r="E3641" t="str">
            <v>Bicentenario</v>
          </cell>
          <cell r="H3641" t="str">
            <v>rx</v>
          </cell>
          <cell r="J3641" t="str">
            <v>bueno</v>
          </cell>
          <cell r="K3641" t="str">
            <v>defsi</v>
          </cell>
        </row>
        <row r="3642">
          <cell r="B3642" t="b">
            <v>1</v>
          </cell>
          <cell r="E3642" t="str">
            <v>Bicentenario</v>
          </cell>
          <cell r="H3642" t="str">
            <v>rx</v>
          </cell>
          <cell r="J3642" t="str">
            <v>bueno</v>
          </cell>
          <cell r="K3642" t="str">
            <v>defsi</v>
          </cell>
        </row>
        <row r="3643">
          <cell r="B3643" t="b">
            <v>1</v>
          </cell>
          <cell r="E3643" t="str">
            <v>Bicentenario</v>
          </cell>
          <cell r="H3643" t="str">
            <v>rx</v>
          </cell>
          <cell r="J3643" t="str">
            <v>bueno</v>
          </cell>
          <cell r="K3643" t="str">
            <v>defsi</v>
          </cell>
        </row>
        <row r="3644">
          <cell r="B3644" t="b">
            <v>1</v>
          </cell>
          <cell r="E3644" t="str">
            <v>Bicentenario</v>
          </cell>
          <cell r="H3644" t="str">
            <v>urgencia</v>
          </cell>
          <cell r="J3644" t="str">
            <v>bueno</v>
          </cell>
          <cell r="K3644" t="str">
            <v>defsi</v>
          </cell>
        </row>
        <row r="3645">
          <cell r="B3645" t="b">
            <v>1</v>
          </cell>
          <cell r="E3645" t="str">
            <v>Bicentenario</v>
          </cell>
          <cell r="H3645" t="str">
            <v>urgencia</v>
          </cell>
          <cell r="J3645" t="str">
            <v>bueno</v>
          </cell>
          <cell r="K3645" t="str">
            <v>defsi</v>
          </cell>
        </row>
        <row r="3646">
          <cell r="B3646" t="b">
            <v>1</v>
          </cell>
          <cell r="E3646" t="str">
            <v>Bicentenario</v>
          </cell>
          <cell r="H3646" t="str">
            <v>urgencia</v>
          </cell>
          <cell r="J3646" t="str">
            <v>bueno</v>
          </cell>
          <cell r="K3646" t="str">
            <v>defsi</v>
          </cell>
        </row>
        <row r="3647">
          <cell r="B3647" t="b">
            <v>1</v>
          </cell>
          <cell r="E3647" t="str">
            <v>Bicentenario</v>
          </cell>
          <cell r="H3647" t="str">
            <v>rx</v>
          </cell>
          <cell r="J3647" t="str">
            <v>bueno</v>
          </cell>
          <cell r="K3647" t="str">
            <v>defsi</v>
          </cell>
        </row>
        <row r="3648">
          <cell r="B3648" t="b">
            <v>1</v>
          </cell>
          <cell r="E3648" t="str">
            <v>Bicentenario</v>
          </cell>
          <cell r="H3648" t="str">
            <v>rx</v>
          </cell>
          <cell r="J3648" t="str">
            <v>bueno</v>
          </cell>
          <cell r="K3648" t="str">
            <v>defsi</v>
          </cell>
        </row>
        <row r="3649">
          <cell r="B3649" t="b">
            <v>1</v>
          </cell>
          <cell r="E3649" t="str">
            <v>Bicentenario</v>
          </cell>
          <cell r="H3649" t="str">
            <v>rx</v>
          </cell>
          <cell r="J3649" t="str">
            <v>bueno</v>
          </cell>
          <cell r="K3649" t="str">
            <v>defsi</v>
          </cell>
        </row>
        <row r="3650">
          <cell r="B3650" t="b">
            <v>1</v>
          </cell>
          <cell r="E3650" t="str">
            <v>Canapote</v>
          </cell>
          <cell r="H3650" t="str">
            <v>consulta_externa</v>
          </cell>
          <cell r="J3650" t="str">
            <v>bueno</v>
          </cell>
          <cell r="K3650" t="str">
            <v>probsi</v>
          </cell>
        </row>
        <row r="3651">
          <cell r="B3651" t="b">
            <v>1</v>
          </cell>
          <cell r="E3651" t="str">
            <v>Canapote</v>
          </cell>
          <cell r="H3651" t="str">
            <v>consulta_externa</v>
          </cell>
          <cell r="J3651" t="str">
            <v>bueno</v>
          </cell>
          <cell r="K3651" t="str">
            <v>probsi</v>
          </cell>
        </row>
        <row r="3652">
          <cell r="B3652" t="b">
            <v>1</v>
          </cell>
          <cell r="E3652" t="str">
            <v>Canapote</v>
          </cell>
          <cell r="H3652" t="str">
            <v>consulta_externa</v>
          </cell>
          <cell r="J3652" t="str">
            <v>bueno</v>
          </cell>
          <cell r="K3652" t="str">
            <v>probsi</v>
          </cell>
        </row>
        <row r="3653">
          <cell r="B3653" t="b">
            <v>1</v>
          </cell>
          <cell r="E3653" t="str">
            <v>Canapote</v>
          </cell>
          <cell r="H3653" t="str">
            <v>salud_oral</v>
          </cell>
          <cell r="J3653" t="str">
            <v>bueno</v>
          </cell>
          <cell r="K3653" t="str">
            <v>probsi</v>
          </cell>
        </row>
        <row r="3654">
          <cell r="B3654" t="b">
            <v>1</v>
          </cell>
          <cell r="E3654" t="str">
            <v>Canapote</v>
          </cell>
          <cell r="H3654" t="str">
            <v>salud_oral</v>
          </cell>
          <cell r="J3654" t="str">
            <v>bueno</v>
          </cell>
          <cell r="K3654" t="str">
            <v>probsi</v>
          </cell>
        </row>
        <row r="3655">
          <cell r="B3655" t="b">
            <v>1</v>
          </cell>
          <cell r="E3655" t="str">
            <v>Canapote</v>
          </cell>
          <cell r="H3655" t="str">
            <v>salud_oral</v>
          </cell>
          <cell r="J3655" t="str">
            <v>bueno</v>
          </cell>
          <cell r="K3655" t="str">
            <v>probsi</v>
          </cell>
        </row>
        <row r="3656">
          <cell r="B3656" t="b">
            <v>1</v>
          </cell>
          <cell r="E3656" t="str">
            <v>Canapote</v>
          </cell>
          <cell r="H3656" t="str">
            <v>laboratorio</v>
          </cell>
          <cell r="J3656" t="str">
            <v>bueno</v>
          </cell>
          <cell r="K3656" t="str">
            <v>probsi</v>
          </cell>
        </row>
        <row r="3657">
          <cell r="B3657" t="b">
            <v>1</v>
          </cell>
          <cell r="E3657" t="str">
            <v>Canapote</v>
          </cell>
          <cell r="H3657" t="str">
            <v>laboratorio</v>
          </cell>
          <cell r="J3657" t="str">
            <v>bueno</v>
          </cell>
          <cell r="K3657" t="str">
            <v>probsi</v>
          </cell>
        </row>
        <row r="3658">
          <cell r="B3658" t="b">
            <v>1</v>
          </cell>
          <cell r="E3658" t="str">
            <v>Canapote</v>
          </cell>
          <cell r="H3658" t="str">
            <v>laboratorio</v>
          </cell>
          <cell r="J3658" t="str">
            <v>bueno</v>
          </cell>
          <cell r="K3658" t="str">
            <v>probsi</v>
          </cell>
        </row>
        <row r="3659">
          <cell r="B3659" t="b">
            <v>1</v>
          </cell>
          <cell r="E3659" t="str">
            <v>Canapote</v>
          </cell>
          <cell r="H3659" t="str">
            <v>laboratorio</v>
          </cell>
          <cell r="J3659" t="str">
            <v>bueno</v>
          </cell>
          <cell r="K3659" t="str">
            <v>probsi</v>
          </cell>
        </row>
        <row r="3660">
          <cell r="B3660" t="b">
            <v>1</v>
          </cell>
          <cell r="E3660" t="str">
            <v>Canapote</v>
          </cell>
          <cell r="H3660" t="str">
            <v>laboratorio</v>
          </cell>
          <cell r="J3660" t="str">
            <v>bueno</v>
          </cell>
          <cell r="K3660" t="str">
            <v>probsi</v>
          </cell>
        </row>
        <row r="3661">
          <cell r="B3661" t="b">
            <v>1</v>
          </cell>
          <cell r="E3661" t="str">
            <v>Canapote</v>
          </cell>
          <cell r="H3661" t="str">
            <v>consulta_externa</v>
          </cell>
          <cell r="J3661" t="str">
            <v>bueno</v>
          </cell>
          <cell r="K3661" t="str">
            <v>probsi</v>
          </cell>
        </row>
        <row r="3662">
          <cell r="B3662" t="b">
            <v>1</v>
          </cell>
          <cell r="E3662" t="str">
            <v>Canapote</v>
          </cell>
          <cell r="H3662" t="str">
            <v>consulta_externa</v>
          </cell>
          <cell r="J3662" t="str">
            <v>bueno</v>
          </cell>
          <cell r="K3662" t="str">
            <v>probsi</v>
          </cell>
        </row>
        <row r="3663">
          <cell r="B3663" t="b">
            <v>1</v>
          </cell>
          <cell r="E3663" t="str">
            <v>Canapote</v>
          </cell>
          <cell r="H3663" t="str">
            <v>salud_oral</v>
          </cell>
          <cell r="J3663" t="str">
            <v>bueno</v>
          </cell>
          <cell r="K3663" t="str">
            <v>probsi</v>
          </cell>
        </row>
        <row r="3664">
          <cell r="B3664" t="b">
            <v>1</v>
          </cell>
          <cell r="E3664" t="str">
            <v>Canapote</v>
          </cell>
          <cell r="H3664" t="str">
            <v>salud_oral</v>
          </cell>
          <cell r="J3664" t="str">
            <v>bueno</v>
          </cell>
          <cell r="K3664" t="str">
            <v>probsi</v>
          </cell>
        </row>
        <row r="3665">
          <cell r="B3665" t="b">
            <v>1</v>
          </cell>
          <cell r="E3665" t="str">
            <v>Canapote</v>
          </cell>
          <cell r="H3665" t="str">
            <v>salud_oral</v>
          </cell>
          <cell r="J3665" t="str">
            <v>bueno</v>
          </cell>
          <cell r="K3665" t="str">
            <v>probsi</v>
          </cell>
        </row>
        <row r="3666">
          <cell r="B3666" t="b">
            <v>1</v>
          </cell>
          <cell r="E3666" t="str">
            <v>Canapote</v>
          </cell>
          <cell r="H3666" t="str">
            <v>salud_oral</v>
          </cell>
          <cell r="J3666" t="str">
            <v>bueno</v>
          </cell>
          <cell r="K3666" t="str">
            <v>probsi</v>
          </cell>
        </row>
        <row r="3667">
          <cell r="B3667" t="b">
            <v>1</v>
          </cell>
          <cell r="E3667" t="str">
            <v>Canapote</v>
          </cell>
          <cell r="H3667" t="str">
            <v>laboratorio</v>
          </cell>
          <cell r="J3667" t="str">
            <v>bueno</v>
          </cell>
          <cell r="K3667" t="str">
            <v>probsi</v>
          </cell>
        </row>
        <row r="3668">
          <cell r="B3668" t="b">
            <v>1</v>
          </cell>
          <cell r="E3668" t="str">
            <v>Canapote</v>
          </cell>
          <cell r="H3668" t="str">
            <v>laboratorio</v>
          </cell>
          <cell r="J3668" t="str">
            <v>bueno</v>
          </cell>
          <cell r="K3668" t="str">
            <v>probsi</v>
          </cell>
        </row>
        <row r="3669">
          <cell r="B3669" t="b">
            <v>1</v>
          </cell>
          <cell r="E3669" t="str">
            <v>Canapote</v>
          </cell>
          <cell r="H3669" t="str">
            <v>laboratorio</v>
          </cell>
          <cell r="J3669" t="str">
            <v>bueno</v>
          </cell>
          <cell r="K3669" t="str">
            <v>probsi</v>
          </cell>
        </row>
        <row r="3670">
          <cell r="B3670" t="b">
            <v>1</v>
          </cell>
          <cell r="E3670" t="str">
            <v>Isla del Rosario</v>
          </cell>
          <cell r="H3670" t="str">
            <v>consulta_externa</v>
          </cell>
          <cell r="J3670" t="str">
            <v>muybueno</v>
          </cell>
          <cell r="K3670" t="str">
            <v>defsi</v>
          </cell>
        </row>
        <row r="3671">
          <cell r="B3671" t="b">
            <v>1</v>
          </cell>
          <cell r="E3671" t="str">
            <v>Isla del Rosario</v>
          </cell>
          <cell r="H3671" t="str">
            <v>laboratorio</v>
          </cell>
          <cell r="J3671" t="str">
            <v>muybueno</v>
          </cell>
          <cell r="K3671" t="str">
            <v>defsi</v>
          </cell>
        </row>
        <row r="3672">
          <cell r="B3672" t="b">
            <v>1</v>
          </cell>
          <cell r="E3672" t="str">
            <v>Canapote</v>
          </cell>
          <cell r="H3672" t="str">
            <v>consulta_externa</v>
          </cell>
          <cell r="J3672" t="str">
            <v>bueno</v>
          </cell>
          <cell r="K3672" t="str">
            <v>probsi</v>
          </cell>
        </row>
        <row r="3673">
          <cell r="B3673" t="b">
            <v>1</v>
          </cell>
          <cell r="E3673" t="str">
            <v>Isla del Rosario</v>
          </cell>
          <cell r="H3673" t="str">
            <v>consulta_externa</v>
          </cell>
          <cell r="J3673" t="str">
            <v>muybueno</v>
          </cell>
          <cell r="K3673" t="str">
            <v>defsi</v>
          </cell>
        </row>
        <row r="3674">
          <cell r="B3674" t="b">
            <v>1</v>
          </cell>
          <cell r="E3674" t="str">
            <v>Canapote</v>
          </cell>
          <cell r="H3674" t="str">
            <v>consulta_externa</v>
          </cell>
          <cell r="J3674" t="str">
            <v>bueno</v>
          </cell>
          <cell r="K3674" t="str">
            <v>probsi</v>
          </cell>
        </row>
        <row r="3675">
          <cell r="B3675" t="b">
            <v>1</v>
          </cell>
          <cell r="E3675" t="str">
            <v>Canapote</v>
          </cell>
          <cell r="H3675" t="str">
            <v>consulta_externa</v>
          </cell>
          <cell r="J3675" t="str">
            <v>bueno</v>
          </cell>
          <cell r="K3675" t="str">
            <v>probsi</v>
          </cell>
        </row>
        <row r="3676">
          <cell r="B3676" t="b">
            <v>1</v>
          </cell>
          <cell r="E3676" t="str">
            <v>Isla del Rosario</v>
          </cell>
          <cell r="H3676" t="str">
            <v>laboratorio</v>
          </cell>
          <cell r="J3676" t="str">
            <v>muybueno</v>
          </cell>
          <cell r="K3676" t="str">
            <v>defsi</v>
          </cell>
        </row>
        <row r="3677">
          <cell r="B3677" t="b">
            <v>0</v>
          </cell>
          <cell r="E3677" t="str">
            <v>Canapote</v>
          </cell>
          <cell r="H3677" t="str">
            <v>laboratorio</v>
          </cell>
          <cell r="J3677" t="str">
            <v>regular</v>
          </cell>
          <cell r="K3677" t="str">
            <v>probsi</v>
          </cell>
        </row>
        <row r="3678">
          <cell r="B3678" t="b">
            <v>0</v>
          </cell>
          <cell r="E3678" t="str">
            <v>Canapote</v>
          </cell>
          <cell r="H3678" t="str">
            <v>laboratorio</v>
          </cell>
          <cell r="J3678" t="str">
            <v>regular</v>
          </cell>
          <cell r="K3678" t="str">
            <v>probsi</v>
          </cell>
        </row>
        <row r="3679">
          <cell r="B3679" t="b">
            <v>1</v>
          </cell>
          <cell r="E3679" t="str">
            <v>San Francisco I</v>
          </cell>
          <cell r="H3679" t="str">
            <v>laboratorio</v>
          </cell>
          <cell r="J3679" t="str">
            <v>bueno</v>
          </cell>
          <cell r="K3679" t="str">
            <v>probsi</v>
          </cell>
        </row>
        <row r="3680">
          <cell r="B3680" t="b">
            <v>1</v>
          </cell>
          <cell r="E3680" t="str">
            <v>San Francisco I</v>
          </cell>
          <cell r="H3680" t="str">
            <v>laboratorio</v>
          </cell>
          <cell r="J3680" t="str">
            <v>bueno</v>
          </cell>
          <cell r="K3680" t="str">
            <v>probsi</v>
          </cell>
        </row>
        <row r="3681">
          <cell r="B3681" t="b">
            <v>1</v>
          </cell>
          <cell r="E3681" t="str">
            <v>San Francisco I</v>
          </cell>
          <cell r="H3681" t="str">
            <v>salud_oral</v>
          </cell>
          <cell r="J3681" t="str">
            <v>bueno</v>
          </cell>
          <cell r="K3681" t="str">
            <v>probsi</v>
          </cell>
        </row>
        <row r="3682">
          <cell r="B3682" t="b">
            <v>1</v>
          </cell>
          <cell r="E3682" t="str">
            <v>Isla del Rosario</v>
          </cell>
          <cell r="H3682" t="str">
            <v>salud_oral</v>
          </cell>
          <cell r="J3682" t="str">
            <v>muybueno</v>
          </cell>
          <cell r="K3682" t="str">
            <v>defsi</v>
          </cell>
        </row>
        <row r="3683">
          <cell r="B3683" t="b">
            <v>0</v>
          </cell>
          <cell r="E3683" t="str">
            <v>Bocachica</v>
          </cell>
          <cell r="H3683" t="str">
            <v>urgencia</v>
          </cell>
          <cell r="J3683" t="str">
            <v>regular</v>
          </cell>
          <cell r="K3683" t="str">
            <v>probsi</v>
          </cell>
        </row>
        <row r="3684">
          <cell r="B3684" t="b">
            <v>1</v>
          </cell>
          <cell r="E3684" t="str">
            <v>Bocachica</v>
          </cell>
          <cell r="H3684" t="str">
            <v>urgencia</v>
          </cell>
          <cell r="J3684" t="str">
            <v>bueno</v>
          </cell>
          <cell r="K3684" t="str">
            <v>probsi</v>
          </cell>
        </row>
        <row r="3685">
          <cell r="B3685" t="b">
            <v>1</v>
          </cell>
          <cell r="E3685" t="str">
            <v>Bocachica</v>
          </cell>
          <cell r="H3685" t="str">
            <v>urgencia</v>
          </cell>
          <cell r="J3685" t="str">
            <v>bueno</v>
          </cell>
          <cell r="K3685" t="str">
            <v>probsi</v>
          </cell>
        </row>
        <row r="3686">
          <cell r="B3686" t="b">
            <v>0</v>
          </cell>
          <cell r="E3686" t="str">
            <v>Bocachica</v>
          </cell>
          <cell r="H3686" t="str">
            <v>urgencia</v>
          </cell>
          <cell r="J3686" t="str">
            <v>regular</v>
          </cell>
          <cell r="K3686" t="str">
            <v>probno</v>
          </cell>
        </row>
        <row r="3687">
          <cell r="B3687" t="b">
            <v>1</v>
          </cell>
          <cell r="E3687" t="str">
            <v>Bocachica</v>
          </cell>
          <cell r="H3687" t="str">
            <v>salud_oral</v>
          </cell>
          <cell r="J3687" t="str">
            <v>bueno</v>
          </cell>
          <cell r="K3687" t="str">
            <v>defsi</v>
          </cell>
        </row>
        <row r="3688">
          <cell r="B3688" t="b">
            <v>0</v>
          </cell>
          <cell r="E3688" t="str">
            <v>Bocachica</v>
          </cell>
          <cell r="H3688" t="str">
            <v>urgencia</v>
          </cell>
          <cell r="J3688" t="str">
            <v>regular</v>
          </cell>
          <cell r="K3688" t="str">
            <v>probsi</v>
          </cell>
        </row>
        <row r="3689">
          <cell r="B3689" t="b">
            <v>0</v>
          </cell>
          <cell r="E3689" t="str">
            <v>Bocachica</v>
          </cell>
          <cell r="H3689" t="str">
            <v>urgencia</v>
          </cell>
          <cell r="J3689" t="str">
            <v>regular</v>
          </cell>
          <cell r="K3689" t="str">
            <v>probsi</v>
          </cell>
        </row>
        <row r="3690">
          <cell r="B3690" t="b">
            <v>0</v>
          </cell>
          <cell r="E3690" t="str">
            <v>Bocachica</v>
          </cell>
          <cell r="H3690" t="str">
            <v>urgencia</v>
          </cell>
          <cell r="J3690" t="str">
            <v>regular</v>
          </cell>
          <cell r="K3690" t="str">
            <v>probsi</v>
          </cell>
        </row>
        <row r="3691">
          <cell r="B3691" t="b">
            <v>0</v>
          </cell>
          <cell r="E3691" t="str">
            <v>Bocachica</v>
          </cell>
          <cell r="H3691" t="str">
            <v>urgencia</v>
          </cell>
          <cell r="J3691" t="str">
            <v>regular</v>
          </cell>
          <cell r="K3691" t="str">
            <v>probsi</v>
          </cell>
        </row>
        <row r="3692">
          <cell r="B3692" t="b">
            <v>1</v>
          </cell>
          <cell r="E3692" t="str">
            <v>Bocachica</v>
          </cell>
          <cell r="H3692" t="str">
            <v>salud_oral</v>
          </cell>
          <cell r="J3692" t="str">
            <v>bueno</v>
          </cell>
          <cell r="K3692" t="str">
            <v>defsi</v>
          </cell>
        </row>
        <row r="3693">
          <cell r="B3693" t="b">
            <v>1</v>
          </cell>
          <cell r="E3693" t="str">
            <v>Bocachica</v>
          </cell>
          <cell r="H3693" t="str">
            <v>salud_oral</v>
          </cell>
          <cell r="J3693" t="str">
            <v>bueno</v>
          </cell>
          <cell r="K3693" t="str">
            <v>defsi</v>
          </cell>
        </row>
        <row r="3694">
          <cell r="B3694" t="b">
            <v>1</v>
          </cell>
          <cell r="E3694" t="str">
            <v>Bocachica</v>
          </cell>
          <cell r="H3694" t="str">
            <v>laboratorio</v>
          </cell>
          <cell r="J3694" t="str">
            <v>bueno</v>
          </cell>
          <cell r="K3694" t="str">
            <v>probsi</v>
          </cell>
        </row>
        <row r="3695">
          <cell r="B3695" t="b">
            <v>1</v>
          </cell>
          <cell r="E3695" t="str">
            <v>Bocachica</v>
          </cell>
          <cell r="H3695" t="str">
            <v>salud_oral</v>
          </cell>
          <cell r="J3695" t="str">
            <v>bueno</v>
          </cell>
          <cell r="K3695" t="str">
            <v>probsi</v>
          </cell>
        </row>
        <row r="3696">
          <cell r="B3696" t="b">
            <v>1</v>
          </cell>
          <cell r="E3696" t="str">
            <v>Bocachica</v>
          </cell>
          <cell r="H3696" t="str">
            <v>salud_oral</v>
          </cell>
          <cell r="J3696" t="str">
            <v>bueno</v>
          </cell>
          <cell r="K3696" t="str">
            <v>probsi</v>
          </cell>
        </row>
        <row r="3697">
          <cell r="B3697" t="b">
            <v>1</v>
          </cell>
          <cell r="E3697" t="str">
            <v>Bocachica</v>
          </cell>
          <cell r="H3697" t="str">
            <v>laboratorio</v>
          </cell>
          <cell r="J3697" t="str">
            <v>bueno</v>
          </cell>
          <cell r="K3697" t="str">
            <v>defsi</v>
          </cell>
        </row>
        <row r="3698">
          <cell r="B3698" t="b">
            <v>1</v>
          </cell>
          <cell r="E3698" t="str">
            <v>Bocachica</v>
          </cell>
          <cell r="H3698" t="str">
            <v>laboratorio</v>
          </cell>
          <cell r="J3698" t="str">
            <v>bueno</v>
          </cell>
          <cell r="K3698" t="str">
            <v>defsi</v>
          </cell>
        </row>
        <row r="3699">
          <cell r="B3699" t="b">
            <v>1</v>
          </cell>
          <cell r="E3699" t="str">
            <v>Bocachica</v>
          </cell>
          <cell r="H3699" t="str">
            <v>laboratorio</v>
          </cell>
          <cell r="J3699" t="str">
            <v>bueno</v>
          </cell>
          <cell r="K3699" t="str">
            <v>defsi</v>
          </cell>
        </row>
        <row r="3700">
          <cell r="B3700" t="b">
            <v>1</v>
          </cell>
          <cell r="E3700" t="str">
            <v>Bocachica</v>
          </cell>
          <cell r="H3700" t="str">
            <v>laboratorio</v>
          </cell>
          <cell r="J3700" t="str">
            <v>bueno</v>
          </cell>
          <cell r="K3700" t="str">
            <v>defsi</v>
          </cell>
        </row>
        <row r="3701">
          <cell r="B3701" t="b">
            <v>1</v>
          </cell>
          <cell r="E3701" t="str">
            <v>Bocachica</v>
          </cell>
          <cell r="H3701" t="str">
            <v>laboratorio</v>
          </cell>
          <cell r="J3701" t="str">
            <v>bueno</v>
          </cell>
          <cell r="K3701" t="str">
            <v>defsi</v>
          </cell>
        </row>
        <row r="3702">
          <cell r="B3702" t="b">
            <v>1</v>
          </cell>
          <cell r="E3702" t="str">
            <v>Bocachica</v>
          </cell>
          <cell r="H3702" t="str">
            <v>laboratorio</v>
          </cell>
          <cell r="J3702" t="str">
            <v>bueno</v>
          </cell>
          <cell r="K3702" t="str">
            <v>defsi</v>
          </cell>
        </row>
        <row r="3703">
          <cell r="B3703" t="b">
            <v>1</v>
          </cell>
          <cell r="E3703" t="str">
            <v>Bocachica</v>
          </cell>
          <cell r="H3703" t="str">
            <v>laboratorio</v>
          </cell>
          <cell r="J3703" t="str">
            <v>bueno</v>
          </cell>
          <cell r="K3703" t="str">
            <v>defsi</v>
          </cell>
        </row>
        <row r="3704">
          <cell r="B3704" t="b">
            <v>1</v>
          </cell>
          <cell r="E3704" t="str">
            <v>Bicentenario</v>
          </cell>
          <cell r="H3704" t="str">
            <v>salud_oral</v>
          </cell>
          <cell r="J3704" t="str">
            <v>bueno</v>
          </cell>
          <cell r="K3704" t="str">
            <v>defsi</v>
          </cell>
        </row>
        <row r="3705">
          <cell r="B3705" t="b">
            <v>1</v>
          </cell>
          <cell r="E3705" t="str">
            <v>Bicentenario</v>
          </cell>
          <cell r="H3705" t="str">
            <v>rx</v>
          </cell>
          <cell r="J3705" t="str">
            <v>bueno</v>
          </cell>
          <cell r="K3705" t="str">
            <v>defsi</v>
          </cell>
        </row>
        <row r="3706">
          <cell r="B3706" t="b">
            <v>1</v>
          </cell>
          <cell r="E3706" t="str">
            <v>Bicentenario</v>
          </cell>
          <cell r="H3706" t="str">
            <v>rx</v>
          </cell>
          <cell r="J3706" t="str">
            <v>bueno</v>
          </cell>
          <cell r="K3706" t="str">
            <v>defsi</v>
          </cell>
        </row>
        <row r="3707">
          <cell r="B3707" t="b">
            <v>1</v>
          </cell>
          <cell r="E3707" t="str">
            <v>Bicentenario</v>
          </cell>
          <cell r="H3707" t="str">
            <v>laboratorio</v>
          </cell>
          <cell r="J3707" t="str">
            <v>bueno</v>
          </cell>
          <cell r="K3707" t="str">
            <v>defsi</v>
          </cell>
        </row>
        <row r="3708">
          <cell r="B3708" t="b">
            <v>1</v>
          </cell>
          <cell r="E3708" t="str">
            <v>Bicentenario</v>
          </cell>
          <cell r="H3708" t="str">
            <v>laboratorio</v>
          </cell>
          <cell r="J3708" t="str">
            <v>bueno</v>
          </cell>
          <cell r="K3708" t="str">
            <v>defsi</v>
          </cell>
        </row>
        <row r="3709">
          <cell r="B3709" t="b">
            <v>1</v>
          </cell>
          <cell r="E3709" t="str">
            <v>Bicentenario</v>
          </cell>
          <cell r="H3709" t="str">
            <v>laboratorio</v>
          </cell>
          <cell r="J3709" t="str">
            <v>bueno</v>
          </cell>
          <cell r="K3709" t="str">
            <v>defsi</v>
          </cell>
        </row>
        <row r="3710">
          <cell r="B3710" t="b">
            <v>1</v>
          </cell>
          <cell r="E3710" t="str">
            <v>Bicentenario</v>
          </cell>
          <cell r="H3710" t="str">
            <v>salud_oral</v>
          </cell>
          <cell r="J3710" t="str">
            <v>bueno</v>
          </cell>
          <cell r="K3710" t="str">
            <v>defsi</v>
          </cell>
        </row>
        <row r="3711">
          <cell r="B3711" t="b">
            <v>1</v>
          </cell>
          <cell r="E3711" t="str">
            <v>Bicentenario</v>
          </cell>
          <cell r="H3711" t="str">
            <v>salud_oral</v>
          </cell>
          <cell r="J3711" t="str">
            <v>muybueno</v>
          </cell>
          <cell r="K3711" t="str">
            <v>defsi</v>
          </cell>
        </row>
        <row r="3712">
          <cell r="B3712" t="b">
            <v>1</v>
          </cell>
          <cell r="E3712" t="str">
            <v>Bicentenario</v>
          </cell>
          <cell r="H3712" t="str">
            <v>consulta_externa</v>
          </cell>
          <cell r="J3712" t="str">
            <v>bueno</v>
          </cell>
          <cell r="K3712" t="str">
            <v>defsi</v>
          </cell>
        </row>
        <row r="3713">
          <cell r="B3713" t="b">
            <v>1</v>
          </cell>
          <cell r="E3713" t="str">
            <v>Bicentenario</v>
          </cell>
          <cell r="H3713" t="str">
            <v>laboratorio</v>
          </cell>
          <cell r="J3713" t="str">
            <v>bueno</v>
          </cell>
          <cell r="K3713" t="str">
            <v>defsi</v>
          </cell>
        </row>
        <row r="3714">
          <cell r="B3714" t="b">
            <v>0</v>
          </cell>
          <cell r="E3714" t="str">
            <v>Bicentenario</v>
          </cell>
          <cell r="H3714" t="str">
            <v>laboratorio</v>
          </cell>
          <cell r="J3714" t="str">
            <v>regular</v>
          </cell>
          <cell r="K3714" t="str">
            <v>defsi</v>
          </cell>
        </row>
        <row r="3715">
          <cell r="B3715" t="b">
            <v>1</v>
          </cell>
          <cell r="E3715" t="str">
            <v>Bicentenario</v>
          </cell>
          <cell r="H3715" t="str">
            <v>laboratorio</v>
          </cell>
          <cell r="J3715" t="str">
            <v>bueno</v>
          </cell>
          <cell r="K3715" t="str">
            <v>defsi</v>
          </cell>
        </row>
        <row r="3716">
          <cell r="B3716" t="b">
            <v>1</v>
          </cell>
          <cell r="E3716" t="str">
            <v>Bicentenario</v>
          </cell>
          <cell r="H3716" t="str">
            <v>urgencia</v>
          </cell>
          <cell r="J3716" t="str">
            <v>bueno</v>
          </cell>
          <cell r="K3716" t="str">
            <v>defsi</v>
          </cell>
        </row>
        <row r="3717">
          <cell r="B3717" t="b">
            <v>1</v>
          </cell>
          <cell r="E3717" t="str">
            <v>Bicentenario</v>
          </cell>
          <cell r="H3717" t="str">
            <v>urgencia</v>
          </cell>
          <cell r="J3717" t="str">
            <v>bueno</v>
          </cell>
          <cell r="K3717" t="str">
            <v>defsi</v>
          </cell>
        </row>
        <row r="3718">
          <cell r="B3718" t="b">
            <v>1</v>
          </cell>
          <cell r="E3718" t="str">
            <v>Bicentenario</v>
          </cell>
          <cell r="H3718" t="str">
            <v>urgencia</v>
          </cell>
          <cell r="J3718" t="str">
            <v>bueno</v>
          </cell>
          <cell r="K3718" t="str">
            <v>defsi</v>
          </cell>
        </row>
        <row r="3719">
          <cell r="B3719" t="b">
            <v>1</v>
          </cell>
          <cell r="E3719" t="str">
            <v>Bicentenario</v>
          </cell>
          <cell r="H3719" t="str">
            <v>urgencia</v>
          </cell>
          <cell r="J3719" t="str">
            <v>bueno</v>
          </cell>
          <cell r="K3719" t="str">
            <v>defsi</v>
          </cell>
        </row>
        <row r="3720">
          <cell r="B3720" t="b">
            <v>0</v>
          </cell>
          <cell r="E3720" t="str">
            <v>Bicentenario</v>
          </cell>
          <cell r="H3720" t="str">
            <v>urgencia</v>
          </cell>
          <cell r="J3720" t="str">
            <v>regular</v>
          </cell>
          <cell r="K3720" t="str">
            <v>defsi</v>
          </cell>
        </row>
        <row r="3721">
          <cell r="B3721" t="b">
            <v>1</v>
          </cell>
          <cell r="E3721" t="str">
            <v>Bicentenario</v>
          </cell>
          <cell r="H3721" t="str">
            <v>rx</v>
          </cell>
          <cell r="J3721" t="str">
            <v>bueno</v>
          </cell>
          <cell r="K3721" t="str">
            <v>defsi</v>
          </cell>
        </row>
        <row r="3722">
          <cell r="B3722" t="b">
            <v>1</v>
          </cell>
          <cell r="E3722" t="str">
            <v>Bicentenario</v>
          </cell>
          <cell r="H3722" t="str">
            <v>rx</v>
          </cell>
          <cell r="J3722" t="str">
            <v>bueno</v>
          </cell>
          <cell r="K3722" t="str">
            <v>defsi</v>
          </cell>
        </row>
        <row r="3723">
          <cell r="B3723" t="b">
            <v>1</v>
          </cell>
          <cell r="E3723" t="str">
            <v>Bicentenario</v>
          </cell>
          <cell r="H3723" t="str">
            <v>rx</v>
          </cell>
          <cell r="J3723" t="str">
            <v>bueno</v>
          </cell>
          <cell r="K3723" t="str">
            <v>defsi</v>
          </cell>
        </row>
        <row r="3724">
          <cell r="B3724" t="b">
            <v>0</v>
          </cell>
          <cell r="E3724" t="str">
            <v>Bicentenario</v>
          </cell>
          <cell r="H3724" t="str">
            <v>urgencia</v>
          </cell>
          <cell r="J3724" t="str">
            <v>regular</v>
          </cell>
          <cell r="K3724" t="str">
            <v>probsi</v>
          </cell>
        </row>
        <row r="3725">
          <cell r="B3725" t="b">
            <v>1</v>
          </cell>
          <cell r="E3725" t="str">
            <v>Bicentenario</v>
          </cell>
          <cell r="H3725" t="str">
            <v>urgencia</v>
          </cell>
          <cell r="J3725" t="str">
            <v>bueno</v>
          </cell>
          <cell r="K3725" t="str">
            <v>defsi</v>
          </cell>
        </row>
        <row r="3726">
          <cell r="B3726" t="b">
            <v>1</v>
          </cell>
          <cell r="E3726" t="str">
            <v>Bicentenario</v>
          </cell>
          <cell r="H3726" t="str">
            <v>salud_oral</v>
          </cell>
          <cell r="J3726" t="str">
            <v>bueno</v>
          </cell>
          <cell r="K3726" t="str">
            <v>defsi</v>
          </cell>
        </row>
        <row r="3727">
          <cell r="B3727" t="b">
            <v>1</v>
          </cell>
          <cell r="E3727" t="str">
            <v>Bicentenario</v>
          </cell>
          <cell r="H3727" t="str">
            <v>salud_oral</v>
          </cell>
          <cell r="J3727" t="str">
            <v>bueno</v>
          </cell>
          <cell r="K3727" t="str">
            <v>defsi</v>
          </cell>
        </row>
        <row r="3728">
          <cell r="B3728" t="b">
            <v>1</v>
          </cell>
          <cell r="E3728" t="str">
            <v>Bicentenario</v>
          </cell>
          <cell r="H3728" t="str">
            <v>rx</v>
          </cell>
          <cell r="J3728" t="str">
            <v>bueno</v>
          </cell>
          <cell r="K3728" t="str">
            <v>defsi</v>
          </cell>
        </row>
        <row r="3729">
          <cell r="B3729" t="b">
            <v>1</v>
          </cell>
          <cell r="E3729" t="str">
            <v>Bosque</v>
          </cell>
          <cell r="H3729" t="str">
            <v>consulta_externa</v>
          </cell>
          <cell r="J3729" t="str">
            <v>bueno</v>
          </cell>
          <cell r="K3729" t="str">
            <v>probsi</v>
          </cell>
        </row>
        <row r="3730">
          <cell r="B3730" t="b">
            <v>1</v>
          </cell>
          <cell r="E3730" t="str">
            <v>Bosque</v>
          </cell>
          <cell r="H3730" t="str">
            <v>salud_oral</v>
          </cell>
          <cell r="J3730" t="str">
            <v>bueno</v>
          </cell>
          <cell r="K3730" t="str">
            <v>probsi</v>
          </cell>
        </row>
        <row r="3731">
          <cell r="B3731" t="b">
            <v>1</v>
          </cell>
          <cell r="E3731" t="str">
            <v>Bosque</v>
          </cell>
          <cell r="H3731" t="str">
            <v>laboratorio</v>
          </cell>
          <cell r="J3731" t="str">
            <v>bueno</v>
          </cell>
          <cell r="K3731" t="str">
            <v>probsi</v>
          </cell>
        </row>
        <row r="3732">
          <cell r="B3732" t="b">
            <v>1</v>
          </cell>
          <cell r="E3732" t="str">
            <v>Bosque</v>
          </cell>
          <cell r="H3732" t="str">
            <v>consulta_externa</v>
          </cell>
          <cell r="J3732" t="str">
            <v>bueno</v>
          </cell>
          <cell r="K3732" t="str">
            <v>probsi</v>
          </cell>
        </row>
        <row r="3733">
          <cell r="B3733" t="b">
            <v>1</v>
          </cell>
          <cell r="E3733" t="str">
            <v>Bosque</v>
          </cell>
          <cell r="H3733" t="str">
            <v>laboratorio</v>
          </cell>
          <cell r="J3733" t="str">
            <v>bueno</v>
          </cell>
          <cell r="K3733" t="str">
            <v>probsi</v>
          </cell>
        </row>
        <row r="3734">
          <cell r="B3734" t="b">
            <v>1</v>
          </cell>
          <cell r="E3734" t="str">
            <v>Bosque</v>
          </cell>
          <cell r="H3734" t="str">
            <v>consulta_externa</v>
          </cell>
          <cell r="J3734" t="str">
            <v>bueno</v>
          </cell>
          <cell r="K3734" t="str">
            <v>probsi</v>
          </cell>
        </row>
        <row r="3735">
          <cell r="B3735" t="b">
            <v>1</v>
          </cell>
          <cell r="E3735" t="str">
            <v>Bosque</v>
          </cell>
          <cell r="H3735" t="str">
            <v>laboratorio</v>
          </cell>
          <cell r="J3735" t="str">
            <v>bueno</v>
          </cell>
          <cell r="K3735" t="str">
            <v>probsi</v>
          </cell>
        </row>
        <row r="3736">
          <cell r="B3736" t="b">
            <v>1</v>
          </cell>
          <cell r="E3736" t="str">
            <v>Bosque</v>
          </cell>
          <cell r="H3736" t="str">
            <v>consulta_externa</v>
          </cell>
          <cell r="J3736" t="str">
            <v>bueno</v>
          </cell>
          <cell r="K3736" t="str">
            <v>probsi</v>
          </cell>
        </row>
        <row r="3737">
          <cell r="B3737" t="b">
            <v>1</v>
          </cell>
          <cell r="E3737" t="str">
            <v>Bosque</v>
          </cell>
          <cell r="H3737" t="str">
            <v>salud_oral</v>
          </cell>
          <cell r="J3737" t="str">
            <v>muybueno</v>
          </cell>
          <cell r="K3737" t="str">
            <v>probsi</v>
          </cell>
        </row>
        <row r="3738">
          <cell r="B3738" t="b">
            <v>1</v>
          </cell>
          <cell r="E3738" t="str">
            <v>Bosque</v>
          </cell>
          <cell r="H3738" t="str">
            <v>laboratorio</v>
          </cell>
          <cell r="J3738" t="str">
            <v>bueno</v>
          </cell>
          <cell r="K3738" t="str">
            <v>probsi</v>
          </cell>
        </row>
        <row r="3739">
          <cell r="B3739" t="b">
            <v>1</v>
          </cell>
          <cell r="E3739" t="str">
            <v>Bosque</v>
          </cell>
          <cell r="H3739" t="str">
            <v>consulta_externa</v>
          </cell>
          <cell r="J3739" t="str">
            <v>bueno</v>
          </cell>
          <cell r="K3739" t="str">
            <v>probsi</v>
          </cell>
        </row>
        <row r="3740">
          <cell r="B3740" t="b">
            <v>1</v>
          </cell>
          <cell r="E3740" t="str">
            <v>Bosque</v>
          </cell>
          <cell r="H3740" t="str">
            <v>salud_oral</v>
          </cell>
          <cell r="J3740" t="str">
            <v>bueno</v>
          </cell>
          <cell r="K3740" t="str">
            <v>probsi</v>
          </cell>
        </row>
        <row r="3741">
          <cell r="B3741" t="b">
            <v>1</v>
          </cell>
          <cell r="E3741" t="str">
            <v>Bosque</v>
          </cell>
          <cell r="H3741" t="str">
            <v>laboratorio</v>
          </cell>
          <cell r="J3741" t="str">
            <v>bueno</v>
          </cell>
          <cell r="K3741" t="str">
            <v>probsi</v>
          </cell>
        </row>
        <row r="3742">
          <cell r="B3742" t="b">
            <v>1</v>
          </cell>
          <cell r="E3742" t="str">
            <v>Bosque</v>
          </cell>
          <cell r="H3742" t="str">
            <v>consulta_externa</v>
          </cell>
          <cell r="J3742" t="str">
            <v>bueno</v>
          </cell>
          <cell r="K3742" t="str">
            <v>probsi</v>
          </cell>
        </row>
        <row r="3743">
          <cell r="B3743" t="b">
            <v>1</v>
          </cell>
          <cell r="E3743" t="str">
            <v>Bosque</v>
          </cell>
          <cell r="H3743" t="str">
            <v>laboratorio</v>
          </cell>
          <cell r="J3743" t="str">
            <v>bueno</v>
          </cell>
          <cell r="K3743" t="str">
            <v>probsi</v>
          </cell>
        </row>
        <row r="3744">
          <cell r="B3744" t="b">
            <v>1</v>
          </cell>
          <cell r="E3744" t="str">
            <v>Bosque</v>
          </cell>
          <cell r="H3744" t="str">
            <v>consulta_externa</v>
          </cell>
          <cell r="J3744" t="str">
            <v>bueno</v>
          </cell>
          <cell r="K3744" t="str">
            <v>probsi</v>
          </cell>
        </row>
        <row r="3745">
          <cell r="B3745" t="b">
            <v>1</v>
          </cell>
          <cell r="E3745" t="str">
            <v>Bosque</v>
          </cell>
          <cell r="H3745" t="str">
            <v>salud_oral</v>
          </cell>
          <cell r="J3745" t="str">
            <v>bueno</v>
          </cell>
          <cell r="K3745" t="str">
            <v>probsi</v>
          </cell>
        </row>
        <row r="3746">
          <cell r="B3746" t="b">
            <v>1</v>
          </cell>
          <cell r="E3746" t="str">
            <v>Bosque</v>
          </cell>
          <cell r="H3746" t="str">
            <v>laboratorio</v>
          </cell>
          <cell r="J3746" t="str">
            <v>bueno</v>
          </cell>
          <cell r="K3746" t="str">
            <v>probsi</v>
          </cell>
        </row>
        <row r="3747">
          <cell r="B3747" t="b">
            <v>1</v>
          </cell>
          <cell r="E3747" t="str">
            <v>Bosque</v>
          </cell>
          <cell r="H3747" t="str">
            <v>consulta_externa</v>
          </cell>
          <cell r="J3747" t="str">
            <v>bueno</v>
          </cell>
          <cell r="K3747" t="str">
            <v>probsi</v>
          </cell>
        </row>
        <row r="3748">
          <cell r="B3748" t="b">
            <v>1</v>
          </cell>
          <cell r="E3748" t="str">
            <v>Bosque</v>
          </cell>
          <cell r="H3748" t="str">
            <v>laboratorio</v>
          </cell>
          <cell r="J3748" t="str">
            <v>bueno</v>
          </cell>
          <cell r="K3748" t="str">
            <v>probsi</v>
          </cell>
        </row>
        <row r="3749">
          <cell r="B3749" t="b">
            <v>1</v>
          </cell>
          <cell r="E3749" t="str">
            <v>Bosque</v>
          </cell>
          <cell r="H3749" t="str">
            <v>laboratorio</v>
          </cell>
          <cell r="J3749" t="str">
            <v>bueno</v>
          </cell>
          <cell r="K3749" t="str">
            <v>probsi</v>
          </cell>
        </row>
        <row r="3750">
          <cell r="B3750" t="b">
            <v>1</v>
          </cell>
          <cell r="E3750" t="str">
            <v>Bosque</v>
          </cell>
          <cell r="H3750" t="str">
            <v>consulta_externa</v>
          </cell>
          <cell r="J3750" t="str">
            <v>bueno</v>
          </cell>
          <cell r="K3750" t="str">
            <v>probsi</v>
          </cell>
        </row>
        <row r="3751">
          <cell r="B3751" t="b">
            <v>1</v>
          </cell>
          <cell r="E3751" t="str">
            <v>Bosque</v>
          </cell>
          <cell r="H3751" t="str">
            <v>salud_oral</v>
          </cell>
          <cell r="J3751" t="str">
            <v>bueno</v>
          </cell>
          <cell r="K3751" t="str">
            <v>probsi</v>
          </cell>
        </row>
        <row r="3752">
          <cell r="B3752" t="b">
            <v>1</v>
          </cell>
          <cell r="E3752" t="str">
            <v>Bosque</v>
          </cell>
          <cell r="H3752" t="str">
            <v>laboratorio</v>
          </cell>
          <cell r="J3752" t="str">
            <v>bueno</v>
          </cell>
          <cell r="K3752" t="str">
            <v>probsi</v>
          </cell>
        </row>
        <row r="3753">
          <cell r="B3753" t="b">
            <v>1</v>
          </cell>
          <cell r="E3753" t="str">
            <v>Gaviotas</v>
          </cell>
          <cell r="H3753" t="str">
            <v>consulta_externa</v>
          </cell>
          <cell r="J3753" t="str">
            <v>bueno</v>
          </cell>
          <cell r="K3753" t="str">
            <v>defsi</v>
          </cell>
        </row>
        <row r="3754">
          <cell r="B3754" t="b">
            <v>1</v>
          </cell>
          <cell r="E3754" t="str">
            <v>Gaviotas</v>
          </cell>
          <cell r="H3754" t="str">
            <v>salud_oral</v>
          </cell>
          <cell r="J3754" t="str">
            <v>bueno</v>
          </cell>
          <cell r="K3754" t="str">
            <v>defsi</v>
          </cell>
        </row>
        <row r="3755">
          <cell r="B3755" t="b">
            <v>1</v>
          </cell>
          <cell r="E3755" t="str">
            <v>Gaviotas</v>
          </cell>
          <cell r="H3755" t="str">
            <v>laboratorio</v>
          </cell>
          <cell r="J3755" t="str">
            <v>bueno</v>
          </cell>
          <cell r="K3755" t="str">
            <v>defsi</v>
          </cell>
        </row>
        <row r="3756">
          <cell r="B3756" t="b">
            <v>1</v>
          </cell>
          <cell r="E3756" t="str">
            <v>Bosque</v>
          </cell>
          <cell r="H3756" t="str">
            <v>consulta_externa</v>
          </cell>
          <cell r="J3756" t="str">
            <v>bueno</v>
          </cell>
          <cell r="K3756" t="str">
            <v>probsi</v>
          </cell>
        </row>
        <row r="3757">
          <cell r="B3757" t="b">
            <v>1</v>
          </cell>
          <cell r="E3757" t="str">
            <v>Bosque</v>
          </cell>
          <cell r="H3757" t="str">
            <v>salud_oral</v>
          </cell>
          <cell r="J3757" t="str">
            <v>bueno</v>
          </cell>
          <cell r="K3757" t="str">
            <v>probsi</v>
          </cell>
        </row>
        <row r="3758">
          <cell r="B3758" t="b">
            <v>1</v>
          </cell>
          <cell r="E3758" t="str">
            <v>Bosque</v>
          </cell>
          <cell r="H3758" t="str">
            <v>laboratorio</v>
          </cell>
          <cell r="J3758" t="str">
            <v>bueno</v>
          </cell>
          <cell r="K3758" t="str">
            <v>probsi</v>
          </cell>
        </row>
        <row r="3759">
          <cell r="B3759" t="b">
            <v>1</v>
          </cell>
          <cell r="E3759" t="str">
            <v>Bosque</v>
          </cell>
          <cell r="H3759" t="str">
            <v>consulta_externa</v>
          </cell>
          <cell r="J3759" t="str">
            <v>bueno</v>
          </cell>
          <cell r="K3759" t="str">
            <v>probsi</v>
          </cell>
        </row>
        <row r="3760">
          <cell r="B3760" t="b">
            <v>1</v>
          </cell>
          <cell r="E3760" t="str">
            <v>Bosque</v>
          </cell>
          <cell r="H3760" t="str">
            <v>laboratorio</v>
          </cell>
          <cell r="J3760" t="str">
            <v>bueno</v>
          </cell>
          <cell r="K3760" t="str">
            <v>probsi</v>
          </cell>
        </row>
        <row r="3761">
          <cell r="B3761" t="b">
            <v>1</v>
          </cell>
          <cell r="E3761" t="str">
            <v>Cano de Oro</v>
          </cell>
          <cell r="H3761" t="str">
            <v>consulta_externa</v>
          </cell>
          <cell r="J3761" t="str">
            <v>muybueno</v>
          </cell>
          <cell r="K3761" t="str">
            <v>defsi</v>
          </cell>
        </row>
        <row r="3762">
          <cell r="B3762" t="b">
            <v>1</v>
          </cell>
          <cell r="E3762" t="str">
            <v>Cano de Oro</v>
          </cell>
          <cell r="H3762" t="str">
            <v>consulta_externa</v>
          </cell>
          <cell r="J3762" t="str">
            <v>muybueno</v>
          </cell>
          <cell r="K3762" t="str">
            <v>defsi</v>
          </cell>
        </row>
        <row r="3763">
          <cell r="B3763" t="b">
            <v>1</v>
          </cell>
          <cell r="E3763" t="str">
            <v>Cano de Oro</v>
          </cell>
          <cell r="H3763" t="str">
            <v>salud_oral</v>
          </cell>
          <cell r="J3763" t="str">
            <v>bueno</v>
          </cell>
          <cell r="K3763" t="str">
            <v>defsi</v>
          </cell>
        </row>
        <row r="3764">
          <cell r="B3764" t="b">
            <v>1</v>
          </cell>
          <cell r="E3764" t="str">
            <v>Cano de Oro</v>
          </cell>
          <cell r="H3764" t="str">
            <v>salud_oral</v>
          </cell>
          <cell r="J3764" t="str">
            <v>bueno</v>
          </cell>
          <cell r="K3764" t="str">
            <v>defsi</v>
          </cell>
        </row>
        <row r="3765">
          <cell r="B3765" t="b">
            <v>1</v>
          </cell>
          <cell r="E3765" t="str">
            <v>Cano de Oro</v>
          </cell>
          <cell r="H3765" t="str">
            <v>consulta_externa</v>
          </cell>
          <cell r="J3765" t="str">
            <v>bueno</v>
          </cell>
          <cell r="K3765" t="str">
            <v>defsi</v>
          </cell>
        </row>
        <row r="3766">
          <cell r="B3766" t="b">
            <v>1</v>
          </cell>
          <cell r="E3766" t="str">
            <v>Gaviotas</v>
          </cell>
          <cell r="H3766" t="str">
            <v>consulta_externa</v>
          </cell>
          <cell r="J3766" t="str">
            <v>bueno</v>
          </cell>
          <cell r="K3766" t="str">
            <v>defsi</v>
          </cell>
        </row>
        <row r="3767">
          <cell r="B3767" t="b">
            <v>1</v>
          </cell>
          <cell r="E3767" t="str">
            <v>Cano de Oro</v>
          </cell>
          <cell r="H3767" t="str">
            <v>consulta_externa</v>
          </cell>
          <cell r="J3767" t="str">
            <v>bueno</v>
          </cell>
          <cell r="K3767" t="str">
            <v>defsi</v>
          </cell>
        </row>
        <row r="3768">
          <cell r="B3768" t="b">
            <v>1</v>
          </cell>
          <cell r="E3768" t="str">
            <v>Gaviotas</v>
          </cell>
          <cell r="H3768" t="str">
            <v>salud_oral</v>
          </cell>
          <cell r="J3768" t="str">
            <v>bueno</v>
          </cell>
          <cell r="K3768" t="str">
            <v>defsi</v>
          </cell>
        </row>
        <row r="3769">
          <cell r="B3769" t="b">
            <v>1</v>
          </cell>
          <cell r="E3769" t="str">
            <v>Cano de Oro</v>
          </cell>
          <cell r="H3769" t="str">
            <v>consulta_externa</v>
          </cell>
          <cell r="J3769" t="str">
            <v>bueno</v>
          </cell>
          <cell r="K3769" t="str">
            <v>defsi</v>
          </cell>
        </row>
        <row r="3770">
          <cell r="B3770" t="b">
            <v>1</v>
          </cell>
          <cell r="E3770" t="str">
            <v>Cano de Oro</v>
          </cell>
          <cell r="H3770" t="str">
            <v>laboratorio</v>
          </cell>
          <cell r="J3770" t="str">
            <v>muybueno</v>
          </cell>
          <cell r="K3770" t="str">
            <v>defsi</v>
          </cell>
        </row>
        <row r="3771">
          <cell r="B3771" t="b">
            <v>1</v>
          </cell>
          <cell r="E3771" t="str">
            <v>Gaviotas</v>
          </cell>
          <cell r="H3771" t="str">
            <v>laboratorio</v>
          </cell>
          <cell r="J3771" t="str">
            <v>bueno</v>
          </cell>
          <cell r="K3771" t="str">
            <v>defsi</v>
          </cell>
        </row>
        <row r="3772">
          <cell r="B3772" t="b">
            <v>1</v>
          </cell>
          <cell r="E3772" t="str">
            <v>Gaviotas</v>
          </cell>
          <cell r="H3772" t="str">
            <v>consulta_externa</v>
          </cell>
          <cell r="J3772" t="str">
            <v>bueno</v>
          </cell>
          <cell r="K3772" t="str">
            <v>defsi</v>
          </cell>
        </row>
        <row r="3773">
          <cell r="B3773" t="b">
            <v>1</v>
          </cell>
          <cell r="E3773" t="str">
            <v>Gaviotas</v>
          </cell>
          <cell r="H3773" t="str">
            <v>salud_oral</v>
          </cell>
          <cell r="J3773" t="str">
            <v>bueno</v>
          </cell>
          <cell r="K3773" t="str">
            <v>defsi</v>
          </cell>
        </row>
        <row r="3774">
          <cell r="B3774" t="b">
            <v>1</v>
          </cell>
          <cell r="E3774" t="str">
            <v>Gaviotas</v>
          </cell>
          <cell r="H3774" t="str">
            <v>laboratorio</v>
          </cell>
          <cell r="J3774" t="str">
            <v>bueno</v>
          </cell>
          <cell r="K3774" t="str">
            <v>defsi</v>
          </cell>
        </row>
        <row r="3775">
          <cell r="B3775" t="b">
            <v>1</v>
          </cell>
          <cell r="E3775" t="str">
            <v>Isla Fuerte</v>
          </cell>
          <cell r="H3775" t="str">
            <v>consulta_externa</v>
          </cell>
          <cell r="J3775" t="str">
            <v>muybueno</v>
          </cell>
          <cell r="K3775" t="str">
            <v>defsi</v>
          </cell>
        </row>
        <row r="3776">
          <cell r="B3776" t="b">
            <v>1</v>
          </cell>
          <cell r="E3776" t="str">
            <v>Gaviotas</v>
          </cell>
          <cell r="H3776" t="str">
            <v>consulta_externa</v>
          </cell>
          <cell r="J3776" t="str">
            <v>bueno</v>
          </cell>
          <cell r="K3776" t="str">
            <v>defsi</v>
          </cell>
        </row>
        <row r="3777">
          <cell r="B3777" t="b">
            <v>1</v>
          </cell>
          <cell r="E3777" t="str">
            <v>Isla Fuerte</v>
          </cell>
          <cell r="H3777" t="str">
            <v>laboratorio</v>
          </cell>
          <cell r="J3777" t="str">
            <v>muybueno</v>
          </cell>
          <cell r="K3777" t="str">
            <v>defsi</v>
          </cell>
        </row>
        <row r="3778">
          <cell r="B3778" t="b">
            <v>1</v>
          </cell>
          <cell r="E3778" t="str">
            <v>Gaviotas</v>
          </cell>
          <cell r="H3778" t="str">
            <v>salud_oral</v>
          </cell>
          <cell r="J3778" t="str">
            <v>bueno</v>
          </cell>
          <cell r="K3778" t="str">
            <v>defsi</v>
          </cell>
        </row>
        <row r="3779">
          <cell r="B3779" t="b">
            <v>1</v>
          </cell>
          <cell r="E3779" t="str">
            <v>Gaviotas</v>
          </cell>
          <cell r="H3779" t="str">
            <v>laboratorio</v>
          </cell>
          <cell r="J3779" t="str">
            <v>bueno</v>
          </cell>
          <cell r="K3779" t="str">
            <v>defsi</v>
          </cell>
        </row>
        <row r="3780">
          <cell r="B3780" t="b">
            <v>1</v>
          </cell>
          <cell r="E3780" t="str">
            <v>Cano de Oro</v>
          </cell>
          <cell r="H3780" t="str">
            <v>consulta_externa</v>
          </cell>
          <cell r="J3780" t="str">
            <v>bueno</v>
          </cell>
          <cell r="K3780" t="str">
            <v>defsi</v>
          </cell>
        </row>
        <row r="3781">
          <cell r="B3781" t="b">
            <v>1</v>
          </cell>
          <cell r="E3781" t="str">
            <v>Cano de Oro</v>
          </cell>
          <cell r="H3781" t="str">
            <v>laboratorio</v>
          </cell>
          <cell r="J3781" t="str">
            <v>bueno</v>
          </cell>
          <cell r="K3781" t="str">
            <v>defsi</v>
          </cell>
        </row>
        <row r="3782">
          <cell r="B3782" t="b">
            <v>1</v>
          </cell>
          <cell r="E3782" t="str">
            <v>Bosque</v>
          </cell>
          <cell r="H3782" t="str">
            <v>consulta_externa</v>
          </cell>
          <cell r="J3782" t="str">
            <v>bueno</v>
          </cell>
          <cell r="K3782" t="str">
            <v>probsi</v>
          </cell>
        </row>
        <row r="3783">
          <cell r="B3783" t="b">
            <v>1</v>
          </cell>
          <cell r="E3783" t="str">
            <v>Bosque</v>
          </cell>
          <cell r="H3783" t="str">
            <v>laboratorio</v>
          </cell>
          <cell r="J3783" t="str">
            <v>bueno</v>
          </cell>
          <cell r="K3783" t="str">
            <v>probsi</v>
          </cell>
        </row>
        <row r="3784">
          <cell r="B3784" t="b">
            <v>1</v>
          </cell>
          <cell r="E3784" t="str">
            <v>Isla Fuerte</v>
          </cell>
          <cell r="H3784" t="str">
            <v>salud_oral</v>
          </cell>
          <cell r="J3784" t="str">
            <v>muybueno</v>
          </cell>
          <cell r="K3784" t="str">
            <v>defsi</v>
          </cell>
        </row>
        <row r="3785">
          <cell r="B3785" t="b">
            <v>1</v>
          </cell>
          <cell r="E3785" t="str">
            <v>Gaviotas</v>
          </cell>
          <cell r="H3785" t="str">
            <v>consulta_externa</v>
          </cell>
          <cell r="J3785" t="str">
            <v>bueno</v>
          </cell>
          <cell r="K3785" t="str">
            <v>defsi</v>
          </cell>
        </row>
        <row r="3786">
          <cell r="B3786" t="b">
            <v>1</v>
          </cell>
          <cell r="E3786" t="str">
            <v>Gaviotas</v>
          </cell>
          <cell r="H3786" t="str">
            <v>salud_oral</v>
          </cell>
          <cell r="J3786" t="str">
            <v>bueno</v>
          </cell>
          <cell r="K3786" t="str">
            <v>defsi</v>
          </cell>
        </row>
        <row r="3787">
          <cell r="B3787" t="b">
            <v>1</v>
          </cell>
          <cell r="E3787" t="str">
            <v>Isla Fuerte</v>
          </cell>
          <cell r="H3787" t="str">
            <v>consulta_externa</v>
          </cell>
          <cell r="J3787" t="str">
            <v>muybueno</v>
          </cell>
          <cell r="K3787" t="str">
            <v>defsi</v>
          </cell>
        </row>
        <row r="3788">
          <cell r="B3788" t="b">
            <v>1</v>
          </cell>
          <cell r="E3788" t="str">
            <v>Isla Fuerte</v>
          </cell>
          <cell r="H3788" t="str">
            <v>laboratorio</v>
          </cell>
          <cell r="J3788" t="str">
            <v>muybueno</v>
          </cell>
          <cell r="K3788" t="str">
            <v>defsi</v>
          </cell>
        </row>
        <row r="3789">
          <cell r="B3789" t="b">
            <v>1</v>
          </cell>
          <cell r="E3789" t="str">
            <v>Gaviotas</v>
          </cell>
          <cell r="H3789" t="str">
            <v>laboratorio</v>
          </cell>
          <cell r="J3789" t="str">
            <v>bueno</v>
          </cell>
          <cell r="K3789" t="str">
            <v>defsi</v>
          </cell>
        </row>
        <row r="3790">
          <cell r="B3790" t="b">
            <v>1</v>
          </cell>
          <cell r="E3790" t="str">
            <v>Gaviotas</v>
          </cell>
          <cell r="H3790" t="str">
            <v>consulta_externa</v>
          </cell>
          <cell r="J3790" t="str">
            <v>bueno</v>
          </cell>
          <cell r="K3790" t="str">
            <v>defsi</v>
          </cell>
        </row>
        <row r="3791">
          <cell r="B3791" t="b">
            <v>1</v>
          </cell>
          <cell r="E3791" t="str">
            <v>Isla Fuerte</v>
          </cell>
          <cell r="H3791" t="str">
            <v>consulta_externa</v>
          </cell>
          <cell r="J3791" t="str">
            <v>muybueno</v>
          </cell>
          <cell r="K3791" t="str">
            <v>defsi</v>
          </cell>
        </row>
        <row r="3792">
          <cell r="B3792" t="b">
            <v>1</v>
          </cell>
          <cell r="E3792" t="str">
            <v>Gaviotas</v>
          </cell>
          <cell r="H3792" t="str">
            <v>salud_oral</v>
          </cell>
          <cell r="J3792" t="str">
            <v>bueno</v>
          </cell>
          <cell r="K3792" t="str">
            <v>defsi</v>
          </cell>
        </row>
        <row r="3793">
          <cell r="B3793" t="b">
            <v>1</v>
          </cell>
          <cell r="E3793" t="str">
            <v>Gaviotas</v>
          </cell>
          <cell r="H3793" t="str">
            <v>laboratorio</v>
          </cell>
          <cell r="J3793" t="str">
            <v>bueno</v>
          </cell>
          <cell r="K3793" t="str">
            <v>defsi</v>
          </cell>
        </row>
        <row r="3794">
          <cell r="B3794" t="b">
            <v>1</v>
          </cell>
          <cell r="E3794" t="str">
            <v>Gaviotas</v>
          </cell>
          <cell r="H3794" t="str">
            <v>laboratorio</v>
          </cell>
          <cell r="J3794" t="str">
            <v>bueno</v>
          </cell>
          <cell r="K3794" t="str">
            <v>defsi</v>
          </cell>
        </row>
        <row r="3795">
          <cell r="B3795" t="b">
            <v>1</v>
          </cell>
          <cell r="E3795" t="str">
            <v>Gaviotas</v>
          </cell>
          <cell r="H3795" t="str">
            <v>salud_oral</v>
          </cell>
          <cell r="J3795" t="str">
            <v>bueno</v>
          </cell>
          <cell r="K3795" t="str">
            <v>defsi</v>
          </cell>
        </row>
        <row r="3796">
          <cell r="B3796" t="b">
            <v>1</v>
          </cell>
          <cell r="E3796" t="str">
            <v>Gaviotas</v>
          </cell>
          <cell r="H3796" t="str">
            <v>laboratorio</v>
          </cell>
          <cell r="J3796" t="str">
            <v>bueno</v>
          </cell>
          <cell r="K3796" t="str">
            <v>defsi</v>
          </cell>
        </row>
        <row r="3797">
          <cell r="B3797" t="b">
            <v>1</v>
          </cell>
          <cell r="E3797" t="str">
            <v>Isla Fuerte</v>
          </cell>
          <cell r="H3797" t="str">
            <v>consulta_externa</v>
          </cell>
          <cell r="J3797" t="str">
            <v>muybueno</v>
          </cell>
          <cell r="K3797" t="str">
            <v>defsi</v>
          </cell>
        </row>
        <row r="3798">
          <cell r="B3798" t="b">
            <v>1</v>
          </cell>
          <cell r="E3798" t="str">
            <v>Isla Fuerte</v>
          </cell>
          <cell r="H3798" t="str">
            <v>laboratorio</v>
          </cell>
          <cell r="J3798" t="str">
            <v>muybueno</v>
          </cell>
          <cell r="K3798" t="str">
            <v>defsi</v>
          </cell>
        </row>
        <row r="3799">
          <cell r="B3799" t="b">
            <v>1</v>
          </cell>
          <cell r="E3799" t="str">
            <v>Gaviotas</v>
          </cell>
          <cell r="H3799" t="str">
            <v>consulta_externa</v>
          </cell>
          <cell r="J3799" t="str">
            <v>bueno</v>
          </cell>
          <cell r="K3799" t="str">
            <v>defsi</v>
          </cell>
        </row>
        <row r="3800">
          <cell r="B3800" t="b">
            <v>1</v>
          </cell>
          <cell r="E3800" t="str">
            <v>Isla Fuerte</v>
          </cell>
          <cell r="H3800" t="str">
            <v>salud_oral</v>
          </cell>
          <cell r="J3800" t="str">
            <v>muybueno</v>
          </cell>
          <cell r="K3800" t="str">
            <v>defsi</v>
          </cell>
        </row>
        <row r="3801">
          <cell r="B3801" t="b">
            <v>1</v>
          </cell>
          <cell r="E3801" t="str">
            <v>Cano de Oro</v>
          </cell>
          <cell r="H3801" t="str">
            <v>consulta_externa</v>
          </cell>
          <cell r="J3801" t="str">
            <v>muybueno</v>
          </cell>
          <cell r="K3801" t="str">
            <v>defsi</v>
          </cell>
        </row>
        <row r="3802">
          <cell r="B3802" t="b">
            <v>1</v>
          </cell>
          <cell r="E3802" t="str">
            <v>Blasdelezo</v>
          </cell>
          <cell r="H3802" t="str">
            <v>consulta_externa</v>
          </cell>
          <cell r="J3802" t="str">
            <v>bueno</v>
          </cell>
          <cell r="K3802" t="str">
            <v>probsi</v>
          </cell>
        </row>
        <row r="3803">
          <cell r="B3803" t="b">
            <v>1</v>
          </cell>
          <cell r="E3803" t="str">
            <v>Gaviotas</v>
          </cell>
          <cell r="H3803" t="str">
            <v>consulta_externa</v>
          </cell>
          <cell r="J3803" t="str">
            <v>bueno</v>
          </cell>
          <cell r="K3803" t="str">
            <v>defsi</v>
          </cell>
        </row>
        <row r="3804">
          <cell r="B3804" t="b">
            <v>1</v>
          </cell>
          <cell r="E3804" t="str">
            <v>Cano de Oro</v>
          </cell>
          <cell r="H3804" t="str">
            <v>consulta_externa</v>
          </cell>
          <cell r="J3804" t="str">
            <v>muybueno</v>
          </cell>
          <cell r="K3804" t="str">
            <v>defsi</v>
          </cell>
        </row>
        <row r="3805">
          <cell r="B3805" t="b">
            <v>1</v>
          </cell>
          <cell r="E3805" t="str">
            <v>Cano de Oro</v>
          </cell>
          <cell r="H3805" t="str">
            <v>salud_oral</v>
          </cell>
          <cell r="J3805" t="str">
            <v>muybueno</v>
          </cell>
          <cell r="K3805" t="str">
            <v>defsi</v>
          </cell>
        </row>
        <row r="3806">
          <cell r="B3806" t="b">
            <v>1</v>
          </cell>
          <cell r="E3806" t="str">
            <v>Gaviotas</v>
          </cell>
          <cell r="H3806" t="str">
            <v>laboratorio</v>
          </cell>
          <cell r="J3806" t="str">
            <v>bueno</v>
          </cell>
          <cell r="K3806" t="str">
            <v>defsi</v>
          </cell>
        </row>
        <row r="3807">
          <cell r="B3807" t="b">
            <v>1</v>
          </cell>
          <cell r="E3807" t="str">
            <v>Cano de Oro</v>
          </cell>
          <cell r="H3807" t="str">
            <v>laboratorio</v>
          </cell>
          <cell r="J3807" t="str">
            <v>bueno</v>
          </cell>
          <cell r="K3807" t="str">
            <v>probsi</v>
          </cell>
        </row>
        <row r="3808">
          <cell r="B3808" t="b">
            <v>1</v>
          </cell>
          <cell r="E3808" t="str">
            <v>Cano de Oro</v>
          </cell>
          <cell r="H3808" t="str">
            <v>laboratorio</v>
          </cell>
          <cell r="J3808" t="str">
            <v>bueno</v>
          </cell>
          <cell r="K3808" t="str">
            <v>probsi</v>
          </cell>
        </row>
        <row r="3809">
          <cell r="B3809" t="b">
            <v>1</v>
          </cell>
          <cell r="E3809" t="str">
            <v>Blasdelezo</v>
          </cell>
          <cell r="H3809" t="str">
            <v>consulta_externa</v>
          </cell>
          <cell r="J3809" t="str">
            <v>bueno</v>
          </cell>
          <cell r="K3809" t="str">
            <v>probsi</v>
          </cell>
        </row>
        <row r="3810">
          <cell r="B3810" t="b">
            <v>1</v>
          </cell>
          <cell r="E3810" t="str">
            <v>Blasdelezo</v>
          </cell>
          <cell r="H3810" t="str">
            <v>salud_oral</v>
          </cell>
          <cell r="J3810" t="str">
            <v>bueno</v>
          </cell>
          <cell r="K3810" t="str">
            <v>probsi</v>
          </cell>
        </row>
        <row r="3811">
          <cell r="B3811" t="b">
            <v>1</v>
          </cell>
          <cell r="E3811" t="str">
            <v>Blasdelezo</v>
          </cell>
          <cell r="H3811" t="str">
            <v>laboratorio</v>
          </cell>
          <cell r="J3811" t="str">
            <v>bueno</v>
          </cell>
          <cell r="K3811" t="str">
            <v>probsi</v>
          </cell>
        </row>
        <row r="3812">
          <cell r="B3812" t="b">
            <v>1</v>
          </cell>
          <cell r="E3812" t="str">
            <v>Nuevo Porvenir</v>
          </cell>
          <cell r="H3812" t="str">
            <v>salud_oral</v>
          </cell>
          <cell r="J3812" t="str">
            <v>bueno</v>
          </cell>
          <cell r="K3812" t="str">
            <v>defsi</v>
          </cell>
        </row>
        <row r="3813">
          <cell r="B3813" t="b">
            <v>1</v>
          </cell>
          <cell r="E3813" t="str">
            <v>Nuevo Porvenir</v>
          </cell>
          <cell r="H3813" t="str">
            <v>salud_oral</v>
          </cell>
          <cell r="J3813" t="str">
            <v>bueno</v>
          </cell>
          <cell r="K3813" t="str">
            <v>defsi</v>
          </cell>
        </row>
        <row r="3814">
          <cell r="B3814" t="b">
            <v>1</v>
          </cell>
          <cell r="E3814" t="str">
            <v>Isla Fuerte</v>
          </cell>
          <cell r="H3814" t="str">
            <v>consulta_externa</v>
          </cell>
          <cell r="J3814" t="str">
            <v>muybueno</v>
          </cell>
          <cell r="K3814" t="str">
            <v>defsi</v>
          </cell>
        </row>
        <row r="3815">
          <cell r="B3815" t="b">
            <v>1</v>
          </cell>
          <cell r="E3815" t="str">
            <v>Isla Fuerte</v>
          </cell>
          <cell r="H3815" t="str">
            <v>laboratorio</v>
          </cell>
          <cell r="J3815" t="str">
            <v>muybueno</v>
          </cell>
          <cell r="K3815" t="str">
            <v>defsi</v>
          </cell>
        </row>
        <row r="3816">
          <cell r="B3816" t="b">
            <v>1</v>
          </cell>
          <cell r="E3816" t="str">
            <v>Nuevo Porvenir</v>
          </cell>
          <cell r="H3816" t="str">
            <v>laboratorio</v>
          </cell>
          <cell r="J3816" t="str">
            <v>bueno</v>
          </cell>
          <cell r="K3816" t="str">
            <v>defsi</v>
          </cell>
        </row>
        <row r="3817">
          <cell r="B3817" t="b">
            <v>1</v>
          </cell>
          <cell r="E3817" t="str">
            <v>Nuevo Porvenir</v>
          </cell>
          <cell r="H3817" t="str">
            <v>laboratorio</v>
          </cell>
          <cell r="J3817" t="str">
            <v>bueno</v>
          </cell>
          <cell r="K3817" t="str">
            <v>defsi</v>
          </cell>
        </row>
        <row r="3818">
          <cell r="B3818" t="b">
            <v>1</v>
          </cell>
          <cell r="E3818" t="str">
            <v>Nuevo Porvenir</v>
          </cell>
          <cell r="H3818" t="str">
            <v>laboratorio</v>
          </cell>
          <cell r="J3818" t="str">
            <v>bueno</v>
          </cell>
          <cell r="K3818" t="str">
            <v>defsi</v>
          </cell>
        </row>
        <row r="3819">
          <cell r="B3819" t="b">
            <v>1</v>
          </cell>
          <cell r="E3819" t="str">
            <v>Nuevo Porvenir</v>
          </cell>
          <cell r="H3819" t="str">
            <v>laboratorio</v>
          </cell>
          <cell r="J3819" t="str">
            <v>bueno</v>
          </cell>
          <cell r="K3819" t="str">
            <v>defsi</v>
          </cell>
        </row>
        <row r="3820">
          <cell r="B3820" t="b">
            <v>1</v>
          </cell>
          <cell r="E3820" t="str">
            <v>Nuevo Porvenir</v>
          </cell>
          <cell r="H3820" t="str">
            <v>laboratorio</v>
          </cell>
          <cell r="J3820" t="str">
            <v>bueno</v>
          </cell>
          <cell r="K3820" t="str">
            <v>defsi</v>
          </cell>
        </row>
        <row r="3821">
          <cell r="B3821" t="b">
            <v>1</v>
          </cell>
          <cell r="E3821" t="str">
            <v>Nuevo Porvenir</v>
          </cell>
          <cell r="H3821" t="str">
            <v>consulta_externa</v>
          </cell>
          <cell r="J3821" t="str">
            <v>bueno</v>
          </cell>
          <cell r="K3821" t="str">
            <v>defsi</v>
          </cell>
        </row>
        <row r="3822">
          <cell r="B3822" t="b">
            <v>1</v>
          </cell>
          <cell r="E3822" t="str">
            <v>Nuevo Porvenir</v>
          </cell>
          <cell r="H3822" t="str">
            <v>salud_oral</v>
          </cell>
          <cell r="J3822" t="str">
            <v>bueno</v>
          </cell>
          <cell r="K3822" t="str">
            <v>defsi</v>
          </cell>
        </row>
        <row r="3823">
          <cell r="B3823" t="b">
            <v>1</v>
          </cell>
          <cell r="E3823" t="str">
            <v>Nuevo Porvenir</v>
          </cell>
          <cell r="H3823" t="str">
            <v>salud_oral</v>
          </cell>
          <cell r="J3823" t="str">
            <v>muybueno</v>
          </cell>
          <cell r="K3823" t="str">
            <v>defsi</v>
          </cell>
        </row>
        <row r="3824">
          <cell r="B3824" t="b">
            <v>1</v>
          </cell>
          <cell r="E3824" t="str">
            <v>Nuevo Porvenir</v>
          </cell>
          <cell r="H3824" t="str">
            <v>salud_oral</v>
          </cell>
          <cell r="J3824" t="str">
            <v>bueno</v>
          </cell>
          <cell r="K3824" t="str">
            <v>defsi</v>
          </cell>
        </row>
        <row r="3825">
          <cell r="B3825" t="b">
            <v>1</v>
          </cell>
          <cell r="E3825" t="str">
            <v>Nuevo Porvenir</v>
          </cell>
          <cell r="H3825" t="str">
            <v>salud_oral</v>
          </cell>
          <cell r="J3825" t="str">
            <v>bueno</v>
          </cell>
          <cell r="K3825" t="str">
            <v>defsi</v>
          </cell>
        </row>
        <row r="3826">
          <cell r="B3826" t="b">
            <v>1</v>
          </cell>
          <cell r="E3826" t="str">
            <v>Nuevo Porvenir</v>
          </cell>
          <cell r="H3826" t="str">
            <v>salud_oral</v>
          </cell>
          <cell r="J3826" t="str">
            <v>bueno</v>
          </cell>
          <cell r="K3826" t="str">
            <v>defsi</v>
          </cell>
        </row>
        <row r="3827">
          <cell r="B3827" t="b">
            <v>1</v>
          </cell>
          <cell r="E3827" t="str">
            <v>Nuevo Porvenir</v>
          </cell>
          <cell r="H3827" t="str">
            <v>consulta_externa</v>
          </cell>
          <cell r="J3827" t="str">
            <v>bueno</v>
          </cell>
          <cell r="K3827" t="str">
            <v>defsi</v>
          </cell>
        </row>
        <row r="3828">
          <cell r="B3828" t="b">
            <v>1</v>
          </cell>
          <cell r="E3828" t="str">
            <v>Nuevo Porvenir</v>
          </cell>
          <cell r="H3828" t="str">
            <v>salud_oral</v>
          </cell>
          <cell r="J3828" t="str">
            <v>bueno</v>
          </cell>
          <cell r="K3828" t="str">
            <v>defsi</v>
          </cell>
        </row>
        <row r="3829">
          <cell r="B3829" t="b">
            <v>0</v>
          </cell>
          <cell r="E3829" t="str">
            <v>Nuevo Porvenir</v>
          </cell>
          <cell r="H3829" t="str">
            <v>salud_oral</v>
          </cell>
          <cell r="J3829" t="str">
            <v>regular</v>
          </cell>
          <cell r="K3829" t="str">
            <v>defsi</v>
          </cell>
        </row>
        <row r="3830">
          <cell r="B3830" t="b">
            <v>1</v>
          </cell>
          <cell r="E3830" t="str">
            <v>Nuevo Porvenir</v>
          </cell>
          <cell r="H3830" t="str">
            <v>salud_oral</v>
          </cell>
          <cell r="J3830" t="str">
            <v>bueno</v>
          </cell>
          <cell r="K3830" t="str">
            <v>defsi</v>
          </cell>
        </row>
        <row r="3831">
          <cell r="B3831" t="b">
            <v>1</v>
          </cell>
          <cell r="E3831" t="str">
            <v>Nuevo Porvenir</v>
          </cell>
          <cell r="H3831" t="str">
            <v>salud_oral</v>
          </cell>
          <cell r="J3831" t="str">
            <v>muybueno</v>
          </cell>
          <cell r="K3831" t="str">
            <v>defsi</v>
          </cell>
        </row>
        <row r="3832">
          <cell r="B3832" t="b">
            <v>1</v>
          </cell>
          <cell r="E3832" t="str">
            <v>Nuevo Porvenir</v>
          </cell>
          <cell r="H3832" t="str">
            <v>consulta_externa</v>
          </cell>
          <cell r="J3832" t="str">
            <v>bueno</v>
          </cell>
          <cell r="K3832" t="str">
            <v>defsi</v>
          </cell>
        </row>
        <row r="3833">
          <cell r="B3833" t="b">
            <v>1</v>
          </cell>
          <cell r="E3833" t="str">
            <v>Nuevo Porvenir</v>
          </cell>
          <cell r="H3833" t="str">
            <v>salud_oral</v>
          </cell>
          <cell r="J3833" t="str">
            <v>bueno</v>
          </cell>
          <cell r="K3833" t="str">
            <v>defsi</v>
          </cell>
        </row>
        <row r="3834">
          <cell r="B3834" t="b">
            <v>1</v>
          </cell>
          <cell r="E3834" t="str">
            <v>Nuevo Porvenir</v>
          </cell>
          <cell r="H3834" t="str">
            <v>salud_oral</v>
          </cell>
          <cell r="J3834" t="str">
            <v>bueno</v>
          </cell>
          <cell r="K3834" t="str">
            <v>defsi</v>
          </cell>
        </row>
        <row r="3835">
          <cell r="B3835" t="b">
            <v>0</v>
          </cell>
          <cell r="E3835" t="str">
            <v>Nuevo Porvenir</v>
          </cell>
          <cell r="H3835" t="str">
            <v>consulta_externa</v>
          </cell>
          <cell r="J3835" t="str">
            <v>regular</v>
          </cell>
          <cell r="K3835" t="str">
            <v>defsi</v>
          </cell>
        </row>
        <row r="3836">
          <cell r="B3836" t="b">
            <v>1</v>
          </cell>
          <cell r="E3836" t="str">
            <v>Nuevo Porvenir</v>
          </cell>
          <cell r="H3836" t="str">
            <v>salud_oral</v>
          </cell>
          <cell r="J3836" t="str">
            <v>bueno</v>
          </cell>
          <cell r="K3836" t="str">
            <v>defsi</v>
          </cell>
        </row>
        <row r="3837">
          <cell r="B3837" t="b">
            <v>1</v>
          </cell>
          <cell r="E3837" t="str">
            <v>Nuevo Porvenir</v>
          </cell>
          <cell r="H3837" t="str">
            <v>salud_oral</v>
          </cell>
          <cell r="J3837" t="str">
            <v>bueno</v>
          </cell>
          <cell r="K3837" t="str">
            <v>defsi</v>
          </cell>
        </row>
        <row r="3838">
          <cell r="B3838" t="b">
            <v>1</v>
          </cell>
          <cell r="E3838" t="str">
            <v>Nuevo Porvenir</v>
          </cell>
          <cell r="H3838" t="str">
            <v>salud_oral</v>
          </cell>
          <cell r="J3838" t="str">
            <v>bueno</v>
          </cell>
          <cell r="K3838" t="str">
            <v>defsi</v>
          </cell>
        </row>
        <row r="3839">
          <cell r="B3839" t="b">
            <v>1</v>
          </cell>
          <cell r="E3839" t="str">
            <v>Blasdelezo</v>
          </cell>
          <cell r="H3839" t="str">
            <v>urgencia</v>
          </cell>
          <cell r="J3839" t="str">
            <v>bueno</v>
          </cell>
          <cell r="K3839" t="str">
            <v>probsi</v>
          </cell>
        </row>
        <row r="3840">
          <cell r="B3840" t="b">
            <v>1</v>
          </cell>
          <cell r="E3840" t="str">
            <v>Blasdelezo</v>
          </cell>
          <cell r="H3840" t="str">
            <v>urgencia</v>
          </cell>
          <cell r="J3840" t="str">
            <v>bueno</v>
          </cell>
          <cell r="K3840" t="str">
            <v>probsi</v>
          </cell>
        </row>
        <row r="3841">
          <cell r="B3841" t="b">
            <v>1</v>
          </cell>
          <cell r="E3841" t="str">
            <v>Blasdelezo</v>
          </cell>
          <cell r="H3841" t="str">
            <v>urgencia</v>
          </cell>
          <cell r="J3841" t="str">
            <v>bueno</v>
          </cell>
          <cell r="K3841" t="str">
            <v>probsi</v>
          </cell>
        </row>
        <row r="3842">
          <cell r="B3842" t="b">
            <v>1</v>
          </cell>
          <cell r="E3842" t="str">
            <v>Blasdelezo</v>
          </cell>
          <cell r="H3842" t="str">
            <v>urgencia</v>
          </cell>
          <cell r="J3842" t="str">
            <v>bueno</v>
          </cell>
          <cell r="K3842" t="str">
            <v>probsi</v>
          </cell>
        </row>
        <row r="3843">
          <cell r="B3843" t="b">
            <v>1</v>
          </cell>
          <cell r="E3843" t="str">
            <v>Blasdelezo</v>
          </cell>
          <cell r="H3843" t="str">
            <v>urgencia</v>
          </cell>
          <cell r="J3843" t="str">
            <v>bueno</v>
          </cell>
          <cell r="K3843" t="str">
            <v>probsi</v>
          </cell>
        </row>
        <row r="3844">
          <cell r="B3844" t="b">
            <v>0</v>
          </cell>
          <cell r="E3844" t="str">
            <v>Blasdelezo</v>
          </cell>
          <cell r="H3844" t="str">
            <v>urgencia</v>
          </cell>
          <cell r="J3844" t="str">
            <v>regular</v>
          </cell>
          <cell r="K3844" t="str">
            <v>probsi</v>
          </cell>
        </row>
        <row r="3845">
          <cell r="B3845" t="b">
            <v>0</v>
          </cell>
          <cell r="E3845" t="str">
            <v>Blasdelezo</v>
          </cell>
          <cell r="H3845" t="str">
            <v>urgencia</v>
          </cell>
          <cell r="J3845" t="str">
            <v>regular</v>
          </cell>
          <cell r="K3845" t="str">
            <v>probsi</v>
          </cell>
        </row>
        <row r="3846">
          <cell r="B3846" t="b">
            <v>0</v>
          </cell>
          <cell r="E3846" t="str">
            <v>Blasdelezo</v>
          </cell>
          <cell r="H3846" t="str">
            <v>consulta_externa</v>
          </cell>
          <cell r="J3846" t="str">
            <v>regular</v>
          </cell>
          <cell r="K3846" t="str">
            <v>probsi</v>
          </cell>
        </row>
        <row r="3847">
          <cell r="B3847" t="b">
            <v>1</v>
          </cell>
          <cell r="E3847" t="str">
            <v>Cano de Oro</v>
          </cell>
          <cell r="H3847" t="str">
            <v>consulta_externa</v>
          </cell>
          <cell r="J3847" t="str">
            <v>bueno</v>
          </cell>
          <cell r="K3847" t="str">
            <v>probsi</v>
          </cell>
        </row>
        <row r="3848">
          <cell r="B3848" t="b">
            <v>1</v>
          </cell>
          <cell r="E3848" t="str">
            <v>Baru</v>
          </cell>
          <cell r="H3848" t="str">
            <v>consulta_externa</v>
          </cell>
          <cell r="J3848" t="str">
            <v>muybueno</v>
          </cell>
          <cell r="K3848" t="str">
            <v>defsi</v>
          </cell>
        </row>
        <row r="3849">
          <cell r="B3849" t="b">
            <v>1</v>
          </cell>
          <cell r="E3849" t="str">
            <v>Blasdelezo</v>
          </cell>
          <cell r="H3849" t="str">
            <v>consulta_externa</v>
          </cell>
          <cell r="J3849" t="str">
            <v>bueno</v>
          </cell>
          <cell r="K3849" t="str">
            <v>probsi</v>
          </cell>
        </row>
        <row r="3850">
          <cell r="B3850" t="b">
            <v>1</v>
          </cell>
          <cell r="E3850" t="str">
            <v>Baru</v>
          </cell>
          <cell r="H3850" t="str">
            <v>laboratorio</v>
          </cell>
          <cell r="J3850" t="str">
            <v>muybueno</v>
          </cell>
          <cell r="K3850" t="str">
            <v>defsi</v>
          </cell>
        </row>
        <row r="3851">
          <cell r="B3851" t="b">
            <v>1</v>
          </cell>
          <cell r="E3851" t="str">
            <v>Cano de Oro</v>
          </cell>
          <cell r="H3851" t="str">
            <v>salud_oral</v>
          </cell>
          <cell r="J3851" t="str">
            <v>bueno</v>
          </cell>
          <cell r="K3851" t="str">
            <v>probsi</v>
          </cell>
        </row>
        <row r="3852">
          <cell r="B3852" t="b">
            <v>1</v>
          </cell>
          <cell r="E3852" t="str">
            <v>Cano de Oro</v>
          </cell>
          <cell r="H3852" t="str">
            <v>laboratorio</v>
          </cell>
          <cell r="J3852" t="str">
            <v>bueno</v>
          </cell>
          <cell r="K3852" t="str">
            <v>probsi</v>
          </cell>
        </row>
        <row r="3853">
          <cell r="B3853" t="b">
            <v>1</v>
          </cell>
          <cell r="E3853" t="str">
            <v>Nuevo Porvenir</v>
          </cell>
          <cell r="H3853" t="str">
            <v>consulta_externa</v>
          </cell>
          <cell r="J3853" t="str">
            <v>bueno</v>
          </cell>
          <cell r="K3853" t="str">
            <v>defsi</v>
          </cell>
        </row>
        <row r="3854">
          <cell r="B3854" t="b">
            <v>1</v>
          </cell>
          <cell r="E3854" t="str">
            <v>Nuevo Porvenir</v>
          </cell>
          <cell r="H3854" t="str">
            <v>salud_oral</v>
          </cell>
          <cell r="J3854" t="str">
            <v>bueno</v>
          </cell>
          <cell r="K3854" t="str">
            <v>defsi</v>
          </cell>
        </row>
        <row r="3855">
          <cell r="B3855" t="b">
            <v>1</v>
          </cell>
          <cell r="E3855" t="str">
            <v>Nuevo Porvenir</v>
          </cell>
          <cell r="H3855" t="str">
            <v>salud_oral</v>
          </cell>
          <cell r="J3855" t="str">
            <v>bueno</v>
          </cell>
          <cell r="K3855" t="str">
            <v>defsi</v>
          </cell>
        </row>
        <row r="3856">
          <cell r="B3856" t="b">
            <v>1</v>
          </cell>
          <cell r="E3856" t="str">
            <v>Blasdelezo</v>
          </cell>
          <cell r="H3856" t="str">
            <v>urgencia</v>
          </cell>
          <cell r="J3856" t="str">
            <v>muybueno</v>
          </cell>
          <cell r="K3856" t="str">
            <v>probsi</v>
          </cell>
        </row>
        <row r="3857">
          <cell r="B3857" t="b">
            <v>1</v>
          </cell>
          <cell r="E3857" t="str">
            <v>Baru</v>
          </cell>
          <cell r="H3857" t="str">
            <v>consulta_externa</v>
          </cell>
          <cell r="J3857" t="str">
            <v>muybueno</v>
          </cell>
          <cell r="K3857" t="str">
            <v>defsi</v>
          </cell>
        </row>
        <row r="3858">
          <cell r="B3858" t="b">
            <v>1</v>
          </cell>
          <cell r="E3858" t="str">
            <v>Candelaria</v>
          </cell>
          <cell r="H3858" t="str">
            <v>electros</v>
          </cell>
          <cell r="J3858" t="str">
            <v>bueno</v>
          </cell>
          <cell r="K3858" t="str">
            <v>defsi</v>
          </cell>
        </row>
        <row r="3859">
          <cell r="B3859" t="b">
            <v>1</v>
          </cell>
          <cell r="E3859" t="str">
            <v>Candelaria</v>
          </cell>
          <cell r="H3859" t="str">
            <v>electros</v>
          </cell>
          <cell r="J3859" t="str">
            <v>bueno</v>
          </cell>
          <cell r="K3859" t="str">
            <v>defsi</v>
          </cell>
        </row>
        <row r="3860">
          <cell r="B3860" t="b">
            <v>1</v>
          </cell>
          <cell r="E3860" t="str">
            <v>Candelaria</v>
          </cell>
          <cell r="H3860" t="str">
            <v>electros</v>
          </cell>
          <cell r="J3860" t="str">
            <v>bueno</v>
          </cell>
          <cell r="K3860" t="str">
            <v>defsi</v>
          </cell>
        </row>
        <row r="3861">
          <cell r="B3861" t="b">
            <v>1</v>
          </cell>
          <cell r="E3861" t="str">
            <v>Candelaria</v>
          </cell>
          <cell r="H3861" t="str">
            <v>electros</v>
          </cell>
          <cell r="J3861" t="str">
            <v>bueno</v>
          </cell>
          <cell r="K3861" t="str">
            <v>defsi</v>
          </cell>
        </row>
        <row r="3862">
          <cell r="B3862" t="b">
            <v>1</v>
          </cell>
          <cell r="E3862" t="str">
            <v>Gaviotas</v>
          </cell>
          <cell r="H3862" t="str">
            <v>consulta_externa</v>
          </cell>
          <cell r="J3862" t="str">
            <v>bueno</v>
          </cell>
          <cell r="K3862" t="str">
            <v>defsi</v>
          </cell>
        </row>
        <row r="3863">
          <cell r="B3863" t="b">
            <v>1</v>
          </cell>
          <cell r="E3863" t="str">
            <v>Gaviotas</v>
          </cell>
          <cell r="H3863" t="str">
            <v>salud_oral</v>
          </cell>
          <cell r="J3863" t="str">
            <v>bueno</v>
          </cell>
          <cell r="K3863" t="str">
            <v>defsi</v>
          </cell>
        </row>
        <row r="3864">
          <cell r="B3864" t="b">
            <v>1</v>
          </cell>
          <cell r="E3864" t="str">
            <v>Gaviotas</v>
          </cell>
          <cell r="H3864" t="str">
            <v>laboratorio</v>
          </cell>
          <cell r="J3864" t="str">
            <v>bueno</v>
          </cell>
          <cell r="K3864" t="str">
            <v>defsi</v>
          </cell>
        </row>
        <row r="3865">
          <cell r="B3865" t="b">
            <v>0</v>
          </cell>
          <cell r="E3865" t="str">
            <v>Blasdelezo</v>
          </cell>
          <cell r="H3865" t="str">
            <v>consulta_externa</v>
          </cell>
          <cell r="J3865" t="str">
            <v>regular</v>
          </cell>
          <cell r="K3865" t="str">
            <v>probsi</v>
          </cell>
        </row>
        <row r="3866">
          <cell r="B3866" t="b">
            <v>0</v>
          </cell>
          <cell r="E3866" t="str">
            <v>Blasdelezo</v>
          </cell>
          <cell r="H3866" t="str">
            <v>consulta_externa</v>
          </cell>
          <cell r="J3866" t="str">
            <v>regular</v>
          </cell>
          <cell r="K3866" t="str">
            <v>probsi</v>
          </cell>
        </row>
        <row r="3867">
          <cell r="B3867" t="b">
            <v>0</v>
          </cell>
          <cell r="E3867" t="str">
            <v>Blasdelezo</v>
          </cell>
          <cell r="H3867" t="str">
            <v>urgencia</v>
          </cell>
          <cell r="J3867" t="str">
            <v>malo</v>
          </cell>
          <cell r="K3867" t="str">
            <v>probno</v>
          </cell>
        </row>
        <row r="3868">
          <cell r="B3868" t="b">
            <v>1</v>
          </cell>
          <cell r="E3868" t="str">
            <v>Blasdelezo</v>
          </cell>
          <cell r="H3868" t="str">
            <v>consulta_externa</v>
          </cell>
          <cell r="J3868" t="str">
            <v>bueno</v>
          </cell>
          <cell r="K3868" t="str">
            <v>probsi</v>
          </cell>
        </row>
        <row r="3869">
          <cell r="B3869" t="b">
            <v>1</v>
          </cell>
          <cell r="E3869" t="str">
            <v>Blasdelezo</v>
          </cell>
          <cell r="H3869" t="str">
            <v>salud_oral</v>
          </cell>
          <cell r="J3869" t="str">
            <v>bueno</v>
          </cell>
          <cell r="K3869" t="str">
            <v>probsi</v>
          </cell>
        </row>
        <row r="3870">
          <cell r="B3870" t="b">
            <v>0</v>
          </cell>
          <cell r="E3870" t="str">
            <v>Blasdelezo</v>
          </cell>
          <cell r="H3870" t="str">
            <v>laboratorio</v>
          </cell>
          <cell r="J3870" t="str">
            <v>regular</v>
          </cell>
          <cell r="K3870" t="str">
            <v>probsi</v>
          </cell>
        </row>
        <row r="3871">
          <cell r="B3871" t="b">
            <v>1</v>
          </cell>
          <cell r="E3871" t="str">
            <v>Blasdelezo</v>
          </cell>
          <cell r="H3871" t="str">
            <v>consulta_externa</v>
          </cell>
          <cell r="J3871" t="str">
            <v>bueno</v>
          </cell>
          <cell r="K3871" t="str">
            <v>probsi</v>
          </cell>
        </row>
        <row r="3872">
          <cell r="B3872" t="b">
            <v>1</v>
          </cell>
          <cell r="E3872" t="str">
            <v>Blasdelezo</v>
          </cell>
          <cell r="H3872" t="str">
            <v>salud_oral</v>
          </cell>
          <cell r="J3872" t="str">
            <v>bueno</v>
          </cell>
          <cell r="K3872" t="str">
            <v>probsi</v>
          </cell>
        </row>
        <row r="3873">
          <cell r="B3873" t="b">
            <v>1</v>
          </cell>
          <cell r="E3873" t="str">
            <v>Blasdelezo</v>
          </cell>
          <cell r="H3873" t="str">
            <v>laboratorio</v>
          </cell>
          <cell r="J3873" t="str">
            <v>bueno</v>
          </cell>
          <cell r="K3873" t="str">
            <v>probsi</v>
          </cell>
        </row>
        <row r="3874">
          <cell r="B3874" t="b">
            <v>0</v>
          </cell>
          <cell r="E3874" t="str">
            <v>Blasdelezo</v>
          </cell>
          <cell r="H3874" t="str">
            <v>urgencia</v>
          </cell>
          <cell r="J3874" t="str">
            <v>regular</v>
          </cell>
          <cell r="K3874" t="str">
            <v>probno</v>
          </cell>
        </row>
        <row r="3875">
          <cell r="B3875" t="b">
            <v>0</v>
          </cell>
          <cell r="E3875" t="str">
            <v>Blasdelezo</v>
          </cell>
          <cell r="H3875" t="str">
            <v>consulta_externa</v>
          </cell>
          <cell r="J3875" t="str">
            <v>regular</v>
          </cell>
          <cell r="K3875" t="str">
            <v>probsi</v>
          </cell>
        </row>
        <row r="3876">
          <cell r="B3876" t="b">
            <v>0</v>
          </cell>
          <cell r="E3876" t="str">
            <v>Blasdelezo</v>
          </cell>
          <cell r="H3876" t="str">
            <v>consulta_externa</v>
          </cell>
          <cell r="J3876" t="str">
            <v>regular</v>
          </cell>
          <cell r="K3876" t="str">
            <v>probsi</v>
          </cell>
        </row>
        <row r="3877">
          <cell r="B3877" t="b">
            <v>0</v>
          </cell>
          <cell r="E3877" t="str">
            <v>Blasdelezo</v>
          </cell>
          <cell r="H3877" t="str">
            <v>salud_oral</v>
          </cell>
          <cell r="J3877" t="str">
            <v>malo</v>
          </cell>
          <cell r="K3877" t="str">
            <v>probno</v>
          </cell>
        </row>
        <row r="3878">
          <cell r="B3878" t="b">
            <v>0</v>
          </cell>
          <cell r="E3878" t="str">
            <v>Blasdelezo</v>
          </cell>
          <cell r="H3878" t="str">
            <v>laboratorio</v>
          </cell>
          <cell r="J3878" t="str">
            <v>regular</v>
          </cell>
          <cell r="K3878" t="str">
            <v>probsi</v>
          </cell>
        </row>
        <row r="3879">
          <cell r="B3879" t="b">
            <v>1</v>
          </cell>
          <cell r="E3879" t="str">
            <v>Blasdelezo</v>
          </cell>
          <cell r="H3879" t="str">
            <v>consulta_externa</v>
          </cell>
          <cell r="J3879" t="str">
            <v>bueno</v>
          </cell>
          <cell r="K3879" t="str">
            <v>probsi</v>
          </cell>
        </row>
        <row r="3880">
          <cell r="B3880" t="b">
            <v>1</v>
          </cell>
          <cell r="E3880" t="str">
            <v>Blasdelezo</v>
          </cell>
          <cell r="H3880" t="str">
            <v>salud_oral</v>
          </cell>
          <cell r="J3880" t="str">
            <v>bueno</v>
          </cell>
          <cell r="K3880" t="str">
            <v>probsi</v>
          </cell>
        </row>
        <row r="3881">
          <cell r="B3881" t="b">
            <v>1</v>
          </cell>
          <cell r="E3881" t="str">
            <v>Blasdelezo</v>
          </cell>
          <cell r="H3881" t="str">
            <v>laboratorio</v>
          </cell>
          <cell r="J3881" t="str">
            <v>bueno</v>
          </cell>
          <cell r="K3881" t="str">
            <v>probsi</v>
          </cell>
        </row>
        <row r="3882">
          <cell r="B3882" t="b">
            <v>1</v>
          </cell>
          <cell r="E3882" t="str">
            <v>Blasdelezo</v>
          </cell>
          <cell r="H3882" t="str">
            <v>laboratorio</v>
          </cell>
          <cell r="J3882" t="str">
            <v>bueno</v>
          </cell>
          <cell r="K3882" t="str">
            <v>probsi</v>
          </cell>
        </row>
        <row r="3883">
          <cell r="B3883" t="b">
            <v>1</v>
          </cell>
          <cell r="E3883" t="str">
            <v>Blasdelezo</v>
          </cell>
          <cell r="H3883" t="str">
            <v>consulta_externa</v>
          </cell>
          <cell r="J3883" t="str">
            <v>bueno</v>
          </cell>
          <cell r="K3883" t="str">
            <v>probsi</v>
          </cell>
        </row>
        <row r="3884">
          <cell r="B3884" t="b">
            <v>1</v>
          </cell>
          <cell r="E3884" t="str">
            <v>Blasdelezo</v>
          </cell>
          <cell r="H3884" t="str">
            <v>salud_oral</v>
          </cell>
          <cell r="J3884" t="str">
            <v>bueno</v>
          </cell>
          <cell r="K3884" t="str">
            <v>probsi</v>
          </cell>
        </row>
        <row r="3885">
          <cell r="B3885" t="b">
            <v>1</v>
          </cell>
          <cell r="E3885" t="str">
            <v>Blasdelezo</v>
          </cell>
          <cell r="H3885" t="str">
            <v>urgencia</v>
          </cell>
          <cell r="J3885" t="str">
            <v>bueno</v>
          </cell>
          <cell r="K3885" t="str">
            <v>probsi</v>
          </cell>
        </row>
        <row r="3886">
          <cell r="B3886" t="b">
            <v>1</v>
          </cell>
          <cell r="E3886" t="str">
            <v>Cano de Oro</v>
          </cell>
          <cell r="H3886" t="str">
            <v>laboratorio</v>
          </cell>
          <cell r="J3886" t="str">
            <v>bueno</v>
          </cell>
          <cell r="K3886" t="str">
            <v>defsi</v>
          </cell>
        </row>
        <row r="3887">
          <cell r="B3887" t="b">
            <v>1</v>
          </cell>
          <cell r="E3887" t="str">
            <v>Cano de Oro</v>
          </cell>
          <cell r="H3887" t="str">
            <v>laboratorio</v>
          </cell>
          <cell r="J3887" t="str">
            <v>bueno</v>
          </cell>
          <cell r="K3887" t="str">
            <v>defsi</v>
          </cell>
        </row>
        <row r="3888">
          <cell r="B3888" t="b">
            <v>1</v>
          </cell>
          <cell r="E3888" t="str">
            <v>Cano de Oro</v>
          </cell>
          <cell r="H3888" t="str">
            <v>laboratorio</v>
          </cell>
          <cell r="J3888" t="str">
            <v>bueno</v>
          </cell>
          <cell r="K3888" t="str">
            <v>defsi</v>
          </cell>
        </row>
        <row r="3889">
          <cell r="B3889" t="b">
            <v>1</v>
          </cell>
          <cell r="E3889" t="str">
            <v>Cano de Oro</v>
          </cell>
          <cell r="H3889" t="str">
            <v>laboratorio</v>
          </cell>
          <cell r="J3889" t="str">
            <v>bueno</v>
          </cell>
          <cell r="K3889" t="str">
            <v>defsi</v>
          </cell>
        </row>
        <row r="3890">
          <cell r="B3890" t="b">
            <v>1</v>
          </cell>
          <cell r="E3890" t="str">
            <v>Cano de Oro</v>
          </cell>
          <cell r="H3890" t="str">
            <v>laboratorio</v>
          </cell>
          <cell r="J3890" t="str">
            <v>bueno</v>
          </cell>
          <cell r="K3890" t="str">
            <v>defsi</v>
          </cell>
        </row>
        <row r="3891">
          <cell r="B3891" t="b">
            <v>1</v>
          </cell>
          <cell r="E3891" t="str">
            <v>Cano de Oro</v>
          </cell>
          <cell r="H3891" t="str">
            <v>laboratorio</v>
          </cell>
          <cell r="J3891" t="str">
            <v>bueno</v>
          </cell>
          <cell r="K3891" t="str">
            <v>defsi</v>
          </cell>
        </row>
        <row r="3892">
          <cell r="B3892" t="b">
            <v>1</v>
          </cell>
          <cell r="E3892" t="str">
            <v>Cano de Oro</v>
          </cell>
          <cell r="H3892" t="str">
            <v>consulta_externa</v>
          </cell>
          <cell r="J3892" t="str">
            <v>bueno</v>
          </cell>
          <cell r="K3892" t="str">
            <v>defsi</v>
          </cell>
        </row>
        <row r="3893">
          <cell r="B3893" t="b">
            <v>1</v>
          </cell>
          <cell r="E3893" t="str">
            <v>Cano de Oro</v>
          </cell>
          <cell r="H3893" t="str">
            <v>consulta_externa</v>
          </cell>
          <cell r="J3893" t="str">
            <v>bueno</v>
          </cell>
          <cell r="K3893" t="str">
            <v>defsi</v>
          </cell>
        </row>
        <row r="3894">
          <cell r="B3894" t="b">
            <v>1</v>
          </cell>
          <cell r="E3894" t="str">
            <v>Cano de Oro</v>
          </cell>
          <cell r="H3894" t="str">
            <v>salud_oral</v>
          </cell>
          <cell r="J3894" t="str">
            <v>bueno</v>
          </cell>
          <cell r="K3894" t="str">
            <v>defsi</v>
          </cell>
        </row>
        <row r="3895">
          <cell r="B3895" t="b">
            <v>1</v>
          </cell>
          <cell r="E3895" t="str">
            <v>Cano de Oro</v>
          </cell>
          <cell r="H3895" t="str">
            <v>salud_oral</v>
          </cell>
          <cell r="J3895" t="str">
            <v>bueno</v>
          </cell>
          <cell r="K3895" t="str">
            <v>defsi</v>
          </cell>
        </row>
        <row r="3896">
          <cell r="B3896" t="b">
            <v>1</v>
          </cell>
          <cell r="E3896" t="str">
            <v>Baru</v>
          </cell>
          <cell r="H3896" t="str">
            <v>consulta_externa</v>
          </cell>
          <cell r="J3896" t="str">
            <v>muybueno</v>
          </cell>
          <cell r="K3896" t="str">
            <v>defsi</v>
          </cell>
        </row>
        <row r="3897">
          <cell r="B3897" t="b">
            <v>1</v>
          </cell>
          <cell r="E3897" t="str">
            <v>Cano de Oro</v>
          </cell>
          <cell r="H3897" t="str">
            <v>salud_oral</v>
          </cell>
          <cell r="J3897" t="str">
            <v>muybueno</v>
          </cell>
          <cell r="K3897" t="str">
            <v>defsi</v>
          </cell>
        </row>
        <row r="3898">
          <cell r="B3898" t="b">
            <v>1</v>
          </cell>
          <cell r="E3898" t="str">
            <v>Cano de Oro</v>
          </cell>
          <cell r="H3898" t="str">
            <v>salud_oral</v>
          </cell>
          <cell r="J3898" t="str">
            <v>muybueno</v>
          </cell>
          <cell r="K3898" t="str">
            <v>defsi</v>
          </cell>
        </row>
        <row r="3899">
          <cell r="B3899" t="b">
            <v>1</v>
          </cell>
          <cell r="E3899" t="str">
            <v>Cano de Oro</v>
          </cell>
          <cell r="H3899" t="str">
            <v>consulta_externa</v>
          </cell>
          <cell r="J3899" t="str">
            <v>muybueno</v>
          </cell>
          <cell r="K3899" t="str">
            <v>defsi</v>
          </cell>
        </row>
        <row r="3900">
          <cell r="B3900" t="b">
            <v>1</v>
          </cell>
          <cell r="E3900" t="str">
            <v>Cano de Oro</v>
          </cell>
          <cell r="H3900" t="str">
            <v>salud_oral</v>
          </cell>
          <cell r="J3900" t="str">
            <v>bueno</v>
          </cell>
          <cell r="K3900" t="str">
            <v>defsi</v>
          </cell>
        </row>
        <row r="3901">
          <cell r="B3901" t="b">
            <v>1</v>
          </cell>
          <cell r="E3901" t="str">
            <v>Cano de Oro</v>
          </cell>
          <cell r="H3901" t="str">
            <v>salud_oral</v>
          </cell>
          <cell r="J3901" t="str">
            <v>bueno</v>
          </cell>
          <cell r="K3901" t="str">
            <v>defsi</v>
          </cell>
        </row>
        <row r="3902">
          <cell r="B3902" t="b">
            <v>1</v>
          </cell>
          <cell r="E3902" t="str">
            <v>Cano de Oro</v>
          </cell>
          <cell r="H3902" t="str">
            <v>consulta_externa</v>
          </cell>
          <cell r="J3902" t="str">
            <v>bueno</v>
          </cell>
          <cell r="K3902" t="str">
            <v>defsi</v>
          </cell>
        </row>
        <row r="3903">
          <cell r="B3903" t="b">
            <v>1</v>
          </cell>
          <cell r="E3903" t="str">
            <v>Cano de Oro</v>
          </cell>
          <cell r="H3903" t="str">
            <v>salud_oral</v>
          </cell>
          <cell r="J3903" t="str">
            <v>bueno</v>
          </cell>
          <cell r="K3903" t="str">
            <v>defsi</v>
          </cell>
        </row>
        <row r="3904">
          <cell r="B3904" t="b">
            <v>0</v>
          </cell>
          <cell r="E3904" t="str">
            <v>Blasdelezo</v>
          </cell>
          <cell r="H3904" t="str">
            <v>salud_oral</v>
          </cell>
          <cell r="J3904" t="str">
            <v>regular</v>
          </cell>
          <cell r="K3904" t="str">
            <v>probsi</v>
          </cell>
        </row>
        <row r="3905">
          <cell r="B3905" t="b">
            <v>0</v>
          </cell>
          <cell r="E3905" t="str">
            <v>Blasdelezo</v>
          </cell>
          <cell r="H3905" t="str">
            <v>salud_oral</v>
          </cell>
          <cell r="J3905" t="str">
            <v>regular</v>
          </cell>
          <cell r="K3905" t="str">
            <v>probsi</v>
          </cell>
        </row>
        <row r="3906">
          <cell r="B3906" t="b">
            <v>1</v>
          </cell>
          <cell r="E3906" t="str">
            <v>Blasdelezo</v>
          </cell>
          <cell r="H3906" t="str">
            <v>salud_oral</v>
          </cell>
          <cell r="J3906" t="str">
            <v>bueno</v>
          </cell>
          <cell r="K3906" t="str">
            <v>probsi</v>
          </cell>
        </row>
        <row r="3907">
          <cell r="B3907" t="b">
            <v>1</v>
          </cell>
          <cell r="E3907" t="str">
            <v>Blasdelezo</v>
          </cell>
          <cell r="H3907" t="str">
            <v>salud_oral</v>
          </cell>
          <cell r="J3907" t="str">
            <v>bueno</v>
          </cell>
          <cell r="K3907" t="str">
            <v>probsi</v>
          </cell>
        </row>
        <row r="3908">
          <cell r="B3908" t="b">
            <v>1</v>
          </cell>
          <cell r="E3908" t="str">
            <v>Blasdelezo</v>
          </cell>
          <cell r="H3908" t="str">
            <v>salud_oral</v>
          </cell>
          <cell r="J3908" t="str">
            <v>bueno</v>
          </cell>
          <cell r="K3908" t="str">
            <v>probsi</v>
          </cell>
        </row>
        <row r="3909">
          <cell r="B3909" t="b">
            <v>1</v>
          </cell>
          <cell r="E3909" t="str">
            <v>Blasdelezo</v>
          </cell>
          <cell r="H3909" t="str">
            <v>laboratorio</v>
          </cell>
          <cell r="J3909" t="str">
            <v>bueno</v>
          </cell>
          <cell r="K3909" t="str">
            <v>probsi</v>
          </cell>
        </row>
        <row r="3910">
          <cell r="B3910" t="b">
            <v>1</v>
          </cell>
          <cell r="E3910" t="str">
            <v>Blasdelezo</v>
          </cell>
          <cell r="H3910" t="str">
            <v>laboratorio</v>
          </cell>
          <cell r="J3910" t="str">
            <v>bueno</v>
          </cell>
          <cell r="K3910" t="str">
            <v>probsi</v>
          </cell>
        </row>
        <row r="3911">
          <cell r="B3911" t="b">
            <v>0</v>
          </cell>
          <cell r="E3911" t="str">
            <v>Blasdelezo</v>
          </cell>
          <cell r="H3911" t="str">
            <v>laboratorio</v>
          </cell>
          <cell r="J3911" t="str">
            <v>regular</v>
          </cell>
          <cell r="K3911" t="str">
            <v>probno</v>
          </cell>
        </row>
        <row r="3912">
          <cell r="B3912" t="b">
            <v>1</v>
          </cell>
          <cell r="E3912" t="str">
            <v>Blasdelezo</v>
          </cell>
          <cell r="H3912" t="str">
            <v>laboratorio</v>
          </cell>
          <cell r="J3912" t="str">
            <v>bueno</v>
          </cell>
          <cell r="K3912" t="str">
            <v>probsi</v>
          </cell>
        </row>
        <row r="3913">
          <cell r="B3913" t="b">
            <v>1</v>
          </cell>
          <cell r="E3913" t="str">
            <v>Gaviotas</v>
          </cell>
          <cell r="H3913" t="str">
            <v>consulta_externa</v>
          </cell>
          <cell r="J3913" t="str">
            <v>bueno</v>
          </cell>
          <cell r="K3913" t="str">
            <v>defsi</v>
          </cell>
        </row>
        <row r="3914">
          <cell r="B3914" t="b">
            <v>1</v>
          </cell>
          <cell r="E3914" t="str">
            <v>Gaviotas</v>
          </cell>
          <cell r="H3914" t="str">
            <v>salud_oral</v>
          </cell>
          <cell r="J3914" t="str">
            <v>bueno</v>
          </cell>
          <cell r="K3914" t="str">
            <v>defsi</v>
          </cell>
        </row>
        <row r="3915">
          <cell r="B3915" t="b">
            <v>1</v>
          </cell>
          <cell r="E3915" t="str">
            <v>Gaviotas</v>
          </cell>
          <cell r="H3915" t="str">
            <v>laboratorio</v>
          </cell>
          <cell r="J3915" t="str">
            <v>bueno</v>
          </cell>
          <cell r="K3915" t="str">
            <v>defsi</v>
          </cell>
        </row>
        <row r="3916">
          <cell r="B3916" t="b">
            <v>1</v>
          </cell>
          <cell r="E3916" t="str">
            <v>Gaviotas</v>
          </cell>
          <cell r="H3916" t="str">
            <v>consulta_externa</v>
          </cell>
          <cell r="J3916" t="str">
            <v>bueno</v>
          </cell>
          <cell r="K3916" t="str">
            <v>defsi</v>
          </cell>
        </row>
        <row r="3917">
          <cell r="B3917" t="b">
            <v>1</v>
          </cell>
          <cell r="E3917" t="str">
            <v>Gaviotas</v>
          </cell>
          <cell r="H3917" t="str">
            <v>salud_oral</v>
          </cell>
          <cell r="J3917" t="str">
            <v>bueno</v>
          </cell>
          <cell r="K3917" t="str">
            <v>defsi</v>
          </cell>
        </row>
        <row r="3918">
          <cell r="B3918" t="b">
            <v>1</v>
          </cell>
          <cell r="E3918" t="str">
            <v>Gaviotas</v>
          </cell>
          <cell r="H3918" t="str">
            <v>laboratorio</v>
          </cell>
          <cell r="J3918" t="str">
            <v>bueno</v>
          </cell>
          <cell r="K3918" t="str">
            <v>defsi</v>
          </cell>
        </row>
        <row r="3919">
          <cell r="B3919" t="b">
            <v>1</v>
          </cell>
          <cell r="E3919" t="str">
            <v>Gaviotas</v>
          </cell>
          <cell r="H3919" t="str">
            <v>consulta_externa</v>
          </cell>
          <cell r="J3919" t="str">
            <v>bueno</v>
          </cell>
          <cell r="K3919" t="str">
            <v>defsi</v>
          </cell>
        </row>
        <row r="3920">
          <cell r="B3920" t="b">
            <v>1</v>
          </cell>
          <cell r="E3920" t="str">
            <v>Gaviotas</v>
          </cell>
          <cell r="H3920" t="str">
            <v>salud_oral</v>
          </cell>
          <cell r="J3920" t="str">
            <v>bueno</v>
          </cell>
          <cell r="K3920" t="str">
            <v>defsi</v>
          </cell>
        </row>
        <row r="3921">
          <cell r="B3921" t="b">
            <v>1</v>
          </cell>
          <cell r="E3921" t="str">
            <v>Gaviotas</v>
          </cell>
          <cell r="H3921" t="str">
            <v>laboratorio</v>
          </cell>
          <cell r="J3921" t="str">
            <v>bueno</v>
          </cell>
          <cell r="K3921" t="str">
            <v>defsi</v>
          </cell>
        </row>
        <row r="3922">
          <cell r="B3922" t="b">
            <v>1</v>
          </cell>
          <cell r="E3922" t="str">
            <v>Baru</v>
          </cell>
          <cell r="H3922" t="str">
            <v>consulta_externa</v>
          </cell>
          <cell r="J3922" t="str">
            <v>muybueno</v>
          </cell>
          <cell r="K3922" t="str">
            <v>defsi</v>
          </cell>
        </row>
        <row r="3923">
          <cell r="B3923" t="b">
            <v>1</v>
          </cell>
          <cell r="E3923" t="str">
            <v>Baru</v>
          </cell>
          <cell r="H3923" t="str">
            <v>laboratorio</v>
          </cell>
          <cell r="J3923" t="str">
            <v>muybueno</v>
          </cell>
          <cell r="K3923" t="str">
            <v>defsi</v>
          </cell>
        </row>
        <row r="3924">
          <cell r="B3924" t="b">
            <v>0</v>
          </cell>
          <cell r="E3924" t="str">
            <v>Blasdelezo</v>
          </cell>
          <cell r="H3924" t="str">
            <v>salud_oral</v>
          </cell>
          <cell r="J3924" t="str">
            <v>regular</v>
          </cell>
          <cell r="K3924" t="str">
            <v>probsi</v>
          </cell>
        </row>
        <row r="3925">
          <cell r="B3925" t="b">
            <v>0</v>
          </cell>
          <cell r="E3925" t="str">
            <v>Blasdelezo</v>
          </cell>
          <cell r="H3925" t="str">
            <v>laboratorio</v>
          </cell>
          <cell r="J3925" t="str">
            <v>regular</v>
          </cell>
          <cell r="K3925" t="str">
            <v>probsi</v>
          </cell>
        </row>
        <row r="3926">
          <cell r="B3926" t="b">
            <v>0</v>
          </cell>
          <cell r="E3926" t="str">
            <v>Blasdelezo</v>
          </cell>
          <cell r="H3926" t="str">
            <v>urgencia</v>
          </cell>
          <cell r="J3926" t="str">
            <v>regular</v>
          </cell>
          <cell r="K3926" t="str">
            <v>probsi</v>
          </cell>
        </row>
        <row r="3927">
          <cell r="B3927" t="b">
            <v>0</v>
          </cell>
          <cell r="E3927" t="str">
            <v>Blasdelezo</v>
          </cell>
          <cell r="H3927" t="str">
            <v>urgencia</v>
          </cell>
          <cell r="J3927" t="str">
            <v>regular</v>
          </cell>
          <cell r="K3927" t="str">
            <v>probsi</v>
          </cell>
        </row>
        <row r="3928">
          <cell r="B3928" t="b">
            <v>0</v>
          </cell>
          <cell r="E3928" t="str">
            <v>Blasdelezo</v>
          </cell>
          <cell r="H3928" t="str">
            <v>urgencia</v>
          </cell>
          <cell r="J3928" t="str">
            <v>regular</v>
          </cell>
          <cell r="K3928" t="str">
            <v>probsi</v>
          </cell>
        </row>
        <row r="3929">
          <cell r="B3929" t="b">
            <v>1</v>
          </cell>
          <cell r="E3929" t="str">
            <v>Blasdelezo</v>
          </cell>
          <cell r="H3929" t="str">
            <v>urgencia</v>
          </cell>
          <cell r="J3929" t="str">
            <v>bueno</v>
          </cell>
          <cell r="K3929" t="str">
            <v>probsi</v>
          </cell>
        </row>
        <row r="3930">
          <cell r="B3930" t="b">
            <v>1</v>
          </cell>
          <cell r="E3930" t="str">
            <v>Blasdelezo</v>
          </cell>
          <cell r="H3930" t="str">
            <v>urgencia</v>
          </cell>
          <cell r="J3930" t="str">
            <v>bueno</v>
          </cell>
          <cell r="K3930" t="str">
            <v>probsi</v>
          </cell>
        </row>
        <row r="3931">
          <cell r="B3931" t="b">
            <v>1</v>
          </cell>
          <cell r="E3931" t="str">
            <v>Blasdelezo</v>
          </cell>
          <cell r="H3931" t="str">
            <v>urgencia</v>
          </cell>
          <cell r="J3931" t="str">
            <v>bueno</v>
          </cell>
          <cell r="K3931" t="str">
            <v>probsi</v>
          </cell>
        </row>
        <row r="3932">
          <cell r="B3932" t="b">
            <v>1</v>
          </cell>
          <cell r="E3932" t="str">
            <v>Blasdelezo</v>
          </cell>
          <cell r="H3932" t="str">
            <v>urgencia</v>
          </cell>
          <cell r="J3932" t="str">
            <v>bueno</v>
          </cell>
          <cell r="K3932" t="str">
            <v>probsi</v>
          </cell>
        </row>
        <row r="3933">
          <cell r="B3933" t="b">
            <v>1</v>
          </cell>
          <cell r="E3933" t="str">
            <v>Baru</v>
          </cell>
          <cell r="H3933" t="str">
            <v>consulta_externa</v>
          </cell>
          <cell r="J3933" t="str">
            <v>muybueno</v>
          </cell>
          <cell r="K3933" t="str">
            <v>defsi</v>
          </cell>
        </row>
        <row r="3934">
          <cell r="B3934" t="b">
            <v>1</v>
          </cell>
          <cell r="E3934" t="str">
            <v>Baru</v>
          </cell>
          <cell r="H3934" t="str">
            <v>laboratorio</v>
          </cell>
          <cell r="J3934" t="str">
            <v>muybueno</v>
          </cell>
          <cell r="K3934" t="str">
            <v>defsi</v>
          </cell>
        </row>
        <row r="3935">
          <cell r="B3935" t="b">
            <v>1</v>
          </cell>
          <cell r="E3935" t="str">
            <v>Baru</v>
          </cell>
          <cell r="H3935" t="str">
            <v>salud_oral</v>
          </cell>
          <cell r="J3935" t="str">
            <v>muybueno</v>
          </cell>
          <cell r="K3935" t="str">
            <v>defsi</v>
          </cell>
        </row>
        <row r="3936">
          <cell r="B3936" t="b">
            <v>1</v>
          </cell>
          <cell r="E3936" t="str">
            <v>Gaviotas</v>
          </cell>
          <cell r="H3936" t="str">
            <v>consulta_externa</v>
          </cell>
          <cell r="J3936" t="str">
            <v>bueno</v>
          </cell>
          <cell r="K3936" t="str">
            <v>defsi</v>
          </cell>
        </row>
        <row r="3937">
          <cell r="B3937" t="b">
            <v>1</v>
          </cell>
          <cell r="E3937" t="str">
            <v>Gaviotas</v>
          </cell>
          <cell r="H3937" t="str">
            <v>salud_oral</v>
          </cell>
          <cell r="J3937" t="str">
            <v>bueno</v>
          </cell>
          <cell r="K3937" t="str">
            <v>defsi</v>
          </cell>
        </row>
        <row r="3938">
          <cell r="B3938" t="b">
            <v>1</v>
          </cell>
          <cell r="E3938" t="str">
            <v>Gaviotas</v>
          </cell>
          <cell r="H3938" t="str">
            <v>laboratorio</v>
          </cell>
          <cell r="J3938" t="str">
            <v>bueno</v>
          </cell>
          <cell r="K3938" t="str">
            <v>defsi</v>
          </cell>
        </row>
        <row r="3939">
          <cell r="B3939" t="b">
            <v>1</v>
          </cell>
          <cell r="E3939" t="str">
            <v>Gaviotas</v>
          </cell>
          <cell r="H3939" t="str">
            <v>consulta_externa</v>
          </cell>
          <cell r="J3939" t="str">
            <v>bueno</v>
          </cell>
          <cell r="K3939" t="str">
            <v>defsi</v>
          </cell>
        </row>
        <row r="3940">
          <cell r="B3940" t="b">
            <v>1</v>
          </cell>
          <cell r="E3940" t="str">
            <v>Gaviotas</v>
          </cell>
          <cell r="H3940" t="str">
            <v>salud_oral</v>
          </cell>
          <cell r="J3940" t="str">
            <v>bueno</v>
          </cell>
          <cell r="K3940" t="str">
            <v>defsi</v>
          </cell>
        </row>
        <row r="3941">
          <cell r="B3941" t="b">
            <v>1</v>
          </cell>
          <cell r="E3941" t="str">
            <v>Gaviotas</v>
          </cell>
          <cell r="H3941" t="str">
            <v>laboratorio</v>
          </cell>
          <cell r="J3941" t="str">
            <v>bueno</v>
          </cell>
          <cell r="K3941" t="str">
            <v>defsi</v>
          </cell>
        </row>
        <row r="3942">
          <cell r="B3942" t="b">
            <v>1</v>
          </cell>
          <cell r="E3942" t="str">
            <v>Baru</v>
          </cell>
          <cell r="H3942" t="str">
            <v>consulta_externa</v>
          </cell>
          <cell r="J3942" t="str">
            <v>muybueno</v>
          </cell>
          <cell r="K3942" t="str">
            <v>defsi</v>
          </cell>
        </row>
        <row r="3943">
          <cell r="B3943" t="b">
            <v>1</v>
          </cell>
          <cell r="E3943" t="str">
            <v>Baru</v>
          </cell>
          <cell r="H3943" t="str">
            <v>laboratorio</v>
          </cell>
          <cell r="J3943" t="str">
            <v>muybueno</v>
          </cell>
          <cell r="K3943" t="str">
            <v>defsi</v>
          </cell>
        </row>
        <row r="3944">
          <cell r="B3944" t="b">
            <v>1</v>
          </cell>
          <cell r="E3944" t="str">
            <v>Baru</v>
          </cell>
          <cell r="H3944" t="str">
            <v>urgencia</v>
          </cell>
          <cell r="J3944" t="str">
            <v>muybueno</v>
          </cell>
          <cell r="K3944" t="str">
            <v>defsi</v>
          </cell>
        </row>
        <row r="3945">
          <cell r="B3945" t="b">
            <v>1</v>
          </cell>
          <cell r="E3945" t="str">
            <v>Baru</v>
          </cell>
          <cell r="H3945" t="str">
            <v>consulta_externa</v>
          </cell>
          <cell r="J3945" t="str">
            <v>muybueno</v>
          </cell>
          <cell r="K3945" t="str">
            <v>defsi</v>
          </cell>
        </row>
        <row r="3946">
          <cell r="B3946" t="b">
            <v>1</v>
          </cell>
          <cell r="E3946" t="str">
            <v>Baru</v>
          </cell>
          <cell r="H3946" t="str">
            <v>laboratorio</v>
          </cell>
          <cell r="J3946" t="str">
            <v>muybueno</v>
          </cell>
          <cell r="K3946" t="str">
            <v>defsi</v>
          </cell>
        </row>
        <row r="3947">
          <cell r="B3947" t="b">
            <v>1</v>
          </cell>
          <cell r="E3947" t="str">
            <v>Baru</v>
          </cell>
          <cell r="H3947" t="str">
            <v>salud_oral</v>
          </cell>
          <cell r="J3947" t="str">
            <v>muybueno</v>
          </cell>
          <cell r="K3947" t="str">
            <v>defsi</v>
          </cell>
        </row>
        <row r="3948">
          <cell r="B3948" t="b">
            <v>1</v>
          </cell>
          <cell r="E3948" t="str">
            <v>Gaviotas</v>
          </cell>
          <cell r="H3948" t="str">
            <v>consulta_externa</v>
          </cell>
          <cell r="J3948" t="str">
            <v>bueno</v>
          </cell>
          <cell r="K3948" t="str">
            <v>defsi</v>
          </cell>
        </row>
        <row r="3949">
          <cell r="B3949" t="b">
            <v>1</v>
          </cell>
          <cell r="E3949" t="str">
            <v>Gaviotas</v>
          </cell>
          <cell r="H3949" t="str">
            <v>salud_oral</v>
          </cell>
          <cell r="J3949" t="str">
            <v>bueno</v>
          </cell>
          <cell r="K3949" t="str">
            <v>defsi</v>
          </cell>
        </row>
        <row r="3950">
          <cell r="B3950" t="b">
            <v>1</v>
          </cell>
          <cell r="E3950" t="str">
            <v>Gaviotas</v>
          </cell>
          <cell r="H3950" t="str">
            <v>laboratorio</v>
          </cell>
          <cell r="J3950" t="str">
            <v>bueno</v>
          </cell>
          <cell r="K3950" t="str">
            <v>defsi</v>
          </cell>
        </row>
        <row r="3951">
          <cell r="B3951" t="b">
            <v>1</v>
          </cell>
          <cell r="E3951" t="str">
            <v>Gaviotas</v>
          </cell>
          <cell r="H3951" t="str">
            <v>consulta_externa</v>
          </cell>
          <cell r="J3951" t="str">
            <v>bueno</v>
          </cell>
          <cell r="K3951" t="str">
            <v>defsi</v>
          </cell>
        </row>
        <row r="3952">
          <cell r="B3952" t="b">
            <v>1</v>
          </cell>
          <cell r="E3952" t="str">
            <v>Gaviotas</v>
          </cell>
          <cell r="H3952" t="str">
            <v>salud_oral</v>
          </cell>
          <cell r="J3952" t="str">
            <v>bueno</v>
          </cell>
          <cell r="K3952" t="str">
            <v>defsi</v>
          </cell>
        </row>
        <row r="3953">
          <cell r="B3953" t="b">
            <v>1</v>
          </cell>
          <cell r="E3953" t="str">
            <v>Gaviotas</v>
          </cell>
          <cell r="H3953" t="str">
            <v>laboratorio</v>
          </cell>
          <cell r="J3953" t="str">
            <v>bueno</v>
          </cell>
          <cell r="K3953" t="str">
            <v>defsi</v>
          </cell>
        </row>
        <row r="3954">
          <cell r="B3954" t="b">
            <v>1</v>
          </cell>
          <cell r="E3954" t="str">
            <v>Gaviotas</v>
          </cell>
          <cell r="H3954" t="str">
            <v>consulta_externa</v>
          </cell>
          <cell r="J3954" t="str">
            <v>bueno</v>
          </cell>
          <cell r="K3954" t="str">
            <v>defsi</v>
          </cell>
        </row>
        <row r="3955">
          <cell r="B3955" t="b">
            <v>1</v>
          </cell>
          <cell r="E3955" t="str">
            <v>Gaviotas</v>
          </cell>
          <cell r="H3955" t="str">
            <v>salud_oral</v>
          </cell>
          <cell r="J3955" t="str">
            <v>bueno</v>
          </cell>
          <cell r="K3955" t="str">
            <v>defsi</v>
          </cell>
        </row>
        <row r="3956">
          <cell r="B3956" t="b">
            <v>1</v>
          </cell>
          <cell r="E3956" t="str">
            <v>Gaviotas</v>
          </cell>
          <cell r="H3956" t="str">
            <v>laboratorio</v>
          </cell>
          <cell r="J3956" t="str">
            <v>bueno</v>
          </cell>
          <cell r="K3956" t="str">
            <v>defsi</v>
          </cell>
        </row>
        <row r="3957">
          <cell r="B3957" t="b">
            <v>1</v>
          </cell>
          <cell r="E3957" t="str">
            <v>Gaviotas</v>
          </cell>
          <cell r="H3957" t="str">
            <v>consulta_externa</v>
          </cell>
          <cell r="J3957" t="str">
            <v>bueno</v>
          </cell>
          <cell r="K3957" t="str">
            <v>defsi</v>
          </cell>
        </row>
        <row r="3958">
          <cell r="B3958" t="b">
            <v>1</v>
          </cell>
          <cell r="E3958" t="str">
            <v>Gaviotas</v>
          </cell>
          <cell r="H3958" t="str">
            <v>salud_oral</v>
          </cell>
          <cell r="J3958" t="str">
            <v>bueno</v>
          </cell>
          <cell r="K3958" t="str">
            <v>defsi</v>
          </cell>
        </row>
        <row r="3959">
          <cell r="B3959" t="b">
            <v>1</v>
          </cell>
          <cell r="E3959" t="str">
            <v>Gaviotas</v>
          </cell>
          <cell r="H3959" t="str">
            <v>laboratorio</v>
          </cell>
          <cell r="J3959" t="str">
            <v>bueno</v>
          </cell>
          <cell r="K3959" t="str">
            <v>defsi</v>
          </cell>
        </row>
        <row r="3960">
          <cell r="B3960" t="b">
            <v>1</v>
          </cell>
          <cell r="E3960" t="str">
            <v>Gaviotas</v>
          </cell>
          <cell r="H3960" t="str">
            <v>consulta_externa</v>
          </cell>
          <cell r="J3960" t="str">
            <v>bueno</v>
          </cell>
          <cell r="K3960" t="str">
            <v>defsi</v>
          </cell>
        </row>
        <row r="3961">
          <cell r="B3961" t="b">
            <v>1</v>
          </cell>
          <cell r="E3961" t="str">
            <v>Gaviotas</v>
          </cell>
          <cell r="H3961" t="str">
            <v>salud_oral</v>
          </cell>
          <cell r="J3961" t="str">
            <v>bueno</v>
          </cell>
          <cell r="K3961" t="str">
            <v>defsi</v>
          </cell>
        </row>
        <row r="3962">
          <cell r="B3962" t="b">
            <v>1</v>
          </cell>
          <cell r="E3962" t="str">
            <v>Gaviotas</v>
          </cell>
          <cell r="H3962" t="str">
            <v>laboratorio</v>
          </cell>
          <cell r="J3962" t="str">
            <v>bueno</v>
          </cell>
          <cell r="K3962" t="str">
            <v>defsi</v>
          </cell>
        </row>
        <row r="3963">
          <cell r="B3963" t="b">
            <v>1</v>
          </cell>
          <cell r="E3963" t="str">
            <v>Gaviotas</v>
          </cell>
          <cell r="H3963" t="str">
            <v>consulta_externa</v>
          </cell>
          <cell r="J3963" t="str">
            <v>bueno</v>
          </cell>
          <cell r="K3963" t="str">
            <v>defsi</v>
          </cell>
        </row>
        <row r="3964">
          <cell r="B3964" t="b">
            <v>1</v>
          </cell>
          <cell r="E3964" t="str">
            <v>Gaviotas</v>
          </cell>
          <cell r="H3964" t="str">
            <v>salud_oral</v>
          </cell>
          <cell r="J3964" t="str">
            <v>bueno</v>
          </cell>
          <cell r="K3964" t="str">
            <v>defsi</v>
          </cell>
        </row>
        <row r="3965">
          <cell r="B3965" t="b">
            <v>1</v>
          </cell>
          <cell r="E3965" t="str">
            <v>Gaviotas</v>
          </cell>
          <cell r="H3965" t="str">
            <v>laboratorio</v>
          </cell>
          <cell r="J3965" t="str">
            <v>bueno</v>
          </cell>
          <cell r="K3965" t="str">
            <v>defsi</v>
          </cell>
        </row>
        <row r="3966">
          <cell r="B3966" t="b">
            <v>1</v>
          </cell>
          <cell r="E3966" t="str">
            <v>Gaviotas</v>
          </cell>
          <cell r="H3966" t="str">
            <v>consulta_externa</v>
          </cell>
          <cell r="J3966" t="str">
            <v>bueno</v>
          </cell>
          <cell r="K3966" t="str">
            <v>defsi</v>
          </cell>
        </row>
        <row r="3967">
          <cell r="B3967" t="b">
            <v>1</v>
          </cell>
          <cell r="E3967" t="str">
            <v>Gaviotas</v>
          </cell>
          <cell r="H3967" t="str">
            <v>salud_oral</v>
          </cell>
          <cell r="J3967" t="str">
            <v>bueno</v>
          </cell>
          <cell r="K3967" t="str">
            <v>defsi</v>
          </cell>
        </row>
        <row r="3968">
          <cell r="B3968" t="b">
            <v>1</v>
          </cell>
          <cell r="E3968" t="str">
            <v>Gaviotas</v>
          </cell>
          <cell r="H3968" t="str">
            <v>laboratorio</v>
          </cell>
          <cell r="J3968" t="str">
            <v>bueno</v>
          </cell>
          <cell r="K3968" t="str">
            <v>defsi</v>
          </cell>
        </row>
        <row r="3969">
          <cell r="B3969" t="b">
            <v>1</v>
          </cell>
          <cell r="E3969" t="str">
            <v>Gaviotas</v>
          </cell>
          <cell r="H3969" t="str">
            <v>consulta_externa</v>
          </cell>
          <cell r="J3969" t="str">
            <v>bueno</v>
          </cell>
          <cell r="K3969" t="str">
            <v>defsi</v>
          </cell>
        </row>
        <row r="3970">
          <cell r="B3970" t="b">
            <v>1</v>
          </cell>
          <cell r="E3970" t="str">
            <v>Gaviotas</v>
          </cell>
          <cell r="H3970" t="str">
            <v>salud_oral</v>
          </cell>
          <cell r="J3970" t="str">
            <v>bueno</v>
          </cell>
          <cell r="K3970" t="str">
            <v>defsi</v>
          </cell>
        </row>
        <row r="3971">
          <cell r="B3971" t="b">
            <v>1</v>
          </cell>
          <cell r="E3971" t="str">
            <v>Gaviotas</v>
          </cell>
          <cell r="H3971" t="str">
            <v>laboratorio</v>
          </cell>
          <cell r="J3971" t="str">
            <v>bueno</v>
          </cell>
          <cell r="K3971" t="str">
            <v>defsi</v>
          </cell>
        </row>
        <row r="3972">
          <cell r="B3972" t="b">
            <v>1</v>
          </cell>
          <cell r="E3972" t="str">
            <v>Gaviotas</v>
          </cell>
          <cell r="H3972" t="str">
            <v>laboratorio</v>
          </cell>
          <cell r="J3972" t="str">
            <v>bueno</v>
          </cell>
          <cell r="K3972" t="str">
            <v>defsi</v>
          </cell>
        </row>
        <row r="3973">
          <cell r="B3973" t="b">
            <v>1</v>
          </cell>
          <cell r="E3973" t="str">
            <v>Gaviotas</v>
          </cell>
          <cell r="H3973" t="str">
            <v>salud_oral</v>
          </cell>
          <cell r="J3973" t="str">
            <v>bueno</v>
          </cell>
          <cell r="K3973" t="str">
            <v>defsi</v>
          </cell>
        </row>
        <row r="3974">
          <cell r="B3974" t="b">
            <v>1</v>
          </cell>
          <cell r="E3974" t="str">
            <v>Gaviotas</v>
          </cell>
          <cell r="H3974" t="str">
            <v>laboratorio</v>
          </cell>
          <cell r="J3974" t="str">
            <v>bueno</v>
          </cell>
          <cell r="K3974" t="str">
            <v>defsi</v>
          </cell>
        </row>
        <row r="3975">
          <cell r="B3975" t="b">
            <v>1</v>
          </cell>
          <cell r="E3975" t="str">
            <v>Gaviotas</v>
          </cell>
          <cell r="H3975" t="str">
            <v>consulta_externa</v>
          </cell>
          <cell r="J3975" t="str">
            <v>bueno</v>
          </cell>
          <cell r="K3975" t="str">
            <v>defsi</v>
          </cell>
        </row>
        <row r="3976">
          <cell r="B3976" t="b">
            <v>1</v>
          </cell>
          <cell r="E3976" t="str">
            <v>Gaviotas</v>
          </cell>
          <cell r="H3976" t="str">
            <v>salud_oral</v>
          </cell>
          <cell r="J3976" t="str">
            <v>bueno</v>
          </cell>
          <cell r="K3976" t="str">
            <v>defsi</v>
          </cell>
        </row>
        <row r="3977">
          <cell r="B3977" t="b">
            <v>1</v>
          </cell>
          <cell r="E3977" t="str">
            <v>Gaviotas</v>
          </cell>
          <cell r="H3977" t="str">
            <v>laboratorio</v>
          </cell>
          <cell r="J3977" t="str">
            <v>bueno</v>
          </cell>
          <cell r="K3977" t="str">
            <v>defsi</v>
          </cell>
        </row>
        <row r="3978">
          <cell r="B3978" t="b">
            <v>1</v>
          </cell>
          <cell r="E3978" t="str">
            <v>Gaviotas</v>
          </cell>
          <cell r="H3978" t="str">
            <v>consulta_externa</v>
          </cell>
          <cell r="J3978" t="str">
            <v>bueno</v>
          </cell>
          <cell r="K3978" t="str">
            <v>defsi</v>
          </cell>
        </row>
        <row r="3979">
          <cell r="B3979" t="b">
            <v>1</v>
          </cell>
          <cell r="E3979" t="str">
            <v>Gaviotas</v>
          </cell>
          <cell r="H3979" t="str">
            <v>salud_oral</v>
          </cell>
          <cell r="J3979" t="str">
            <v>bueno</v>
          </cell>
          <cell r="K3979" t="str">
            <v>defsi</v>
          </cell>
        </row>
        <row r="3980">
          <cell r="B3980" t="b">
            <v>1</v>
          </cell>
          <cell r="E3980" t="str">
            <v>Gaviotas</v>
          </cell>
          <cell r="H3980" t="str">
            <v>laboratorio</v>
          </cell>
          <cell r="J3980" t="str">
            <v>bueno</v>
          </cell>
          <cell r="K3980" t="str">
            <v>defsi</v>
          </cell>
        </row>
        <row r="3981">
          <cell r="B3981" t="b">
            <v>1</v>
          </cell>
          <cell r="E3981" t="str">
            <v>Gaviotas</v>
          </cell>
          <cell r="H3981" t="str">
            <v>consulta_externa</v>
          </cell>
          <cell r="J3981" t="str">
            <v>bueno</v>
          </cell>
          <cell r="K3981" t="str">
            <v>defsi</v>
          </cell>
        </row>
        <row r="3982">
          <cell r="B3982" t="b">
            <v>1</v>
          </cell>
          <cell r="E3982" t="str">
            <v>Socorro</v>
          </cell>
          <cell r="H3982" t="str">
            <v>consulta_externa</v>
          </cell>
          <cell r="J3982" t="str">
            <v>bueno</v>
          </cell>
          <cell r="K3982" t="str">
            <v>defsi</v>
          </cell>
        </row>
        <row r="3983">
          <cell r="B3983" t="b">
            <v>1</v>
          </cell>
          <cell r="E3983" t="str">
            <v>Socorro</v>
          </cell>
          <cell r="H3983" t="str">
            <v>salud_oral</v>
          </cell>
          <cell r="J3983" t="str">
            <v>bueno</v>
          </cell>
          <cell r="K3983" t="str">
            <v>defsi</v>
          </cell>
        </row>
        <row r="3984">
          <cell r="B3984" t="b">
            <v>1</v>
          </cell>
          <cell r="E3984" t="str">
            <v>Socorro</v>
          </cell>
          <cell r="H3984" t="str">
            <v>laboratorio</v>
          </cell>
          <cell r="J3984" t="str">
            <v>bueno</v>
          </cell>
          <cell r="K3984" t="str">
            <v>defsi</v>
          </cell>
        </row>
        <row r="3985">
          <cell r="B3985" t="b">
            <v>1</v>
          </cell>
          <cell r="E3985" t="str">
            <v>Socorro</v>
          </cell>
          <cell r="H3985" t="str">
            <v>consulta_externa</v>
          </cell>
          <cell r="J3985" t="str">
            <v>bueno</v>
          </cell>
          <cell r="K3985" t="str">
            <v>defsi</v>
          </cell>
        </row>
        <row r="3986">
          <cell r="B3986" t="b">
            <v>1</v>
          </cell>
          <cell r="E3986" t="str">
            <v>Socorro</v>
          </cell>
          <cell r="H3986" t="str">
            <v>salud_oral</v>
          </cell>
          <cell r="J3986" t="str">
            <v>bueno</v>
          </cell>
          <cell r="K3986" t="str">
            <v>defsi</v>
          </cell>
        </row>
        <row r="3987">
          <cell r="B3987" t="b">
            <v>1</v>
          </cell>
          <cell r="E3987" t="str">
            <v>Socorro</v>
          </cell>
          <cell r="H3987" t="str">
            <v>laboratorio</v>
          </cell>
          <cell r="J3987" t="str">
            <v>bueno</v>
          </cell>
          <cell r="K3987" t="str">
            <v>defsi</v>
          </cell>
        </row>
        <row r="3988">
          <cell r="B3988" t="b">
            <v>1</v>
          </cell>
          <cell r="E3988" t="str">
            <v>Socorro</v>
          </cell>
          <cell r="H3988" t="str">
            <v>ecografias</v>
          </cell>
          <cell r="J3988" t="str">
            <v>bueno</v>
          </cell>
          <cell r="K3988" t="str">
            <v>defsi</v>
          </cell>
        </row>
        <row r="3989">
          <cell r="B3989" t="b">
            <v>1</v>
          </cell>
          <cell r="E3989" t="str">
            <v>Socorro</v>
          </cell>
          <cell r="H3989" t="str">
            <v>consulta_externa</v>
          </cell>
          <cell r="J3989" t="str">
            <v>bueno</v>
          </cell>
          <cell r="K3989" t="str">
            <v>defsi</v>
          </cell>
        </row>
        <row r="3990">
          <cell r="B3990" t="b">
            <v>1</v>
          </cell>
          <cell r="E3990" t="str">
            <v>Socorro</v>
          </cell>
          <cell r="H3990" t="str">
            <v>salud_oral</v>
          </cell>
          <cell r="J3990" t="str">
            <v>bueno</v>
          </cell>
          <cell r="K3990" t="str">
            <v>defsi</v>
          </cell>
        </row>
        <row r="3991">
          <cell r="B3991" t="b">
            <v>1</v>
          </cell>
          <cell r="E3991" t="str">
            <v>Socorro</v>
          </cell>
          <cell r="H3991" t="str">
            <v>laboratorio</v>
          </cell>
          <cell r="J3991" t="str">
            <v>bueno</v>
          </cell>
          <cell r="K3991" t="str">
            <v>defsi</v>
          </cell>
        </row>
        <row r="3992">
          <cell r="B3992" t="b">
            <v>1</v>
          </cell>
          <cell r="E3992" t="str">
            <v>Socorro</v>
          </cell>
          <cell r="H3992" t="str">
            <v>ecografias</v>
          </cell>
          <cell r="J3992" t="str">
            <v>bueno</v>
          </cell>
          <cell r="K3992" t="str">
            <v>defsi</v>
          </cell>
        </row>
        <row r="3993">
          <cell r="B3993" t="b">
            <v>1</v>
          </cell>
          <cell r="E3993" t="str">
            <v>Socorro</v>
          </cell>
          <cell r="H3993" t="str">
            <v>consulta_externa</v>
          </cell>
          <cell r="J3993" t="str">
            <v>bueno</v>
          </cell>
          <cell r="K3993" t="str">
            <v>defsi</v>
          </cell>
        </row>
        <row r="3994">
          <cell r="B3994" t="b">
            <v>1</v>
          </cell>
          <cell r="E3994" t="str">
            <v>Blasdelezo</v>
          </cell>
          <cell r="H3994" t="str">
            <v>pediatria</v>
          </cell>
          <cell r="J3994" t="str">
            <v>bueno</v>
          </cell>
          <cell r="K3994" t="str">
            <v>probsi</v>
          </cell>
        </row>
        <row r="3995">
          <cell r="B3995" t="b">
            <v>1</v>
          </cell>
          <cell r="E3995" t="str">
            <v>Blasdelezo</v>
          </cell>
          <cell r="H3995" t="str">
            <v>pediatria</v>
          </cell>
          <cell r="J3995" t="str">
            <v>bueno</v>
          </cell>
          <cell r="K3995" t="str">
            <v>probsi</v>
          </cell>
        </row>
        <row r="3996">
          <cell r="B3996" t="b">
            <v>1</v>
          </cell>
          <cell r="E3996" t="str">
            <v>Blasdelezo</v>
          </cell>
          <cell r="H3996" t="str">
            <v>pediatria</v>
          </cell>
          <cell r="J3996" t="str">
            <v>bueno</v>
          </cell>
          <cell r="K3996" t="str">
            <v>probsi</v>
          </cell>
        </row>
        <row r="3997">
          <cell r="B3997" t="b">
            <v>1</v>
          </cell>
          <cell r="E3997" t="str">
            <v>Blasdelezo</v>
          </cell>
          <cell r="H3997" t="str">
            <v>pediatria</v>
          </cell>
          <cell r="J3997" t="str">
            <v>bueno</v>
          </cell>
          <cell r="K3997" t="str">
            <v>probsi</v>
          </cell>
        </row>
        <row r="3998">
          <cell r="B3998" t="b">
            <v>1</v>
          </cell>
          <cell r="E3998" t="str">
            <v>Blasdelezo</v>
          </cell>
          <cell r="H3998" t="str">
            <v>pediatria</v>
          </cell>
          <cell r="J3998" t="str">
            <v>bueno</v>
          </cell>
          <cell r="K3998" t="str">
            <v>probsi</v>
          </cell>
        </row>
        <row r="3999">
          <cell r="B3999" t="b">
            <v>1</v>
          </cell>
          <cell r="E3999" t="str">
            <v>Blasdelezo</v>
          </cell>
          <cell r="H3999" t="str">
            <v>pediatria</v>
          </cell>
          <cell r="J3999" t="str">
            <v>bueno</v>
          </cell>
          <cell r="K3999" t="str">
            <v>probsi</v>
          </cell>
        </row>
        <row r="4000">
          <cell r="B4000" t="b">
            <v>1</v>
          </cell>
          <cell r="E4000" t="str">
            <v>Blasdelezo</v>
          </cell>
          <cell r="H4000" t="str">
            <v>medicina_interna</v>
          </cell>
          <cell r="J4000" t="str">
            <v>bueno</v>
          </cell>
          <cell r="K4000" t="str">
            <v>probsi</v>
          </cell>
        </row>
        <row r="4001">
          <cell r="B4001" t="b">
            <v>1</v>
          </cell>
          <cell r="E4001" t="str">
            <v>Blasdelezo</v>
          </cell>
          <cell r="H4001" t="str">
            <v>medicina_interna</v>
          </cell>
          <cell r="J4001" t="str">
            <v>bueno</v>
          </cell>
          <cell r="K4001" t="str">
            <v>probsi</v>
          </cell>
        </row>
        <row r="4002">
          <cell r="B4002" t="b">
            <v>0</v>
          </cell>
          <cell r="E4002" t="str">
            <v>Blasdelezo</v>
          </cell>
          <cell r="H4002" t="str">
            <v>medicina_interna</v>
          </cell>
          <cell r="J4002" t="str">
            <v>regular</v>
          </cell>
          <cell r="K4002" t="str">
            <v>probsi</v>
          </cell>
        </row>
        <row r="4003">
          <cell r="B4003" t="b">
            <v>1</v>
          </cell>
          <cell r="E4003" t="str">
            <v>Blasdelezo</v>
          </cell>
          <cell r="H4003" t="str">
            <v>medicina_interna</v>
          </cell>
          <cell r="J4003" t="str">
            <v>bueno</v>
          </cell>
          <cell r="K4003" t="str">
            <v>probsi</v>
          </cell>
        </row>
        <row r="4004">
          <cell r="B4004" t="b">
            <v>1</v>
          </cell>
          <cell r="E4004" t="str">
            <v>Blasdelezo</v>
          </cell>
          <cell r="H4004" t="str">
            <v>medicina_interna</v>
          </cell>
          <cell r="J4004" t="str">
            <v>bueno</v>
          </cell>
          <cell r="K4004" t="str">
            <v>probsi</v>
          </cell>
        </row>
        <row r="4005">
          <cell r="B4005" t="b">
            <v>1</v>
          </cell>
          <cell r="E4005" t="str">
            <v>Socorro</v>
          </cell>
          <cell r="H4005" t="str">
            <v>salud_oral</v>
          </cell>
          <cell r="J4005" t="str">
            <v>bueno</v>
          </cell>
          <cell r="K4005" t="str">
            <v>defsi</v>
          </cell>
        </row>
        <row r="4006">
          <cell r="B4006" t="b">
            <v>1</v>
          </cell>
          <cell r="E4006" t="str">
            <v>Socorro</v>
          </cell>
          <cell r="H4006" t="str">
            <v>laboratorio</v>
          </cell>
          <cell r="J4006" t="str">
            <v>bueno</v>
          </cell>
          <cell r="K4006" t="str">
            <v>defsi</v>
          </cell>
        </row>
        <row r="4007">
          <cell r="B4007" t="b">
            <v>1</v>
          </cell>
          <cell r="E4007" t="str">
            <v>Socorro</v>
          </cell>
          <cell r="H4007" t="str">
            <v>ecografias</v>
          </cell>
          <cell r="J4007" t="str">
            <v>bueno</v>
          </cell>
          <cell r="K4007" t="str">
            <v>defsi</v>
          </cell>
        </row>
        <row r="4008">
          <cell r="B4008" t="b">
            <v>1</v>
          </cell>
          <cell r="E4008" t="str">
            <v>Socorro</v>
          </cell>
          <cell r="H4008" t="str">
            <v>consulta_externa</v>
          </cell>
          <cell r="J4008" t="str">
            <v>bueno</v>
          </cell>
          <cell r="K4008" t="str">
            <v>defsi</v>
          </cell>
        </row>
        <row r="4009">
          <cell r="B4009" t="b">
            <v>1</v>
          </cell>
          <cell r="E4009" t="str">
            <v>Socorro</v>
          </cell>
          <cell r="H4009" t="str">
            <v>salud_oral</v>
          </cell>
          <cell r="J4009" t="str">
            <v>bueno</v>
          </cell>
          <cell r="K4009" t="str">
            <v>defsi</v>
          </cell>
        </row>
        <row r="4010">
          <cell r="B4010" t="b">
            <v>1</v>
          </cell>
          <cell r="E4010" t="str">
            <v>Socorro</v>
          </cell>
          <cell r="H4010" t="str">
            <v>laboratorio</v>
          </cell>
          <cell r="J4010" t="str">
            <v>bueno</v>
          </cell>
          <cell r="K4010" t="str">
            <v>defsi</v>
          </cell>
        </row>
        <row r="4011">
          <cell r="B4011" t="b">
            <v>1</v>
          </cell>
          <cell r="E4011" t="str">
            <v>Socorro</v>
          </cell>
          <cell r="H4011" t="str">
            <v>consulta_externa</v>
          </cell>
          <cell r="J4011" t="str">
            <v>bueno</v>
          </cell>
          <cell r="K4011" t="str">
            <v>defsi</v>
          </cell>
        </row>
        <row r="4012">
          <cell r="B4012" t="b">
            <v>1</v>
          </cell>
          <cell r="E4012" t="str">
            <v>Socorro</v>
          </cell>
          <cell r="H4012" t="str">
            <v>ecografias</v>
          </cell>
          <cell r="J4012" t="str">
            <v>bueno</v>
          </cell>
          <cell r="K4012" t="str">
            <v>defsi</v>
          </cell>
        </row>
        <row r="4013">
          <cell r="B4013" t="b">
            <v>1</v>
          </cell>
          <cell r="E4013" t="str">
            <v>Socorro</v>
          </cell>
          <cell r="H4013" t="str">
            <v>consulta_externa</v>
          </cell>
          <cell r="J4013" t="str">
            <v>bueno</v>
          </cell>
          <cell r="K4013" t="str">
            <v>defsi</v>
          </cell>
        </row>
        <row r="4014">
          <cell r="B4014" t="b">
            <v>1</v>
          </cell>
          <cell r="E4014" t="str">
            <v>Socorro</v>
          </cell>
          <cell r="H4014" t="str">
            <v>salud_oral</v>
          </cell>
          <cell r="J4014" t="str">
            <v>bueno</v>
          </cell>
          <cell r="K4014" t="str">
            <v>defsi</v>
          </cell>
        </row>
        <row r="4015">
          <cell r="B4015" t="b">
            <v>1</v>
          </cell>
          <cell r="E4015" t="str">
            <v>Socorro</v>
          </cell>
          <cell r="H4015" t="str">
            <v>laboratorio</v>
          </cell>
          <cell r="J4015" t="str">
            <v>bueno</v>
          </cell>
          <cell r="K4015" t="str">
            <v>defsi</v>
          </cell>
        </row>
        <row r="4016">
          <cell r="B4016" t="b">
            <v>1</v>
          </cell>
          <cell r="E4016" t="str">
            <v>Socorro</v>
          </cell>
          <cell r="H4016" t="str">
            <v>ecografias</v>
          </cell>
          <cell r="J4016" t="str">
            <v>bueno</v>
          </cell>
          <cell r="K4016" t="str">
            <v>defsi</v>
          </cell>
        </row>
        <row r="4017">
          <cell r="B4017" t="b">
            <v>1</v>
          </cell>
          <cell r="E4017" t="str">
            <v>Socorro</v>
          </cell>
          <cell r="H4017" t="str">
            <v>consulta_externa</v>
          </cell>
          <cell r="J4017" t="str">
            <v>bueno</v>
          </cell>
          <cell r="K4017" t="str">
            <v>defsi</v>
          </cell>
        </row>
        <row r="4018">
          <cell r="B4018" t="b">
            <v>1</v>
          </cell>
          <cell r="E4018" t="str">
            <v>Socorro</v>
          </cell>
          <cell r="H4018" t="str">
            <v>salud_oral</v>
          </cell>
          <cell r="J4018" t="str">
            <v>bueno</v>
          </cell>
          <cell r="K4018" t="str">
            <v>defsi</v>
          </cell>
        </row>
        <row r="4019">
          <cell r="B4019" t="b">
            <v>1</v>
          </cell>
          <cell r="E4019" t="str">
            <v>Socorro</v>
          </cell>
          <cell r="H4019" t="str">
            <v>laboratorio</v>
          </cell>
          <cell r="J4019" t="str">
            <v>bueno</v>
          </cell>
          <cell r="K4019" t="str">
            <v>defsi</v>
          </cell>
        </row>
        <row r="4020">
          <cell r="B4020" t="b">
            <v>1</v>
          </cell>
          <cell r="E4020" t="str">
            <v>Socorro</v>
          </cell>
          <cell r="H4020" t="str">
            <v>laboratorio</v>
          </cell>
          <cell r="J4020" t="str">
            <v>bueno</v>
          </cell>
          <cell r="K4020" t="str">
            <v>defsi</v>
          </cell>
        </row>
        <row r="4021">
          <cell r="B4021" t="b">
            <v>1</v>
          </cell>
          <cell r="E4021" t="str">
            <v>Socorro</v>
          </cell>
          <cell r="H4021" t="str">
            <v>consulta_externa</v>
          </cell>
          <cell r="J4021" t="str">
            <v>bueno</v>
          </cell>
          <cell r="K4021" t="str">
            <v>defsi</v>
          </cell>
        </row>
        <row r="4022">
          <cell r="B4022" t="b">
            <v>1</v>
          </cell>
          <cell r="E4022" t="str">
            <v>Socorro</v>
          </cell>
          <cell r="H4022" t="str">
            <v>salud_oral</v>
          </cell>
          <cell r="J4022" t="str">
            <v>bueno</v>
          </cell>
          <cell r="K4022" t="str">
            <v>defsi</v>
          </cell>
        </row>
        <row r="4023">
          <cell r="B4023" t="b">
            <v>1</v>
          </cell>
          <cell r="E4023" t="str">
            <v>Socorro</v>
          </cell>
          <cell r="H4023" t="str">
            <v>laboratorio</v>
          </cell>
          <cell r="J4023" t="str">
            <v>bueno</v>
          </cell>
          <cell r="K4023" t="str">
            <v>defsi</v>
          </cell>
        </row>
        <row r="4024">
          <cell r="B4024" t="b">
            <v>1</v>
          </cell>
          <cell r="E4024" t="str">
            <v>Socorro</v>
          </cell>
          <cell r="H4024" t="str">
            <v>ecografias</v>
          </cell>
          <cell r="J4024" t="str">
            <v>bueno</v>
          </cell>
          <cell r="K4024" t="str">
            <v>defsi</v>
          </cell>
        </row>
        <row r="4025">
          <cell r="B4025" t="b">
            <v>1</v>
          </cell>
          <cell r="E4025" t="str">
            <v>Socorro</v>
          </cell>
          <cell r="H4025" t="str">
            <v>consulta_externa</v>
          </cell>
          <cell r="J4025" t="str">
            <v>bueno</v>
          </cell>
          <cell r="K4025" t="str">
            <v>defsi</v>
          </cell>
        </row>
        <row r="4026">
          <cell r="B4026" t="b">
            <v>1</v>
          </cell>
          <cell r="E4026" t="str">
            <v>Socorro</v>
          </cell>
          <cell r="H4026" t="str">
            <v>salud_oral</v>
          </cell>
          <cell r="J4026" t="str">
            <v>bueno</v>
          </cell>
          <cell r="K4026" t="str">
            <v>defsi</v>
          </cell>
        </row>
        <row r="4027">
          <cell r="B4027" t="b">
            <v>1</v>
          </cell>
          <cell r="E4027" t="str">
            <v>Socorro</v>
          </cell>
          <cell r="H4027" t="str">
            <v>laboratorio</v>
          </cell>
          <cell r="J4027" t="str">
            <v>bueno</v>
          </cell>
          <cell r="K4027" t="str">
            <v>defsi</v>
          </cell>
        </row>
        <row r="4028">
          <cell r="B4028" t="b">
            <v>1</v>
          </cell>
          <cell r="E4028" t="str">
            <v>Socorro</v>
          </cell>
          <cell r="H4028" t="str">
            <v>consulta_externa</v>
          </cell>
          <cell r="J4028" t="str">
            <v>bueno</v>
          </cell>
          <cell r="K4028" t="str">
            <v>defsi</v>
          </cell>
        </row>
        <row r="4029">
          <cell r="B4029" t="b">
            <v>1</v>
          </cell>
          <cell r="E4029" t="str">
            <v>Socorro</v>
          </cell>
          <cell r="H4029" t="str">
            <v>salud_oral</v>
          </cell>
          <cell r="J4029" t="str">
            <v>bueno</v>
          </cell>
          <cell r="K4029" t="str">
            <v>defsi</v>
          </cell>
        </row>
        <row r="4030">
          <cell r="B4030" t="b">
            <v>1</v>
          </cell>
          <cell r="E4030" t="str">
            <v>Socorro</v>
          </cell>
          <cell r="H4030" t="str">
            <v>laboratorio</v>
          </cell>
          <cell r="J4030" t="str">
            <v>bueno</v>
          </cell>
          <cell r="K4030" t="str">
            <v>defsi</v>
          </cell>
        </row>
        <row r="4031">
          <cell r="B4031" t="b">
            <v>1</v>
          </cell>
          <cell r="E4031" t="str">
            <v>Socorro</v>
          </cell>
          <cell r="H4031" t="str">
            <v>consulta_externa</v>
          </cell>
          <cell r="J4031" t="str">
            <v>bueno</v>
          </cell>
          <cell r="K4031" t="str">
            <v>defsi</v>
          </cell>
        </row>
        <row r="4032">
          <cell r="B4032" t="b">
            <v>1</v>
          </cell>
          <cell r="E4032" t="str">
            <v>Socorro</v>
          </cell>
          <cell r="H4032" t="str">
            <v>salud_oral</v>
          </cell>
          <cell r="J4032" t="str">
            <v>bueno</v>
          </cell>
          <cell r="K4032" t="str">
            <v>defsi</v>
          </cell>
        </row>
        <row r="4033">
          <cell r="B4033" t="b">
            <v>1</v>
          </cell>
          <cell r="E4033" t="str">
            <v>Socorro</v>
          </cell>
          <cell r="H4033" t="str">
            <v>laboratorio</v>
          </cell>
          <cell r="J4033" t="str">
            <v>bueno</v>
          </cell>
          <cell r="K4033" t="str">
            <v>defsi</v>
          </cell>
        </row>
        <row r="4034">
          <cell r="B4034" t="b">
            <v>1</v>
          </cell>
          <cell r="E4034" t="str">
            <v>Socorro</v>
          </cell>
          <cell r="H4034" t="str">
            <v>consulta_externa</v>
          </cell>
          <cell r="J4034" t="str">
            <v>bueno</v>
          </cell>
          <cell r="K4034" t="str">
            <v>defsi</v>
          </cell>
        </row>
        <row r="4035">
          <cell r="B4035" t="b">
            <v>1</v>
          </cell>
          <cell r="E4035" t="str">
            <v>Socorro</v>
          </cell>
          <cell r="H4035" t="str">
            <v>salud_oral</v>
          </cell>
          <cell r="J4035" t="str">
            <v>bueno</v>
          </cell>
          <cell r="K4035" t="str">
            <v>defsi</v>
          </cell>
        </row>
        <row r="4036">
          <cell r="B4036" t="b">
            <v>1</v>
          </cell>
          <cell r="E4036" t="str">
            <v>Socorro</v>
          </cell>
          <cell r="H4036" t="str">
            <v>laboratorio</v>
          </cell>
          <cell r="J4036" t="str">
            <v>bueno</v>
          </cell>
          <cell r="K4036" t="str">
            <v>defsi</v>
          </cell>
        </row>
        <row r="4037">
          <cell r="B4037" t="b">
            <v>1</v>
          </cell>
          <cell r="E4037" t="str">
            <v>Puerto Rey</v>
          </cell>
          <cell r="H4037" t="str">
            <v>consulta_externa</v>
          </cell>
          <cell r="J4037" t="str">
            <v>bueno</v>
          </cell>
          <cell r="K4037" t="str">
            <v>defsi</v>
          </cell>
        </row>
        <row r="4038">
          <cell r="B4038" t="b">
            <v>1</v>
          </cell>
          <cell r="E4038" t="str">
            <v>Puerto Rey</v>
          </cell>
          <cell r="H4038" t="str">
            <v>salud_oral</v>
          </cell>
          <cell r="J4038" t="str">
            <v>bueno</v>
          </cell>
          <cell r="K4038" t="str">
            <v>defsi</v>
          </cell>
        </row>
        <row r="4039">
          <cell r="B4039" t="b">
            <v>1</v>
          </cell>
          <cell r="E4039" t="str">
            <v>Puerto Rey</v>
          </cell>
          <cell r="H4039" t="str">
            <v>consulta_externa</v>
          </cell>
          <cell r="J4039" t="str">
            <v>bueno</v>
          </cell>
          <cell r="K4039" t="str">
            <v>defsi</v>
          </cell>
        </row>
        <row r="4040">
          <cell r="B4040" t="b">
            <v>1</v>
          </cell>
          <cell r="E4040" t="str">
            <v>Puerto Rey</v>
          </cell>
          <cell r="H4040" t="str">
            <v>consulta_externa</v>
          </cell>
          <cell r="J4040" t="str">
            <v>bueno</v>
          </cell>
          <cell r="K4040" t="str">
            <v>defsi</v>
          </cell>
        </row>
        <row r="4041">
          <cell r="B4041" t="b">
            <v>1</v>
          </cell>
          <cell r="E4041" t="str">
            <v>Puerto Rey</v>
          </cell>
          <cell r="H4041" t="str">
            <v>laboratorio</v>
          </cell>
          <cell r="J4041" t="str">
            <v>bueno</v>
          </cell>
          <cell r="K4041" t="str">
            <v>defsi</v>
          </cell>
        </row>
        <row r="4042">
          <cell r="B4042" t="b">
            <v>1</v>
          </cell>
          <cell r="E4042" t="str">
            <v>Puerto Rey</v>
          </cell>
          <cell r="H4042" t="str">
            <v>salud_oral</v>
          </cell>
          <cell r="J4042" t="str">
            <v>bueno</v>
          </cell>
          <cell r="K4042" t="str">
            <v>defsi</v>
          </cell>
        </row>
        <row r="4043">
          <cell r="B4043" t="b">
            <v>1</v>
          </cell>
          <cell r="E4043" t="str">
            <v>Santa Ana</v>
          </cell>
          <cell r="H4043" t="str">
            <v>consulta_externa</v>
          </cell>
          <cell r="J4043" t="str">
            <v>muybueno</v>
          </cell>
          <cell r="K4043" t="str">
            <v>defsi</v>
          </cell>
        </row>
        <row r="4044">
          <cell r="B4044" t="b">
            <v>1</v>
          </cell>
          <cell r="E4044" t="str">
            <v>Santa Ana</v>
          </cell>
          <cell r="H4044" t="str">
            <v>salud_oral</v>
          </cell>
          <cell r="J4044" t="str">
            <v>muybueno</v>
          </cell>
          <cell r="K4044" t="str">
            <v>defsi</v>
          </cell>
        </row>
        <row r="4045">
          <cell r="B4045" t="b">
            <v>1</v>
          </cell>
          <cell r="E4045" t="str">
            <v>Puerto Rey</v>
          </cell>
          <cell r="H4045" t="str">
            <v>consulta_externa</v>
          </cell>
          <cell r="J4045" t="str">
            <v>bueno</v>
          </cell>
          <cell r="K4045" t="str">
            <v>defsi</v>
          </cell>
        </row>
        <row r="4046">
          <cell r="B4046" t="b">
            <v>1</v>
          </cell>
          <cell r="E4046" t="str">
            <v>Puerto Rey</v>
          </cell>
          <cell r="H4046" t="str">
            <v>consulta_externa</v>
          </cell>
          <cell r="J4046" t="str">
            <v>bueno</v>
          </cell>
          <cell r="K4046" t="str">
            <v>defsi</v>
          </cell>
        </row>
        <row r="4047">
          <cell r="B4047" t="b">
            <v>1</v>
          </cell>
          <cell r="E4047" t="str">
            <v>Puerto Rey</v>
          </cell>
          <cell r="H4047" t="str">
            <v>salud_oral</v>
          </cell>
          <cell r="J4047" t="str">
            <v>bueno</v>
          </cell>
          <cell r="K4047" t="str">
            <v>probsi</v>
          </cell>
        </row>
        <row r="4048">
          <cell r="B4048" t="b">
            <v>1</v>
          </cell>
          <cell r="E4048" t="str">
            <v>Hospital Pozon</v>
          </cell>
          <cell r="H4048" t="str">
            <v>consulta_externa</v>
          </cell>
          <cell r="J4048" t="str">
            <v>bueno</v>
          </cell>
          <cell r="K4048" t="str">
            <v>probsi</v>
          </cell>
        </row>
        <row r="4049">
          <cell r="B4049" t="b">
            <v>1</v>
          </cell>
          <cell r="E4049" t="str">
            <v>Hospital Pozon</v>
          </cell>
          <cell r="H4049" t="str">
            <v>salud_oral</v>
          </cell>
          <cell r="J4049" t="str">
            <v>bueno</v>
          </cell>
          <cell r="K4049" t="str">
            <v>probsi</v>
          </cell>
        </row>
        <row r="4050">
          <cell r="B4050" t="b">
            <v>1</v>
          </cell>
          <cell r="E4050" t="str">
            <v>Santa Ana</v>
          </cell>
          <cell r="H4050" t="str">
            <v>consulta_externa</v>
          </cell>
          <cell r="J4050" t="str">
            <v>muybueno</v>
          </cell>
          <cell r="K4050" t="str">
            <v>defsi</v>
          </cell>
        </row>
        <row r="4051">
          <cell r="B4051" t="b">
            <v>1</v>
          </cell>
          <cell r="E4051" t="str">
            <v>Hospital Pozon</v>
          </cell>
          <cell r="H4051" t="str">
            <v>laboratorio</v>
          </cell>
          <cell r="J4051" t="str">
            <v>bueno</v>
          </cell>
          <cell r="K4051" t="str">
            <v>probsi</v>
          </cell>
        </row>
        <row r="4052">
          <cell r="B4052" t="b">
            <v>1</v>
          </cell>
          <cell r="E4052" t="str">
            <v>Santa Ana</v>
          </cell>
          <cell r="H4052" t="str">
            <v>laboratorio</v>
          </cell>
          <cell r="J4052" t="str">
            <v>muybueno</v>
          </cell>
          <cell r="K4052" t="str">
            <v>defsi</v>
          </cell>
        </row>
        <row r="4053">
          <cell r="B4053" t="b">
            <v>1</v>
          </cell>
          <cell r="E4053" t="str">
            <v>Hospital Pozon</v>
          </cell>
          <cell r="H4053" t="str">
            <v>consulta_externa</v>
          </cell>
          <cell r="J4053" t="str">
            <v>bueno</v>
          </cell>
          <cell r="K4053" t="str">
            <v>probsi</v>
          </cell>
        </row>
        <row r="4054">
          <cell r="B4054" t="b">
            <v>1</v>
          </cell>
          <cell r="E4054" t="str">
            <v>Hospital Pozon</v>
          </cell>
          <cell r="H4054" t="str">
            <v>ecografias</v>
          </cell>
          <cell r="J4054" t="str">
            <v>bueno</v>
          </cell>
          <cell r="K4054" t="str">
            <v>probsi</v>
          </cell>
        </row>
        <row r="4055">
          <cell r="B4055" t="b">
            <v>1</v>
          </cell>
          <cell r="E4055" t="str">
            <v>Hospital Pozon</v>
          </cell>
          <cell r="H4055" t="str">
            <v>salud_oral</v>
          </cell>
          <cell r="J4055" t="str">
            <v>bueno</v>
          </cell>
          <cell r="K4055" t="str">
            <v>probsi</v>
          </cell>
        </row>
        <row r="4056">
          <cell r="B4056" t="b">
            <v>0</v>
          </cell>
          <cell r="E4056" t="str">
            <v>Hospital Pozon</v>
          </cell>
          <cell r="H4056" t="str">
            <v>urgencia</v>
          </cell>
          <cell r="J4056" t="str">
            <v>malo</v>
          </cell>
          <cell r="K4056" t="str">
            <v>probno</v>
          </cell>
        </row>
        <row r="4057">
          <cell r="B4057" t="b">
            <v>1</v>
          </cell>
          <cell r="E4057" t="str">
            <v>Pasacaballos</v>
          </cell>
          <cell r="H4057" t="str">
            <v>consulta_externa</v>
          </cell>
          <cell r="J4057" t="str">
            <v>bueno</v>
          </cell>
          <cell r="K4057" t="str">
            <v>defsi</v>
          </cell>
        </row>
        <row r="4058">
          <cell r="B4058" t="b">
            <v>1</v>
          </cell>
          <cell r="E4058" t="str">
            <v>Hospital Pozon</v>
          </cell>
          <cell r="H4058" t="str">
            <v>consulta_externa</v>
          </cell>
          <cell r="J4058" t="str">
            <v>bueno</v>
          </cell>
          <cell r="K4058" t="str">
            <v>probsi</v>
          </cell>
        </row>
        <row r="4059">
          <cell r="B4059" t="b">
            <v>1</v>
          </cell>
          <cell r="E4059" t="str">
            <v>Hospital Pozon</v>
          </cell>
          <cell r="H4059" t="str">
            <v>salud_oral</v>
          </cell>
          <cell r="J4059" t="str">
            <v>bueno</v>
          </cell>
          <cell r="K4059" t="str">
            <v>probsi</v>
          </cell>
        </row>
        <row r="4060">
          <cell r="B4060" t="b">
            <v>1</v>
          </cell>
          <cell r="E4060" t="str">
            <v>Hospital Pozon</v>
          </cell>
          <cell r="H4060" t="str">
            <v>laboratorio</v>
          </cell>
          <cell r="J4060" t="str">
            <v>bueno</v>
          </cell>
          <cell r="K4060" t="str">
            <v>probsi</v>
          </cell>
        </row>
        <row r="4061">
          <cell r="B4061" t="b">
            <v>1</v>
          </cell>
          <cell r="E4061" t="str">
            <v>Hospital Pozon</v>
          </cell>
          <cell r="H4061" t="str">
            <v>consulta_externa</v>
          </cell>
          <cell r="J4061" t="str">
            <v>bueno</v>
          </cell>
          <cell r="K4061" t="str">
            <v>probsi</v>
          </cell>
        </row>
        <row r="4062">
          <cell r="B4062" t="b">
            <v>1</v>
          </cell>
          <cell r="E4062" t="str">
            <v>Pasacaballos</v>
          </cell>
          <cell r="H4062" t="str">
            <v>salud_oral</v>
          </cell>
          <cell r="J4062" t="str">
            <v>bueno</v>
          </cell>
          <cell r="K4062" t="str">
            <v>defsi</v>
          </cell>
        </row>
        <row r="4063">
          <cell r="B4063" t="b">
            <v>1</v>
          </cell>
          <cell r="E4063" t="str">
            <v>Hospital Pozon</v>
          </cell>
          <cell r="H4063" t="str">
            <v>salud_oral</v>
          </cell>
          <cell r="J4063" t="str">
            <v>bueno</v>
          </cell>
          <cell r="K4063" t="str">
            <v>probsi</v>
          </cell>
        </row>
        <row r="4064">
          <cell r="B4064" t="b">
            <v>1</v>
          </cell>
          <cell r="E4064" t="str">
            <v>Hospital Pozon</v>
          </cell>
          <cell r="H4064" t="str">
            <v>laboratorio</v>
          </cell>
          <cell r="J4064" t="str">
            <v>bueno</v>
          </cell>
          <cell r="K4064" t="str">
            <v>probsi</v>
          </cell>
        </row>
        <row r="4065">
          <cell r="B4065" t="b">
            <v>1</v>
          </cell>
          <cell r="E4065" t="str">
            <v>Pasacaballos</v>
          </cell>
          <cell r="H4065" t="str">
            <v>laboratorio</v>
          </cell>
          <cell r="J4065" t="str">
            <v>bueno</v>
          </cell>
          <cell r="K4065" t="str">
            <v>defsi</v>
          </cell>
        </row>
        <row r="4066">
          <cell r="B4066" t="b">
            <v>1</v>
          </cell>
          <cell r="E4066" t="str">
            <v>Hospital Pozon</v>
          </cell>
          <cell r="H4066" t="str">
            <v>rx</v>
          </cell>
          <cell r="J4066" t="str">
            <v>bueno</v>
          </cell>
          <cell r="K4066" t="str">
            <v>probsi</v>
          </cell>
        </row>
        <row r="4067">
          <cell r="B4067" t="b">
            <v>1</v>
          </cell>
          <cell r="E4067" t="str">
            <v>Hospital Pozon</v>
          </cell>
          <cell r="H4067" t="str">
            <v>rx</v>
          </cell>
          <cell r="J4067" t="str">
            <v>bueno</v>
          </cell>
          <cell r="K4067" t="str">
            <v>probsi</v>
          </cell>
        </row>
        <row r="4068">
          <cell r="B4068" t="b">
            <v>1</v>
          </cell>
          <cell r="E4068" t="str">
            <v>Pasacaballos</v>
          </cell>
          <cell r="H4068" t="str">
            <v>urgencia</v>
          </cell>
          <cell r="J4068" t="str">
            <v>bueno</v>
          </cell>
          <cell r="K4068" t="str">
            <v>defsi</v>
          </cell>
        </row>
        <row r="4069">
          <cell r="B4069" t="b">
            <v>1</v>
          </cell>
          <cell r="E4069" t="str">
            <v>Hospital Pozon</v>
          </cell>
          <cell r="H4069" t="str">
            <v>salud_oral</v>
          </cell>
          <cell r="J4069" t="str">
            <v>bueno</v>
          </cell>
          <cell r="K4069" t="str">
            <v>probsi</v>
          </cell>
        </row>
        <row r="4070">
          <cell r="B4070" t="b">
            <v>1</v>
          </cell>
          <cell r="E4070" t="str">
            <v>Pasacaballos</v>
          </cell>
          <cell r="H4070" t="str">
            <v>consulta_externa</v>
          </cell>
          <cell r="J4070" t="str">
            <v>bueno</v>
          </cell>
          <cell r="K4070" t="str">
            <v>defsi</v>
          </cell>
        </row>
        <row r="4071">
          <cell r="B4071" t="b">
            <v>1</v>
          </cell>
          <cell r="E4071" t="str">
            <v>Pasacaballos</v>
          </cell>
          <cell r="H4071" t="str">
            <v>salud_oral</v>
          </cell>
          <cell r="J4071" t="str">
            <v>bueno</v>
          </cell>
          <cell r="K4071" t="str">
            <v>defsi</v>
          </cell>
        </row>
        <row r="4072">
          <cell r="B4072" t="b">
            <v>1</v>
          </cell>
          <cell r="E4072" t="str">
            <v>Hospital Pozon</v>
          </cell>
          <cell r="H4072" t="str">
            <v>consulta_externa</v>
          </cell>
          <cell r="J4072" t="str">
            <v>bueno</v>
          </cell>
          <cell r="K4072" t="str">
            <v>probsi</v>
          </cell>
        </row>
        <row r="4073">
          <cell r="B4073" t="b">
            <v>1</v>
          </cell>
          <cell r="E4073" t="str">
            <v>Hospital Pozon</v>
          </cell>
          <cell r="H4073" t="str">
            <v>salud_oral</v>
          </cell>
          <cell r="J4073" t="str">
            <v>bueno</v>
          </cell>
          <cell r="K4073" t="str">
            <v>probsi</v>
          </cell>
        </row>
        <row r="4074">
          <cell r="B4074" t="b">
            <v>1</v>
          </cell>
          <cell r="E4074" t="str">
            <v>Pasacaballos</v>
          </cell>
          <cell r="H4074" t="str">
            <v>laboratorio</v>
          </cell>
          <cell r="J4074" t="str">
            <v>bueno</v>
          </cell>
          <cell r="K4074" t="str">
            <v>defsi</v>
          </cell>
        </row>
        <row r="4075">
          <cell r="B4075" t="b">
            <v>1</v>
          </cell>
          <cell r="E4075" t="str">
            <v>Hospital Pozon</v>
          </cell>
          <cell r="H4075" t="str">
            <v>urgencia</v>
          </cell>
          <cell r="J4075" t="str">
            <v>bueno</v>
          </cell>
          <cell r="K4075" t="str">
            <v>probsi</v>
          </cell>
        </row>
        <row r="4076">
          <cell r="B4076" t="b">
            <v>1</v>
          </cell>
          <cell r="E4076" t="str">
            <v>Pasacaballos</v>
          </cell>
          <cell r="H4076" t="str">
            <v>urgencia</v>
          </cell>
          <cell r="J4076" t="str">
            <v>bueno</v>
          </cell>
          <cell r="K4076" t="str">
            <v>defsi</v>
          </cell>
        </row>
        <row r="4077">
          <cell r="B4077" t="b">
            <v>0</v>
          </cell>
          <cell r="E4077" t="str">
            <v>Hospital Pozon</v>
          </cell>
          <cell r="H4077" t="str">
            <v>consulta_externa</v>
          </cell>
          <cell r="J4077" t="str">
            <v>regular</v>
          </cell>
          <cell r="K4077" t="str">
            <v>probsi</v>
          </cell>
        </row>
        <row r="4078">
          <cell r="B4078" t="b">
            <v>1</v>
          </cell>
          <cell r="E4078" t="str">
            <v>Pasacaballos</v>
          </cell>
          <cell r="H4078" t="str">
            <v>consulta_externa</v>
          </cell>
          <cell r="J4078" t="str">
            <v>bueno</v>
          </cell>
          <cell r="K4078" t="str">
            <v>defsi</v>
          </cell>
        </row>
        <row r="4079">
          <cell r="B4079" t="b">
            <v>0</v>
          </cell>
          <cell r="E4079" t="str">
            <v>Hospital Pozon</v>
          </cell>
          <cell r="H4079" t="str">
            <v>consulta_externa</v>
          </cell>
          <cell r="J4079" t="str">
            <v>regular</v>
          </cell>
          <cell r="K4079" t="str">
            <v>probsi</v>
          </cell>
        </row>
        <row r="4080">
          <cell r="B4080" t="b">
            <v>1</v>
          </cell>
          <cell r="E4080" t="str">
            <v>Hospital Pozon</v>
          </cell>
          <cell r="H4080" t="str">
            <v>urgencia</v>
          </cell>
          <cell r="J4080" t="str">
            <v>bueno</v>
          </cell>
          <cell r="K4080" t="str">
            <v>probsi</v>
          </cell>
        </row>
        <row r="4081">
          <cell r="B4081" t="b">
            <v>1</v>
          </cell>
          <cell r="E4081" t="str">
            <v>Pasacaballos</v>
          </cell>
          <cell r="H4081" t="str">
            <v>salud_oral</v>
          </cell>
          <cell r="J4081" t="str">
            <v>bueno</v>
          </cell>
          <cell r="K4081" t="str">
            <v>defsi</v>
          </cell>
        </row>
        <row r="4082">
          <cell r="B4082" t="b">
            <v>1</v>
          </cell>
          <cell r="E4082" t="str">
            <v>Pasacaballos</v>
          </cell>
          <cell r="H4082" t="str">
            <v>laboratorio</v>
          </cell>
          <cell r="J4082" t="str">
            <v>bueno</v>
          </cell>
          <cell r="K4082" t="str">
            <v>defsi</v>
          </cell>
        </row>
        <row r="4083">
          <cell r="B4083" t="b">
            <v>0</v>
          </cell>
          <cell r="E4083" t="str">
            <v>Hospital Pozon</v>
          </cell>
          <cell r="H4083" t="str">
            <v>consulta_externa</v>
          </cell>
          <cell r="J4083" t="str">
            <v>regular</v>
          </cell>
          <cell r="K4083" t="str">
            <v>probsi</v>
          </cell>
        </row>
        <row r="4084">
          <cell r="B4084" t="b">
            <v>1</v>
          </cell>
          <cell r="E4084" t="str">
            <v>Santa Ana</v>
          </cell>
          <cell r="H4084" t="str">
            <v>consulta_externa</v>
          </cell>
          <cell r="J4084" t="str">
            <v>muybueno</v>
          </cell>
          <cell r="K4084" t="str">
            <v>defsi</v>
          </cell>
        </row>
        <row r="4085">
          <cell r="B4085" t="b">
            <v>1</v>
          </cell>
          <cell r="E4085" t="str">
            <v>Santa Ana</v>
          </cell>
          <cell r="H4085" t="str">
            <v>laboratorio</v>
          </cell>
          <cell r="J4085" t="str">
            <v>muybueno</v>
          </cell>
          <cell r="K4085" t="str">
            <v>defsi</v>
          </cell>
        </row>
        <row r="4086">
          <cell r="B4086" t="b">
            <v>1</v>
          </cell>
          <cell r="E4086" t="str">
            <v>Tierra Baja</v>
          </cell>
          <cell r="H4086" t="str">
            <v>consulta_externa</v>
          </cell>
          <cell r="J4086" t="str">
            <v>bueno</v>
          </cell>
          <cell r="K4086" t="str">
            <v>probsi</v>
          </cell>
        </row>
        <row r="4087">
          <cell r="B4087" t="b">
            <v>1</v>
          </cell>
          <cell r="E4087" t="str">
            <v>Hospital Pozon</v>
          </cell>
          <cell r="H4087" t="str">
            <v>consulta_externa</v>
          </cell>
          <cell r="J4087" t="str">
            <v>bueno</v>
          </cell>
          <cell r="K4087" t="str">
            <v>probsi</v>
          </cell>
        </row>
        <row r="4088">
          <cell r="B4088" t="b">
            <v>1</v>
          </cell>
          <cell r="E4088" t="str">
            <v>Hospital Pozon</v>
          </cell>
          <cell r="H4088" t="str">
            <v>consulta_externa</v>
          </cell>
          <cell r="J4088" t="str">
            <v>bueno</v>
          </cell>
          <cell r="K4088" t="str">
            <v>probsi</v>
          </cell>
        </row>
        <row r="4089">
          <cell r="B4089" t="b">
            <v>1</v>
          </cell>
          <cell r="E4089" t="str">
            <v>Hospital Pozon</v>
          </cell>
          <cell r="H4089" t="str">
            <v>salud_oral</v>
          </cell>
          <cell r="J4089" t="str">
            <v>bueno</v>
          </cell>
          <cell r="K4089" t="str">
            <v>probsi</v>
          </cell>
        </row>
        <row r="4090">
          <cell r="B4090" t="b">
            <v>1</v>
          </cell>
          <cell r="E4090" t="str">
            <v>Hospital Pozon</v>
          </cell>
          <cell r="H4090" t="str">
            <v>consulta_externa</v>
          </cell>
          <cell r="J4090" t="str">
            <v>bueno</v>
          </cell>
          <cell r="K4090" t="str">
            <v>probsi</v>
          </cell>
        </row>
        <row r="4091">
          <cell r="B4091" t="b">
            <v>1</v>
          </cell>
          <cell r="E4091" t="str">
            <v>Pasacaballos</v>
          </cell>
          <cell r="H4091" t="str">
            <v>urgencia</v>
          </cell>
          <cell r="J4091" t="str">
            <v>bueno</v>
          </cell>
          <cell r="K4091" t="str">
            <v>defsi</v>
          </cell>
        </row>
        <row r="4092">
          <cell r="B4092" t="b">
            <v>1</v>
          </cell>
          <cell r="E4092" t="str">
            <v>Hospital Pozon</v>
          </cell>
          <cell r="H4092" t="str">
            <v>consulta_externa</v>
          </cell>
          <cell r="J4092" t="str">
            <v>bueno</v>
          </cell>
          <cell r="K4092" t="str">
            <v>probsi</v>
          </cell>
        </row>
        <row r="4093">
          <cell r="B4093" t="b">
            <v>1</v>
          </cell>
          <cell r="E4093" t="str">
            <v>Hospital Pozon</v>
          </cell>
          <cell r="H4093" t="str">
            <v>rx</v>
          </cell>
          <cell r="J4093" t="str">
            <v>bueno</v>
          </cell>
          <cell r="K4093" t="str">
            <v>probsi</v>
          </cell>
        </row>
        <row r="4094">
          <cell r="B4094" t="b">
            <v>1</v>
          </cell>
          <cell r="E4094" t="str">
            <v>Pasacaballos</v>
          </cell>
          <cell r="H4094" t="str">
            <v>consulta_externa</v>
          </cell>
          <cell r="J4094" t="str">
            <v>bueno</v>
          </cell>
          <cell r="K4094" t="str">
            <v>defsi</v>
          </cell>
        </row>
        <row r="4095">
          <cell r="B4095" t="b">
            <v>1</v>
          </cell>
          <cell r="E4095" t="str">
            <v>Pasacaballos</v>
          </cell>
          <cell r="H4095" t="str">
            <v>salud_oral</v>
          </cell>
          <cell r="J4095" t="str">
            <v>bueno</v>
          </cell>
          <cell r="K4095" t="str">
            <v>defsi</v>
          </cell>
        </row>
        <row r="4096">
          <cell r="B4096" t="b">
            <v>1</v>
          </cell>
          <cell r="E4096" t="str">
            <v>Pasacaballos</v>
          </cell>
          <cell r="H4096" t="str">
            <v>laboratorio</v>
          </cell>
          <cell r="J4096" t="str">
            <v>bueno</v>
          </cell>
          <cell r="K4096" t="str">
            <v>defsi</v>
          </cell>
        </row>
        <row r="4097">
          <cell r="B4097" t="b">
            <v>1</v>
          </cell>
          <cell r="E4097" t="str">
            <v>Santa Ana</v>
          </cell>
          <cell r="H4097" t="str">
            <v>salud_oral</v>
          </cell>
          <cell r="J4097" t="str">
            <v>muybueno</v>
          </cell>
          <cell r="K4097" t="str">
            <v>defsi</v>
          </cell>
        </row>
        <row r="4098">
          <cell r="B4098" t="b">
            <v>1</v>
          </cell>
          <cell r="E4098" t="str">
            <v>Pasacaballos</v>
          </cell>
          <cell r="H4098" t="str">
            <v>urgencia</v>
          </cell>
          <cell r="J4098" t="str">
            <v>bueno</v>
          </cell>
          <cell r="K4098" t="str">
            <v>defsi</v>
          </cell>
        </row>
        <row r="4099">
          <cell r="B4099" t="b">
            <v>1</v>
          </cell>
          <cell r="E4099" t="str">
            <v>Hospital Pozon</v>
          </cell>
          <cell r="H4099" t="str">
            <v>consulta_externa</v>
          </cell>
          <cell r="J4099" t="str">
            <v>bueno</v>
          </cell>
          <cell r="K4099" t="str">
            <v>probsi</v>
          </cell>
        </row>
        <row r="4100">
          <cell r="B4100" t="b">
            <v>1</v>
          </cell>
          <cell r="E4100" t="str">
            <v>Hospital Pozon</v>
          </cell>
          <cell r="H4100" t="str">
            <v>salud_oral</v>
          </cell>
          <cell r="J4100" t="str">
            <v>bueno</v>
          </cell>
          <cell r="K4100" t="str">
            <v>probsi</v>
          </cell>
        </row>
        <row r="4101">
          <cell r="B4101" t="b">
            <v>1</v>
          </cell>
          <cell r="E4101" t="str">
            <v>Santa Ana</v>
          </cell>
          <cell r="H4101" t="str">
            <v>consulta_externa</v>
          </cell>
          <cell r="J4101" t="str">
            <v>muybueno</v>
          </cell>
          <cell r="K4101" t="str">
            <v>defsi</v>
          </cell>
        </row>
        <row r="4102">
          <cell r="B4102" t="b">
            <v>1</v>
          </cell>
          <cell r="E4102" t="str">
            <v>Santa Ana</v>
          </cell>
          <cell r="H4102" t="str">
            <v>laboratorio</v>
          </cell>
          <cell r="J4102" t="str">
            <v>muybueno</v>
          </cell>
          <cell r="K4102" t="str">
            <v>defsi</v>
          </cell>
        </row>
        <row r="4103">
          <cell r="B4103" t="b">
            <v>1</v>
          </cell>
          <cell r="E4103" t="str">
            <v>Hospital Pozon</v>
          </cell>
          <cell r="H4103" t="str">
            <v>consulta_externa</v>
          </cell>
          <cell r="J4103" t="str">
            <v>bueno</v>
          </cell>
          <cell r="K4103" t="str">
            <v>probsi</v>
          </cell>
        </row>
        <row r="4104">
          <cell r="B4104" t="b">
            <v>1</v>
          </cell>
          <cell r="E4104" t="str">
            <v>Hospital Pozon</v>
          </cell>
          <cell r="H4104" t="str">
            <v>salud_oral</v>
          </cell>
          <cell r="J4104" t="str">
            <v>bueno</v>
          </cell>
          <cell r="K4104" t="str">
            <v>probsi</v>
          </cell>
        </row>
        <row r="4105">
          <cell r="B4105" t="b">
            <v>1</v>
          </cell>
          <cell r="E4105" t="str">
            <v>Hospital Pozon</v>
          </cell>
          <cell r="H4105" t="str">
            <v>laboratorio</v>
          </cell>
          <cell r="J4105" t="str">
            <v>bueno</v>
          </cell>
          <cell r="K4105" t="str">
            <v>probsi</v>
          </cell>
        </row>
        <row r="4106">
          <cell r="B4106" t="b">
            <v>1</v>
          </cell>
          <cell r="E4106" t="str">
            <v>Pasacaballos</v>
          </cell>
          <cell r="H4106" t="str">
            <v>consulta_externa</v>
          </cell>
          <cell r="J4106" t="str">
            <v>bueno</v>
          </cell>
          <cell r="K4106" t="str">
            <v>defsi</v>
          </cell>
        </row>
        <row r="4107">
          <cell r="B4107" t="b">
            <v>1</v>
          </cell>
          <cell r="E4107" t="str">
            <v>Pasacaballos</v>
          </cell>
          <cell r="H4107" t="str">
            <v>salud_oral</v>
          </cell>
          <cell r="J4107" t="str">
            <v>bueno</v>
          </cell>
          <cell r="K4107" t="str">
            <v>defsi</v>
          </cell>
        </row>
        <row r="4108">
          <cell r="B4108" t="b">
            <v>0</v>
          </cell>
          <cell r="E4108" t="str">
            <v>Hospital Pozon</v>
          </cell>
          <cell r="H4108" t="str">
            <v>urgencia</v>
          </cell>
          <cell r="J4108" t="str">
            <v>malo</v>
          </cell>
          <cell r="K4108" t="str">
            <v>probsi</v>
          </cell>
        </row>
        <row r="4109">
          <cell r="B4109" t="b">
            <v>1</v>
          </cell>
          <cell r="E4109" t="str">
            <v>Santa Ana</v>
          </cell>
          <cell r="H4109" t="str">
            <v>consulta_externa</v>
          </cell>
          <cell r="J4109" t="str">
            <v>muybueno</v>
          </cell>
          <cell r="K4109" t="str">
            <v>defsi</v>
          </cell>
        </row>
        <row r="4110">
          <cell r="B4110" t="b">
            <v>1</v>
          </cell>
          <cell r="E4110" t="str">
            <v>Pasacaballos</v>
          </cell>
          <cell r="H4110" t="str">
            <v>laboratorio</v>
          </cell>
          <cell r="J4110" t="str">
            <v>bueno</v>
          </cell>
          <cell r="K4110" t="str">
            <v>defsi</v>
          </cell>
        </row>
        <row r="4111">
          <cell r="B4111" t="b">
            <v>0</v>
          </cell>
          <cell r="E4111" t="str">
            <v>Hospital Pozon</v>
          </cell>
          <cell r="H4111" t="str">
            <v>salud_oral</v>
          </cell>
          <cell r="J4111" t="str">
            <v>regular</v>
          </cell>
          <cell r="K4111" t="str">
            <v>probsi</v>
          </cell>
        </row>
        <row r="4112">
          <cell r="B4112" t="b">
            <v>1</v>
          </cell>
          <cell r="E4112" t="str">
            <v>Tierra Baja</v>
          </cell>
          <cell r="H4112" t="str">
            <v>salud_oral</v>
          </cell>
          <cell r="J4112" t="str">
            <v>bueno</v>
          </cell>
          <cell r="K4112" t="str">
            <v>probsi</v>
          </cell>
        </row>
        <row r="4113">
          <cell r="B4113" t="b">
            <v>1</v>
          </cell>
          <cell r="E4113" t="str">
            <v>Tierra Baja</v>
          </cell>
          <cell r="H4113" t="str">
            <v>salud_oral</v>
          </cell>
          <cell r="J4113" t="str">
            <v>bueno</v>
          </cell>
          <cell r="K4113" t="str">
            <v>probsi</v>
          </cell>
        </row>
        <row r="4114">
          <cell r="B4114" t="b">
            <v>0</v>
          </cell>
          <cell r="E4114" t="str">
            <v>Hospital Pozon</v>
          </cell>
          <cell r="H4114" t="str">
            <v>urgencia</v>
          </cell>
          <cell r="J4114" t="str">
            <v>regular</v>
          </cell>
          <cell r="K4114" t="str">
            <v>probsi</v>
          </cell>
        </row>
        <row r="4115">
          <cell r="B4115" t="b">
            <v>1</v>
          </cell>
          <cell r="E4115" t="str">
            <v>Tierra Baja</v>
          </cell>
          <cell r="H4115" t="str">
            <v>laboratorio</v>
          </cell>
          <cell r="J4115" t="str">
            <v>bueno</v>
          </cell>
          <cell r="K4115" t="str">
            <v>probsi</v>
          </cell>
        </row>
        <row r="4116">
          <cell r="B4116" t="b">
            <v>1</v>
          </cell>
          <cell r="E4116" t="str">
            <v>Santa Ana</v>
          </cell>
          <cell r="H4116" t="str">
            <v>laboratorio</v>
          </cell>
          <cell r="J4116" t="str">
            <v>muybueno</v>
          </cell>
          <cell r="K4116" t="str">
            <v>defsi</v>
          </cell>
        </row>
        <row r="4117">
          <cell r="B4117" t="b">
            <v>1</v>
          </cell>
          <cell r="E4117" t="str">
            <v>Pasacaballos</v>
          </cell>
          <cell r="H4117" t="str">
            <v>urgencia</v>
          </cell>
          <cell r="J4117" t="str">
            <v>bueno</v>
          </cell>
          <cell r="K4117" t="str">
            <v>defsi</v>
          </cell>
        </row>
        <row r="4118">
          <cell r="B4118" t="b">
            <v>1</v>
          </cell>
          <cell r="E4118" t="str">
            <v>Santa Ana</v>
          </cell>
          <cell r="H4118" t="str">
            <v>salud_oral</v>
          </cell>
          <cell r="J4118" t="str">
            <v>muybueno</v>
          </cell>
          <cell r="K4118" t="str">
            <v>defsi</v>
          </cell>
        </row>
        <row r="4119">
          <cell r="B4119" t="b">
            <v>1</v>
          </cell>
          <cell r="E4119" t="str">
            <v>Puerto Rey</v>
          </cell>
          <cell r="H4119" t="str">
            <v>salud_oral</v>
          </cell>
          <cell r="J4119" t="str">
            <v>bueno</v>
          </cell>
          <cell r="K4119" t="str">
            <v>defsi</v>
          </cell>
        </row>
        <row r="4120">
          <cell r="B4120" t="b">
            <v>1</v>
          </cell>
          <cell r="E4120" t="str">
            <v>Nelson Mandela UPA</v>
          </cell>
          <cell r="H4120" t="str">
            <v>consulta_externa</v>
          </cell>
          <cell r="J4120" t="str">
            <v>bueno</v>
          </cell>
          <cell r="K4120" t="str">
            <v>defsi</v>
          </cell>
        </row>
        <row r="4121">
          <cell r="B4121" t="b">
            <v>1</v>
          </cell>
          <cell r="E4121" t="str">
            <v>Puerto Rey</v>
          </cell>
          <cell r="H4121" t="str">
            <v>salud_oral</v>
          </cell>
          <cell r="J4121" t="str">
            <v>bueno</v>
          </cell>
          <cell r="K4121" t="str">
            <v>defsi</v>
          </cell>
        </row>
        <row r="4122">
          <cell r="B4122" t="b">
            <v>1</v>
          </cell>
          <cell r="E4122" t="str">
            <v>Puerto Rey</v>
          </cell>
          <cell r="H4122" t="str">
            <v>salud_oral</v>
          </cell>
          <cell r="J4122" t="str">
            <v>bueno</v>
          </cell>
          <cell r="K4122" t="str">
            <v>probsi</v>
          </cell>
        </row>
        <row r="4123">
          <cell r="B4123" t="b">
            <v>1</v>
          </cell>
          <cell r="E4123" t="str">
            <v>Puerto Rey</v>
          </cell>
          <cell r="H4123" t="str">
            <v>salud_oral</v>
          </cell>
          <cell r="J4123" t="str">
            <v>bueno</v>
          </cell>
          <cell r="K4123" t="str">
            <v>probsi</v>
          </cell>
        </row>
        <row r="4124">
          <cell r="B4124" t="b">
            <v>1</v>
          </cell>
          <cell r="E4124" t="str">
            <v>Nelson Mandela UPA</v>
          </cell>
          <cell r="H4124" t="str">
            <v>laboratorio</v>
          </cell>
          <cell r="J4124" t="str">
            <v>bueno</v>
          </cell>
          <cell r="K4124" t="str">
            <v>defsi</v>
          </cell>
        </row>
        <row r="4125">
          <cell r="B4125" t="b">
            <v>1</v>
          </cell>
          <cell r="E4125" t="str">
            <v>Puerto Rey</v>
          </cell>
          <cell r="H4125" t="str">
            <v>consulta_externa</v>
          </cell>
          <cell r="J4125" t="str">
            <v>bueno</v>
          </cell>
          <cell r="K4125" t="str">
            <v>defsi</v>
          </cell>
        </row>
        <row r="4126">
          <cell r="B4126" t="b">
            <v>1</v>
          </cell>
          <cell r="E4126" t="str">
            <v>Puerto Rey</v>
          </cell>
          <cell r="H4126" t="str">
            <v>consulta_externa</v>
          </cell>
          <cell r="J4126" t="str">
            <v>bueno</v>
          </cell>
          <cell r="K4126" t="str">
            <v>defsi</v>
          </cell>
        </row>
        <row r="4127">
          <cell r="B4127" t="b">
            <v>1</v>
          </cell>
          <cell r="E4127" t="str">
            <v>Puerto Rey</v>
          </cell>
          <cell r="H4127" t="str">
            <v>laboratorio</v>
          </cell>
          <cell r="J4127" t="str">
            <v>bueno</v>
          </cell>
          <cell r="K4127" t="str">
            <v>defsi</v>
          </cell>
        </row>
        <row r="4128">
          <cell r="B4128" t="b">
            <v>1</v>
          </cell>
          <cell r="E4128" t="str">
            <v>Puerto Rey</v>
          </cell>
          <cell r="H4128" t="str">
            <v>salud_oral</v>
          </cell>
          <cell r="J4128" t="str">
            <v>bueno</v>
          </cell>
          <cell r="K4128" t="str">
            <v>probsi</v>
          </cell>
        </row>
        <row r="4129">
          <cell r="B4129" t="b">
            <v>1</v>
          </cell>
          <cell r="E4129" t="str">
            <v>Santa Ana</v>
          </cell>
          <cell r="H4129" t="str">
            <v>consulta_externa</v>
          </cell>
          <cell r="J4129" t="str">
            <v>muybueno</v>
          </cell>
          <cell r="K4129" t="str">
            <v>defsi</v>
          </cell>
        </row>
        <row r="4130">
          <cell r="B4130" t="b">
            <v>1</v>
          </cell>
          <cell r="E4130" t="str">
            <v>Puerto Rey</v>
          </cell>
          <cell r="H4130" t="str">
            <v>consulta_externa</v>
          </cell>
          <cell r="J4130" t="str">
            <v>bueno</v>
          </cell>
          <cell r="K4130" t="str">
            <v>probsi</v>
          </cell>
        </row>
        <row r="4131">
          <cell r="B4131" t="b">
            <v>1</v>
          </cell>
          <cell r="E4131" t="str">
            <v>Puerto Rey</v>
          </cell>
          <cell r="H4131" t="str">
            <v>consulta_externa</v>
          </cell>
          <cell r="J4131" t="str">
            <v>bueno</v>
          </cell>
          <cell r="K4131" t="str">
            <v>probsi</v>
          </cell>
        </row>
        <row r="4132">
          <cell r="B4132" t="b">
            <v>1</v>
          </cell>
          <cell r="E4132" t="str">
            <v>Pasacaballos</v>
          </cell>
          <cell r="H4132" t="str">
            <v>consulta_externa</v>
          </cell>
          <cell r="J4132" t="str">
            <v>bueno</v>
          </cell>
          <cell r="K4132" t="str">
            <v>defsi</v>
          </cell>
        </row>
        <row r="4133">
          <cell r="B4133" t="b">
            <v>1</v>
          </cell>
          <cell r="E4133" t="str">
            <v>Puerto Rey</v>
          </cell>
          <cell r="H4133" t="str">
            <v>salud_oral</v>
          </cell>
          <cell r="J4133" t="str">
            <v>bueno</v>
          </cell>
          <cell r="K4133" t="str">
            <v>probsi</v>
          </cell>
        </row>
        <row r="4134">
          <cell r="B4134" t="b">
            <v>1</v>
          </cell>
          <cell r="E4134" t="str">
            <v>Puerto Rey</v>
          </cell>
          <cell r="H4134" t="str">
            <v>salud_oral</v>
          </cell>
          <cell r="J4134" t="str">
            <v>bueno</v>
          </cell>
          <cell r="K4134" t="str">
            <v>probsi</v>
          </cell>
        </row>
        <row r="4135">
          <cell r="B4135" t="b">
            <v>1</v>
          </cell>
          <cell r="E4135" t="str">
            <v>Pasacaballos</v>
          </cell>
          <cell r="H4135" t="str">
            <v>salud_oral</v>
          </cell>
          <cell r="J4135" t="str">
            <v>bueno</v>
          </cell>
          <cell r="K4135" t="str">
            <v>defsi</v>
          </cell>
        </row>
        <row r="4136">
          <cell r="B4136" t="b">
            <v>1</v>
          </cell>
          <cell r="E4136" t="str">
            <v>Puerto Rey</v>
          </cell>
          <cell r="H4136" t="str">
            <v>laboratorio</v>
          </cell>
          <cell r="J4136" t="str">
            <v>bueno</v>
          </cell>
          <cell r="K4136" t="str">
            <v>probsi</v>
          </cell>
        </row>
        <row r="4137">
          <cell r="B4137" t="b">
            <v>1</v>
          </cell>
          <cell r="E4137" t="str">
            <v>Puerto Rey</v>
          </cell>
          <cell r="H4137" t="str">
            <v>laboratorio</v>
          </cell>
          <cell r="J4137" t="str">
            <v>bueno</v>
          </cell>
          <cell r="K4137" t="str">
            <v>probsi</v>
          </cell>
        </row>
        <row r="4138">
          <cell r="B4138" t="b">
            <v>1</v>
          </cell>
          <cell r="E4138" t="str">
            <v>Pasacaballos</v>
          </cell>
          <cell r="H4138" t="str">
            <v>laboratorio</v>
          </cell>
          <cell r="J4138" t="str">
            <v>bueno</v>
          </cell>
          <cell r="K4138" t="str">
            <v>defsi</v>
          </cell>
        </row>
        <row r="4139">
          <cell r="B4139" t="b">
            <v>1</v>
          </cell>
          <cell r="E4139" t="str">
            <v>Pasacaballos</v>
          </cell>
          <cell r="H4139" t="str">
            <v>consulta_externa</v>
          </cell>
          <cell r="J4139" t="str">
            <v>bueno</v>
          </cell>
          <cell r="K4139" t="str">
            <v>defsi</v>
          </cell>
        </row>
        <row r="4140">
          <cell r="B4140" t="b">
            <v>1</v>
          </cell>
          <cell r="E4140" t="str">
            <v>Puerto Rey</v>
          </cell>
          <cell r="H4140" t="str">
            <v>consulta_externa</v>
          </cell>
          <cell r="J4140" t="str">
            <v>bueno</v>
          </cell>
          <cell r="K4140" t="str">
            <v>defsi</v>
          </cell>
        </row>
        <row r="4141">
          <cell r="B4141" t="b">
            <v>1</v>
          </cell>
          <cell r="E4141" t="str">
            <v>Puerto Rey</v>
          </cell>
          <cell r="H4141" t="str">
            <v>consulta_externa</v>
          </cell>
          <cell r="J4141" t="str">
            <v>bueno</v>
          </cell>
          <cell r="K4141" t="str">
            <v>defsi</v>
          </cell>
        </row>
        <row r="4142">
          <cell r="B4142" t="b">
            <v>1</v>
          </cell>
          <cell r="E4142" t="str">
            <v>Puerto Rey</v>
          </cell>
          <cell r="H4142" t="str">
            <v>salud_oral</v>
          </cell>
          <cell r="J4142" t="str">
            <v>bueno</v>
          </cell>
          <cell r="K4142" t="str">
            <v>defsi</v>
          </cell>
        </row>
        <row r="4143">
          <cell r="B4143" t="b">
            <v>1</v>
          </cell>
          <cell r="E4143" t="str">
            <v>Puerto Rey</v>
          </cell>
          <cell r="H4143" t="str">
            <v>salud_oral</v>
          </cell>
          <cell r="J4143" t="str">
            <v>bueno</v>
          </cell>
          <cell r="K4143" t="str">
            <v>defsi</v>
          </cell>
        </row>
        <row r="4144">
          <cell r="B4144" t="b">
            <v>1</v>
          </cell>
          <cell r="E4144" t="str">
            <v>Tierra Baja</v>
          </cell>
          <cell r="H4144" t="str">
            <v>salud_oral</v>
          </cell>
          <cell r="J4144" t="str">
            <v>bueno</v>
          </cell>
          <cell r="K4144" t="str">
            <v>defsi</v>
          </cell>
        </row>
        <row r="4145">
          <cell r="B4145" t="b">
            <v>1</v>
          </cell>
          <cell r="E4145" t="str">
            <v>Santa Ana</v>
          </cell>
          <cell r="H4145" t="str">
            <v>salud_oral</v>
          </cell>
          <cell r="J4145" t="str">
            <v>muybueno</v>
          </cell>
          <cell r="K4145" t="str">
            <v>defsi</v>
          </cell>
        </row>
        <row r="4146">
          <cell r="B4146" t="b">
            <v>1</v>
          </cell>
          <cell r="E4146" t="str">
            <v>Tierra Baja</v>
          </cell>
          <cell r="H4146" t="str">
            <v>consulta_externa</v>
          </cell>
          <cell r="J4146" t="str">
            <v>bueno</v>
          </cell>
          <cell r="K4146" t="str">
            <v>defsi</v>
          </cell>
        </row>
        <row r="4147">
          <cell r="B4147" t="b">
            <v>1</v>
          </cell>
          <cell r="E4147" t="str">
            <v>Tierra Baja</v>
          </cell>
          <cell r="H4147" t="str">
            <v>laboratorio</v>
          </cell>
          <cell r="J4147" t="str">
            <v>bueno</v>
          </cell>
          <cell r="K4147" t="str">
            <v>defsi</v>
          </cell>
        </row>
        <row r="4148">
          <cell r="B4148" t="b">
            <v>1</v>
          </cell>
          <cell r="E4148" t="str">
            <v>Tierra Baja</v>
          </cell>
          <cell r="H4148" t="str">
            <v>salud_oral</v>
          </cell>
          <cell r="J4148" t="str">
            <v>bueno</v>
          </cell>
          <cell r="K4148" t="str">
            <v>defsi</v>
          </cell>
        </row>
        <row r="4149">
          <cell r="B4149" t="b">
            <v>1</v>
          </cell>
          <cell r="E4149" t="str">
            <v>Tierra Baja</v>
          </cell>
          <cell r="H4149" t="str">
            <v>laboratorio</v>
          </cell>
          <cell r="J4149" t="str">
            <v>bueno</v>
          </cell>
          <cell r="K4149" t="str">
            <v>probsi</v>
          </cell>
        </row>
        <row r="4150">
          <cell r="B4150" t="b">
            <v>1</v>
          </cell>
          <cell r="E4150" t="str">
            <v>Tierra Baja</v>
          </cell>
          <cell r="H4150" t="str">
            <v>laboratorio</v>
          </cell>
          <cell r="J4150" t="str">
            <v>bueno</v>
          </cell>
          <cell r="K4150" t="str">
            <v>probsi</v>
          </cell>
        </row>
        <row r="4151">
          <cell r="B4151" t="b">
            <v>1</v>
          </cell>
          <cell r="E4151" t="str">
            <v>Tierra Baja</v>
          </cell>
          <cell r="H4151" t="str">
            <v>laboratorio</v>
          </cell>
          <cell r="J4151" t="str">
            <v>bueno</v>
          </cell>
          <cell r="K4151" t="str">
            <v>probsi</v>
          </cell>
        </row>
        <row r="4152">
          <cell r="B4152" t="b">
            <v>1</v>
          </cell>
          <cell r="E4152" t="str">
            <v>Nelson Mandela UPA</v>
          </cell>
          <cell r="H4152" t="str">
            <v>salud_oral</v>
          </cell>
          <cell r="J4152" t="str">
            <v>bueno</v>
          </cell>
          <cell r="K4152" t="str">
            <v>defsi</v>
          </cell>
        </row>
        <row r="4153">
          <cell r="B4153" t="b">
            <v>1</v>
          </cell>
          <cell r="E4153" t="str">
            <v>Tierra Baja</v>
          </cell>
          <cell r="H4153" t="str">
            <v>laboratorio</v>
          </cell>
          <cell r="J4153" t="str">
            <v>bueno</v>
          </cell>
          <cell r="K4153" t="str">
            <v>probsi</v>
          </cell>
        </row>
        <row r="4154">
          <cell r="B4154" t="b">
            <v>1</v>
          </cell>
          <cell r="E4154" t="str">
            <v>Nelson Mandela UPA</v>
          </cell>
          <cell r="H4154" t="str">
            <v>consulta_externa</v>
          </cell>
          <cell r="J4154" t="str">
            <v>bueno</v>
          </cell>
          <cell r="K4154" t="str">
            <v>defsi</v>
          </cell>
        </row>
        <row r="4155">
          <cell r="B4155" t="b">
            <v>1</v>
          </cell>
          <cell r="E4155" t="str">
            <v>Tierra Baja</v>
          </cell>
          <cell r="H4155" t="str">
            <v>laboratorio</v>
          </cell>
          <cell r="J4155" t="str">
            <v>bueno</v>
          </cell>
          <cell r="K4155" t="str">
            <v>defsi</v>
          </cell>
        </row>
        <row r="4156">
          <cell r="B4156" t="b">
            <v>1</v>
          </cell>
          <cell r="E4156" t="str">
            <v>Nelson Mandela UPA</v>
          </cell>
          <cell r="H4156" t="str">
            <v>laboratorio</v>
          </cell>
          <cell r="J4156" t="str">
            <v>bueno</v>
          </cell>
          <cell r="K4156" t="str">
            <v>defsi</v>
          </cell>
        </row>
        <row r="4157">
          <cell r="B4157" t="b">
            <v>1</v>
          </cell>
          <cell r="E4157" t="str">
            <v>Tierra Baja</v>
          </cell>
          <cell r="H4157" t="str">
            <v>laboratorio</v>
          </cell>
          <cell r="J4157" t="str">
            <v>bueno</v>
          </cell>
          <cell r="K4157" t="str">
            <v>defsi</v>
          </cell>
        </row>
        <row r="4158">
          <cell r="B4158" t="b">
            <v>1</v>
          </cell>
          <cell r="E4158" t="str">
            <v>Tierra Baja</v>
          </cell>
          <cell r="H4158" t="str">
            <v>laboratorio</v>
          </cell>
          <cell r="J4158" t="str">
            <v>bueno</v>
          </cell>
          <cell r="K4158" t="str">
            <v>defsi</v>
          </cell>
        </row>
        <row r="4159">
          <cell r="B4159" t="b">
            <v>1</v>
          </cell>
          <cell r="E4159" t="str">
            <v>Tierra Baja</v>
          </cell>
          <cell r="H4159" t="str">
            <v>laboratorio</v>
          </cell>
          <cell r="J4159" t="str">
            <v>bueno</v>
          </cell>
          <cell r="K4159" t="str">
            <v>probsi</v>
          </cell>
        </row>
        <row r="4160">
          <cell r="B4160" t="b">
            <v>1</v>
          </cell>
          <cell r="E4160" t="str">
            <v>Nelson Mandela UPA</v>
          </cell>
          <cell r="H4160" t="str">
            <v>laboratorio</v>
          </cell>
          <cell r="J4160" t="str">
            <v>bueno</v>
          </cell>
          <cell r="K4160" t="str">
            <v>defsi</v>
          </cell>
        </row>
        <row r="4161">
          <cell r="B4161" t="b">
            <v>1</v>
          </cell>
          <cell r="E4161" t="str">
            <v>Tierra Baja</v>
          </cell>
          <cell r="H4161" t="str">
            <v>laboratorio</v>
          </cell>
          <cell r="J4161" t="str">
            <v>bueno</v>
          </cell>
          <cell r="K4161" t="str">
            <v>probsi</v>
          </cell>
        </row>
        <row r="4162">
          <cell r="B4162" t="b">
            <v>1</v>
          </cell>
          <cell r="E4162" t="str">
            <v>Tierra Baja</v>
          </cell>
          <cell r="H4162" t="str">
            <v>laboratorio</v>
          </cell>
          <cell r="J4162" t="str">
            <v>bueno</v>
          </cell>
          <cell r="K4162" t="str">
            <v>probsi</v>
          </cell>
        </row>
        <row r="4163">
          <cell r="B4163" t="b">
            <v>1</v>
          </cell>
          <cell r="E4163" t="str">
            <v>Nelson Mandela UPA</v>
          </cell>
          <cell r="H4163" t="str">
            <v>consulta_externa</v>
          </cell>
          <cell r="J4163" t="str">
            <v>bueno</v>
          </cell>
          <cell r="K4163" t="str">
            <v>defsi</v>
          </cell>
        </row>
        <row r="4164">
          <cell r="B4164" t="b">
            <v>1</v>
          </cell>
          <cell r="E4164" t="str">
            <v>Nelson Mandela UPA</v>
          </cell>
          <cell r="H4164" t="str">
            <v>laboratorio</v>
          </cell>
          <cell r="J4164" t="str">
            <v>bueno</v>
          </cell>
          <cell r="K4164" t="str">
            <v>defsi</v>
          </cell>
        </row>
        <row r="4165">
          <cell r="B4165" t="b">
            <v>1</v>
          </cell>
          <cell r="E4165" t="str">
            <v>Nelson Mandela UPA</v>
          </cell>
          <cell r="H4165" t="str">
            <v>laboratorio</v>
          </cell>
          <cell r="J4165" t="str">
            <v>bueno</v>
          </cell>
          <cell r="K4165" t="str">
            <v>defsi</v>
          </cell>
        </row>
        <row r="4166">
          <cell r="B4166" t="b">
            <v>1</v>
          </cell>
          <cell r="E4166" t="str">
            <v>Nelson Mandela UPA</v>
          </cell>
          <cell r="H4166" t="str">
            <v>salud_oral</v>
          </cell>
          <cell r="J4166" t="str">
            <v>bueno</v>
          </cell>
          <cell r="K4166" t="str">
            <v>defsi</v>
          </cell>
        </row>
        <row r="4167">
          <cell r="B4167" t="b">
            <v>1</v>
          </cell>
          <cell r="E4167" t="str">
            <v>Nelson Mandela UPA</v>
          </cell>
          <cell r="H4167" t="str">
            <v>consulta_externa</v>
          </cell>
          <cell r="J4167" t="str">
            <v>bueno</v>
          </cell>
          <cell r="K4167" t="str">
            <v>defsi</v>
          </cell>
        </row>
        <row r="4168">
          <cell r="B4168" t="b">
            <v>1</v>
          </cell>
          <cell r="E4168" t="str">
            <v>Nelson Mandela UPA</v>
          </cell>
          <cell r="H4168" t="str">
            <v>consulta_externa</v>
          </cell>
          <cell r="J4168" t="str">
            <v>bueno</v>
          </cell>
          <cell r="K4168" t="str">
            <v>defsi</v>
          </cell>
        </row>
        <row r="4169">
          <cell r="B4169" t="b">
            <v>1</v>
          </cell>
          <cell r="E4169" t="str">
            <v>Nelson Mandela UPA</v>
          </cell>
          <cell r="H4169" t="str">
            <v>salud_oral</v>
          </cell>
          <cell r="J4169" t="str">
            <v>bueno</v>
          </cell>
          <cell r="K4169" t="str">
            <v>defsi</v>
          </cell>
        </row>
        <row r="4170">
          <cell r="B4170" t="b">
            <v>1</v>
          </cell>
          <cell r="E4170" t="str">
            <v>Nelson Mandela UPA</v>
          </cell>
          <cell r="H4170" t="str">
            <v>urgencia</v>
          </cell>
          <cell r="J4170" t="str">
            <v>bueno</v>
          </cell>
          <cell r="K4170" t="str">
            <v>defsi</v>
          </cell>
        </row>
        <row r="4171">
          <cell r="B4171" t="b">
            <v>1</v>
          </cell>
          <cell r="E4171" t="str">
            <v>Santa Ana</v>
          </cell>
          <cell r="H4171" t="str">
            <v>consulta_externa</v>
          </cell>
          <cell r="J4171" t="str">
            <v>muybueno</v>
          </cell>
          <cell r="K4171" t="str">
            <v>defsi</v>
          </cell>
        </row>
        <row r="4172">
          <cell r="B4172" t="b">
            <v>1</v>
          </cell>
          <cell r="E4172" t="str">
            <v>Hospital Pozon</v>
          </cell>
          <cell r="H4172" t="str">
            <v>laboratorio</v>
          </cell>
          <cell r="J4172" t="str">
            <v>bueno</v>
          </cell>
          <cell r="K4172" t="str">
            <v>probsi</v>
          </cell>
        </row>
        <row r="4173">
          <cell r="B4173" t="b">
            <v>1</v>
          </cell>
          <cell r="E4173" t="str">
            <v>Santa Ana</v>
          </cell>
          <cell r="H4173" t="str">
            <v>laboratorio</v>
          </cell>
          <cell r="J4173" t="str">
            <v>muybueno</v>
          </cell>
          <cell r="K4173" t="str">
            <v>defsi</v>
          </cell>
        </row>
        <row r="4174">
          <cell r="B4174" t="b">
            <v>1</v>
          </cell>
          <cell r="E4174" t="str">
            <v>Hospital Pozon</v>
          </cell>
          <cell r="H4174" t="str">
            <v>laboratorio</v>
          </cell>
          <cell r="J4174" t="str">
            <v>bueno</v>
          </cell>
          <cell r="K4174" t="str">
            <v>probsi</v>
          </cell>
        </row>
        <row r="4175">
          <cell r="B4175" t="b">
            <v>1</v>
          </cell>
          <cell r="E4175" t="str">
            <v>Nelson Mandela UPA</v>
          </cell>
          <cell r="H4175" t="str">
            <v>salud_oral</v>
          </cell>
          <cell r="J4175" t="str">
            <v>bueno</v>
          </cell>
          <cell r="K4175" t="str">
            <v>defsi</v>
          </cell>
        </row>
        <row r="4176">
          <cell r="B4176" t="b">
            <v>0</v>
          </cell>
          <cell r="E4176" t="str">
            <v>Hospital Pozon</v>
          </cell>
          <cell r="H4176" t="str">
            <v>laboratorio</v>
          </cell>
          <cell r="J4176" t="str">
            <v>regular</v>
          </cell>
          <cell r="K4176" t="str">
            <v>probsi</v>
          </cell>
        </row>
        <row r="4177">
          <cell r="B4177" t="b">
            <v>1</v>
          </cell>
          <cell r="E4177" t="str">
            <v>Hospital Pozon</v>
          </cell>
          <cell r="H4177" t="str">
            <v>laboratorio</v>
          </cell>
          <cell r="J4177" t="str">
            <v>bueno</v>
          </cell>
          <cell r="K4177" t="str">
            <v>probsi</v>
          </cell>
        </row>
        <row r="4178">
          <cell r="B4178" t="b">
            <v>1</v>
          </cell>
          <cell r="E4178" t="str">
            <v>Hospital Pozon</v>
          </cell>
          <cell r="H4178" t="str">
            <v>laboratorio</v>
          </cell>
          <cell r="J4178" t="str">
            <v>bueno</v>
          </cell>
          <cell r="K4178" t="str">
            <v>probsi</v>
          </cell>
        </row>
        <row r="4179">
          <cell r="B4179" t="b">
            <v>1</v>
          </cell>
          <cell r="E4179" t="str">
            <v>Hospital Pozon</v>
          </cell>
          <cell r="H4179" t="str">
            <v>rx</v>
          </cell>
          <cell r="J4179" t="str">
            <v>bueno</v>
          </cell>
          <cell r="K4179" t="str">
            <v>probsi</v>
          </cell>
        </row>
        <row r="4180">
          <cell r="B4180" t="b">
            <v>1</v>
          </cell>
          <cell r="E4180" t="str">
            <v>Hospital Pozon</v>
          </cell>
          <cell r="H4180" t="str">
            <v>rx</v>
          </cell>
          <cell r="J4180" t="str">
            <v>bueno</v>
          </cell>
          <cell r="K4180" t="str">
            <v>probsi</v>
          </cell>
        </row>
        <row r="4181">
          <cell r="B4181" t="b">
            <v>1</v>
          </cell>
          <cell r="E4181" t="str">
            <v>Hospital Pozon</v>
          </cell>
          <cell r="H4181" t="str">
            <v>rx</v>
          </cell>
          <cell r="J4181" t="str">
            <v>bueno</v>
          </cell>
          <cell r="K4181" t="str">
            <v>probsi</v>
          </cell>
        </row>
        <row r="4182">
          <cell r="B4182" t="b">
            <v>1</v>
          </cell>
          <cell r="E4182" t="str">
            <v>Hospital Pozon</v>
          </cell>
          <cell r="H4182" t="str">
            <v>rx</v>
          </cell>
          <cell r="J4182" t="str">
            <v>bueno</v>
          </cell>
          <cell r="K4182" t="str">
            <v>probsi</v>
          </cell>
        </row>
        <row r="4183">
          <cell r="B4183" t="b">
            <v>1</v>
          </cell>
          <cell r="E4183" t="str">
            <v>Tierra Baja</v>
          </cell>
          <cell r="H4183" t="str">
            <v>consulta_externa</v>
          </cell>
          <cell r="J4183" t="str">
            <v>bueno</v>
          </cell>
          <cell r="K4183" t="str">
            <v>probsi</v>
          </cell>
        </row>
        <row r="4184">
          <cell r="B4184" t="b">
            <v>1</v>
          </cell>
          <cell r="E4184" t="str">
            <v>Hospital Pozon</v>
          </cell>
          <cell r="H4184" t="str">
            <v>rx</v>
          </cell>
          <cell r="J4184" t="str">
            <v>bueno</v>
          </cell>
          <cell r="K4184" t="str">
            <v>probsi</v>
          </cell>
        </row>
        <row r="4185">
          <cell r="B4185" t="b">
            <v>1</v>
          </cell>
          <cell r="E4185" t="str">
            <v>Hospital Pozon</v>
          </cell>
          <cell r="H4185" t="str">
            <v>rx</v>
          </cell>
          <cell r="J4185" t="str">
            <v>bueno</v>
          </cell>
          <cell r="K4185" t="str">
            <v>probsi</v>
          </cell>
        </row>
        <row r="4186">
          <cell r="B4186" t="b">
            <v>1</v>
          </cell>
          <cell r="E4186" t="str">
            <v>Hospital Pozon</v>
          </cell>
          <cell r="H4186" t="str">
            <v>rx</v>
          </cell>
          <cell r="J4186" t="str">
            <v>bueno</v>
          </cell>
          <cell r="K4186" t="str">
            <v>probsi</v>
          </cell>
        </row>
        <row r="4187">
          <cell r="B4187" t="b">
            <v>1</v>
          </cell>
          <cell r="E4187" t="str">
            <v>Nelson Mandela UPA</v>
          </cell>
          <cell r="H4187" t="str">
            <v>salud_oral</v>
          </cell>
          <cell r="J4187" t="str">
            <v>bueno</v>
          </cell>
          <cell r="K4187" t="str">
            <v>defsi</v>
          </cell>
        </row>
        <row r="4188">
          <cell r="B4188" t="b">
            <v>1</v>
          </cell>
          <cell r="E4188" t="str">
            <v>Nelson Mandela UPA</v>
          </cell>
          <cell r="H4188" t="str">
            <v>salud_oral</v>
          </cell>
          <cell r="J4188" t="str">
            <v>bueno</v>
          </cell>
          <cell r="K4188" t="str">
            <v>defsi</v>
          </cell>
        </row>
        <row r="4189">
          <cell r="B4189" t="b">
            <v>0</v>
          </cell>
          <cell r="E4189" t="str">
            <v>Hospital Pozon</v>
          </cell>
          <cell r="H4189" t="str">
            <v>urgencia</v>
          </cell>
          <cell r="J4189" t="str">
            <v>malo</v>
          </cell>
          <cell r="K4189" t="str">
            <v>probno</v>
          </cell>
        </row>
        <row r="4190">
          <cell r="B4190" t="b">
            <v>1</v>
          </cell>
          <cell r="E4190" t="str">
            <v>Nelson Mandela UPA</v>
          </cell>
          <cell r="H4190" t="str">
            <v>consulta_externa</v>
          </cell>
          <cell r="J4190" t="str">
            <v>bueno</v>
          </cell>
          <cell r="K4190" t="str">
            <v>defsi</v>
          </cell>
        </row>
        <row r="4191">
          <cell r="B4191" t="b">
            <v>1</v>
          </cell>
          <cell r="E4191" t="str">
            <v>Nelson Mandela UPA</v>
          </cell>
          <cell r="H4191" t="str">
            <v>laboratorio</v>
          </cell>
          <cell r="J4191" t="str">
            <v>muybueno</v>
          </cell>
          <cell r="K4191" t="str">
            <v>defsi</v>
          </cell>
        </row>
        <row r="4192">
          <cell r="B4192" t="b">
            <v>1</v>
          </cell>
          <cell r="E4192" t="str">
            <v>Nelson Mandela UPA</v>
          </cell>
          <cell r="H4192" t="str">
            <v>salud_oral</v>
          </cell>
          <cell r="J4192" t="str">
            <v>bueno</v>
          </cell>
          <cell r="K4192" t="str">
            <v>defsi</v>
          </cell>
        </row>
        <row r="4193">
          <cell r="B4193" t="b">
            <v>1</v>
          </cell>
          <cell r="E4193" t="str">
            <v>Nelson Mandela UPA</v>
          </cell>
          <cell r="H4193" t="str">
            <v>salud_oral</v>
          </cell>
          <cell r="J4193" t="str">
            <v>bueno</v>
          </cell>
          <cell r="K4193" t="str">
            <v>defsi</v>
          </cell>
        </row>
        <row r="4194">
          <cell r="B4194" t="b">
            <v>1</v>
          </cell>
          <cell r="E4194" t="str">
            <v>Nelson Mandela UPA</v>
          </cell>
          <cell r="H4194" t="str">
            <v>consulta_externa</v>
          </cell>
          <cell r="J4194" t="str">
            <v>bueno</v>
          </cell>
          <cell r="K4194" t="str">
            <v>defsi</v>
          </cell>
        </row>
        <row r="4195">
          <cell r="B4195" t="b">
            <v>0</v>
          </cell>
          <cell r="E4195" t="str">
            <v>Nelson Mandela UPA</v>
          </cell>
          <cell r="H4195" t="str">
            <v>urgencia</v>
          </cell>
          <cell r="J4195" t="str">
            <v>regular</v>
          </cell>
          <cell r="K4195" t="str">
            <v>defsi</v>
          </cell>
        </row>
        <row r="4196">
          <cell r="B4196" t="b">
            <v>1</v>
          </cell>
          <cell r="E4196" t="str">
            <v>Nelson Mandela UPA</v>
          </cell>
          <cell r="H4196" t="str">
            <v>urgencia</v>
          </cell>
          <cell r="J4196" t="str">
            <v>bueno</v>
          </cell>
          <cell r="K4196" t="str">
            <v>defsi</v>
          </cell>
        </row>
        <row r="4197">
          <cell r="B4197" t="b">
            <v>1</v>
          </cell>
          <cell r="E4197" t="str">
            <v>Nelson Mandela UPA</v>
          </cell>
          <cell r="H4197" t="str">
            <v>urgencia</v>
          </cell>
          <cell r="J4197" t="str">
            <v>bueno</v>
          </cell>
          <cell r="K4197" t="str">
            <v>defsi</v>
          </cell>
        </row>
        <row r="4198">
          <cell r="B4198" t="b">
            <v>0</v>
          </cell>
          <cell r="E4198" t="str">
            <v>Nelson Mandela UPA</v>
          </cell>
          <cell r="H4198" t="str">
            <v>urgencia</v>
          </cell>
          <cell r="J4198" t="str">
            <v>regular</v>
          </cell>
          <cell r="K4198" t="str">
            <v>probsi</v>
          </cell>
        </row>
        <row r="4199">
          <cell r="B4199" t="b">
            <v>1</v>
          </cell>
          <cell r="E4199" t="str">
            <v>Nelson Mandela UPA</v>
          </cell>
          <cell r="H4199" t="str">
            <v>urgencia</v>
          </cell>
          <cell r="J4199" t="str">
            <v>bueno</v>
          </cell>
          <cell r="K4199" t="str">
            <v>defsi</v>
          </cell>
        </row>
        <row r="4200">
          <cell r="B4200" t="b">
            <v>1</v>
          </cell>
          <cell r="E4200" t="str">
            <v>Santa Ana</v>
          </cell>
          <cell r="H4200" t="str">
            <v>consulta_externa</v>
          </cell>
          <cell r="J4200" t="str">
            <v>muybueno</v>
          </cell>
          <cell r="K4200" t="str">
            <v>defsi</v>
          </cell>
        </row>
        <row r="4201">
          <cell r="B4201" t="b">
            <v>1</v>
          </cell>
          <cell r="E4201" t="str">
            <v>Pasacaballos</v>
          </cell>
          <cell r="H4201" t="str">
            <v>consulta_externa</v>
          </cell>
          <cell r="J4201" t="str">
            <v>bueno</v>
          </cell>
          <cell r="K4201" t="str">
            <v>defsi</v>
          </cell>
        </row>
        <row r="4202">
          <cell r="B4202" t="b">
            <v>1</v>
          </cell>
          <cell r="E4202" t="str">
            <v>Santa Ana</v>
          </cell>
          <cell r="H4202" t="str">
            <v>laboratorio</v>
          </cell>
          <cell r="J4202" t="str">
            <v>muybueno</v>
          </cell>
          <cell r="K4202" t="str">
            <v>defsi</v>
          </cell>
        </row>
        <row r="4203">
          <cell r="B4203" t="b">
            <v>1</v>
          </cell>
          <cell r="E4203" t="str">
            <v>Pasacaballos</v>
          </cell>
          <cell r="H4203" t="str">
            <v>salud_oral</v>
          </cell>
          <cell r="J4203" t="str">
            <v>bueno</v>
          </cell>
          <cell r="K4203" t="str">
            <v>defsi</v>
          </cell>
        </row>
        <row r="4204">
          <cell r="B4204" t="b">
            <v>1</v>
          </cell>
          <cell r="E4204" t="str">
            <v>Pasacaballos</v>
          </cell>
          <cell r="H4204" t="str">
            <v>laboratorio</v>
          </cell>
          <cell r="J4204" t="str">
            <v>bueno</v>
          </cell>
          <cell r="K4204" t="str">
            <v>defsi</v>
          </cell>
        </row>
        <row r="4205">
          <cell r="B4205" t="b">
            <v>1</v>
          </cell>
          <cell r="E4205" t="str">
            <v>Pasacaballos</v>
          </cell>
          <cell r="H4205" t="str">
            <v>urgencia</v>
          </cell>
          <cell r="J4205" t="str">
            <v>bueno</v>
          </cell>
          <cell r="K4205" t="str">
            <v>defsi</v>
          </cell>
        </row>
        <row r="4206">
          <cell r="B4206" t="b">
            <v>1</v>
          </cell>
          <cell r="E4206" t="str">
            <v>Pasacaballos</v>
          </cell>
          <cell r="H4206" t="str">
            <v>consulta_externa</v>
          </cell>
          <cell r="J4206" t="str">
            <v>bueno</v>
          </cell>
          <cell r="K4206" t="str">
            <v>defsi</v>
          </cell>
        </row>
        <row r="4207">
          <cell r="B4207" t="b">
            <v>1</v>
          </cell>
          <cell r="E4207" t="str">
            <v>Pasacaballos</v>
          </cell>
          <cell r="H4207" t="str">
            <v>salud_oral</v>
          </cell>
          <cell r="J4207" t="str">
            <v>bueno</v>
          </cell>
          <cell r="K4207" t="str">
            <v>defsi</v>
          </cell>
        </row>
        <row r="4208">
          <cell r="B4208" t="b">
            <v>1</v>
          </cell>
          <cell r="E4208" t="str">
            <v>Pasacaballos</v>
          </cell>
          <cell r="H4208" t="str">
            <v>laboratorio</v>
          </cell>
          <cell r="J4208" t="str">
            <v>bueno</v>
          </cell>
          <cell r="K4208" t="str">
            <v>defsi</v>
          </cell>
        </row>
        <row r="4209">
          <cell r="B4209" t="b">
            <v>1</v>
          </cell>
          <cell r="E4209" t="str">
            <v>Pasacaballos</v>
          </cell>
          <cell r="H4209" t="str">
            <v>urgencia</v>
          </cell>
          <cell r="J4209" t="str">
            <v>bueno</v>
          </cell>
          <cell r="K4209" t="str">
            <v>defsi</v>
          </cell>
        </row>
        <row r="4210">
          <cell r="B4210" t="b">
            <v>1</v>
          </cell>
          <cell r="E4210" t="str">
            <v>Santa Ana</v>
          </cell>
          <cell r="H4210" t="str">
            <v>consulta_externa</v>
          </cell>
          <cell r="J4210" t="str">
            <v>muybueno</v>
          </cell>
          <cell r="K4210" t="str">
            <v>defsi</v>
          </cell>
        </row>
        <row r="4211">
          <cell r="B4211" t="b">
            <v>1</v>
          </cell>
          <cell r="E4211" t="str">
            <v>Pasacaballos</v>
          </cell>
          <cell r="H4211" t="str">
            <v>consulta_externa</v>
          </cell>
          <cell r="J4211" t="str">
            <v>bueno</v>
          </cell>
          <cell r="K4211" t="str">
            <v>defsi</v>
          </cell>
        </row>
        <row r="4212">
          <cell r="B4212" t="b">
            <v>1</v>
          </cell>
          <cell r="E4212" t="str">
            <v>Pasacaballos</v>
          </cell>
          <cell r="H4212" t="str">
            <v>salud_oral</v>
          </cell>
          <cell r="J4212" t="str">
            <v>bueno</v>
          </cell>
          <cell r="K4212" t="str">
            <v>defsi</v>
          </cell>
        </row>
        <row r="4213">
          <cell r="B4213" t="b">
            <v>1</v>
          </cell>
          <cell r="E4213" t="str">
            <v>Pozon</v>
          </cell>
          <cell r="H4213" t="str">
            <v>consulta_externa</v>
          </cell>
          <cell r="J4213" t="str">
            <v>bueno</v>
          </cell>
          <cell r="K4213" t="str">
            <v>probsi</v>
          </cell>
        </row>
        <row r="4214">
          <cell r="B4214" t="b">
            <v>1</v>
          </cell>
          <cell r="E4214" t="str">
            <v>Pozon</v>
          </cell>
          <cell r="H4214" t="str">
            <v>laboratorio</v>
          </cell>
          <cell r="J4214" t="str">
            <v>bueno</v>
          </cell>
          <cell r="K4214" t="str">
            <v>probsi</v>
          </cell>
        </row>
        <row r="4215">
          <cell r="B4215" t="b">
            <v>1</v>
          </cell>
          <cell r="E4215" t="str">
            <v>Pasacaballos</v>
          </cell>
          <cell r="H4215" t="str">
            <v>laboratorio</v>
          </cell>
          <cell r="J4215" t="str">
            <v>bueno</v>
          </cell>
          <cell r="K4215" t="str">
            <v>defsi</v>
          </cell>
        </row>
        <row r="4216">
          <cell r="B4216" t="b">
            <v>0</v>
          </cell>
          <cell r="E4216" t="str">
            <v>Pozon</v>
          </cell>
          <cell r="H4216" t="str">
            <v>laboratorio</v>
          </cell>
          <cell r="J4216" t="str">
            <v>regular</v>
          </cell>
          <cell r="K4216" t="str">
            <v>probsi</v>
          </cell>
        </row>
        <row r="4217">
          <cell r="B4217" t="b">
            <v>1</v>
          </cell>
          <cell r="E4217" t="str">
            <v>Pasacaballos</v>
          </cell>
          <cell r="H4217" t="str">
            <v>urgencia</v>
          </cell>
          <cell r="J4217" t="str">
            <v>bueno</v>
          </cell>
          <cell r="K4217" t="str">
            <v>defsi</v>
          </cell>
        </row>
        <row r="4218">
          <cell r="B4218" t="b">
            <v>1</v>
          </cell>
          <cell r="E4218" t="str">
            <v>Pozon</v>
          </cell>
          <cell r="H4218" t="str">
            <v>consulta_externa</v>
          </cell>
          <cell r="J4218" t="str">
            <v>bueno</v>
          </cell>
          <cell r="K4218" t="str">
            <v>probsi</v>
          </cell>
        </row>
        <row r="4219">
          <cell r="B4219" t="b">
            <v>1</v>
          </cell>
          <cell r="E4219" t="str">
            <v>Pozon</v>
          </cell>
          <cell r="H4219" t="str">
            <v>consulta_externa</v>
          </cell>
          <cell r="J4219" t="str">
            <v>bueno</v>
          </cell>
          <cell r="K4219" t="str">
            <v>probsi</v>
          </cell>
        </row>
        <row r="4220">
          <cell r="B4220" t="b">
            <v>0</v>
          </cell>
          <cell r="E4220" t="str">
            <v>Pozon</v>
          </cell>
          <cell r="H4220" t="str">
            <v>salud_oral</v>
          </cell>
          <cell r="J4220" t="str">
            <v>regular</v>
          </cell>
          <cell r="K4220" t="str">
            <v>probsi</v>
          </cell>
        </row>
        <row r="4221">
          <cell r="B4221" t="b">
            <v>1</v>
          </cell>
          <cell r="E4221" t="str">
            <v>Pozon</v>
          </cell>
          <cell r="H4221" t="str">
            <v>consulta_externa</v>
          </cell>
          <cell r="J4221" t="str">
            <v>bueno</v>
          </cell>
          <cell r="K4221" t="str">
            <v>probsi</v>
          </cell>
        </row>
        <row r="4222">
          <cell r="B4222" t="b">
            <v>1</v>
          </cell>
          <cell r="E4222" t="str">
            <v>Pozon</v>
          </cell>
          <cell r="H4222" t="str">
            <v>salud_oral</v>
          </cell>
          <cell r="J4222" t="str">
            <v>bueno</v>
          </cell>
          <cell r="K4222" t="str">
            <v>probsi</v>
          </cell>
        </row>
        <row r="4223">
          <cell r="B4223" t="b">
            <v>1</v>
          </cell>
          <cell r="E4223" t="str">
            <v>Pozon</v>
          </cell>
          <cell r="H4223" t="str">
            <v>laboratorio</v>
          </cell>
          <cell r="J4223" t="str">
            <v>bueno</v>
          </cell>
          <cell r="K4223" t="str">
            <v>probsi</v>
          </cell>
        </row>
        <row r="4224">
          <cell r="B4224" t="b">
            <v>1</v>
          </cell>
          <cell r="E4224" t="str">
            <v>Pasacaballos</v>
          </cell>
          <cell r="H4224" t="str">
            <v>consulta_externa</v>
          </cell>
          <cell r="J4224" t="str">
            <v>bueno</v>
          </cell>
          <cell r="K4224" t="str">
            <v>defsi</v>
          </cell>
        </row>
        <row r="4225">
          <cell r="B4225" t="b">
            <v>0</v>
          </cell>
          <cell r="E4225" t="str">
            <v>Pozon</v>
          </cell>
          <cell r="H4225" t="str">
            <v>consulta_externa</v>
          </cell>
          <cell r="J4225" t="str">
            <v>regular</v>
          </cell>
          <cell r="K4225" t="str">
            <v>probsi</v>
          </cell>
        </row>
        <row r="4226">
          <cell r="B4226" t="b">
            <v>1</v>
          </cell>
          <cell r="E4226" t="str">
            <v>Pasacaballos</v>
          </cell>
          <cell r="H4226" t="str">
            <v>salud_oral</v>
          </cell>
          <cell r="J4226" t="str">
            <v>bueno</v>
          </cell>
          <cell r="K4226" t="str">
            <v>defsi</v>
          </cell>
        </row>
        <row r="4227">
          <cell r="B4227" t="b">
            <v>1</v>
          </cell>
          <cell r="E4227" t="str">
            <v>Pasacaballos</v>
          </cell>
          <cell r="H4227" t="str">
            <v>laboratorio</v>
          </cell>
          <cell r="J4227" t="str">
            <v>bueno</v>
          </cell>
          <cell r="K4227" t="str">
            <v>defsi</v>
          </cell>
        </row>
        <row r="4228">
          <cell r="B4228" t="b">
            <v>1</v>
          </cell>
          <cell r="E4228" t="str">
            <v>Pozon</v>
          </cell>
          <cell r="H4228" t="str">
            <v>consulta_externa</v>
          </cell>
          <cell r="J4228" t="str">
            <v>muybueno</v>
          </cell>
          <cell r="K4228" t="str">
            <v>probsi</v>
          </cell>
        </row>
        <row r="4229">
          <cell r="B4229" t="b">
            <v>1</v>
          </cell>
          <cell r="E4229" t="str">
            <v>Pozon</v>
          </cell>
          <cell r="H4229" t="str">
            <v>salud_oral</v>
          </cell>
          <cell r="J4229" t="str">
            <v>bueno</v>
          </cell>
          <cell r="K4229" t="str">
            <v>probsi</v>
          </cell>
        </row>
        <row r="4230">
          <cell r="B4230" t="b">
            <v>1</v>
          </cell>
          <cell r="E4230" t="str">
            <v>Pasacaballos</v>
          </cell>
          <cell r="H4230" t="str">
            <v>urgencia</v>
          </cell>
          <cell r="J4230" t="str">
            <v>bueno</v>
          </cell>
          <cell r="K4230" t="str">
            <v>defsi</v>
          </cell>
        </row>
        <row r="4231">
          <cell r="B4231" t="b">
            <v>1</v>
          </cell>
          <cell r="E4231" t="str">
            <v>Pasacaballos</v>
          </cell>
          <cell r="H4231" t="str">
            <v>consulta_externa</v>
          </cell>
          <cell r="J4231" t="str">
            <v>bueno</v>
          </cell>
          <cell r="K4231" t="str">
            <v>defsi</v>
          </cell>
        </row>
        <row r="4232">
          <cell r="B4232" t="b">
            <v>0</v>
          </cell>
          <cell r="E4232" t="str">
            <v>Pozon</v>
          </cell>
          <cell r="H4232" t="str">
            <v>consulta_externa</v>
          </cell>
          <cell r="J4232" t="str">
            <v>regular</v>
          </cell>
          <cell r="K4232" t="str">
            <v>probsi</v>
          </cell>
        </row>
        <row r="4233">
          <cell r="B4233" t="b">
            <v>1</v>
          </cell>
          <cell r="E4233" t="str">
            <v>Pasacaballos</v>
          </cell>
          <cell r="H4233" t="str">
            <v>salud_oral</v>
          </cell>
          <cell r="J4233" t="str">
            <v>bueno</v>
          </cell>
          <cell r="K4233" t="str">
            <v>defsi</v>
          </cell>
        </row>
        <row r="4234">
          <cell r="B4234" t="b">
            <v>1</v>
          </cell>
          <cell r="E4234" t="str">
            <v>Pasacaballos</v>
          </cell>
          <cell r="H4234" t="str">
            <v>laboratorio</v>
          </cell>
          <cell r="J4234" t="str">
            <v>bueno</v>
          </cell>
          <cell r="K4234" t="str">
            <v>defsi</v>
          </cell>
        </row>
        <row r="4235">
          <cell r="B4235" t="b">
            <v>1</v>
          </cell>
          <cell r="E4235" t="str">
            <v>Pasacaballos</v>
          </cell>
          <cell r="H4235" t="str">
            <v>urgencia</v>
          </cell>
          <cell r="J4235" t="str">
            <v>bueno</v>
          </cell>
          <cell r="K4235" t="str">
            <v>defsi</v>
          </cell>
        </row>
        <row r="4236">
          <cell r="B4236" t="b">
            <v>0</v>
          </cell>
          <cell r="E4236" t="str">
            <v>Pozon</v>
          </cell>
          <cell r="H4236" t="str">
            <v>consulta_externa</v>
          </cell>
          <cell r="J4236" t="str">
            <v>regular</v>
          </cell>
          <cell r="K4236" t="str">
            <v>probsi</v>
          </cell>
        </row>
        <row r="4237">
          <cell r="B4237" t="b">
            <v>1</v>
          </cell>
          <cell r="E4237" t="str">
            <v>Pozon</v>
          </cell>
          <cell r="H4237" t="str">
            <v>salud_oral</v>
          </cell>
          <cell r="J4237" t="str">
            <v>bueno</v>
          </cell>
          <cell r="K4237" t="str">
            <v>probsi</v>
          </cell>
        </row>
        <row r="4238">
          <cell r="B4238" t="b">
            <v>1</v>
          </cell>
          <cell r="E4238" t="str">
            <v>Pozon</v>
          </cell>
          <cell r="H4238" t="str">
            <v>laboratorio</v>
          </cell>
          <cell r="J4238" t="str">
            <v>bueno</v>
          </cell>
          <cell r="K4238" t="str">
            <v>probsi</v>
          </cell>
        </row>
        <row r="4239">
          <cell r="B4239" t="b">
            <v>1</v>
          </cell>
          <cell r="E4239" t="str">
            <v>Pozon</v>
          </cell>
          <cell r="H4239" t="str">
            <v>consulta_externa</v>
          </cell>
          <cell r="J4239" t="str">
            <v>bueno</v>
          </cell>
          <cell r="K4239" t="str">
            <v>probsi</v>
          </cell>
        </row>
        <row r="4240">
          <cell r="B4240" t="b">
            <v>1</v>
          </cell>
          <cell r="E4240" t="str">
            <v>Pozon</v>
          </cell>
          <cell r="H4240" t="str">
            <v>laboratorio</v>
          </cell>
          <cell r="J4240" t="str">
            <v>bueno</v>
          </cell>
          <cell r="K4240" t="str">
            <v>probsi</v>
          </cell>
        </row>
        <row r="4241">
          <cell r="B4241" t="b">
            <v>1</v>
          </cell>
          <cell r="E4241" t="str">
            <v>Tierra Baja</v>
          </cell>
          <cell r="H4241" t="str">
            <v>consulta_externa</v>
          </cell>
          <cell r="J4241" t="str">
            <v>bueno</v>
          </cell>
          <cell r="K4241" t="str">
            <v>defsi</v>
          </cell>
        </row>
        <row r="4242">
          <cell r="B4242" t="b">
            <v>1</v>
          </cell>
          <cell r="E4242" t="str">
            <v>Tierra Baja</v>
          </cell>
          <cell r="H4242" t="str">
            <v>consulta_externa</v>
          </cell>
          <cell r="J4242" t="str">
            <v>bueno</v>
          </cell>
          <cell r="K4242" t="str">
            <v>defsi</v>
          </cell>
        </row>
        <row r="4243">
          <cell r="B4243" t="b">
            <v>1</v>
          </cell>
          <cell r="E4243" t="str">
            <v>Tierra Baja</v>
          </cell>
          <cell r="H4243" t="str">
            <v>salud_oral</v>
          </cell>
          <cell r="J4243" t="str">
            <v>bueno</v>
          </cell>
          <cell r="K4243" t="str">
            <v>defsi</v>
          </cell>
        </row>
        <row r="4244">
          <cell r="B4244" t="b">
            <v>1</v>
          </cell>
          <cell r="E4244" t="str">
            <v>Pozon</v>
          </cell>
          <cell r="H4244" t="str">
            <v>salud_oral</v>
          </cell>
          <cell r="J4244" t="str">
            <v>bueno</v>
          </cell>
          <cell r="K4244" t="str">
            <v>probsi</v>
          </cell>
        </row>
        <row r="4245">
          <cell r="B4245" t="b">
            <v>1</v>
          </cell>
          <cell r="E4245" t="str">
            <v>Pozon</v>
          </cell>
          <cell r="H4245" t="str">
            <v>salud_oral</v>
          </cell>
          <cell r="J4245" t="str">
            <v>bueno</v>
          </cell>
          <cell r="K4245" t="str">
            <v>probsi</v>
          </cell>
        </row>
        <row r="4246">
          <cell r="B4246" t="b">
            <v>1</v>
          </cell>
          <cell r="E4246" t="str">
            <v>Pozon</v>
          </cell>
          <cell r="H4246" t="str">
            <v>consulta_externa</v>
          </cell>
          <cell r="J4246" t="str">
            <v>bueno</v>
          </cell>
          <cell r="K4246" t="str">
            <v>probsi</v>
          </cell>
        </row>
        <row r="4247">
          <cell r="B4247" t="b">
            <v>1</v>
          </cell>
          <cell r="E4247" t="str">
            <v>Pozon</v>
          </cell>
          <cell r="H4247" t="str">
            <v>laboratorio</v>
          </cell>
          <cell r="J4247" t="str">
            <v>bueno</v>
          </cell>
          <cell r="K4247" t="str">
            <v>probsi</v>
          </cell>
        </row>
        <row r="4248">
          <cell r="B4248" t="b">
            <v>1</v>
          </cell>
          <cell r="E4248" t="str">
            <v>Las Reinas</v>
          </cell>
          <cell r="H4248" t="str">
            <v>consulta_externa</v>
          </cell>
          <cell r="J4248" t="str">
            <v>bueno</v>
          </cell>
          <cell r="K4248" t="str">
            <v>defsi</v>
          </cell>
        </row>
        <row r="4249">
          <cell r="B4249" t="b">
            <v>1</v>
          </cell>
          <cell r="E4249" t="str">
            <v>Las Reinas</v>
          </cell>
          <cell r="H4249" t="str">
            <v>laboratorio</v>
          </cell>
          <cell r="J4249" t="str">
            <v>bueno</v>
          </cell>
          <cell r="K4249" t="str">
            <v>defsi</v>
          </cell>
        </row>
        <row r="4250">
          <cell r="B4250" t="b">
            <v>1</v>
          </cell>
          <cell r="E4250" t="str">
            <v>Las Reinas</v>
          </cell>
          <cell r="H4250" t="str">
            <v>consulta_externa</v>
          </cell>
          <cell r="J4250" t="str">
            <v>bueno</v>
          </cell>
          <cell r="K4250" t="str">
            <v>defsi</v>
          </cell>
        </row>
        <row r="4251">
          <cell r="B4251" t="b">
            <v>1</v>
          </cell>
          <cell r="E4251" t="str">
            <v>Las Reinas</v>
          </cell>
          <cell r="H4251" t="str">
            <v>laboratorio</v>
          </cell>
          <cell r="J4251" t="str">
            <v>bueno</v>
          </cell>
          <cell r="K4251" t="str">
            <v>defsi</v>
          </cell>
        </row>
        <row r="4252">
          <cell r="B4252" t="b">
            <v>1</v>
          </cell>
          <cell r="E4252" t="str">
            <v>Nelson Mandela UPA</v>
          </cell>
          <cell r="H4252" t="str">
            <v>salud_oral</v>
          </cell>
          <cell r="J4252" t="str">
            <v>bueno</v>
          </cell>
          <cell r="K4252" t="str">
            <v>defsi</v>
          </cell>
        </row>
        <row r="4253">
          <cell r="B4253" t="b">
            <v>1</v>
          </cell>
          <cell r="E4253" t="str">
            <v>Nelson Mandela UPA</v>
          </cell>
          <cell r="H4253" t="str">
            <v>consulta_externa</v>
          </cell>
          <cell r="J4253" t="str">
            <v>bueno</v>
          </cell>
          <cell r="K4253" t="str">
            <v>defsi</v>
          </cell>
        </row>
        <row r="4254">
          <cell r="B4254" t="b">
            <v>1</v>
          </cell>
          <cell r="E4254" t="str">
            <v>Nelson Mandela UPA</v>
          </cell>
          <cell r="H4254" t="str">
            <v>consulta_externa</v>
          </cell>
          <cell r="J4254" t="str">
            <v>bueno</v>
          </cell>
          <cell r="K4254" t="str">
            <v>defsi</v>
          </cell>
        </row>
        <row r="4255">
          <cell r="B4255" t="b">
            <v>1</v>
          </cell>
          <cell r="E4255" t="str">
            <v>Nelson Mandela UPA</v>
          </cell>
          <cell r="H4255" t="str">
            <v>consulta_externa</v>
          </cell>
          <cell r="J4255" t="str">
            <v>bueno</v>
          </cell>
          <cell r="K4255" t="str">
            <v>defsi</v>
          </cell>
        </row>
        <row r="4256">
          <cell r="B4256" t="b">
            <v>1</v>
          </cell>
          <cell r="E4256" t="str">
            <v>Nelson Mandela UPA</v>
          </cell>
          <cell r="H4256" t="str">
            <v>laboratorio</v>
          </cell>
          <cell r="J4256" t="str">
            <v>bueno</v>
          </cell>
          <cell r="K4256" t="str">
            <v>defsi</v>
          </cell>
        </row>
        <row r="4257">
          <cell r="B4257" t="b">
            <v>1</v>
          </cell>
          <cell r="E4257" t="str">
            <v>Nelson Mandela UPA</v>
          </cell>
          <cell r="H4257" t="str">
            <v>consulta_externa</v>
          </cell>
          <cell r="J4257" t="str">
            <v>bueno</v>
          </cell>
          <cell r="K4257" t="str">
            <v>defsi</v>
          </cell>
        </row>
        <row r="4258">
          <cell r="B4258" t="b">
            <v>1</v>
          </cell>
          <cell r="E4258" t="str">
            <v>Nelson Mandela UPA</v>
          </cell>
          <cell r="H4258" t="str">
            <v>laboratorio</v>
          </cell>
          <cell r="J4258" t="str">
            <v>bueno</v>
          </cell>
          <cell r="K4258" t="str">
            <v>defsi</v>
          </cell>
        </row>
        <row r="4259">
          <cell r="B4259" t="b">
            <v>1</v>
          </cell>
          <cell r="E4259" t="str">
            <v>Nelson Mandela UPA</v>
          </cell>
          <cell r="H4259" t="str">
            <v>consulta_externa</v>
          </cell>
          <cell r="J4259" t="str">
            <v>bueno</v>
          </cell>
          <cell r="K4259" t="str">
            <v>defsi</v>
          </cell>
        </row>
        <row r="4260">
          <cell r="B4260" t="b">
            <v>1</v>
          </cell>
          <cell r="E4260" t="str">
            <v>Nelson Mandela UPA</v>
          </cell>
          <cell r="H4260" t="str">
            <v>laboratorio</v>
          </cell>
          <cell r="J4260" t="str">
            <v>bueno</v>
          </cell>
          <cell r="K4260" t="str">
            <v>defsi</v>
          </cell>
        </row>
        <row r="4261">
          <cell r="B4261" t="b">
            <v>1</v>
          </cell>
          <cell r="E4261" t="str">
            <v>Las Reinas</v>
          </cell>
          <cell r="H4261" t="str">
            <v>salud_oral</v>
          </cell>
          <cell r="J4261" t="str">
            <v>bueno</v>
          </cell>
          <cell r="K4261" t="str">
            <v>defsi</v>
          </cell>
        </row>
        <row r="4262">
          <cell r="B4262" t="b">
            <v>1</v>
          </cell>
          <cell r="E4262" t="str">
            <v>Las Reinas</v>
          </cell>
          <cell r="H4262" t="str">
            <v>salud_oral</v>
          </cell>
          <cell r="J4262" t="str">
            <v>bueno</v>
          </cell>
          <cell r="K4262" t="str">
            <v>defsi</v>
          </cell>
        </row>
        <row r="4263">
          <cell r="B4263" t="b">
            <v>1</v>
          </cell>
          <cell r="E4263" t="str">
            <v>Las Reinas</v>
          </cell>
          <cell r="H4263" t="str">
            <v>laboratorio</v>
          </cell>
          <cell r="J4263" t="str">
            <v>bueno</v>
          </cell>
          <cell r="K4263" t="str">
            <v>defsi</v>
          </cell>
        </row>
        <row r="4264">
          <cell r="B4264" t="b">
            <v>1</v>
          </cell>
          <cell r="E4264" t="str">
            <v>Las Reinas</v>
          </cell>
          <cell r="H4264" t="str">
            <v>laboratorio</v>
          </cell>
          <cell r="J4264" t="str">
            <v>bueno</v>
          </cell>
          <cell r="K4264" t="str">
            <v>defsi</v>
          </cell>
        </row>
        <row r="4265">
          <cell r="B4265" t="b">
            <v>1</v>
          </cell>
          <cell r="E4265" t="str">
            <v>Las Reinas</v>
          </cell>
          <cell r="H4265" t="str">
            <v>laboratorio</v>
          </cell>
          <cell r="J4265" t="str">
            <v>bueno</v>
          </cell>
          <cell r="K4265" t="str">
            <v>defsi</v>
          </cell>
        </row>
        <row r="4266">
          <cell r="B4266" t="b">
            <v>1</v>
          </cell>
          <cell r="E4266" t="str">
            <v>Las Reinas</v>
          </cell>
          <cell r="H4266" t="str">
            <v>salud_oral</v>
          </cell>
          <cell r="J4266" t="str">
            <v>bueno</v>
          </cell>
          <cell r="K4266" t="str">
            <v>defsi</v>
          </cell>
        </row>
        <row r="4267">
          <cell r="B4267" t="b">
            <v>1</v>
          </cell>
          <cell r="E4267" t="str">
            <v>Las Reinas</v>
          </cell>
          <cell r="H4267" t="str">
            <v>salud_oral</v>
          </cell>
          <cell r="J4267" t="str">
            <v>bueno</v>
          </cell>
          <cell r="K4267" t="str">
            <v>defsi</v>
          </cell>
        </row>
        <row r="4268">
          <cell r="B4268" t="b">
            <v>1</v>
          </cell>
          <cell r="E4268" t="str">
            <v>Las Reinas</v>
          </cell>
          <cell r="H4268" t="str">
            <v>salud_oral</v>
          </cell>
          <cell r="J4268" t="str">
            <v>bueno</v>
          </cell>
          <cell r="K4268" t="str">
            <v>defsi</v>
          </cell>
        </row>
        <row r="4269">
          <cell r="B4269" t="b">
            <v>1</v>
          </cell>
          <cell r="E4269" t="str">
            <v>Las Reinas</v>
          </cell>
          <cell r="H4269" t="str">
            <v>salud_oral</v>
          </cell>
          <cell r="J4269" t="str">
            <v>bueno</v>
          </cell>
          <cell r="K4269" t="str">
            <v>defsi</v>
          </cell>
        </row>
        <row r="4270">
          <cell r="B4270" t="b">
            <v>1</v>
          </cell>
          <cell r="E4270" t="str">
            <v>Las Reinas</v>
          </cell>
          <cell r="H4270" t="str">
            <v>laboratorio</v>
          </cell>
          <cell r="J4270" t="str">
            <v>bueno</v>
          </cell>
          <cell r="K4270" t="str">
            <v>defsi</v>
          </cell>
        </row>
        <row r="4271">
          <cell r="B4271" t="b">
            <v>1</v>
          </cell>
          <cell r="E4271" t="str">
            <v>Las Reinas</v>
          </cell>
          <cell r="H4271" t="str">
            <v>laboratorio</v>
          </cell>
          <cell r="J4271" t="str">
            <v>bueno</v>
          </cell>
          <cell r="K4271" t="str">
            <v>defsi</v>
          </cell>
        </row>
        <row r="4272">
          <cell r="B4272" t="b">
            <v>1</v>
          </cell>
          <cell r="E4272" t="str">
            <v>Las Reinas</v>
          </cell>
          <cell r="H4272" t="str">
            <v>consulta_externa</v>
          </cell>
          <cell r="J4272" t="str">
            <v>bueno</v>
          </cell>
          <cell r="K4272" t="str">
            <v>defsi</v>
          </cell>
        </row>
        <row r="4273">
          <cell r="B4273" t="b">
            <v>1</v>
          </cell>
          <cell r="E4273" t="str">
            <v>Las Reinas</v>
          </cell>
          <cell r="H4273" t="str">
            <v>consulta_externa</v>
          </cell>
          <cell r="J4273" t="str">
            <v>bueno</v>
          </cell>
          <cell r="K4273" t="str">
            <v>defsi</v>
          </cell>
        </row>
        <row r="4274">
          <cell r="B4274" t="b">
            <v>1</v>
          </cell>
          <cell r="E4274" t="str">
            <v>Las Reinas</v>
          </cell>
          <cell r="H4274" t="str">
            <v>laboratorio</v>
          </cell>
          <cell r="J4274" t="str">
            <v>bueno</v>
          </cell>
          <cell r="K4274" t="str">
            <v>defsi</v>
          </cell>
        </row>
        <row r="4275">
          <cell r="B4275" t="b">
            <v>1</v>
          </cell>
          <cell r="E4275" t="str">
            <v>Las Reinas</v>
          </cell>
          <cell r="H4275" t="str">
            <v>laboratorio</v>
          </cell>
          <cell r="J4275" t="str">
            <v>bueno</v>
          </cell>
          <cell r="K4275" t="str">
            <v>defsi</v>
          </cell>
        </row>
        <row r="4276">
          <cell r="B4276" t="b">
            <v>1</v>
          </cell>
          <cell r="E4276" t="str">
            <v>Las Reinas</v>
          </cell>
          <cell r="H4276" t="str">
            <v>laboratorio</v>
          </cell>
          <cell r="J4276" t="str">
            <v>bueno</v>
          </cell>
          <cell r="K4276" t="str">
            <v>defsi</v>
          </cell>
        </row>
        <row r="4277">
          <cell r="B4277" t="b">
            <v>1</v>
          </cell>
          <cell r="E4277" t="str">
            <v>Las Reinas</v>
          </cell>
          <cell r="H4277" t="str">
            <v>laboratorio</v>
          </cell>
          <cell r="J4277" t="str">
            <v>bueno</v>
          </cell>
          <cell r="K4277" t="str">
            <v>defsi</v>
          </cell>
        </row>
        <row r="4278">
          <cell r="B4278" t="b">
            <v>1</v>
          </cell>
          <cell r="E4278" t="str">
            <v>Las Reinas</v>
          </cell>
          <cell r="H4278" t="str">
            <v>consulta_externa</v>
          </cell>
          <cell r="J4278" t="str">
            <v>bueno</v>
          </cell>
          <cell r="K4278" t="str">
            <v>defsi</v>
          </cell>
        </row>
        <row r="4279">
          <cell r="B4279" t="b">
            <v>1</v>
          </cell>
          <cell r="E4279" t="str">
            <v>Las Reinas</v>
          </cell>
          <cell r="H4279" t="str">
            <v>consulta_externa</v>
          </cell>
          <cell r="J4279" t="str">
            <v>bueno</v>
          </cell>
          <cell r="K4279" t="str">
            <v>defsi</v>
          </cell>
        </row>
        <row r="4280">
          <cell r="B4280" t="b">
            <v>1</v>
          </cell>
          <cell r="E4280" t="str">
            <v>Las Reinas</v>
          </cell>
          <cell r="H4280" t="str">
            <v>laboratorio</v>
          </cell>
          <cell r="J4280" t="str">
            <v>bueno</v>
          </cell>
          <cell r="K4280" t="str">
            <v>defsi</v>
          </cell>
        </row>
        <row r="4281">
          <cell r="B4281" t="b">
            <v>1</v>
          </cell>
          <cell r="E4281" t="str">
            <v>Las Reinas</v>
          </cell>
          <cell r="H4281" t="str">
            <v>laboratorio</v>
          </cell>
          <cell r="J4281" t="str">
            <v>bueno</v>
          </cell>
          <cell r="K4281" t="str">
            <v>defsi</v>
          </cell>
        </row>
        <row r="4282">
          <cell r="B4282" t="b">
            <v>1</v>
          </cell>
          <cell r="E4282" t="str">
            <v>Las Reinas</v>
          </cell>
          <cell r="H4282" t="str">
            <v>laboratorio</v>
          </cell>
          <cell r="J4282" t="str">
            <v>bueno</v>
          </cell>
          <cell r="K4282" t="str">
            <v>defsi</v>
          </cell>
        </row>
        <row r="4283">
          <cell r="B4283" t="b">
            <v>1</v>
          </cell>
          <cell r="E4283" t="str">
            <v>Las Reinas</v>
          </cell>
          <cell r="H4283" t="str">
            <v>consulta_externa</v>
          </cell>
          <cell r="J4283" t="str">
            <v>bueno</v>
          </cell>
          <cell r="K4283" t="str">
            <v>defsi</v>
          </cell>
        </row>
        <row r="4284">
          <cell r="B4284" t="b">
            <v>1</v>
          </cell>
          <cell r="E4284" t="str">
            <v>Las Reinas</v>
          </cell>
          <cell r="H4284" t="str">
            <v>laboratorio</v>
          </cell>
          <cell r="J4284" t="str">
            <v>bueno</v>
          </cell>
          <cell r="K4284" t="str">
            <v>defsi</v>
          </cell>
        </row>
        <row r="4285">
          <cell r="B4285" t="b">
            <v>1</v>
          </cell>
          <cell r="E4285" t="str">
            <v>Las Reinas</v>
          </cell>
          <cell r="H4285" t="str">
            <v>laboratorio</v>
          </cell>
          <cell r="J4285" t="str">
            <v>bueno</v>
          </cell>
          <cell r="K4285" t="str">
            <v>defsi</v>
          </cell>
        </row>
        <row r="4286">
          <cell r="B4286" t="b">
            <v>1</v>
          </cell>
          <cell r="E4286" t="str">
            <v>Las Reinas</v>
          </cell>
          <cell r="H4286" t="str">
            <v>consulta_externa</v>
          </cell>
          <cell r="J4286" t="str">
            <v>bueno</v>
          </cell>
          <cell r="K4286" t="str">
            <v>defsi</v>
          </cell>
        </row>
        <row r="4287">
          <cell r="B4287" t="b">
            <v>1</v>
          </cell>
          <cell r="E4287" t="str">
            <v>Las Reinas</v>
          </cell>
          <cell r="H4287" t="str">
            <v>consulta_externa</v>
          </cell>
          <cell r="J4287" t="str">
            <v>bueno</v>
          </cell>
          <cell r="K4287" t="str">
            <v>defsi</v>
          </cell>
        </row>
        <row r="4288">
          <cell r="B4288" t="b">
            <v>1</v>
          </cell>
          <cell r="E4288" t="str">
            <v>Las Reinas</v>
          </cell>
          <cell r="H4288" t="str">
            <v>laboratorio</v>
          </cell>
          <cell r="J4288" t="str">
            <v>bueno</v>
          </cell>
          <cell r="K4288" t="str">
            <v>defsi</v>
          </cell>
        </row>
        <row r="4289">
          <cell r="B4289" t="b">
            <v>1</v>
          </cell>
          <cell r="E4289" t="str">
            <v>Las Reinas</v>
          </cell>
          <cell r="H4289" t="str">
            <v>consulta_externa</v>
          </cell>
          <cell r="J4289" t="str">
            <v>bueno</v>
          </cell>
          <cell r="K4289" t="str">
            <v>defsi</v>
          </cell>
        </row>
        <row r="4290">
          <cell r="B4290" t="b">
            <v>1</v>
          </cell>
          <cell r="E4290" t="str">
            <v>Las Reinas</v>
          </cell>
          <cell r="H4290" t="str">
            <v>consulta_externa</v>
          </cell>
          <cell r="J4290" t="str">
            <v>bueno</v>
          </cell>
          <cell r="K4290" t="str">
            <v>defsi</v>
          </cell>
        </row>
        <row r="4291">
          <cell r="B4291" t="b">
            <v>1</v>
          </cell>
          <cell r="E4291" t="str">
            <v>Las Reinas</v>
          </cell>
          <cell r="H4291" t="str">
            <v>consulta_externa</v>
          </cell>
          <cell r="J4291" t="str">
            <v>bueno</v>
          </cell>
          <cell r="K4291" t="str">
            <v>defsi</v>
          </cell>
        </row>
        <row r="4292">
          <cell r="B4292" t="b">
            <v>1</v>
          </cell>
          <cell r="E4292" t="str">
            <v>Las Reinas</v>
          </cell>
          <cell r="H4292" t="str">
            <v>salud_oral</v>
          </cell>
          <cell r="J4292" t="str">
            <v>bueno</v>
          </cell>
          <cell r="K4292" t="str">
            <v>defsi</v>
          </cell>
        </row>
        <row r="4293">
          <cell r="B4293" t="b">
            <v>1</v>
          </cell>
          <cell r="E4293" t="str">
            <v>Las Reinas</v>
          </cell>
          <cell r="H4293" t="str">
            <v>salud_oral</v>
          </cell>
          <cell r="J4293" t="str">
            <v>bueno</v>
          </cell>
          <cell r="K4293" t="str">
            <v>defsi</v>
          </cell>
        </row>
        <row r="4294">
          <cell r="B4294" t="b">
            <v>1</v>
          </cell>
          <cell r="E4294" t="str">
            <v>Tierra Baja</v>
          </cell>
          <cell r="H4294" t="str">
            <v>laboratorio</v>
          </cell>
          <cell r="J4294" t="str">
            <v>bueno</v>
          </cell>
          <cell r="K4294" t="str">
            <v>probsi</v>
          </cell>
        </row>
        <row r="4295">
          <cell r="B4295" t="b">
            <v>1</v>
          </cell>
          <cell r="E4295" t="str">
            <v>Tierra Baja</v>
          </cell>
          <cell r="H4295" t="str">
            <v>laboratorio</v>
          </cell>
          <cell r="J4295" t="str">
            <v>bueno</v>
          </cell>
          <cell r="K4295" t="str">
            <v>probsi</v>
          </cell>
        </row>
        <row r="4296">
          <cell r="B4296" t="b">
            <v>1</v>
          </cell>
          <cell r="E4296" t="str">
            <v>Tierra Baja</v>
          </cell>
          <cell r="H4296" t="str">
            <v>laboratorio</v>
          </cell>
          <cell r="J4296" t="str">
            <v>bueno</v>
          </cell>
          <cell r="K4296" t="str">
            <v>probsi</v>
          </cell>
        </row>
        <row r="4297">
          <cell r="B4297" t="b">
            <v>1</v>
          </cell>
          <cell r="E4297" t="str">
            <v>Tierra Baja</v>
          </cell>
          <cell r="H4297" t="str">
            <v>laboratorio</v>
          </cell>
          <cell r="J4297" t="str">
            <v>bueno</v>
          </cell>
          <cell r="K4297" t="str">
            <v>probsi</v>
          </cell>
        </row>
        <row r="4298">
          <cell r="B4298" t="b">
            <v>1</v>
          </cell>
          <cell r="E4298" t="str">
            <v>Tierra Baja</v>
          </cell>
          <cell r="H4298" t="str">
            <v>laboratorio</v>
          </cell>
          <cell r="J4298" t="str">
            <v>bueno</v>
          </cell>
          <cell r="K4298" t="str">
            <v>probsi</v>
          </cell>
        </row>
        <row r="4299">
          <cell r="B4299" t="b">
            <v>1</v>
          </cell>
          <cell r="E4299" t="str">
            <v>Tierra Baja</v>
          </cell>
          <cell r="H4299" t="str">
            <v>laboratorio</v>
          </cell>
          <cell r="J4299" t="str">
            <v>bueno</v>
          </cell>
          <cell r="K4299" t="str">
            <v>probsi</v>
          </cell>
        </row>
        <row r="4300">
          <cell r="B4300" t="b">
            <v>1</v>
          </cell>
          <cell r="E4300" t="str">
            <v>Santa Ana</v>
          </cell>
          <cell r="H4300" t="str">
            <v>consulta_externa</v>
          </cell>
          <cell r="J4300" t="str">
            <v>muybueno</v>
          </cell>
          <cell r="K4300" t="str">
            <v>defsi</v>
          </cell>
        </row>
        <row r="4301">
          <cell r="B4301" t="b">
            <v>1</v>
          </cell>
          <cell r="E4301" t="str">
            <v>Santa Ana</v>
          </cell>
          <cell r="H4301" t="str">
            <v>laboratorio</v>
          </cell>
          <cell r="J4301" t="str">
            <v>muybueno</v>
          </cell>
          <cell r="K4301" t="str">
            <v>defsi</v>
          </cell>
        </row>
        <row r="4302">
          <cell r="B4302" t="b">
            <v>1</v>
          </cell>
          <cell r="E4302" t="str">
            <v>Tierra Baja</v>
          </cell>
          <cell r="H4302" t="str">
            <v>laboratorio</v>
          </cell>
          <cell r="J4302" t="str">
            <v>bueno</v>
          </cell>
          <cell r="K4302" t="str">
            <v>probsi</v>
          </cell>
        </row>
        <row r="4303">
          <cell r="B4303" t="b">
            <v>1</v>
          </cell>
          <cell r="E4303" t="str">
            <v>Tierra Baja</v>
          </cell>
          <cell r="H4303" t="str">
            <v>consulta_externa</v>
          </cell>
          <cell r="J4303" t="str">
            <v>bueno</v>
          </cell>
          <cell r="K4303" t="str">
            <v>probsi</v>
          </cell>
        </row>
        <row r="4304">
          <cell r="B4304" t="b">
            <v>1</v>
          </cell>
          <cell r="E4304" t="str">
            <v>Tierra Baja</v>
          </cell>
          <cell r="H4304" t="str">
            <v>consulta_externa</v>
          </cell>
          <cell r="J4304" t="str">
            <v>bueno</v>
          </cell>
          <cell r="K4304" t="str">
            <v>probsi</v>
          </cell>
        </row>
        <row r="4305">
          <cell r="B4305" t="b">
            <v>1</v>
          </cell>
          <cell r="E4305" t="str">
            <v>Tierra Baja</v>
          </cell>
          <cell r="H4305" t="str">
            <v>consulta_externa</v>
          </cell>
          <cell r="J4305" t="str">
            <v>bueno</v>
          </cell>
          <cell r="K4305" t="str">
            <v>probsi</v>
          </cell>
        </row>
        <row r="4306">
          <cell r="B4306" t="b">
            <v>1</v>
          </cell>
          <cell r="E4306" t="str">
            <v>Pozon</v>
          </cell>
          <cell r="H4306" t="str">
            <v>consulta_externa</v>
          </cell>
          <cell r="J4306" t="str">
            <v>bueno</v>
          </cell>
          <cell r="K4306" t="str">
            <v>probsi</v>
          </cell>
        </row>
        <row r="4307">
          <cell r="B4307" t="b">
            <v>1</v>
          </cell>
          <cell r="E4307" t="str">
            <v>Pozon</v>
          </cell>
          <cell r="H4307" t="str">
            <v>consulta_externa</v>
          </cell>
          <cell r="J4307" t="str">
            <v>bueno</v>
          </cell>
          <cell r="K4307" t="str">
            <v>probsi</v>
          </cell>
        </row>
        <row r="4308">
          <cell r="B4308" t="b">
            <v>1</v>
          </cell>
          <cell r="E4308" t="str">
            <v>Pozon</v>
          </cell>
          <cell r="H4308" t="str">
            <v>consulta_externa</v>
          </cell>
          <cell r="J4308" t="str">
            <v>bueno</v>
          </cell>
          <cell r="K4308" t="str">
            <v>probsi</v>
          </cell>
        </row>
        <row r="4309">
          <cell r="B4309" t="b">
            <v>1</v>
          </cell>
          <cell r="E4309" t="str">
            <v>Pozon</v>
          </cell>
          <cell r="H4309" t="str">
            <v>laboratorio</v>
          </cell>
          <cell r="J4309" t="str">
            <v>bueno</v>
          </cell>
          <cell r="K4309" t="str">
            <v>probsi</v>
          </cell>
        </row>
        <row r="4310">
          <cell r="B4310" t="b">
            <v>1</v>
          </cell>
          <cell r="E4310" t="str">
            <v>Pozon</v>
          </cell>
          <cell r="H4310" t="str">
            <v>laboratorio</v>
          </cell>
          <cell r="J4310" t="str">
            <v>bueno</v>
          </cell>
          <cell r="K4310" t="str">
            <v>probsi</v>
          </cell>
        </row>
        <row r="4311">
          <cell r="B4311" t="b">
            <v>0</v>
          </cell>
          <cell r="E4311" t="str">
            <v>Pozon</v>
          </cell>
          <cell r="H4311" t="str">
            <v>laboratorio</v>
          </cell>
          <cell r="J4311" t="str">
            <v>regular</v>
          </cell>
          <cell r="K4311" t="str">
            <v>probsi</v>
          </cell>
        </row>
        <row r="4312">
          <cell r="B4312" t="b">
            <v>0</v>
          </cell>
          <cell r="E4312" t="str">
            <v>Pozon</v>
          </cell>
          <cell r="H4312" t="str">
            <v>laboratorio</v>
          </cell>
          <cell r="J4312" t="str">
            <v>regular</v>
          </cell>
          <cell r="K4312" t="str">
            <v>probsi</v>
          </cell>
        </row>
        <row r="4313">
          <cell r="B4313" t="b">
            <v>0</v>
          </cell>
          <cell r="E4313" t="str">
            <v>Pozon</v>
          </cell>
          <cell r="H4313" t="str">
            <v>laboratorio</v>
          </cell>
          <cell r="J4313" t="str">
            <v>regular</v>
          </cell>
          <cell r="K4313" t="str">
            <v>probsi</v>
          </cell>
        </row>
        <row r="4314">
          <cell r="B4314" t="b">
            <v>1</v>
          </cell>
          <cell r="E4314" t="str">
            <v>Pozon</v>
          </cell>
          <cell r="H4314" t="str">
            <v>laboratorio</v>
          </cell>
          <cell r="J4314" t="str">
            <v>bueno</v>
          </cell>
          <cell r="K4314" t="str">
            <v>probsi</v>
          </cell>
        </row>
        <row r="4315">
          <cell r="B4315" t="b">
            <v>1</v>
          </cell>
          <cell r="E4315" t="str">
            <v>Pozon</v>
          </cell>
          <cell r="H4315" t="str">
            <v>salud_oral</v>
          </cell>
          <cell r="J4315" t="str">
            <v>bueno</v>
          </cell>
          <cell r="K4315" t="str">
            <v>probsi</v>
          </cell>
        </row>
        <row r="4316">
          <cell r="B4316" t="b">
            <v>1</v>
          </cell>
          <cell r="E4316" t="str">
            <v>Pozon</v>
          </cell>
          <cell r="H4316" t="str">
            <v>salud_oral</v>
          </cell>
          <cell r="J4316" t="str">
            <v>bueno</v>
          </cell>
          <cell r="K4316" t="str">
            <v>probsi</v>
          </cell>
        </row>
        <row r="4317">
          <cell r="B4317" t="b">
            <v>1</v>
          </cell>
          <cell r="E4317" t="str">
            <v>Pozon</v>
          </cell>
          <cell r="H4317" t="str">
            <v>salud_oral</v>
          </cell>
          <cell r="J4317" t="str">
            <v>bueno</v>
          </cell>
          <cell r="K4317" t="str">
            <v>probsi</v>
          </cell>
        </row>
        <row r="4318">
          <cell r="B4318" t="b">
            <v>1</v>
          </cell>
          <cell r="E4318" t="str">
            <v>Pozon</v>
          </cell>
          <cell r="H4318" t="str">
            <v>salud_oral</v>
          </cell>
          <cell r="J4318" t="str">
            <v>bueno</v>
          </cell>
          <cell r="K4318" t="str">
            <v>probsi</v>
          </cell>
        </row>
        <row r="4319">
          <cell r="B4319" t="b">
            <v>1</v>
          </cell>
          <cell r="E4319" t="str">
            <v>Pozon</v>
          </cell>
          <cell r="H4319" t="str">
            <v>salud_oral</v>
          </cell>
          <cell r="J4319" t="str">
            <v>bueno</v>
          </cell>
          <cell r="K4319" t="str">
            <v>probsi</v>
          </cell>
        </row>
        <row r="4320">
          <cell r="B4320" t="b">
            <v>1</v>
          </cell>
          <cell r="E4320" t="str">
            <v>Tierra Baja</v>
          </cell>
          <cell r="H4320" t="str">
            <v>salud_oral</v>
          </cell>
          <cell r="J4320" t="str">
            <v>bueno</v>
          </cell>
          <cell r="K4320" t="str">
            <v>defsi</v>
          </cell>
        </row>
        <row r="4321">
          <cell r="B4321" t="b">
            <v>1</v>
          </cell>
          <cell r="E4321" t="str">
            <v>Tierra Baja</v>
          </cell>
          <cell r="H4321" t="str">
            <v>salud_oral</v>
          </cell>
          <cell r="J4321" t="str">
            <v>bueno</v>
          </cell>
          <cell r="K4321" t="str">
            <v>defsi</v>
          </cell>
        </row>
        <row r="4322">
          <cell r="B4322" t="b">
            <v>1</v>
          </cell>
          <cell r="E4322" t="str">
            <v>Tierra Baja</v>
          </cell>
          <cell r="H4322" t="str">
            <v>salud_oral</v>
          </cell>
          <cell r="J4322" t="str">
            <v>bueno</v>
          </cell>
          <cell r="K4322" t="str">
            <v>defsi</v>
          </cell>
        </row>
        <row r="4323">
          <cell r="B4323" t="b">
            <v>1</v>
          </cell>
          <cell r="E4323" t="str">
            <v>Tierra Baja</v>
          </cell>
          <cell r="H4323" t="str">
            <v>consulta_externa</v>
          </cell>
          <cell r="J4323" t="str">
            <v>bueno</v>
          </cell>
          <cell r="K4323" t="str">
            <v>defsi</v>
          </cell>
        </row>
        <row r="4324">
          <cell r="B4324" t="b">
            <v>1</v>
          </cell>
          <cell r="E4324" t="str">
            <v>Tierra Baja</v>
          </cell>
          <cell r="H4324" t="str">
            <v>salud_oral</v>
          </cell>
          <cell r="J4324" t="str">
            <v>bueno</v>
          </cell>
          <cell r="K4324" t="str">
            <v>defsi</v>
          </cell>
        </row>
        <row r="4325">
          <cell r="B4325" t="b">
            <v>1</v>
          </cell>
          <cell r="E4325" t="str">
            <v>Tierra Baja</v>
          </cell>
          <cell r="H4325" t="str">
            <v>consulta_externa</v>
          </cell>
          <cell r="J4325" t="str">
            <v>bueno</v>
          </cell>
          <cell r="K4325" t="str">
            <v>defsi</v>
          </cell>
        </row>
        <row r="4326">
          <cell r="B4326" t="b">
            <v>1</v>
          </cell>
          <cell r="E4326" t="str">
            <v>Tierra Baja</v>
          </cell>
          <cell r="H4326" t="str">
            <v>laboratorio</v>
          </cell>
          <cell r="J4326" t="str">
            <v>bueno</v>
          </cell>
          <cell r="K4326" t="str">
            <v>defsi</v>
          </cell>
        </row>
        <row r="4327">
          <cell r="B4327" t="b">
            <v>1</v>
          </cell>
          <cell r="E4327" t="str">
            <v>Tierra Baja</v>
          </cell>
          <cell r="H4327" t="str">
            <v>salud_oral</v>
          </cell>
          <cell r="J4327" t="str">
            <v>bueno</v>
          </cell>
          <cell r="K4327" t="str">
            <v>defsi</v>
          </cell>
        </row>
        <row r="4328">
          <cell r="B4328" t="b">
            <v>1</v>
          </cell>
          <cell r="E4328" t="str">
            <v>Tierra Baja</v>
          </cell>
          <cell r="H4328" t="str">
            <v>consulta_externa</v>
          </cell>
          <cell r="J4328" t="str">
            <v>bueno</v>
          </cell>
          <cell r="K4328" t="str">
            <v>defsi</v>
          </cell>
        </row>
        <row r="4329">
          <cell r="B4329" t="b">
            <v>1</v>
          </cell>
          <cell r="E4329" t="str">
            <v>Tierra Baja</v>
          </cell>
          <cell r="H4329" t="str">
            <v>salud_oral</v>
          </cell>
          <cell r="J4329" t="str">
            <v>bueno</v>
          </cell>
          <cell r="K4329" t="str">
            <v>defsi</v>
          </cell>
        </row>
        <row r="4330">
          <cell r="B4330" t="b">
            <v>1</v>
          </cell>
          <cell r="E4330" t="str">
            <v>Tierra Baja</v>
          </cell>
          <cell r="H4330" t="str">
            <v>salud_oral</v>
          </cell>
          <cell r="J4330" t="str">
            <v>bueno</v>
          </cell>
          <cell r="K4330" t="str">
            <v>defsi</v>
          </cell>
        </row>
        <row r="4331">
          <cell r="B4331" t="b">
            <v>1</v>
          </cell>
          <cell r="E4331" t="str">
            <v>Santa Ana</v>
          </cell>
          <cell r="H4331" t="str">
            <v>consulta_externa</v>
          </cell>
          <cell r="J4331" t="str">
            <v>muybueno</v>
          </cell>
          <cell r="K4331" t="str">
            <v>defsi</v>
          </cell>
        </row>
        <row r="4332">
          <cell r="B4332" t="b">
            <v>1</v>
          </cell>
          <cell r="E4332" t="str">
            <v>Tierra Baja</v>
          </cell>
          <cell r="H4332" t="str">
            <v>consulta_externa</v>
          </cell>
          <cell r="J4332" t="str">
            <v>bueno</v>
          </cell>
          <cell r="K4332" t="str">
            <v>probsi</v>
          </cell>
        </row>
        <row r="4333">
          <cell r="B4333" t="b">
            <v>1</v>
          </cell>
          <cell r="E4333" t="str">
            <v>Tierra Baja</v>
          </cell>
          <cell r="H4333" t="str">
            <v>consulta_externa</v>
          </cell>
          <cell r="J4333" t="str">
            <v>bueno</v>
          </cell>
          <cell r="K4333" t="str">
            <v>probsi</v>
          </cell>
        </row>
        <row r="4334">
          <cell r="B4334" t="b">
            <v>1</v>
          </cell>
          <cell r="E4334" t="str">
            <v>Tierra Baja</v>
          </cell>
          <cell r="H4334" t="str">
            <v>salud_oral</v>
          </cell>
          <cell r="J4334" t="str">
            <v>bueno</v>
          </cell>
          <cell r="K4334" t="str">
            <v>probsi</v>
          </cell>
        </row>
        <row r="4335">
          <cell r="B4335" t="b">
            <v>1</v>
          </cell>
          <cell r="E4335" t="str">
            <v>Tierra Baja</v>
          </cell>
          <cell r="H4335" t="str">
            <v>salud_oral</v>
          </cell>
          <cell r="J4335" t="str">
            <v>bueno</v>
          </cell>
          <cell r="K4335" t="str">
            <v>defsi</v>
          </cell>
        </row>
        <row r="4336">
          <cell r="B4336" t="b">
            <v>1</v>
          </cell>
          <cell r="E4336" t="str">
            <v>Tierra Baja</v>
          </cell>
          <cell r="H4336" t="str">
            <v>consulta_externa</v>
          </cell>
          <cell r="J4336" t="str">
            <v>bueno</v>
          </cell>
          <cell r="K4336" t="str">
            <v>defsi</v>
          </cell>
        </row>
        <row r="4337">
          <cell r="B4337" t="b">
            <v>1</v>
          </cell>
          <cell r="E4337" t="str">
            <v>Santa Ana</v>
          </cell>
          <cell r="H4337" t="str">
            <v>consulta_externa</v>
          </cell>
          <cell r="J4337" t="str">
            <v>muybueno</v>
          </cell>
          <cell r="K4337" t="str">
            <v>defsi</v>
          </cell>
        </row>
        <row r="4338">
          <cell r="B4338" t="b">
            <v>1</v>
          </cell>
          <cell r="E4338" t="str">
            <v>Pasacaballos</v>
          </cell>
          <cell r="H4338" t="str">
            <v>consulta_externa</v>
          </cell>
          <cell r="J4338" t="str">
            <v>bueno</v>
          </cell>
          <cell r="K4338" t="str">
            <v>defsi</v>
          </cell>
        </row>
        <row r="4339">
          <cell r="B4339" t="b">
            <v>1</v>
          </cell>
          <cell r="E4339" t="str">
            <v>Pasacaballos</v>
          </cell>
          <cell r="H4339" t="str">
            <v>salud_oral</v>
          </cell>
          <cell r="J4339" t="str">
            <v>bueno</v>
          </cell>
          <cell r="K4339" t="str">
            <v>defsi</v>
          </cell>
        </row>
        <row r="4340">
          <cell r="B4340" t="b">
            <v>1</v>
          </cell>
          <cell r="E4340" t="str">
            <v>Pasacaballos</v>
          </cell>
          <cell r="H4340" t="str">
            <v>laboratorio</v>
          </cell>
          <cell r="J4340" t="str">
            <v>bueno</v>
          </cell>
          <cell r="K4340" t="str">
            <v>defsi</v>
          </cell>
        </row>
        <row r="4341">
          <cell r="B4341" t="b">
            <v>1</v>
          </cell>
          <cell r="E4341" t="str">
            <v>Pasacaballos</v>
          </cell>
          <cell r="H4341" t="str">
            <v>urgencia</v>
          </cell>
          <cell r="J4341" t="str">
            <v>bueno</v>
          </cell>
          <cell r="K4341" t="str">
            <v>defsi</v>
          </cell>
        </row>
        <row r="4342">
          <cell r="B4342" t="b">
            <v>1</v>
          </cell>
          <cell r="E4342" t="str">
            <v>Pasacaballos</v>
          </cell>
          <cell r="H4342" t="str">
            <v>consulta_externa</v>
          </cell>
          <cell r="J4342" t="str">
            <v>bueno</v>
          </cell>
          <cell r="K4342" t="str">
            <v>defsi</v>
          </cell>
        </row>
        <row r="4343">
          <cell r="B4343" t="b">
            <v>1</v>
          </cell>
          <cell r="E4343" t="str">
            <v>Pasacaballos</v>
          </cell>
          <cell r="H4343" t="str">
            <v>salud_oral</v>
          </cell>
          <cell r="J4343" t="str">
            <v>bueno</v>
          </cell>
          <cell r="K4343" t="str">
            <v>defsi</v>
          </cell>
        </row>
        <row r="4344">
          <cell r="B4344" t="b">
            <v>1</v>
          </cell>
          <cell r="E4344" t="str">
            <v>Candelaria</v>
          </cell>
          <cell r="H4344" t="str">
            <v>electros</v>
          </cell>
          <cell r="J4344" t="str">
            <v>bueno</v>
          </cell>
          <cell r="K4344" t="str">
            <v>defsi</v>
          </cell>
        </row>
        <row r="4345">
          <cell r="B4345" t="b">
            <v>0</v>
          </cell>
          <cell r="E4345" t="str">
            <v>Candelaria</v>
          </cell>
          <cell r="H4345" t="str">
            <v>consulta_externa</v>
          </cell>
          <cell r="J4345" t="str">
            <v>regular</v>
          </cell>
          <cell r="K4345" t="str">
            <v>probsi</v>
          </cell>
        </row>
        <row r="4346">
          <cell r="B4346" t="b">
            <v>0</v>
          </cell>
          <cell r="E4346" t="str">
            <v>Candelaria</v>
          </cell>
          <cell r="H4346" t="str">
            <v>laboratorio</v>
          </cell>
          <cell r="J4346" t="str">
            <v>regular</v>
          </cell>
          <cell r="K4346" t="str">
            <v>probsi</v>
          </cell>
        </row>
        <row r="4347">
          <cell r="B4347" t="b">
            <v>1</v>
          </cell>
          <cell r="E4347" t="str">
            <v>Santa Ana</v>
          </cell>
          <cell r="H4347" t="str">
            <v>laboratorio</v>
          </cell>
          <cell r="J4347" t="str">
            <v>muybueno</v>
          </cell>
          <cell r="K4347" t="str">
            <v>defsi</v>
          </cell>
        </row>
        <row r="4348">
          <cell r="B4348" t="b">
            <v>1</v>
          </cell>
          <cell r="E4348" t="str">
            <v>Candelaria</v>
          </cell>
          <cell r="H4348" t="str">
            <v>salud_oral</v>
          </cell>
          <cell r="J4348" t="str">
            <v>bueno</v>
          </cell>
          <cell r="K4348" t="str">
            <v>defsi</v>
          </cell>
        </row>
        <row r="4349">
          <cell r="B4349" t="b">
            <v>1</v>
          </cell>
          <cell r="E4349" t="str">
            <v>Candelaria</v>
          </cell>
          <cell r="H4349" t="str">
            <v>consulta_externa</v>
          </cell>
          <cell r="J4349" t="str">
            <v>bueno</v>
          </cell>
          <cell r="K4349" t="str">
            <v>defsi</v>
          </cell>
        </row>
        <row r="4350">
          <cell r="B4350" t="b">
            <v>1</v>
          </cell>
          <cell r="E4350" t="str">
            <v>Candelaria</v>
          </cell>
          <cell r="H4350" t="str">
            <v>consulta_externa</v>
          </cell>
          <cell r="J4350" t="str">
            <v>bueno</v>
          </cell>
          <cell r="K4350" t="str">
            <v>defsi</v>
          </cell>
        </row>
        <row r="4351">
          <cell r="B4351" t="b">
            <v>1</v>
          </cell>
          <cell r="E4351" t="str">
            <v>Candelaria</v>
          </cell>
          <cell r="H4351" t="str">
            <v>laboratorio</v>
          </cell>
          <cell r="J4351" t="str">
            <v>bueno</v>
          </cell>
          <cell r="K4351" t="str">
            <v>defsi</v>
          </cell>
        </row>
        <row r="4352">
          <cell r="B4352" t="b">
            <v>1</v>
          </cell>
          <cell r="E4352" t="str">
            <v>Candelaria</v>
          </cell>
          <cell r="H4352" t="str">
            <v>consulta_externa</v>
          </cell>
          <cell r="J4352" t="str">
            <v>bueno</v>
          </cell>
          <cell r="K4352" t="str">
            <v>defsi</v>
          </cell>
        </row>
        <row r="4353">
          <cell r="B4353" t="b">
            <v>1</v>
          </cell>
          <cell r="E4353" t="str">
            <v>Candelaria</v>
          </cell>
          <cell r="H4353" t="str">
            <v>laboratorio</v>
          </cell>
          <cell r="J4353" t="str">
            <v>bueno</v>
          </cell>
          <cell r="K4353" t="str">
            <v>defsi</v>
          </cell>
        </row>
        <row r="4354">
          <cell r="B4354" t="b">
            <v>1</v>
          </cell>
          <cell r="E4354" t="str">
            <v>Arroz Barato</v>
          </cell>
          <cell r="H4354" t="str">
            <v>consulta_externa</v>
          </cell>
          <cell r="J4354" t="str">
            <v>bueno</v>
          </cell>
          <cell r="K4354" t="str">
            <v>defsi</v>
          </cell>
        </row>
        <row r="4355">
          <cell r="B4355" t="b">
            <v>1</v>
          </cell>
          <cell r="E4355" t="str">
            <v>Candelaria</v>
          </cell>
          <cell r="H4355" t="str">
            <v>laboratorio</v>
          </cell>
          <cell r="J4355" t="str">
            <v>bueno</v>
          </cell>
          <cell r="K4355" t="str">
            <v>defsi</v>
          </cell>
        </row>
        <row r="4356">
          <cell r="B4356" t="b">
            <v>1</v>
          </cell>
          <cell r="E4356" t="str">
            <v>Arroz Barato</v>
          </cell>
          <cell r="H4356" t="str">
            <v>salud_oral</v>
          </cell>
          <cell r="J4356" t="str">
            <v>bueno</v>
          </cell>
          <cell r="K4356" t="str">
            <v>defsi</v>
          </cell>
        </row>
        <row r="4357">
          <cell r="B4357" t="b">
            <v>1</v>
          </cell>
          <cell r="E4357" t="str">
            <v>Candelaria</v>
          </cell>
          <cell r="H4357" t="str">
            <v>salud_oral</v>
          </cell>
          <cell r="J4357" t="str">
            <v>bueno</v>
          </cell>
          <cell r="K4357" t="str">
            <v>defsi</v>
          </cell>
        </row>
        <row r="4358">
          <cell r="B4358" t="b">
            <v>1</v>
          </cell>
          <cell r="E4358" t="str">
            <v>Arroz Barato</v>
          </cell>
          <cell r="H4358" t="str">
            <v>laboratorio</v>
          </cell>
          <cell r="J4358" t="str">
            <v>bueno</v>
          </cell>
          <cell r="K4358" t="str">
            <v>defsi</v>
          </cell>
        </row>
        <row r="4359">
          <cell r="B4359" t="b">
            <v>1</v>
          </cell>
          <cell r="E4359" t="str">
            <v>Candelaria</v>
          </cell>
          <cell r="H4359" t="str">
            <v>pediatria</v>
          </cell>
          <cell r="J4359" t="str">
            <v>bueno</v>
          </cell>
          <cell r="K4359" t="str">
            <v>defsi</v>
          </cell>
        </row>
        <row r="4360">
          <cell r="B4360" t="b">
            <v>1</v>
          </cell>
          <cell r="E4360" t="str">
            <v>Arroz Barato</v>
          </cell>
          <cell r="H4360" t="str">
            <v>urgencia</v>
          </cell>
          <cell r="J4360" t="str">
            <v>bueno</v>
          </cell>
          <cell r="K4360" t="str">
            <v>defsi</v>
          </cell>
        </row>
        <row r="4361">
          <cell r="B4361" t="b">
            <v>1</v>
          </cell>
          <cell r="E4361" t="str">
            <v>Santa Ana</v>
          </cell>
          <cell r="H4361" t="str">
            <v>consulta_externa</v>
          </cell>
          <cell r="J4361" t="str">
            <v>muybueno</v>
          </cell>
          <cell r="K4361" t="str">
            <v>defsi</v>
          </cell>
        </row>
        <row r="4362">
          <cell r="B4362" t="b">
            <v>1</v>
          </cell>
          <cell r="E4362" t="str">
            <v>Candelaria</v>
          </cell>
          <cell r="H4362" t="str">
            <v>pediatria</v>
          </cell>
          <cell r="J4362" t="str">
            <v>bueno</v>
          </cell>
          <cell r="K4362" t="str">
            <v>defsi</v>
          </cell>
        </row>
        <row r="4363">
          <cell r="B4363" t="b">
            <v>1</v>
          </cell>
          <cell r="E4363" t="str">
            <v>Candelaria</v>
          </cell>
          <cell r="H4363" t="str">
            <v>pediatria</v>
          </cell>
          <cell r="J4363" t="str">
            <v>bueno</v>
          </cell>
          <cell r="K4363" t="str">
            <v>defsi</v>
          </cell>
        </row>
        <row r="4364">
          <cell r="B4364" t="b">
            <v>1</v>
          </cell>
          <cell r="E4364" t="str">
            <v>Candelaria</v>
          </cell>
          <cell r="H4364" t="str">
            <v>salud_oral</v>
          </cell>
          <cell r="J4364" t="str">
            <v>bueno</v>
          </cell>
          <cell r="K4364" t="str">
            <v>defsi</v>
          </cell>
        </row>
        <row r="4365">
          <cell r="B4365" t="b">
            <v>1</v>
          </cell>
          <cell r="E4365" t="str">
            <v>Candelaria</v>
          </cell>
          <cell r="H4365" t="str">
            <v>salud_oral</v>
          </cell>
          <cell r="J4365" t="str">
            <v>bueno</v>
          </cell>
          <cell r="K4365" t="str">
            <v>defsi</v>
          </cell>
        </row>
        <row r="4366">
          <cell r="B4366" t="b">
            <v>1</v>
          </cell>
          <cell r="E4366" t="str">
            <v>Candelaria</v>
          </cell>
          <cell r="H4366" t="str">
            <v>salud_oral</v>
          </cell>
          <cell r="J4366" t="str">
            <v>bueno</v>
          </cell>
          <cell r="K4366" t="str">
            <v>defsi</v>
          </cell>
        </row>
        <row r="4367">
          <cell r="B4367" t="b">
            <v>1</v>
          </cell>
          <cell r="E4367" t="str">
            <v>Arroz Barato</v>
          </cell>
          <cell r="H4367" t="str">
            <v>consulta_externa</v>
          </cell>
          <cell r="J4367" t="str">
            <v>bueno</v>
          </cell>
          <cell r="K4367" t="str">
            <v>defsi</v>
          </cell>
        </row>
        <row r="4368">
          <cell r="B4368" t="b">
            <v>1</v>
          </cell>
          <cell r="E4368" t="str">
            <v>Arroz Barato</v>
          </cell>
          <cell r="H4368" t="str">
            <v>salud_oral</v>
          </cell>
          <cell r="J4368" t="str">
            <v>bueno</v>
          </cell>
          <cell r="K4368" t="str">
            <v>defsi</v>
          </cell>
        </row>
        <row r="4369">
          <cell r="B4369" t="b">
            <v>1</v>
          </cell>
          <cell r="E4369" t="str">
            <v>Arroz Barato</v>
          </cell>
          <cell r="H4369" t="str">
            <v>laboratorio</v>
          </cell>
          <cell r="J4369" t="str">
            <v>bueno</v>
          </cell>
          <cell r="K4369" t="str">
            <v>defsi</v>
          </cell>
        </row>
        <row r="4370">
          <cell r="B4370" t="b">
            <v>1</v>
          </cell>
          <cell r="E4370" t="str">
            <v>Arroz Barato</v>
          </cell>
          <cell r="H4370" t="str">
            <v>urgencia</v>
          </cell>
          <cell r="J4370" t="str">
            <v>bueno</v>
          </cell>
          <cell r="K4370" t="str">
            <v>defsi</v>
          </cell>
        </row>
        <row r="4371">
          <cell r="B4371" t="b">
            <v>1</v>
          </cell>
          <cell r="E4371" t="str">
            <v>Arroz Barato</v>
          </cell>
          <cell r="H4371" t="str">
            <v>consulta_externa</v>
          </cell>
          <cell r="J4371" t="str">
            <v>bueno</v>
          </cell>
          <cell r="K4371" t="str">
            <v>defsi</v>
          </cell>
        </row>
        <row r="4372">
          <cell r="B4372" t="b">
            <v>1</v>
          </cell>
          <cell r="E4372" t="str">
            <v>Candelaria</v>
          </cell>
          <cell r="H4372" t="str">
            <v>pediatria</v>
          </cell>
          <cell r="J4372" t="str">
            <v>bueno</v>
          </cell>
          <cell r="K4372" t="str">
            <v>defsi</v>
          </cell>
        </row>
        <row r="4373">
          <cell r="B4373" t="b">
            <v>1</v>
          </cell>
          <cell r="E4373" t="str">
            <v>Arroz Barato</v>
          </cell>
          <cell r="H4373" t="str">
            <v>salud_oral</v>
          </cell>
          <cell r="J4373" t="str">
            <v>bueno</v>
          </cell>
          <cell r="K4373" t="str">
            <v>defsi</v>
          </cell>
        </row>
        <row r="4374">
          <cell r="B4374" t="b">
            <v>1</v>
          </cell>
          <cell r="E4374" t="str">
            <v>Candelaria</v>
          </cell>
          <cell r="H4374" t="str">
            <v>pediatria</v>
          </cell>
          <cell r="J4374" t="str">
            <v>bueno</v>
          </cell>
          <cell r="K4374" t="str">
            <v>defsi</v>
          </cell>
        </row>
        <row r="4375">
          <cell r="B4375" t="b">
            <v>1</v>
          </cell>
          <cell r="E4375" t="str">
            <v>Candelaria</v>
          </cell>
          <cell r="H4375" t="str">
            <v>pediatria</v>
          </cell>
          <cell r="J4375" t="str">
            <v>bueno</v>
          </cell>
          <cell r="K4375" t="str">
            <v>defsi</v>
          </cell>
        </row>
        <row r="4376">
          <cell r="B4376" t="b">
            <v>1</v>
          </cell>
          <cell r="E4376" t="str">
            <v>Candelaria</v>
          </cell>
          <cell r="H4376" t="str">
            <v>laboratorio</v>
          </cell>
          <cell r="J4376" t="str">
            <v>bueno</v>
          </cell>
          <cell r="K4376" t="str">
            <v>defsi</v>
          </cell>
        </row>
        <row r="4377">
          <cell r="B4377" t="b">
            <v>1</v>
          </cell>
          <cell r="E4377" t="str">
            <v>Candelaria</v>
          </cell>
          <cell r="H4377" t="str">
            <v>pediatria</v>
          </cell>
          <cell r="J4377" t="str">
            <v>bueno</v>
          </cell>
          <cell r="K4377" t="str">
            <v>defsi</v>
          </cell>
        </row>
        <row r="4378">
          <cell r="B4378" t="b">
            <v>1</v>
          </cell>
          <cell r="E4378" t="str">
            <v>Candelaria</v>
          </cell>
          <cell r="H4378" t="str">
            <v>pediatria</v>
          </cell>
          <cell r="J4378" t="str">
            <v>bueno</v>
          </cell>
          <cell r="K4378" t="str">
            <v>defsi</v>
          </cell>
        </row>
        <row r="4379">
          <cell r="B4379" t="b">
            <v>1</v>
          </cell>
          <cell r="E4379" t="str">
            <v>Arroz Barato</v>
          </cell>
          <cell r="H4379" t="str">
            <v>laboratorio</v>
          </cell>
          <cell r="J4379" t="str">
            <v>bueno</v>
          </cell>
          <cell r="K4379" t="str">
            <v>defsi</v>
          </cell>
        </row>
        <row r="4380">
          <cell r="B4380" t="b">
            <v>1</v>
          </cell>
          <cell r="E4380" t="str">
            <v>Arroz Barato</v>
          </cell>
          <cell r="H4380" t="str">
            <v>urgencia</v>
          </cell>
          <cell r="J4380" t="str">
            <v>bueno</v>
          </cell>
          <cell r="K4380" t="str">
            <v>defsi</v>
          </cell>
        </row>
        <row r="4381">
          <cell r="B4381" t="b">
            <v>1</v>
          </cell>
          <cell r="E4381" t="str">
            <v>Arroz Barato</v>
          </cell>
          <cell r="H4381" t="str">
            <v>consulta_externa</v>
          </cell>
          <cell r="J4381" t="str">
            <v>bueno</v>
          </cell>
          <cell r="K4381" t="str">
            <v>defsi</v>
          </cell>
        </row>
        <row r="4382">
          <cell r="B4382" t="b">
            <v>1</v>
          </cell>
          <cell r="E4382" t="str">
            <v>Arroz Barato</v>
          </cell>
          <cell r="H4382" t="str">
            <v>laboratorio</v>
          </cell>
          <cell r="J4382" t="str">
            <v>bueno</v>
          </cell>
          <cell r="K4382" t="str">
            <v>defsi</v>
          </cell>
        </row>
        <row r="4383">
          <cell r="B4383" t="b">
            <v>1</v>
          </cell>
          <cell r="E4383" t="str">
            <v>Hospital Pozon</v>
          </cell>
          <cell r="H4383" t="str">
            <v>laboratorio</v>
          </cell>
          <cell r="J4383" t="str">
            <v>bueno</v>
          </cell>
          <cell r="K4383" t="str">
            <v>probsi</v>
          </cell>
        </row>
        <row r="4384">
          <cell r="B4384" t="b">
            <v>1</v>
          </cell>
          <cell r="E4384" t="str">
            <v>Hospital Pozon</v>
          </cell>
          <cell r="H4384" t="str">
            <v>laboratorio</v>
          </cell>
          <cell r="J4384" t="str">
            <v>bueno</v>
          </cell>
          <cell r="K4384" t="str">
            <v>probsi</v>
          </cell>
        </row>
        <row r="4385">
          <cell r="B4385" t="b">
            <v>1</v>
          </cell>
          <cell r="E4385" t="str">
            <v>Hospital Pozon</v>
          </cell>
          <cell r="H4385" t="str">
            <v>salud_oral</v>
          </cell>
          <cell r="J4385" t="str">
            <v>bueno</v>
          </cell>
          <cell r="K4385" t="str">
            <v>probsi</v>
          </cell>
        </row>
        <row r="4386">
          <cell r="B4386" t="b">
            <v>1</v>
          </cell>
          <cell r="E4386" t="str">
            <v>Candelaria</v>
          </cell>
          <cell r="H4386" t="str">
            <v>pediatria</v>
          </cell>
          <cell r="J4386" t="str">
            <v>bueno</v>
          </cell>
          <cell r="K4386" t="str">
            <v>defsi</v>
          </cell>
        </row>
        <row r="4387">
          <cell r="B4387" t="b">
            <v>1</v>
          </cell>
          <cell r="E4387" t="str">
            <v>Hospital Pozon</v>
          </cell>
          <cell r="H4387" t="str">
            <v>salud_oral</v>
          </cell>
          <cell r="J4387" t="str">
            <v>bueno</v>
          </cell>
          <cell r="K4387" t="str">
            <v>probsi</v>
          </cell>
        </row>
        <row r="4388">
          <cell r="B4388" t="b">
            <v>1</v>
          </cell>
          <cell r="E4388" t="str">
            <v>Hospital Pozon</v>
          </cell>
          <cell r="H4388" t="str">
            <v>salud_oral</v>
          </cell>
          <cell r="J4388" t="str">
            <v>bueno</v>
          </cell>
          <cell r="K4388" t="str">
            <v>probsi</v>
          </cell>
        </row>
        <row r="4389">
          <cell r="B4389" t="b">
            <v>1</v>
          </cell>
          <cell r="E4389" t="str">
            <v>Arroz Barato</v>
          </cell>
          <cell r="H4389" t="str">
            <v>urgencia</v>
          </cell>
          <cell r="J4389" t="str">
            <v>bueno</v>
          </cell>
          <cell r="K4389" t="str">
            <v>defsi</v>
          </cell>
        </row>
        <row r="4390">
          <cell r="B4390" t="b">
            <v>1</v>
          </cell>
          <cell r="E4390" t="str">
            <v>Candelaria</v>
          </cell>
          <cell r="H4390" t="str">
            <v>pediatria</v>
          </cell>
          <cell r="J4390" t="str">
            <v>bueno</v>
          </cell>
          <cell r="K4390" t="str">
            <v>defsi</v>
          </cell>
        </row>
        <row r="4391">
          <cell r="B4391" t="b">
            <v>1</v>
          </cell>
          <cell r="E4391" t="str">
            <v>Hospital Pozon</v>
          </cell>
          <cell r="H4391" t="str">
            <v>salud_oral</v>
          </cell>
          <cell r="J4391" t="str">
            <v>bueno</v>
          </cell>
          <cell r="K4391" t="str">
            <v>probsi</v>
          </cell>
        </row>
        <row r="4392">
          <cell r="B4392" t="b">
            <v>1</v>
          </cell>
          <cell r="E4392" t="str">
            <v>Hospital Pozon</v>
          </cell>
          <cell r="H4392" t="str">
            <v>salud_oral</v>
          </cell>
          <cell r="J4392" t="str">
            <v>bueno</v>
          </cell>
          <cell r="K4392" t="str">
            <v>probsi</v>
          </cell>
        </row>
        <row r="4393">
          <cell r="B4393" t="b">
            <v>1</v>
          </cell>
          <cell r="E4393" t="str">
            <v>Arroz Barato</v>
          </cell>
          <cell r="H4393" t="str">
            <v>rx</v>
          </cell>
          <cell r="J4393" t="str">
            <v>bueno</v>
          </cell>
          <cell r="K4393" t="str">
            <v>defsi</v>
          </cell>
        </row>
        <row r="4394">
          <cell r="B4394" t="b">
            <v>1</v>
          </cell>
          <cell r="E4394" t="str">
            <v>Arroz Barato</v>
          </cell>
          <cell r="H4394" t="str">
            <v>salud_oral</v>
          </cell>
          <cell r="J4394" t="str">
            <v>bueno</v>
          </cell>
          <cell r="K4394" t="str">
            <v>defsi</v>
          </cell>
        </row>
        <row r="4395">
          <cell r="B4395" t="b">
            <v>1</v>
          </cell>
          <cell r="E4395" t="str">
            <v>Arroz Barato</v>
          </cell>
          <cell r="H4395" t="str">
            <v>rx</v>
          </cell>
          <cell r="J4395" t="str">
            <v>bueno</v>
          </cell>
          <cell r="K4395" t="str">
            <v>defsi</v>
          </cell>
        </row>
        <row r="4396">
          <cell r="B4396" t="b">
            <v>1</v>
          </cell>
          <cell r="E4396" t="str">
            <v>Arroz Barato</v>
          </cell>
          <cell r="H4396" t="str">
            <v>consulta_externa</v>
          </cell>
          <cell r="J4396" t="str">
            <v>bueno</v>
          </cell>
          <cell r="K4396" t="str">
            <v>defsi</v>
          </cell>
        </row>
        <row r="4397">
          <cell r="B4397" t="b">
            <v>1</v>
          </cell>
          <cell r="E4397" t="str">
            <v>Candelaria</v>
          </cell>
          <cell r="H4397" t="str">
            <v>salud_oral</v>
          </cell>
          <cell r="J4397" t="str">
            <v>bueno</v>
          </cell>
          <cell r="K4397" t="str">
            <v>defsi</v>
          </cell>
        </row>
        <row r="4398">
          <cell r="B4398" t="b">
            <v>1</v>
          </cell>
          <cell r="E4398" t="str">
            <v>Candelaria</v>
          </cell>
          <cell r="H4398" t="str">
            <v>salud_oral</v>
          </cell>
          <cell r="J4398" t="str">
            <v>bueno</v>
          </cell>
          <cell r="K4398" t="str">
            <v>defsi</v>
          </cell>
        </row>
        <row r="4399">
          <cell r="B4399" t="b">
            <v>1</v>
          </cell>
          <cell r="E4399" t="str">
            <v>Candelaria</v>
          </cell>
          <cell r="H4399" t="str">
            <v>laboratorio</v>
          </cell>
          <cell r="J4399" t="str">
            <v>bueno</v>
          </cell>
          <cell r="K4399" t="str">
            <v>defsi</v>
          </cell>
        </row>
        <row r="4400">
          <cell r="B4400" t="b">
            <v>1</v>
          </cell>
          <cell r="E4400" t="str">
            <v>Arroz Barato</v>
          </cell>
          <cell r="H4400" t="str">
            <v>rx</v>
          </cell>
          <cell r="J4400" t="str">
            <v>bueno</v>
          </cell>
          <cell r="K4400" t="str">
            <v>defsi</v>
          </cell>
        </row>
        <row r="4401">
          <cell r="B4401" t="b">
            <v>1</v>
          </cell>
          <cell r="E4401" t="str">
            <v>Candelaria</v>
          </cell>
          <cell r="H4401" t="str">
            <v>laboratorio</v>
          </cell>
          <cell r="J4401" t="str">
            <v>bueno</v>
          </cell>
          <cell r="K4401" t="str">
            <v>defsi</v>
          </cell>
        </row>
        <row r="4402">
          <cell r="B4402" t="b">
            <v>1</v>
          </cell>
          <cell r="E4402" t="str">
            <v>Candelaria</v>
          </cell>
          <cell r="H4402" t="str">
            <v>consulta_externa</v>
          </cell>
          <cell r="J4402" t="str">
            <v>bueno</v>
          </cell>
          <cell r="K4402" t="str">
            <v>defsi</v>
          </cell>
        </row>
        <row r="4403">
          <cell r="B4403" t="b">
            <v>1</v>
          </cell>
          <cell r="E4403" t="str">
            <v>Candelaria</v>
          </cell>
          <cell r="H4403" t="str">
            <v>laboratorio</v>
          </cell>
          <cell r="J4403" t="str">
            <v>bueno</v>
          </cell>
          <cell r="K4403" t="str">
            <v>defsi</v>
          </cell>
        </row>
        <row r="4404">
          <cell r="B4404" t="b">
            <v>1</v>
          </cell>
          <cell r="E4404" t="str">
            <v>Candelaria</v>
          </cell>
          <cell r="H4404" t="str">
            <v>electros</v>
          </cell>
          <cell r="J4404" t="str">
            <v>muybueno</v>
          </cell>
          <cell r="K4404" t="str">
            <v>defsi</v>
          </cell>
        </row>
        <row r="4405">
          <cell r="B4405" t="b">
            <v>1</v>
          </cell>
          <cell r="E4405" t="str">
            <v>Candelaria</v>
          </cell>
          <cell r="H4405" t="str">
            <v>consulta_externa</v>
          </cell>
          <cell r="J4405" t="str">
            <v>bueno</v>
          </cell>
          <cell r="K4405" t="str">
            <v>probsi</v>
          </cell>
        </row>
        <row r="4406">
          <cell r="B4406" t="b">
            <v>1</v>
          </cell>
          <cell r="E4406" t="str">
            <v>Candelaria</v>
          </cell>
          <cell r="H4406" t="str">
            <v>pediatria</v>
          </cell>
          <cell r="J4406" t="str">
            <v>muybueno</v>
          </cell>
          <cell r="K4406" t="str">
            <v>defsi</v>
          </cell>
        </row>
        <row r="4407">
          <cell r="B4407" t="b">
            <v>1</v>
          </cell>
          <cell r="E4407" t="str">
            <v>Candelaria</v>
          </cell>
          <cell r="H4407" t="str">
            <v>pediatria</v>
          </cell>
          <cell r="J4407" t="str">
            <v>muybueno</v>
          </cell>
          <cell r="K4407" t="str">
            <v>defsi</v>
          </cell>
        </row>
        <row r="4408">
          <cell r="B4408" t="b">
            <v>1</v>
          </cell>
          <cell r="E4408" t="str">
            <v>Candelaria</v>
          </cell>
          <cell r="H4408" t="str">
            <v>pediatria</v>
          </cell>
          <cell r="J4408" t="str">
            <v>muybueno</v>
          </cell>
          <cell r="K4408" t="str">
            <v>defsi</v>
          </cell>
        </row>
        <row r="4409">
          <cell r="B4409" t="b">
            <v>1</v>
          </cell>
          <cell r="E4409" t="str">
            <v>Candelaria</v>
          </cell>
          <cell r="H4409" t="str">
            <v>pediatria</v>
          </cell>
          <cell r="J4409" t="str">
            <v>bueno</v>
          </cell>
          <cell r="K4409" t="str">
            <v>defsi</v>
          </cell>
        </row>
        <row r="4410">
          <cell r="B4410" t="b">
            <v>1</v>
          </cell>
          <cell r="E4410" t="str">
            <v>Candelaria</v>
          </cell>
          <cell r="H4410" t="str">
            <v>laboratorio</v>
          </cell>
          <cell r="J4410" t="str">
            <v>bueno</v>
          </cell>
          <cell r="K4410" t="str">
            <v>defsi</v>
          </cell>
        </row>
        <row r="4411">
          <cell r="B4411" t="b">
            <v>1</v>
          </cell>
          <cell r="E4411" t="str">
            <v>Candelaria</v>
          </cell>
          <cell r="H4411" t="str">
            <v>salud_oral</v>
          </cell>
          <cell r="J4411" t="str">
            <v>muybueno</v>
          </cell>
          <cell r="K4411" t="str">
            <v>defsi</v>
          </cell>
        </row>
        <row r="4412">
          <cell r="B4412" t="b">
            <v>1</v>
          </cell>
          <cell r="E4412" t="str">
            <v>Candelaria</v>
          </cell>
          <cell r="H4412" t="str">
            <v>salud_oral</v>
          </cell>
          <cell r="J4412" t="str">
            <v>bueno</v>
          </cell>
          <cell r="K4412" t="str">
            <v>defsi</v>
          </cell>
        </row>
        <row r="4413">
          <cell r="B4413" t="b">
            <v>1</v>
          </cell>
          <cell r="E4413" t="str">
            <v>Candelaria</v>
          </cell>
          <cell r="H4413" t="str">
            <v>salud_oral</v>
          </cell>
          <cell r="J4413" t="str">
            <v>bueno</v>
          </cell>
          <cell r="K4413" t="str">
            <v>defsi</v>
          </cell>
        </row>
        <row r="4414">
          <cell r="B4414" t="b">
            <v>1</v>
          </cell>
          <cell r="E4414" t="str">
            <v>Candelaria</v>
          </cell>
          <cell r="H4414" t="str">
            <v>pediatria</v>
          </cell>
          <cell r="J4414" t="str">
            <v>bueno</v>
          </cell>
          <cell r="K4414" t="str">
            <v>defsi</v>
          </cell>
        </row>
        <row r="4415">
          <cell r="B4415" t="b">
            <v>1</v>
          </cell>
          <cell r="E4415" t="str">
            <v>Candelaria</v>
          </cell>
          <cell r="H4415" t="str">
            <v>pediatria</v>
          </cell>
          <cell r="J4415" t="str">
            <v>bueno</v>
          </cell>
          <cell r="K4415" t="str">
            <v>defsi</v>
          </cell>
        </row>
        <row r="4416">
          <cell r="B4416" t="b">
            <v>1</v>
          </cell>
          <cell r="E4416" t="str">
            <v>Candelaria</v>
          </cell>
          <cell r="H4416" t="str">
            <v>pediatria</v>
          </cell>
          <cell r="J4416" t="str">
            <v>bueno</v>
          </cell>
          <cell r="K4416" t="str">
            <v>defsi</v>
          </cell>
        </row>
        <row r="4417">
          <cell r="B4417" t="b">
            <v>1</v>
          </cell>
          <cell r="E4417" t="str">
            <v>Candelaria</v>
          </cell>
          <cell r="H4417" t="str">
            <v>pediatria</v>
          </cell>
          <cell r="J4417" t="str">
            <v>bueno</v>
          </cell>
          <cell r="K4417" t="str">
            <v>defsi</v>
          </cell>
        </row>
        <row r="4418">
          <cell r="B4418" t="b">
            <v>1</v>
          </cell>
          <cell r="E4418" t="str">
            <v>Candelaria</v>
          </cell>
          <cell r="H4418" t="str">
            <v>salud_oral</v>
          </cell>
          <cell r="J4418" t="str">
            <v>bueno</v>
          </cell>
          <cell r="K4418" t="str">
            <v>defsi</v>
          </cell>
        </row>
        <row r="4419">
          <cell r="B4419" t="b">
            <v>1</v>
          </cell>
          <cell r="E4419" t="str">
            <v>Candelaria</v>
          </cell>
          <cell r="H4419" t="str">
            <v>pediatria</v>
          </cell>
          <cell r="J4419" t="str">
            <v>bueno</v>
          </cell>
          <cell r="K4419" t="str">
            <v>defsi</v>
          </cell>
        </row>
        <row r="4420">
          <cell r="B4420" t="b">
            <v>0</v>
          </cell>
          <cell r="E4420" t="str">
            <v>Hospital Pozon</v>
          </cell>
          <cell r="H4420" t="str">
            <v>urgencia</v>
          </cell>
          <cell r="J4420" t="str">
            <v>regular</v>
          </cell>
          <cell r="K4420" t="str">
            <v>probsi</v>
          </cell>
        </row>
        <row r="4421">
          <cell r="B4421" t="b">
            <v>0</v>
          </cell>
          <cell r="E4421" t="str">
            <v>Hospital Pozon</v>
          </cell>
          <cell r="H4421" t="str">
            <v>urgencia</v>
          </cell>
          <cell r="J4421" t="str">
            <v>regular</v>
          </cell>
          <cell r="K4421" t="str">
            <v>probsi</v>
          </cell>
        </row>
        <row r="4422">
          <cell r="B4422" t="b">
            <v>1</v>
          </cell>
          <cell r="E4422" t="str">
            <v>Hospital Pozon</v>
          </cell>
          <cell r="H4422" t="str">
            <v>ginecologia</v>
          </cell>
          <cell r="J4422" t="str">
            <v>bueno</v>
          </cell>
          <cell r="K4422" t="str">
            <v>probsi</v>
          </cell>
        </row>
        <row r="4423">
          <cell r="B4423" t="b">
            <v>1</v>
          </cell>
          <cell r="E4423" t="str">
            <v>Hospital Pozon</v>
          </cell>
          <cell r="H4423" t="str">
            <v>ginecologia</v>
          </cell>
          <cell r="J4423" t="str">
            <v>bueno</v>
          </cell>
          <cell r="K4423" t="str">
            <v>probsi</v>
          </cell>
        </row>
        <row r="4424">
          <cell r="B4424" t="b">
            <v>1</v>
          </cell>
          <cell r="E4424" t="str">
            <v>Candelaria</v>
          </cell>
          <cell r="H4424" t="str">
            <v>pediatria</v>
          </cell>
          <cell r="J4424" t="str">
            <v>bueno</v>
          </cell>
          <cell r="K4424" t="str">
            <v>defsi</v>
          </cell>
        </row>
        <row r="4425">
          <cell r="B4425" t="b">
            <v>1</v>
          </cell>
          <cell r="E4425" t="str">
            <v>Hospital Pozon</v>
          </cell>
          <cell r="H4425" t="str">
            <v>ginecologia</v>
          </cell>
          <cell r="J4425" t="str">
            <v>bueno</v>
          </cell>
          <cell r="K4425" t="str">
            <v>probsi</v>
          </cell>
        </row>
        <row r="4426">
          <cell r="B4426" t="b">
            <v>1</v>
          </cell>
          <cell r="E4426" t="str">
            <v>Hospital Pozon</v>
          </cell>
          <cell r="H4426" t="str">
            <v>ginecologia</v>
          </cell>
          <cell r="J4426" t="str">
            <v>bueno</v>
          </cell>
          <cell r="K4426" t="str">
            <v>probsi</v>
          </cell>
        </row>
        <row r="4427">
          <cell r="B4427" t="b">
            <v>1</v>
          </cell>
          <cell r="E4427" t="str">
            <v>Hospital Pozon</v>
          </cell>
          <cell r="H4427" t="str">
            <v>ginecologia</v>
          </cell>
          <cell r="J4427" t="str">
            <v>bueno</v>
          </cell>
          <cell r="K4427" t="str">
            <v>probsi</v>
          </cell>
        </row>
        <row r="4428">
          <cell r="B4428" t="b">
            <v>1</v>
          </cell>
          <cell r="E4428" t="str">
            <v>Hospital Pozon</v>
          </cell>
          <cell r="H4428" t="str">
            <v>ginecologia</v>
          </cell>
          <cell r="J4428" t="str">
            <v>bueno</v>
          </cell>
          <cell r="K4428" t="str">
            <v>probsi</v>
          </cell>
        </row>
        <row r="4429">
          <cell r="B4429" t="b">
            <v>1</v>
          </cell>
          <cell r="E4429" t="str">
            <v>Hospital Pozon</v>
          </cell>
          <cell r="H4429" t="str">
            <v>ginecologia</v>
          </cell>
          <cell r="J4429" t="str">
            <v>bueno</v>
          </cell>
          <cell r="K4429" t="str">
            <v>probsi</v>
          </cell>
        </row>
        <row r="4430">
          <cell r="B4430" t="b">
            <v>1</v>
          </cell>
          <cell r="E4430" t="str">
            <v>Hospital Pozon</v>
          </cell>
          <cell r="H4430" t="str">
            <v>ginecologia</v>
          </cell>
          <cell r="J4430" t="str">
            <v>bueno</v>
          </cell>
          <cell r="K4430" t="str">
            <v>probsi</v>
          </cell>
        </row>
        <row r="4431">
          <cell r="B4431" t="b">
            <v>1</v>
          </cell>
          <cell r="E4431" t="str">
            <v>Hospital Pozon</v>
          </cell>
          <cell r="H4431" t="str">
            <v>pediatria</v>
          </cell>
          <cell r="J4431" t="str">
            <v>bueno</v>
          </cell>
          <cell r="K4431" t="str">
            <v>probsi</v>
          </cell>
        </row>
        <row r="4432">
          <cell r="B4432" t="b">
            <v>1</v>
          </cell>
          <cell r="E4432" t="str">
            <v>Hospital Pozon</v>
          </cell>
          <cell r="H4432" t="str">
            <v>pediatria</v>
          </cell>
          <cell r="J4432" t="str">
            <v>bueno</v>
          </cell>
          <cell r="K4432" t="str">
            <v>probsi</v>
          </cell>
        </row>
        <row r="4433">
          <cell r="B4433" t="b">
            <v>1</v>
          </cell>
          <cell r="E4433" t="str">
            <v>Hospital Pozon</v>
          </cell>
          <cell r="H4433" t="str">
            <v>pediatria</v>
          </cell>
          <cell r="J4433" t="str">
            <v>bueno</v>
          </cell>
          <cell r="K4433" t="str">
            <v>probsi</v>
          </cell>
        </row>
        <row r="4434">
          <cell r="B4434" t="b">
            <v>1</v>
          </cell>
          <cell r="E4434" t="str">
            <v>Hospital Pozon</v>
          </cell>
          <cell r="H4434" t="str">
            <v>pediatria</v>
          </cell>
          <cell r="J4434" t="str">
            <v>bueno</v>
          </cell>
          <cell r="K4434" t="str">
            <v>probsi</v>
          </cell>
        </row>
        <row r="4435">
          <cell r="B4435" t="b">
            <v>1</v>
          </cell>
          <cell r="E4435" t="str">
            <v>Hospital Pozon</v>
          </cell>
          <cell r="H4435" t="str">
            <v>pediatria</v>
          </cell>
          <cell r="J4435" t="str">
            <v>bueno</v>
          </cell>
          <cell r="K4435" t="str">
            <v>probsi</v>
          </cell>
        </row>
        <row r="4436">
          <cell r="B4436" t="b">
            <v>1</v>
          </cell>
          <cell r="E4436" t="str">
            <v>Hospital Pozon</v>
          </cell>
          <cell r="H4436" t="str">
            <v>pediatria</v>
          </cell>
          <cell r="J4436" t="str">
            <v>bueno</v>
          </cell>
          <cell r="K4436" t="str">
            <v>probsi</v>
          </cell>
        </row>
        <row r="4437">
          <cell r="B4437" t="b">
            <v>1</v>
          </cell>
          <cell r="E4437" t="str">
            <v>Hospital Pozon</v>
          </cell>
          <cell r="H4437" t="str">
            <v>medicina_interna</v>
          </cell>
          <cell r="J4437" t="str">
            <v>bueno</v>
          </cell>
          <cell r="K4437" t="str">
            <v>probsi</v>
          </cell>
        </row>
        <row r="4438">
          <cell r="B4438" t="b">
            <v>1</v>
          </cell>
          <cell r="E4438" t="str">
            <v>Hospital Pozon</v>
          </cell>
          <cell r="H4438" t="str">
            <v>medicina_interna</v>
          </cell>
          <cell r="J4438" t="str">
            <v>bueno</v>
          </cell>
          <cell r="K4438" t="str">
            <v>probsi</v>
          </cell>
        </row>
        <row r="4439">
          <cell r="B4439" t="b">
            <v>1</v>
          </cell>
          <cell r="E4439" t="str">
            <v>Hospital Pozon</v>
          </cell>
          <cell r="H4439" t="str">
            <v>ginecologia</v>
          </cell>
          <cell r="J4439" t="str">
            <v>bueno</v>
          </cell>
          <cell r="K4439" t="str">
            <v>probsi</v>
          </cell>
        </row>
        <row r="4440">
          <cell r="B4440" t="b">
            <v>1</v>
          </cell>
          <cell r="E4440" t="str">
            <v>Hospital Pozon</v>
          </cell>
          <cell r="H4440" t="str">
            <v>ginecologia</v>
          </cell>
          <cell r="J4440" t="str">
            <v>bueno</v>
          </cell>
          <cell r="K4440" t="str">
            <v>probsi</v>
          </cell>
        </row>
        <row r="4441">
          <cell r="B4441" t="b">
            <v>1</v>
          </cell>
          <cell r="E4441" t="str">
            <v>Hospital Pozon</v>
          </cell>
          <cell r="H4441" t="str">
            <v>ginecologia</v>
          </cell>
          <cell r="J4441" t="str">
            <v>bueno</v>
          </cell>
          <cell r="K4441" t="str">
            <v>probsi</v>
          </cell>
        </row>
        <row r="4442">
          <cell r="B4442" t="b">
            <v>1</v>
          </cell>
          <cell r="E4442" t="str">
            <v>Hospital Pozon</v>
          </cell>
          <cell r="H4442" t="str">
            <v>ginecologia</v>
          </cell>
          <cell r="J4442" t="str">
            <v>bueno</v>
          </cell>
          <cell r="K4442" t="str">
            <v>probsi</v>
          </cell>
        </row>
        <row r="4443">
          <cell r="B4443" t="b">
            <v>1</v>
          </cell>
          <cell r="E4443" t="str">
            <v>Hospital Pozon</v>
          </cell>
          <cell r="H4443" t="str">
            <v>ginecologia</v>
          </cell>
          <cell r="J4443" t="str">
            <v>bueno</v>
          </cell>
          <cell r="K4443" t="str">
            <v>probsi</v>
          </cell>
        </row>
        <row r="4444">
          <cell r="B4444" t="b">
            <v>0</v>
          </cell>
          <cell r="E4444" t="str">
            <v>Hospital Pozon</v>
          </cell>
          <cell r="H4444" t="str">
            <v>pediatria</v>
          </cell>
          <cell r="J4444" t="str">
            <v>regular</v>
          </cell>
          <cell r="K4444" t="str">
            <v>probsi</v>
          </cell>
        </row>
        <row r="4445">
          <cell r="B4445" t="b">
            <v>1</v>
          </cell>
          <cell r="E4445" t="str">
            <v>Candelaria</v>
          </cell>
          <cell r="H4445" t="str">
            <v>pediatria</v>
          </cell>
          <cell r="J4445" t="str">
            <v>bueno</v>
          </cell>
          <cell r="K4445" t="str">
            <v>defsi</v>
          </cell>
        </row>
        <row r="4446">
          <cell r="B4446" t="b">
            <v>1</v>
          </cell>
          <cell r="E4446" t="str">
            <v>Hospital Pozon</v>
          </cell>
          <cell r="H4446" t="str">
            <v>pediatria</v>
          </cell>
          <cell r="J4446" t="str">
            <v>bueno</v>
          </cell>
          <cell r="K4446" t="str">
            <v>probsi</v>
          </cell>
        </row>
        <row r="4447">
          <cell r="B4447" t="b">
            <v>1</v>
          </cell>
          <cell r="E4447" t="str">
            <v>Hospital Pozon</v>
          </cell>
          <cell r="H4447" t="str">
            <v>pediatria</v>
          </cell>
          <cell r="J4447" t="str">
            <v>bueno</v>
          </cell>
          <cell r="K4447" t="str">
            <v>probsi</v>
          </cell>
        </row>
        <row r="4448">
          <cell r="B4448" t="b">
            <v>0</v>
          </cell>
          <cell r="E4448" t="str">
            <v>Candelaria</v>
          </cell>
          <cell r="H4448" t="str">
            <v>electros</v>
          </cell>
          <cell r="J4448" t="str">
            <v>regular</v>
          </cell>
          <cell r="K4448" t="str">
            <v>defsi</v>
          </cell>
        </row>
        <row r="4449">
          <cell r="B4449" t="b">
            <v>1</v>
          </cell>
          <cell r="E4449" t="str">
            <v>Candelaria</v>
          </cell>
          <cell r="H4449" t="str">
            <v>electros</v>
          </cell>
          <cell r="J4449" t="str">
            <v>bueno</v>
          </cell>
          <cell r="K4449" t="str">
            <v>defsi</v>
          </cell>
        </row>
        <row r="4450">
          <cell r="B4450" t="b">
            <v>1</v>
          </cell>
          <cell r="E4450" t="str">
            <v>Candelaria</v>
          </cell>
          <cell r="H4450" t="str">
            <v>medicina_interna</v>
          </cell>
          <cell r="J4450" t="str">
            <v>bueno</v>
          </cell>
          <cell r="K4450" t="str">
            <v>defsi</v>
          </cell>
        </row>
        <row r="4451">
          <cell r="B4451" t="b">
            <v>1</v>
          </cell>
          <cell r="E4451" t="str">
            <v>Candelaria</v>
          </cell>
          <cell r="H4451" t="str">
            <v>medicina_interna</v>
          </cell>
          <cell r="J4451" t="str">
            <v>muybueno</v>
          </cell>
          <cell r="K4451" t="str">
            <v>defsi</v>
          </cell>
        </row>
        <row r="4452">
          <cell r="B4452" t="b">
            <v>1</v>
          </cell>
          <cell r="E4452" t="str">
            <v>Candelaria</v>
          </cell>
          <cell r="H4452" t="str">
            <v>pediatria</v>
          </cell>
          <cell r="J4452" t="str">
            <v>bueno</v>
          </cell>
          <cell r="K4452" t="str">
            <v>defsi</v>
          </cell>
        </row>
        <row r="4453">
          <cell r="B4453" t="b">
            <v>1</v>
          </cell>
          <cell r="E4453" t="str">
            <v>Hospital Pozon</v>
          </cell>
          <cell r="H4453" t="str">
            <v>ginecologia</v>
          </cell>
          <cell r="J4453" t="str">
            <v>bueno</v>
          </cell>
          <cell r="K4453" t="str">
            <v>probsi</v>
          </cell>
        </row>
        <row r="4454">
          <cell r="B4454" t="b">
            <v>1</v>
          </cell>
          <cell r="E4454" t="str">
            <v>Hospital Pozon</v>
          </cell>
          <cell r="H4454" t="str">
            <v>pediatria</v>
          </cell>
          <cell r="J4454" t="str">
            <v>bueno</v>
          </cell>
          <cell r="K4454" t="str">
            <v>probsi</v>
          </cell>
        </row>
        <row r="4455">
          <cell r="B4455" t="b">
            <v>1</v>
          </cell>
          <cell r="E4455" t="str">
            <v>Hospital Pozon</v>
          </cell>
          <cell r="H4455" t="str">
            <v>pediatria</v>
          </cell>
          <cell r="J4455" t="str">
            <v>bueno</v>
          </cell>
          <cell r="K4455" t="str">
            <v>probsi</v>
          </cell>
        </row>
        <row r="4456">
          <cell r="B4456" t="b">
            <v>1</v>
          </cell>
          <cell r="E4456" t="str">
            <v>Hospital Pozon</v>
          </cell>
          <cell r="H4456" t="str">
            <v>pediatria</v>
          </cell>
          <cell r="J4456" t="str">
            <v>bueno</v>
          </cell>
          <cell r="K4456" t="str">
            <v>probsi</v>
          </cell>
        </row>
        <row r="4457">
          <cell r="B4457" t="b">
            <v>1</v>
          </cell>
          <cell r="E4457" t="str">
            <v>Hospital Pozon</v>
          </cell>
          <cell r="H4457" t="str">
            <v>rx</v>
          </cell>
          <cell r="J4457" t="str">
            <v>bueno</v>
          </cell>
          <cell r="K4457" t="str">
            <v>probsi</v>
          </cell>
        </row>
        <row r="4458">
          <cell r="B4458" t="b">
            <v>1</v>
          </cell>
          <cell r="E4458" t="str">
            <v>Hospital Pozon</v>
          </cell>
          <cell r="H4458" t="str">
            <v>rx</v>
          </cell>
          <cell r="J4458" t="str">
            <v>bueno</v>
          </cell>
          <cell r="K4458" t="str">
            <v>probsi</v>
          </cell>
        </row>
        <row r="4459">
          <cell r="B4459" t="b">
            <v>1</v>
          </cell>
          <cell r="E4459" t="str">
            <v>Hospital Pozon</v>
          </cell>
          <cell r="H4459" t="str">
            <v>rx</v>
          </cell>
          <cell r="J4459" t="str">
            <v>bueno</v>
          </cell>
          <cell r="K4459" t="str">
            <v>probsi</v>
          </cell>
        </row>
        <row r="4460">
          <cell r="B4460" t="b">
            <v>1</v>
          </cell>
          <cell r="E4460" t="str">
            <v>Hospital Pozon</v>
          </cell>
          <cell r="H4460" t="str">
            <v>pediatria</v>
          </cell>
          <cell r="J4460" t="str">
            <v>bueno</v>
          </cell>
          <cell r="K4460" t="str">
            <v>probsi</v>
          </cell>
        </row>
        <row r="4461">
          <cell r="B4461" t="b">
            <v>1</v>
          </cell>
          <cell r="E4461" t="str">
            <v>Hospital Pozon</v>
          </cell>
          <cell r="H4461" t="str">
            <v>pediatria</v>
          </cell>
          <cell r="J4461" t="str">
            <v>bueno</v>
          </cell>
          <cell r="K4461" t="str">
            <v>probsi</v>
          </cell>
        </row>
        <row r="4462">
          <cell r="B4462" t="b">
            <v>1</v>
          </cell>
          <cell r="E4462" t="str">
            <v>Candelaria</v>
          </cell>
          <cell r="H4462" t="str">
            <v>pediatria</v>
          </cell>
          <cell r="J4462" t="str">
            <v>bueno</v>
          </cell>
          <cell r="K4462" t="str">
            <v>defsi</v>
          </cell>
        </row>
        <row r="4463">
          <cell r="B4463" t="b">
            <v>1</v>
          </cell>
          <cell r="E4463" t="str">
            <v>Candelaria</v>
          </cell>
          <cell r="H4463" t="str">
            <v>pediatria</v>
          </cell>
          <cell r="J4463" t="str">
            <v>bueno</v>
          </cell>
          <cell r="K4463" t="str">
            <v>defsi</v>
          </cell>
        </row>
        <row r="4464">
          <cell r="B4464" t="b">
            <v>1</v>
          </cell>
          <cell r="E4464" t="str">
            <v>Candelaria</v>
          </cell>
          <cell r="H4464" t="str">
            <v>urgencia</v>
          </cell>
          <cell r="J4464" t="str">
            <v>bueno</v>
          </cell>
          <cell r="K4464" t="str">
            <v>defsi</v>
          </cell>
        </row>
        <row r="4465">
          <cell r="B4465" t="b">
            <v>1</v>
          </cell>
          <cell r="E4465" t="str">
            <v>Candelaria</v>
          </cell>
          <cell r="H4465" t="str">
            <v>urgencia</v>
          </cell>
          <cell r="J4465" t="str">
            <v>bueno</v>
          </cell>
          <cell r="K4465" t="str">
            <v>defsi</v>
          </cell>
        </row>
        <row r="4466">
          <cell r="B4466" t="b">
            <v>0</v>
          </cell>
          <cell r="E4466" t="str">
            <v>Candelaria</v>
          </cell>
          <cell r="H4466" t="str">
            <v>urgencia</v>
          </cell>
          <cell r="J4466" t="str">
            <v>regular</v>
          </cell>
          <cell r="K4466" t="str">
            <v>probsi</v>
          </cell>
        </row>
        <row r="4467">
          <cell r="B4467" t="b">
            <v>1</v>
          </cell>
          <cell r="E4467" t="str">
            <v>Candelaria</v>
          </cell>
          <cell r="H4467" t="str">
            <v>pediatria</v>
          </cell>
          <cell r="J4467" t="str">
            <v>bueno</v>
          </cell>
          <cell r="K4467" t="str">
            <v>defsi</v>
          </cell>
        </row>
        <row r="4468">
          <cell r="B4468" t="b">
            <v>1</v>
          </cell>
          <cell r="E4468" t="str">
            <v>Candelaria</v>
          </cell>
          <cell r="H4468" t="str">
            <v>pediatria</v>
          </cell>
          <cell r="J4468" t="str">
            <v>bueno</v>
          </cell>
          <cell r="K4468" t="str">
            <v>defsi</v>
          </cell>
        </row>
        <row r="4469">
          <cell r="B4469" t="b">
            <v>1</v>
          </cell>
          <cell r="E4469" t="str">
            <v>Foco Rojo</v>
          </cell>
          <cell r="H4469" t="str">
            <v>laboratorio</v>
          </cell>
          <cell r="J4469" t="str">
            <v>muybueno</v>
          </cell>
          <cell r="K4469" t="str">
            <v>defsi</v>
          </cell>
        </row>
        <row r="4470">
          <cell r="B4470" t="b">
            <v>1</v>
          </cell>
          <cell r="E4470" t="str">
            <v>Foco Rojo</v>
          </cell>
          <cell r="H4470" t="str">
            <v>laboratorio</v>
          </cell>
          <cell r="J4470" t="str">
            <v>muybueno</v>
          </cell>
          <cell r="K4470" t="str">
            <v>defsi</v>
          </cell>
        </row>
        <row r="4471">
          <cell r="B4471" t="b">
            <v>1</v>
          </cell>
          <cell r="E4471" t="str">
            <v>Foco Rojo</v>
          </cell>
          <cell r="H4471" t="str">
            <v>consulta_externa</v>
          </cell>
          <cell r="J4471" t="str">
            <v>bueno</v>
          </cell>
          <cell r="K4471" t="str">
            <v>defsi</v>
          </cell>
        </row>
        <row r="4472">
          <cell r="B4472" t="b">
            <v>1</v>
          </cell>
          <cell r="E4472" t="str">
            <v>Foco Rojo</v>
          </cell>
          <cell r="H4472" t="str">
            <v>consulta_externa</v>
          </cell>
          <cell r="J4472" t="str">
            <v>bueno</v>
          </cell>
          <cell r="K4472" t="str">
            <v>defsi</v>
          </cell>
        </row>
        <row r="4473">
          <cell r="B4473" t="b">
            <v>1</v>
          </cell>
          <cell r="E4473" t="str">
            <v>Foco Rojo</v>
          </cell>
          <cell r="H4473" t="str">
            <v>laboratorio</v>
          </cell>
          <cell r="J4473" t="str">
            <v>muybueno</v>
          </cell>
          <cell r="K4473" t="str">
            <v>defsi</v>
          </cell>
        </row>
        <row r="4474">
          <cell r="B4474" t="b">
            <v>1</v>
          </cell>
          <cell r="E4474" t="str">
            <v>Foco Rojo</v>
          </cell>
          <cell r="H4474" t="str">
            <v>laboratorio</v>
          </cell>
          <cell r="J4474" t="str">
            <v>muybueno</v>
          </cell>
          <cell r="K4474" t="str">
            <v>defsi</v>
          </cell>
        </row>
        <row r="4475">
          <cell r="B4475" t="b">
            <v>1</v>
          </cell>
          <cell r="E4475" t="str">
            <v>Foco Rojo</v>
          </cell>
          <cell r="H4475" t="str">
            <v>consulta_externa</v>
          </cell>
          <cell r="J4475" t="str">
            <v>muybueno</v>
          </cell>
          <cell r="K4475" t="str">
            <v>defsi</v>
          </cell>
        </row>
        <row r="4476">
          <cell r="B4476" t="b">
            <v>1</v>
          </cell>
          <cell r="E4476" t="str">
            <v>Foco Rojo</v>
          </cell>
          <cell r="H4476" t="str">
            <v>consulta_externa</v>
          </cell>
          <cell r="J4476" t="str">
            <v>muybueno</v>
          </cell>
          <cell r="K4476" t="str">
            <v>defsi</v>
          </cell>
        </row>
        <row r="4477">
          <cell r="B4477" t="b">
            <v>1</v>
          </cell>
          <cell r="E4477" t="str">
            <v>Foco Rojo</v>
          </cell>
          <cell r="H4477" t="str">
            <v>consulta_externa</v>
          </cell>
          <cell r="J4477" t="str">
            <v>bueno</v>
          </cell>
          <cell r="K4477" t="str">
            <v>defno</v>
          </cell>
        </row>
        <row r="4478">
          <cell r="B4478" t="b">
            <v>1</v>
          </cell>
          <cell r="E4478" t="str">
            <v>Foco Rojo</v>
          </cell>
          <cell r="H4478" t="str">
            <v>consulta_externa</v>
          </cell>
          <cell r="J4478" t="str">
            <v>bueno</v>
          </cell>
          <cell r="K4478" t="str">
            <v>defno</v>
          </cell>
        </row>
        <row r="4479">
          <cell r="B4479" t="b">
            <v>1</v>
          </cell>
          <cell r="E4479" t="str">
            <v>Foco Rojo</v>
          </cell>
          <cell r="H4479" t="str">
            <v>salud_oral</v>
          </cell>
          <cell r="J4479" t="str">
            <v>bueno</v>
          </cell>
          <cell r="K4479" t="str">
            <v>defsi</v>
          </cell>
        </row>
        <row r="4480">
          <cell r="B4480" t="b">
            <v>1</v>
          </cell>
          <cell r="E4480" t="str">
            <v>Foco Rojo</v>
          </cell>
          <cell r="H4480" t="str">
            <v>salud_oral</v>
          </cell>
          <cell r="J4480" t="str">
            <v>bueno</v>
          </cell>
          <cell r="K4480" t="str">
            <v>defsi</v>
          </cell>
        </row>
        <row r="4481">
          <cell r="B4481" t="b">
            <v>1</v>
          </cell>
          <cell r="E4481" t="str">
            <v>Foco Rojo</v>
          </cell>
          <cell r="H4481" t="str">
            <v>salud_oral</v>
          </cell>
          <cell r="J4481" t="str">
            <v>bueno</v>
          </cell>
          <cell r="K4481" t="str">
            <v>defsi</v>
          </cell>
        </row>
        <row r="4482">
          <cell r="B4482" t="b">
            <v>1</v>
          </cell>
          <cell r="E4482" t="str">
            <v>Foco Rojo</v>
          </cell>
          <cell r="H4482" t="str">
            <v>laboratorio</v>
          </cell>
          <cell r="J4482" t="str">
            <v>bueno</v>
          </cell>
          <cell r="K4482" t="str">
            <v>defsi</v>
          </cell>
        </row>
        <row r="4483">
          <cell r="B4483" t="b">
            <v>1</v>
          </cell>
          <cell r="E4483" t="str">
            <v>Manzanillo</v>
          </cell>
          <cell r="H4483" t="str">
            <v>consulta_externa</v>
          </cell>
          <cell r="J4483" t="str">
            <v>bueno</v>
          </cell>
          <cell r="K4483" t="str">
            <v>defsi</v>
          </cell>
        </row>
        <row r="4484">
          <cell r="B4484" t="b">
            <v>1</v>
          </cell>
          <cell r="E4484" t="str">
            <v>Manzanillo</v>
          </cell>
          <cell r="H4484" t="str">
            <v>consulta_externa</v>
          </cell>
          <cell r="J4484" t="str">
            <v>bueno</v>
          </cell>
          <cell r="K4484" t="str">
            <v>defsi</v>
          </cell>
        </row>
        <row r="4485">
          <cell r="B4485" t="b">
            <v>1</v>
          </cell>
          <cell r="E4485" t="str">
            <v>Foco Rojo</v>
          </cell>
          <cell r="H4485" t="str">
            <v>consulta_externa</v>
          </cell>
          <cell r="J4485" t="str">
            <v>bueno</v>
          </cell>
          <cell r="K4485" t="str">
            <v>defsi</v>
          </cell>
        </row>
        <row r="4486">
          <cell r="B4486" t="b">
            <v>1</v>
          </cell>
          <cell r="E4486" t="str">
            <v>Foco Rojo</v>
          </cell>
          <cell r="H4486" t="str">
            <v>laboratorio</v>
          </cell>
          <cell r="J4486" t="str">
            <v>bueno</v>
          </cell>
          <cell r="K4486" t="str">
            <v>defsi</v>
          </cell>
        </row>
        <row r="4487">
          <cell r="B4487" t="b">
            <v>1</v>
          </cell>
          <cell r="E4487" t="str">
            <v>Manzanillo</v>
          </cell>
          <cell r="H4487" t="str">
            <v>laboratorio</v>
          </cell>
          <cell r="J4487" t="str">
            <v>muybueno</v>
          </cell>
          <cell r="K4487" t="str">
            <v>defsi</v>
          </cell>
        </row>
        <row r="4488">
          <cell r="B4488" t="b">
            <v>1</v>
          </cell>
          <cell r="E4488" t="str">
            <v>Pontezuela</v>
          </cell>
          <cell r="H4488" t="str">
            <v>consulta_externa</v>
          </cell>
          <cell r="J4488" t="str">
            <v>bueno</v>
          </cell>
          <cell r="K4488" t="str">
            <v>probsi</v>
          </cell>
        </row>
        <row r="4489">
          <cell r="B4489" t="b">
            <v>1</v>
          </cell>
          <cell r="E4489" t="str">
            <v>Pontezuela</v>
          </cell>
          <cell r="H4489" t="str">
            <v>salud_oral</v>
          </cell>
          <cell r="J4489" t="str">
            <v>bueno</v>
          </cell>
          <cell r="K4489" t="str">
            <v>probsi</v>
          </cell>
        </row>
        <row r="4490">
          <cell r="B4490" t="b">
            <v>1</v>
          </cell>
          <cell r="E4490" t="str">
            <v>Foco Rojo</v>
          </cell>
          <cell r="H4490" t="str">
            <v>consulta_externa</v>
          </cell>
          <cell r="J4490" t="str">
            <v>bueno</v>
          </cell>
          <cell r="K4490" t="str">
            <v>defsi</v>
          </cell>
        </row>
        <row r="4491">
          <cell r="B4491" t="b">
            <v>1</v>
          </cell>
          <cell r="E4491" t="str">
            <v>Foco Rojo</v>
          </cell>
          <cell r="H4491" t="str">
            <v>laboratorio</v>
          </cell>
          <cell r="J4491" t="str">
            <v>bueno</v>
          </cell>
          <cell r="K4491" t="str">
            <v>defsi</v>
          </cell>
        </row>
        <row r="4492">
          <cell r="B4492" t="b">
            <v>1</v>
          </cell>
          <cell r="E4492" t="str">
            <v>Pontezuela</v>
          </cell>
          <cell r="H4492" t="str">
            <v>consulta_externa</v>
          </cell>
          <cell r="J4492" t="str">
            <v>bueno</v>
          </cell>
          <cell r="K4492" t="str">
            <v>probsi</v>
          </cell>
        </row>
        <row r="4493">
          <cell r="B4493" t="b">
            <v>1</v>
          </cell>
          <cell r="E4493" t="str">
            <v>Foco Rojo</v>
          </cell>
          <cell r="H4493" t="str">
            <v>laboratorio</v>
          </cell>
          <cell r="J4493" t="str">
            <v>bueno</v>
          </cell>
          <cell r="K4493" t="str">
            <v>defsi</v>
          </cell>
        </row>
        <row r="4494">
          <cell r="B4494" t="b">
            <v>1</v>
          </cell>
          <cell r="E4494" t="str">
            <v>Pontezuela</v>
          </cell>
          <cell r="H4494" t="str">
            <v>salud_oral</v>
          </cell>
          <cell r="J4494" t="str">
            <v>bueno</v>
          </cell>
          <cell r="K4494" t="str">
            <v>probsi</v>
          </cell>
        </row>
        <row r="4495">
          <cell r="B4495" t="b">
            <v>1</v>
          </cell>
          <cell r="E4495" t="str">
            <v>Foco Rojo</v>
          </cell>
          <cell r="H4495" t="str">
            <v>consulta_externa</v>
          </cell>
          <cell r="J4495" t="str">
            <v>bueno</v>
          </cell>
          <cell r="K4495" t="str">
            <v>defsi</v>
          </cell>
        </row>
        <row r="4496">
          <cell r="B4496" t="b">
            <v>1</v>
          </cell>
          <cell r="E4496" t="str">
            <v>Foco Rojo</v>
          </cell>
          <cell r="H4496" t="str">
            <v>salud_oral</v>
          </cell>
          <cell r="J4496" t="str">
            <v>bueno</v>
          </cell>
          <cell r="K4496" t="str">
            <v>defsi</v>
          </cell>
        </row>
        <row r="4497">
          <cell r="B4497" t="b">
            <v>1</v>
          </cell>
          <cell r="E4497" t="str">
            <v>Pontezuela</v>
          </cell>
          <cell r="H4497" t="str">
            <v>consulta_externa</v>
          </cell>
          <cell r="J4497" t="str">
            <v>muybueno</v>
          </cell>
          <cell r="K4497" t="str">
            <v>probsi</v>
          </cell>
        </row>
        <row r="4498">
          <cell r="B4498" t="b">
            <v>1</v>
          </cell>
          <cell r="E4498" t="str">
            <v>Pontezuela</v>
          </cell>
          <cell r="H4498" t="str">
            <v>salud_oral</v>
          </cell>
          <cell r="J4498" t="str">
            <v>muybueno</v>
          </cell>
          <cell r="K4498" t="str">
            <v>probsi</v>
          </cell>
        </row>
        <row r="4499">
          <cell r="B4499" t="b">
            <v>1</v>
          </cell>
          <cell r="E4499" t="str">
            <v>Manzanillo</v>
          </cell>
          <cell r="H4499" t="str">
            <v>laboratorio</v>
          </cell>
          <cell r="J4499" t="str">
            <v>bueno</v>
          </cell>
          <cell r="K4499" t="str">
            <v>defsi</v>
          </cell>
        </row>
        <row r="4500">
          <cell r="B4500" t="b">
            <v>1</v>
          </cell>
          <cell r="E4500" t="str">
            <v>Manzanillo</v>
          </cell>
          <cell r="H4500" t="str">
            <v>consulta_externa</v>
          </cell>
          <cell r="J4500" t="str">
            <v>bueno</v>
          </cell>
          <cell r="K4500" t="str">
            <v>defsi</v>
          </cell>
        </row>
        <row r="4501">
          <cell r="B4501" t="b">
            <v>1</v>
          </cell>
          <cell r="E4501" t="str">
            <v>Manzanillo</v>
          </cell>
          <cell r="H4501" t="str">
            <v>consulta_externa</v>
          </cell>
          <cell r="J4501" t="str">
            <v>bueno</v>
          </cell>
          <cell r="K4501" t="str">
            <v>defsi</v>
          </cell>
        </row>
        <row r="4502">
          <cell r="B4502" t="b">
            <v>1</v>
          </cell>
          <cell r="E4502" t="str">
            <v>Foco Rojo</v>
          </cell>
          <cell r="H4502" t="str">
            <v>salud_oral</v>
          </cell>
          <cell r="J4502" t="str">
            <v>bueno</v>
          </cell>
          <cell r="K4502" t="str">
            <v>defsi</v>
          </cell>
        </row>
        <row r="4503">
          <cell r="B4503" t="b">
            <v>1</v>
          </cell>
          <cell r="E4503" t="str">
            <v>Foco Rojo</v>
          </cell>
          <cell r="H4503" t="str">
            <v>consulta_externa</v>
          </cell>
          <cell r="J4503" t="str">
            <v>bueno</v>
          </cell>
          <cell r="K4503" t="str">
            <v>defsi</v>
          </cell>
        </row>
        <row r="4504">
          <cell r="B4504" t="b">
            <v>1</v>
          </cell>
          <cell r="E4504" t="str">
            <v>Foco Rojo</v>
          </cell>
          <cell r="H4504" t="str">
            <v>salud_oral</v>
          </cell>
          <cell r="J4504" t="str">
            <v>bueno</v>
          </cell>
          <cell r="K4504" t="str">
            <v>defsi</v>
          </cell>
        </row>
        <row r="4505">
          <cell r="B4505" t="b">
            <v>1</v>
          </cell>
          <cell r="E4505" t="str">
            <v>Manzanillo</v>
          </cell>
          <cell r="H4505" t="str">
            <v>consulta_externa</v>
          </cell>
          <cell r="J4505" t="str">
            <v>bueno</v>
          </cell>
          <cell r="K4505" t="str">
            <v>defsi</v>
          </cell>
        </row>
        <row r="4506">
          <cell r="B4506" t="b">
            <v>1</v>
          </cell>
          <cell r="E4506" t="str">
            <v>Pontezuela</v>
          </cell>
          <cell r="H4506" t="str">
            <v>consulta_externa</v>
          </cell>
          <cell r="J4506" t="str">
            <v>bueno</v>
          </cell>
          <cell r="K4506" t="str">
            <v>probsi</v>
          </cell>
        </row>
        <row r="4507">
          <cell r="B4507" t="b">
            <v>1</v>
          </cell>
          <cell r="E4507" t="str">
            <v>Pontezuela</v>
          </cell>
          <cell r="H4507" t="str">
            <v>salud_oral</v>
          </cell>
          <cell r="J4507" t="str">
            <v>muybueno</v>
          </cell>
          <cell r="K4507" t="str">
            <v>probsi</v>
          </cell>
        </row>
        <row r="4508">
          <cell r="B4508" t="b">
            <v>1</v>
          </cell>
          <cell r="E4508" t="str">
            <v>Manzanillo</v>
          </cell>
          <cell r="H4508" t="str">
            <v>laboratorio</v>
          </cell>
          <cell r="J4508" t="str">
            <v>bueno</v>
          </cell>
          <cell r="K4508" t="str">
            <v>defsi</v>
          </cell>
        </row>
        <row r="4509">
          <cell r="B4509" t="b">
            <v>1</v>
          </cell>
          <cell r="E4509" t="str">
            <v>Bosque</v>
          </cell>
          <cell r="H4509" t="str">
            <v>salud_oral</v>
          </cell>
          <cell r="J4509" t="str">
            <v>bueno</v>
          </cell>
          <cell r="K4509" t="str">
            <v>probsi</v>
          </cell>
        </row>
        <row r="4510">
          <cell r="B4510" t="b">
            <v>1</v>
          </cell>
          <cell r="E4510" t="str">
            <v>Bosque</v>
          </cell>
          <cell r="H4510" t="str">
            <v>salud_oral</v>
          </cell>
          <cell r="J4510" t="str">
            <v>bueno</v>
          </cell>
          <cell r="K4510" t="str">
            <v>probsi</v>
          </cell>
        </row>
        <row r="4511">
          <cell r="B4511" t="b">
            <v>1</v>
          </cell>
          <cell r="E4511" t="str">
            <v>Bosque</v>
          </cell>
          <cell r="H4511" t="str">
            <v>salud_oral</v>
          </cell>
          <cell r="J4511" t="str">
            <v>bueno</v>
          </cell>
          <cell r="K4511" t="str">
            <v>probsi</v>
          </cell>
        </row>
        <row r="4512">
          <cell r="B4512" t="b">
            <v>1</v>
          </cell>
          <cell r="E4512" t="str">
            <v>Bosque</v>
          </cell>
          <cell r="H4512" t="str">
            <v>salud_oral</v>
          </cell>
          <cell r="J4512" t="str">
            <v>bueno</v>
          </cell>
          <cell r="K4512" t="str">
            <v>probsi</v>
          </cell>
        </row>
        <row r="4513">
          <cell r="B4513" t="b">
            <v>1</v>
          </cell>
          <cell r="E4513" t="str">
            <v>Bosque</v>
          </cell>
          <cell r="H4513" t="str">
            <v>salud_oral</v>
          </cell>
          <cell r="J4513" t="str">
            <v>bueno</v>
          </cell>
          <cell r="K4513" t="str">
            <v>probsi</v>
          </cell>
        </row>
        <row r="4514">
          <cell r="B4514" t="b">
            <v>1</v>
          </cell>
          <cell r="E4514" t="str">
            <v>Boston</v>
          </cell>
          <cell r="H4514" t="str">
            <v>consulta_externa</v>
          </cell>
          <cell r="J4514" t="str">
            <v>bueno</v>
          </cell>
          <cell r="K4514" t="str">
            <v>defsi</v>
          </cell>
        </row>
        <row r="4515">
          <cell r="B4515" t="b">
            <v>1</v>
          </cell>
          <cell r="E4515" t="str">
            <v>Boston</v>
          </cell>
          <cell r="H4515" t="str">
            <v>consulta_externa</v>
          </cell>
          <cell r="J4515" t="str">
            <v>bueno</v>
          </cell>
          <cell r="K4515" t="str">
            <v>defsi</v>
          </cell>
        </row>
        <row r="4516">
          <cell r="B4516" t="b">
            <v>1</v>
          </cell>
          <cell r="E4516" t="str">
            <v>Boston</v>
          </cell>
          <cell r="H4516" t="str">
            <v>consulta_externa</v>
          </cell>
          <cell r="J4516" t="str">
            <v>bueno</v>
          </cell>
          <cell r="K4516" t="str">
            <v>defsi</v>
          </cell>
        </row>
        <row r="4517">
          <cell r="B4517" t="b">
            <v>1</v>
          </cell>
          <cell r="E4517" t="str">
            <v>Boston</v>
          </cell>
          <cell r="H4517" t="str">
            <v>consulta_externa</v>
          </cell>
          <cell r="J4517" t="str">
            <v>bueno</v>
          </cell>
          <cell r="K4517" t="str">
            <v>defsi</v>
          </cell>
        </row>
        <row r="4518">
          <cell r="B4518" t="b">
            <v>1</v>
          </cell>
          <cell r="E4518" t="str">
            <v>Boston</v>
          </cell>
          <cell r="H4518" t="str">
            <v>consulta_externa</v>
          </cell>
          <cell r="J4518" t="str">
            <v>bueno</v>
          </cell>
          <cell r="K4518" t="str">
            <v>defsi</v>
          </cell>
        </row>
        <row r="4519">
          <cell r="B4519" t="b">
            <v>1</v>
          </cell>
          <cell r="E4519" t="str">
            <v>Pontezuela</v>
          </cell>
          <cell r="H4519" t="str">
            <v>consulta_externa</v>
          </cell>
          <cell r="J4519" t="str">
            <v>bueno</v>
          </cell>
          <cell r="K4519" t="str">
            <v>probsi</v>
          </cell>
        </row>
        <row r="4520">
          <cell r="B4520" t="b">
            <v>1</v>
          </cell>
          <cell r="E4520" t="str">
            <v>Pontezuela</v>
          </cell>
          <cell r="H4520" t="str">
            <v>salud_oral</v>
          </cell>
          <cell r="J4520" t="str">
            <v>bueno</v>
          </cell>
          <cell r="K4520" t="str">
            <v>probsi</v>
          </cell>
        </row>
        <row r="4521">
          <cell r="B4521" t="b">
            <v>1</v>
          </cell>
          <cell r="E4521" t="str">
            <v>Pontezuela</v>
          </cell>
          <cell r="H4521" t="str">
            <v>salud_oral</v>
          </cell>
          <cell r="J4521" t="str">
            <v>bueno</v>
          </cell>
          <cell r="K4521" t="str">
            <v>probsi</v>
          </cell>
        </row>
        <row r="4522">
          <cell r="B4522" t="b">
            <v>1</v>
          </cell>
          <cell r="E4522" t="str">
            <v>Pontezuela</v>
          </cell>
          <cell r="H4522" t="str">
            <v>salud_oral</v>
          </cell>
          <cell r="J4522" t="str">
            <v>bueno</v>
          </cell>
          <cell r="K4522" t="str">
            <v>probsi</v>
          </cell>
        </row>
        <row r="4523">
          <cell r="B4523" t="b">
            <v>1</v>
          </cell>
          <cell r="E4523" t="str">
            <v>Boston</v>
          </cell>
          <cell r="H4523" t="str">
            <v>consulta_externa</v>
          </cell>
          <cell r="J4523" t="str">
            <v>bueno</v>
          </cell>
          <cell r="K4523" t="str">
            <v>defsi</v>
          </cell>
        </row>
        <row r="4524">
          <cell r="B4524" t="b">
            <v>1</v>
          </cell>
          <cell r="E4524" t="str">
            <v>Boston</v>
          </cell>
          <cell r="H4524" t="str">
            <v>consulta_externa</v>
          </cell>
          <cell r="J4524" t="str">
            <v>bueno</v>
          </cell>
          <cell r="K4524" t="str">
            <v>defsi</v>
          </cell>
        </row>
        <row r="4525">
          <cell r="B4525" t="b">
            <v>1</v>
          </cell>
          <cell r="E4525" t="str">
            <v>Boston</v>
          </cell>
          <cell r="H4525" t="str">
            <v>consulta_externa</v>
          </cell>
          <cell r="J4525" t="str">
            <v>bueno</v>
          </cell>
          <cell r="K4525" t="str">
            <v>defsi</v>
          </cell>
        </row>
        <row r="4526">
          <cell r="B4526" t="b">
            <v>1</v>
          </cell>
          <cell r="E4526" t="str">
            <v>Boston</v>
          </cell>
          <cell r="H4526" t="str">
            <v>consulta_externa</v>
          </cell>
          <cell r="J4526" t="str">
            <v>bueno</v>
          </cell>
          <cell r="K4526" t="str">
            <v>defsi</v>
          </cell>
        </row>
        <row r="4527">
          <cell r="B4527" t="b">
            <v>1</v>
          </cell>
          <cell r="E4527" t="str">
            <v>Boston</v>
          </cell>
          <cell r="H4527" t="str">
            <v>consulta_externa</v>
          </cell>
          <cell r="J4527" t="str">
            <v>bueno</v>
          </cell>
          <cell r="K4527" t="str">
            <v>defsi</v>
          </cell>
        </row>
        <row r="4528">
          <cell r="B4528" t="b">
            <v>1</v>
          </cell>
          <cell r="E4528" t="str">
            <v>Boston</v>
          </cell>
          <cell r="H4528" t="str">
            <v>consulta_externa</v>
          </cell>
          <cell r="J4528" t="str">
            <v>bueno</v>
          </cell>
          <cell r="K4528" t="str">
            <v>defsi</v>
          </cell>
        </row>
        <row r="4529">
          <cell r="B4529" t="b">
            <v>1</v>
          </cell>
          <cell r="E4529" t="str">
            <v>Boston</v>
          </cell>
          <cell r="H4529" t="str">
            <v>consulta_externa</v>
          </cell>
          <cell r="J4529" t="str">
            <v>bueno</v>
          </cell>
          <cell r="K4529" t="str">
            <v>defsi</v>
          </cell>
        </row>
        <row r="4530">
          <cell r="B4530" t="b">
            <v>1</v>
          </cell>
          <cell r="E4530" t="str">
            <v>Pontezuela</v>
          </cell>
          <cell r="H4530" t="str">
            <v>salud_oral</v>
          </cell>
          <cell r="J4530" t="str">
            <v>bueno</v>
          </cell>
          <cell r="K4530" t="str">
            <v>probsi</v>
          </cell>
        </row>
        <row r="4531">
          <cell r="B4531" t="b">
            <v>1</v>
          </cell>
          <cell r="E4531" t="str">
            <v>Foco Rojo</v>
          </cell>
          <cell r="H4531" t="str">
            <v>salud_oral</v>
          </cell>
          <cell r="J4531" t="str">
            <v>bueno</v>
          </cell>
          <cell r="K4531" t="str">
            <v>defsi</v>
          </cell>
        </row>
        <row r="4532">
          <cell r="B4532" t="b">
            <v>1</v>
          </cell>
          <cell r="E4532" t="str">
            <v>Foco Rojo</v>
          </cell>
          <cell r="H4532" t="str">
            <v>salud_oral</v>
          </cell>
          <cell r="J4532" t="str">
            <v>muybueno</v>
          </cell>
          <cell r="K4532" t="str">
            <v>defsi</v>
          </cell>
        </row>
        <row r="4533">
          <cell r="B4533" t="b">
            <v>1</v>
          </cell>
          <cell r="E4533" t="str">
            <v>Foco Rojo</v>
          </cell>
          <cell r="H4533" t="str">
            <v>laboratorio</v>
          </cell>
          <cell r="J4533" t="str">
            <v>bueno</v>
          </cell>
          <cell r="K4533" t="str">
            <v>defsi</v>
          </cell>
        </row>
        <row r="4534">
          <cell r="B4534" t="b">
            <v>1</v>
          </cell>
          <cell r="E4534" t="str">
            <v>Foco Rojo</v>
          </cell>
          <cell r="H4534" t="str">
            <v>salud_oral</v>
          </cell>
          <cell r="J4534" t="str">
            <v>bueno</v>
          </cell>
          <cell r="K4534" t="str">
            <v>defsi</v>
          </cell>
        </row>
        <row r="4535">
          <cell r="B4535" t="b">
            <v>1</v>
          </cell>
          <cell r="E4535" t="str">
            <v>Punta Canoa</v>
          </cell>
          <cell r="H4535" t="str">
            <v>consulta_externa</v>
          </cell>
          <cell r="J4535" t="str">
            <v>bueno</v>
          </cell>
          <cell r="K4535" t="str">
            <v>defsi</v>
          </cell>
        </row>
        <row r="4536">
          <cell r="B4536" t="b">
            <v>1</v>
          </cell>
          <cell r="E4536" t="str">
            <v>Punta Canoa</v>
          </cell>
          <cell r="H4536" t="str">
            <v>laboratorio</v>
          </cell>
          <cell r="J4536" t="str">
            <v>bueno</v>
          </cell>
          <cell r="K4536" t="str">
            <v>defsi</v>
          </cell>
        </row>
        <row r="4537">
          <cell r="B4537" t="b">
            <v>1</v>
          </cell>
          <cell r="E4537" t="str">
            <v>Punta Canoa</v>
          </cell>
          <cell r="H4537" t="str">
            <v>laboratorio</v>
          </cell>
          <cell r="J4537" t="str">
            <v>bueno</v>
          </cell>
          <cell r="K4537" t="str">
            <v>defsi</v>
          </cell>
        </row>
        <row r="4538">
          <cell r="B4538" t="b">
            <v>1</v>
          </cell>
          <cell r="E4538" t="str">
            <v>Punta Canoa</v>
          </cell>
          <cell r="H4538" t="str">
            <v>laboratorio</v>
          </cell>
          <cell r="J4538" t="str">
            <v>bueno</v>
          </cell>
          <cell r="K4538" t="str">
            <v>defsi</v>
          </cell>
        </row>
        <row r="4539">
          <cell r="B4539" t="b">
            <v>1</v>
          </cell>
          <cell r="E4539" t="str">
            <v>Pontezuela</v>
          </cell>
          <cell r="H4539" t="str">
            <v>consulta_externa</v>
          </cell>
          <cell r="J4539" t="str">
            <v>bueno</v>
          </cell>
          <cell r="K4539" t="str">
            <v>probsi</v>
          </cell>
        </row>
        <row r="4540">
          <cell r="B4540" t="b">
            <v>1</v>
          </cell>
          <cell r="E4540" t="str">
            <v>Pontezuela</v>
          </cell>
          <cell r="H4540" t="str">
            <v>salud_oral</v>
          </cell>
          <cell r="J4540" t="str">
            <v>muybueno</v>
          </cell>
          <cell r="K4540" t="str">
            <v>probsi</v>
          </cell>
        </row>
        <row r="4541">
          <cell r="B4541" t="b">
            <v>1</v>
          </cell>
          <cell r="E4541" t="str">
            <v>Bayunca</v>
          </cell>
          <cell r="H4541" t="str">
            <v>consulta_externa</v>
          </cell>
          <cell r="J4541" t="str">
            <v>bueno</v>
          </cell>
          <cell r="K4541" t="str">
            <v>probsi</v>
          </cell>
        </row>
        <row r="4542">
          <cell r="B4542" t="b">
            <v>1</v>
          </cell>
          <cell r="E4542" t="str">
            <v>Bayunca</v>
          </cell>
          <cell r="H4542" t="str">
            <v>salud_oral</v>
          </cell>
          <cell r="J4542" t="str">
            <v>bueno</v>
          </cell>
          <cell r="K4542" t="str">
            <v>probsi</v>
          </cell>
        </row>
        <row r="4543">
          <cell r="B4543" t="b">
            <v>1</v>
          </cell>
          <cell r="E4543" t="str">
            <v>Bayunca</v>
          </cell>
          <cell r="H4543" t="str">
            <v>consulta_externa</v>
          </cell>
          <cell r="J4543" t="str">
            <v>bueno</v>
          </cell>
          <cell r="K4543" t="str">
            <v>probsi</v>
          </cell>
        </row>
        <row r="4544">
          <cell r="B4544" t="b">
            <v>1</v>
          </cell>
          <cell r="E4544" t="str">
            <v>Bayunca</v>
          </cell>
          <cell r="H4544" t="str">
            <v>salud_oral</v>
          </cell>
          <cell r="J4544" t="str">
            <v>bueno</v>
          </cell>
          <cell r="K4544" t="str">
            <v>probsi</v>
          </cell>
        </row>
        <row r="4545">
          <cell r="B4545" t="b">
            <v>1</v>
          </cell>
          <cell r="E4545" t="str">
            <v>Baru</v>
          </cell>
          <cell r="H4545" t="str">
            <v>consulta_externa</v>
          </cell>
          <cell r="J4545" t="str">
            <v>muybueno</v>
          </cell>
          <cell r="K4545" t="str">
            <v>defsi</v>
          </cell>
        </row>
        <row r="4546">
          <cell r="B4546" t="b">
            <v>1</v>
          </cell>
          <cell r="E4546" t="str">
            <v>Baru</v>
          </cell>
          <cell r="H4546" t="str">
            <v>laboratorio</v>
          </cell>
          <cell r="J4546" t="str">
            <v>muybueno</v>
          </cell>
          <cell r="K4546" t="str">
            <v>defsi</v>
          </cell>
        </row>
        <row r="4547">
          <cell r="B4547" t="b">
            <v>1</v>
          </cell>
          <cell r="E4547" t="str">
            <v>Baru</v>
          </cell>
          <cell r="H4547" t="str">
            <v>salud_oral</v>
          </cell>
          <cell r="J4547" t="str">
            <v>muybueno</v>
          </cell>
          <cell r="K4547" t="str">
            <v>defsi</v>
          </cell>
        </row>
        <row r="4548">
          <cell r="B4548" t="b">
            <v>0</v>
          </cell>
          <cell r="E4548" t="str">
            <v>Bayunca</v>
          </cell>
          <cell r="H4548" t="str">
            <v>consulta_externa</v>
          </cell>
          <cell r="J4548" t="str">
            <v>regular</v>
          </cell>
          <cell r="K4548" t="str">
            <v>probsi</v>
          </cell>
        </row>
        <row r="4549">
          <cell r="B4549" t="b">
            <v>0</v>
          </cell>
          <cell r="E4549" t="str">
            <v>Bayunca</v>
          </cell>
          <cell r="H4549" t="str">
            <v>salud_oral</v>
          </cell>
          <cell r="J4549" t="str">
            <v>regular</v>
          </cell>
          <cell r="K4549" t="str">
            <v>probsi</v>
          </cell>
        </row>
        <row r="4550">
          <cell r="B4550" t="b">
            <v>0</v>
          </cell>
          <cell r="E4550" t="str">
            <v>Bayunca</v>
          </cell>
          <cell r="H4550" t="str">
            <v>laboratorio</v>
          </cell>
          <cell r="J4550" t="str">
            <v>regular</v>
          </cell>
          <cell r="K4550" t="str">
            <v>probsi</v>
          </cell>
        </row>
        <row r="4551">
          <cell r="B4551" t="b">
            <v>1</v>
          </cell>
          <cell r="E4551" t="str">
            <v>Manzanillo</v>
          </cell>
          <cell r="H4551" t="str">
            <v>consulta_externa</v>
          </cell>
          <cell r="J4551" t="str">
            <v>bueno</v>
          </cell>
          <cell r="K4551" t="str">
            <v>defsi</v>
          </cell>
        </row>
        <row r="4552">
          <cell r="B4552" t="b">
            <v>1</v>
          </cell>
          <cell r="E4552" t="str">
            <v>Manzanillo</v>
          </cell>
          <cell r="H4552" t="str">
            <v>consulta_externa</v>
          </cell>
          <cell r="J4552" t="str">
            <v>bueno</v>
          </cell>
          <cell r="K4552" t="str">
            <v>defsi</v>
          </cell>
        </row>
        <row r="4553">
          <cell r="B4553" t="b">
            <v>1</v>
          </cell>
          <cell r="E4553" t="str">
            <v>Manzanillo</v>
          </cell>
          <cell r="H4553" t="str">
            <v>consulta_externa</v>
          </cell>
          <cell r="J4553" t="str">
            <v>bueno</v>
          </cell>
          <cell r="K4553" t="str">
            <v>defsi</v>
          </cell>
        </row>
        <row r="4554">
          <cell r="B4554" t="b">
            <v>1</v>
          </cell>
          <cell r="E4554" t="str">
            <v>Manzanillo</v>
          </cell>
          <cell r="H4554" t="str">
            <v>laboratorio</v>
          </cell>
          <cell r="J4554" t="str">
            <v>bueno</v>
          </cell>
          <cell r="K4554" t="str">
            <v>defsi</v>
          </cell>
        </row>
        <row r="4555">
          <cell r="B4555" t="b">
            <v>1</v>
          </cell>
          <cell r="E4555" t="str">
            <v>Manzanillo</v>
          </cell>
          <cell r="H4555" t="str">
            <v>laboratorio</v>
          </cell>
          <cell r="J4555" t="str">
            <v>bueno</v>
          </cell>
          <cell r="K4555" t="str">
            <v>defsi</v>
          </cell>
        </row>
        <row r="4556">
          <cell r="B4556" t="b">
            <v>1</v>
          </cell>
          <cell r="E4556" t="str">
            <v>Manzanillo</v>
          </cell>
          <cell r="H4556" t="str">
            <v>salud_oral</v>
          </cell>
          <cell r="J4556" t="str">
            <v>bueno</v>
          </cell>
          <cell r="K4556" t="str">
            <v>defsi</v>
          </cell>
        </row>
        <row r="4557">
          <cell r="B4557" t="b">
            <v>1</v>
          </cell>
          <cell r="E4557" t="str">
            <v>Bayunca</v>
          </cell>
          <cell r="H4557" t="str">
            <v>salud_oral</v>
          </cell>
          <cell r="J4557" t="str">
            <v>bueno</v>
          </cell>
          <cell r="K4557" t="str">
            <v>probsi</v>
          </cell>
        </row>
        <row r="4558">
          <cell r="B4558" t="b">
            <v>1</v>
          </cell>
          <cell r="E4558" t="str">
            <v>Manzanillo</v>
          </cell>
          <cell r="H4558" t="str">
            <v>salud_oral</v>
          </cell>
          <cell r="J4558" t="str">
            <v>bueno</v>
          </cell>
          <cell r="K4558" t="str">
            <v>defsi</v>
          </cell>
        </row>
        <row r="4559">
          <cell r="B4559" t="b">
            <v>1</v>
          </cell>
          <cell r="E4559" t="str">
            <v>Manzanillo</v>
          </cell>
          <cell r="H4559" t="str">
            <v>laboratorio</v>
          </cell>
          <cell r="J4559" t="str">
            <v>bueno</v>
          </cell>
          <cell r="K4559" t="str">
            <v>defsi</v>
          </cell>
        </row>
        <row r="4560">
          <cell r="B4560" t="b">
            <v>1</v>
          </cell>
          <cell r="E4560" t="str">
            <v>Bayunca</v>
          </cell>
          <cell r="H4560" t="str">
            <v>salud_oral</v>
          </cell>
          <cell r="J4560" t="str">
            <v>bueno</v>
          </cell>
          <cell r="K4560" t="str">
            <v>probsi</v>
          </cell>
        </row>
        <row r="4561">
          <cell r="B4561" t="b">
            <v>1</v>
          </cell>
          <cell r="E4561" t="str">
            <v>Manzanillo</v>
          </cell>
          <cell r="H4561" t="str">
            <v>laboratorio</v>
          </cell>
          <cell r="J4561" t="str">
            <v>bueno</v>
          </cell>
          <cell r="K4561" t="str">
            <v>probsi</v>
          </cell>
        </row>
        <row r="4562">
          <cell r="B4562" t="b">
            <v>1</v>
          </cell>
          <cell r="E4562" t="str">
            <v>Manzanillo</v>
          </cell>
          <cell r="H4562" t="str">
            <v>laboratorio</v>
          </cell>
          <cell r="J4562" t="str">
            <v>bueno</v>
          </cell>
          <cell r="K4562" t="str">
            <v>probsi</v>
          </cell>
        </row>
        <row r="4563">
          <cell r="B4563" t="b">
            <v>0</v>
          </cell>
          <cell r="E4563" t="str">
            <v>Bayunca</v>
          </cell>
          <cell r="H4563" t="str">
            <v>salud_oral</v>
          </cell>
          <cell r="J4563" t="str">
            <v>regular</v>
          </cell>
          <cell r="K4563" t="str">
            <v>probsi</v>
          </cell>
        </row>
        <row r="4564">
          <cell r="B4564" t="b">
            <v>1</v>
          </cell>
          <cell r="E4564" t="str">
            <v>Bayunca</v>
          </cell>
          <cell r="H4564" t="str">
            <v>laboratorio</v>
          </cell>
          <cell r="J4564" t="str">
            <v>bueno</v>
          </cell>
          <cell r="K4564" t="str">
            <v>probsi</v>
          </cell>
        </row>
        <row r="4565">
          <cell r="B4565" t="b">
            <v>1</v>
          </cell>
          <cell r="E4565" t="str">
            <v>Manzanillo</v>
          </cell>
          <cell r="H4565" t="str">
            <v>laboratorio</v>
          </cell>
          <cell r="J4565" t="str">
            <v>bueno</v>
          </cell>
          <cell r="K4565" t="str">
            <v>probsi</v>
          </cell>
        </row>
        <row r="4566">
          <cell r="B4566" t="b">
            <v>1</v>
          </cell>
          <cell r="E4566" t="str">
            <v>Manzanillo</v>
          </cell>
          <cell r="H4566" t="str">
            <v>laboratorio</v>
          </cell>
          <cell r="J4566" t="str">
            <v>bueno</v>
          </cell>
          <cell r="K4566" t="str">
            <v>probsi</v>
          </cell>
        </row>
        <row r="4567">
          <cell r="B4567" t="b">
            <v>1</v>
          </cell>
          <cell r="E4567" t="str">
            <v>Manzanillo</v>
          </cell>
          <cell r="H4567" t="str">
            <v>laboratorio</v>
          </cell>
          <cell r="J4567" t="str">
            <v>bueno</v>
          </cell>
          <cell r="K4567" t="str">
            <v>probsi</v>
          </cell>
        </row>
        <row r="4568">
          <cell r="B4568" t="b">
            <v>1</v>
          </cell>
          <cell r="E4568" t="str">
            <v>Manzanillo</v>
          </cell>
          <cell r="H4568" t="str">
            <v>consulta_externa</v>
          </cell>
          <cell r="J4568" t="str">
            <v>bueno</v>
          </cell>
          <cell r="K4568" t="str">
            <v>defsi</v>
          </cell>
        </row>
        <row r="4569">
          <cell r="B4569" t="b">
            <v>1</v>
          </cell>
          <cell r="E4569" t="str">
            <v>Manzanillo</v>
          </cell>
          <cell r="H4569" t="str">
            <v>consulta_externa</v>
          </cell>
          <cell r="J4569" t="str">
            <v>bueno</v>
          </cell>
          <cell r="K4569" t="str">
            <v>defsi</v>
          </cell>
        </row>
        <row r="4570">
          <cell r="B4570" t="b">
            <v>1</v>
          </cell>
          <cell r="E4570" t="str">
            <v>Bayunca</v>
          </cell>
          <cell r="H4570" t="str">
            <v>salud_oral</v>
          </cell>
          <cell r="J4570" t="str">
            <v>bueno</v>
          </cell>
          <cell r="K4570" t="str">
            <v>probsi</v>
          </cell>
        </row>
        <row r="4571">
          <cell r="B4571" t="b">
            <v>1</v>
          </cell>
          <cell r="E4571" t="str">
            <v>Punta Canoa</v>
          </cell>
          <cell r="H4571" t="str">
            <v>consulta_externa</v>
          </cell>
          <cell r="J4571" t="str">
            <v>bueno</v>
          </cell>
          <cell r="K4571" t="str">
            <v>defsi</v>
          </cell>
        </row>
        <row r="4572">
          <cell r="B4572" t="b">
            <v>1</v>
          </cell>
          <cell r="E4572" t="str">
            <v>Bayunca</v>
          </cell>
          <cell r="H4572" t="str">
            <v>laboratorio</v>
          </cell>
          <cell r="J4572" t="str">
            <v>bueno</v>
          </cell>
          <cell r="K4572" t="str">
            <v>probsi</v>
          </cell>
        </row>
        <row r="4573">
          <cell r="B4573" t="b">
            <v>1</v>
          </cell>
          <cell r="E4573" t="str">
            <v>Punta Canoa</v>
          </cell>
          <cell r="H4573" t="str">
            <v>laboratorio</v>
          </cell>
          <cell r="J4573" t="str">
            <v>bueno</v>
          </cell>
          <cell r="K4573" t="str">
            <v>defsi</v>
          </cell>
        </row>
        <row r="4574">
          <cell r="B4574" t="b">
            <v>1</v>
          </cell>
          <cell r="E4574" t="str">
            <v>Bayunca</v>
          </cell>
          <cell r="H4574" t="str">
            <v>laboratorio</v>
          </cell>
          <cell r="J4574" t="str">
            <v>bueno</v>
          </cell>
          <cell r="K4574" t="str">
            <v>probsi</v>
          </cell>
        </row>
        <row r="4575">
          <cell r="B4575" t="b">
            <v>1</v>
          </cell>
          <cell r="E4575" t="str">
            <v>Punta Canoa</v>
          </cell>
          <cell r="H4575" t="str">
            <v>laboratorio</v>
          </cell>
          <cell r="J4575" t="str">
            <v>bueno</v>
          </cell>
          <cell r="K4575" t="str">
            <v>defsi</v>
          </cell>
        </row>
        <row r="4576">
          <cell r="B4576" t="b">
            <v>1</v>
          </cell>
          <cell r="E4576" t="str">
            <v>Manzanillo</v>
          </cell>
          <cell r="H4576" t="str">
            <v>salud_oral</v>
          </cell>
          <cell r="J4576" t="str">
            <v>bueno</v>
          </cell>
          <cell r="K4576" t="str">
            <v>probsi</v>
          </cell>
        </row>
        <row r="4577">
          <cell r="B4577" t="b">
            <v>1</v>
          </cell>
          <cell r="E4577" t="str">
            <v>Punta Canoa</v>
          </cell>
          <cell r="H4577" t="str">
            <v>consulta_externa</v>
          </cell>
          <cell r="J4577" t="str">
            <v>bueno</v>
          </cell>
          <cell r="K4577" t="str">
            <v>defsi</v>
          </cell>
        </row>
        <row r="4578">
          <cell r="B4578" t="b">
            <v>1</v>
          </cell>
          <cell r="E4578" t="str">
            <v>Punta Canoa</v>
          </cell>
          <cell r="H4578" t="str">
            <v>laboratorio</v>
          </cell>
          <cell r="J4578" t="str">
            <v>bueno</v>
          </cell>
          <cell r="K4578" t="str">
            <v>defsi</v>
          </cell>
        </row>
        <row r="4579">
          <cell r="B4579" t="b">
            <v>1</v>
          </cell>
          <cell r="E4579" t="str">
            <v>Punta Canoa</v>
          </cell>
          <cell r="H4579" t="str">
            <v>salud_oral</v>
          </cell>
          <cell r="J4579" t="str">
            <v>bueno</v>
          </cell>
          <cell r="K4579" t="str">
            <v>defsi</v>
          </cell>
        </row>
        <row r="4580">
          <cell r="B4580" t="b">
            <v>1</v>
          </cell>
          <cell r="E4580" t="str">
            <v>Baru</v>
          </cell>
          <cell r="H4580" t="str">
            <v>consulta_externa</v>
          </cell>
          <cell r="J4580" t="str">
            <v>muybueno</v>
          </cell>
          <cell r="K4580" t="str">
            <v>defsi</v>
          </cell>
        </row>
        <row r="4581">
          <cell r="B4581" t="b">
            <v>1</v>
          </cell>
          <cell r="E4581" t="str">
            <v>Baru</v>
          </cell>
          <cell r="H4581" t="str">
            <v>laboratorio</v>
          </cell>
          <cell r="J4581" t="str">
            <v>muybueno</v>
          </cell>
          <cell r="K4581" t="str">
            <v>defsi</v>
          </cell>
        </row>
        <row r="4582">
          <cell r="B4582" t="b">
            <v>0</v>
          </cell>
          <cell r="E4582" t="str">
            <v>Bayunca</v>
          </cell>
          <cell r="H4582" t="str">
            <v>salud_oral</v>
          </cell>
          <cell r="J4582" t="str">
            <v>regular</v>
          </cell>
          <cell r="K4582" t="str">
            <v>probsi</v>
          </cell>
        </row>
        <row r="4583">
          <cell r="B4583" t="b">
            <v>1</v>
          </cell>
          <cell r="E4583" t="str">
            <v>Bayunca</v>
          </cell>
          <cell r="H4583" t="str">
            <v>laboratorio</v>
          </cell>
          <cell r="J4583" t="str">
            <v>bueno</v>
          </cell>
          <cell r="K4583" t="str">
            <v>probsi</v>
          </cell>
        </row>
        <row r="4584">
          <cell r="B4584" t="b">
            <v>1</v>
          </cell>
          <cell r="E4584" t="str">
            <v>Baru</v>
          </cell>
          <cell r="H4584" t="str">
            <v>consulta_externa</v>
          </cell>
          <cell r="J4584" t="str">
            <v>muybueno</v>
          </cell>
          <cell r="K4584" t="str">
            <v>defsi</v>
          </cell>
        </row>
        <row r="4585">
          <cell r="B4585" t="b">
            <v>0</v>
          </cell>
          <cell r="E4585" t="str">
            <v>Bayunca</v>
          </cell>
          <cell r="H4585" t="str">
            <v>salud_oral</v>
          </cell>
          <cell r="J4585" t="str">
            <v>regular</v>
          </cell>
          <cell r="K4585" t="str">
            <v>probsi</v>
          </cell>
        </row>
        <row r="4586">
          <cell r="B4586" t="b">
            <v>0</v>
          </cell>
          <cell r="E4586" t="str">
            <v>Bayunca</v>
          </cell>
          <cell r="H4586" t="str">
            <v>urgencia</v>
          </cell>
          <cell r="J4586" t="str">
            <v>regular</v>
          </cell>
          <cell r="K4586" t="str">
            <v>probsi</v>
          </cell>
        </row>
        <row r="4587">
          <cell r="B4587" t="b">
            <v>1</v>
          </cell>
          <cell r="E4587" t="str">
            <v>Bayunca</v>
          </cell>
          <cell r="H4587" t="str">
            <v>salud_oral</v>
          </cell>
          <cell r="J4587" t="str">
            <v>bueno</v>
          </cell>
          <cell r="K4587" t="str">
            <v>probsi</v>
          </cell>
        </row>
        <row r="4588">
          <cell r="B4588" t="b">
            <v>1</v>
          </cell>
          <cell r="E4588" t="str">
            <v>Bayunca</v>
          </cell>
          <cell r="H4588" t="str">
            <v>laboratorio</v>
          </cell>
          <cell r="J4588" t="str">
            <v>bueno</v>
          </cell>
          <cell r="K4588" t="str">
            <v>probsi</v>
          </cell>
        </row>
        <row r="4589">
          <cell r="B4589" t="b">
            <v>1</v>
          </cell>
          <cell r="E4589" t="str">
            <v>Bayunca</v>
          </cell>
          <cell r="H4589" t="str">
            <v>urgencia</v>
          </cell>
          <cell r="J4589" t="str">
            <v>bueno</v>
          </cell>
          <cell r="K4589" t="str">
            <v>probsi</v>
          </cell>
        </row>
        <row r="4590">
          <cell r="B4590" t="b">
            <v>1</v>
          </cell>
          <cell r="E4590" t="str">
            <v>Punta Canoa</v>
          </cell>
          <cell r="H4590" t="str">
            <v>consulta_externa</v>
          </cell>
          <cell r="J4590" t="str">
            <v>bueno</v>
          </cell>
          <cell r="K4590" t="str">
            <v>defsi</v>
          </cell>
        </row>
        <row r="4591">
          <cell r="B4591" t="b">
            <v>1</v>
          </cell>
          <cell r="E4591" t="str">
            <v>Punta Canoa</v>
          </cell>
          <cell r="H4591" t="str">
            <v>consulta_externa</v>
          </cell>
          <cell r="J4591" t="str">
            <v>bueno</v>
          </cell>
          <cell r="K4591" t="str">
            <v>defsi</v>
          </cell>
        </row>
        <row r="4592">
          <cell r="B4592" t="b">
            <v>1</v>
          </cell>
          <cell r="E4592" t="str">
            <v>Punta Canoa</v>
          </cell>
          <cell r="H4592" t="str">
            <v>consulta_externa</v>
          </cell>
          <cell r="J4592" t="str">
            <v>bueno</v>
          </cell>
          <cell r="K4592" t="str">
            <v>defsi</v>
          </cell>
        </row>
        <row r="4593">
          <cell r="B4593" t="b">
            <v>1</v>
          </cell>
          <cell r="E4593" t="str">
            <v>Punta Canoa</v>
          </cell>
          <cell r="H4593" t="str">
            <v>laboratorio</v>
          </cell>
          <cell r="J4593" t="str">
            <v>bueno</v>
          </cell>
          <cell r="K4593" t="str">
            <v>defsi</v>
          </cell>
        </row>
        <row r="4594">
          <cell r="B4594" t="b">
            <v>1</v>
          </cell>
          <cell r="E4594" t="str">
            <v>Bayunca</v>
          </cell>
          <cell r="H4594" t="str">
            <v>salud_oral</v>
          </cell>
          <cell r="J4594" t="str">
            <v>bueno</v>
          </cell>
          <cell r="K4594" t="str">
            <v>probsi</v>
          </cell>
        </row>
        <row r="4595">
          <cell r="B4595" t="b">
            <v>1</v>
          </cell>
          <cell r="E4595" t="str">
            <v>Bayunca</v>
          </cell>
          <cell r="H4595" t="str">
            <v>laboratorio</v>
          </cell>
          <cell r="J4595" t="str">
            <v>bueno</v>
          </cell>
          <cell r="K4595" t="str">
            <v>probsi</v>
          </cell>
        </row>
        <row r="4596">
          <cell r="B4596" t="b">
            <v>1</v>
          </cell>
          <cell r="E4596" t="str">
            <v>Bayunca</v>
          </cell>
          <cell r="H4596" t="str">
            <v>ecografias</v>
          </cell>
          <cell r="J4596" t="str">
            <v>bueno</v>
          </cell>
          <cell r="K4596" t="str">
            <v>probsi</v>
          </cell>
        </row>
        <row r="4597">
          <cell r="B4597" t="b">
            <v>1</v>
          </cell>
          <cell r="E4597" t="str">
            <v>Punta Canoa</v>
          </cell>
          <cell r="H4597" t="str">
            <v>salud_oral</v>
          </cell>
          <cell r="J4597" t="str">
            <v>bueno</v>
          </cell>
          <cell r="K4597" t="str">
            <v>defsi</v>
          </cell>
        </row>
        <row r="4598">
          <cell r="B4598" t="b">
            <v>1</v>
          </cell>
          <cell r="E4598" t="str">
            <v>Bayunca</v>
          </cell>
          <cell r="H4598" t="str">
            <v>laboratorio</v>
          </cell>
          <cell r="J4598" t="str">
            <v>bueno</v>
          </cell>
          <cell r="K4598" t="str">
            <v>probsi</v>
          </cell>
        </row>
        <row r="4599">
          <cell r="B4599" t="b">
            <v>1</v>
          </cell>
          <cell r="E4599" t="str">
            <v>Punta Canoa</v>
          </cell>
          <cell r="H4599" t="str">
            <v>consulta_externa</v>
          </cell>
          <cell r="J4599" t="str">
            <v>bueno</v>
          </cell>
          <cell r="K4599" t="str">
            <v>defsi</v>
          </cell>
        </row>
        <row r="4600">
          <cell r="B4600" t="b">
            <v>1</v>
          </cell>
          <cell r="E4600" t="str">
            <v>Punta Canoa</v>
          </cell>
          <cell r="H4600" t="str">
            <v>consulta_externa</v>
          </cell>
          <cell r="J4600" t="str">
            <v>bueno</v>
          </cell>
          <cell r="K4600" t="str">
            <v>defsi</v>
          </cell>
        </row>
        <row r="4601">
          <cell r="B4601" t="b">
            <v>0</v>
          </cell>
          <cell r="E4601" t="str">
            <v>Bayunca</v>
          </cell>
          <cell r="H4601" t="str">
            <v>salud_oral</v>
          </cell>
          <cell r="J4601" t="str">
            <v>regular</v>
          </cell>
          <cell r="K4601" t="str">
            <v>probsi</v>
          </cell>
        </row>
        <row r="4602">
          <cell r="B4602" t="b">
            <v>1</v>
          </cell>
          <cell r="E4602" t="str">
            <v>Punta Canoa</v>
          </cell>
          <cell r="H4602" t="str">
            <v>consulta_externa</v>
          </cell>
          <cell r="J4602" t="str">
            <v>bueno</v>
          </cell>
          <cell r="K4602" t="str">
            <v>defsi</v>
          </cell>
        </row>
        <row r="4603">
          <cell r="B4603" t="b">
            <v>1</v>
          </cell>
          <cell r="E4603" t="str">
            <v>Punta Canoa</v>
          </cell>
          <cell r="H4603" t="str">
            <v>laboratorio</v>
          </cell>
          <cell r="J4603" t="str">
            <v>bueno</v>
          </cell>
          <cell r="K4603" t="str">
            <v>defsi</v>
          </cell>
        </row>
        <row r="4604">
          <cell r="B4604" t="b">
            <v>1</v>
          </cell>
          <cell r="E4604" t="str">
            <v>Punta Canoa</v>
          </cell>
          <cell r="H4604" t="str">
            <v>laboratorio</v>
          </cell>
          <cell r="J4604" t="str">
            <v>bueno</v>
          </cell>
          <cell r="K4604" t="str">
            <v>defsi</v>
          </cell>
        </row>
        <row r="4605">
          <cell r="B4605" t="b">
            <v>1</v>
          </cell>
          <cell r="E4605" t="str">
            <v>Punta Canoa</v>
          </cell>
          <cell r="H4605" t="str">
            <v>laboratorio</v>
          </cell>
          <cell r="J4605" t="str">
            <v>muybueno</v>
          </cell>
          <cell r="K4605" t="str">
            <v>defsi</v>
          </cell>
        </row>
        <row r="4606">
          <cell r="B4606" t="b">
            <v>1</v>
          </cell>
          <cell r="E4606" t="str">
            <v>Baru</v>
          </cell>
          <cell r="H4606" t="str">
            <v>consulta_externa</v>
          </cell>
          <cell r="J4606" t="str">
            <v>muybueno</v>
          </cell>
          <cell r="K4606" t="str">
            <v>defsi</v>
          </cell>
        </row>
        <row r="4607">
          <cell r="B4607" t="b">
            <v>1</v>
          </cell>
          <cell r="E4607" t="str">
            <v>Baru</v>
          </cell>
          <cell r="H4607" t="str">
            <v>laboratorio</v>
          </cell>
          <cell r="J4607" t="str">
            <v>muybueno</v>
          </cell>
          <cell r="K4607" t="str">
            <v>defsi</v>
          </cell>
        </row>
        <row r="4608">
          <cell r="B4608" t="b">
            <v>1</v>
          </cell>
          <cell r="E4608" t="str">
            <v>Libano</v>
          </cell>
          <cell r="H4608" t="str">
            <v>consulta_externa</v>
          </cell>
          <cell r="J4608" t="str">
            <v>bueno</v>
          </cell>
          <cell r="K4608" t="str">
            <v>defsi</v>
          </cell>
        </row>
        <row r="4609">
          <cell r="B4609" t="b">
            <v>1</v>
          </cell>
          <cell r="E4609" t="str">
            <v>Libano</v>
          </cell>
          <cell r="H4609" t="str">
            <v>salud_oral</v>
          </cell>
          <cell r="J4609" t="str">
            <v>bueno</v>
          </cell>
          <cell r="K4609" t="str">
            <v>defsi</v>
          </cell>
        </row>
        <row r="4610">
          <cell r="B4610" t="b">
            <v>1</v>
          </cell>
          <cell r="E4610" t="str">
            <v>Bayunca</v>
          </cell>
          <cell r="H4610" t="str">
            <v>salud_oral</v>
          </cell>
          <cell r="J4610" t="str">
            <v>bueno</v>
          </cell>
          <cell r="K4610" t="str">
            <v>probsi</v>
          </cell>
        </row>
        <row r="4611">
          <cell r="B4611" t="b">
            <v>1</v>
          </cell>
          <cell r="E4611" t="str">
            <v>Bayunca</v>
          </cell>
          <cell r="H4611" t="str">
            <v>laboratorio</v>
          </cell>
          <cell r="J4611" t="str">
            <v>bueno</v>
          </cell>
          <cell r="K4611" t="str">
            <v>probsi</v>
          </cell>
        </row>
        <row r="4612">
          <cell r="B4612" t="b">
            <v>1</v>
          </cell>
          <cell r="E4612" t="str">
            <v>Bayunca</v>
          </cell>
          <cell r="H4612" t="str">
            <v>urgencia</v>
          </cell>
          <cell r="J4612" t="str">
            <v>bueno</v>
          </cell>
          <cell r="K4612" t="str">
            <v>probsi</v>
          </cell>
        </row>
        <row r="4613">
          <cell r="B4613" t="b">
            <v>1</v>
          </cell>
          <cell r="E4613" t="str">
            <v>Baru</v>
          </cell>
          <cell r="H4613" t="str">
            <v>consulta_externa</v>
          </cell>
          <cell r="J4613" t="str">
            <v>muybueno</v>
          </cell>
          <cell r="K4613" t="str">
            <v>defsi</v>
          </cell>
        </row>
        <row r="4614">
          <cell r="B4614" t="b">
            <v>1</v>
          </cell>
          <cell r="E4614" t="str">
            <v>Baru</v>
          </cell>
          <cell r="H4614" t="str">
            <v>laboratorio</v>
          </cell>
          <cell r="J4614" t="str">
            <v>muybueno</v>
          </cell>
          <cell r="K4614" t="str">
            <v>defsi</v>
          </cell>
        </row>
        <row r="4615">
          <cell r="B4615" t="b">
            <v>1</v>
          </cell>
          <cell r="E4615" t="str">
            <v>Libano</v>
          </cell>
          <cell r="H4615" t="str">
            <v>laboratorio</v>
          </cell>
          <cell r="J4615" t="str">
            <v>bueno</v>
          </cell>
          <cell r="K4615" t="str">
            <v>defsi</v>
          </cell>
        </row>
        <row r="4616">
          <cell r="B4616" t="b">
            <v>1</v>
          </cell>
          <cell r="E4616" t="str">
            <v>Libano</v>
          </cell>
          <cell r="H4616" t="str">
            <v>ecografias</v>
          </cell>
          <cell r="J4616" t="str">
            <v>bueno</v>
          </cell>
          <cell r="K4616" t="str">
            <v>defsi</v>
          </cell>
        </row>
        <row r="4617">
          <cell r="B4617" t="b">
            <v>1</v>
          </cell>
          <cell r="E4617" t="str">
            <v>Punta Canoa</v>
          </cell>
          <cell r="H4617" t="str">
            <v>consulta_externa</v>
          </cell>
          <cell r="J4617" t="str">
            <v>bueno</v>
          </cell>
          <cell r="K4617" t="str">
            <v>defsi</v>
          </cell>
        </row>
        <row r="4618">
          <cell r="B4618" t="b">
            <v>1</v>
          </cell>
          <cell r="E4618" t="str">
            <v>Bayunca</v>
          </cell>
          <cell r="H4618" t="str">
            <v>salud_oral</v>
          </cell>
          <cell r="J4618" t="str">
            <v>bueno</v>
          </cell>
          <cell r="K4618" t="str">
            <v>probsi</v>
          </cell>
        </row>
        <row r="4619">
          <cell r="B4619" t="b">
            <v>1</v>
          </cell>
          <cell r="E4619" t="str">
            <v>Libano</v>
          </cell>
          <cell r="H4619" t="str">
            <v>ginecologia</v>
          </cell>
          <cell r="J4619" t="str">
            <v>bueno</v>
          </cell>
          <cell r="K4619" t="str">
            <v>defsi</v>
          </cell>
        </row>
        <row r="4620">
          <cell r="B4620" t="b">
            <v>1</v>
          </cell>
          <cell r="E4620" t="str">
            <v>Punta Canoa</v>
          </cell>
          <cell r="H4620" t="str">
            <v>salud_oral</v>
          </cell>
          <cell r="J4620" t="str">
            <v>muybueno</v>
          </cell>
          <cell r="K4620" t="str">
            <v>defsi</v>
          </cell>
        </row>
        <row r="4621">
          <cell r="B4621" t="b">
            <v>1</v>
          </cell>
          <cell r="E4621" t="str">
            <v>Punta Canoa</v>
          </cell>
          <cell r="H4621" t="str">
            <v>salud_oral</v>
          </cell>
          <cell r="J4621" t="str">
            <v>bueno</v>
          </cell>
          <cell r="K4621" t="str">
            <v>defsi</v>
          </cell>
        </row>
        <row r="4622">
          <cell r="B4622" t="b">
            <v>1</v>
          </cell>
          <cell r="E4622" t="str">
            <v>Punta Canoa</v>
          </cell>
          <cell r="H4622" t="str">
            <v>consulta_externa</v>
          </cell>
          <cell r="J4622" t="str">
            <v>bueno</v>
          </cell>
          <cell r="K4622" t="str">
            <v>defsi</v>
          </cell>
        </row>
        <row r="4623">
          <cell r="B4623" t="b">
            <v>1</v>
          </cell>
          <cell r="E4623" t="str">
            <v>Bayunca</v>
          </cell>
          <cell r="H4623" t="str">
            <v>laboratorio</v>
          </cell>
          <cell r="J4623" t="str">
            <v>bueno</v>
          </cell>
          <cell r="K4623" t="str">
            <v>probsi</v>
          </cell>
        </row>
        <row r="4624">
          <cell r="B4624" t="b">
            <v>1</v>
          </cell>
          <cell r="E4624" t="str">
            <v>Punta Canoa</v>
          </cell>
          <cell r="H4624" t="str">
            <v>laboratorio</v>
          </cell>
          <cell r="J4624" t="str">
            <v>bueno</v>
          </cell>
          <cell r="K4624" t="str">
            <v>defsi</v>
          </cell>
        </row>
        <row r="4625">
          <cell r="B4625" t="b">
            <v>1</v>
          </cell>
          <cell r="E4625" t="str">
            <v>Punta Canoa</v>
          </cell>
          <cell r="H4625" t="str">
            <v>laboratorio</v>
          </cell>
          <cell r="J4625" t="str">
            <v>bueno</v>
          </cell>
          <cell r="K4625" t="str">
            <v>defsi</v>
          </cell>
        </row>
        <row r="4626">
          <cell r="B4626" t="b">
            <v>0</v>
          </cell>
          <cell r="E4626" t="str">
            <v>Bayunca</v>
          </cell>
          <cell r="H4626" t="str">
            <v>urgencia</v>
          </cell>
          <cell r="J4626" t="str">
            <v>regular</v>
          </cell>
          <cell r="K4626" t="str">
            <v>probsi</v>
          </cell>
        </row>
        <row r="4627">
          <cell r="B4627" t="b">
            <v>1</v>
          </cell>
          <cell r="E4627" t="str">
            <v>Punta Canoa</v>
          </cell>
          <cell r="H4627" t="str">
            <v>laboratorio</v>
          </cell>
          <cell r="J4627" t="str">
            <v>bueno</v>
          </cell>
          <cell r="K4627" t="str">
            <v>defsi</v>
          </cell>
        </row>
        <row r="4628">
          <cell r="B4628" t="b">
            <v>1</v>
          </cell>
          <cell r="E4628" t="str">
            <v>Libano</v>
          </cell>
          <cell r="H4628" t="str">
            <v>pediatria</v>
          </cell>
          <cell r="J4628" t="str">
            <v>bueno</v>
          </cell>
          <cell r="K4628" t="str">
            <v>defsi</v>
          </cell>
        </row>
        <row r="4629">
          <cell r="B4629" t="b">
            <v>1</v>
          </cell>
          <cell r="E4629" t="str">
            <v>Punta Canoa</v>
          </cell>
          <cell r="H4629" t="str">
            <v>consulta_externa</v>
          </cell>
          <cell r="J4629" t="str">
            <v>bueno</v>
          </cell>
          <cell r="K4629" t="str">
            <v>defsi</v>
          </cell>
        </row>
        <row r="4630">
          <cell r="B4630" t="b">
            <v>1</v>
          </cell>
          <cell r="E4630" t="str">
            <v>Boquilla</v>
          </cell>
          <cell r="H4630" t="str">
            <v>consulta_externa</v>
          </cell>
          <cell r="J4630" t="str">
            <v>bueno</v>
          </cell>
          <cell r="K4630" t="str">
            <v>defsi</v>
          </cell>
        </row>
        <row r="4631">
          <cell r="B4631" t="b">
            <v>1</v>
          </cell>
          <cell r="E4631" t="str">
            <v>Bayunca</v>
          </cell>
          <cell r="H4631" t="str">
            <v>urgencia</v>
          </cell>
          <cell r="J4631" t="str">
            <v>bueno</v>
          </cell>
          <cell r="K4631" t="str">
            <v>probsi</v>
          </cell>
        </row>
        <row r="4632">
          <cell r="B4632" t="b">
            <v>1</v>
          </cell>
          <cell r="E4632" t="str">
            <v>Boquilla</v>
          </cell>
          <cell r="H4632" t="str">
            <v>consulta_externa</v>
          </cell>
          <cell r="J4632" t="str">
            <v>bueno</v>
          </cell>
          <cell r="K4632" t="str">
            <v>defsi</v>
          </cell>
        </row>
        <row r="4633">
          <cell r="B4633" t="b">
            <v>1</v>
          </cell>
          <cell r="E4633" t="str">
            <v>Punta Canoa</v>
          </cell>
          <cell r="H4633" t="str">
            <v>laboratorio</v>
          </cell>
          <cell r="J4633" t="str">
            <v>muybueno</v>
          </cell>
          <cell r="K4633" t="str">
            <v>defsi</v>
          </cell>
        </row>
        <row r="4634">
          <cell r="B4634" t="b">
            <v>1</v>
          </cell>
          <cell r="E4634" t="str">
            <v>Baru</v>
          </cell>
          <cell r="H4634" t="str">
            <v>salud_oral</v>
          </cell>
          <cell r="J4634" t="str">
            <v>muybueno</v>
          </cell>
          <cell r="K4634" t="str">
            <v>defsi</v>
          </cell>
        </row>
        <row r="4635">
          <cell r="B4635" t="b">
            <v>1</v>
          </cell>
          <cell r="E4635" t="str">
            <v>Punta Canoa</v>
          </cell>
          <cell r="H4635" t="str">
            <v>laboratorio</v>
          </cell>
          <cell r="J4635" t="str">
            <v>bueno</v>
          </cell>
          <cell r="K4635" t="str">
            <v>defsi</v>
          </cell>
        </row>
        <row r="4636">
          <cell r="B4636" t="b">
            <v>1</v>
          </cell>
          <cell r="E4636" t="str">
            <v>Punta Canoa</v>
          </cell>
          <cell r="H4636" t="str">
            <v>consulta_externa</v>
          </cell>
          <cell r="J4636" t="str">
            <v>bueno</v>
          </cell>
          <cell r="K4636" t="str">
            <v>defsi</v>
          </cell>
        </row>
        <row r="4637">
          <cell r="B4637" t="b">
            <v>1</v>
          </cell>
          <cell r="E4637" t="str">
            <v>Baru</v>
          </cell>
          <cell r="H4637" t="str">
            <v>consulta_externa</v>
          </cell>
          <cell r="J4637" t="str">
            <v>muybueno</v>
          </cell>
          <cell r="K4637" t="str">
            <v>defsi</v>
          </cell>
        </row>
        <row r="4638">
          <cell r="B4638" t="b">
            <v>1</v>
          </cell>
          <cell r="E4638" t="str">
            <v>Baru</v>
          </cell>
          <cell r="H4638" t="str">
            <v>laboratorio</v>
          </cell>
          <cell r="J4638" t="str">
            <v>muybueno</v>
          </cell>
          <cell r="K4638" t="str">
            <v>defsi</v>
          </cell>
        </row>
        <row r="4639">
          <cell r="B4639" t="b">
            <v>1</v>
          </cell>
          <cell r="E4639" t="str">
            <v>Libano</v>
          </cell>
          <cell r="H4639" t="str">
            <v>consulta_externa</v>
          </cell>
          <cell r="J4639" t="str">
            <v>bueno</v>
          </cell>
          <cell r="K4639" t="str">
            <v>defsi</v>
          </cell>
        </row>
        <row r="4640">
          <cell r="B4640" t="b">
            <v>1</v>
          </cell>
          <cell r="E4640" t="str">
            <v>Libano</v>
          </cell>
          <cell r="H4640" t="str">
            <v>salud_oral</v>
          </cell>
          <cell r="J4640" t="str">
            <v>bueno</v>
          </cell>
          <cell r="K4640" t="str">
            <v>defsi</v>
          </cell>
        </row>
        <row r="4641">
          <cell r="B4641" t="b">
            <v>1</v>
          </cell>
          <cell r="E4641" t="str">
            <v>Libano</v>
          </cell>
          <cell r="H4641" t="str">
            <v>laboratorio</v>
          </cell>
          <cell r="J4641" t="str">
            <v>bueno</v>
          </cell>
          <cell r="K4641" t="str">
            <v>defsi</v>
          </cell>
        </row>
        <row r="4642">
          <cell r="B4642" t="b">
            <v>1</v>
          </cell>
          <cell r="E4642" t="str">
            <v>Punta Canoa</v>
          </cell>
          <cell r="H4642" t="str">
            <v>consulta_externa</v>
          </cell>
          <cell r="J4642" t="str">
            <v>bueno</v>
          </cell>
          <cell r="K4642" t="str">
            <v>defsi</v>
          </cell>
        </row>
        <row r="4643">
          <cell r="B4643" t="b">
            <v>1</v>
          </cell>
          <cell r="E4643" t="str">
            <v>Libano</v>
          </cell>
          <cell r="H4643" t="str">
            <v>ecografias</v>
          </cell>
          <cell r="J4643" t="str">
            <v>bueno</v>
          </cell>
          <cell r="K4643" t="str">
            <v>defsi</v>
          </cell>
        </row>
        <row r="4644">
          <cell r="B4644" t="b">
            <v>1</v>
          </cell>
          <cell r="E4644" t="str">
            <v>Punta Canoa</v>
          </cell>
          <cell r="H4644" t="str">
            <v>consulta_externa</v>
          </cell>
          <cell r="J4644" t="str">
            <v>bueno</v>
          </cell>
          <cell r="K4644" t="str">
            <v>defsi</v>
          </cell>
        </row>
        <row r="4645">
          <cell r="B4645" t="b">
            <v>1</v>
          </cell>
          <cell r="E4645" t="str">
            <v>Punta Canoa</v>
          </cell>
          <cell r="H4645" t="str">
            <v>salud_oral</v>
          </cell>
          <cell r="J4645" t="str">
            <v>bueno</v>
          </cell>
          <cell r="K4645" t="str">
            <v>defsi</v>
          </cell>
        </row>
        <row r="4646">
          <cell r="B4646" t="b">
            <v>1</v>
          </cell>
          <cell r="E4646" t="str">
            <v>Punta Canoa</v>
          </cell>
          <cell r="H4646" t="str">
            <v>salud_oral</v>
          </cell>
          <cell r="J4646" t="str">
            <v>bueno</v>
          </cell>
          <cell r="K4646" t="str">
            <v>defsi</v>
          </cell>
        </row>
        <row r="4647">
          <cell r="B4647" t="b">
            <v>1</v>
          </cell>
          <cell r="E4647" t="str">
            <v>Punta Canoa</v>
          </cell>
          <cell r="H4647" t="str">
            <v>salud_oral</v>
          </cell>
          <cell r="J4647" t="str">
            <v>bueno</v>
          </cell>
          <cell r="K4647" t="str">
            <v>defsi</v>
          </cell>
        </row>
        <row r="4648">
          <cell r="B4648" t="b">
            <v>1</v>
          </cell>
          <cell r="E4648" t="str">
            <v>Libano</v>
          </cell>
          <cell r="H4648" t="str">
            <v>ginecologia</v>
          </cell>
          <cell r="J4648" t="str">
            <v>bueno</v>
          </cell>
          <cell r="K4648" t="str">
            <v>defsi</v>
          </cell>
        </row>
        <row r="4649">
          <cell r="B4649" t="b">
            <v>1</v>
          </cell>
          <cell r="E4649" t="str">
            <v>Punta Canoa</v>
          </cell>
          <cell r="H4649" t="str">
            <v>consulta_externa</v>
          </cell>
          <cell r="J4649" t="str">
            <v>bueno</v>
          </cell>
          <cell r="K4649" t="str">
            <v>defsi</v>
          </cell>
        </row>
        <row r="4650">
          <cell r="B4650" t="b">
            <v>1</v>
          </cell>
          <cell r="E4650" t="str">
            <v>Punta Canoa</v>
          </cell>
          <cell r="H4650" t="str">
            <v>laboratorio</v>
          </cell>
          <cell r="J4650" t="str">
            <v>bueno</v>
          </cell>
          <cell r="K4650" t="str">
            <v>defsi</v>
          </cell>
        </row>
        <row r="4651">
          <cell r="B4651" t="b">
            <v>1</v>
          </cell>
          <cell r="E4651" t="str">
            <v>Bayunca</v>
          </cell>
          <cell r="H4651" t="str">
            <v>laboratorio</v>
          </cell>
          <cell r="J4651" t="str">
            <v>bueno</v>
          </cell>
          <cell r="K4651" t="str">
            <v>probsi</v>
          </cell>
        </row>
        <row r="4652">
          <cell r="B4652" t="b">
            <v>1</v>
          </cell>
          <cell r="E4652" t="str">
            <v>Libano</v>
          </cell>
          <cell r="H4652" t="str">
            <v>pediatria</v>
          </cell>
          <cell r="J4652" t="str">
            <v>bueno</v>
          </cell>
          <cell r="K4652" t="str">
            <v>defsi</v>
          </cell>
        </row>
        <row r="4653">
          <cell r="B4653" t="b">
            <v>1</v>
          </cell>
          <cell r="E4653" t="str">
            <v>Baru</v>
          </cell>
          <cell r="H4653" t="str">
            <v>salud_oral</v>
          </cell>
          <cell r="J4653" t="str">
            <v>muybueno</v>
          </cell>
          <cell r="K4653" t="str">
            <v>defsi</v>
          </cell>
        </row>
        <row r="4654">
          <cell r="B4654" t="b">
            <v>1</v>
          </cell>
          <cell r="E4654" t="str">
            <v>Punta Canoa</v>
          </cell>
          <cell r="H4654" t="str">
            <v>laboratorio</v>
          </cell>
          <cell r="J4654" t="str">
            <v>bueno</v>
          </cell>
          <cell r="K4654" t="str">
            <v>defsi</v>
          </cell>
        </row>
        <row r="4655">
          <cell r="B4655" t="b">
            <v>1</v>
          </cell>
          <cell r="E4655" t="str">
            <v>Bayunca</v>
          </cell>
          <cell r="H4655" t="str">
            <v>laboratorio</v>
          </cell>
          <cell r="J4655" t="str">
            <v>bueno</v>
          </cell>
          <cell r="K4655" t="str">
            <v>probsi</v>
          </cell>
        </row>
        <row r="4656">
          <cell r="B4656" t="b">
            <v>1</v>
          </cell>
          <cell r="E4656" t="str">
            <v>Punta Canoa</v>
          </cell>
          <cell r="H4656" t="str">
            <v>laboratorio</v>
          </cell>
          <cell r="J4656" t="str">
            <v>bueno</v>
          </cell>
          <cell r="K4656" t="str">
            <v>defsi</v>
          </cell>
        </row>
        <row r="4657">
          <cell r="B4657" t="b">
            <v>1</v>
          </cell>
          <cell r="E4657" t="str">
            <v>Bayunca</v>
          </cell>
          <cell r="H4657" t="str">
            <v>pediatria</v>
          </cell>
          <cell r="J4657" t="str">
            <v>bueno</v>
          </cell>
          <cell r="K4657" t="str">
            <v>probsi</v>
          </cell>
        </row>
        <row r="4658">
          <cell r="B4658" t="b">
            <v>1</v>
          </cell>
          <cell r="E4658" t="str">
            <v>Punta Canoa</v>
          </cell>
          <cell r="H4658" t="str">
            <v>consulta_externa</v>
          </cell>
          <cell r="J4658" t="str">
            <v>bueno</v>
          </cell>
          <cell r="K4658" t="str">
            <v>defsi</v>
          </cell>
        </row>
        <row r="4659">
          <cell r="B4659" t="b">
            <v>1</v>
          </cell>
          <cell r="E4659" t="str">
            <v>Punta Canoa</v>
          </cell>
          <cell r="H4659" t="str">
            <v>consulta_externa</v>
          </cell>
          <cell r="J4659" t="str">
            <v>bueno</v>
          </cell>
          <cell r="K4659" t="str">
            <v>defsi</v>
          </cell>
        </row>
        <row r="4660">
          <cell r="B4660" t="b">
            <v>1</v>
          </cell>
          <cell r="E4660" t="str">
            <v>Bayunca</v>
          </cell>
          <cell r="H4660" t="str">
            <v>pediatria</v>
          </cell>
          <cell r="J4660" t="str">
            <v>bueno</v>
          </cell>
          <cell r="K4660" t="str">
            <v>probsi</v>
          </cell>
        </row>
        <row r="4661">
          <cell r="B4661" t="b">
            <v>1</v>
          </cell>
          <cell r="E4661" t="str">
            <v>Punta Canoa</v>
          </cell>
          <cell r="H4661" t="str">
            <v>consulta_externa</v>
          </cell>
          <cell r="J4661" t="str">
            <v>bueno</v>
          </cell>
          <cell r="K4661" t="str">
            <v>defsi</v>
          </cell>
        </row>
        <row r="4662">
          <cell r="B4662" t="b">
            <v>1</v>
          </cell>
          <cell r="E4662" t="str">
            <v>Punta Canoa</v>
          </cell>
          <cell r="H4662" t="str">
            <v>laboratorio</v>
          </cell>
          <cell r="J4662" t="str">
            <v>bueno</v>
          </cell>
          <cell r="K4662" t="str">
            <v>defsi</v>
          </cell>
        </row>
        <row r="4663">
          <cell r="B4663" t="b">
            <v>1</v>
          </cell>
          <cell r="E4663" t="str">
            <v>Bayunca</v>
          </cell>
          <cell r="H4663" t="str">
            <v>pediatria</v>
          </cell>
          <cell r="J4663" t="str">
            <v>bueno</v>
          </cell>
          <cell r="K4663" t="str">
            <v>probsi</v>
          </cell>
        </row>
        <row r="4664">
          <cell r="B4664" t="b">
            <v>1</v>
          </cell>
          <cell r="E4664" t="str">
            <v>Punta Canoa</v>
          </cell>
          <cell r="H4664" t="str">
            <v>laboratorio</v>
          </cell>
          <cell r="J4664" t="str">
            <v>bueno</v>
          </cell>
          <cell r="K4664" t="str">
            <v>defsi</v>
          </cell>
        </row>
        <row r="4665">
          <cell r="B4665" t="b">
            <v>1</v>
          </cell>
          <cell r="E4665" t="str">
            <v>Punta Canoa</v>
          </cell>
          <cell r="H4665" t="str">
            <v>laboratorio</v>
          </cell>
          <cell r="J4665" t="str">
            <v>bueno</v>
          </cell>
          <cell r="K4665" t="str">
            <v>defsi</v>
          </cell>
        </row>
        <row r="4666">
          <cell r="B4666" t="b">
            <v>1</v>
          </cell>
          <cell r="E4666" t="str">
            <v>Punta Canoa</v>
          </cell>
          <cell r="H4666" t="str">
            <v>laboratorio</v>
          </cell>
          <cell r="J4666" t="str">
            <v>bueno</v>
          </cell>
          <cell r="K4666" t="str">
            <v>defsi</v>
          </cell>
        </row>
        <row r="4667">
          <cell r="B4667" t="b">
            <v>1</v>
          </cell>
          <cell r="E4667" t="str">
            <v>Boquilla</v>
          </cell>
          <cell r="H4667" t="str">
            <v>salud_oral</v>
          </cell>
          <cell r="J4667" t="str">
            <v>bueno</v>
          </cell>
          <cell r="K4667" t="str">
            <v>defsi</v>
          </cell>
        </row>
        <row r="4668">
          <cell r="B4668" t="b">
            <v>1</v>
          </cell>
          <cell r="E4668" t="str">
            <v>Baru</v>
          </cell>
          <cell r="H4668" t="str">
            <v>consulta_externa</v>
          </cell>
          <cell r="J4668" t="str">
            <v>muybueno</v>
          </cell>
          <cell r="K4668" t="str">
            <v>defsi</v>
          </cell>
        </row>
        <row r="4669">
          <cell r="B4669" t="b">
            <v>1</v>
          </cell>
          <cell r="E4669" t="str">
            <v>Baru</v>
          </cell>
          <cell r="H4669" t="str">
            <v>laboratorio</v>
          </cell>
          <cell r="J4669" t="str">
            <v>muybueno</v>
          </cell>
          <cell r="K4669" t="str">
            <v>defsi</v>
          </cell>
        </row>
        <row r="4670">
          <cell r="B4670" t="b">
            <v>1</v>
          </cell>
          <cell r="E4670" t="str">
            <v>Punta Canoa</v>
          </cell>
          <cell r="H4670" t="str">
            <v>salud_oral</v>
          </cell>
          <cell r="J4670" t="str">
            <v>bueno</v>
          </cell>
          <cell r="K4670" t="str">
            <v>defsi</v>
          </cell>
        </row>
        <row r="4671">
          <cell r="B4671" t="b">
            <v>1</v>
          </cell>
          <cell r="E4671" t="str">
            <v>Punta Canoa</v>
          </cell>
          <cell r="H4671" t="str">
            <v>salud_oral</v>
          </cell>
          <cell r="J4671" t="str">
            <v>bueno</v>
          </cell>
          <cell r="K4671" t="str">
            <v>defsi</v>
          </cell>
        </row>
        <row r="4672">
          <cell r="B4672" t="b">
            <v>1</v>
          </cell>
          <cell r="E4672" t="str">
            <v>Punta Canoa</v>
          </cell>
          <cell r="H4672" t="str">
            <v>salud_oral</v>
          </cell>
          <cell r="J4672" t="str">
            <v>bueno</v>
          </cell>
          <cell r="K4672" t="str">
            <v>defsi</v>
          </cell>
        </row>
        <row r="4673">
          <cell r="B4673" t="b">
            <v>1</v>
          </cell>
          <cell r="E4673" t="str">
            <v>Punta Canoa</v>
          </cell>
          <cell r="H4673" t="str">
            <v>salud_oral</v>
          </cell>
          <cell r="J4673" t="str">
            <v>bueno</v>
          </cell>
          <cell r="K4673" t="str">
            <v>defsi</v>
          </cell>
        </row>
        <row r="4674">
          <cell r="B4674" t="b">
            <v>1</v>
          </cell>
          <cell r="E4674" t="str">
            <v>Punta Canoa</v>
          </cell>
          <cell r="H4674" t="str">
            <v>consulta_externa</v>
          </cell>
          <cell r="J4674" t="str">
            <v>bueno</v>
          </cell>
          <cell r="K4674" t="str">
            <v>defsi</v>
          </cell>
        </row>
        <row r="4675">
          <cell r="B4675" t="b">
            <v>1</v>
          </cell>
          <cell r="E4675" t="str">
            <v>Punta Canoa</v>
          </cell>
          <cell r="H4675" t="str">
            <v>consulta_externa</v>
          </cell>
          <cell r="J4675" t="str">
            <v>bueno</v>
          </cell>
          <cell r="K4675" t="str">
            <v>defsi</v>
          </cell>
        </row>
        <row r="4676">
          <cell r="B4676" t="b">
            <v>1</v>
          </cell>
          <cell r="E4676" t="str">
            <v>Bayunca</v>
          </cell>
          <cell r="H4676" t="str">
            <v>pediatria</v>
          </cell>
          <cell r="J4676" t="str">
            <v>bueno</v>
          </cell>
          <cell r="K4676" t="str">
            <v>probsi</v>
          </cell>
        </row>
        <row r="4677">
          <cell r="B4677" t="b">
            <v>1</v>
          </cell>
          <cell r="E4677" t="str">
            <v>Bayunca</v>
          </cell>
          <cell r="H4677" t="str">
            <v>pediatria</v>
          </cell>
          <cell r="J4677" t="str">
            <v>bueno</v>
          </cell>
          <cell r="K4677" t="str">
            <v>probsi</v>
          </cell>
        </row>
        <row r="4678">
          <cell r="B4678" t="b">
            <v>1</v>
          </cell>
          <cell r="E4678" t="str">
            <v>Boquilla</v>
          </cell>
          <cell r="H4678" t="str">
            <v>salud_oral</v>
          </cell>
          <cell r="J4678" t="str">
            <v>bueno</v>
          </cell>
          <cell r="K4678" t="str">
            <v>probsi</v>
          </cell>
        </row>
        <row r="4679">
          <cell r="B4679" t="b">
            <v>1</v>
          </cell>
          <cell r="E4679" t="str">
            <v>Boquilla</v>
          </cell>
          <cell r="H4679" t="str">
            <v>consulta_externa</v>
          </cell>
          <cell r="J4679" t="str">
            <v>bueno</v>
          </cell>
          <cell r="K4679" t="str">
            <v>probsi</v>
          </cell>
        </row>
        <row r="4680">
          <cell r="B4680" t="b">
            <v>1</v>
          </cell>
          <cell r="E4680" t="str">
            <v>Libano</v>
          </cell>
          <cell r="H4680" t="str">
            <v>consulta_externa</v>
          </cell>
          <cell r="J4680" t="str">
            <v>bueno</v>
          </cell>
          <cell r="K4680" t="str">
            <v>defsi</v>
          </cell>
        </row>
        <row r="4681">
          <cell r="B4681" t="b">
            <v>1</v>
          </cell>
          <cell r="E4681" t="str">
            <v>Libano</v>
          </cell>
          <cell r="H4681" t="str">
            <v>salud_oral</v>
          </cell>
          <cell r="J4681" t="str">
            <v>bueno</v>
          </cell>
          <cell r="K4681" t="str">
            <v>defsi</v>
          </cell>
        </row>
        <row r="4682">
          <cell r="B4682" t="b">
            <v>1</v>
          </cell>
          <cell r="E4682" t="str">
            <v>Boquilla</v>
          </cell>
          <cell r="H4682" t="str">
            <v>laboratorio</v>
          </cell>
          <cell r="J4682" t="str">
            <v>bueno</v>
          </cell>
          <cell r="K4682" t="str">
            <v>probsi</v>
          </cell>
        </row>
        <row r="4683">
          <cell r="B4683" t="b">
            <v>1</v>
          </cell>
          <cell r="E4683" t="str">
            <v>Libano</v>
          </cell>
          <cell r="H4683" t="str">
            <v>laboratorio</v>
          </cell>
          <cell r="J4683" t="str">
            <v>bueno</v>
          </cell>
          <cell r="K4683" t="str">
            <v>defsi</v>
          </cell>
        </row>
        <row r="4684">
          <cell r="B4684" t="b">
            <v>1</v>
          </cell>
          <cell r="E4684" t="str">
            <v>Boquilla</v>
          </cell>
          <cell r="H4684" t="str">
            <v>consulta_externa</v>
          </cell>
          <cell r="J4684" t="str">
            <v>bueno</v>
          </cell>
          <cell r="K4684" t="str">
            <v>probsi</v>
          </cell>
        </row>
        <row r="4685">
          <cell r="B4685" t="b">
            <v>1</v>
          </cell>
          <cell r="E4685" t="str">
            <v>Libano</v>
          </cell>
          <cell r="H4685" t="str">
            <v>ecografias</v>
          </cell>
          <cell r="J4685" t="str">
            <v>bueno</v>
          </cell>
          <cell r="K4685" t="str">
            <v>defsi</v>
          </cell>
        </row>
        <row r="4686">
          <cell r="B4686" t="b">
            <v>0</v>
          </cell>
          <cell r="E4686" t="str">
            <v>Boquilla</v>
          </cell>
          <cell r="H4686" t="str">
            <v>consulta_externa</v>
          </cell>
          <cell r="J4686" t="str">
            <v>regular</v>
          </cell>
          <cell r="K4686" t="str">
            <v>probsi</v>
          </cell>
        </row>
        <row r="4687">
          <cell r="B4687" t="b">
            <v>0</v>
          </cell>
          <cell r="E4687" t="str">
            <v>Boquilla</v>
          </cell>
          <cell r="H4687" t="str">
            <v>laboratorio</v>
          </cell>
          <cell r="J4687" t="str">
            <v>regular</v>
          </cell>
          <cell r="K4687" t="str">
            <v>probsi</v>
          </cell>
        </row>
        <row r="4688">
          <cell r="B4688" t="b">
            <v>1</v>
          </cell>
          <cell r="E4688" t="str">
            <v>Bayunca</v>
          </cell>
          <cell r="H4688" t="str">
            <v>pediatria</v>
          </cell>
          <cell r="J4688" t="str">
            <v>bueno</v>
          </cell>
          <cell r="K4688" t="str">
            <v>probsi</v>
          </cell>
        </row>
        <row r="4689">
          <cell r="B4689" t="b">
            <v>1</v>
          </cell>
          <cell r="E4689" t="str">
            <v>Libano</v>
          </cell>
          <cell r="H4689" t="str">
            <v>ginecologia</v>
          </cell>
          <cell r="J4689" t="str">
            <v>bueno</v>
          </cell>
          <cell r="K4689" t="str">
            <v>defsi</v>
          </cell>
        </row>
        <row r="4690">
          <cell r="B4690" t="b">
            <v>1</v>
          </cell>
          <cell r="E4690" t="str">
            <v>Libano</v>
          </cell>
          <cell r="H4690" t="str">
            <v>pediatria</v>
          </cell>
          <cell r="J4690" t="str">
            <v>bueno</v>
          </cell>
          <cell r="K4690" t="str">
            <v>defsi</v>
          </cell>
        </row>
        <row r="4691">
          <cell r="B4691" t="b">
            <v>1</v>
          </cell>
          <cell r="E4691" t="str">
            <v>Baru</v>
          </cell>
          <cell r="H4691" t="str">
            <v>consulta_externa</v>
          </cell>
          <cell r="J4691" t="str">
            <v>muybueno</v>
          </cell>
          <cell r="K4691" t="str">
            <v>defsi</v>
          </cell>
        </row>
        <row r="4692">
          <cell r="B4692" t="b">
            <v>1</v>
          </cell>
          <cell r="E4692" t="str">
            <v>Baru</v>
          </cell>
          <cell r="H4692" t="str">
            <v>laboratorio</v>
          </cell>
          <cell r="J4692" t="str">
            <v>muybueno</v>
          </cell>
          <cell r="K4692" t="str">
            <v>defsi</v>
          </cell>
        </row>
        <row r="4693">
          <cell r="B4693" t="b">
            <v>1</v>
          </cell>
          <cell r="E4693" t="str">
            <v>Boquilla</v>
          </cell>
          <cell r="H4693" t="str">
            <v>salud_oral</v>
          </cell>
          <cell r="J4693" t="str">
            <v>bueno</v>
          </cell>
          <cell r="K4693" t="str">
            <v>probsi</v>
          </cell>
        </row>
        <row r="4694">
          <cell r="B4694" t="b">
            <v>1</v>
          </cell>
          <cell r="E4694" t="str">
            <v>Libano</v>
          </cell>
          <cell r="H4694" t="str">
            <v>consulta_externa</v>
          </cell>
          <cell r="J4694" t="str">
            <v>bueno</v>
          </cell>
          <cell r="K4694" t="str">
            <v>defsi</v>
          </cell>
        </row>
        <row r="4695">
          <cell r="B4695" t="b">
            <v>1</v>
          </cell>
          <cell r="E4695" t="str">
            <v>Libano</v>
          </cell>
          <cell r="H4695" t="str">
            <v>salud_oral</v>
          </cell>
          <cell r="J4695" t="str">
            <v>bueno</v>
          </cell>
          <cell r="K4695" t="str">
            <v>defsi</v>
          </cell>
        </row>
        <row r="4696">
          <cell r="B4696" t="b">
            <v>1</v>
          </cell>
          <cell r="E4696" t="str">
            <v>Libano</v>
          </cell>
          <cell r="H4696" t="str">
            <v>laboratorio</v>
          </cell>
          <cell r="J4696" t="str">
            <v>bueno</v>
          </cell>
          <cell r="K4696" t="str">
            <v>defsi</v>
          </cell>
        </row>
        <row r="4697">
          <cell r="B4697" t="b">
            <v>1</v>
          </cell>
          <cell r="E4697" t="str">
            <v>Libano</v>
          </cell>
          <cell r="H4697" t="str">
            <v>ecografias</v>
          </cell>
          <cell r="J4697" t="str">
            <v>bueno</v>
          </cell>
          <cell r="K4697" t="str">
            <v>defsi</v>
          </cell>
        </row>
        <row r="4698">
          <cell r="B4698" t="b">
            <v>1</v>
          </cell>
          <cell r="E4698" t="str">
            <v>Libano</v>
          </cell>
          <cell r="H4698" t="str">
            <v>ginecologia</v>
          </cell>
          <cell r="J4698" t="str">
            <v>bueno</v>
          </cell>
          <cell r="K4698" t="str">
            <v>defsi</v>
          </cell>
        </row>
        <row r="4699">
          <cell r="B4699" t="b">
            <v>1</v>
          </cell>
          <cell r="E4699" t="str">
            <v>Libano</v>
          </cell>
          <cell r="H4699" t="str">
            <v>pediatria</v>
          </cell>
          <cell r="J4699" t="str">
            <v>bueno</v>
          </cell>
          <cell r="K4699" t="str">
            <v>defsi</v>
          </cell>
        </row>
        <row r="4700">
          <cell r="B4700" t="b">
            <v>1</v>
          </cell>
          <cell r="E4700" t="str">
            <v>Libano</v>
          </cell>
          <cell r="H4700" t="str">
            <v>consulta_externa</v>
          </cell>
          <cell r="J4700" t="str">
            <v>bueno</v>
          </cell>
          <cell r="K4700" t="str">
            <v>defsi</v>
          </cell>
        </row>
        <row r="4701">
          <cell r="B4701" t="b">
            <v>1</v>
          </cell>
          <cell r="E4701" t="str">
            <v>Baru</v>
          </cell>
          <cell r="H4701" t="str">
            <v>consulta_externa</v>
          </cell>
          <cell r="J4701" t="str">
            <v>muybueno</v>
          </cell>
          <cell r="K4701" t="str">
            <v>defsi</v>
          </cell>
        </row>
        <row r="4702">
          <cell r="B4702" t="b">
            <v>1</v>
          </cell>
          <cell r="E4702" t="str">
            <v>Boquilla</v>
          </cell>
          <cell r="H4702" t="str">
            <v>salud_oral</v>
          </cell>
          <cell r="J4702" t="str">
            <v>bueno</v>
          </cell>
          <cell r="K4702" t="str">
            <v>probsi</v>
          </cell>
        </row>
        <row r="4703">
          <cell r="B4703" t="b">
            <v>1</v>
          </cell>
          <cell r="E4703" t="str">
            <v>Boquilla</v>
          </cell>
          <cell r="H4703" t="str">
            <v>laboratorio</v>
          </cell>
          <cell r="J4703" t="str">
            <v>bueno</v>
          </cell>
          <cell r="K4703" t="str">
            <v>probsi</v>
          </cell>
        </row>
        <row r="4704">
          <cell r="B4704" t="b">
            <v>1</v>
          </cell>
          <cell r="E4704" t="str">
            <v>Libano</v>
          </cell>
          <cell r="H4704" t="str">
            <v>salud_oral</v>
          </cell>
          <cell r="J4704" t="str">
            <v>bueno</v>
          </cell>
          <cell r="K4704" t="str">
            <v>defsi</v>
          </cell>
        </row>
        <row r="4705">
          <cell r="B4705" t="b">
            <v>1</v>
          </cell>
          <cell r="E4705" t="str">
            <v>Boquilla</v>
          </cell>
          <cell r="H4705" t="str">
            <v>urgencia</v>
          </cell>
          <cell r="J4705" t="str">
            <v>bueno</v>
          </cell>
          <cell r="K4705" t="str">
            <v>probsi</v>
          </cell>
        </row>
        <row r="4706">
          <cell r="B4706" t="b">
            <v>1</v>
          </cell>
          <cell r="E4706" t="str">
            <v>Libano</v>
          </cell>
          <cell r="H4706" t="str">
            <v>laboratorio</v>
          </cell>
          <cell r="J4706" t="str">
            <v>bueno</v>
          </cell>
          <cell r="K4706" t="str">
            <v>defsi</v>
          </cell>
        </row>
        <row r="4707">
          <cell r="B4707" t="b">
            <v>1</v>
          </cell>
          <cell r="E4707" t="str">
            <v>Libano</v>
          </cell>
          <cell r="H4707" t="str">
            <v>ecografias</v>
          </cell>
          <cell r="J4707" t="str">
            <v>bueno</v>
          </cell>
          <cell r="K4707" t="str">
            <v>defsi</v>
          </cell>
        </row>
        <row r="4708">
          <cell r="B4708" t="b">
            <v>1</v>
          </cell>
          <cell r="E4708" t="str">
            <v>Libano</v>
          </cell>
          <cell r="H4708" t="str">
            <v>ginecologia</v>
          </cell>
          <cell r="J4708" t="str">
            <v>bueno</v>
          </cell>
          <cell r="K4708" t="str">
            <v>defsi</v>
          </cell>
        </row>
        <row r="4709">
          <cell r="B4709" t="b">
            <v>1</v>
          </cell>
          <cell r="E4709" t="str">
            <v>Libano</v>
          </cell>
          <cell r="H4709" t="str">
            <v>pediatria</v>
          </cell>
          <cell r="J4709" t="str">
            <v>bueno</v>
          </cell>
          <cell r="K4709" t="str">
            <v>defsi</v>
          </cell>
        </row>
        <row r="4710">
          <cell r="B4710" t="b">
            <v>1</v>
          </cell>
          <cell r="E4710" t="str">
            <v>Baru</v>
          </cell>
          <cell r="H4710" t="str">
            <v>laboratorio</v>
          </cell>
          <cell r="J4710" t="str">
            <v>muybueno</v>
          </cell>
          <cell r="K4710" t="str">
            <v>defsi</v>
          </cell>
        </row>
        <row r="4711">
          <cell r="B4711" t="b">
            <v>0</v>
          </cell>
          <cell r="E4711" t="str">
            <v>Boquilla</v>
          </cell>
          <cell r="H4711" t="str">
            <v>urgencia</v>
          </cell>
          <cell r="J4711" t="str">
            <v>regular</v>
          </cell>
          <cell r="K4711" t="str">
            <v>probsi</v>
          </cell>
        </row>
        <row r="4712">
          <cell r="B4712" t="b">
            <v>1</v>
          </cell>
          <cell r="E4712" t="str">
            <v>Boquilla</v>
          </cell>
          <cell r="H4712" t="str">
            <v>urgencia</v>
          </cell>
          <cell r="J4712" t="str">
            <v>bueno</v>
          </cell>
          <cell r="K4712" t="str">
            <v>probsi</v>
          </cell>
        </row>
        <row r="4713">
          <cell r="B4713" t="b">
            <v>1</v>
          </cell>
          <cell r="E4713" t="str">
            <v>Boquilla</v>
          </cell>
          <cell r="H4713" t="str">
            <v>urgencia</v>
          </cell>
          <cell r="J4713" t="str">
            <v>bueno</v>
          </cell>
          <cell r="K4713" t="str">
            <v>probsi</v>
          </cell>
        </row>
        <row r="4714">
          <cell r="B4714" t="b">
            <v>1</v>
          </cell>
          <cell r="E4714" t="str">
            <v>Boquilla</v>
          </cell>
          <cell r="H4714" t="str">
            <v>urgencia</v>
          </cell>
          <cell r="J4714" t="str">
            <v>bueno</v>
          </cell>
          <cell r="K4714" t="str">
            <v>probsi</v>
          </cell>
        </row>
        <row r="4715">
          <cell r="B4715" t="b">
            <v>1</v>
          </cell>
          <cell r="E4715" t="str">
            <v>Boquilla</v>
          </cell>
          <cell r="H4715" t="str">
            <v>laboratorio</v>
          </cell>
          <cell r="J4715" t="str">
            <v>bueno</v>
          </cell>
          <cell r="K4715" t="str">
            <v>probsi</v>
          </cell>
        </row>
        <row r="4716">
          <cell r="B4716" t="b">
            <v>1</v>
          </cell>
          <cell r="E4716" t="str">
            <v>Boquilla</v>
          </cell>
          <cell r="H4716" t="str">
            <v>laboratorio</v>
          </cell>
          <cell r="J4716" t="str">
            <v>bueno</v>
          </cell>
          <cell r="K4716" t="str">
            <v>probsi</v>
          </cell>
        </row>
        <row r="4717">
          <cell r="B4717" t="b">
            <v>1</v>
          </cell>
          <cell r="E4717" t="str">
            <v>Punta Canoa</v>
          </cell>
          <cell r="H4717" t="str">
            <v>consulta_externa</v>
          </cell>
          <cell r="J4717" t="str">
            <v>bueno</v>
          </cell>
          <cell r="K4717" t="str">
            <v>defsi</v>
          </cell>
        </row>
        <row r="4718">
          <cell r="B4718" t="b">
            <v>1</v>
          </cell>
          <cell r="E4718" t="str">
            <v>Boquilla</v>
          </cell>
          <cell r="H4718" t="str">
            <v>laboratorio</v>
          </cell>
          <cell r="J4718" t="str">
            <v>bueno</v>
          </cell>
          <cell r="K4718" t="str">
            <v>probsi</v>
          </cell>
        </row>
        <row r="4719">
          <cell r="B4719" t="b">
            <v>1</v>
          </cell>
          <cell r="E4719" t="str">
            <v>Punta Canoa</v>
          </cell>
          <cell r="H4719" t="str">
            <v>laboratorio</v>
          </cell>
          <cell r="J4719" t="str">
            <v>bueno</v>
          </cell>
          <cell r="K4719" t="str">
            <v>defsi</v>
          </cell>
        </row>
        <row r="4720">
          <cell r="B4720" t="b">
            <v>1</v>
          </cell>
          <cell r="E4720" t="str">
            <v>Boquilla</v>
          </cell>
          <cell r="H4720" t="str">
            <v>laboratorio</v>
          </cell>
          <cell r="J4720" t="str">
            <v>bueno</v>
          </cell>
          <cell r="K4720" t="str">
            <v>probsi</v>
          </cell>
        </row>
        <row r="4721">
          <cell r="B4721" t="b">
            <v>1</v>
          </cell>
          <cell r="E4721" t="str">
            <v>Punta Canoa</v>
          </cell>
          <cell r="H4721" t="str">
            <v>laboratorio</v>
          </cell>
          <cell r="J4721" t="str">
            <v>bueno</v>
          </cell>
          <cell r="K4721" t="str">
            <v>defsi</v>
          </cell>
        </row>
        <row r="4722">
          <cell r="B4722" t="b">
            <v>1</v>
          </cell>
          <cell r="E4722" t="str">
            <v>Punta Canoa</v>
          </cell>
          <cell r="H4722" t="str">
            <v>consulta_externa</v>
          </cell>
          <cell r="J4722" t="str">
            <v>bueno</v>
          </cell>
          <cell r="K4722" t="str">
            <v>defsi</v>
          </cell>
        </row>
        <row r="4723">
          <cell r="B4723" t="b">
            <v>1</v>
          </cell>
          <cell r="E4723" t="str">
            <v>Punta Canoa</v>
          </cell>
          <cell r="H4723" t="str">
            <v>salud_oral</v>
          </cell>
          <cell r="J4723" t="str">
            <v>bueno</v>
          </cell>
          <cell r="K4723" t="str">
            <v>defsi</v>
          </cell>
        </row>
        <row r="4724">
          <cell r="B4724" t="b">
            <v>1</v>
          </cell>
          <cell r="E4724" t="str">
            <v>Punta Canoa</v>
          </cell>
          <cell r="H4724" t="str">
            <v>salud_oral</v>
          </cell>
          <cell r="J4724" t="str">
            <v>bueno</v>
          </cell>
          <cell r="K4724" t="str">
            <v>defsi</v>
          </cell>
        </row>
        <row r="4725">
          <cell r="B4725" t="b">
            <v>1</v>
          </cell>
          <cell r="E4725" t="str">
            <v>Punta Canoa</v>
          </cell>
          <cell r="H4725" t="str">
            <v>consulta_externa</v>
          </cell>
          <cell r="J4725" t="str">
            <v>bueno</v>
          </cell>
          <cell r="K4725" t="str">
            <v>defsi</v>
          </cell>
        </row>
        <row r="4726">
          <cell r="B4726" t="b">
            <v>1</v>
          </cell>
          <cell r="E4726" t="str">
            <v>Punta Canoa</v>
          </cell>
          <cell r="H4726" t="str">
            <v>consulta_externa</v>
          </cell>
          <cell r="J4726" t="str">
            <v>bueno</v>
          </cell>
          <cell r="K4726" t="str">
            <v>defsi</v>
          </cell>
        </row>
        <row r="4727">
          <cell r="B4727" t="b">
            <v>1</v>
          </cell>
          <cell r="E4727" t="str">
            <v>Boquilla</v>
          </cell>
          <cell r="H4727" t="str">
            <v>laboratorio</v>
          </cell>
          <cell r="J4727" t="str">
            <v>bueno</v>
          </cell>
          <cell r="K4727" t="str">
            <v>probsi</v>
          </cell>
        </row>
        <row r="4728">
          <cell r="B4728" t="b">
            <v>1</v>
          </cell>
          <cell r="E4728" t="str">
            <v>Boquilla</v>
          </cell>
          <cell r="H4728" t="str">
            <v>laboratorio</v>
          </cell>
          <cell r="J4728" t="str">
            <v>bueno</v>
          </cell>
          <cell r="K4728" t="str">
            <v>probsi</v>
          </cell>
        </row>
        <row r="4729">
          <cell r="B4729" t="b">
            <v>1</v>
          </cell>
          <cell r="E4729" t="str">
            <v>Boquilla</v>
          </cell>
          <cell r="H4729" t="str">
            <v>laboratorio</v>
          </cell>
          <cell r="J4729" t="str">
            <v>bueno</v>
          </cell>
          <cell r="K4729" t="str">
            <v>probsi</v>
          </cell>
        </row>
        <row r="4730">
          <cell r="B4730" t="b">
            <v>1</v>
          </cell>
          <cell r="E4730" t="str">
            <v>Boquilla</v>
          </cell>
          <cell r="H4730" t="str">
            <v>laboratorio</v>
          </cell>
          <cell r="J4730" t="str">
            <v>bueno</v>
          </cell>
          <cell r="K4730" t="str">
            <v>probsi</v>
          </cell>
        </row>
        <row r="4731">
          <cell r="B4731" t="b">
            <v>1</v>
          </cell>
          <cell r="E4731" t="str">
            <v>Boquilla</v>
          </cell>
          <cell r="H4731" t="str">
            <v>laboratorio</v>
          </cell>
          <cell r="J4731" t="str">
            <v>bueno</v>
          </cell>
          <cell r="K4731" t="str">
            <v>probsi</v>
          </cell>
        </row>
        <row r="4732">
          <cell r="B4732" t="b">
            <v>1</v>
          </cell>
          <cell r="E4732" t="str">
            <v>Boquilla</v>
          </cell>
          <cell r="H4732" t="str">
            <v>laboratorio</v>
          </cell>
          <cell r="J4732" t="str">
            <v>bueno</v>
          </cell>
          <cell r="K4732" t="str">
            <v>probsi</v>
          </cell>
        </row>
        <row r="4733">
          <cell r="B4733" t="b">
            <v>1</v>
          </cell>
          <cell r="E4733" t="str">
            <v>Punta Canoa</v>
          </cell>
          <cell r="H4733" t="str">
            <v>laboratorio</v>
          </cell>
          <cell r="J4733" t="str">
            <v>bueno</v>
          </cell>
          <cell r="K4733" t="str">
            <v>defsi</v>
          </cell>
        </row>
        <row r="4734">
          <cell r="B4734" t="b">
            <v>1</v>
          </cell>
          <cell r="E4734" t="str">
            <v>Punta Canoa</v>
          </cell>
          <cell r="H4734" t="str">
            <v>laboratorio</v>
          </cell>
          <cell r="J4734" t="str">
            <v>bueno</v>
          </cell>
          <cell r="K4734" t="str">
            <v>defsi</v>
          </cell>
        </row>
        <row r="4735">
          <cell r="B4735" t="b">
            <v>1</v>
          </cell>
          <cell r="E4735" t="str">
            <v>Punta Canoa</v>
          </cell>
          <cell r="H4735" t="str">
            <v>laboratorio</v>
          </cell>
          <cell r="J4735" t="str">
            <v>bueno</v>
          </cell>
          <cell r="K4735" t="str">
            <v>defsi</v>
          </cell>
        </row>
        <row r="4736">
          <cell r="B4736" t="b">
            <v>1</v>
          </cell>
          <cell r="E4736" t="str">
            <v>Punta Canoa</v>
          </cell>
          <cell r="H4736" t="str">
            <v>salud_oral</v>
          </cell>
          <cell r="J4736" t="str">
            <v>muybueno</v>
          </cell>
          <cell r="K4736" t="str">
            <v>defsi</v>
          </cell>
        </row>
        <row r="4737">
          <cell r="B4737" t="b">
            <v>1</v>
          </cell>
          <cell r="E4737" t="str">
            <v>Punta Canoa</v>
          </cell>
          <cell r="H4737" t="str">
            <v>consulta_externa</v>
          </cell>
          <cell r="J4737" t="str">
            <v>muybueno</v>
          </cell>
          <cell r="K4737" t="str">
            <v>defsi</v>
          </cell>
        </row>
        <row r="4738">
          <cell r="B4738" t="b">
            <v>1</v>
          </cell>
          <cell r="E4738" t="str">
            <v>Punta Canoa</v>
          </cell>
          <cell r="H4738" t="str">
            <v>consulta_externa</v>
          </cell>
          <cell r="J4738" t="str">
            <v>muybueno</v>
          </cell>
          <cell r="K4738" t="str">
            <v>defsi</v>
          </cell>
        </row>
        <row r="4739">
          <cell r="B4739" t="b">
            <v>1</v>
          </cell>
          <cell r="E4739" t="str">
            <v>Punta Canoa</v>
          </cell>
          <cell r="H4739" t="str">
            <v>laboratorio</v>
          </cell>
          <cell r="J4739" t="str">
            <v>muybueno</v>
          </cell>
          <cell r="K4739" t="str">
            <v>defsi</v>
          </cell>
        </row>
        <row r="4740">
          <cell r="B4740" t="b">
            <v>1</v>
          </cell>
          <cell r="E4740" t="str">
            <v>Libano</v>
          </cell>
          <cell r="H4740" t="str">
            <v>consulta_externa</v>
          </cell>
          <cell r="J4740" t="str">
            <v>bueno</v>
          </cell>
          <cell r="K4740" t="str">
            <v>defsi</v>
          </cell>
        </row>
        <row r="4741">
          <cell r="B4741" t="b">
            <v>1</v>
          </cell>
          <cell r="E4741" t="str">
            <v>Libano</v>
          </cell>
          <cell r="H4741" t="str">
            <v>salud_oral</v>
          </cell>
          <cell r="J4741" t="str">
            <v>bueno</v>
          </cell>
          <cell r="K4741" t="str">
            <v>defsi</v>
          </cell>
        </row>
        <row r="4742">
          <cell r="B4742" t="b">
            <v>1</v>
          </cell>
          <cell r="E4742" t="str">
            <v>Libano</v>
          </cell>
          <cell r="H4742" t="str">
            <v>laboratorio</v>
          </cell>
          <cell r="J4742" t="str">
            <v>bueno</v>
          </cell>
          <cell r="K4742" t="str">
            <v>defsi</v>
          </cell>
        </row>
        <row r="4743">
          <cell r="B4743" t="b">
            <v>1</v>
          </cell>
          <cell r="E4743" t="str">
            <v>Libano</v>
          </cell>
          <cell r="H4743" t="str">
            <v>laboratorio</v>
          </cell>
          <cell r="J4743" t="str">
            <v>bueno</v>
          </cell>
          <cell r="K4743" t="str">
            <v>defsi</v>
          </cell>
        </row>
        <row r="4744">
          <cell r="B4744" t="b">
            <v>1</v>
          </cell>
          <cell r="E4744" t="str">
            <v>Libano</v>
          </cell>
          <cell r="H4744" t="str">
            <v>ecografias</v>
          </cell>
          <cell r="J4744" t="str">
            <v>bueno</v>
          </cell>
          <cell r="K4744" t="str">
            <v>defsi</v>
          </cell>
        </row>
        <row r="4745">
          <cell r="B4745" t="b">
            <v>1</v>
          </cell>
          <cell r="E4745" t="str">
            <v>Libano</v>
          </cell>
          <cell r="H4745" t="str">
            <v>ginecologia</v>
          </cell>
          <cell r="J4745" t="str">
            <v>bueno</v>
          </cell>
          <cell r="K4745" t="str">
            <v>defsi</v>
          </cell>
        </row>
        <row r="4746">
          <cell r="B4746" t="b">
            <v>1</v>
          </cell>
          <cell r="E4746" t="str">
            <v>Libano</v>
          </cell>
          <cell r="H4746" t="str">
            <v>pediatria</v>
          </cell>
          <cell r="J4746" t="str">
            <v>bueno</v>
          </cell>
          <cell r="K4746" t="str">
            <v>defsi</v>
          </cell>
        </row>
        <row r="4747">
          <cell r="B4747" t="b">
            <v>1</v>
          </cell>
          <cell r="E4747" t="str">
            <v>Libano</v>
          </cell>
          <cell r="H4747" t="str">
            <v>consulta_externa</v>
          </cell>
          <cell r="J4747" t="str">
            <v>bueno</v>
          </cell>
          <cell r="K4747" t="str">
            <v>defsi</v>
          </cell>
        </row>
        <row r="4748">
          <cell r="B4748" t="b">
            <v>1</v>
          </cell>
          <cell r="E4748" t="str">
            <v>Libano</v>
          </cell>
          <cell r="H4748" t="str">
            <v>salud_oral</v>
          </cell>
          <cell r="J4748" t="str">
            <v>bueno</v>
          </cell>
          <cell r="K4748" t="str">
            <v>defsi</v>
          </cell>
        </row>
        <row r="4749">
          <cell r="B4749" t="b">
            <v>1</v>
          </cell>
          <cell r="E4749" t="str">
            <v>Libano</v>
          </cell>
          <cell r="H4749" t="str">
            <v>ecografias</v>
          </cell>
          <cell r="J4749" t="str">
            <v>bueno</v>
          </cell>
          <cell r="K4749" t="str">
            <v>defsi</v>
          </cell>
        </row>
        <row r="4750">
          <cell r="B4750" t="b">
            <v>1</v>
          </cell>
          <cell r="E4750" t="str">
            <v>Libano</v>
          </cell>
          <cell r="H4750" t="str">
            <v>ginecologia</v>
          </cell>
          <cell r="J4750" t="str">
            <v>bueno</v>
          </cell>
          <cell r="K4750" t="str">
            <v>defsi</v>
          </cell>
        </row>
        <row r="4751">
          <cell r="B4751" t="b">
            <v>1</v>
          </cell>
          <cell r="E4751" t="str">
            <v>Libano</v>
          </cell>
          <cell r="H4751" t="str">
            <v>ginecologia</v>
          </cell>
          <cell r="J4751" t="str">
            <v>bueno</v>
          </cell>
          <cell r="K4751" t="str">
            <v>defsi</v>
          </cell>
        </row>
        <row r="4752">
          <cell r="B4752" t="b">
            <v>1</v>
          </cell>
          <cell r="E4752" t="str">
            <v>Libano</v>
          </cell>
          <cell r="H4752" t="str">
            <v>pediatria</v>
          </cell>
          <cell r="J4752" t="str">
            <v>bueno</v>
          </cell>
          <cell r="K4752" t="str">
            <v>defsi</v>
          </cell>
        </row>
        <row r="4753">
          <cell r="B4753" t="b">
            <v>1</v>
          </cell>
          <cell r="E4753" t="str">
            <v>Libano</v>
          </cell>
          <cell r="H4753" t="str">
            <v>consulta_externa</v>
          </cell>
          <cell r="J4753" t="str">
            <v>bueno</v>
          </cell>
          <cell r="K4753" t="str">
            <v>defsi</v>
          </cell>
        </row>
        <row r="4754">
          <cell r="B4754" t="b">
            <v>1</v>
          </cell>
          <cell r="E4754" t="str">
            <v>Libano</v>
          </cell>
          <cell r="H4754" t="str">
            <v>salud_oral</v>
          </cell>
          <cell r="J4754" t="str">
            <v>bueno</v>
          </cell>
          <cell r="K4754" t="str">
            <v>defsi</v>
          </cell>
        </row>
        <row r="4755">
          <cell r="B4755" t="b">
            <v>1</v>
          </cell>
          <cell r="E4755" t="str">
            <v>Libano</v>
          </cell>
          <cell r="H4755" t="str">
            <v>laboratorio</v>
          </cell>
          <cell r="J4755" t="str">
            <v>bueno</v>
          </cell>
          <cell r="K4755" t="str">
            <v>defsi</v>
          </cell>
        </row>
        <row r="4756">
          <cell r="B4756" t="b">
            <v>1</v>
          </cell>
          <cell r="E4756" t="str">
            <v>Libano</v>
          </cell>
          <cell r="H4756" t="str">
            <v>ecografias</v>
          </cell>
          <cell r="J4756" t="str">
            <v>bueno</v>
          </cell>
          <cell r="K4756" t="str">
            <v>defsi</v>
          </cell>
        </row>
        <row r="4757">
          <cell r="B4757" t="b">
            <v>1</v>
          </cell>
          <cell r="E4757" t="str">
            <v>Libano</v>
          </cell>
          <cell r="H4757" t="str">
            <v>pediatria</v>
          </cell>
          <cell r="J4757" t="str">
            <v>bueno</v>
          </cell>
          <cell r="K4757" t="str">
            <v>defsi</v>
          </cell>
        </row>
        <row r="4758">
          <cell r="B4758" t="b">
            <v>1</v>
          </cell>
          <cell r="E4758" t="str">
            <v>Libano</v>
          </cell>
          <cell r="H4758" t="str">
            <v>consulta_externa</v>
          </cell>
          <cell r="J4758" t="str">
            <v>bueno</v>
          </cell>
          <cell r="K4758" t="str">
            <v>defsi</v>
          </cell>
        </row>
        <row r="4759">
          <cell r="B4759" t="b">
            <v>1</v>
          </cell>
          <cell r="E4759" t="str">
            <v>Boquilla</v>
          </cell>
          <cell r="H4759" t="str">
            <v>salud_oral</v>
          </cell>
          <cell r="J4759" t="str">
            <v>bueno</v>
          </cell>
          <cell r="K4759" t="str">
            <v>defsi</v>
          </cell>
        </row>
        <row r="4760">
          <cell r="B4760" t="b">
            <v>1</v>
          </cell>
          <cell r="E4760" t="str">
            <v>Libano</v>
          </cell>
          <cell r="H4760" t="str">
            <v>salud_oral</v>
          </cell>
          <cell r="J4760" t="str">
            <v>bueno</v>
          </cell>
          <cell r="K4760" t="str">
            <v>defsi</v>
          </cell>
        </row>
        <row r="4761">
          <cell r="B4761" t="b">
            <v>1</v>
          </cell>
          <cell r="E4761" t="str">
            <v>Libano</v>
          </cell>
          <cell r="H4761" t="str">
            <v>laboratorio</v>
          </cell>
          <cell r="J4761" t="str">
            <v>bueno</v>
          </cell>
          <cell r="K4761" t="str">
            <v>defsi</v>
          </cell>
        </row>
        <row r="4762">
          <cell r="B4762" t="b">
            <v>1</v>
          </cell>
          <cell r="E4762" t="str">
            <v>Libano</v>
          </cell>
          <cell r="H4762" t="str">
            <v>ecografias</v>
          </cell>
          <cell r="J4762" t="str">
            <v>bueno</v>
          </cell>
          <cell r="K4762" t="str">
            <v>defsi</v>
          </cell>
        </row>
        <row r="4763">
          <cell r="B4763" t="b">
            <v>1</v>
          </cell>
          <cell r="E4763" t="str">
            <v>Libano</v>
          </cell>
          <cell r="H4763" t="str">
            <v>pediatria</v>
          </cell>
          <cell r="J4763" t="str">
            <v>bueno</v>
          </cell>
          <cell r="K4763" t="str">
            <v>defsi</v>
          </cell>
        </row>
        <row r="4764">
          <cell r="B4764" t="b">
            <v>1</v>
          </cell>
          <cell r="E4764" t="str">
            <v>Libano</v>
          </cell>
          <cell r="H4764" t="str">
            <v>consulta_externa</v>
          </cell>
          <cell r="J4764" t="str">
            <v>bueno</v>
          </cell>
          <cell r="K4764" t="str">
            <v>defsi</v>
          </cell>
        </row>
        <row r="4765">
          <cell r="B4765" t="b">
            <v>1</v>
          </cell>
          <cell r="E4765" t="str">
            <v>Libano</v>
          </cell>
          <cell r="H4765" t="str">
            <v>salud_oral</v>
          </cell>
          <cell r="J4765" t="str">
            <v>bueno</v>
          </cell>
          <cell r="K4765" t="str">
            <v>defsi</v>
          </cell>
        </row>
        <row r="4766">
          <cell r="B4766" t="b">
            <v>1</v>
          </cell>
          <cell r="E4766" t="str">
            <v>Libano</v>
          </cell>
          <cell r="H4766" t="str">
            <v>salud_oral</v>
          </cell>
          <cell r="J4766" t="str">
            <v>bueno</v>
          </cell>
          <cell r="K4766" t="str">
            <v>defsi</v>
          </cell>
        </row>
        <row r="4767">
          <cell r="B4767" t="b">
            <v>1</v>
          </cell>
          <cell r="E4767" t="str">
            <v>Libano</v>
          </cell>
          <cell r="H4767" t="str">
            <v>laboratorio</v>
          </cell>
          <cell r="J4767" t="str">
            <v>bueno</v>
          </cell>
          <cell r="K4767" t="str">
            <v>defsi</v>
          </cell>
        </row>
        <row r="4768">
          <cell r="B4768" t="b">
            <v>1</v>
          </cell>
          <cell r="E4768" t="str">
            <v>Boquilla</v>
          </cell>
          <cell r="H4768" t="str">
            <v>salud_oral</v>
          </cell>
          <cell r="J4768" t="str">
            <v>bueno</v>
          </cell>
          <cell r="K4768" t="str">
            <v>probsi</v>
          </cell>
        </row>
        <row r="4769">
          <cell r="B4769" t="b">
            <v>1</v>
          </cell>
          <cell r="E4769" t="str">
            <v>Baru</v>
          </cell>
          <cell r="H4769" t="str">
            <v>consulta_externa</v>
          </cell>
          <cell r="J4769" t="str">
            <v>muybueno</v>
          </cell>
          <cell r="K4769" t="str">
            <v>defsi</v>
          </cell>
        </row>
        <row r="4770">
          <cell r="B4770" t="b">
            <v>1</v>
          </cell>
          <cell r="E4770" t="str">
            <v>Baru</v>
          </cell>
          <cell r="H4770" t="str">
            <v>laboratorio</v>
          </cell>
          <cell r="J4770" t="str">
            <v>muybueno</v>
          </cell>
          <cell r="K4770" t="str">
            <v>defsi</v>
          </cell>
        </row>
        <row r="4771">
          <cell r="B4771" t="b">
            <v>1</v>
          </cell>
          <cell r="E4771" t="str">
            <v>Baru</v>
          </cell>
          <cell r="H4771" t="str">
            <v>consulta_externa</v>
          </cell>
          <cell r="J4771" t="str">
            <v>muybueno</v>
          </cell>
          <cell r="K4771" t="str">
            <v>defsi</v>
          </cell>
        </row>
        <row r="4772">
          <cell r="B4772" t="b">
            <v>1</v>
          </cell>
          <cell r="E4772" t="str">
            <v>Baru</v>
          </cell>
          <cell r="H4772" t="str">
            <v>salud_oral</v>
          </cell>
          <cell r="J4772" t="str">
            <v>muybueno</v>
          </cell>
          <cell r="K4772" t="str">
            <v>defsi</v>
          </cell>
        </row>
        <row r="4773">
          <cell r="B4773" t="b">
            <v>1</v>
          </cell>
          <cell r="E4773" t="str">
            <v>Boquilla</v>
          </cell>
          <cell r="H4773" t="str">
            <v>salud_oral</v>
          </cell>
          <cell r="J4773" t="str">
            <v>bueno</v>
          </cell>
          <cell r="K4773" t="str">
            <v>defsi</v>
          </cell>
        </row>
        <row r="4774">
          <cell r="B4774" t="b">
            <v>1</v>
          </cell>
          <cell r="E4774" t="str">
            <v>Boquilla</v>
          </cell>
          <cell r="H4774" t="str">
            <v>salud_oral</v>
          </cell>
          <cell r="J4774" t="str">
            <v>bueno</v>
          </cell>
          <cell r="K4774" t="str">
            <v>defsi</v>
          </cell>
        </row>
        <row r="4775">
          <cell r="B4775" t="b">
            <v>1</v>
          </cell>
          <cell r="E4775" t="str">
            <v>Boquilla</v>
          </cell>
          <cell r="H4775" t="str">
            <v>salud_oral</v>
          </cell>
          <cell r="J4775" t="str">
            <v>bueno</v>
          </cell>
          <cell r="K4775" t="str">
            <v>defsi</v>
          </cell>
        </row>
        <row r="4776">
          <cell r="B4776" t="b">
            <v>1</v>
          </cell>
          <cell r="E4776" t="str">
            <v>Libano</v>
          </cell>
          <cell r="H4776" t="str">
            <v>consulta_externa</v>
          </cell>
          <cell r="J4776" t="str">
            <v>bueno</v>
          </cell>
          <cell r="K4776" t="str">
            <v>defsi</v>
          </cell>
        </row>
        <row r="4777">
          <cell r="B4777" t="b">
            <v>0</v>
          </cell>
          <cell r="E4777" t="str">
            <v>Boquilla</v>
          </cell>
          <cell r="H4777" t="str">
            <v>urgencia</v>
          </cell>
          <cell r="J4777" t="str">
            <v>regular</v>
          </cell>
          <cell r="K4777" t="str">
            <v>probsi</v>
          </cell>
        </row>
        <row r="4778">
          <cell r="B4778" t="b">
            <v>1</v>
          </cell>
          <cell r="E4778" t="str">
            <v>Libano</v>
          </cell>
          <cell r="H4778" t="str">
            <v>salud_oral</v>
          </cell>
          <cell r="J4778" t="str">
            <v>bueno</v>
          </cell>
          <cell r="K4778" t="str">
            <v>defsi</v>
          </cell>
        </row>
        <row r="4779">
          <cell r="B4779" t="b">
            <v>1</v>
          </cell>
          <cell r="E4779" t="str">
            <v>Libano</v>
          </cell>
          <cell r="H4779" t="str">
            <v>laboratorio</v>
          </cell>
          <cell r="J4779" t="str">
            <v>bueno</v>
          </cell>
          <cell r="K4779" t="str">
            <v>defsi</v>
          </cell>
        </row>
        <row r="4780">
          <cell r="B4780" t="b">
            <v>0</v>
          </cell>
          <cell r="E4780" t="str">
            <v>Boquilla</v>
          </cell>
          <cell r="H4780" t="str">
            <v>urgencia</v>
          </cell>
          <cell r="J4780" t="str">
            <v>regular</v>
          </cell>
          <cell r="K4780" t="str">
            <v>probsi</v>
          </cell>
        </row>
        <row r="4781">
          <cell r="B4781" t="b">
            <v>1</v>
          </cell>
          <cell r="E4781" t="str">
            <v>Libano</v>
          </cell>
          <cell r="H4781" t="str">
            <v>consulta_externa</v>
          </cell>
          <cell r="J4781" t="str">
            <v>bueno</v>
          </cell>
          <cell r="K4781" t="str">
            <v>defsi</v>
          </cell>
        </row>
        <row r="4782">
          <cell r="B4782" t="b">
            <v>0</v>
          </cell>
          <cell r="E4782" t="str">
            <v>Bayunca</v>
          </cell>
          <cell r="H4782" t="str">
            <v>urgencia</v>
          </cell>
          <cell r="J4782" t="str">
            <v>regular</v>
          </cell>
          <cell r="K4782" t="str">
            <v>probsi</v>
          </cell>
        </row>
        <row r="4783">
          <cell r="B4783" t="b">
            <v>0</v>
          </cell>
          <cell r="E4783" t="str">
            <v>Bayunca</v>
          </cell>
          <cell r="H4783" t="str">
            <v>urgencia</v>
          </cell>
          <cell r="J4783" t="str">
            <v>regular</v>
          </cell>
          <cell r="K4783" t="str">
            <v>probsi</v>
          </cell>
        </row>
        <row r="4784">
          <cell r="B4784" t="b">
            <v>1</v>
          </cell>
          <cell r="E4784" t="str">
            <v>Bayunca</v>
          </cell>
          <cell r="H4784" t="str">
            <v>urgencia</v>
          </cell>
          <cell r="J4784" t="str">
            <v>bueno</v>
          </cell>
          <cell r="K4784" t="str">
            <v>probsi</v>
          </cell>
        </row>
        <row r="4785">
          <cell r="B4785" t="b">
            <v>1</v>
          </cell>
          <cell r="E4785" t="str">
            <v>Bayunca</v>
          </cell>
          <cell r="H4785" t="str">
            <v>urgencia</v>
          </cell>
          <cell r="J4785" t="str">
            <v>bueno</v>
          </cell>
          <cell r="K4785" t="str">
            <v>probsi</v>
          </cell>
        </row>
        <row r="4786">
          <cell r="B4786" t="b">
            <v>1</v>
          </cell>
          <cell r="E4786" t="str">
            <v>Libano</v>
          </cell>
          <cell r="H4786" t="str">
            <v>salud_oral</v>
          </cell>
          <cell r="J4786" t="str">
            <v>bueno</v>
          </cell>
          <cell r="K4786" t="str">
            <v>defsi</v>
          </cell>
        </row>
        <row r="4787">
          <cell r="B4787" t="b">
            <v>0</v>
          </cell>
          <cell r="E4787" t="str">
            <v>Bayunca</v>
          </cell>
          <cell r="H4787" t="str">
            <v>pediatria</v>
          </cell>
          <cell r="J4787" t="str">
            <v>regular</v>
          </cell>
          <cell r="K4787" t="str">
            <v>probsi</v>
          </cell>
        </row>
        <row r="4788">
          <cell r="B4788" t="b">
            <v>0</v>
          </cell>
          <cell r="E4788" t="str">
            <v>Bayunca</v>
          </cell>
          <cell r="H4788" t="str">
            <v>pediatria</v>
          </cell>
          <cell r="J4788" t="str">
            <v>regular</v>
          </cell>
          <cell r="K4788" t="str">
            <v>probsi</v>
          </cell>
        </row>
        <row r="4789">
          <cell r="B4789" t="b">
            <v>1</v>
          </cell>
          <cell r="E4789" t="str">
            <v>Libano</v>
          </cell>
          <cell r="H4789" t="str">
            <v>laboratorio</v>
          </cell>
          <cell r="J4789" t="str">
            <v>bueno</v>
          </cell>
          <cell r="K4789" t="str">
            <v>defsi</v>
          </cell>
        </row>
        <row r="4790">
          <cell r="B4790" t="b">
            <v>1</v>
          </cell>
          <cell r="E4790" t="str">
            <v>Bayunca</v>
          </cell>
          <cell r="H4790" t="str">
            <v>pediatria</v>
          </cell>
          <cell r="J4790" t="str">
            <v>bueno</v>
          </cell>
          <cell r="K4790" t="str">
            <v>probsi</v>
          </cell>
        </row>
        <row r="4791">
          <cell r="B4791" t="b">
            <v>1</v>
          </cell>
          <cell r="E4791" t="str">
            <v>Bayunca</v>
          </cell>
          <cell r="H4791" t="str">
            <v>pediatria</v>
          </cell>
          <cell r="J4791" t="str">
            <v>bueno</v>
          </cell>
          <cell r="K4791" t="str">
            <v>probsi</v>
          </cell>
        </row>
        <row r="4792">
          <cell r="B4792" t="b">
            <v>1</v>
          </cell>
          <cell r="E4792" t="str">
            <v>Bayunca</v>
          </cell>
          <cell r="H4792" t="str">
            <v>pediatria</v>
          </cell>
          <cell r="J4792" t="str">
            <v>bueno</v>
          </cell>
          <cell r="K4792" t="str">
            <v>probsi</v>
          </cell>
        </row>
        <row r="4793">
          <cell r="B4793" t="b">
            <v>1</v>
          </cell>
          <cell r="E4793" t="str">
            <v>Baru</v>
          </cell>
          <cell r="H4793" t="str">
            <v>consulta_externa</v>
          </cell>
          <cell r="J4793" t="str">
            <v>muybueno</v>
          </cell>
          <cell r="K4793" t="str">
            <v>defsi</v>
          </cell>
        </row>
        <row r="4794">
          <cell r="B4794" t="b">
            <v>1</v>
          </cell>
          <cell r="E4794" t="str">
            <v>Baru</v>
          </cell>
          <cell r="H4794" t="str">
            <v>laboratorio</v>
          </cell>
          <cell r="J4794" t="str">
            <v>muybueno</v>
          </cell>
          <cell r="K4794" t="str">
            <v>defsi</v>
          </cell>
        </row>
        <row r="4795">
          <cell r="B4795" t="b">
            <v>1</v>
          </cell>
          <cell r="E4795" t="str">
            <v>Libano</v>
          </cell>
          <cell r="H4795" t="str">
            <v>consulta_externa</v>
          </cell>
          <cell r="J4795" t="str">
            <v>bueno</v>
          </cell>
          <cell r="K4795" t="str">
            <v>defsi</v>
          </cell>
        </row>
        <row r="4796">
          <cell r="B4796" t="b">
            <v>1</v>
          </cell>
          <cell r="E4796" t="str">
            <v>Bayunca</v>
          </cell>
          <cell r="H4796" t="str">
            <v>pediatria</v>
          </cell>
          <cell r="J4796" t="str">
            <v>bueno</v>
          </cell>
          <cell r="K4796" t="str">
            <v>probsi</v>
          </cell>
        </row>
        <row r="4797">
          <cell r="B4797" t="b">
            <v>1</v>
          </cell>
          <cell r="E4797" t="str">
            <v>Bayunca</v>
          </cell>
          <cell r="H4797" t="str">
            <v>pediatria</v>
          </cell>
          <cell r="J4797" t="str">
            <v>bueno</v>
          </cell>
          <cell r="K4797" t="str">
            <v>probsi</v>
          </cell>
        </row>
        <row r="4798">
          <cell r="B4798" t="b">
            <v>1</v>
          </cell>
          <cell r="E4798" t="str">
            <v>Bayunca</v>
          </cell>
          <cell r="H4798" t="str">
            <v>pediatria</v>
          </cell>
          <cell r="J4798" t="str">
            <v>bueno</v>
          </cell>
          <cell r="K4798" t="str">
            <v>probsi</v>
          </cell>
        </row>
        <row r="4799">
          <cell r="B4799" t="b">
            <v>1</v>
          </cell>
          <cell r="E4799" t="str">
            <v>Libano</v>
          </cell>
          <cell r="H4799" t="str">
            <v>salud_oral</v>
          </cell>
          <cell r="J4799" t="str">
            <v>bueno</v>
          </cell>
          <cell r="K4799" t="str">
            <v>defsi</v>
          </cell>
        </row>
        <row r="4800">
          <cell r="B4800" t="b">
            <v>1</v>
          </cell>
          <cell r="E4800" t="str">
            <v>Libano</v>
          </cell>
          <cell r="H4800" t="str">
            <v>laboratorio</v>
          </cell>
          <cell r="J4800" t="str">
            <v>bueno</v>
          </cell>
          <cell r="K4800" t="str">
            <v>defsi</v>
          </cell>
        </row>
        <row r="4801">
          <cell r="B4801" t="b">
            <v>1</v>
          </cell>
          <cell r="E4801" t="str">
            <v>Boquilla</v>
          </cell>
          <cell r="H4801" t="str">
            <v>urgencia</v>
          </cell>
          <cell r="J4801" t="str">
            <v>bueno</v>
          </cell>
          <cell r="K4801" t="str">
            <v>probsi</v>
          </cell>
        </row>
        <row r="4802">
          <cell r="B4802" t="b">
            <v>1</v>
          </cell>
          <cell r="E4802" t="str">
            <v>Boquilla</v>
          </cell>
          <cell r="H4802" t="str">
            <v>urgencia</v>
          </cell>
          <cell r="J4802" t="str">
            <v>bueno</v>
          </cell>
          <cell r="K4802" t="str">
            <v>probsi</v>
          </cell>
        </row>
        <row r="4803">
          <cell r="B4803" t="b">
            <v>1</v>
          </cell>
          <cell r="E4803" t="str">
            <v>Baru</v>
          </cell>
          <cell r="H4803" t="str">
            <v>consulta_externa</v>
          </cell>
          <cell r="J4803" t="str">
            <v>muybueno</v>
          </cell>
          <cell r="K4803" t="str">
            <v>defsi</v>
          </cell>
        </row>
        <row r="4804">
          <cell r="B4804" t="b">
            <v>1</v>
          </cell>
          <cell r="E4804" t="str">
            <v>Baru</v>
          </cell>
          <cell r="H4804" t="str">
            <v>laboratorio</v>
          </cell>
          <cell r="J4804" t="str">
            <v>muybueno</v>
          </cell>
          <cell r="K4804" t="str">
            <v>defsi</v>
          </cell>
        </row>
        <row r="4805">
          <cell r="B4805" t="b">
            <v>0</v>
          </cell>
          <cell r="E4805" t="str">
            <v>Boquilla</v>
          </cell>
          <cell r="H4805" t="str">
            <v>salud_oral</v>
          </cell>
          <cell r="J4805" t="str">
            <v>regular</v>
          </cell>
          <cell r="K4805" t="str">
            <v>probsi</v>
          </cell>
        </row>
        <row r="4806">
          <cell r="B4806" t="b">
            <v>1</v>
          </cell>
          <cell r="E4806" t="str">
            <v>Boquilla</v>
          </cell>
          <cell r="H4806" t="str">
            <v>urgencia</v>
          </cell>
          <cell r="J4806" t="str">
            <v>bueno</v>
          </cell>
          <cell r="K4806" t="str">
            <v>probsi</v>
          </cell>
        </row>
        <row r="4807">
          <cell r="B4807" t="b">
            <v>1</v>
          </cell>
          <cell r="E4807" t="str">
            <v>Boquilla</v>
          </cell>
          <cell r="H4807" t="str">
            <v>urgencia</v>
          </cell>
          <cell r="J4807" t="str">
            <v>bueno</v>
          </cell>
          <cell r="K4807" t="str">
            <v>probsi</v>
          </cell>
        </row>
        <row r="4808">
          <cell r="B4808" t="b">
            <v>1</v>
          </cell>
          <cell r="E4808" t="str">
            <v>Baru</v>
          </cell>
          <cell r="H4808" t="str">
            <v>consulta_externa</v>
          </cell>
          <cell r="J4808" t="str">
            <v>muybueno</v>
          </cell>
          <cell r="K4808" t="str">
            <v>defsi</v>
          </cell>
        </row>
        <row r="4809">
          <cell r="B4809" t="b">
            <v>1</v>
          </cell>
          <cell r="E4809" t="str">
            <v>Baru</v>
          </cell>
          <cell r="H4809" t="str">
            <v>laboratorio</v>
          </cell>
          <cell r="J4809" t="str">
            <v>muybueno</v>
          </cell>
          <cell r="K4809" t="str">
            <v>defsi</v>
          </cell>
        </row>
        <row r="4810">
          <cell r="B4810" t="b">
            <v>1</v>
          </cell>
          <cell r="E4810" t="str">
            <v>Boquilla</v>
          </cell>
          <cell r="H4810" t="str">
            <v>salud_oral</v>
          </cell>
          <cell r="J4810" t="str">
            <v>bueno</v>
          </cell>
          <cell r="K4810" t="str">
            <v>probsi</v>
          </cell>
        </row>
        <row r="4811">
          <cell r="B4811" t="b">
            <v>0</v>
          </cell>
          <cell r="E4811" t="str">
            <v>Boquilla</v>
          </cell>
          <cell r="H4811" t="str">
            <v>urgencia</v>
          </cell>
          <cell r="J4811" t="str">
            <v>regular</v>
          </cell>
          <cell r="K4811" t="str">
            <v>probsi</v>
          </cell>
        </row>
        <row r="4812">
          <cell r="B4812" t="b">
            <v>1</v>
          </cell>
          <cell r="E4812" t="str">
            <v>Boquilla</v>
          </cell>
          <cell r="H4812" t="str">
            <v>laboratorio</v>
          </cell>
          <cell r="J4812" t="str">
            <v>bueno</v>
          </cell>
          <cell r="K4812" t="str">
            <v>probsi</v>
          </cell>
        </row>
        <row r="4813">
          <cell r="B4813" t="b">
            <v>1</v>
          </cell>
          <cell r="E4813" t="str">
            <v>Boquilla</v>
          </cell>
          <cell r="H4813" t="str">
            <v>urgencia</v>
          </cell>
          <cell r="J4813" t="str">
            <v>bueno</v>
          </cell>
          <cell r="K4813" t="str">
            <v>probsi</v>
          </cell>
        </row>
        <row r="4814">
          <cell r="B4814" t="b">
            <v>1</v>
          </cell>
          <cell r="E4814" t="str">
            <v>Baru</v>
          </cell>
          <cell r="H4814" t="str">
            <v>consulta_externa</v>
          </cell>
          <cell r="J4814" t="str">
            <v>muybueno</v>
          </cell>
          <cell r="K4814" t="str">
            <v>defsi</v>
          </cell>
        </row>
        <row r="4815">
          <cell r="B4815" t="b">
            <v>1</v>
          </cell>
          <cell r="E4815" t="str">
            <v>Baru</v>
          </cell>
          <cell r="H4815" t="str">
            <v>laboratorio</v>
          </cell>
          <cell r="J4815" t="str">
            <v>muybueno</v>
          </cell>
          <cell r="K4815" t="str">
            <v>defsi</v>
          </cell>
        </row>
        <row r="4816">
          <cell r="B4816" t="b">
            <v>1</v>
          </cell>
          <cell r="E4816" t="str">
            <v>Baru</v>
          </cell>
          <cell r="H4816" t="str">
            <v>salud_oral</v>
          </cell>
          <cell r="J4816" t="str">
            <v>muybueno</v>
          </cell>
          <cell r="K4816" t="str">
            <v>defsi</v>
          </cell>
        </row>
        <row r="4817">
          <cell r="B4817" t="b">
            <v>1</v>
          </cell>
          <cell r="E4817" t="str">
            <v>Baru</v>
          </cell>
          <cell r="H4817" t="str">
            <v>consulta_externa</v>
          </cell>
          <cell r="J4817" t="str">
            <v>muybueno</v>
          </cell>
          <cell r="K4817" t="str">
            <v>defsi</v>
          </cell>
        </row>
        <row r="4818">
          <cell r="B4818" t="b">
            <v>1</v>
          </cell>
          <cell r="E4818" t="str">
            <v>Baru</v>
          </cell>
          <cell r="H4818" t="str">
            <v>laboratorio</v>
          </cell>
          <cell r="J4818" t="str">
            <v>muybueno</v>
          </cell>
          <cell r="K4818" t="str">
            <v>defsi</v>
          </cell>
        </row>
        <row r="4819">
          <cell r="B4819" t="b">
            <v>1</v>
          </cell>
          <cell r="E4819" t="str">
            <v>Baru</v>
          </cell>
          <cell r="H4819" t="str">
            <v>consulta_externa</v>
          </cell>
          <cell r="J4819" t="str">
            <v>muybueno</v>
          </cell>
          <cell r="K4819" t="str">
            <v>defsi</v>
          </cell>
        </row>
        <row r="4820">
          <cell r="B4820" t="b">
            <v>1</v>
          </cell>
          <cell r="E4820" t="str">
            <v>Boquilla</v>
          </cell>
          <cell r="H4820" t="str">
            <v>consulta_externa</v>
          </cell>
          <cell r="J4820" t="str">
            <v>bueno</v>
          </cell>
          <cell r="K4820" t="str">
            <v>probsi</v>
          </cell>
        </row>
        <row r="4821">
          <cell r="B4821" t="b">
            <v>1</v>
          </cell>
          <cell r="E4821" t="str">
            <v>Boquilla</v>
          </cell>
          <cell r="H4821" t="str">
            <v>consulta_externa</v>
          </cell>
          <cell r="J4821" t="str">
            <v>bueno</v>
          </cell>
          <cell r="K4821" t="str">
            <v>probsi</v>
          </cell>
        </row>
        <row r="4822">
          <cell r="B4822" t="b">
            <v>1</v>
          </cell>
          <cell r="E4822" t="str">
            <v>Boquilla</v>
          </cell>
          <cell r="H4822" t="str">
            <v>urgencia</v>
          </cell>
          <cell r="J4822" t="str">
            <v>bueno</v>
          </cell>
          <cell r="K4822" t="str">
            <v>probsi</v>
          </cell>
        </row>
        <row r="4823">
          <cell r="B4823" t="b">
            <v>1</v>
          </cell>
          <cell r="E4823" t="str">
            <v>Arroyo de Piedra</v>
          </cell>
          <cell r="H4823" t="str">
            <v>consulta_externa</v>
          </cell>
          <cell r="J4823" t="str">
            <v>bueno</v>
          </cell>
          <cell r="K4823" t="str">
            <v>defsi</v>
          </cell>
        </row>
        <row r="4824">
          <cell r="B4824" t="b">
            <v>1</v>
          </cell>
          <cell r="E4824" t="str">
            <v>Arroyo de Piedra</v>
          </cell>
          <cell r="H4824" t="str">
            <v>laboratorio</v>
          </cell>
          <cell r="J4824" t="str">
            <v>bueno</v>
          </cell>
          <cell r="K4824" t="str">
            <v>defsi</v>
          </cell>
        </row>
        <row r="4825">
          <cell r="B4825" t="b">
            <v>1</v>
          </cell>
          <cell r="E4825" t="str">
            <v>Arroyo de Piedra</v>
          </cell>
          <cell r="H4825" t="str">
            <v>laboratorio</v>
          </cell>
          <cell r="J4825" t="str">
            <v>bueno</v>
          </cell>
          <cell r="K4825" t="str">
            <v>defsi</v>
          </cell>
        </row>
        <row r="4826">
          <cell r="B4826" t="b">
            <v>1</v>
          </cell>
          <cell r="E4826" t="str">
            <v>Arroyo de Piedra</v>
          </cell>
          <cell r="H4826" t="str">
            <v>consulta_externa</v>
          </cell>
          <cell r="J4826" t="str">
            <v>bueno</v>
          </cell>
          <cell r="K4826" t="str">
            <v>defsi</v>
          </cell>
        </row>
        <row r="4827">
          <cell r="B4827" t="b">
            <v>1</v>
          </cell>
          <cell r="E4827" t="str">
            <v>Baru</v>
          </cell>
          <cell r="H4827" t="str">
            <v>consulta_externa</v>
          </cell>
          <cell r="J4827" t="str">
            <v>muybueno</v>
          </cell>
          <cell r="K4827" t="str">
            <v>defsi</v>
          </cell>
        </row>
        <row r="4828">
          <cell r="B4828" t="b">
            <v>1</v>
          </cell>
          <cell r="E4828" t="str">
            <v>Baru</v>
          </cell>
          <cell r="H4828" t="str">
            <v>laboratorio</v>
          </cell>
          <cell r="J4828" t="str">
            <v>muybueno</v>
          </cell>
          <cell r="K4828" t="str">
            <v>defsi</v>
          </cell>
        </row>
        <row r="4829">
          <cell r="B4829" t="b">
            <v>1</v>
          </cell>
          <cell r="E4829" t="str">
            <v>Arroyo de Piedra</v>
          </cell>
          <cell r="H4829" t="str">
            <v>consulta_externa</v>
          </cell>
          <cell r="J4829" t="str">
            <v>bueno</v>
          </cell>
          <cell r="K4829" t="str">
            <v>defsi</v>
          </cell>
        </row>
        <row r="4830">
          <cell r="B4830" t="b">
            <v>1</v>
          </cell>
          <cell r="E4830" t="str">
            <v>Arroyo de Piedra</v>
          </cell>
          <cell r="H4830" t="str">
            <v>laboratorio</v>
          </cell>
          <cell r="J4830" t="str">
            <v>bueno</v>
          </cell>
          <cell r="K4830" t="str">
            <v>defsi</v>
          </cell>
        </row>
        <row r="4831">
          <cell r="B4831" t="b">
            <v>1</v>
          </cell>
          <cell r="E4831" t="str">
            <v>Arroyo de Piedra</v>
          </cell>
          <cell r="H4831" t="str">
            <v>laboratorio</v>
          </cell>
          <cell r="J4831" t="str">
            <v>bueno</v>
          </cell>
          <cell r="K4831" t="str">
            <v>defsi</v>
          </cell>
        </row>
        <row r="4832">
          <cell r="B4832" t="b">
            <v>1</v>
          </cell>
          <cell r="E4832" t="str">
            <v>Arroyo de Piedra</v>
          </cell>
          <cell r="H4832" t="str">
            <v>laboratorio</v>
          </cell>
          <cell r="J4832" t="str">
            <v>bueno</v>
          </cell>
          <cell r="K4832" t="str">
            <v>defsi</v>
          </cell>
        </row>
        <row r="4833">
          <cell r="B4833" t="b">
            <v>1</v>
          </cell>
          <cell r="E4833" t="str">
            <v>Arroyo de Piedra</v>
          </cell>
          <cell r="H4833" t="str">
            <v>consulta_externa</v>
          </cell>
          <cell r="J4833" t="str">
            <v>muybueno</v>
          </cell>
          <cell r="K4833" t="str">
            <v>defsi</v>
          </cell>
        </row>
        <row r="4834">
          <cell r="B4834" t="b">
            <v>1</v>
          </cell>
          <cell r="E4834" t="str">
            <v>Arroyo de Piedra</v>
          </cell>
          <cell r="H4834" t="str">
            <v>consulta_externa</v>
          </cell>
          <cell r="J4834" t="str">
            <v>bueno</v>
          </cell>
          <cell r="K4834" t="str">
            <v>defsi</v>
          </cell>
        </row>
        <row r="4835">
          <cell r="B4835" t="b">
            <v>1</v>
          </cell>
          <cell r="E4835" t="str">
            <v>Arroyo de Piedra</v>
          </cell>
          <cell r="H4835" t="str">
            <v>laboratorio</v>
          </cell>
          <cell r="J4835" t="str">
            <v>bueno</v>
          </cell>
          <cell r="K4835" t="str">
            <v>defsi</v>
          </cell>
        </row>
        <row r="4836">
          <cell r="B4836" t="b">
            <v>1</v>
          </cell>
          <cell r="E4836" t="str">
            <v>Arroyo de Piedra</v>
          </cell>
          <cell r="H4836" t="str">
            <v>laboratorio</v>
          </cell>
          <cell r="J4836" t="str">
            <v>muybueno</v>
          </cell>
          <cell r="K4836" t="str">
            <v>defsi</v>
          </cell>
        </row>
        <row r="4837">
          <cell r="B4837" t="b">
            <v>1</v>
          </cell>
          <cell r="E4837" t="str">
            <v>Arroyo de Piedra</v>
          </cell>
          <cell r="H4837" t="str">
            <v>laboratorio</v>
          </cell>
          <cell r="J4837" t="str">
            <v>muybueno</v>
          </cell>
          <cell r="K4837" t="str">
            <v>defsi</v>
          </cell>
        </row>
        <row r="4838">
          <cell r="B4838" t="b">
            <v>1</v>
          </cell>
          <cell r="E4838" t="str">
            <v>Arroyo de Piedra</v>
          </cell>
          <cell r="H4838" t="str">
            <v>consulta_externa</v>
          </cell>
          <cell r="J4838" t="str">
            <v>bueno</v>
          </cell>
          <cell r="K4838" t="str">
            <v>defsi</v>
          </cell>
        </row>
        <row r="4839">
          <cell r="B4839" t="b">
            <v>1</v>
          </cell>
          <cell r="E4839" t="str">
            <v>Arroyo de Piedra</v>
          </cell>
          <cell r="H4839" t="str">
            <v>salud_oral</v>
          </cell>
          <cell r="J4839" t="str">
            <v>bueno</v>
          </cell>
          <cell r="K4839" t="str">
            <v>defsi</v>
          </cell>
        </row>
        <row r="4840">
          <cell r="B4840" t="b">
            <v>1</v>
          </cell>
          <cell r="E4840" t="str">
            <v>Arroyo de Piedra</v>
          </cell>
          <cell r="H4840" t="str">
            <v>salud_oral</v>
          </cell>
          <cell r="J4840" t="str">
            <v>bueno</v>
          </cell>
          <cell r="K4840" t="str">
            <v>defsi</v>
          </cell>
        </row>
        <row r="4841">
          <cell r="B4841" t="b">
            <v>1</v>
          </cell>
          <cell r="E4841" t="str">
            <v>Arroyo de Piedra</v>
          </cell>
          <cell r="H4841" t="str">
            <v>consulta_externa</v>
          </cell>
          <cell r="J4841" t="str">
            <v>muybueno</v>
          </cell>
          <cell r="K4841" t="str">
            <v>defsi</v>
          </cell>
        </row>
        <row r="4842">
          <cell r="B4842" t="b">
            <v>1</v>
          </cell>
          <cell r="E4842" t="str">
            <v>Arroyo de Piedra</v>
          </cell>
          <cell r="H4842" t="str">
            <v>laboratorio</v>
          </cell>
          <cell r="J4842" t="str">
            <v>muybueno</v>
          </cell>
          <cell r="K4842" t="str">
            <v>defsi</v>
          </cell>
        </row>
        <row r="4843">
          <cell r="B4843" t="b">
            <v>1</v>
          </cell>
          <cell r="E4843" t="str">
            <v>Arroyo de Piedra</v>
          </cell>
          <cell r="H4843" t="str">
            <v>consulta_externa</v>
          </cell>
          <cell r="J4843" t="str">
            <v>bueno</v>
          </cell>
          <cell r="K4843" t="str">
            <v>defsi</v>
          </cell>
        </row>
        <row r="4844">
          <cell r="B4844" t="b">
            <v>1</v>
          </cell>
          <cell r="E4844" t="str">
            <v>Arroyo de Piedra</v>
          </cell>
          <cell r="H4844" t="str">
            <v>laboratorio</v>
          </cell>
          <cell r="J4844" t="str">
            <v>bueno</v>
          </cell>
          <cell r="K4844" t="str">
            <v>defsi</v>
          </cell>
        </row>
        <row r="4845">
          <cell r="B4845" t="b">
            <v>1</v>
          </cell>
          <cell r="E4845" t="str">
            <v>Arroyo de Piedra</v>
          </cell>
          <cell r="H4845" t="str">
            <v>salud_oral</v>
          </cell>
          <cell r="J4845" t="str">
            <v>muybueno</v>
          </cell>
          <cell r="K4845" t="str">
            <v>defsi</v>
          </cell>
        </row>
        <row r="4846">
          <cell r="B4846" t="b">
            <v>1</v>
          </cell>
          <cell r="E4846" t="str">
            <v>Arroyo de Piedra</v>
          </cell>
          <cell r="H4846" t="str">
            <v>salud_oral</v>
          </cell>
          <cell r="J4846" t="str">
            <v>bueno</v>
          </cell>
          <cell r="K4846" t="str">
            <v>defsi</v>
          </cell>
        </row>
        <row r="4847">
          <cell r="B4847" t="b">
            <v>1</v>
          </cell>
          <cell r="E4847" t="str">
            <v>Arroyo de Piedra</v>
          </cell>
          <cell r="H4847" t="str">
            <v>salud_oral</v>
          </cell>
          <cell r="J4847" t="str">
            <v>bueno</v>
          </cell>
          <cell r="K4847" t="str">
            <v>defsi</v>
          </cell>
        </row>
        <row r="4848">
          <cell r="B4848" t="b">
            <v>1</v>
          </cell>
          <cell r="E4848" t="str">
            <v>Arroyo de Piedra</v>
          </cell>
          <cell r="H4848" t="str">
            <v>salud_oral</v>
          </cell>
          <cell r="J4848" t="str">
            <v>bueno</v>
          </cell>
          <cell r="K4848" t="str">
            <v>defsi</v>
          </cell>
        </row>
        <row r="4849">
          <cell r="B4849" t="b">
            <v>1</v>
          </cell>
          <cell r="E4849" t="str">
            <v>Arroyo de Piedra</v>
          </cell>
          <cell r="H4849" t="str">
            <v>salud_oral</v>
          </cell>
          <cell r="J4849" t="str">
            <v>bueno</v>
          </cell>
          <cell r="K4849" t="str">
            <v>defsi</v>
          </cell>
        </row>
        <row r="4850">
          <cell r="B4850" t="b">
            <v>1</v>
          </cell>
          <cell r="E4850" t="str">
            <v>Arroyo de Piedra</v>
          </cell>
          <cell r="H4850" t="str">
            <v>consulta_externa</v>
          </cell>
          <cell r="J4850" t="str">
            <v>bueno</v>
          </cell>
          <cell r="K4850" t="str">
            <v>defsi</v>
          </cell>
        </row>
        <row r="4851">
          <cell r="B4851" t="b">
            <v>1</v>
          </cell>
          <cell r="E4851" t="str">
            <v>Arroyo de Piedra</v>
          </cell>
          <cell r="H4851" t="str">
            <v>consulta_externa</v>
          </cell>
          <cell r="J4851" t="str">
            <v>bueno</v>
          </cell>
          <cell r="K4851" t="str">
            <v>defsi</v>
          </cell>
        </row>
        <row r="4852">
          <cell r="B4852" t="b">
            <v>1</v>
          </cell>
          <cell r="E4852" t="str">
            <v>Arroyo de Piedra</v>
          </cell>
          <cell r="H4852" t="str">
            <v>laboratorio</v>
          </cell>
          <cell r="J4852" t="str">
            <v>bueno</v>
          </cell>
          <cell r="K4852" t="str">
            <v>defsi</v>
          </cell>
        </row>
        <row r="4853">
          <cell r="B4853" t="b">
            <v>1</v>
          </cell>
          <cell r="E4853" t="str">
            <v>Arroyo de Piedra</v>
          </cell>
          <cell r="H4853" t="str">
            <v>salud_oral</v>
          </cell>
          <cell r="J4853" t="str">
            <v>muybueno</v>
          </cell>
          <cell r="K4853" t="str">
            <v>defsi</v>
          </cell>
        </row>
        <row r="4854">
          <cell r="B4854" t="b">
            <v>1</v>
          </cell>
          <cell r="E4854" t="str">
            <v>Arroyo de Piedra</v>
          </cell>
          <cell r="H4854" t="str">
            <v>salud_oral</v>
          </cell>
          <cell r="J4854" t="str">
            <v>bueno</v>
          </cell>
          <cell r="K4854" t="str">
            <v>defsi</v>
          </cell>
        </row>
        <row r="4855">
          <cell r="B4855" t="b">
            <v>1</v>
          </cell>
          <cell r="E4855" t="str">
            <v>Arroyo de Piedra</v>
          </cell>
          <cell r="H4855" t="str">
            <v>salud_oral</v>
          </cell>
          <cell r="J4855" t="str">
            <v>bueno</v>
          </cell>
          <cell r="K4855" t="str">
            <v>defsi</v>
          </cell>
        </row>
        <row r="4856">
          <cell r="B4856" t="b">
            <v>1</v>
          </cell>
          <cell r="E4856" t="str">
            <v>Santa Ana</v>
          </cell>
          <cell r="H4856" t="str">
            <v>consulta_externa</v>
          </cell>
          <cell r="J4856" t="str">
            <v>muybueno</v>
          </cell>
          <cell r="K4856" t="str">
            <v>defsi</v>
          </cell>
        </row>
        <row r="4857">
          <cell r="B4857" t="b">
            <v>1</v>
          </cell>
          <cell r="E4857" t="str">
            <v>Santa Ana</v>
          </cell>
          <cell r="H4857" t="str">
            <v>salud_oral</v>
          </cell>
          <cell r="J4857" t="str">
            <v>muybueno</v>
          </cell>
          <cell r="K4857" t="str">
            <v>defsi</v>
          </cell>
        </row>
        <row r="4858">
          <cell r="B4858" t="b">
            <v>1</v>
          </cell>
          <cell r="E4858" t="str">
            <v>Boquilla</v>
          </cell>
          <cell r="H4858" t="str">
            <v>salud_oral</v>
          </cell>
          <cell r="J4858" t="str">
            <v>bueno</v>
          </cell>
          <cell r="K4858" t="str">
            <v>probsi</v>
          </cell>
        </row>
        <row r="4859">
          <cell r="B4859" t="b">
            <v>1</v>
          </cell>
          <cell r="E4859" t="str">
            <v>Boquilla</v>
          </cell>
          <cell r="H4859" t="str">
            <v>urgencia</v>
          </cell>
          <cell r="J4859" t="str">
            <v>bueno</v>
          </cell>
          <cell r="K4859" t="str">
            <v>probsi</v>
          </cell>
        </row>
        <row r="4860">
          <cell r="B4860" t="b">
            <v>1</v>
          </cell>
          <cell r="E4860" t="str">
            <v>Boquilla</v>
          </cell>
          <cell r="H4860" t="str">
            <v>urgencia</v>
          </cell>
          <cell r="J4860" t="str">
            <v>bueno</v>
          </cell>
          <cell r="K4860" t="str">
            <v>probsi</v>
          </cell>
        </row>
        <row r="4861">
          <cell r="B4861" t="b">
            <v>0</v>
          </cell>
          <cell r="E4861" t="str">
            <v>Boquilla</v>
          </cell>
          <cell r="H4861" t="str">
            <v>urgencia</v>
          </cell>
          <cell r="J4861" t="str">
            <v>regular</v>
          </cell>
          <cell r="K4861" t="str">
            <v>probsi</v>
          </cell>
        </row>
        <row r="4862">
          <cell r="B4862" t="b">
            <v>1</v>
          </cell>
          <cell r="E4862" t="str">
            <v>Arroyo de Piedra</v>
          </cell>
          <cell r="H4862" t="str">
            <v>salud_oral</v>
          </cell>
          <cell r="J4862" t="str">
            <v>bueno</v>
          </cell>
          <cell r="K4862" t="str">
            <v>defsi</v>
          </cell>
        </row>
        <row r="4863">
          <cell r="B4863" t="b">
            <v>1</v>
          </cell>
          <cell r="E4863" t="str">
            <v>Arroyo de Piedra</v>
          </cell>
          <cell r="H4863" t="str">
            <v>salud_oral</v>
          </cell>
          <cell r="J4863" t="str">
            <v>bueno</v>
          </cell>
          <cell r="K4863" t="str">
            <v>defsi</v>
          </cell>
        </row>
        <row r="4864">
          <cell r="B4864" t="b">
            <v>1</v>
          </cell>
          <cell r="E4864" t="str">
            <v>Arroyo de Piedra</v>
          </cell>
          <cell r="H4864" t="str">
            <v>salud_oral</v>
          </cell>
          <cell r="J4864" t="str">
            <v>bueno</v>
          </cell>
          <cell r="K4864" t="str">
            <v>defsi</v>
          </cell>
        </row>
        <row r="4865">
          <cell r="B4865" t="b">
            <v>1</v>
          </cell>
          <cell r="E4865" t="str">
            <v>Arroyo de Piedra</v>
          </cell>
          <cell r="H4865" t="str">
            <v>consulta_externa</v>
          </cell>
          <cell r="J4865" t="str">
            <v>muybueno</v>
          </cell>
          <cell r="K4865" t="str">
            <v>defsi</v>
          </cell>
        </row>
        <row r="4866">
          <cell r="B4866" t="b">
            <v>1</v>
          </cell>
          <cell r="E4866" t="str">
            <v>Arroyo de Piedra</v>
          </cell>
          <cell r="H4866" t="str">
            <v>consulta_externa</v>
          </cell>
          <cell r="J4866" t="str">
            <v>muybueno</v>
          </cell>
          <cell r="K4866" t="str">
            <v>defsi</v>
          </cell>
        </row>
        <row r="4867">
          <cell r="B4867" t="b">
            <v>0</v>
          </cell>
          <cell r="E4867" t="str">
            <v>Arroyo de Piedra</v>
          </cell>
          <cell r="H4867" t="str">
            <v>salud_oral</v>
          </cell>
          <cell r="J4867" t="str">
            <v>malo</v>
          </cell>
          <cell r="K4867" t="str">
            <v>defsi</v>
          </cell>
        </row>
        <row r="4868">
          <cell r="B4868" t="b">
            <v>1</v>
          </cell>
          <cell r="E4868" t="str">
            <v>Arroyo de Piedra</v>
          </cell>
          <cell r="H4868" t="str">
            <v>consulta_externa</v>
          </cell>
          <cell r="J4868" t="str">
            <v>bueno</v>
          </cell>
          <cell r="K4868" t="str">
            <v>defsi</v>
          </cell>
        </row>
        <row r="4869">
          <cell r="B4869" t="b">
            <v>1</v>
          </cell>
          <cell r="E4869" t="str">
            <v>Arroyo de Piedra</v>
          </cell>
          <cell r="H4869" t="str">
            <v>salud_oral</v>
          </cell>
          <cell r="J4869" t="str">
            <v>bueno</v>
          </cell>
          <cell r="K4869" t="str">
            <v>defsi</v>
          </cell>
        </row>
        <row r="4870">
          <cell r="B4870" t="b">
            <v>1</v>
          </cell>
          <cell r="E4870" t="str">
            <v>Baru</v>
          </cell>
          <cell r="H4870" t="str">
            <v>consulta_externa</v>
          </cell>
          <cell r="J4870" t="str">
            <v>muybueno</v>
          </cell>
          <cell r="K4870" t="str">
            <v>defsi</v>
          </cell>
        </row>
        <row r="4871">
          <cell r="B4871" t="b">
            <v>1</v>
          </cell>
          <cell r="E4871" t="str">
            <v>Baru</v>
          </cell>
          <cell r="H4871" t="str">
            <v>laboratorio</v>
          </cell>
          <cell r="J4871" t="str">
            <v>muybueno</v>
          </cell>
          <cell r="K4871" t="str">
            <v>defsi</v>
          </cell>
        </row>
        <row r="4872">
          <cell r="B4872" t="b">
            <v>1</v>
          </cell>
          <cell r="E4872" t="str">
            <v>Baru</v>
          </cell>
          <cell r="H4872" t="str">
            <v>salud_oral</v>
          </cell>
          <cell r="J4872" t="str">
            <v>muybueno</v>
          </cell>
          <cell r="K4872" t="str">
            <v>defsi</v>
          </cell>
        </row>
        <row r="4873">
          <cell r="B4873" t="b">
            <v>1</v>
          </cell>
          <cell r="E4873" t="str">
            <v>Arroyo de Piedra</v>
          </cell>
          <cell r="H4873" t="str">
            <v>salud_oral</v>
          </cell>
          <cell r="J4873" t="str">
            <v>bueno</v>
          </cell>
          <cell r="K4873" t="str">
            <v>defsi</v>
          </cell>
        </row>
        <row r="4874">
          <cell r="B4874" t="b">
            <v>1</v>
          </cell>
          <cell r="E4874" t="str">
            <v>Arroyo de Piedra</v>
          </cell>
          <cell r="H4874" t="str">
            <v>consulta_externa</v>
          </cell>
          <cell r="J4874" t="str">
            <v>bueno</v>
          </cell>
          <cell r="K4874" t="str">
            <v>defsi</v>
          </cell>
        </row>
        <row r="4875">
          <cell r="B4875" t="b">
            <v>1</v>
          </cell>
          <cell r="E4875" t="str">
            <v>Arroyo de Piedra</v>
          </cell>
          <cell r="H4875" t="str">
            <v>laboratorio</v>
          </cell>
          <cell r="J4875" t="str">
            <v>bueno</v>
          </cell>
          <cell r="K4875" t="str">
            <v>defsi</v>
          </cell>
        </row>
        <row r="4876">
          <cell r="B4876" t="b">
            <v>1</v>
          </cell>
          <cell r="E4876" t="str">
            <v>Arroyo de Piedra</v>
          </cell>
          <cell r="H4876" t="str">
            <v>laboratorio</v>
          </cell>
          <cell r="J4876" t="str">
            <v>bueno</v>
          </cell>
          <cell r="K4876" t="str">
            <v>defsi</v>
          </cell>
        </row>
        <row r="4877">
          <cell r="B4877" t="b">
            <v>1</v>
          </cell>
          <cell r="E4877" t="str">
            <v>Arroyo de Piedra</v>
          </cell>
          <cell r="H4877" t="str">
            <v>laboratorio</v>
          </cell>
          <cell r="J4877" t="str">
            <v>bueno</v>
          </cell>
          <cell r="K4877" t="str">
            <v>defsi</v>
          </cell>
        </row>
        <row r="4878">
          <cell r="B4878" t="b">
            <v>1</v>
          </cell>
          <cell r="E4878" t="str">
            <v>Baru</v>
          </cell>
          <cell r="H4878" t="str">
            <v>laboratorio</v>
          </cell>
          <cell r="J4878" t="str">
            <v>muybueno</v>
          </cell>
          <cell r="K4878" t="str">
            <v>defsi</v>
          </cell>
        </row>
        <row r="4879">
          <cell r="B4879" t="b">
            <v>1</v>
          </cell>
          <cell r="E4879" t="str">
            <v>Arroyo de Piedra</v>
          </cell>
          <cell r="H4879" t="str">
            <v>consulta_externa</v>
          </cell>
          <cell r="J4879" t="str">
            <v>bueno</v>
          </cell>
          <cell r="K4879" t="str">
            <v>defsi</v>
          </cell>
        </row>
        <row r="4880">
          <cell r="B4880" t="b">
            <v>1</v>
          </cell>
          <cell r="E4880" t="str">
            <v>Arroyo de Piedra</v>
          </cell>
          <cell r="H4880" t="str">
            <v>laboratorio</v>
          </cell>
          <cell r="J4880" t="str">
            <v>bueno</v>
          </cell>
          <cell r="K4880" t="str">
            <v>defsi</v>
          </cell>
        </row>
        <row r="4881">
          <cell r="B4881" t="b">
            <v>1</v>
          </cell>
          <cell r="E4881" t="str">
            <v>Arroyo de Piedra</v>
          </cell>
          <cell r="H4881" t="str">
            <v>consulta_externa</v>
          </cell>
          <cell r="J4881" t="str">
            <v>bueno</v>
          </cell>
          <cell r="K4881" t="str">
            <v>defsi</v>
          </cell>
        </row>
        <row r="4882">
          <cell r="B4882" t="b">
            <v>1</v>
          </cell>
          <cell r="E4882" t="str">
            <v>Arroyo de Piedra</v>
          </cell>
          <cell r="H4882" t="str">
            <v>laboratorio</v>
          </cell>
          <cell r="J4882" t="str">
            <v>bueno</v>
          </cell>
          <cell r="K4882" t="str">
            <v>defsi</v>
          </cell>
        </row>
        <row r="4883">
          <cell r="B4883" t="b">
            <v>1</v>
          </cell>
          <cell r="E4883" t="str">
            <v>Arroyo de Piedra</v>
          </cell>
          <cell r="H4883" t="str">
            <v>laboratorio</v>
          </cell>
          <cell r="J4883" t="str">
            <v>bueno</v>
          </cell>
          <cell r="K4883" t="str">
            <v>defsi</v>
          </cell>
        </row>
        <row r="4884">
          <cell r="B4884" t="b">
            <v>1</v>
          </cell>
          <cell r="E4884" t="str">
            <v>Arroyo de Piedra</v>
          </cell>
          <cell r="H4884" t="str">
            <v>laboratorio</v>
          </cell>
          <cell r="J4884" t="str">
            <v>bueno</v>
          </cell>
          <cell r="K4884" t="str">
            <v>defsi</v>
          </cell>
        </row>
        <row r="4885">
          <cell r="B4885" t="b">
            <v>1</v>
          </cell>
          <cell r="E4885" t="str">
            <v>Arroyo de Piedra</v>
          </cell>
          <cell r="H4885" t="str">
            <v>consulta_externa</v>
          </cell>
          <cell r="J4885" t="str">
            <v>muybueno</v>
          </cell>
          <cell r="K4885" t="str">
            <v>defsi</v>
          </cell>
        </row>
        <row r="4886">
          <cell r="B4886" t="b">
            <v>1</v>
          </cell>
          <cell r="E4886" t="str">
            <v>Arroyo de Piedra</v>
          </cell>
          <cell r="H4886" t="str">
            <v>salud_oral</v>
          </cell>
          <cell r="J4886" t="str">
            <v>bueno</v>
          </cell>
          <cell r="K4886" t="str">
            <v>defsi</v>
          </cell>
        </row>
        <row r="4887">
          <cell r="B4887" t="b">
            <v>1</v>
          </cell>
          <cell r="E4887" t="str">
            <v>Baru</v>
          </cell>
          <cell r="H4887" t="str">
            <v>consulta_externa</v>
          </cell>
          <cell r="J4887" t="str">
            <v>muybueno</v>
          </cell>
          <cell r="K4887" t="str">
            <v>defsi</v>
          </cell>
        </row>
        <row r="4888">
          <cell r="B4888" t="b">
            <v>1</v>
          </cell>
          <cell r="E4888" t="str">
            <v>Baru</v>
          </cell>
          <cell r="H4888" t="str">
            <v>salud_oral</v>
          </cell>
          <cell r="J4888" t="str">
            <v>muybueno</v>
          </cell>
          <cell r="K4888" t="str">
            <v>defsi</v>
          </cell>
        </row>
        <row r="4889">
          <cell r="B4889" t="b">
            <v>1</v>
          </cell>
          <cell r="E4889" t="str">
            <v>Esperanza</v>
          </cell>
          <cell r="H4889" t="str">
            <v>urgencia</v>
          </cell>
          <cell r="J4889" t="str">
            <v>bueno</v>
          </cell>
          <cell r="K4889" t="str">
            <v>probsi</v>
          </cell>
        </row>
        <row r="4890">
          <cell r="B4890" t="b">
            <v>1</v>
          </cell>
          <cell r="E4890" t="str">
            <v>Esperanza</v>
          </cell>
          <cell r="H4890" t="str">
            <v>urgencia</v>
          </cell>
          <cell r="J4890" t="str">
            <v>bueno</v>
          </cell>
          <cell r="K4890" t="str">
            <v>probsi</v>
          </cell>
        </row>
        <row r="4891">
          <cell r="B4891" t="b">
            <v>1</v>
          </cell>
          <cell r="E4891" t="str">
            <v>Esperanza</v>
          </cell>
          <cell r="H4891" t="str">
            <v>urgencia</v>
          </cell>
          <cell r="J4891" t="str">
            <v>bueno</v>
          </cell>
          <cell r="K4891" t="str">
            <v>probsi</v>
          </cell>
        </row>
        <row r="4892">
          <cell r="B4892" t="b">
            <v>1</v>
          </cell>
          <cell r="E4892" t="str">
            <v>Esperanza</v>
          </cell>
          <cell r="H4892" t="str">
            <v>urgencia</v>
          </cell>
          <cell r="J4892" t="str">
            <v>bueno</v>
          </cell>
          <cell r="K4892" t="str">
            <v>probsi</v>
          </cell>
        </row>
        <row r="4893">
          <cell r="B4893" t="b">
            <v>0</v>
          </cell>
          <cell r="E4893" t="str">
            <v>Esperanza</v>
          </cell>
          <cell r="H4893" t="str">
            <v>urgencia</v>
          </cell>
          <cell r="J4893" t="str">
            <v>regular</v>
          </cell>
          <cell r="K4893" t="str">
            <v>probsi</v>
          </cell>
        </row>
        <row r="4894">
          <cell r="B4894" t="b">
            <v>0</v>
          </cell>
          <cell r="E4894" t="str">
            <v>Esperanza</v>
          </cell>
          <cell r="H4894" t="str">
            <v>urgencia</v>
          </cell>
          <cell r="J4894" t="str">
            <v>regular</v>
          </cell>
          <cell r="K4894" t="str">
            <v>probsi</v>
          </cell>
        </row>
        <row r="4895">
          <cell r="B4895" t="b">
            <v>0</v>
          </cell>
          <cell r="E4895" t="str">
            <v>Esperanza</v>
          </cell>
          <cell r="H4895" t="str">
            <v>urgencia</v>
          </cell>
          <cell r="J4895" t="str">
            <v>regular</v>
          </cell>
          <cell r="K4895" t="str">
            <v>probsi</v>
          </cell>
        </row>
        <row r="4896">
          <cell r="B4896" t="b">
            <v>1</v>
          </cell>
          <cell r="E4896" t="str">
            <v>Esperanza</v>
          </cell>
          <cell r="H4896" t="str">
            <v>electros</v>
          </cell>
          <cell r="J4896" t="str">
            <v>bueno</v>
          </cell>
          <cell r="K4896" t="str">
            <v>probsi</v>
          </cell>
        </row>
        <row r="4897">
          <cell r="B4897" t="b">
            <v>1</v>
          </cell>
          <cell r="E4897" t="str">
            <v>Esperanza</v>
          </cell>
          <cell r="H4897" t="str">
            <v>electros</v>
          </cell>
          <cell r="J4897" t="str">
            <v>bueno</v>
          </cell>
          <cell r="K4897" t="str">
            <v>probsi</v>
          </cell>
        </row>
        <row r="4898">
          <cell r="B4898" t="b">
            <v>0</v>
          </cell>
          <cell r="E4898" t="str">
            <v>Esperanza</v>
          </cell>
          <cell r="H4898" t="str">
            <v>electros</v>
          </cell>
          <cell r="J4898" t="str">
            <v>regular</v>
          </cell>
          <cell r="K4898" t="str">
            <v>probsi</v>
          </cell>
        </row>
        <row r="4899">
          <cell r="B4899" t="b">
            <v>0</v>
          </cell>
          <cell r="E4899" t="str">
            <v>Esperanza</v>
          </cell>
          <cell r="H4899" t="str">
            <v>electros</v>
          </cell>
          <cell r="J4899" t="str">
            <v>regular</v>
          </cell>
          <cell r="K4899" t="str">
            <v>probsi</v>
          </cell>
        </row>
        <row r="4900">
          <cell r="B4900" t="b">
            <v>1</v>
          </cell>
          <cell r="E4900" t="str">
            <v>Esperanza</v>
          </cell>
          <cell r="H4900" t="str">
            <v>electros</v>
          </cell>
          <cell r="J4900" t="str">
            <v>bueno</v>
          </cell>
          <cell r="K4900" t="str">
            <v>probsi</v>
          </cell>
        </row>
        <row r="4901">
          <cell r="B4901" t="b">
            <v>1</v>
          </cell>
          <cell r="E4901" t="str">
            <v>Esperanza</v>
          </cell>
          <cell r="H4901" t="str">
            <v>electros</v>
          </cell>
          <cell r="J4901" t="str">
            <v>bueno</v>
          </cell>
          <cell r="K4901" t="str">
            <v>probsi</v>
          </cell>
        </row>
        <row r="4902">
          <cell r="B4902" t="b">
            <v>1</v>
          </cell>
          <cell r="E4902" t="str">
            <v>Esperanza</v>
          </cell>
          <cell r="H4902" t="str">
            <v>electros</v>
          </cell>
          <cell r="J4902" t="str">
            <v>bueno</v>
          </cell>
          <cell r="K4902" t="str">
            <v>probsi</v>
          </cell>
        </row>
        <row r="4903">
          <cell r="B4903" t="b">
            <v>1</v>
          </cell>
          <cell r="E4903" t="str">
            <v>Esperanza</v>
          </cell>
          <cell r="H4903" t="str">
            <v>electros</v>
          </cell>
          <cell r="J4903" t="str">
            <v>bueno</v>
          </cell>
          <cell r="K4903" t="str">
            <v>probsi</v>
          </cell>
        </row>
        <row r="4904">
          <cell r="B4904" t="b">
            <v>0</v>
          </cell>
          <cell r="E4904" t="str">
            <v>Esperanza</v>
          </cell>
          <cell r="H4904" t="str">
            <v>laboratorio</v>
          </cell>
          <cell r="J4904" t="str">
            <v>regular</v>
          </cell>
          <cell r="K4904" t="str">
            <v>probsi</v>
          </cell>
        </row>
        <row r="4905">
          <cell r="B4905" t="b">
            <v>0</v>
          </cell>
          <cell r="E4905" t="str">
            <v>Esperanza</v>
          </cell>
          <cell r="H4905" t="str">
            <v>laboratorio</v>
          </cell>
          <cell r="J4905" t="str">
            <v>regular</v>
          </cell>
          <cell r="K4905" t="str">
            <v>probsi</v>
          </cell>
        </row>
        <row r="4906">
          <cell r="B4906" t="b">
            <v>1</v>
          </cell>
          <cell r="E4906" t="str">
            <v>Esperanza</v>
          </cell>
          <cell r="H4906" t="str">
            <v>laboratorio</v>
          </cell>
          <cell r="J4906" t="str">
            <v>bueno</v>
          </cell>
          <cell r="K4906" t="str">
            <v>probsi</v>
          </cell>
        </row>
        <row r="4907">
          <cell r="B4907" t="b">
            <v>1</v>
          </cell>
          <cell r="E4907" t="str">
            <v>Esperanza</v>
          </cell>
          <cell r="H4907" t="str">
            <v>laboratorio</v>
          </cell>
          <cell r="J4907" t="str">
            <v>bueno</v>
          </cell>
          <cell r="K4907" t="str">
            <v>probsi</v>
          </cell>
        </row>
        <row r="4908">
          <cell r="B4908" t="b">
            <v>1</v>
          </cell>
          <cell r="E4908" t="str">
            <v>Esperanza</v>
          </cell>
          <cell r="H4908" t="str">
            <v>laboratorio</v>
          </cell>
          <cell r="J4908" t="str">
            <v>bueno</v>
          </cell>
          <cell r="K4908" t="str">
            <v>probsi</v>
          </cell>
        </row>
        <row r="4909">
          <cell r="B4909" t="b">
            <v>1</v>
          </cell>
          <cell r="E4909" t="str">
            <v>Esperanza</v>
          </cell>
          <cell r="H4909" t="str">
            <v>laboratorio</v>
          </cell>
          <cell r="J4909" t="str">
            <v>bueno</v>
          </cell>
          <cell r="K4909" t="str">
            <v>probsi</v>
          </cell>
        </row>
        <row r="4910">
          <cell r="B4910" t="b">
            <v>1</v>
          </cell>
          <cell r="E4910" t="str">
            <v>Esperanza</v>
          </cell>
          <cell r="H4910" t="str">
            <v>laboratorio</v>
          </cell>
          <cell r="J4910" t="str">
            <v>bueno</v>
          </cell>
          <cell r="K4910" t="str">
            <v>probsi</v>
          </cell>
        </row>
        <row r="4911">
          <cell r="B4911" t="b">
            <v>1</v>
          </cell>
          <cell r="E4911" t="str">
            <v>Esperanza</v>
          </cell>
          <cell r="H4911" t="str">
            <v>salud_oral</v>
          </cell>
          <cell r="J4911" t="str">
            <v>bueno</v>
          </cell>
          <cell r="K4911" t="str">
            <v>probsi</v>
          </cell>
        </row>
        <row r="4912">
          <cell r="B4912" t="b">
            <v>1</v>
          </cell>
          <cell r="E4912" t="str">
            <v>Esperanza</v>
          </cell>
          <cell r="H4912" t="str">
            <v>salud_oral</v>
          </cell>
          <cell r="J4912" t="str">
            <v>bueno</v>
          </cell>
          <cell r="K4912" t="str">
            <v>probsi</v>
          </cell>
        </row>
        <row r="4913">
          <cell r="B4913" t="b">
            <v>1</v>
          </cell>
          <cell r="E4913" t="str">
            <v>Baru</v>
          </cell>
          <cell r="H4913" t="str">
            <v>consulta_externa</v>
          </cell>
          <cell r="J4913" t="str">
            <v>muybueno</v>
          </cell>
          <cell r="K4913" t="str">
            <v>defsi</v>
          </cell>
        </row>
        <row r="4914">
          <cell r="B4914" t="b">
            <v>1</v>
          </cell>
          <cell r="E4914" t="str">
            <v>Esperanza</v>
          </cell>
          <cell r="H4914" t="str">
            <v>salud_oral</v>
          </cell>
          <cell r="J4914" t="str">
            <v>bueno</v>
          </cell>
          <cell r="K4914" t="str">
            <v>probsi</v>
          </cell>
        </row>
        <row r="4915">
          <cell r="B4915" t="b">
            <v>1</v>
          </cell>
          <cell r="E4915" t="str">
            <v>Esperanza</v>
          </cell>
          <cell r="H4915" t="str">
            <v>salud_oral</v>
          </cell>
          <cell r="J4915" t="str">
            <v>bueno</v>
          </cell>
          <cell r="K4915" t="str">
            <v>probsi</v>
          </cell>
        </row>
        <row r="4916">
          <cell r="B4916" t="b">
            <v>1</v>
          </cell>
          <cell r="E4916" t="str">
            <v>Esperanza</v>
          </cell>
          <cell r="H4916" t="str">
            <v>salud_oral</v>
          </cell>
          <cell r="J4916" t="str">
            <v>bueno</v>
          </cell>
          <cell r="K4916" t="str">
            <v>probsi</v>
          </cell>
        </row>
        <row r="4917">
          <cell r="B4917" t="b">
            <v>1</v>
          </cell>
          <cell r="E4917" t="str">
            <v>Esperanza</v>
          </cell>
          <cell r="H4917" t="str">
            <v>salud_oral</v>
          </cell>
          <cell r="J4917" t="str">
            <v>bueno</v>
          </cell>
          <cell r="K4917" t="str">
            <v>probsi</v>
          </cell>
        </row>
        <row r="4918">
          <cell r="B4918" t="b">
            <v>1</v>
          </cell>
          <cell r="E4918" t="str">
            <v>Esperanza</v>
          </cell>
          <cell r="H4918" t="str">
            <v>salud_oral</v>
          </cell>
          <cell r="J4918" t="str">
            <v>bueno</v>
          </cell>
          <cell r="K4918" t="str">
            <v>probsi</v>
          </cell>
        </row>
        <row r="4919">
          <cell r="B4919" t="b">
            <v>1</v>
          </cell>
          <cell r="E4919" t="str">
            <v>Baru</v>
          </cell>
          <cell r="H4919" t="str">
            <v>urgencia</v>
          </cell>
          <cell r="J4919" t="str">
            <v>muybueno</v>
          </cell>
          <cell r="K4919" t="str">
            <v>defsi</v>
          </cell>
        </row>
        <row r="4920">
          <cell r="B4920" t="b">
            <v>1</v>
          </cell>
          <cell r="E4920" t="str">
            <v>Bayunca</v>
          </cell>
          <cell r="H4920" t="str">
            <v>urgencia</v>
          </cell>
          <cell r="J4920" t="str">
            <v>bueno</v>
          </cell>
          <cell r="K4920" t="str">
            <v>probsi</v>
          </cell>
        </row>
        <row r="4921">
          <cell r="B4921" t="b">
            <v>1</v>
          </cell>
          <cell r="E4921" t="str">
            <v>Bayunca</v>
          </cell>
          <cell r="H4921" t="str">
            <v>urgencia</v>
          </cell>
          <cell r="J4921" t="str">
            <v>bueno</v>
          </cell>
          <cell r="K4921" t="str">
            <v>probsi</v>
          </cell>
        </row>
        <row r="4922">
          <cell r="B4922" t="b">
            <v>0</v>
          </cell>
          <cell r="E4922" t="str">
            <v>Bayunca</v>
          </cell>
          <cell r="H4922" t="str">
            <v>urgencia</v>
          </cell>
          <cell r="J4922" t="str">
            <v>regular</v>
          </cell>
          <cell r="K4922" t="str">
            <v>probsi</v>
          </cell>
        </row>
        <row r="4923">
          <cell r="B4923" t="b">
            <v>0</v>
          </cell>
          <cell r="E4923" t="str">
            <v>Bayunca</v>
          </cell>
          <cell r="H4923" t="str">
            <v>urgencia</v>
          </cell>
          <cell r="J4923" t="str">
            <v>regular</v>
          </cell>
          <cell r="K4923" t="str">
            <v>probsi</v>
          </cell>
        </row>
        <row r="4924">
          <cell r="B4924" t="b">
            <v>1</v>
          </cell>
          <cell r="E4924" t="str">
            <v>Baru</v>
          </cell>
          <cell r="H4924" t="str">
            <v>consulta_externa</v>
          </cell>
          <cell r="J4924" t="str">
            <v>muybueno</v>
          </cell>
          <cell r="K4924" t="str">
            <v>defsi</v>
          </cell>
        </row>
        <row r="4925">
          <cell r="B4925" t="b">
            <v>1</v>
          </cell>
          <cell r="E4925" t="str">
            <v>Baru</v>
          </cell>
          <cell r="H4925" t="str">
            <v>laboratorio</v>
          </cell>
          <cell r="J4925" t="str">
            <v>muybueno</v>
          </cell>
          <cell r="K4925" t="str">
            <v>defsi</v>
          </cell>
        </row>
        <row r="4926">
          <cell r="B4926" t="b">
            <v>1</v>
          </cell>
          <cell r="E4926" t="str">
            <v>Baru</v>
          </cell>
          <cell r="H4926" t="str">
            <v>consulta_externa</v>
          </cell>
          <cell r="J4926" t="str">
            <v>muybueno</v>
          </cell>
          <cell r="K4926" t="str">
            <v>defsi</v>
          </cell>
        </row>
        <row r="4927">
          <cell r="B4927" t="b">
            <v>1</v>
          </cell>
          <cell r="E4927" t="str">
            <v>Baru</v>
          </cell>
          <cell r="H4927" t="str">
            <v>salud_oral</v>
          </cell>
          <cell r="J4927" t="str">
            <v>muybueno</v>
          </cell>
          <cell r="K4927" t="str">
            <v>defsi</v>
          </cell>
        </row>
        <row r="4928">
          <cell r="B4928" t="b">
            <v>1</v>
          </cell>
          <cell r="E4928" t="str">
            <v>Santa Ana</v>
          </cell>
          <cell r="H4928" t="str">
            <v>salud_oral</v>
          </cell>
          <cell r="J4928" t="str">
            <v>muybueno</v>
          </cell>
          <cell r="K4928" t="str">
            <v>defsi</v>
          </cell>
        </row>
        <row r="4929">
          <cell r="B4929" t="b">
            <v>1</v>
          </cell>
          <cell r="E4929" t="str">
            <v>Candelaria</v>
          </cell>
          <cell r="H4929" t="str">
            <v>urgencia</v>
          </cell>
          <cell r="J4929" t="str">
            <v>bueno</v>
          </cell>
          <cell r="K4929" t="str">
            <v>defsi</v>
          </cell>
        </row>
        <row r="4930">
          <cell r="B4930" t="b">
            <v>1</v>
          </cell>
          <cell r="E4930" t="str">
            <v>Candelaria</v>
          </cell>
          <cell r="H4930" t="str">
            <v>urgencia</v>
          </cell>
          <cell r="J4930" t="str">
            <v>bueno</v>
          </cell>
          <cell r="K4930" t="str">
            <v>defsi</v>
          </cell>
        </row>
        <row r="4931">
          <cell r="B4931" t="b">
            <v>0</v>
          </cell>
          <cell r="E4931" t="str">
            <v>Candelaria</v>
          </cell>
          <cell r="H4931" t="str">
            <v>urgencia</v>
          </cell>
          <cell r="J4931" t="str">
            <v>regular</v>
          </cell>
          <cell r="K4931" t="str">
            <v>probsi</v>
          </cell>
        </row>
        <row r="4932">
          <cell r="B4932" t="b">
            <v>0</v>
          </cell>
          <cell r="E4932" t="str">
            <v>Candelaria</v>
          </cell>
          <cell r="H4932" t="str">
            <v>urgencia</v>
          </cell>
          <cell r="J4932" t="str">
            <v>regular</v>
          </cell>
          <cell r="K4932" t="str">
            <v>defsi</v>
          </cell>
        </row>
        <row r="4933">
          <cell r="B4933" t="b">
            <v>0</v>
          </cell>
          <cell r="E4933" t="str">
            <v>Candelaria</v>
          </cell>
          <cell r="H4933" t="str">
            <v>urgencia</v>
          </cell>
          <cell r="J4933" t="str">
            <v>regular</v>
          </cell>
          <cell r="K4933" t="str">
            <v>defsi</v>
          </cell>
        </row>
        <row r="4934">
          <cell r="B4934" t="b">
            <v>1</v>
          </cell>
          <cell r="E4934" t="str">
            <v>Santa Ana</v>
          </cell>
          <cell r="H4934" t="str">
            <v>consulta_externa</v>
          </cell>
          <cell r="J4934" t="str">
            <v>muybueno</v>
          </cell>
          <cell r="K4934" t="str">
            <v>defsi</v>
          </cell>
        </row>
        <row r="4935">
          <cell r="B4935" t="b">
            <v>1</v>
          </cell>
          <cell r="E4935" t="str">
            <v>Santa Ana</v>
          </cell>
          <cell r="H4935" t="str">
            <v>laboratorio</v>
          </cell>
          <cell r="J4935" t="str">
            <v>muybueno</v>
          </cell>
          <cell r="K4935" t="str">
            <v>defsi</v>
          </cell>
        </row>
        <row r="4936">
          <cell r="B4936" t="b">
            <v>1</v>
          </cell>
          <cell r="E4936" t="str">
            <v>Santa Ana</v>
          </cell>
          <cell r="H4936" t="str">
            <v>salud_oral</v>
          </cell>
          <cell r="J4936" t="str">
            <v>muybueno</v>
          </cell>
          <cell r="K4936" t="str">
            <v>defsi</v>
          </cell>
        </row>
        <row r="4937">
          <cell r="B4937" t="b">
            <v>1</v>
          </cell>
          <cell r="E4937" t="str">
            <v>Santa Ana</v>
          </cell>
          <cell r="H4937" t="str">
            <v>consulta_externa</v>
          </cell>
          <cell r="J4937" t="str">
            <v>muybueno</v>
          </cell>
          <cell r="K4937" t="str">
            <v>defsi</v>
          </cell>
        </row>
        <row r="4938">
          <cell r="B4938" t="b">
            <v>1</v>
          </cell>
          <cell r="E4938" t="str">
            <v>Santa Ana</v>
          </cell>
          <cell r="H4938" t="str">
            <v>laboratorio</v>
          </cell>
          <cell r="J4938" t="str">
            <v>muybueno</v>
          </cell>
          <cell r="K4938" t="str">
            <v>defsi</v>
          </cell>
        </row>
        <row r="4939">
          <cell r="B4939" t="b">
            <v>1</v>
          </cell>
          <cell r="E4939" t="str">
            <v>Santa Ana</v>
          </cell>
          <cell r="H4939" t="str">
            <v>consulta_externa</v>
          </cell>
          <cell r="J4939" t="str">
            <v>muybueno</v>
          </cell>
          <cell r="K4939" t="str">
            <v>defsi</v>
          </cell>
        </row>
        <row r="4940">
          <cell r="B4940" t="b">
            <v>1</v>
          </cell>
          <cell r="E4940" t="str">
            <v>Santa Ana</v>
          </cell>
          <cell r="H4940" t="str">
            <v>laboratorio</v>
          </cell>
          <cell r="J4940" t="str">
            <v>muybueno</v>
          </cell>
          <cell r="K4940" t="str">
            <v>defsi</v>
          </cell>
        </row>
        <row r="4941">
          <cell r="B4941" t="b">
            <v>0</v>
          </cell>
          <cell r="E4941" t="str">
            <v>Candelaria</v>
          </cell>
          <cell r="H4941" t="str">
            <v>urgencia</v>
          </cell>
          <cell r="J4941" t="str">
            <v>regular</v>
          </cell>
          <cell r="K4941" t="str">
            <v>probsi</v>
          </cell>
        </row>
        <row r="4942">
          <cell r="B4942" t="b">
            <v>1</v>
          </cell>
          <cell r="E4942" t="str">
            <v>Candelaria</v>
          </cell>
          <cell r="H4942" t="str">
            <v>urgencia</v>
          </cell>
          <cell r="J4942" t="str">
            <v>bueno</v>
          </cell>
          <cell r="K4942" t="str">
            <v>defsi</v>
          </cell>
        </row>
        <row r="4943">
          <cell r="B4943" t="b">
            <v>1</v>
          </cell>
          <cell r="E4943" t="str">
            <v>Candelaria</v>
          </cell>
          <cell r="H4943" t="str">
            <v>medicina_interna</v>
          </cell>
          <cell r="J4943" t="str">
            <v>bueno</v>
          </cell>
          <cell r="K4943" t="str">
            <v>defsi</v>
          </cell>
        </row>
        <row r="4944">
          <cell r="B4944" t="b">
            <v>1</v>
          </cell>
          <cell r="E4944" t="str">
            <v>Candelaria</v>
          </cell>
          <cell r="H4944" t="str">
            <v>medicina_interna</v>
          </cell>
          <cell r="J4944" t="str">
            <v>muybueno</v>
          </cell>
          <cell r="K4944" t="str">
            <v>defsi</v>
          </cell>
        </row>
        <row r="4945">
          <cell r="B4945" t="b">
            <v>1</v>
          </cell>
          <cell r="E4945" t="str">
            <v>Candelaria</v>
          </cell>
          <cell r="H4945" t="str">
            <v>medicina_interna</v>
          </cell>
          <cell r="J4945" t="str">
            <v>bueno</v>
          </cell>
          <cell r="K4945" t="str">
            <v>defsi</v>
          </cell>
        </row>
        <row r="4946">
          <cell r="B4946" t="b">
            <v>0</v>
          </cell>
          <cell r="E4946" t="str">
            <v>Candelaria</v>
          </cell>
          <cell r="H4946" t="str">
            <v>medicina_interna</v>
          </cell>
          <cell r="J4946" t="str">
            <v>regular</v>
          </cell>
          <cell r="K4946" t="str">
            <v>defsi</v>
          </cell>
        </row>
        <row r="4947">
          <cell r="B4947" t="b">
            <v>1</v>
          </cell>
          <cell r="E4947" t="str">
            <v>Candelaria</v>
          </cell>
          <cell r="H4947" t="str">
            <v>medicina_interna</v>
          </cell>
          <cell r="J4947" t="str">
            <v>bueno</v>
          </cell>
          <cell r="K4947" t="str">
            <v>defsi</v>
          </cell>
        </row>
        <row r="4948">
          <cell r="B4948" t="b">
            <v>1</v>
          </cell>
          <cell r="E4948" t="str">
            <v>Candelaria</v>
          </cell>
          <cell r="H4948" t="str">
            <v>medicina_interna</v>
          </cell>
          <cell r="J4948" t="str">
            <v>bueno</v>
          </cell>
          <cell r="K4948" t="str">
            <v>defsi</v>
          </cell>
        </row>
        <row r="4949">
          <cell r="B4949" t="b">
            <v>1</v>
          </cell>
          <cell r="E4949" t="str">
            <v>Candelaria</v>
          </cell>
          <cell r="H4949" t="str">
            <v>urgencia</v>
          </cell>
          <cell r="J4949" t="str">
            <v>bueno</v>
          </cell>
          <cell r="K4949" t="str">
            <v>defsi</v>
          </cell>
        </row>
        <row r="4950">
          <cell r="B4950" t="b">
            <v>1</v>
          </cell>
          <cell r="E4950" t="str">
            <v>Candelaria</v>
          </cell>
          <cell r="H4950" t="str">
            <v>urgencia</v>
          </cell>
          <cell r="J4950" t="str">
            <v>bueno</v>
          </cell>
          <cell r="K4950" t="str">
            <v>defsi</v>
          </cell>
        </row>
        <row r="4951">
          <cell r="B4951" t="b">
            <v>1</v>
          </cell>
          <cell r="E4951" t="str">
            <v>Candelaria</v>
          </cell>
          <cell r="H4951" t="str">
            <v>urgencia</v>
          </cell>
          <cell r="J4951" t="str">
            <v>bueno</v>
          </cell>
          <cell r="K4951" t="str">
            <v>defsi</v>
          </cell>
        </row>
        <row r="4952">
          <cell r="B4952" t="b">
            <v>0</v>
          </cell>
          <cell r="E4952" t="str">
            <v>Candelaria</v>
          </cell>
          <cell r="H4952" t="str">
            <v>urgencia</v>
          </cell>
          <cell r="J4952" t="str">
            <v>regular</v>
          </cell>
          <cell r="K4952" t="str">
            <v>probsi</v>
          </cell>
        </row>
        <row r="4953">
          <cell r="B4953" t="b">
            <v>1</v>
          </cell>
          <cell r="E4953" t="str">
            <v>Candelaria</v>
          </cell>
          <cell r="H4953" t="str">
            <v>urgencia</v>
          </cell>
          <cell r="J4953" t="str">
            <v>bueno</v>
          </cell>
          <cell r="K4953" t="str">
            <v>defsi</v>
          </cell>
        </row>
        <row r="4954">
          <cell r="B4954" t="b">
            <v>1</v>
          </cell>
          <cell r="E4954" t="str">
            <v>Candelaria</v>
          </cell>
          <cell r="H4954" t="str">
            <v>medicina_interna</v>
          </cell>
          <cell r="J4954" t="str">
            <v>bueno</v>
          </cell>
          <cell r="K4954" t="str">
            <v>defsi</v>
          </cell>
        </row>
        <row r="4955">
          <cell r="B4955" t="b">
            <v>0</v>
          </cell>
          <cell r="E4955" t="str">
            <v>Candelaria</v>
          </cell>
          <cell r="H4955" t="str">
            <v>medicina_interna</v>
          </cell>
          <cell r="J4955" t="str">
            <v>regular</v>
          </cell>
          <cell r="K4955" t="str">
            <v>defsi</v>
          </cell>
        </row>
        <row r="4956">
          <cell r="B4956" t="b">
            <v>1</v>
          </cell>
          <cell r="E4956" t="str">
            <v>Nuevo Bosque</v>
          </cell>
          <cell r="H4956" t="str">
            <v>consulta_externa</v>
          </cell>
          <cell r="J4956" t="str">
            <v>bueno</v>
          </cell>
          <cell r="K4956" t="str">
            <v>defsi</v>
          </cell>
        </row>
        <row r="4957">
          <cell r="B4957" t="b">
            <v>1</v>
          </cell>
          <cell r="E4957" t="str">
            <v>Arroyo Grande</v>
          </cell>
          <cell r="H4957" t="str">
            <v>consulta_externa</v>
          </cell>
          <cell r="J4957" t="str">
            <v>bueno</v>
          </cell>
          <cell r="K4957" t="str">
            <v>defsi</v>
          </cell>
        </row>
        <row r="4958">
          <cell r="B4958" t="b">
            <v>1</v>
          </cell>
          <cell r="E4958" t="str">
            <v>Nuevo Bosque</v>
          </cell>
          <cell r="H4958" t="str">
            <v>salud_oral</v>
          </cell>
          <cell r="J4958" t="str">
            <v>bueno</v>
          </cell>
          <cell r="K4958" t="str">
            <v>defsi</v>
          </cell>
        </row>
        <row r="4959">
          <cell r="B4959" t="b">
            <v>1</v>
          </cell>
          <cell r="E4959" t="str">
            <v>Nuevo Bosque</v>
          </cell>
          <cell r="H4959" t="str">
            <v>laboratorio</v>
          </cell>
          <cell r="J4959" t="str">
            <v>bueno</v>
          </cell>
          <cell r="K4959" t="str">
            <v>defsi</v>
          </cell>
        </row>
        <row r="4960">
          <cell r="B4960" t="b">
            <v>1</v>
          </cell>
          <cell r="E4960" t="str">
            <v>Nuevo Bosque</v>
          </cell>
          <cell r="H4960" t="str">
            <v>urgencia</v>
          </cell>
          <cell r="J4960" t="str">
            <v>bueno</v>
          </cell>
          <cell r="K4960" t="str">
            <v>defsi</v>
          </cell>
        </row>
        <row r="4961">
          <cell r="B4961" t="b">
            <v>1</v>
          </cell>
          <cell r="E4961" t="str">
            <v>Nuevo Bosque</v>
          </cell>
          <cell r="H4961" t="str">
            <v>consulta_externa</v>
          </cell>
          <cell r="J4961" t="str">
            <v>bueno</v>
          </cell>
          <cell r="K4961" t="str">
            <v>defsi</v>
          </cell>
        </row>
        <row r="4962">
          <cell r="B4962" t="b">
            <v>1</v>
          </cell>
          <cell r="E4962" t="str">
            <v>Nuevo Bosque</v>
          </cell>
          <cell r="H4962" t="str">
            <v>salud_oral</v>
          </cell>
          <cell r="J4962" t="str">
            <v>bueno</v>
          </cell>
          <cell r="K4962" t="str">
            <v>defsi</v>
          </cell>
        </row>
        <row r="4963">
          <cell r="B4963" t="b">
            <v>1</v>
          </cell>
          <cell r="E4963" t="str">
            <v>Nuevo Bosque</v>
          </cell>
          <cell r="H4963" t="str">
            <v>laboratorio</v>
          </cell>
          <cell r="J4963" t="str">
            <v>bueno</v>
          </cell>
          <cell r="K4963" t="str">
            <v>defsi</v>
          </cell>
        </row>
        <row r="4964">
          <cell r="B4964" t="b">
            <v>1</v>
          </cell>
          <cell r="E4964" t="str">
            <v>Nuevo Bosque</v>
          </cell>
          <cell r="H4964" t="str">
            <v>urgencia</v>
          </cell>
          <cell r="J4964" t="str">
            <v>bueno</v>
          </cell>
          <cell r="K4964" t="str">
            <v>defsi</v>
          </cell>
        </row>
        <row r="4965">
          <cell r="B4965" t="b">
            <v>1</v>
          </cell>
          <cell r="E4965" t="str">
            <v>Nuevo Bosque</v>
          </cell>
          <cell r="H4965" t="str">
            <v>consulta_externa</v>
          </cell>
          <cell r="J4965" t="str">
            <v>bueno</v>
          </cell>
          <cell r="K4965" t="str">
            <v>defsi</v>
          </cell>
        </row>
        <row r="4966">
          <cell r="B4966" t="b">
            <v>1</v>
          </cell>
          <cell r="E4966" t="str">
            <v>Nuevo Bosque</v>
          </cell>
          <cell r="H4966" t="str">
            <v>salud_oral</v>
          </cell>
          <cell r="J4966" t="str">
            <v>bueno</v>
          </cell>
          <cell r="K4966" t="str">
            <v>defsi</v>
          </cell>
        </row>
        <row r="4967">
          <cell r="B4967" t="b">
            <v>1</v>
          </cell>
          <cell r="E4967" t="str">
            <v>Nuevo Bosque</v>
          </cell>
          <cell r="H4967" t="str">
            <v>laboratorio</v>
          </cell>
          <cell r="J4967" t="str">
            <v>bueno</v>
          </cell>
          <cell r="K4967" t="str">
            <v>defsi</v>
          </cell>
        </row>
        <row r="4968">
          <cell r="B4968" t="b">
            <v>1</v>
          </cell>
          <cell r="E4968" t="str">
            <v>Nuevo Bosque</v>
          </cell>
          <cell r="H4968" t="str">
            <v>urgencia</v>
          </cell>
          <cell r="J4968" t="str">
            <v>bueno</v>
          </cell>
          <cell r="K4968" t="str">
            <v>defsi</v>
          </cell>
        </row>
        <row r="4969">
          <cell r="B4969" t="b">
            <v>0</v>
          </cell>
          <cell r="E4969" t="str">
            <v>San Pedro y Libertad</v>
          </cell>
          <cell r="H4969" t="str">
            <v>consulta_externa</v>
          </cell>
          <cell r="J4969" t="str">
            <v>regular</v>
          </cell>
          <cell r="K4969" t="str">
            <v>probsi</v>
          </cell>
        </row>
        <row r="4970">
          <cell r="B4970" t="b">
            <v>1</v>
          </cell>
          <cell r="E4970" t="str">
            <v>San Pedro y Libertad</v>
          </cell>
          <cell r="H4970" t="str">
            <v>salud_oral</v>
          </cell>
          <cell r="J4970" t="str">
            <v>bueno</v>
          </cell>
          <cell r="K4970" t="str">
            <v>probsi</v>
          </cell>
        </row>
        <row r="4971">
          <cell r="B4971" t="b">
            <v>1</v>
          </cell>
          <cell r="E4971" t="str">
            <v>San Pedro y Libertad</v>
          </cell>
          <cell r="H4971" t="str">
            <v>consulta_externa</v>
          </cell>
          <cell r="J4971" t="str">
            <v>bueno</v>
          </cell>
          <cell r="K4971" t="str">
            <v>probsi</v>
          </cell>
        </row>
        <row r="4972">
          <cell r="B4972" t="b">
            <v>1</v>
          </cell>
          <cell r="E4972" t="str">
            <v>San Pedro y Libertad</v>
          </cell>
          <cell r="H4972" t="str">
            <v>consulta_externa</v>
          </cell>
          <cell r="J4972" t="str">
            <v>bueno</v>
          </cell>
          <cell r="K4972" t="str">
            <v>probsi</v>
          </cell>
        </row>
        <row r="4973">
          <cell r="B4973" t="b">
            <v>1</v>
          </cell>
          <cell r="E4973" t="str">
            <v>San Pedro y Libertad</v>
          </cell>
          <cell r="H4973" t="str">
            <v>laboratorio</v>
          </cell>
          <cell r="J4973" t="str">
            <v>bueno</v>
          </cell>
          <cell r="K4973" t="str">
            <v>probsi</v>
          </cell>
        </row>
        <row r="4974">
          <cell r="B4974" t="b">
            <v>0</v>
          </cell>
          <cell r="E4974" t="str">
            <v>San Pedro y Libertad</v>
          </cell>
          <cell r="H4974" t="str">
            <v>laboratorio</v>
          </cell>
          <cell r="J4974" t="str">
            <v>regular</v>
          </cell>
          <cell r="K4974" t="str">
            <v>probsi</v>
          </cell>
        </row>
        <row r="4975">
          <cell r="B4975" t="b">
            <v>0</v>
          </cell>
          <cell r="E4975" t="str">
            <v>San Pedro y Libertad</v>
          </cell>
          <cell r="H4975" t="str">
            <v>salud_oral</v>
          </cell>
          <cell r="J4975" t="str">
            <v>regular</v>
          </cell>
          <cell r="K4975" t="str">
            <v>probsi</v>
          </cell>
        </row>
        <row r="4976">
          <cell r="B4976" t="b">
            <v>0</v>
          </cell>
          <cell r="E4976" t="str">
            <v>San Pedro y Libertad</v>
          </cell>
          <cell r="H4976" t="str">
            <v>salud_oral</v>
          </cell>
          <cell r="J4976" t="str">
            <v>regular</v>
          </cell>
          <cell r="K4976" t="str">
            <v>probsi</v>
          </cell>
        </row>
        <row r="4977">
          <cell r="B4977" t="b">
            <v>1</v>
          </cell>
          <cell r="E4977" t="str">
            <v>Arroyo Grande</v>
          </cell>
          <cell r="H4977" t="str">
            <v>laboratorio</v>
          </cell>
          <cell r="J4977" t="str">
            <v>bueno</v>
          </cell>
          <cell r="K4977" t="str">
            <v>defsi</v>
          </cell>
        </row>
        <row r="4978">
          <cell r="B4978" t="b">
            <v>1</v>
          </cell>
          <cell r="E4978" t="str">
            <v>Arroyo Grande</v>
          </cell>
          <cell r="H4978" t="str">
            <v>consulta_externa</v>
          </cell>
          <cell r="J4978" t="str">
            <v>bueno</v>
          </cell>
          <cell r="K4978" t="str">
            <v>defsi</v>
          </cell>
        </row>
        <row r="4979">
          <cell r="B4979" t="b">
            <v>1</v>
          </cell>
          <cell r="E4979" t="str">
            <v>Arroyo Grande</v>
          </cell>
          <cell r="H4979" t="str">
            <v>consulta_externa</v>
          </cell>
          <cell r="J4979" t="str">
            <v>bueno</v>
          </cell>
          <cell r="K4979" t="str">
            <v>defsi</v>
          </cell>
        </row>
        <row r="4980">
          <cell r="B4980" t="b">
            <v>1</v>
          </cell>
          <cell r="E4980" t="str">
            <v>Nuevo Bosque</v>
          </cell>
          <cell r="H4980" t="str">
            <v>consulta_externa</v>
          </cell>
          <cell r="J4980" t="str">
            <v>bueno</v>
          </cell>
          <cell r="K4980" t="str">
            <v>defsi</v>
          </cell>
        </row>
        <row r="4981">
          <cell r="B4981" t="b">
            <v>1</v>
          </cell>
          <cell r="E4981" t="str">
            <v>Arroyo Grande</v>
          </cell>
          <cell r="H4981" t="str">
            <v>laboratorio</v>
          </cell>
          <cell r="J4981" t="str">
            <v>bueno</v>
          </cell>
          <cell r="K4981" t="str">
            <v>defsi</v>
          </cell>
        </row>
        <row r="4982">
          <cell r="B4982" t="b">
            <v>1</v>
          </cell>
          <cell r="E4982" t="str">
            <v>Nuevo Bosque</v>
          </cell>
          <cell r="H4982" t="str">
            <v>salud_oral</v>
          </cell>
          <cell r="J4982" t="str">
            <v>bueno</v>
          </cell>
          <cell r="K4982" t="str">
            <v>defsi</v>
          </cell>
        </row>
        <row r="4983">
          <cell r="B4983" t="b">
            <v>1</v>
          </cell>
          <cell r="E4983" t="str">
            <v>Nuevo Bosque</v>
          </cell>
          <cell r="H4983" t="str">
            <v>laboratorio</v>
          </cell>
          <cell r="J4983" t="str">
            <v>bueno</v>
          </cell>
          <cell r="K4983" t="str">
            <v>defsi</v>
          </cell>
        </row>
        <row r="4984">
          <cell r="B4984" t="b">
            <v>1</v>
          </cell>
          <cell r="E4984" t="str">
            <v>Arroyo Grande</v>
          </cell>
          <cell r="H4984" t="str">
            <v>laboratorio</v>
          </cell>
          <cell r="J4984" t="str">
            <v>bueno</v>
          </cell>
          <cell r="K4984" t="str">
            <v>defsi</v>
          </cell>
        </row>
        <row r="4985">
          <cell r="B4985" t="b">
            <v>1</v>
          </cell>
          <cell r="E4985" t="str">
            <v>Arroyo Grande</v>
          </cell>
          <cell r="H4985" t="str">
            <v>consulta_externa</v>
          </cell>
          <cell r="J4985" t="str">
            <v>bueno</v>
          </cell>
          <cell r="K4985" t="str">
            <v>defsi</v>
          </cell>
        </row>
        <row r="4986">
          <cell r="B4986" t="b">
            <v>1</v>
          </cell>
          <cell r="E4986" t="str">
            <v>San Pedro y Libertad</v>
          </cell>
          <cell r="H4986" t="str">
            <v>consulta_externa</v>
          </cell>
          <cell r="J4986" t="str">
            <v>bueno</v>
          </cell>
          <cell r="K4986" t="str">
            <v>probsi</v>
          </cell>
        </row>
        <row r="4987">
          <cell r="B4987" t="b">
            <v>1</v>
          </cell>
          <cell r="E4987" t="str">
            <v>San Pedro y Libertad</v>
          </cell>
          <cell r="H4987" t="str">
            <v>salud_oral</v>
          </cell>
          <cell r="J4987" t="str">
            <v>bueno</v>
          </cell>
          <cell r="K4987" t="str">
            <v>probsi</v>
          </cell>
        </row>
        <row r="4988">
          <cell r="B4988" t="b">
            <v>1</v>
          </cell>
          <cell r="E4988" t="str">
            <v>Nuevo Bosque</v>
          </cell>
          <cell r="H4988" t="str">
            <v>urgencia</v>
          </cell>
          <cell r="J4988" t="str">
            <v>bueno</v>
          </cell>
          <cell r="K4988" t="str">
            <v>defsi</v>
          </cell>
        </row>
        <row r="4989">
          <cell r="B4989" t="b">
            <v>1</v>
          </cell>
          <cell r="E4989" t="str">
            <v>Arroyo Grande</v>
          </cell>
          <cell r="H4989" t="str">
            <v>laboratorio</v>
          </cell>
          <cell r="J4989" t="str">
            <v>bueno</v>
          </cell>
          <cell r="K4989" t="str">
            <v>defsi</v>
          </cell>
        </row>
        <row r="4990">
          <cell r="B4990" t="b">
            <v>1</v>
          </cell>
          <cell r="E4990" t="str">
            <v>San Pedro y Libertad</v>
          </cell>
          <cell r="H4990" t="str">
            <v>laboratorio</v>
          </cell>
          <cell r="J4990" t="str">
            <v>bueno</v>
          </cell>
          <cell r="K4990" t="str">
            <v>probsi</v>
          </cell>
        </row>
        <row r="4991">
          <cell r="B4991" t="b">
            <v>1</v>
          </cell>
          <cell r="E4991" t="str">
            <v>Arroyo Grande</v>
          </cell>
          <cell r="H4991" t="str">
            <v>consulta_externa</v>
          </cell>
          <cell r="J4991" t="str">
            <v>bueno</v>
          </cell>
          <cell r="K4991" t="str">
            <v>defsi</v>
          </cell>
        </row>
        <row r="4992">
          <cell r="B4992" t="b">
            <v>1</v>
          </cell>
          <cell r="E4992" t="str">
            <v>Arroyo Grande</v>
          </cell>
          <cell r="H4992" t="str">
            <v>laboratorio</v>
          </cell>
          <cell r="J4992" t="str">
            <v>bueno</v>
          </cell>
          <cell r="K4992" t="str">
            <v>defsi</v>
          </cell>
        </row>
        <row r="4993">
          <cell r="B4993" t="b">
            <v>1</v>
          </cell>
          <cell r="E4993" t="str">
            <v>San Pedro y Libertad</v>
          </cell>
          <cell r="H4993" t="str">
            <v>consulta_externa</v>
          </cell>
          <cell r="J4993" t="str">
            <v>bueno</v>
          </cell>
          <cell r="K4993" t="str">
            <v>probsi</v>
          </cell>
        </row>
        <row r="4994">
          <cell r="B4994" t="b">
            <v>1</v>
          </cell>
          <cell r="E4994" t="str">
            <v>Arroyo Grande</v>
          </cell>
          <cell r="H4994" t="str">
            <v>consulta_externa</v>
          </cell>
          <cell r="J4994" t="str">
            <v>bueno</v>
          </cell>
          <cell r="K4994" t="str">
            <v>defsi</v>
          </cell>
        </row>
        <row r="4995">
          <cell r="B4995" t="b">
            <v>1</v>
          </cell>
          <cell r="E4995" t="str">
            <v>San Pedro y Libertad</v>
          </cell>
          <cell r="H4995" t="str">
            <v>salud_oral</v>
          </cell>
          <cell r="J4995" t="str">
            <v>bueno</v>
          </cell>
          <cell r="K4995" t="str">
            <v>probsi</v>
          </cell>
        </row>
        <row r="4996">
          <cell r="B4996" t="b">
            <v>1</v>
          </cell>
          <cell r="E4996" t="str">
            <v>San Pedro y Libertad</v>
          </cell>
          <cell r="H4996" t="str">
            <v>consulta_externa</v>
          </cell>
          <cell r="J4996" t="str">
            <v>bueno</v>
          </cell>
          <cell r="K4996" t="str">
            <v>probsi</v>
          </cell>
        </row>
        <row r="4997">
          <cell r="B4997" t="b">
            <v>1</v>
          </cell>
          <cell r="E4997" t="str">
            <v>Arroyo Grande</v>
          </cell>
          <cell r="H4997" t="str">
            <v>laboratorio</v>
          </cell>
          <cell r="J4997" t="str">
            <v>bueno</v>
          </cell>
          <cell r="K4997" t="str">
            <v>probsi</v>
          </cell>
        </row>
        <row r="4998">
          <cell r="B4998" t="b">
            <v>1</v>
          </cell>
          <cell r="E4998" t="str">
            <v>Arroyo Grande</v>
          </cell>
          <cell r="H4998" t="str">
            <v>consulta_externa</v>
          </cell>
          <cell r="J4998" t="str">
            <v>bueno</v>
          </cell>
          <cell r="K4998" t="str">
            <v>probsi</v>
          </cell>
        </row>
        <row r="4999">
          <cell r="B4999" t="b">
            <v>0</v>
          </cell>
          <cell r="E4999" t="str">
            <v>San Pedro y Libertad</v>
          </cell>
          <cell r="H4999" t="str">
            <v>laboratorio</v>
          </cell>
          <cell r="J4999" t="str">
            <v>regular</v>
          </cell>
          <cell r="K4999" t="str">
            <v>probsi</v>
          </cell>
        </row>
        <row r="5000">
          <cell r="B5000" t="b">
            <v>1</v>
          </cell>
          <cell r="E5000" t="str">
            <v>Arroyo Grande</v>
          </cell>
          <cell r="H5000" t="str">
            <v>consulta_externa</v>
          </cell>
          <cell r="J5000" t="str">
            <v>bueno</v>
          </cell>
          <cell r="K5000" t="str">
            <v>defsi</v>
          </cell>
        </row>
        <row r="5001">
          <cell r="B5001" t="b">
            <v>1</v>
          </cell>
          <cell r="E5001" t="str">
            <v>Arroyo Grande</v>
          </cell>
          <cell r="H5001" t="str">
            <v>laboratorio</v>
          </cell>
          <cell r="J5001" t="str">
            <v>bueno</v>
          </cell>
          <cell r="K5001" t="str">
            <v>defsi</v>
          </cell>
        </row>
        <row r="5002">
          <cell r="B5002" t="b">
            <v>1</v>
          </cell>
          <cell r="E5002" t="str">
            <v>Arroyo Grande</v>
          </cell>
          <cell r="H5002" t="str">
            <v>laboratorio</v>
          </cell>
          <cell r="J5002" t="str">
            <v>muybueno</v>
          </cell>
          <cell r="K5002" t="str">
            <v>defsi</v>
          </cell>
        </row>
        <row r="5003">
          <cell r="B5003" t="b">
            <v>1</v>
          </cell>
          <cell r="E5003" t="str">
            <v>Arroyo Grande</v>
          </cell>
          <cell r="H5003" t="str">
            <v>consulta_externa</v>
          </cell>
          <cell r="J5003" t="str">
            <v>muybueno</v>
          </cell>
          <cell r="K5003" t="str">
            <v>defsi</v>
          </cell>
        </row>
        <row r="5004">
          <cell r="B5004" t="b">
            <v>0</v>
          </cell>
          <cell r="E5004" t="str">
            <v>Arroyo Grande</v>
          </cell>
          <cell r="H5004" t="str">
            <v>consulta_externa</v>
          </cell>
          <cell r="J5004" t="str">
            <v>malo</v>
          </cell>
          <cell r="K5004" t="str">
            <v>probno</v>
          </cell>
        </row>
        <row r="5005">
          <cell r="B5005" t="b">
            <v>0</v>
          </cell>
          <cell r="E5005" t="str">
            <v>San Pedro y Libertad</v>
          </cell>
          <cell r="H5005" t="str">
            <v>laboratorio</v>
          </cell>
          <cell r="J5005" t="str">
            <v>regular</v>
          </cell>
          <cell r="K5005" t="str">
            <v>probsi</v>
          </cell>
        </row>
        <row r="5006">
          <cell r="B5006" t="b">
            <v>1</v>
          </cell>
          <cell r="E5006" t="str">
            <v>San Pedro y Libertad</v>
          </cell>
          <cell r="H5006" t="str">
            <v>laboratorio</v>
          </cell>
          <cell r="J5006" t="str">
            <v>bueno</v>
          </cell>
          <cell r="K5006" t="str">
            <v>probsi</v>
          </cell>
        </row>
        <row r="5007">
          <cell r="B5007" t="b">
            <v>1</v>
          </cell>
          <cell r="E5007" t="str">
            <v>Arroyo Grande</v>
          </cell>
          <cell r="H5007" t="str">
            <v>salud_oral</v>
          </cell>
          <cell r="J5007" t="str">
            <v>bueno</v>
          </cell>
          <cell r="K5007" t="str">
            <v>defsi</v>
          </cell>
        </row>
        <row r="5008">
          <cell r="B5008" t="b">
            <v>1</v>
          </cell>
          <cell r="E5008" t="str">
            <v>San Pedro y Libertad</v>
          </cell>
          <cell r="H5008" t="str">
            <v>laboratorio</v>
          </cell>
          <cell r="J5008" t="str">
            <v>bueno</v>
          </cell>
          <cell r="K5008" t="str">
            <v>probsi</v>
          </cell>
        </row>
        <row r="5009">
          <cell r="B5009" t="b">
            <v>1</v>
          </cell>
          <cell r="E5009" t="str">
            <v>Nuevo Bosque</v>
          </cell>
          <cell r="H5009" t="str">
            <v>consulta_externa</v>
          </cell>
          <cell r="J5009" t="str">
            <v>bueno</v>
          </cell>
          <cell r="K5009" t="str">
            <v>defsi</v>
          </cell>
        </row>
        <row r="5010">
          <cell r="B5010" t="b">
            <v>1</v>
          </cell>
          <cell r="E5010" t="str">
            <v>Arroyo Grande</v>
          </cell>
          <cell r="H5010" t="str">
            <v>salud_oral</v>
          </cell>
          <cell r="J5010" t="str">
            <v>muybueno</v>
          </cell>
          <cell r="K5010" t="str">
            <v>defsi</v>
          </cell>
        </row>
        <row r="5011">
          <cell r="B5011" t="b">
            <v>0</v>
          </cell>
          <cell r="E5011" t="str">
            <v>San Pedro y Libertad</v>
          </cell>
          <cell r="H5011" t="str">
            <v>laboratorio</v>
          </cell>
          <cell r="J5011" t="str">
            <v>regular</v>
          </cell>
          <cell r="K5011" t="str">
            <v>probno</v>
          </cell>
        </row>
        <row r="5012">
          <cell r="B5012" t="b">
            <v>1</v>
          </cell>
          <cell r="E5012" t="str">
            <v>Nuevo Bosque</v>
          </cell>
          <cell r="H5012" t="str">
            <v>salud_oral</v>
          </cell>
          <cell r="J5012" t="str">
            <v>bueno</v>
          </cell>
          <cell r="K5012" t="str">
            <v>defsi</v>
          </cell>
        </row>
        <row r="5013">
          <cell r="B5013" t="b">
            <v>1</v>
          </cell>
          <cell r="E5013" t="str">
            <v>Arroyo Grande</v>
          </cell>
          <cell r="H5013" t="str">
            <v>salud_oral</v>
          </cell>
          <cell r="J5013" t="str">
            <v>bueno</v>
          </cell>
          <cell r="K5013" t="str">
            <v>defsi</v>
          </cell>
        </row>
        <row r="5014">
          <cell r="B5014" t="b">
            <v>1</v>
          </cell>
          <cell r="E5014" t="str">
            <v>Arroyo Grande</v>
          </cell>
          <cell r="H5014" t="str">
            <v>salud_oral</v>
          </cell>
          <cell r="J5014" t="str">
            <v>bueno</v>
          </cell>
          <cell r="K5014" t="str">
            <v>defsi</v>
          </cell>
        </row>
        <row r="5015">
          <cell r="B5015" t="b">
            <v>1</v>
          </cell>
          <cell r="E5015" t="str">
            <v>Nuevo Bosque</v>
          </cell>
          <cell r="H5015" t="str">
            <v>laboratorio</v>
          </cell>
          <cell r="J5015" t="str">
            <v>bueno</v>
          </cell>
          <cell r="K5015" t="str">
            <v>defsi</v>
          </cell>
        </row>
        <row r="5016">
          <cell r="B5016" t="b">
            <v>1</v>
          </cell>
          <cell r="E5016" t="str">
            <v>Arroyo Grande</v>
          </cell>
          <cell r="H5016" t="str">
            <v>salud_oral</v>
          </cell>
          <cell r="J5016" t="str">
            <v>bueno</v>
          </cell>
          <cell r="K5016" t="str">
            <v>defsi</v>
          </cell>
        </row>
        <row r="5017">
          <cell r="B5017" t="b">
            <v>1</v>
          </cell>
          <cell r="E5017" t="str">
            <v>Nuevo Bosque</v>
          </cell>
          <cell r="H5017" t="str">
            <v>urgencia</v>
          </cell>
          <cell r="J5017" t="str">
            <v>bueno</v>
          </cell>
          <cell r="K5017" t="str">
            <v>defsi</v>
          </cell>
        </row>
        <row r="5018">
          <cell r="B5018" t="b">
            <v>1</v>
          </cell>
          <cell r="E5018" t="str">
            <v>Arroyo Grande</v>
          </cell>
          <cell r="H5018" t="str">
            <v>salud_oral</v>
          </cell>
          <cell r="J5018" t="str">
            <v>bueno</v>
          </cell>
          <cell r="K5018" t="str">
            <v>defsi</v>
          </cell>
        </row>
        <row r="5019">
          <cell r="B5019" t="b">
            <v>1</v>
          </cell>
          <cell r="E5019" t="str">
            <v>Arroyo Grande</v>
          </cell>
          <cell r="H5019" t="str">
            <v>laboratorio</v>
          </cell>
          <cell r="J5019" t="str">
            <v>bueno</v>
          </cell>
          <cell r="K5019" t="str">
            <v>defsi</v>
          </cell>
        </row>
        <row r="5020">
          <cell r="B5020" t="b">
            <v>1</v>
          </cell>
          <cell r="E5020" t="str">
            <v>Arroyo Grande</v>
          </cell>
          <cell r="H5020" t="str">
            <v>laboratorio</v>
          </cell>
          <cell r="J5020" t="str">
            <v>bueno</v>
          </cell>
          <cell r="K5020" t="str">
            <v>defsi</v>
          </cell>
        </row>
        <row r="5021">
          <cell r="B5021" t="b">
            <v>1</v>
          </cell>
          <cell r="E5021" t="str">
            <v>Punta Arena</v>
          </cell>
          <cell r="H5021" t="str">
            <v>consulta_externa</v>
          </cell>
          <cell r="J5021" t="str">
            <v>bueno</v>
          </cell>
          <cell r="K5021" t="str">
            <v>defsi</v>
          </cell>
        </row>
        <row r="5022">
          <cell r="B5022" t="b">
            <v>1</v>
          </cell>
          <cell r="E5022" t="str">
            <v>Arroyo Grande</v>
          </cell>
          <cell r="H5022" t="str">
            <v>consulta_externa</v>
          </cell>
          <cell r="J5022" t="str">
            <v>bueno</v>
          </cell>
          <cell r="K5022" t="str">
            <v>defsi</v>
          </cell>
        </row>
        <row r="5023">
          <cell r="B5023" t="b">
            <v>0</v>
          </cell>
          <cell r="E5023" t="str">
            <v>Arroyo Grande</v>
          </cell>
          <cell r="H5023" t="str">
            <v>laboratorio</v>
          </cell>
          <cell r="J5023" t="str">
            <v>regular</v>
          </cell>
          <cell r="K5023" t="str">
            <v>defsi</v>
          </cell>
        </row>
        <row r="5024">
          <cell r="B5024" t="b">
            <v>1</v>
          </cell>
          <cell r="E5024" t="str">
            <v>Punta Arena</v>
          </cell>
          <cell r="H5024" t="str">
            <v>laboratorio</v>
          </cell>
          <cell r="J5024" t="str">
            <v>bueno</v>
          </cell>
          <cell r="K5024" t="str">
            <v>defsi</v>
          </cell>
        </row>
        <row r="5025">
          <cell r="B5025" t="b">
            <v>1</v>
          </cell>
          <cell r="E5025" t="str">
            <v>Punta Arena</v>
          </cell>
          <cell r="H5025" t="str">
            <v>salud_oral</v>
          </cell>
          <cell r="J5025" t="str">
            <v>bueno</v>
          </cell>
          <cell r="K5025" t="str">
            <v>defsi</v>
          </cell>
        </row>
        <row r="5026">
          <cell r="B5026" t="b">
            <v>1</v>
          </cell>
          <cell r="E5026" t="str">
            <v>Arroyo Grande</v>
          </cell>
          <cell r="H5026" t="str">
            <v>salud_oral</v>
          </cell>
          <cell r="J5026" t="str">
            <v>bueno</v>
          </cell>
          <cell r="K5026" t="str">
            <v>defsi</v>
          </cell>
        </row>
        <row r="5027">
          <cell r="B5027" t="b">
            <v>1</v>
          </cell>
          <cell r="E5027" t="str">
            <v>Arroyo Grande</v>
          </cell>
          <cell r="H5027" t="str">
            <v>salud_oral</v>
          </cell>
          <cell r="J5027" t="str">
            <v>bueno</v>
          </cell>
          <cell r="K5027" t="str">
            <v>defsi</v>
          </cell>
        </row>
        <row r="5028">
          <cell r="B5028" t="b">
            <v>1</v>
          </cell>
          <cell r="E5028" t="str">
            <v>Arroyo Grande</v>
          </cell>
          <cell r="H5028" t="str">
            <v>salud_oral</v>
          </cell>
          <cell r="J5028" t="str">
            <v>bueno</v>
          </cell>
          <cell r="K5028" t="str">
            <v>defsi</v>
          </cell>
        </row>
        <row r="5029">
          <cell r="B5029" t="b">
            <v>1</v>
          </cell>
          <cell r="E5029" t="str">
            <v>Arroyo Grande</v>
          </cell>
          <cell r="H5029" t="str">
            <v>salud_oral</v>
          </cell>
          <cell r="J5029" t="str">
            <v>muybueno</v>
          </cell>
          <cell r="K5029" t="str">
            <v>defsi</v>
          </cell>
        </row>
        <row r="5030">
          <cell r="B5030" t="b">
            <v>1</v>
          </cell>
          <cell r="E5030" t="str">
            <v>Arroyo Grande</v>
          </cell>
          <cell r="H5030" t="str">
            <v>laboratorio</v>
          </cell>
          <cell r="J5030" t="str">
            <v>bueno</v>
          </cell>
          <cell r="K5030" t="str">
            <v>defsi</v>
          </cell>
        </row>
        <row r="5031">
          <cell r="B5031" t="b">
            <v>1</v>
          </cell>
          <cell r="E5031" t="str">
            <v>Arroyo Grande</v>
          </cell>
          <cell r="H5031" t="str">
            <v>laboratorio</v>
          </cell>
          <cell r="J5031" t="str">
            <v>bueno</v>
          </cell>
          <cell r="K5031" t="str">
            <v>defsi</v>
          </cell>
        </row>
        <row r="5032">
          <cell r="B5032" t="b">
            <v>1</v>
          </cell>
          <cell r="E5032" t="str">
            <v>Arroyo Grande</v>
          </cell>
          <cell r="H5032" t="str">
            <v>salud_oral</v>
          </cell>
          <cell r="J5032" t="str">
            <v>bueno</v>
          </cell>
          <cell r="K5032" t="str">
            <v>defsi</v>
          </cell>
        </row>
        <row r="5033">
          <cell r="B5033" t="b">
            <v>1</v>
          </cell>
          <cell r="E5033" t="str">
            <v>Arroyo Grande</v>
          </cell>
          <cell r="H5033" t="str">
            <v>salud_oral</v>
          </cell>
          <cell r="J5033" t="str">
            <v>bueno</v>
          </cell>
          <cell r="K5033" t="str">
            <v>defsi</v>
          </cell>
        </row>
        <row r="5034">
          <cell r="B5034" t="b">
            <v>1</v>
          </cell>
          <cell r="E5034" t="str">
            <v>Arroyo Grande</v>
          </cell>
          <cell r="H5034" t="str">
            <v>salud_oral</v>
          </cell>
          <cell r="J5034" t="str">
            <v>muybueno</v>
          </cell>
          <cell r="K5034" t="str">
            <v>defsi</v>
          </cell>
        </row>
        <row r="5035">
          <cell r="B5035" t="b">
            <v>1</v>
          </cell>
          <cell r="E5035" t="str">
            <v>Arroyo Grande</v>
          </cell>
          <cell r="H5035" t="str">
            <v>consulta_externa</v>
          </cell>
          <cell r="J5035" t="str">
            <v>muybueno</v>
          </cell>
          <cell r="K5035" t="str">
            <v>defsi</v>
          </cell>
        </row>
        <row r="5036">
          <cell r="B5036" t="b">
            <v>1</v>
          </cell>
          <cell r="E5036" t="str">
            <v>Arroyo Grande</v>
          </cell>
          <cell r="H5036" t="str">
            <v>consulta_externa</v>
          </cell>
          <cell r="J5036" t="str">
            <v>bueno</v>
          </cell>
          <cell r="K5036" t="str">
            <v>defsi</v>
          </cell>
        </row>
        <row r="5037">
          <cell r="B5037" t="b">
            <v>1</v>
          </cell>
          <cell r="E5037" t="str">
            <v>San Pedro y Libertad</v>
          </cell>
          <cell r="H5037" t="str">
            <v>salud_oral</v>
          </cell>
          <cell r="J5037" t="str">
            <v>bueno</v>
          </cell>
          <cell r="K5037" t="str">
            <v>probsi</v>
          </cell>
        </row>
        <row r="5038">
          <cell r="B5038" t="b">
            <v>1</v>
          </cell>
          <cell r="E5038" t="str">
            <v>San Pedro y Libertad</v>
          </cell>
          <cell r="H5038" t="str">
            <v>consulta_externa</v>
          </cell>
          <cell r="J5038" t="str">
            <v>bueno</v>
          </cell>
          <cell r="K5038" t="str">
            <v>probsi</v>
          </cell>
        </row>
        <row r="5039">
          <cell r="B5039" t="b">
            <v>1</v>
          </cell>
          <cell r="E5039" t="str">
            <v>Santa Ana</v>
          </cell>
          <cell r="H5039" t="str">
            <v>consulta_externa</v>
          </cell>
          <cell r="J5039" t="str">
            <v>muybueno</v>
          </cell>
          <cell r="K5039" t="str">
            <v>defsi</v>
          </cell>
        </row>
        <row r="5040">
          <cell r="B5040" t="b">
            <v>1</v>
          </cell>
          <cell r="E5040" t="str">
            <v>Santa Ana</v>
          </cell>
          <cell r="H5040" t="str">
            <v>laboratorio</v>
          </cell>
          <cell r="J5040" t="str">
            <v>muybueno</v>
          </cell>
          <cell r="K5040" t="str">
            <v>defsi</v>
          </cell>
        </row>
        <row r="5041">
          <cell r="B5041" t="b">
            <v>0</v>
          </cell>
          <cell r="E5041" t="str">
            <v>San Pedro y Libertad</v>
          </cell>
          <cell r="H5041" t="str">
            <v>salud_oral</v>
          </cell>
          <cell r="J5041" t="str">
            <v>regular</v>
          </cell>
          <cell r="K5041" t="str">
            <v>probsi</v>
          </cell>
        </row>
        <row r="5042">
          <cell r="B5042" t="b">
            <v>0</v>
          </cell>
          <cell r="E5042" t="str">
            <v>San Pedro y Libertad</v>
          </cell>
          <cell r="H5042" t="str">
            <v>laboratorio</v>
          </cell>
          <cell r="J5042" t="str">
            <v>regular</v>
          </cell>
          <cell r="K5042" t="str">
            <v>probsi</v>
          </cell>
        </row>
        <row r="5043">
          <cell r="B5043" t="b">
            <v>0</v>
          </cell>
          <cell r="E5043" t="str">
            <v>San Pedro y Libertad</v>
          </cell>
          <cell r="H5043" t="str">
            <v>laboratorio</v>
          </cell>
          <cell r="J5043" t="str">
            <v>regular</v>
          </cell>
          <cell r="K5043" t="str">
            <v>probsi</v>
          </cell>
        </row>
        <row r="5044">
          <cell r="B5044" t="b">
            <v>1</v>
          </cell>
          <cell r="E5044" t="str">
            <v>San Pedro y Libertad</v>
          </cell>
          <cell r="H5044" t="str">
            <v>laboratorio</v>
          </cell>
          <cell r="J5044" t="str">
            <v>bueno</v>
          </cell>
          <cell r="K5044" t="str">
            <v>probsi</v>
          </cell>
        </row>
        <row r="5045">
          <cell r="B5045" t="b">
            <v>1</v>
          </cell>
          <cell r="E5045" t="str">
            <v>Santa Ana</v>
          </cell>
          <cell r="H5045" t="str">
            <v>salud_oral</v>
          </cell>
          <cell r="J5045" t="str">
            <v>muybueno</v>
          </cell>
          <cell r="K5045" t="str">
            <v>defsi</v>
          </cell>
        </row>
        <row r="5046">
          <cell r="B5046" t="b">
            <v>1</v>
          </cell>
          <cell r="E5046" t="str">
            <v>Punta Arena</v>
          </cell>
          <cell r="H5046" t="str">
            <v>laboratorio</v>
          </cell>
          <cell r="J5046" t="str">
            <v>bueno</v>
          </cell>
          <cell r="K5046" t="str">
            <v>defsi</v>
          </cell>
        </row>
        <row r="5047">
          <cell r="B5047" t="b">
            <v>1</v>
          </cell>
          <cell r="E5047" t="str">
            <v>Punta Arena</v>
          </cell>
          <cell r="H5047" t="str">
            <v>consulta_externa</v>
          </cell>
          <cell r="J5047" t="str">
            <v>bueno</v>
          </cell>
          <cell r="K5047" t="str">
            <v>defsi</v>
          </cell>
        </row>
        <row r="5048">
          <cell r="B5048" t="b">
            <v>1</v>
          </cell>
          <cell r="E5048" t="str">
            <v>Nuevo Bosque</v>
          </cell>
          <cell r="H5048" t="str">
            <v>consulta_externa</v>
          </cell>
          <cell r="J5048" t="str">
            <v>bueno</v>
          </cell>
          <cell r="K5048" t="str">
            <v>defsi</v>
          </cell>
        </row>
        <row r="5049">
          <cell r="B5049" t="b">
            <v>1</v>
          </cell>
          <cell r="E5049" t="str">
            <v>Nuevo Bosque</v>
          </cell>
          <cell r="H5049" t="str">
            <v>salud_oral</v>
          </cell>
          <cell r="J5049" t="str">
            <v>bueno</v>
          </cell>
          <cell r="K5049" t="str">
            <v>defsi</v>
          </cell>
        </row>
        <row r="5050">
          <cell r="B5050" t="b">
            <v>1</v>
          </cell>
          <cell r="E5050" t="str">
            <v>Santa Ana</v>
          </cell>
          <cell r="H5050" t="str">
            <v>consulta_externa</v>
          </cell>
          <cell r="J5050" t="str">
            <v>muybueno</v>
          </cell>
          <cell r="K5050" t="str">
            <v>defsi</v>
          </cell>
        </row>
        <row r="5051">
          <cell r="B5051" t="b">
            <v>1</v>
          </cell>
          <cell r="E5051" t="str">
            <v>Santa Ana</v>
          </cell>
          <cell r="H5051" t="str">
            <v>salud_oral</v>
          </cell>
          <cell r="J5051" t="str">
            <v>muybueno</v>
          </cell>
          <cell r="K5051" t="str">
            <v>defsi</v>
          </cell>
        </row>
        <row r="5052">
          <cell r="B5052" t="b">
            <v>1</v>
          </cell>
          <cell r="E5052" t="str">
            <v>Nuevo Bosque</v>
          </cell>
          <cell r="H5052" t="str">
            <v>laboratorio</v>
          </cell>
          <cell r="J5052" t="str">
            <v>bueno</v>
          </cell>
          <cell r="K5052" t="str">
            <v>defsi</v>
          </cell>
        </row>
        <row r="5053">
          <cell r="B5053" t="b">
            <v>1</v>
          </cell>
          <cell r="E5053" t="str">
            <v>Arroyo Grande</v>
          </cell>
          <cell r="H5053" t="str">
            <v>salud_oral</v>
          </cell>
          <cell r="J5053" t="str">
            <v>bueno</v>
          </cell>
          <cell r="K5053" t="str">
            <v>defsi</v>
          </cell>
        </row>
        <row r="5054">
          <cell r="B5054" t="b">
            <v>1</v>
          </cell>
          <cell r="E5054" t="str">
            <v>Arroyo Grande</v>
          </cell>
          <cell r="H5054" t="str">
            <v>salud_oral</v>
          </cell>
          <cell r="J5054" t="str">
            <v>bueno</v>
          </cell>
          <cell r="K5054" t="str">
            <v>defsi</v>
          </cell>
        </row>
        <row r="5055">
          <cell r="B5055" t="b">
            <v>1</v>
          </cell>
          <cell r="E5055" t="str">
            <v>Nuevo Bosque</v>
          </cell>
          <cell r="H5055" t="str">
            <v>urgencia</v>
          </cell>
          <cell r="J5055" t="str">
            <v>bueno</v>
          </cell>
          <cell r="K5055" t="str">
            <v>defsi</v>
          </cell>
        </row>
        <row r="5056">
          <cell r="B5056" t="b">
            <v>1</v>
          </cell>
          <cell r="E5056" t="str">
            <v>San Pedro y Libertad</v>
          </cell>
          <cell r="H5056" t="str">
            <v>consulta_externa</v>
          </cell>
          <cell r="J5056" t="str">
            <v>bueno</v>
          </cell>
          <cell r="K5056" t="str">
            <v>probsi</v>
          </cell>
        </row>
        <row r="5057">
          <cell r="B5057" t="b">
            <v>1</v>
          </cell>
          <cell r="E5057" t="str">
            <v>Arroyo Grande</v>
          </cell>
          <cell r="H5057" t="str">
            <v>salud_oral</v>
          </cell>
          <cell r="J5057" t="str">
            <v>bueno</v>
          </cell>
          <cell r="K5057" t="str">
            <v>defsi</v>
          </cell>
        </row>
        <row r="5058">
          <cell r="B5058" t="b">
            <v>1</v>
          </cell>
          <cell r="E5058" t="str">
            <v>San Pedro y Libertad</v>
          </cell>
          <cell r="H5058" t="str">
            <v>salud_oral</v>
          </cell>
          <cell r="J5058" t="str">
            <v>bueno</v>
          </cell>
          <cell r="K5058" t="str">
            <v>probsi</v>
          </cell>
        </row>
        <row r="5059">
          <cell r="B5059" t="b">
            <v>1</v>
          </cell>
          <cell r="E5059" t="str">
            <v>Arroyo Grande</v>
          </cell>
          <cell r="H5059" t="str">
            <v>salud_oral</v>
          </cell>
          <cell r="J5059" t="str">
            <v>muybueno</v>
          </cell>
          <cell r="K5059" t="str">
            <v>defsi</v>
          </cell>
        </row>
        <row r="5060">
          <cell r="B5060" t="b">
            <v>1</v>
          </cell>
          <cell r="E5060" t="str">
            <v>San Pedro y Libertad</v>
          </cell>
          <cell r="H5060" t="str">
            <v>laboratorio</v>
          </cell>
          <cell r="J5060" t="str">
            <v>bueno</v>
          </cell>
          <cell r="K5060" t="str">
            <v>probsi</v>
          </cell>
        </row>
        <row r="5061">
          <cell r="B5061" t="b">
            <v>1</v>
          </cell>
          <cell r="E5061" t="str">
            <v>Arroyo Grande</v>
          </cell>
          <cell r="H5061" t="str">
            <v>salud_oral</v>
          </cell>
          <cell r="J5061" t="str">
            <v>bueno</v>
          </cell>
          <cell r="K5061" t="str">
            <v>defsi</v>
          </cell>
        </row>
        <row r="5062">
          <cell r="B5062" t="b">
            <v>1</v>
          </cell>
          <cell r="E5062" t="str">
            <v>Punta Arena</v>
          </cell>
          <cell r="H5062" t="str">
            <v>consulta_externa</v>
          </cell>
          <cell r="J5062" t="str">
            <v>muybueno</v>
          </cell>
          <cell r="K5062" t="str">
            <v>defsi</v>
          </cell>
        </row>
        <row r="5063">
          <cell r="B5063" t="b">
            <v>1</v>
          </cell>
          <cell r="E5063" t="str">
            <v>Santa Ana</v>
          </cell>
          <cell r="H5063" t="str">
            <v>consulta_externa</v>
          </cell>
          <cell r="J5063" t="str">
            <v>muybueno</v>
          </cell>
          <cell r="K5063" t="str">
            <v>defsi</v>
          </cell>
        </row>
        <row r="5064">
          <cell r="B5064" t="b">
            <v>1</v>
          </cell>
          <cell r="E5064" t="str">
            <v>Punta Arena</v>
          </cell>
          <cell r="H5064" t="str">
            <v>laboratorio</v>
          </cell>
          <cell r="J5064" t="str">
            <v>muybueno</v>
          </cell>
          <cell r="K5064" t="str">
            <v>defsi</v>
          </cell>
        </row>
        <row r="5065">
          <cell r="B5065" t="b">
            <v>1</v>
          </cell>
          <cell r="E5065" t="str">
            <v>San Pedro y Libertad</v>
          </cell>
          <cell r="H5065" t="str">
            <v>consulta_externa</v>
          </cell>
          <cell r="J5065" t="str">
            <v>bueno</v>
          </cell>
          <cell r="K5065" t="str">
            <v>probsi</v>
          </cell>
        </row>
        <row r="5066">
          <cell r="B5066" t="b">
            <v>1</v>
          </cell>
          <cell r="E5066" t="str">
            <v>Punta Arena</v>
          </cell>
          <cell r="H5066" t="str">
            <v>salud_oral</v>
          </cell>
          <cell r="J5066" t="str">
            <v>muybueno</v>
          </cell>
          <cell r="K5066" t="str">
            <v>defsi</v>
          </cell>
        </row>
        <row r="5067">
          <cell r="B5067" t="b">
            <v>1</v>
          </cell>
          <cell r="E5067" t="str">
            <v>Santa Ana</v>
          </cell>
          <cell r="H5067" t="str">
            <v>laboratorio</v>
          </cell>
          <cell r="J5067" t="str">
            <v>muybueno</v>
          </cell>
          <cell r="K5067" t="str">
            <v>defsi</v>
          </cell>
        </row>
        <row r="5068">
          <cell r="B5068" t="b">
            <v>1</v>
          </cell>
          <cell r="E5068" t="str">
            <v>San Pedro y Libertad</v>
          </cell>
          <cell r="H5068" t="str">
            <v>laboratorio</v>
          </cell>
          <cell r="J5068" t="str">
            <v>bueno</v>
          </cell>
          <cell r="K5068" t="str">
            <v>probsi</v>
          </cell>
        </row>
        <row r="5069">
          <cell r="B5069" t="b">
            <v>1</v>
          </cell>
          <cell r="E5069" t="str">
            <v>Nuevo Bosque</v>
          </cell>
          <cell r="H5069" t="str">
            <v>consulta_externa</v>
          </cell>
          <cell r="J5069" t="str">
            <v>bueno</v>
          </cell>
          <cell r="K5069" t="str">
            <v>defsi</v>
          </cell>
        </row>
        <row r="5070">
          <cell r="B5070" t="b">
            <v>1</v>
          </cell>
          <cell r="E5070" t="str">
            <v>San Pedro y Libertad</v>
          </cell>
          <cell r="H5070" t="str">
            <v>consulta_externa</v>
          </cell>
          <cell r="J5070" t="str">
            <v>bueno</v>
          </cell>
          <cell r="K5070" t="str">
            <v>probsi</v>
          </cell>
        </row>
        <row r="5071">
          <cell r="B5071" t="b">
            <v>1</v>
          </cell>
          <cell r="E5071" t="str">
            <v>San Pedro y Libertad</v>
          </cell>
          <cell r="H5071" t="str">
            <v>laboratorio</v>
          </cell>
          <cell r="J5071" t="str">
            <v>bueno</v>
          </cell>
          <cell r="K5071" t="str">
            <v>probsi</v>
          </cell>
        </row>
        <row r="5072">
          <cell r="B5072" t="b">
            <v>1</v>
          </cell>
          <cell r="E5072" t="str">
            <v>San Pedro y Libertad</v>
          </cell>
          <cell r="H5072" t="str">
            <v>salud_oral</v>
          </cell>
          <cell r="J5072" t="str">
            <v>bueno</v>
          </cell>
          <cell r="K5072" t="str">
            <v>probsi</v>
          </cell>
        </row>
        <row r="5073">
          <cell r="B5073" t="b">
            <v>1</v>
          </cell>
          <cell r="E5073" t="str">
            <v>Nuevo Bosque</v>
          </cell>
          <cell r="H5073" t="str">
            <v>salud_oral</v>
          </cell>
          <cell r="J5073" t="str">
            <v>bueno</v>
          </cell>
          <cell r="K5073" t="str">
            <v>defsi</v>
          </cell>
        </row>
        <row r="5074">
          <cell r="B5074" t="b">
            <v>1</v>
          </cell>
          <cell r="E5074" t="str">
            <v>Nuevo Bosque</v>
          </cell>
          <cell r="H5074" t="str">
            <v>laboratorio</v>
          </cell>
          <cell r="J5074" t="str">
            <v>bueno</v>
          </cell>
          <cell r="K5074" t="str">
            <v>defsi</v>
          </cell>
        </row>
        <row r="5075">
          <cell r="B5075" t="b">
            <v>1</v>
          </cell>
          <cell r="E5075" t="str">
            <v>Nuevo Bosque</v>
          </cell>
          <cell r="H5075" t="str">
            <v>urgencia</v>
          </cell>
          <cell r="J5075" t="str">
            <v>bueno</v>
          </cell>
          <cell r="K5075" t="str">
            <v>defsi</v>
          </cell>
        </row>
        <row r="5076">
          <cell r="B5076" t="b">
            <v>1</v>
          </cell>
          <cell r="E5076" t="str">
            <v>Punta Arena</v>
          </cell>
          <cell r="H5076" t="str">
            <v>consulta_externa</v>
          </cell>
          <cell r="J5076" t="str">
            <v>muybueno</v>
          </cell>
          <cell r="K5076" t="str">
            <v>defsi</v>
          </cell>
        </row>
        <row r="5077">
          <cell r="B5077" t="b">
            <v>1</v>
          </cell>
          <cell r="E5077" t="str">
            <v>Punta Arena</v>
          </cell>
          <cell r="H5077" t="str">
            <v>consulta_externa</v>
          </cell>
          <cell r="J5077" t="str">
            <v>muybueno</v>
          </cell>
          <cell r="K5077" t="str">
            <v>defsi</v>
          </cell>
        </row>
        <row r="5078">
          <cell r="B5078" t="b">
            <v>1</v>
          </cell>
          <cell r="E5078" t="str">
            <v>Punta Arena</v>
          </cell>
          <cell r="H5078" t="str">
            <v>laboratorio</v>
          </cell>
          <cell r="J5078" t="str">
            <v>muybueno</v>
          </cell>
          <cell r="K5078" t="str">
            <v>defsi</v>
          </cell>
        </row>
        <row r="5079">
          <cell r="B5079" t="b">
            <v>1</v>
          </cell>
          <cell r="E5079" t="str">
            <v>Nuevo Bosque</v>
          </cell>
          <cell r="H5079" t="str">
            <v>consulta_externa</v>
          </cell>
          <cell r="J5079" t="str">
            <v>bueno</v>
          </cell>
          <cell r="K5079" t="str">
            <v>defsi</v>
          </cell>
        </row>
        <row r="5080">
          <cell r="B5080" t="b">
            <v>1</v>
          </cell>
          <cell r="E5080" t="str">
            <v>Santa Ana</v>
          </cell>
          <cell r="H5080" t="str">
            <v>consulta_externa</v>
          </cell>
          <cell r="J5080" t="str">
            <v>muybueno</v>
          </cell>
          <cell r="K5080" t="str">
            <v>defsi</v>
          </cell>
        </row>
        <row r="5081">
          <cell r="B5081" t="b">
            <v>1</v>
          </cell>
          <cell r="E5081" t="str">
            <v>Santa Ana</v>
          </cell>
          <cell r="H5081" t="str">
            <v>laboratorio</v>
          </cell>
          <cell r="J5081" t="str">
            <v>muybueno</v>
          </cell>
          <cell r="K5081" t="str">
            <v>defsi</v>
          </cell>
        </row>
        <row r="5082">
          <cell r="B5082" t="b">
            <v>1</v>
          </cell>
          <cell r="E5082" t="str">
            <v>Nuevo Bosque</v>
          </cell>
          <cell r="H5082" t="str">
            <v>salud_oral</v>
          </cell>
          <cell r="J5082" t="str">
            <v>bueno</v>
          </cell>
          <cell r="K5082" t="str">
            <v>defsi</v>
          </cell>
        </row>
        <row r="5083">
          <cell r="B5083" t="b">
            <v>1</v>
          </cell>
          <cell r="E5083" t="str">
            <v>Nuevo Bosque</v>
          </cell>
          <cell r="H5083" t="str">
            <v>laboratorio</v>
          </cell>
          <cell r="J5083" t="str">
            <v>bueno</v>
          </cell>
          <cell r="K5083" t="str">
            <v>defsi</v>
          </cell>
        </row>
        <row r="5084">
          <cell r="B5084" t="b">
            <v>1</v>
          </cell>
          <cell r="E5084" t="str">
            <v>Nuevo Bosque</v>
          </cell>
          <cell r="H5084" t="str">
            <v>urgencia</v>
          </cell>
          <cell r="J5084" t="str">
            <v>bueno</v>
          </cell>
          <cell r="K5084" t="str">
            <v>defsi</v>
          </cell>
        </row>
        <row r="5085">
          <cell r="B5085" t="b">
            <v>1</v>
          </cell>
          <cell r="E5085" t="str">
            <v>Punta Arena</v>
          </cell>
          <cell r="H5085" t="str">
            <v>salud_oral</v>
          </cell>
          <cell r="J5085" t="str">
            <v>bueno</v>
          </cell>
          <cell r="K5085" t="str">
            <v>probsi</v>
          </cell>
        </row>
        <row r="5086">
          <cell r="B5086" t="b">
            <v>1</v>
          </cell>
          <cell r="E5086" t="str">
            <v>Punta Arena</v>
          </cell>
          <cell r="H5086" t="str">
            <v>salud_oral</v>
          </cell>
          <cell r="J5086" t="str">
            <v>bueno</v>
          </cell>
          <cell r="K5086" t="str">
            <v>probsi</v>
          </cell>
        </row>
        <row r="5087">
          <cell r="B5087" t="b">
            <v>1</v>
          </cell>
          <cell r="E5087" t="str">
            <v>Punta Arena</v>
          </cell>
          <cell r="H5087" t="str">
            <v>laboratorio</v>
          </cell>
          <cell r="J5087" t="str">
            <v>bueno</v>
          </cell>
          <cell r="K5087" t="str">
            <v>probsi</v>
          </cell>
        </row>
        <row r="5088">
          <cell r="B5088" t="b">
            <v>1</v>
          </cell>
          <cell r="E5088" t="str">
            <v>Punta Arena</v>
          </cell>
          <cell r="H5088" t="str">
            <v>laboratorio</v>
          </cell>
          <cell r="J5088" t="str">
            <v>bueno</v>
          </cell>
          <cell r="K5088" t="str">
            <v>probsi</v>
          </cell>
        </row>
        <row r="5089">
          <cell r="B5089" t="b">
            <v>1</v>
          </cell>
          <cell r="E5089" t="str">
            <v>Punta Arena</v>
          </cell>
          <cell r="H5089" t="str">
            <v>laboratorio</v>
          </cell>
          <cell r="J5089" t="str">
            <v>bueno</v>
          </cell>
          <cell r="K5089" t="str">
            <v>probsi</v>
          </cell>
        </row>
        <row r="5090">
          <cell r="B5090" t="b">
            <v>1</v>
          </cell>
          <cell r="E5090" t="str">
            <v>Nuevo Bosque</v>
          </cell>
          <cell r="H5090" t="str">
            <v>consulta_externa</v>
          </cell>
          <cell r="J5090" t="str">
            <v>bueno</v>
          </cell>
          <cell r="K5090" t="str">
            <v>defsi</v>
          </cell>
        </row>
        <row r="5091">
          <cell r="B5091" t="b">
            <v>1</v>
          </cell>
          <cell r="E5091" t="str">
            <v>Nuevo Bosque</v>
          </cell>
          <cell r="H5091" t="str">
            <v>consulta_externa</v>
          </cell>
          <cell r="J5091" t="str">
            <v>bueno</v>
          </cell>
          <cell r="K5091" t="str">
            <v>defsi</v>
          </cell>
        </row>
        <row r="5092">
          <cell r="B5092" t="b">
            <v>1</v>
          </cell>
          <cell r="E5092" t="str">
            <v>Nuevo Bosque</v>
          </cell>
          <cell r="H5092" t="str">
            <v>laboratorio</v>
          </cell>
          <cell r="J5092" t="str">
            <v>bueno</v>
          </cell>
          <cell r="K5092" t="str">
            <v>defsi</v>
          </cell>
        </row>
        <row r="5093">
          <cell r="B5093" t="b">
            <v>1</v>
          </cell>
          <cell r="E5093" t="str">
            <v>Nuevo Bosque</v>
          </cell>
          <cell r="H5093" t="str">
            <v>urgencia</v>
          </cell>
          <cell r="J5093" t="str">
            <v>bueno</v>
          </cell>
          <cell r="K5093" t="str">
            <v>defsi</v>
          </cell>
        </row>
        <row r="5094">
          <cell r="B5094" t="b">
            <v>1</v>
          </cell>
          <cell r="E5094" t="str">
            <v>Santa Ana</v>
          </cell>
          <cell r="H5094" t="str">
            <v>salud_oral</v>
          </cell>
          <cell r="J5094" t="str">
            <v>muybueno</v>
          </cell>
          <cell r="K5094" t="str">
            <v>defsi</v>
          </cell>
        </row>
        <row r="5095">
          <cell r="B5095" t="b">
            <v>1</v>
          </cell>
          <cell r="E5095" t="str">
            <v>Nuevo Bosque</v>
          </cell>
          <cell r="H5095" t="str">
            <v>consulta_externa</v>
          </cell>
          <cell r="J5095" t="str">
            <v>bueno</v>
          </cell>
          <cell r="K5095" t="str">
            <v>defsi</v>
          </cell>
        </row>
        <row r="5096">
          <cell r="B5096" t="b">
            <v>1</v>
          </cell>
          <cell r="E5096" t="str">
            <v>Santa Ana</v>
          </cell>
          <cell r="H5096" t="str">
            <v>consulta_externa</v>
          </cell>
          <cell r="J5096" t="str">
            <v>muybueno</v>
          </cell>
          <cell r="K5096" t="str">
            <v>defsi</v>
          </cell>
        </row>
        <row r="5097">
          <cell r="B5097" t="b">
            <v>1</v>
          </cell>
          <cell r="E5097" t="str">
            <v>Santa Ana</v>
          </cell>
          <cell r="H5097" t="str">
            <v>laboratorio</v>
          </cell>
          <cell r="J5097" t="str">
            <v>muybueno</v>
          </cell>
          <cell r="K5097" t="str">
            <v>defsi</v>
          </cell>
        </row>
        <row r="5098">
          <cell r="B5098" t="b">
            <v>1</v>
          </cell>
          <cell r="E5098" t="str">
            <v>San Pedro y Libertad</v>
          </cell>
          <cell r="H5098" t="str">
            <v>consulta_externa</v>
          </cell>
          <cell r="J5098" t="str">
            <v>bueno</v>
          </cell>
          <cell r="K5098" t="str">
            <v>probsi</v>
          </cell>
        </row>
        <row r="5099">
          <cell r="B5099" t="b">
            <v>1</v>
          </cell>
          <cell r="E5099" t="str">
            <v>San Pedro y Libertad</v>
          </cell>
          <cell r="H5099" t="str">
            <v>consulta_externa</v>
          </cell>
          <cell r="J5099" t="str">
            <v>bueno</v>
          </cell>
          <cell r="K5099" t="str">
            <v>probsi</v>
          </cell>
        </row>
        <row r="5100">
          <cell r="B5100" t="b">
            <v>1</v>
          </cell>
          <cell r="E5100" t="str">
            <v>San Pedro y Libertad</v>
          </cell>
          <cell r="H5100" t="str">
            <v>laboratorio</v>
          </cell>
          <cell r="J5100" t="str">
            <v>bueno</v>
          </cell>
          <cell r="K5100" t="str">
            <v>probsi</v>
          </cell>
        </row>
        <row r="5101">
          <cell r="B5101" t="b">
            <v>1</v>
          </cell>
          <cell r="E5101" t="str">
            <v>San Pedro y Libertad</v>
          </cell>
          <cell r="H5101" t="str">
            <v>laboratorio</v>
          </cell>
          <cell r="J5101" t="str">
            <v>bueno</v>
          </cell>
          <cell r="K5101" t="str">
            <v>probsi</v>
          </cell>
        </row>
        <row r="5102">
          <cell r="B5102" t="b">
            <v>1</v>
          </cell>
          <cell r="E5102" t="str">
            <v>Nuevo Bosque</v>
          </cell>
          <cell r="H5102" t="str">
            <v>salud_oral</v>
          </cell>
          <cell r="J5102" t="str">
            <v>bueno</v>
          </cell>
          <cell r="K5102" t="str">
            <v>defsi</v>
          </cell>
        </row>
        <row r="5103">
          <cell r="B5103" t="b">
            <v>1</v>
          </cell>
          <cell r="E5103" t="str">
            <v>San Pedro y Libertad</v>
          </cell>
          <cell r="H5103" t="str">
            <v>laboratorio</v>
          </cell>
          <cell r="J5103" t="str">
            <v>bueno</v>
          </cell>
          <cell r="K5103" t="str">
            <v>probsi</v>
          </cell>
        </row>
        <row r="5104">
          <cell r="B5104" t="b">
            <v>1</v>
          </cell>
          <cell r="E5104" t="str">
            <v>San Pedro y Libertad</v>
          </cell>
          <cell r="H5104" t="str">
            <v>consulta_externa</v>
          </cell>
          <cell r="J5104" t="str">
            <v>bueno</v>
          </cell>
          <cell r="K5104" t="str">
            <v>probsi</v>
          </cell>
        </row>
        <row r="5105">
          <cell r="B5105" t="b">
            <v>1</v>
          </cell>
          <cell r="E5105" t="str">
            <v>San Pedro y Libertad</v>
          </cell>
          <cell r="H5105" t="str">
            <v>consulta_externa</v>
          </cell>
          <cell r="J5105" t="str">
            <v>bueno</v>
          </cell>
          <cell r="K5105" t="str">
            <v>probsi</v>
          </cell>
        </row>
        <row r="5106">
          <cell r="B5106" t="b">
            <v>1</v>
          </cell>
          <cell r="E5106" t="str">
            <v>San Pedro y Libertad</v>
          </cell>
          <cell r="H5106" t="str">
            <v>laboratorio</v>
          </cell>
          <cell r="J5106" t="str">
            <v>bueno</v>
          </cell>
          <cell r="K5106" t="str">
            <v>probsi</v>
          </cell>
        </row>
        <row r="5107">
          <cell r="B5107" t="b">
            <v>1</v>
          </cell>
          <cell r="E5107" t="str">
            <v>Nuevo Bosque</v>
          </cell>
          <cell r="H5107" t="str">
            <v>laboratorio</v>
          </cell>
          <cell r="J5107" t="str">
            <v>bueno</v>
          </cell>
          <cell r="K5107" t="str">
            <v>defsi</v>
          </cell>
        </row>
        <row r="5108">
          <cell r="B5108" t="b">
            <v>1</v>
          </cell>
          <cell r="E5108" t="str">
            <v>San Pedro y Libertad</v>
          </cell>
          <cell r="H5108" t="str">
            <v>laboratorio</v>
          </cell>
          <cell r="J5108" t="str">
            <v>bueno</v>
          </cell>
          <cell r="K5108" t="str">
            <v>probsi</v>
          </cell>
        </row>
        <row r="5109">
          <cell r="B5109" t="b">
            <v>1</v>
          </cell>
          <cell r="E5109" t="str">
            <v>Nuevo Bosque</v>
          </cell>
          <cell r="H5109" t="str">
            <v>urgencia</v>
          </cell>
          <cell r="J5109" t="str">
            <v>bueno</v>
          </cell>
          <cell r="K5109" t="str">
            <v>defsi</v>
          </cell>
        </row>
        <row r="5110">
          <cell r="B5110" t="b">
            <v>1</v>
          </cell>
          <cell r="E5110" t="str">
            <v>Santa Ana</v>
          </cell>
          <cell r="H5110" t="str">
            <v>consulta_externa</v>
          </cell>
          <cell r="J5110" t="str">
            <v>muybueno</v>
          </cell>
          <cell r="K5110" t="str">
            <v>defsi</v>
          </cell>
        </row>
        <row r="5111">
          <cell r="B5111" t="b">
            <v>1</v>
          </cell>
          <cell r="E5111" t="str">
            <v>Esperanza</v>
          </cell>
          <cell r="H5111" t="str">
            <v>consulta_externa</v>
          </cell>
          <cell r="J5111" t="str">
            <v>bueno</v>
          </cell>
          <cell r="K5111" t="str">
            <v>probsi</v>
          </cell>
        </row>
        <row r="5112">
          <cell r="B5112" t="b">
            <v>1</v>
          </cell>
          <cell r="E5112" t="str">
            <v>Santa Ana</v>
          </cell>
          <cell r="H5112" t="str">
            <v>laboratorio</v>
          </cell>
          <cell r="J5112" t="str">
            <v>muybueno</v>
          </cell>
          <cell r="K5112" t="str">
            <v>defsi</v>
          </cell>
        </row>
        <row r="5113">
          <cell r="B5113" t="b">
            <v>1</v>
          </cell>
          <cell r="E5113" t="str">
            <v>Esperanza</v>
          </cell>
          <cell r="H5113" t="str">
            <v>salud_oral</v>
          </cell>
          <cell r="J5113" t="str">
            <v>bueno</v>
          </cell>
          <cell r="K5113" t="str">
            <v>probsi</v>
          </cell>
        </row>
        <row r="5114">
          <cell r="B5114" t="b">
            <v>1</v>
          </cell>
          <cell r="E5114" t="str">
            <v>Esperanza</v>
          </cell>
          <cell r="H5114" t="str">
            <v>urgencia</v>
          </cell>
          <cell r="J5114" t="str">
            <v>bueno</v>
          </cell>
          <cell r="K5114" t="str">
            <v>probsi</v>
          </cell>
        </row>
        <row r="5115">
          <cell r="B5115" t="b">
            <v>1</v>
          </cell>
          <cell r="E5115" t="str">
            <v>Esperanza</v>
          </cell>
          <cell r="H5115" t="str">
            <v>consulta_externa</v>
          </cell>
          <cell r="J5115" t="str">
            <v>muybueno</v>
          </cell>
          <cell r="K5115" t="str">
            <v>probsi</v>
          </cell>
        </row>
        <row r="5116">
          <cell r="B5116" t="b">
            <v>1</v>
          </cell>
          <cell r="E5116" t="str">
            <v>Esperanza</v>
          </cell>
          <cell r="H5116" t="str">
            <v>laboratorio</v>
          </cell>
          <cell r="J5116" t="str">
            <v>bueno</v>
          </cell>
          <cell r="K5116" t="str">
            <v>probsi</v>
          </cell>
        </row>
        <row r="5117">
          <cell r="B5117" t="b">
            <v>1</v>
          </cell>
          <cell r="E5117" t="str">
            <v>Esperanza</v>
          </cell>
          <cell r="H5117" t="str">
            <v>laboratorio</v>
          </cell>
          <cell r="J5117" t="str">
            <v>bueno</v>
          </cell>
          <cell r="K5117" t="str">
            <v>probsi</v>
          </cell>
        </row>
        <row r="5118">
          <cell r="B5118" t="b">
            <v>1</v>
          </cell>
          <cell r="E5118" t="str">
            <v>Arroyo Grande</v>
          </cell>
          <cell r="H5118" t="str">
            <v>consulta_externa</v>
          </cell>
          <cell r="J5118" t="str">
            <v>bueno</v>
          </cell>
          <cell r="K5118" t="str">
            <v>defsi</v>
          </cell>
        </row>
        <row r="5119">
          <cell r="B5119" t="b">
            <v>1</v>
          </cell>
          <cell r="E5119" t="str">
            <v>Arroyo Grande</v>
          </cell>
          <cell r="H5119" t="str">
            <v>laboratorio</v>
          </cell>
          <cell r="J5119" t="str">
            <v>bueno</v>
          </cell>
          <cell r="K5119" t="str">
            <v>defsi</v>
          </cell>
        </row>
        <row r="5120">
          <cell r="B5120" t="b">
            <v>1</v>
          </cell>
          <cell r="E5120" t="str">
            <v>Esperanza</v>
          </cell>
          <cell r="H5120" t="str">
            <v>consulta_externa</v>
          </cell>
          <cell r="J5120" t="str">
            <v>bueno</v>
          </cell>
          <cell r="K5120" t="str">
            <v>probsi</v>
          </cell>
        </row>
        <row r="5121">
          <cell r="B5121" t="b">
            <v>1</v>
          </cell>
          <cell r="E5121" t="str">
            <v>Esperanza</v>
          </cell>
          <cell r="H5121" t="str">
            <v>laboratorio</v>
          </cell>
          <cell r="J5121" t="str">
            <v>bueno</v>
          </cell>
          <cell r="K5121" t="str">
            <v>probsi</v>
          </cell>
        </row>
        <row r="5122">
          <cell r="B5122" t="b">
            <v>1</v>
          </cell>
          <cell r="E5122" t="str">
            <v>Esperanza</v>
          </cell>
          <cell r="H5122" t="str">
            <v>urgencia</v>
          </cell>
          <cell r="J5122" t="str">
            <v>bueno</v>
          </cell>
          <cell r="K5122" t="str">
            <v>probsi</v>
          </cell>
        </row>
        <row r="5123">
          <cell r="B5123" t="b">
            <v>1</v>
          </cell>
          <cell r="E5123" t="str">
            <v>Santa Ana</v>
          </cell>
          <cell r="H5123" t="str">
            <v>salud_oral</v>
          </cell>
          <cell r="J5123" t="str">
            <v>muybueno</v>
          </cell>
          <cell r="K5123" t="str">
            <v>defsi</v>
          </cell>
        </row>
        <row r="5124">
          <cell r="B5124" t="b">
            <v>1</v>
          </cell>
          <cell r="E5124" t="str">
            <v>Esperanza</v>
          </cell>
          <cell r="H5124" t="str">
            <v>consulta_externa</v>
          </cell>
          <cell r="J5124" t="str">
            <v>bueno</v>
          </cell>
          <cell r="K5124" t="str">
            <v>probsi</v>
          </cell>
        </row>
        <row r="5125">
          <cell r="B5125" t="b">
            <v>1</v>
          </cell>
          <cell r="E5125" t="str">
            <v>Esperanza</v>
          </cell>
          <cell r="H5125" t="str">
            <v>electros</v>
          </cell>
          <cell r="J5125" t="str">
            <v>bueno</v>
          </cell>
          <cell r="K5125" t="str">
            <v>probsi</v>
          </cell>
        </row>
        <row r="5126">
          <cell r="B5126" t="b">
            <v>1</v>
          </cell>
          <cell r="E5126" t="str">
            <v>Esperanza</v>
          </cell>
          <cell r="H5126" t="str">
            <v>electros</v>
          </cell>
          <cell r="J5126" t="str">
            <v>bueno</v>
          </cell>
          <cell r="K5126" t="str">
            <v>probsi</v>
          </cell>
        </row>
        <row r="5127">
          <cell r="B5127" t="b">
            <v>1</v>
          </cell>
          <cell r="E5127" t="str">
            <v>Esperanza</v>
          </cell>
          <cell r="H5127" t="str">
            <v>salud_oral</v>
          </cell>
          <cell r="J5127" t="str">
            <v>bueno</v>
          </cell>
          <cell r="K5127" t="str">
            <v>probsi</v>
          </cell>
        </row>
        <row r="5128">
          <cell r="B5128" t="b">
            <v>1</v>
          </cell>
          <cell r="E5128" t="str">
            <v>Esperanza</v>
          </cell>
          <cell r="H5128" t="str">
            <v>consulta_externa</v>
          </cell>
          <cell r="J5128" t="str">
            <v>bueno</v>
          </cell>
          <cell r="K5128" t="str">
            <v>probsi</v>
          </cell>
        </row>
        <row r="5129">
          <cell r="B5129" t="b">
            <v>1</v>
          </cell>
          <cell r="E5129" t="str">
            <v>Arroyo Grande</v>
          </cell>
          <cell r="H5129" t="str">
            <v>laboratorio</v>
          </cell>
          <cell r="J5129" t="str">
            <v>bueno</v>
          </cell>
          <cell r="K5129" t="str">
            <v>defsi</v>
          </cell>
        </row>
        <row r="5130">
          <cell r="B5130" t="b">
            <v>0</v>
          </cell>
          <cell r="E5130" t="str">
            <v>Arroyo Grande</v>
          </cell>
          <cell r="H5130" t="str">
            <v>consulta_externa</v>
          </cell>
          <cell r="J5130" t="str">
            <v>regular</v>
          </cell>
          <cell r="K5130" t="str">
            <v>defsi</v>
          </cell>
        </row>
        <row r="5131">
          <cell r="B5131" t="b">
            <v>1</v>
          </cell>
          <cell r="E5131" t="str">
            <v>Esperanza</v>
          </cell>
          <cell r="H5131" t="str">
            <v>consulta_externa</v>
          </cell>
          <cell r="J5131" t="str">
            <v>bueno</v>
          </cell>
          <cell r="K5131" t="str">
            <v>probsi</v>
          </cell>
        </row>
        <row r="5132">
          <cell r="B5132" t="b">
            <v>1</v>
          </cell>
          <cell r="E5132" t="str">
            <v>Arroyo Grande</v>
          </cell>
          <cell r="H5132" t="str">
            <v>consulta_externa</v>
          </cell>
          <cell r="J5132" t="str">
            <v>bueno</v>
          </cell>
          <cell r="K5132" t="str">
            <v>defsi</v>
          </cell>
        </row>
        <row r="5133">
          <cell r="B5133" t="b">
            <v>1</v>
          </cell>
          <cell r="E5133" t="str">
            <v>Arroyo Grande</v>
          </cell>
          <cell r="H5133" t="str">
            <v>laboratorio</v>
          </cell>
          <cell r="J5133" t="str">
            <v>bueno</v>
          </cell>
          <cell r="K5133" t="str">
            <v>defsi</v>
          </cell>
        </row>
        <row r="5134">
          <cell r="B5134" t="b">
            <v>1</v>
          </cell>
          <cell r="E5134" t="str">
            <v>Arroyo Grande</v>
          </cell>
          <cell r="H5134" t="str">
            <v>consulta_externa</v>
          </cell>
          <cell r="J5134" t="str">
            <v>bueno</v>
          </cell>
          <cell r="K5134" t="str">
            <v>defsi</v>
          </cell>
        </row>
        <row r="5135">
          <cell r="B5135" t="b">
            <v>1</v>
          </cell>
          <cell r="E5135" t="str">
            <v>Arroyo Grande</v>
          </cell>
          <cell r="H5135" t="str">
            <v>laboratorio</v>
          </cell>
          <cell r="J5135" t="str">
            <v>bueno</v>
          </cell>
          <cell r="K5135" t="str">
            <v>defsi</v>
          </cell>
        </row>
        <row r="5136">
          <cell r="B5136" t="b">
            <v>1</v>
          </cell>
          <cell r="E5136" t="str">
            <v>Arroyo Grande</v>
          </cell>
          <cell r="H5136" t="str">
            <v>laboratorio</v>
          </cell>
          <cell r="J5136" t="str">
            <v>bueno</v>
          </cell>
          <cell r="K5136" t="str">
            <v>defsi</v>
          </cell>
        </row>
        <row r="5137">
          <cell r="B5137" t="b">
            <v>1</v>
          </cell>
          <cell r="E5137" t="str">
            <v>Arroyo Grande</v>
          </cell>
          <cell r="H5137" t="str">
            <v>consulta_externa</v>
          </cell>
          <cell r="J5137" t="str">
            <v>bueno</v>
          </cell>
          <cell r="K5137" t="str">
            <v>defsi</v>
          </cell>
        </row>
        <row r="5138">
          <cell r="B5138" t="b">
            <v>1</v>
          </cell>
          <cell r="E5138" t="str">
            <v>Nuevo Bosque</v>
          </cell>
          <cell r="H5138" t="str">
            <v>consulta_externa</v>
          </cell>
          <cell r="J5138" t="str">
            <v>bueno</v>
          </cell>
          <cell r="K5138" t="str">
            <v>defsi</v>
          </cell>
        </row>
        <row r="5139">
          <cell r="B5139" t="b">
            <v>1</v>
          </cell>
          <cell r="E5139" t="str">
            <v>Esperanza</v>
          </cell>
          <cell r="H5139" t="str">
            <v>salud_oral</v>
          </cell>
          <cell r="J5139" t="str">
            <v>bueno</v>
          </cell>
          <cell r="K5139" t="str">
            <v>probsi</v>
          </cell>
        </row>
        <row r="5140">
          <cell r="B5140" t="b">
            <v>1</v>
          </cell>
          <cell r="E5140" t="str">
            <v>Nuevo Bosque</v>
          </cell>
          <cell r="H5140" t="str">
            <v>salud_oral</v>
          </cell>
          <cell r="J5140" t="str">
            <v>bueno</v>
          </cell>
          <cell r="K5140" t="str">
            <v>defsi</v>
          </cell>
        </row>
        <row r="5141">
          <cell r="B5141" t="b">
            <v>1</v>
          </cell>
          <cell r="E5141" t="str">
            <v>Esperanza</v>
          </cell>
          <cell r="H5141" t="str">
            <v>consulta_externa</v>
          </cell>
          <cell r="J5141" t="str">
            <v>bueno</v>
          </cell>
          <cell r="K5141" t="str">
            <v>probsi</v>
          </cell>
        </row>
        <row r="5142">
          <cell r="B5142" t="b">
            <v>1</v>
          </cell>
          <cell r="E5142" t="str">
            <v>Arroyo de las Canoas</v>
          </cell>
          <cell r="H5142" t="str">
            <v>consulta_externa</v>
          </cell>
          <cell r="J5142" t="str">
            <v>bueno</v>
          </cell>
          <cell r="K5142" t="str">
            <v>defsi</v>
          </cell>
        </row>
        <row r="5143">
          <cell r="B5143" t="b">
            <v>0</v>
          </cell>
          <cell r="E5143" t="str">
            <v>Esperanza</v>
          </cell>
          <cell r="H5143" t="str">
            <v>laboratorio</v>
          </cell>
          <cell r="J5143" t="str">
            <v>regular</v>
          </cell>
          <cell r="K5143" t="str">
            <v>probsi</v>
          </cell>
        </row>
        <row r="5144">
          <cell r="B5144" t="b">
            <v>1</v>
          </cell>
          <cell r="E5144" t="str">
            <v>Arroyo de las Canoas</v>
          </cell>
          <cell r="H5144" t="str">
            <v>consulta_externa</v>
          </cell>
          <cell r="J5144" t="str">
            <v>bueno</v>
          </cell>
          <cell r="K5144" t="str">
            <v>defsi</v>
          </cell>
        </row>
        <row r="5145">
          <cell r="B5145" t="b">
            <v>1</v>
          </cell>
          <cell r="E5145" t="str">
            <v>Arroyo de las Canoas</v>
          </cell>
          <cell r="H5145" t="str">
            <v>laboratorio</v>
          </cell>
          <cell r="J5145" t="str">
            <v>bueno</v>
          </cell>
          <cell r="K5145" t="str">
            <v>defsi</v>
          </cell>
        </row>
        <row r="5146">
          <cell r="B5146" t="b">
            <v>1</v>
          </cell>
          <cell r="E5146" t="str">
            <v>Arroyo de las Canoas</v>
          </cell>
          <cell r="H5146" t="str">
            <v>laboratorio</v>
          </cell>
          <cell r="J5146" t="str">
            <v>bueno</v>
          </cell>
          <cell r="K5146" t="str">
            <v>defsi</v>
          </cell>
        </row>
        <row r="5147">
          <cell r="B5147" t="b">
            <v>1</v>
          </cell>
          <cell r="E5147" t="str">
            <v>Arroyo de las Canoas</v>
          </cell>
          <cell r="H5147" t="str">
            <v>consulta_externa</v>
          </cell>
          <cell r="J5147" t="str">
            <v>bueno</v>
          </cell>
          <cell r="K5147" t="str">
            <v>defsi</v>
          </cell>
        </row>
        <row r="5148">
          <cell r="B5148" t="b">
            <v>1</v>
          </cell>
          <cell r="E5148" t="str">
            <v>Nuevo Bosque</v>
          </cell>
          <cell r="H5148" t="str">
            <v>laboratorio</v>
          </cell>
          <cell r="J5148" t="str">
            <v>bueno</v>
          </cell>
          <cell r="K5148" t="str">
            <v>defsi</v>
          </cell>
        </row>
        <row r="5149">
          <cell r="B5149" t="b">
            <v>1</v>
          </cell>
          <cell r="E5149" t="str">
            <v>Arroyo de las Canoas</v>
          </cell>
          <cell r="H5149" t="str">
            <v>salud_oral</v>
          </cell>
          <cell r="J5149" t="str">
            <v>bueno</v>
          </cell>
          <cell r="K5149" t="str">
            <v>defsi</v>
          </cell>
        </row>
        <row r="5150">
          <cell r="B5150" t="b">
            <v>1</v>
          </cell>
          <cell r="E5150" t="str">
            <v>Esperanza</v>
          </cell>
          <cell r="H5150" t="str">
            <v>electros</v>
          </cell>
          <cell r="J5150" t="str">
            <v>bueno</v>
          </cell>
          <cell r="K5150" t="str">
            <v>probsi</v>
          </cell>
        </row>
        <row r="5151">
          <cell r="B5151" t="b">
            <v>1</v>
          </cell>
          <cell r="E5151" t="str">
            <v>Nuevo Bosque</v>
          </cell>
          <cell r="H5151" t="str">
            <v>urgencia</v>
          </cell>
          <cell r="J5151" t="str">
            <v>bueno</v>
          </cell>
          <cell r="K5151" t="str">
            <v>defsi</v>
          </cell>
        </row>
        <row r="5152">
          <cell r="B5152" t="b">
            <v>1</v>
          </cell>
          <cell r="E5152" t="str">
            <v>Esperanza</v>
          </cell>
          <cell r="H5152" t="str">
            <v>electros</v>
          </cell>
          <cell r="J5152" t="str">
            <v>bueno</v>
          </cell>
          <cell r="K5152" t="str">
            <v>probsi</v>
          </cell>
        </row>
        <row r="5153">
          <cell r="B5153" t="b">
            <v>1</v>
          </cell>
          <cell r="E5153" t="str">
            <v>Arroyo de las Canoas</v>
          </cell>
          <cell r="H5153" t="str">
            <v>salud_oral</v>
          </cell>
          <cell r="J5153" t="str">
            <v>bueno</v>
          </cell>
          <cell r="K5153" t="str">
            <v>defsi</v>
          </cell>
        </row>
        <row r="5154">
          <cell r="B5154" t="b">
            <v>1</v>
          </cell>
          <cell r="E5154" t="str">
            <v>Arroyo de las Canoas</v>
          </cell>
          <cell r="H5154" t="str">
            <v>consulta_externa</v>
          </cell>
          <cell r="J5154" t="str">
            <v>bueno</v>
          </cell>
          <cell r="K5154" t="str">
            <v>defsi</v>
          </cell>
        </row>
        <row r="5155">
          <cell r="B5155" t="b">
            <v>1</v>
          </cell>
          <cell r="E5155" t="str">
            <v>Esperanza</v>
          </cell>
          <cell r="H5155" t="str">
            <v>consulta_externa</v>
          </cell>
          <cell r="J5155" t="str">
            <v>bueno</v>
          </cell>
          <cell r="K5155" t="str">
            <v>probsi</v>
          </cell>
        </row>
        <row r="5156">
          <cell r="B5156" t="b">
            <v>1</v>
          </cell>
          <cell r="E5156" t="str">
            <v>Esperanza</v>
          </cell>
          <cell r="H5156" t="str">
            <v>laboratorio</v>
          </cell>
          <cell r="J5156" t="str">
            <v>bueno</v>
          </cell>
          <cell r="K5156" t="str">
            <v>probsi</v>
          </cell>
        </row>
        <row r="5157">
          <cell r="B5157" t="b">
            <v>1</v>
          </cell>
          <cell r="E5157" t="str">
            <v>Nuevo Bosque</v>
          </cell>
          <cell r="H5157" t="str">
            <v>consulta_externa</v>
          </cell>
          <cell r="J5157" t="str">
            <v>bueno</v>
          </cell>
          <cell r="K5157" t="str">
            <v>defsi</v>
          </cell>
        </row>
        <row r="5158">
          <cell r="B5158" t="b">
            <v>1</v>
          </cell>
          <cell r="E5158" t="str">
            <v>Nuevo Bosque</v>
          </cell>
          <cell r="H5158" t="str">
            <v>salud_oral</v>
          </cell>
          <cell r="J5158" t="str">
            <v>bueno</v>
          </cell>
          <cell r="K5158" t="str">
            <v>defsi</v>
          </cell>
        </row>
        <row r="5159">
          <cell r="B5159" t="b">
            <v>1</v>
          </cell>
          <cell r="E5159" t="str">
            <v>Esperanza</v>
          </cell>
          <cell r="H5159" t="str">
            <v>laboratorio</v>
          </cell>
          <cell r="J5159" t="str">
            <v>bueno</v>
          </cell>
          <cell r="K5159" t="str">
            <v>probsi</v>
          </cell>
        </row>
        <row r="5160">
          <cell r="B5160" t="b">
            <v>1</v>
          </cell>
          <cell r="E5160" t="str">
            <v>Esperanza</v>
          </cell>
          <cell r="H5160" t="str">
            <v>consulta_externa</v>
          </cell>
          <cell r="J5160" t="str">
            <v>bueno</v>
          </cell>
          <cell r="K5160" t="str">
            <v>probsi</v>
          </cell>
        </row>
        <row r="5161">
          <cell r="B5161" t="b">
            <v>1</v>
          </cell>
          <cell r="E5161" t="str">
            <v>Nuevo Bosque</v>
          </cell>
          <cell r="H5161" t="str">
            <v>laboratorio</v>
          </cell>
          <cell r="J5161" t="str">
            <v>bueno</v>
          </cell>
          <cell r="K5161" t="str">
            <v>defsi</v>
          </cell>
        </row>
        <row r="5162">
          <cell r="B5162" t="b">
            <v>1</v>
          </cell>
          <cell r="E5162" t="str">
            <v>Nuevo Bosque</v>
          </cell>
          <cell r="H5162" t="str">
            <v>urgencia</v>
          </cell>
          <cell r="J5162" t="str">
            <v>bueno</v>
          </cell>
          <cell r="K5162" t="str">
            <v>defsi</v>
          </cell>
        </row>
        <row r="5163">
          <cell r="B5163" t="b">
            <v>1</v>
          </cell>
          <cell r="E5163" t="str">
            <v>Nuevo Bosque</v>
          </cell>
          <cell r="H5163" t="str">
            <v>consulta_externa</v>
          </cell>
          <cell r="J5163" t="str">
            <v>bueno</v>
          </cell>
          <cell r="K5163" t="str">
            <v>defsi</v>
          </cell>
        </row>
        <row r="5164">
          <cell r="B5164" t="b">
            <v>1</v>
          </cell>
          <cell r="E5164" t="str">
            <v>Nuevo Bosque</v>
          </cell>
          <cell r="H5164" t="str">
            <v>salud_oral</v>
          </cell>
          <cell r="J5164" t="str">
            <v>bueno</v>
          </cell>
          <cell r="K5164" t="str">
            <v>defsi</v>
          </cell>
        </row>
        <row r="5165">
          <cell r="B5165" t="b">
            <v>1</v>
          </cell>
          <cell r="E5165" t="str">
            <v>Nuevo Bosque</v>
          </cell>
          <cell r="H5165" t="str">
            <v>laboratorio</v>
          </cell>
          <cell r="J5165" t="str">
            <v>bueno</v>
          </cell>
          <cell r="K5165" t="str">
            <v>defsi</v>
          </cell>
        </row>
        <row r="5166">
          <cell r="B5166" t="b">
            <v>1</v>
          </cell>
          <cell r="E5166" t="str">
            <v>Nuevo Bosque</v>
          </cell>
          <cell r="H5166" t="str">
            <v>urgencia</v>
          </cell>
          <cell r="J5166" t="str">
            <v>bueno</v>
          </cell>
          <cell r="K5166" t="str">
            <v>defsi</v>
          </cell>
        </row>
        <row r="5167">
          <cell r="B5167" t="b">
            <v>1</v>
          </cell>
          <cell r="E5167" t="str">
            <v>Nuevo Bosque</v>
          </cell>
          <cell r="H5167" t="str">
            <v>consulta_externa</v>
          </cell>
          <cell r="J5167" t="str">
            <v>bueno</v>
          </cell>
          <cell r="K5167" t="str">
            <v>defsi</v>
          </cell>
        </row>
        <row r="5168">
          <cell r="B5168" t="b">
            <v>1</v>
          </cell>
          <cell r="E5168" t="str">
            <v>Esperanza</v>
          </cell>
          <cell r="H5168" t="str">
            <v>salud_oral</v>
          </cell>
          <cell r="J5168" t="str">
            <v>bueno</v>
          </cell>
          <cell r="K5168" t="str">
            <v>probsi</v>
          </cell>
        </row>
        <row r="5169">
          <cell r="B5169" t="b">
            <v>1</v>
          </cell>
          <cell r="E5169" t="str">
            <v>Nuevo Bosque</v>
          </cell>
          <cell r="H5169" t="str">
            <v>salud_oral</v>
          </cell>
          <cell r="J5169" t="str">
            <v>bueno</v>
          </cell>
          <cell r="K5169" t="str">
            <v>defsi</v>
          </cell>
        </row>
        <row r="5170">
          <cell r="B5170" t="b">
            <v>1</v>
          </cell>
          <cell r="E5170" t="str">
            <v>Esperanza</v>
          </cell>
          <cell r="H5170" t="str">
            <v>salud_oral</v>
          </cell>
          <cell r="J5170" t="str">
            <v>bueno</v>
          </cell>
          <cell r="K5170" t="str">
            <v>probsi</v>
          </cell>
        </row>
        <row r="5171">
          <cell r="B5171" t="b">
            <v>1</v>
          </cell>
          <cell r="E5171" t="str">
            <v>Santa Ana</v>
          </cell>
          <cell r="H5171" t="str">
            <v>consulta_externa</v>
          </cell>
          <cell r="J5171" t="str">
            <v>muybueno</v>
          </cell>
          <cell r="K5171" t="str">
            <v>defsi</v>
          </cell>
        </row>
        <row r="5172">
          <cell r="B5172" t="b">
            <v>1</v>
          </cell>
          <cell r="E5172" t="str">
            <v>Esperanza</v>
          </cell>
          <cell r="H5172" t="str">
            <v>electros</v>
          </cell>
          <cell r="J5172" t="str">
            <v>bueno</v>
          </cell>
          <cell r="K5172" t="str">
            <v>probsi</v>
          </cell>
        </row>
        <row r="5173">
          <cell r="B5173" t="b">
            <v>1</v>
          </cell>
          <cell r="E5173" t="str">
            <v>Santa Ana</v>
          </cell>
          <cell r="H5173" t="str">
            <v>laboratorio</v>
          </cell>
          <cell r="J5173" t="str">
            <v>muybueno</v>
          </cell>
          <cell r="K5173" t="str">
            <v>defsi</v>
          </cell>
        </row>
        <row r="5174">
          <cell r="B5174" t="b">
            <v>1</v>
          </cell>
          <cell r="E5174" t="str">
            <v>Punta Arena</v>
          </cell>
          <cell r="H5174" t="str">
            <v>laboratorio</v>
          </cell>
          <cell r="J5174" t="str">
            <v>bueno</v>
          </cell>
          <cell r="K5174" t="str">
            <v>defsi</v>
          </cell>
        </row>
        <row r="5175">
          <cell r="B5175" t="b">
            <v>1</v>
          </cell>
          <cell r="E5175" t="str">
            <v>Punta Arena</v>
          </cell>
          <cell r="H5175" t="str">
            <v>laboratorio</v>
          </cell>
          <cell r="J5175" t="str">
            <v>bueno</v>
          </cell>
          <cell r="K5175" t="str">
            <v>defsi</v>
          </cell>
        </row>
        <row r="5176">
          <cell r="B5176" t="b">
            <v>1</v>
          </cell>
          <cell r="E5176" t="str">
            <v>Punta Arena</v>
          </cell>
          <cell r="H5176" t="str">
            <v>laboratorio</v>
          </cell>
          <cell r="J5176" t="str">
            <v>bueno</v>
          </cell>
          <cell r="K5176" t="str">
            <v>defsi</v>
          </cell>
        </row>
        <row r="5177">
          <cell r="B5177" t="b">
            <v>1</v>
          </cell>
          <cell r="E5177" t="str">
            <v>Punta Arena</v>
          </cell>
          <cell r="H5177" t="str">
            <v>consulta_externa</v>
          </cell>
          <cell r="J5177" t="str">
            <v>bueno</v>
          </cell>
          <cell r="K5177" t="str">
            <v>defsi</v>
          </cell>
        </row>
        <row r="5178">
          <cell r="B5178" t="b">
            <v>1</v>
          </cell>
          <cell r="E5178" t="str">
            <v>Punta Arena</v>
          </cell>
          <cell r="H5178" t="str">
            <v>consulta_externa</v>
          </cell>
          <cell r="J5178" t="str">
            <v>bueno</v>
          </cell>
          <cell r="K5178" t="str">
            <v>defsi</v>
          </cell>
        </row>
        <row r="5179">
          <cell r="B5179" t="b">
            <v>1</v>
          </cell>
          <cell r="E5179" t="str">
            <v>Santa Ana</v>
          </cell>
          <cell r="H5179" t="str">
            <v>consulta_externa</v>
          </cell>
          <cell r="J5179" t="str">
            <v>muybueno</v>
          </cell>
          <cell r="K5179" t="str">
            <v>defsi</v>
          </cell>
        </row>
        <row r="5180">
          <cell r="B5180" t="b">
            <v>1</v>
          </cell>
          <cell r="E5180" t="str">
            <v>Santa Ana</v>
          </cell>
          <cell r="H5180" t="str">
            <v>salud_oral</v>
          </cell>
          <cell r="J5180" t="str">
            <v>muybueno</v>
          </cell>
          <cell r="K5180" t="str">
            <v>defsi</v>
          </cell>
        </row>
        <row r="5181">
          <cell r="B5181" t="b">
            <v>1</v>
          </cell>
          <cell r="E5181" t="str">
            <v>Punta Arena</v>
          </cell>
          <cell r="H5181" t="str">
            <v>salud_oral</v>
          </cell>
          <cell r="J5181" t="str">
            <v>bueno</v>
          </cell>
          <cell r="K5181" t="str">
            <v>defsi</v>
          </cell>
        </row>
        <row r="5182">
          <cell r="B5182" t="b">
            <v>1</v>
          </cell>
          <cell r="E5182" t="str">
            <v>Punta Arena</v>
          </cell>
          <cell r="H5182" t="str">
            <v>salud_oral</v>
          </cell>
          <cell r="J5182" t="str">
            <v>bueno</v>
          </cell>
          <cell r="K5182" t="str">
            <v>defsi</v>
          </cell>
        </row>
        <row r="5183">
          <cell r="B5183" t="b">
            <v>1</v>
          </cell>
          <cell r="E5183" t="str">
            <v>Esperanza</v>
          </cell>
          <cell r="H5183" t="str">
            <v>laboratorio</v>
          </cell>
          <cell r="J5183" t="str">
            <v>bueno</v>
          </cell>
          <cell r="K5183" t="str">
            <v>probsi</v>
          </cell>
        </row>
        <row r="5184">
          <cell r="B5184" t="b">
            <v>1</v>
          </cell>
          <cell r="E5184" t="str">
            <v>Esperanza</v>
          </cell>
          <cell r="H5184" t="str">
            <v>laboratorio</v>
          </cell>
          <cell r="J5184" t="str">
            <v>bueno</v>
          </cell>
          <cell r="K5184" t="str">
            <v>probsi</v>
          </cell>
        </row>
        <row r="5185">
          <cell r="B5185" t="b">
            <v>1</v>
          </cell>
          <cell r="E5185" t="str">
            <v>Esperanza</v>
          </cell>
          <cell r="H5185" t="str">
            <v>electros</v>
          </cell>
          <cell r="J5185" t="str">
            <v>bueno</v>
          </cell>
          <cell r="K5185" t="str">
            <v>probsi</v>
          </cell>
        </row>
        <row r="5186">
          <cell r="B5186" t="b">
            <v>1</v>
          </cell>
          <cell r="E5186" t="str">
            <v>Esperanza</v>
          </cell>
          <cell r="H5186" t="str">
            <v>electros</v>
          </cell>
          <cell r="J5186" t="str">
            <v>bueno</v>
          </cell>
          <cell r="K5186" t="str">
            <v>probsi</v>
          </cell>
        </row>
        <row r="5187">
          <cell r="B5187" t="b">
            <v>1</v>
          </cell>
          <cell r="E5187" t="str">
            <v>Santa Ana</v>
          </cell>
          <cell r="H5187" t="str">
            <v>consulta_externa</v>
          </cell>
          <cell r="J5187" t="str">
            <v>muybueno</v>
          </cell>
          <cell r="K5187" t="str">
            <v>defsi</v>
          </cell>
        </row>
        <row r="5188">
          <cell r="B5188" t="b">
            <v>1</v>
          </cell>
          <cell r="E5188" t="str">
            <v>Santa Ana</v>
          </cell>
          <cell r="H5188" t="str">
            <v>laboratorio</v>
          </cell>
          <cell r="J5188" t="str">
            <v>muybueno</v>
          </cell>
          <cell r="K5188" t="str">
            <v>defsi</v>
          </cell>
        </row>
        <row r="5189">
          <cell r="B5189" t="b">
            <v>1</v>
          </cell>
          <cell r="E5189" t="str">
            <v>Punta Arena</v>
          </cell>
          <cell r="H5189" t="str">
            <v>consulta_externa</v>
          </cell>
          <cell r="J5189" t="str">
            <v>bueno</v>
          </cell>
          <cell r="K5189" t="str">
            <v>defsi</v>
          </cell>
        </row>
        <row r="5190">
          <cell r="B5190" t="b">
            <v>1</v>
          </cell>
          <cell r="E5190" t="str">
            <v>Punta Arena</v>
          </cell>
          <cell r="H5190" t="str">
            <v>salud_oral</v>
          </cell>
          <cell r="J5190" t="str">
            <v>bueno</v>
          </cell>
          <cell r="K5190" t="str">
            <v>defsi</v>
          </cell>
        </row>
        <row r="5191">
          <cell r="B5191" t="b">
            <v>1</v>
          </cell>
          <cell r="E5191" t="str">
            <v>Punta Arena</v>
          </cell>
          <cell r="H5191" t="str">
            <v>laboratorio</v>
          </cell>
          <cell r="J5191" t="str">
            <v>bueno</v>
          </cell>
          <cell r="K5191" t="str">
            <v>defsi</v>
          </cell>
        </row>
        <row r="5192">
          <cell r="B5192" t="b">
            <v>1</v>
          </cell>
          <cell r="E5192" t="str">
            <v>Esperanza</v>
          </cell>
          <cell r="H5192" t="str">
            <v>urgencia</v>
          </cell>
          <cell r="J5192" t="str">
            <v>bueno</v>
          </cell>
          <cell r="K5192" t="str">
            <v>probsi</v>
          </cell>
        </row>
        <row r="5193">
          <cell r="B5193" t="b">
            <v>1</v>
          </cell>
          <cell r="E5193" t="str">
            <v>Esperanza</v>
          </cell>
          <cell r="H5193" t="str">
            <v>urgencia</v>
          </cell>
          <cell r="J5193" t="str">
            <v>bueno</v>
          </cell>
          <cell r="K5193" t="str">
            <v>probsi</v>
          </cell>
        </row>
        <row r="5194">
          <cell r="B5194" t="b">
            <v>1</v>
          </cell>
          <cell r="E5194" t="str">
            <v>Esperanza</v>
          </cell>
          <cell r="H5194" t="str">
            <v>urgencia</v>
          </cell>
          <cell r="J5194" t="str">
            <v>bueno</v>
          </cell>
          <cell r="K5194" t="str">
            <v>probsi</v>
          </cell>
        </row>
        <row r="5195">
          <cell r="B5195" t="b">
            <v>1</v>
          </cell>
          <cell r="E5195" t="str">
            <v>Esperanza</v>
          </cell>
          <cell r="H5195" t="str">
            <v>urgencia</v>
          </cell>
          <cell r="J5195" t="str">
            <v>bueno</v>
          </cell>
          <cell r="K5195" t="str">
            <v>probsi</v>
          </cell>
        </row>
        <row r="5196">
          <cell r="B5196" t="b">
            <v>0</v>
          </cell>
          <cell r="E5196" t="str">
            <v>Esperanza</v>
          </cell>
          <cell r="H5196" t="str">
            <v>urgencia</v>
          </cell>
          <cell r="J5196" t="str">
            <v>regular</v>
          </cell>
          <cell r="K5196" t="str">
            <v>probsi</v>
          </cell>
        </row>
        <row r="5197">
          <cell r="B5197" t="b">
            <v>1</v>
          </cell>
          <cell r="E5197" t="str">
            <v>Esperanza</v>
          </cell>
          <cell r="H5197" t="str">
            <v>urgencia</v>
          </cell>
          <cell r="J5197" t="str">
            <v>bueno</v>
          </cell>
          <cell r="K5197" t="str">
            <v>probsi</v>
          </cell>
        </row>
        <row r="5198">
          <cell r="B5198" t="b">
            <v>1</v>
          </cell>
          <cell r="E5198" t="str">
            <v>Punta Arena</v>
          </cell>
          <cell r="H5198" t="str">
            <v>consulta_externa</v>
          </cell>
          <cell r="J5198" t="str">
            <v>bueno</v>
          </cell>
          <cell r="K5198" t="str">
            <v>probsi</v>
          </cell>
        </row>
        <row r="5199">
          <cell r="B5199" t="b">
            <v>1</v>
          </cell>
          <cell r="E5199" t="str">
            <v>Punta Arena</v>
          </cell>
          <cell r="H5199" t="str">
            <v>consulta_externa</v>
          </cell>
          <cell r="J5199" t="str">
            <v>bueno</v>
          </cell>
          <cell r="K5199" t="str">
            <v>probsi</v>
          </cell>
        </row>
        <row r="5200">
          <cell r="B5200" t="b">
            <v>1</v>
          </cell>
          <cell r="E5200" t="str">
            <v>Punta Arena</v>
          </cell>
          <cell r="H5200" t="str">
            <v>salud_oral</v>
          </cell>
          <cell r="J5200" t="str">
            <v>bueno</v>
          </cell>
          <cell r="K5200" t="str">
            <v>probsi</v>
          </cell>
        </row>
        <row r="5201">
          <cell r="B5201" t="b">
            <v>1</v>
          </cell>
          <cell r="E5201" t="str">
            <v>Punta Arena</v>
          </cell>
          <cell r="H5201" t="str">
            <v>salud_oral</v>
          </cell>
          <cell r="J5201" t="str">
            <v>bueno</v>
          </cell>
          <cell r="K5201" t="str">
            <v>probsi</v>
          </cell>
        </row>
        <row r="5202">
          <cell r="B5202" t="b">
            <v>1</v>
          </cell>
          <cell r="E5202" t="str">
            <v>Esperanza</v>
          </cell>
          <cell r="H5202" t="str">
            <v>salud_oral</v>
          </cell>
          <cell r="J5202" t="str">
            <v>bueno</v>
          </cell>
          <cell r="K5202" t="str">
            <v>probsi</v>
          </cell>
        </row>
        <row r="5203">
          <cell r="B5203" t="b">
            <v>1</v>
          </cell>
          <cell r="E5203" t="str">
            <v>Santa Ana</v>
          </cell>
          <cell r="H5203" t="str">
            <v>consulta_externa</v>
          </cell>
          <cell r="J5203" t="str">
            <v>muybueno</v>
          </cell>
          <cell r="K5203" t="str">
            <v>defsi</v>
          </cell>
        </row>
        <row r="5204">
          <cell r="B5204" t="b">
            <v>1</v>
          </cell>
          <cell r="E5204" t="str">
            <v>Los Cerros</v>
          </cell>
          <cell r="H5204" t="str">
            <v>consulta_externa</v>
          </cell>
          <cell r="J5204" t="str">
            <v>bueno</v>
          </cell>
          <cell r="K5204" t="str">
            <v>defsi</v>
          </cell>
        </row>
        <row r="5205">
          <cell r="B5205" t="b">
            <v>1</v>
          </cell>
          <cell r="E5205" t="str">
            <v>Los Cerros</v>
          </cell>
          <cell r="H5205" t="str">
            <v>salud_oral</v>
          </cell>
          <cell r="J5205" t="str">
            <v>bueno</v>
          </cell>
          <cell r="K5205" t="str">
            <v>defsi</v>
          </cell>
        </row>
        <row r="5206">
          <cell r="B5206" t="b">
            <v>1</v>
          </cell>
          <cell r="E5206" t="str">
            <v>Los Cerros</v>
          </cell>
          <cell r="H5206" t="str">
            <v>laboratorio</v>
          </cell>
          <cell r="J5206" t="str">
            <v>bueno</v>
          </cell>
          <cell r="K5206" t="str">
            <v>defsi</v>
          </cell>
        </row>
        <row r="5207">
          <cell r="B5207" t="b">
            <v>1</v>
          </cell>
          <cell r="E5207" t="str">
            <v>Los Cerros</v>
          </cell>
          <cell r="H5207" t="str">
            <v>consulta_externa</v>
          </cell>
          <cell r="J5207" t="str">
            <v>bueno</v>
          </cell>
          <cell r="K5207" t="str">
            <v>defsi</v>
          </cell>
        </row>
        <row r="5208">
          <cell r="B5208" t="b">
            <v>1</v>
          </cell>
          <cell r="E5208" t="str">
            <v>Los Cerros</v>
          </cell>
          <cell r="H5208" t="str">
            <v>salud_oral</v>
          </cell>
          <cell r="J5208" t="str">
            <v>bueno</v>
          </cell>
          <cell r="K5208" t="str">
            <v>defsi</v>
          </cell>
        </row>
        <row r="5209">
          <cell r="B5209" t="b">
            <v>1</v>
          </cell>
          <cell r="E5209" t="str">
            <v>Los Cerros</v>
          </cell>
          <cell r="H5209" t="str">
            <v>laboratorio</v>
          </cell>
          <cell r="J5209" t="str">
            <v>bueno</v>
          </cell>
          <cell r="K5209" t="str">
            <v>defsi</v>
          </cell>
        </row>
        <row r="5210">
          <cell r="B5210" t="b">
            <v>1</v>
          </cell>
          <cell r="E5210" t="str">
            <v>Los Cerros</v>
          </cell>
          <cell r="H5210" t="str">
            <v>consulta_externa</v>
          </cell>
          <cell r="J5210" t="str">
            <v>bueno</v>
          </cell>
          <cell r="K5210" t="str">
            <v>defsi</v>
          </cell>
        </row>
        <row r="5211">
          <cell r="B5211" t="b">
            <v>1</v>
          </cell>
          <cell r="E5211" t="str">
            <v>Los Cerros</v>
          </cell>
          <cell r="H5211" t="str">
            <v>salud_oral</v>
          </cell>
          <cell r="J5211" t="str">
            <v>bueno</v>
          </cell>
          <cell r="K5211" t="str">
            <v>defsi</v>
          </cell>
        </row>
        <row r="5212">
          <cell r="B5212" t="b">
            <v>1</v>
          </cell>
          <cell r="E5212" t="str">
            <v>Los Cerros</v>
          </cell>
          <cell r="H5212" t="str">
            <v>laboratorio</v>
          </cell>
          <cell r="J5212" t="str">
            <v>bueno</v>
          </cell>
          <cell r="K5212" t="str">
            <v>defsi</v>
          </cell>
        </row>
        <row r="5213">
          <cell r="B5213" t="b">
            <v>1</v>
          </cell>
          <cell r="E5213" t="str">
            <v>Santa Ana</v>
          </cell>
          <cell r="H5213" t="str">
            <v>consulta_externa</v>
          </cell>
          <cell r="J5213" t="str">
            <v>muybueno</v>
          </cell>
          <cell r="K5213" t="str">
            <v>defsi</v>
          </cell>
        </row>
        <row r="5214">
          <cell r="B5214" t="b">
            <v>1</v>
          </cell>
          <cell r="E5214" t="str">
            <v>Santa Ana</v>
          </cell>
          <cell r="H5214" t="str">
            <v>laboratorio</v>
          </cell>
          <cell r="J5214" t="str">
            <v>muybueno</v>
          </cell>
          <cell r="K5214" t="str">
            <v>defsi</v>
          </cell>
        </row>
        <row r="5215">
          <cell r="B5215" t="b">
            <v>1</v>
          </cell>
          <cell r="E5215" t="str">
            <v>Santa Ana</v>
          </cell>
          <cell r="H5215" t="str">
            <v>salud_oral</v>
          </cell>
          <cell r="J5215" t="str">
            <v>muybueno</v>
          </cell>
          <cell r="K5215" t="str">
            <v>defsi</v>
          </cell>
        </row>
        <row r="5216">
          <cell r="B5216" t="b">
            <v>1</v>
          </cell>
          <cell r="E5216" t="str">
            <v>Santa Ana</v>
          </cell>
          <cell r="H5216" t="str">
            <v>consulta_externa</v>
          </cell>
          <cell r="J5216" t="str">
            <v>muybueno</v>
          </cell>
          <cell r="K5216" t="str">
            <v>defsi</v>
          </cell>
        </row>
        <row r="5217">
          <cell r="B5217" t="b">
            <v>1</v>
          </cell>
          <cell r="E5217" t="str">
            <v>Santa Ana</v>
          </cell>
          <cell r="H5217" t="str">
            <v>consulta_externa</v>
          </cell>
          <cell r="J5217" t="str">
            <v>muybueno</v>
          </cell>
          <cell r="K5217" t="str">
            <v>defsi</v>
          </cell>
        </row>
        <row r="5218">
          <cell r="B5218" t="b">
            <v>1</v>
          </cell>
          <cell r="E5218" t="str">
            <v>Santa Ana</v>
          </cell>
          <cell r="H5218" t="str">
            <v>laboratorio</v>
          </cell>
          <cell r="J5218" t="str">
            <v>muybueno</v>
          </cell>
          <cell r="K5218" t="str">
            <v>defsi</v>
          </cell>
        </row>
        <row r="5219">
          <cell r="B5219" t="b">
            <v>1</v>
          </cell>
          <cell r="E5219" t="str">
            <v>Santa Ana</v>
          </cell>
          <cell r="H5219" t="str">
            <v>consulta_externa</v>
          </cell>
          <cell r="J5219" t="str">
            <v>muybueno</v>
          </cell>
          <cell r="K5219" t="str">
            <v>defsi</v>
          </cell>
        </row>
        <row r="5220">
          <cell r="B5220" t="b">
            <v>1</v>
          </cell>
          <cell r="E5220" t="str">
            <v>Santa Ana</v>
          </cell>
          <cell r="H5220" t="str">
            <v>laboratorio</v>
          </cell>
          <cell r="J5220" t="str">
            <v>muybueno</v>
          </cell>
          <cell r="K5220" t="str">
            <v>defsi</v>
          </cell>
        </row>
        <row r="5221">
          <cell r="B5221" t="b">
            <v>1</v>
          </cell>
          <cell r="E5221" t="str">
            <v>Santa Ana</v>
          </cell>
          <cell r="H5221" t="str">
            <v>salud_oral</v>
          </cell>
          <cell r="J5221" t="str">
            <v>muybueno</v>
          </cell>
          <cell r="K5221" t="str">
            <v>defsi</v>
          </cell>
        </row>
        <row r="5222">
          <cell r="B5222" t="b">
            <v>1</v>
          </cell>
          <cell r="E5222" t="str">
            <v>Santa Ana</v>
          </cell>
          <cell r="H5222" t="str">
            <v>urgencia</v>
          </cell>
          <cell r="J5222" t="str">
            <v>muybueno</v>
          </cell>
          <cell r="K5222" t="str">
            <v>defsi</v>
          </cell>
        </row>
        <row r="5223">
          <cell r="B5223" t="b">
            <v>1</v>
          </cell>
          <cell r="E5223" t="str">
            <v>Santa Ana</v>
          </cell>
          <cell r="H5223" t="str">
            <v>consulta_externa</v>
          </cell>
          <cell r="J5223" t="str">
            <v>muybueno</v>
          </cell>
          <cell r="K5223" t="str">
            <v>defsi</v>
          </cell>
        </row>
        <row r="5224">
          <cell r="B5224" t="b">
            <v>1</v>
          </cell>
          <cell r="E5224" t="str">
            <v>Santa Ana</v>
          </cell>
          <cell r="H5224" t="str">
            <v>laboratorio</v>
          </cell>
          <cell r="J5224" t="str">
            <v>muybueno</v>
          </cell>
          <cell r="K5224" t="str">
            <v>defsi</v>
          </cell>
        </row>
        <row r="5225">
          <cell r="B5225" t="b">
            <v>1</v>
          </cell>
          <cell r="E5225" t="str">
            <v>Santa Ana</v>
          </cell>
          <cell r="H5225" t="str">
            <v>salud_oral</v>
          </cell>
          <cell r="J5225" t="str">
            <v>muybueno</v>
          </cell>
          <cell r="K5225" t="str">
            <v>defsi</v>
          </cell>
        </row>
        <row r="5226">
          <cell r="B5226" t="b">
            <v>1</v>
          </cell>
          <cell r="E5226" t="str">
            <v>Santa Ana</v>
          </cell>
          <cell r="H5226" t="str">
            <v>laboratorio</v>
          </cell>
          <cell r="J5226" t="str">
            <v>muybueno</v>
          </cell>
          <cell r="K5226" t="str">
            <v>defsi</v>
          </cell>
        </row>
        <row r="5227">
          <cell r="B5227" t="b">
            <v>1</v>
          </cell>
          <cell r="E5227" t="str">
            <v>Santa Ana</v>
          </cell>
          <cell r="H5227" t="str">
            <v>consulta_externa</v>
          </cell>
          <cell r="J5227" t="str">
            <v>muybueno</v>
          </cell>
          <cell r="K5227" t="str">
            <v>defsi</v>
          </cell>
        </row>
        <row r="5228">
          <cell r="B5228" t="b">
            <v>1</v>
          </cell>
          <cell r="E5228" t="str">
            <v>Santa Ana</v>
          </cell>
          <cell r="H5228" t="str">
            <v>laboratorio</v>
          </cell>
          <cell r="J5228" t="str">
            <v>muybueno</v>
          </cell>
          <cell r="K5228" t="str">
            <v>defsi</v>
          </cell>
        </row>
        <row r="5229">
          <cell r="B5229" t="b">
            <v>1</v>
          </cell>
          <cell r="E5229" t="str">
            <v>Santa Ana</v>
          </cell>
          <cell r="H5229" t="str">
            <v>consulta_externa</v>
          </cell>
          <cell r="J5229" t="str">
            <v>muybueno</v>
          </cell>
          <cell r="K5229" t="str">
            <v>defsi</v>
          </cell>
        </row>
        <row r="5230">
          <cell r="B5230" t="b">
            <v>1</v>
          </cell>
          <cell r="E5230" t="str">
            <v>Santa Ana</v>
          </cell>
          <cell r="H5230" t="str">
            <v>laboratorio</v>
          </cell>
          <cell r="J5230" t="str">
            <v>muybueno</v>
          </cell>
          <cell r="K5230" t="str">
            <v>defsi</v>
          </cell>
        </row>
        <row r="5231">
          <cell r="B5231" t="b">
            <v>1</v>
          </cell>
          <cell r="E5231" t="str">
            <v>Santa Ana</v>
          </cell>
          <cell r="H5231" t="str">
            <v>salud_oral</v>
          </cell>
          <cell r="J5231" t="str">
            <v>muybueno</v>
          </cell>
          <cell r="K5231" t="str">
            <v>defsi</v>
          </cell>
        </row>
        <row r="5232">
          <cell r="B5232" t="b">
            <v>1</v>
          </cell>
          <cell r="E5232" t="str">
            <v>Los Cerros</v>
          </cell>
          <cell r="H5232" t="str">
            <v>consulta_externa</v>
          </cell>
          <cell r="J5232" t="str">
            <v>bueno</v>
          </cell>
          <cell r="K5232" t="str">
            <v>defsi</v>
          </cell>
        </row>
        <row r="5233">
          <cell r="B5233" t="b">
            <v>1</v>
          </cell>
          <cell r="E5233" t="str">
            <v>Los Cerros</v>
          </cell>
          <cell r="H5233" t="str">
            <v>salud_oral</v>
          </cell>
          <cell r="J5233" t="str">
            <v>bueno</v>
          </cell>
          <cell r="K5233" t="str">
            <v>defsi</v>
          </cell>
        </row>
        <row r="5234">
          <cell r="B5234" t="b">
            <v>1</v>
          </cell>
          <cell r="E5234" t="str">
            <v>Santa Ana</v>
          </cell>
          <cell r="H5234" t="str">
            <v>consulta_externa</v>
          </cell>
          <cell r="J5234" t="str">
            <v>muybueno</v>
          </cell>
          <cell r="K5234" t="str">
            <v>defsi</v>
          </cell>
        </row>
        <row r="5235">
          <cell r="B5235" t="b">
            <v>1</v>
          </cell>
          <cell r="E5235" t="str">
            <v>Los Cerros</v>
          </cell>
          <cell r="H5235" t="str">
            <v>laboratorio</v>
          </cell>
          <cell r="J5235" t="str">
            <v>bueno</v>
          </cell>
          <cell r="K5235" t="str">
            <v>defsi</v>
          </cell>
        </row>
        <row r="5236">
          <cell r="B5236" t="b">
            <v>1</v>
          </cell>
          <cell r="E5236" t="str">
            <v>Santa Ana</v>
          </cell>
          <cell r="H5236" t="str">
            <v>laboratorio</v>
          </cell>
          <cell r="J5236" t="str">
            <v>muybueno</v>
          </cell>
          <cell r="K5236" t="str">
            <v>defsi</v>
          </cell>
        </row>
        <row r="5237">
          <cell r="B5237" t="b">
            <v>1</v>
          </cell>
          <cell r="E5237" t="str">
            <v>Los Cerros</v>
          </cell>
          <cell r="H5237" t="str">
            <v>consulta_externa</v>
          </cell>
          <cell r="J5237" t="str">
            <v>bueno</v>
          </cell>
          <cell r="K5237" t="str">
            <v>defsi</v>
          </cell>
        </row>
        <row r="5238">
          <cell r="B5238" t="b">
            <v>1</v>
          </cell>
          <cell r="E5238" t="str">
            <v>Los Cerros</v>
          </cell>
          <cell r="H5238" t="str">
            <v>laboratorio</v>
          </cell>
          <cell r="J5238" t="str">
            <v>bueno</v>
          </cell>
          <cell r="K5238" t="str">
            <v>defsi</v>
          </cell>
        </row>
        <row r="5239">
          <cell r="B5239" t="b">
            <v>1</v>
          </cell>
          <cell r="E5239" t="str">
            <v>Los Cerros</v>
          </cell>
          <cell r="H5239" t="str">
            <v>laboratorio</v>
          </cell>
          <cell r="J5239" t="str">
            <v>bueno</v>
          </cell>
          <cell r="K5239" t="str">
            <v>defsi</v>
          </cell>
        </row>
        <row r="5240">
          <cell r="B5240" t="b">
            <v>1</v>
          </cell>
          <cell r="E5240" t="str">
            <v>Los Cerros</v>
          </cell>
          <cell r="H5240" t="str">
            <v>pediatria</v>
          </cell>
          <cell r="J5240" t="str">
            <v>bueno</v>
          </cell>
          <cell r="K5240" t="str">
            <v>defsi</v>
          </cell>
        </row>
        <row r="5241">
          <cell r="B5241" t="b">
            <v>1</v>
          </cell>
          <cell r="E5241" t="str">
            <v>Los Cerros</v>
          </cell>
          <cell r="H5241" t="str">
            <v>medicina_interna</v>
          </cell>
          <cell r="J5241" t="str">
            <v>bueno</v>
          </cell>
          <cell r="K5241" t="str">
            <v>defsi</v>
          </cell>
        </row>
        <row r="5242">
          <cell r="B5242" t="b">
            <v>1</v>
          </cell>
          <cell r="E5242" t="str">
            <v>Los Cerros</v>
          </cell>
          <cell r="H5242" t="str">
            <v>consulta_externa</v>
          </cell>
          <cell r="J5242" t="str">
            <v>bueno</v>
          </cell>
          <cell r="K5242" t="str">
            <v>defsi</v>
          </cell>
        </row>
        <row r="5243">
          <cell r="B5243" t="b">
            <v>1</v>
          </cell>
          <cell r="E5243" t="str">
            <v>Los Cerros</v>
          </cell>
          <cell r="H5243" t="str">
            <v>salud_oral</v>
          </cell>
          <cell r="J5243" t="str">
            <v>bueno</v>
          </cell>
          <cell r="K5243" t="str">
            <v>defsi</v>
          </cell>
        </row>
        <row r="5244">
          <cell r="B5244" t="b">
            <v>1</v>
          </cell>
          <cell r="E5244" t="str">
            <v>Los Cerros</v>
          </cell>
          <cell r="H5244" t="str">
            <v>laboratorio</v>
          </cell>
          <cell r="J5244" t="str">
            <v>bueno</v>
          </cell>
          <cell r="K5244" t="str">
            <v>defsi</v>
          </cell>
        </row>
        <row r="5245">
          <cell r="B5245" t="b">
            <v>1</v>
          </cell>
          <cell r="E5245" t="str">
            <v>Los Cerros</v>
          </cell>
          <cell r="H5245" t="str">
            <v>consulta_externa</v>
          </cell>
          <cell r="J5245" t="str">
            <v>bueno</v>
          </cell>
          <cell r="K5245" t="str">
            <v>defsi</v>
          </cell>
        </row>
        <row r="5246">
          <cell r="B5246" t="b">
            <v>1</v>
          </cell>
          <cell r="E5246" t="str">
            <v>Los Cerros</v>
          </cell>
          <cell r="H5246" t="str">
            <v>salud_oral</v>
          </cell>
          <cell r="J5246" t="str">
            <v>bueno</v>
          </cell>
          <cell r="K5246" t="str">
            <v>defsi</v>
          </cell>
        </row>
        <row r="5247">
          <cell r="B5247" t="b">
            <v>1</v>
          </cell>
          <cell r="E5247" t="str">
            <v>Los Cerros</v>
          </cell>
          <cell r="H5247" t="str">
            <v>laboratorio</v>
          </cell>
          <cell r="J5247" t="str">
            <v>bueno</v>
          </cell>
          <cell r="K5247" t="str">
            <v>defsi</v>
          </cell>
        </row>
        <row r="5248">
          <cell r="B5248" t="b">
            <v>1</v>
          </cell>
          <cell r="E5248" t="str">
            <v>Los Cerros</v>
          </cell>
          <cell r="H5248" t="str">
            <v>salud_oral</v>
          </cell>
          <cell r="J5248" t="str">
            <v>bueno</v>
          </cell>
          <cell r="K5248" t="str">
            <v>defsi</v>
          </cell>
        </row>
        <row r="5249">
          <cell r="B5249" t="b">
            <v>1</v>
          </cell>
          <cell r="E5249" t="str">
            <v>Los Cerros</v>
          </cell>
          <cell r="H5249" t="str">
            <v>laboratorio</v>
          </cell>
          <cell r="J5249" t="str">
            <v>bueno</v>
          </cell>
          <cell r="K5249" t="str">
            <v>defsi</v>
          </cell>
        </row>
        <row r="5250">
          <cell r="B5250" t="b">
            <v>1</v>
          </cell>
          <cell r="E5250" t="str">
            <v>Arroyo de las Canoas</v>
          </cell>
          <cell r="H5250" t="str">
            <v>consulta_externa</v>
          </cell>
          <cell r="J5250" t="str">
            <v>bueno</v>
          </cell>
          <cell r="K5250" t="str">
            <v>defsi</v>
          </cell>
        </row>
        <row r="5251">
          <cell r="B5251" t="b">
            <v>1</v>
          </cell>
          <cell r="E5251" t="str">
            <v>Arroyo de las Canoas</v>
          </cell>
          <cell r="H5251" t="str">
            <v>laboratorio</v>
          </cell>
          <cell r="J5251" t="str">
            <v>bueno</v>
          </cell>
          <cell r="K5251" t="str">
            <v>defsi</v>
          </cell>
        </row>
        <row r="5252">
          <cell r="B5252" t="b">
            <v>1</v>
          </cell>
          <cell r="E5252" t="str">
            <v>Arroyo de las Canoas</v>
          </cell>
          <cell r="H5252" t="str">
            <v>laboratorio</v>
          </cell>
          <cell r="J5252" t="str">
            <v>bueno</v>
          </cell>
          <cell r="K5252" t="str">
            <v>defsi</v>
          </cell>
        </row>
        <row r="5253">
          <cell r="B5253" t="b">
            <v>1</v>
          </cell>
          <cell r="E5253" t="str">
            <v>Arroyo de las Canoas</v>
          </cell>
          <cell r="H5253" t="str">
            <v>salud_oral</v>
          </cell>
          <cell r="J5253" t="str">
            <v>bueno</v>
          </cell>
          <cell r="K5253" t="str">
            <v>defsi</v>
          </cell>
        </row>
        <row r="5254">
          <cell r="B5254" t="b">
            <v>1</v>
          </cell>
          <cell r="E5254" t="str">
            <v>Arroyo de las Canoas</v>
          </cell>
          <cell r="H5254" t="str">
            <v>salud_oral</v>
          </cell>
          <cell r="J5254" t="str">
            <v>bueno</v>
          </cell>
          <cell r="K5254" t="str">
            <v>defsi</v>
          </cell>
        </row>
        <row r="5255">
          <cell r="B5255" t="b">
            <v>1</v>
          </cell>
          <cell r="E5255" t="str">
            <v>Arroyo de las Canoas</v>
          </cell>
          <cell r="H5255" t="str">
            <v>salud_oral</v>
          </cell>
          <cell r="J5255" t="str">
            <v>bueno</v>
          </cell>
          <cell r="K5255" t="str">
            <v>defsi</v>
          </cell>
        </row>
        <row r="5256">
          <cell r="B5256" t="b">
            <v>1</v>
          </cell>
          <cell r="E5256" t="str">
            <v>Arroyo de las Canoas</v>
          </cell>
          <cell r="H5256" t="str">
            <v>laboratorio</v>
          </cell>
          <cell r="J5256" t="str">
            <v>bueno</v>
          </cell>
          <cell r="K5256" t="str">
            <v>defsi</v>
          </cell>
        </row>
        <row r="5257">
          <cell r="B5257" t="b">
            <v>1</v>
          </cell>
          <cell r="E5257" t="str">
            <v>Arroyo de las Canoas</v>
          </cell>
          <cell r="H5257" t="str">
            <v>laboratorio</v>
          </cell>
          <cell r="J5257" t="str">
            <v>bueno</v>
          </cell>
          <cell r="K5257" t="str">
            <v>defsi</v>
          </cell>
        </row>
        <row r="5258">
          <cell r="B5258" t="b">
            <v>1</v>
          </cell>
          <cell r="E5258" t="str">
            <v>Arroyo de las Canoas</v>
          </cell>
          <cell r="H5258" t="str">
            <v>consulta_externa</v>
          </cell>
          <cell r="J5258" t="str">
            <v>bueno</v>
          </cell>
          <cell r="K5258" t="str">
            <v>defsi</v>
          </cell>
        </row>
        <row r="5259">
          <cell r="B5259" t="b">
            <v>1</v>
          </cell>
          <cell r="E5259" t="str">
            <v>Arroyo de las Canoas</v>
          </cell>
          <cell r="H5259" t="str">
            <v>laboratorio</v>
          </cell>
          <cell r="J5259" t="str">
            <v>bueno</v>
          </cell>
          <cell r="K5259" t="str">
            <v>defsi</v>
          </cell>
        </row>
        <row r="5260">
          <cell r="B5260" t="b">
            <v>1</v>
          </cell>
          <cell r="E5260" t="str">
            <v>Arroyo de las Canoas</v>
          </cell>
          <cell r="H5260" t="str">
            <v>salud_oral</v>
          </cell>
          <cell r="J5260" t="str">
            <v>bueno</v>
          </cell>
          <cell r="K5260" t="str">
            <v>defsi</v>
          </cell>
        </row>
        <row r="5261">
          <cell r="B5261" t="b">
            <v>1</v>
          </cell>
          <cell r="E5261" t="str">
            <v>Arroyo de las Canoas</v>
          </cell>
          <cell r="H5261" t="str">
            <v>salud_oral</v>
          </cell>
          <cell r="J5261" t="str">
            <v>bueno</v>
          </cell>
          <cell r="K5261" t="str">
            <v>defsi</v>
          </cell>
        </row>
        <row r="5262">
          <cell r="B5262" t="b">
            <v>1</v>
          </cell>
          <cell r="E5262" t="str">
            <v>Arroyo de las Canoas</v>
          </cell>
          <cell r="H5262" t="str">
            <v>salud_oral</v>
          </cell>
          <cell r="J5262" t="str">
            <v>bueno</v>
          </cell>
          <cell r="K5262" t="str">
            <v>defsi</v>
          </cell>
        </row>
        <row r="5263">
          <cell r="B5263" t="b">
            <v>1</v>
          </cell>
          <cell r="E5263" t="str">
            <v>Arroyo de las Canoas</v>
          </cell>
          <cell r="H5263" t="str">
            <v>consulta_externa</v>
          </cell>
          <cell r="J5263" t="str">
            <v>bueno</v>
          </cell>
          <cell r="K5263" t="str">
            <v>defsi</v>
          </cell>
        </row>
        <row r="5264">
          <cell r="B5264" t="b">
            <v>1</v>
          </cell>
          <cell r="E5264" t="str">
            <v>Arroyo de las Canoas</v>
          </cell>
          <cell r="H5264" t="str">
            <v>consulta_externa</v>
          </cell>
          <cell r="J5264" t="str">
            <v>bueno</v>
          </cell>
          <cell r="K5264" t="str">
            <v>defsi</v>
          </cell>
        </row>
        <row r="5265">
          <cell r="B5265" t="b">
            <v>1</v>
          </cell>
          <cell r="E5265" t="str">
            <v>Arroyo de las Canoas</v>
          </cell>
          <cell r="H5265" t="str">
            <v>consulta_externa</v>
          </cell>
          <cell r="J5265" t="str">
            <v>bueno</v>
          </cell>
          <cell r="K5265" t="str">
            <v>defsi</v>
          </cell>
        </row>
        <row r="5266">
          <cell r="B5266" t="b">
            <v>1</v>
          </cell>
          <cell r="E5266" t="str">
            <v>Arroyo de las Canoas</v>
          </cell>
          <cell r="H5266" t="str">
            <v>consulta_externa</v>
          </cell>
          <cell r="J5266" t="str">
            <v>bueno</v>
          </cell>
          <cell r="K5266" t="str">
            <v>defsi</v>
          </cell>
        </row>
        <row r="5267">
          <cell r="B5267" t="b">
            <v>1</v>
          </cell>
          <cell r="E5267" t="str">
            <v>Arroyo de las Canoas</v>
          </cell>
          <cell r="H5267" t="str">
            <v>consulta_externa</v>
          </cell>
          <cell r="J5267" t="str">
            <v>bueno</v>
          </cell>
          <cell r="K5267" t="str">
            <v>defsi</v>
          </cell>
        </row>
        <row r="5268">
          <cell r="B5268" t="b">
            <v>1</v>
          </cell>
          <cell r="E5268" t="str">
            <v>Arroyo de las Canoas</v>
          </cell>
          <cell r="H5268" t="str">
            <v>laboratorio</v>
          </cell>
          <cell r="J5268" t="str">
            <v>bueno</v>
          </cell>
          <cell r="K5268" t="str">
            <v>defsi</v>
          </cell>
        </row>
        <row r="5269">
          <cell r="B5269" t="b">
            <v>1</v>
          </cell>
          <cell r="E5269" t="str">
            <v>Arroyo de las Canoas</v>
          </cell>
          <cell r="H5269" t="str">
            <v>consulta_externa</v>
          </cell>
          <cell r="J5269" t="str">
            <v>bueno</v>
          </cell>
          <cell r="K5269" t="str">
            <v>defsi</v>
          </cell>
        </row>
        <row r="5270">
          <cell r="B5270" t="b">
            <v>1</v>
          </cell>
          <cell r="E5270" t="str">
            <v>Arroyo de las Canoas</v>
          </cell>
          <cell r="H5270" t="str">
            <v>consulta_externa</v>
          </cell>
          <cell r="J5270" t="str">
            <v>bueno</v>
          </cell>
          <cell r="K5270" t="str">
            <v>defsi</v>
          </cell>
        </row>
        <row r="5271">
          <cell r="B5271" t="b">
            <v>1</v>
          </cell>
          <cell r="E5271" t="str">
            <v>Arroyo de las Canoas</v>
          </cell>
          <cell r="H5271" t="str">
            <v>consulta_externa</v>
          </cell>
          <cell r="J5271" t="str">
            <v>bueno</v>
          </cell>
          <cell r="K5271" t="str">
            <v>defsi</v>
          </cell>
        </row>
        <row r="5272">
          <cell r="B5272" t="b">
            <v>1</v>
          </cell>
          <cell r="E5272" t="str">
            <v>Arroyo de las Canoas</v>
          </cell>
          <cell r="H5272" t="str">
            <v>consulta_externa</v>
          </cell>
          <cell r="J5272" t="str">
            <v>bueno</v>
          </cell>
          <cell r="K5272" t="str">
            <v>defsi</v>
          </cell>
        </row>
        <row r="5273">
          <cell r="B5273" t="b">
            <v>1</v>
          </cell>
          <cell r="E5273" t="str">
            <v>Arroyo de las Canoas</v>
          </cell>
          <cell r="H5273" t="str">
            <v>consulta_externa</v>
          </cell>
          <cell r="J5273" t="str">
            <v>bueno</v>
          </cell>
          <cell r="K5273" t="str">
            <v>defsi</v>
          </cell>
        </row>
        <row r="5274">
          <cell r="B5274" t="b">
            <v>1</v>
          </cell>
          <cell r="E5274" t="str">
            <v>Arroyo de las Canoas</v>
          </cell>
          <cell r="H5274" t="str">
            <v>laboratorio</v>
          </cell>
          <cell r="J5274" t="str">
            <v>bueno</v>
          </cell>
          <cell r="K5274" t="str">
            <v>defsi</v>
          </cell>
        </row>
        <row r="5275">
          <cell r="B5275" t="b">
            <v>1</v>
          </cell>
          <cell r="E5275" t="str">
            <v>Arroyo de las Canoas</v>
          </cell>
          <cell r="H5275" t="str">
            <v>consulta_externa</v>
          </cell>
          <cell r="J5275" t="str">
            <v>bueno</v>
          </cell>
          <cell r="K5275" t="str">
            <v>defsi</v>
          </cell>
        </row>
        <row r="5276">
          <cell r="B5276" t="b">
            <v>1</v>
          </cell>
          <cell r="E5276" t="str">
            <v>Arroyo de las Canoas</v>
          </cell>
          <cell r="H5276" t="str">
            <v>laboratorio</v>
          </cell>
          <cell r="J5276" t="str">
            <v>bueno</v>
          </cell>
          <cell r="K5276" t="str">
            <v>defsi</v>
          </cell>
        </row>
        <row r="5277">
          <cell r="B5277" t="b">
            <v>1</v>
          </cell>
          <cell r="E5277" t="str">
            <v>Arroyo de las Canoas</v>
          </cell>
          <cell r="H5277" t="str">
            <v>laboratorio</v>
          </cell>
          <cell r="J5277" t="str">
            <v>bueno</v>
          </cell>
          <cell r="K5277" t="str">
            <v>defsi</v>
          </cell>
        </row>
        <row r="5278">
          <cell r="B5278" t="b">
            <v>1</v>
          </cell>
          <cell r="E5278" t="str">
            <v>Arroyo de las Canoas</v>
          </cell>
          <cell r="H5278" t="str">
            <v>laboratorio</v>
          </cell>
          <cell r="J5278" t="str">
            <v>bueno</v>
          </cell>
          <cell r="K5278" t="str">
            <v>defsi</v>
          </cell>
        </row>
        <row r="5279">
          <cell r="B5279" t="b">
            <v>1</v>
          </cell>
          <cell r="E5279" t="str">
            <v>Arroyo de las Canoas</v>
          </cell>
          <cell r="H5279" t="str">
            <v>salud_oral</v>
          </cell>
          <cell r="J5279" t="str">
            <v>bueno</v>
          </cell>
          <cell r="K5279" t="str">
            <v>defsi</v>
          </cell>
        </row>
        <row r="5280">
          <cell r="B5280" t="b">
            <v>1</v>
          </cell>
          <cell r="E5280" t="str">
            <v>Arroyo de las Canoas</v>
          </cell>
          <cell r="H5280" t="str">
            <v>laboratorio</v>
          </cell>
          <cell r="J5280" t="str">
            <v>bueno</v>
          </cell>
          <cell r="K5280" t="str">
            <v>defsi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atisfaccionServicio"/>
      <sheetName val="SatisfaccionEPS"/>
      <sheetName val="N. GLOBAL"/>
      <sheetName val="RECOMENDARIA IPS"/>
      <sheetName val="INF DEBERES Y D"/>
      <sheetName val="DEBERES Y DERECHOS"/>
      <sheetName val="InfCualitativo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J1" t="str">
            <v>COMO CALIFICARIA SU SATISFACCION CON RESPECTO A LOS SERVICIOS RECIBIDOS DE LA INSTITUCIÓN</v>
          </cell>
          <cell r="K1" t="str">
            <v>RECOMENDARIA A SUS FAMILIARES Y AMIGOS LA ESE HLCI</v>
          </cell>
        </row>
        <row r="3">
          <cell r="B3" t="str">
            <v>puntaje</v>
          </cell>
          <cell r="E3" t="str">
            <v>centrosalud</v>
          </cell>
          <cell r="H3" t="str">
            <v>servicio</v>
          </cell>
          <cell r="J3" t="str">
            <v>pregunta1</v>
          </cell>
          <cell r="K3" t="str">
            <v>pregunta2</v>
          </cell>
        </row>
        <row r="4">
          <cell r="B4" t="b">
            <v>1</v>
          </cell>
          <cell r="E4" t="str">
            <v>Puerto Rey</v>
          </cell>
          <cell r="H4" t="str">
            <v>consulta_externa</v>
          </cell>
          <cell r="J4" t="str">
            <v>bueno</v>
          </cell>
          <cell r="K4" t="str">
            <v>defsi</v>
          </cell>
        </row>
        <row r="5">
          <cell r="B5" t="b">
            <v>1</v>
          </cell>
          <cell r="E5" t="str">
            <v>Puerto Rey</v>
          </cell>
          <cell r="H5" t="str">
            <v>laboratorio</v>
          </cell>
          <cell r="J5" t="str">
            <v>bueno</v>
          </cell>
          <cell r="K5" t="str">
            <v>defsi</v>
          </cell>
        </row>
        <row r="6">
          <cell r="B6" t="b">
            <v>1</v>
          </cell>
          <cell r="E6" t="str">
            <v>Puerto Rey</v>
          </cell>
          <cell r="H6" t="str">
            <v>salud_oral</v>
          </cell>
          <cell r="J6" t="str">
            <v>bueno</v>
          </cell>
          <cell r="K6" t="str">
            <v>defsi</v>
          </cell>
        </row>
        <row r="7">
          <cell r="B7" t="b">
            <v>1</v>
          </cell>
          <cell r="E7" t="str">
            <v>Puerto Rey</v>
          </cell>
          <cell r="H7" t="str">
            <v>salud_oral</v>
          </cell>
          <cell r="J7" t="str">
            <v>bueno</v>
          </cell>
          <cell r="K7" t="str">
            <v>defsi</v>
          </cell>
        </row>
        <row r="8">
          <cell r="B8" t="b">
            <v>1</v>
          </cell>
          <cell r="E8" t="str">
            <v>Puerto Rey</v>
          </cell>
          <cell r="H8" t="str">
            <v>consulta_externa</v>
          </cell>
          <cell r="J8" t="str">
            <v>bueno</v>
          </cell>
          <cell r="K8" t="str">
            <v>defsi</v>
          </cell>
        </row>
        <row r="9">
          <cell r="B9" t="b">
            <v>1</v>
          </cell>
          <cell r="E9" t="str">
            <v>Puerto Rey</v>
          </cell>
          <cell r="H9" t="str">
            <v>consulta_externa</v>
          </cell>
          <cell r="J9" t="str">
            <v>bueno</v>
          </cell>
          <cell r="K9" t="str">
            <v>defsi</v>
          </cell>
        </row>
        <row r="10">
          <cell r="B10" t="b">
            <v>0</v>
          </cell>
          <cell r="E10" t="str">
            <v>Nuevo Porvenir</v>
          </cell>
          <cell r="H10" t="str">
            <v>consulta_externa</v>
          </cell>
          <cell r="J10" t="str">
            <v>regular</v>
          </cell>
          <cell r="K10" t="str">
            <v>probsi</v>
          </cell>
        </row>
        <row r="11">
          <cell r="B11" t="b">
            <v>1</v>
          </cell>
          <cell r="E11" t="str">
            <v>Nuevo Porvenir</v>
          </cell>
          <cell r="H11" t="str">
            <v>laboratorio</v>
          </cell>
          <cell r="J11" t="str">
            <v>bueno</v>
          </cell>
          <cell r="K11" t="str">
            <v>probsi</v>
          </cell>
        </row>
        <row r="12">
          <cell r="B12" t="b">
            <v>1</v>
          </cell>
          <cell r="E12" t="str">
            <v>Nuevo Porvenir</v>
          </cell>
          <cell r="H12" t="str">
            <v>consulta_externa</v>
          </cell>
          <cell r="J12" t="str">
            <v>bueno</v>
          </cell>
          <cell r="K12" t="str">
            <v>probsi</v>
          </cell>
        </row>
        <row r="13">
          <cell r="B13" t="b">
            <v>1</v>
          </cell>
          <cell r="E13" t="str">
            <v>Nuevo Porvenir</v>
          </cell>
          <cell r="H13" t="str">
            <v>laboratorio</v>
          </cell>
          <cell r="J13" t="str">
            <v>bueno</v>
          </cell>
          <cell r="K13" t="str">
            <v>probsi</v>
          </cell>
        </row>
        <row r="14">
          <cell r="B14" t="b">
            <v>1</v>
          </cell>
          <cell r="E14" t="str">
            <v>Nuevo Porvenir</v>
          </cell>
          <cell r="H14" t="str">
            <v>consulta_externa</v>
          </cell>
          <cell r="J14" t="str">
            <v>bueno</v>
          </cell>
          <cell r="K14" t="str">
            <v>probsi</v>
          </cell>
        </row>
        <row r="15">
          <cell r="B15" t="b">
            <v>1</v>
          </cell>
          <cell r="E15" t="str">
            <v>Nuevo Porvenir</v>
          </cell>
          <cell r="H15" t="str">
            <v>laboratorio</v>
          </cell>
          <cell r="J15" t="str">
            <v>bueno</v>
          </cell>
          <cell r="K15" t="str">
            <v>probsi</v>
          </cell>
        </row>
        <row r="16">
          <cell r="B16" t="b">
            <v>1</v>
          </cell>
          <cell r="E16" t="str">
            <v>Nuevo Porvenir</v>
          </cell>
          <cell r="H16" t="str">
            <v>consulta_externa</v>
          </cell>
          <cell r="J16" t="str">
            <v>bueno</v>
          </cell>
          <cell r="K16" t="str">
            <v>probsi</v>
          </cell>
        </row>
        <row r="17">
          <cell r="B17" t="b">
            <v>1</v>
          </cell>
          <cell r="E17" t="str">
            <v>Nuevo Porvenir</v>
          </cell>
          <cell r="H17" t="str">
            <v>laboratorio</v>
          </cell>
          <cell r="J17" t="str">
            <v>bueno</v>
          </cell>
          <cell r="K17" t="str">
            <v>probsi</v>
          </cell>
        </row>
        <row r="18">
          <cell r="B18" t="b">
            <v>1</v>
          </cell>
          <cell r="E18" t="str">
            <v>Nuevo Porvenir</v>
          </cell>
          <cell r="H18" t="str">
            <v>consulta_externa</v>
          </cell>
          <cell r="J18" t="str">
            <v>bueno</v>
          </cell>
          <cell r="K18" t="str">
            <v>probsi</v>
          </cell>
        </row>
        <row r="19">
          <cell r="B19" t="b">
            <v>1</v>
          </cell>
          <cell r="E19" t="str">
            <v>Puerto Rey</v>
          </cell>
          <cell r="H19" t="str">
            <v>salud_oral</v>
          </cell>
          <cell r="J19" t="str">
            <v>bueno</v>
          </cell>
          <cell r="K19" t="str">
            <v>defsi</v>
          </cell>
        </row>
        <row r="20">
          <cell r="B20" t="b">
            <v>1</v>
          </cell>
          <cell r="E20" t="str">
            <v>Nuevo Porvenir</v>
          </cell>
          <cell r="H20" t="str">
            <v>laboratorio</v>
          </cell>
          <cell r="J20" t="str">
            <v>bueno</v>
          </cell>
          <cell r="K20" t="str">
            <v>probsi</v>
          </cell>
        </row>
        <row r="21">
          <cell r="B21" t="b">
            <v>1</v>
          </cell>
          <cell r="E21" t="str">
            <v>Puerto Rey</v>
          </cell>
          <cell r="H21" t="str">
            <v>salud_oral</v>
          </cell>
          <cell r="J21" t="str">
            <v>bueno</v>
          </cell>
          <cell r="K21" t="str">
            <v>defsi</v>
          </cell>
        </row>
        <row r="22">
          <cell r="B22" t="b">
            <v>1</v>
          </cell>
          <cell r="E22" t="str">
            <v>Puerto Rey</v>
          </cell>
          <cell r="H22" t="str">
            <v>consulta_externa</v>
          </cell>
          <cell r="J22" t="str">
            <v>bueno</v>
          </cell>
          <cell r="K22" t="str">
            <v>defsi</v>
          </cell>
        </row>
        <row r="23">
          <cell r="B23" t="b">
            <v>1</v>
          </cell>
          <cell r="E23" t="str">
            <v>Islote de San Bernardo</v>
          </cell>
          <cell r="H23" t="str">
            <v>consulta_externa</v>
          </cell>
          <cell r="J23" t="str">
            <v>muybueno</v>
          </cell>
          <cell r="K23" t="str">
            <v>defsi</v>
          </cell>
        </row>
        <row r="24">
          <cell r="B24" t="b">
            <v>1</v>
          </cell>
          <cell r="E24" t="str">
            <v>Islote de San Bernardo</v>
          </cell>
          <cell r="H24" t="str">
            <v>laboratorio</v>
          </cell>
          <cell r="J24" t="str">
            <v>muybueno</v>
          </cell>
          <cell r="K24" t="str">
            <v>defsi</v>
          </cell>
        </row>
        <row r="25">
          <cell r="B25" t="b">
            <v>1</v>
          </cell>
          <cell r="E25" t="str">
            <v>Nuevo Porvenir</v>
          </cell>
          <cell r="H25" t="str">
            <v>laboratorio</v>
          </cell>
          <cell r="J25" t="str">
            <v>bueno</v>
          </cell>
          <cell r="K25" t="str">
            <v>probsi</v>
          </cell>
        </row>
        <row r="26">
          <cell r="B26" t="b">
            <v>1</v>
          </cell>
          <cell r="E26" t="str">
            <v>Nuevo Porvenir</v>
          </cell>
          <cell r="H26" t="str">
            <v>salud_oral</v>
          </cell>
          <cell r="J26" t="str">
            <v>bueno</v>
          </cell>
          <cell r="K26" t="str">
            <v>probsi</v>
          </cell>
        </row>
        <row r="27">
          <cell r="B27" t="b">
            <v>1</v>
          </cell>
          <cell r="E27" t="str">
            <v>Nuevo Porvenir</v>
          </cell>
          <cell r="H27" t="str">
            <v>salud_oral</v>
          </cell>
          <cell r="J27" t="str">
            <v>bueno</v>
          </cell>
          <cell r="K27" t="str">
            <v>probsi</v>
          </cell>
        </row>
        <row r="28">
          <cell r="B28" t="b">
            <v>1</v>
          </cell>
          <cell r="E28" t="str">
            <v>Nuevo Porvenir</v>
          </cell>
          <cell r="H28" t="str">
            <v>salud_oral</v>
          </cell>
          <cell r="J28" t="str">
            <v>bueno</v>
          </cell>
          <cell r="K28" t="str">
            <v>probsi</v>
          </cell>
        </row>
        <row r="29">
          <cell r="B29" t="b">
            <v>1</v>
          </cell>
          <cell r="E29" t="str">
            <v>Nuevo Porvenir</v>
          </cell>
          <cell r="H29" t="str">
            <v>salud_oral</v>
          </cell>
          <cell r="J29" t="str">
            <v>bueno</v>
          </cell>
          <cell r="K29" t="str">
            <v>probsi</v>
          </cell>
        </row>
        <row r="30">
          <cell r="B30" t="b">
            <v>1</v>
          </cell>
          <cell r="E30" t="str">
            <v>Nuevo Porvenir</v>
          </cell>
          <cell r="H30" t="str">
            <v>consulta_externa</v>
          </cell>
          <cell r="J30" t="str">
            <v>muybueno</v>
          </cell>
          <cell r="K30" t="str">
            <v>probsi</v>
          </cell>
        </row>
        <row r="31">
          <cell r="B31" t="b">
            <v>1</v>
          </cell>
          <cell r="E31" t="str">
            <v>Nuevo Porvenir</v>
          </cell>
          <cell r="H31" t="str">
            <v>laboratorio</v>
          </cell>
          <cell r="J31" t="str">
            <v>bueno</v>
          </cell>
          <cell r="K31" t="str">
            <v>probsi</v>
          </cell>
        </row>
        <row r="32">
          <cell r="B32" t="b">
            <v>1</v>
          </cell>
          <cell r="E32" t="str">
            <v>Islote de San Bernardo</v>
          </cell>
          <cell r="H32" t="str">
            <v>consulta_externa</v>
          </cell>
          <cell r="J32" t="str">
            <v>muybueno</v>
          </cell>
          <cell r="K32" t="str">
            <v>defsi</v>
          </cell>
        </row>
        <row r="33">
          <cell r="B33" t="b">
            <v>1</v>
          </cell>
          <cell r="E33" t="str">
            <v>Nuevo Porvenir</v>
          </cell>
          <cell r="H33" t="str">
            <v>consulta_externa</v>
          </cell>
          <cell r="J33" t="str">
            <v>muybueno</v>
          </cell>
          <cell r="K33" t="str">
            <v>probsi</v>
          </cell>
        </row>
        <row r="34">
          <cell r="B34" t="b">
            <v>1</v>
          </cell>
          <cell r="E34" t="str">
            <v>Nuevo Porvenir</v>
          </cell>
          <cell r="H34" t="str">
            <v>salud_oral</v>
          </cell>
          <cell r="J34" t="str">
            <v>muybueno</v>
          </cell>
          <cell r="K34" t="str">
            <v>probsi</v>
          </cell>
        </row>
        <row r="35">
          <cell r="B35" t="b">
            <v>1</v>
          </cell>
          <cell r="E35" t="str">
            <v>Puerto Rey</v>
          </cell>
          <cell r="H35" t="str">
            <v>salud_oral</v>
          </cell>
          <cell r="J35" t="str">
            <v>bueno</v>
          </cell>
          <cell r="K35" t="str">
            <v>defsi</v>
          </cell>
        </row>
        <row r="36">
          <cell r="B36" t="b">
            <v>1</v>
          </cell>
          <cell r="E36" t="str">
            <v>Nuevo Porvenir</v>
          </cell>
          <cell r="H36" t="str">
            <v>consulta_externa</v>
          </cell>
          <cell r="J36" t="str">
            <v>bueno</v>
          </cell>
          <cell r="K36" t="str">
            <v>probsi</v>
          </cell>
        </row>
        <row r="37">
          <cell r="B37" t="b">
            <v>1</v>
          </cell>
          <cell r="E37" t="str">
            <v>Puerto Rey</v>
          </cell>
          <cell r="H37" t="str">
            <v>salud_oral</v>
          </cell>
          <cell r="J37" t="str">
            <v>bueno</v>
          </cell>
          <cell r="K37" t="str">
            <v>defsi</v>
          </cell>
        </row>
        <row r="38">
          <cell r="B38" t="b">
            <v>1</v>
          </cell>
          <cell r="E38" t="str">
            <v>Nuevo Porvenir</v>
          </cell>
          <cell r="H38" t="str">
            <v>consulta_externa</v>
          </cell>
          <cell r="J38" t="str">
            <v>bueno</v>
          </cell>
          <cell r="K38" t="str">
            <v>probsi</v>
          </cell>
        </row>
        <row r="39">
          <cell r="B39" t="b">
            <v>1</v>
          </cell>
          <cell r="E39" t="str">
            <v>Nuevo Porvenir</v>
          </cell>
          <cell r="H39" t="str">
            <v>salud_oral</v>
          </cell>
          <cell r="J39" t="str">
            <v>bueno</v>
          </cell>
          <cell r="K39" t="str">
            <v>probsi</v>
          </cell>
        </row>
        <row r="40">
          <cell r="B40" t="b">
            <v>1</v>
          </cell>
          <cell r="E40" t="str">
            <v>Puerto Rey</v>
          </cell>
          <cell r="H40" t="str">
            <v>salud_oral</v>
          </cell>
          <cell r="J40" t="str">
            <v>bueno</v>
          </cell>
          <cell r="K40" t="str">
            <v>probsi</v>
          </cell>
        </row>
        <row r="41">
          <cell r="B41" t="b">
            <v>1</v>
          </cell>
          <cell r="E41" t="str">
            <v>Nuevo Porvenir</v>
          </cell>
          <cell r="H41" t="str">
            <v>laboratorio</v>
          </cell>
          <cell r="J41" t="str">
            <v>bueno</v>
          </cell>
          <cell r="K41" t="str">
            <v>probsi</v>
          </cell>
        </row>
        <row r="42">
          <cell r="B42" t="b">
            <v>1</v>
          </cell>
          <cell r="E42" t="str">
            <v>Islote de San Bernardo</v>
          </cell>
          <cell r="H42" t="str">
            <v>salud_oral</v>
          </cell>
          <cell r="J42" t="str">
            <v>muybueno</v>
          </cell>
          <cell r="K42" t="str">
            <v>defsi</v>
          </cell>
        </row>
        <row r="43">
          <cell r="B43" t="b">
            <v>1</v>
          </cell>
          <cell r="E43" t="str">
            <v>San Francisco I</v>
          </cell>
          <cell r="H43" t="str">
            <v>consulta_externa</v>
          </cell>
          <cell r="J43" t="str">
            <v>bueno</v>
          </cell>
          <cell r="K43" t="str">
            <v>defsi</v>
          </cell>
        </row>
        <row r="44">
          <cell r="B44" t="b">
            <v>1</v>
          </cell>
          <cell r="E44" t="str">
            <v>San Francisco I</v>
          </cell>
          <cell r="H44" t="str">
            <v>consulta_externa</v>
          </cell>
          <cell r="J44" t="str">
            <v>bueno</v>
          </cell>
          <cell r="K44" t="str">
            <v>defsi</v>
          </cell>
        </row>
        <row r="45">
          <cell r="B45" t="b">
            <v>1</v>
          </cell>
          <cell r="E45" t="str">
            <v>San Francisco I</v>
          </cell>
          <cell r="H45" t="str">
            <v>laboratorio</v>
          </cell>
          <cell r="J45" t="str">
            <v>bueno</v>
          </cell>
          <cell r="K45" t="str">
            <v>defsi</v>
          </cell>
        </row>
        <row r="46">
          <cell r="B46" t="b">
            <v>1</v>
          </cell>
          <cell r="E46" t="str">
            <v>Islote de San Bernardo</v>
          </cell>
          <cell r="H46" t="str">
            <v>consulta_externa</v>
          </cell>
          <cell r="J46" t="str">
            <v>muybueno</v>
          </cell>
          <cell r="K46" t="str">
            <v>defsi</v>
          </cell>
        </row>
        <row r="47">
          <cell r="B47" t="b">
            <v>1</v>
          </cell>
          <cell r="E47" t="str">
            <v>Islote de San Bernardo</v>
          </cell>
          <cell r="H47" t="str">
            <v>laboratorio</v>
          </cell>
          <cell r="J47" t="str">
            <v>muybueno</v>
          </cell>
          <cell r="K47" t="str">
            <v>defsi</v>
          </cell>
        </row>
        <row r="48">
          <cell r="B48" t="b">
            <v>1</v>
          </cell>
          <cell r="E48" t="str">
            <v>Puerto Rey</v>
          </cell>
          <cell r="H48" t="str">
            <v>consulta_externa</v>
          </cell>
          <cell r="J48" t="str">
            <v>bueno</v>
          </cell>
          <cell r="K48" t="str">
            <v>probsi</v>
          </cell>
        </row>
        <row r="49">
          <cell r="B49" t="b">
            <v>1</v>
          </cell>
          <cell r="E49" t="str">
            <v>San Francisco I</v>
          </cell>
          <cell r="H49" t="str">
            <v>consulta_externa</v>
          </cell>
          <cell r="J49" t="str">
            <v>bueno</v>
          </cell>
          <cell r="K49" t="str">
            <v>defsi</v>
          </cell>
        </row>
        <row r="50">
          <cell r="B50" t="b">
            <v>1</v>
          </cell>
          <cell r="E50" t="str">
            <v>San Francisco I</v>
          </cell>
          <cell r="H50" t="str">
            <v>salud_oral</v>
          </cell>
          <cell r="J50" t="str">
            <v>bueno</v>
          </cell>
          <cell r="K50" t="str">
            <v>defsi</v>
          </cell>
        </row>
        <row r="51">
          <cell r="B51" t="b">
            <v>1</v>
          </cell>
          <cell r="E51" t="str">
            <v>San Francisco I</v>
          </cell>
          <cell r="H51" t="str">
            <v>laboratorio</v>
          </cell>
          <cell r="J51" t="str">
            <v>bueno</v>
          </cell>
          <cell r="K51" t="str">
            <v>defsi</v>
          </cell>
        </row>
        <row r="52">
          <cell r="B52" t="b">
            <v>1</v>
          </cell>
          <cell r="E52" t="str">
            <v>Islote de San Bernardo</v>
          </cell>
          <cell r="H52" t="str">
            <v>consulta_externa</v>
          </cell>
          <cell r="J52" t="str">
            <v>muybueno</v>
          </cell>
          <cell r="K52" t="str">
            <v>defsi</v>
          </cell>
        </row>
        <row r="53">
          <cell r="B53" t="b">
            <v>1</v>
          </cell>
          <cell r="E53" t="str">
            <v>San Francisco I</v>
          </cell>
          <cell r="H53" t="str">
            <v>consulta_externa</v>
          </cell>
          <cell r="J53" t="str">
            <v>bueno</v>
          </cell>
          <cell r="K53" t="str">
            <v>defsi</v>
          </cell>
        </row>
        <row r="54">
          <cell r="B54" t="b">
            <v>1</v>
          </cell>
          <cell r="E54" t="str">
            <v>Puerto Rey</v>
          </cell>
          <cell r="H54" t="str">
            <v>consulta_externa</v>
          </cell>
          <cell r="J54" t="str">
            <v>bueno</v>
          </cell>
          <cell r="K54" t="str">
            <v>defsi</v>
          </cell>
        </row>
        <row r="55">
          <cell r="B55" t="b">
            <v>1</v>
          </cell>
          <cell r="E55" t="str">
            <v>Puerto Rey</v>
          </cell>
          <cell r="H55" t="str">
            <v>consulta_externa</v>
          </cell>
          <cell r="J55" t="str">
            <v>bueno</v>
          </cell>
          <cell r="K55" t="str">
            <v>defsi</v>
          </cell>
        </row>
        <row r="56">
          <cell r="B56" t="b">
            <v>1</v>
          </cell>
          <cell r="E56" t="str">
            <v>Puerto Rey</v>
          </cell>
          <cell r="H56" t="str">
            <v>consulta_externa</v>
          </cell>
          <cell r="J56" t="str">
            <v>bueno</v>
          </cell>
          <cell r="K56" t="str">
            <v>probsi</v>
          </cell>
        </row>
        <row r="57">
          <cell r="B57" t="b">
            <v>1</v>
          </cell>
          <cell r="E57" t="str">
            <v>San Francisco I</v>
          </cell>
          <cell r="H57" t="str">
            <v>salud_oral</v>
          </cell>
          <cell r="J57" t="str">
            <v>bueno</v>
          </cell>
          <cell r="K57" t="str">
            <v>defsi</v>
          </cell>
        </row>
        <row r="58">
          <cell r="B58" t="b">
            <v>1</v>
          </cell>
          <cell r="E58" t="str">
            <v>Puerto Rey</v>
          </cell>
          <cell r="H58" t="str">
            <v>consulta_externa</v>
          </cell>
          <cell r="J58" t="str">
            <v>bueno</v>
          </cell>
          <cell r="K58" t="str">
            <v>probsi</v>
          </cell>
        </row>
        <row r="59">
          <cell r="B59" t="b">
            <v>1</v>
          </cell>
          <cell r="E59" t="str">
            <v>Puerto Rey</v>
          </cell>
          <cell r="H59" t="str">
            <v>salud_oral</v>
          </cell>
          <cell r="J59" t="str">
            <v>bueno</v>
          </cell>
          <cell r="K59" t="str">
            <v>probsi</v>
          </cell>
        </row>
        <row r="60">
          <cell r="B60" t="b">
            <v>1</v>
          </cell>
          <cell r="E60" t="str">
            <v>Puerto Rey</v>
          </cell>
          <cell r="H60" t="str">
            <v>salud_oral</v>
          </cell>
          <cell r="J60" t="str">
            <v>bueno</v>
          </cell>
          <cell r="K60" t="str">
            <v>probsi</v>
          </cell>
        </row>
        <row r="61">
          <cell r="B61" t="b">
            <v>1</v>
          </cell>
          <cell r="E61" t="str">
            <v>San Francisco I</v>
          </cell>
          <cell r="H61" t="str">
            <v>laboratorio</v>
          </cell>
          <cell r="J61" t="str">
            <v>bueno</v>
          </cell>
          <cell r="K61" t="str">
            <v>defsi</v>
          </cell>
        </row>
        <row r="62">
          <cell r="B62" t="b">
            <v>1</v>
          </cell>
          <cell r="E62" t="str">
            <v>Puerto Rey</v>
          </cell>
          <cell r="H62" t="str">
            <v>consulta_externa</v>
          </cell>
          <cell r="J62" t="str">
            <v>bueno</v>
          </cell>
          <cell r="K62" t="str">
            <v>probsi</v>
          </cell>
        </row>
        <row r="63">
          <cell r="B63" t="b">
            <v>1</v>
          </cell>
          <cell r="E63" t="str">
            <v>Islote de San Bernardo</v>
          </cell>
          <cell r="H63" t="str">
            <v>salud_oral</v>
          </cell>
          <cell r="J63" t="str">
            <v>muybueno</v>
          </cell>
          <cell r="K63" t="str">
            <v>defsi</v>
          </cell>
        </row>
        <row r="64">
          <cell r="B64" t="b">
            <v>1</v>
          </cell>
          <cell r="E64" t="str">
            <v>San Francisco I</v>
          </cell>
          <cell r="H64" t="str">
            <v>consulta_externa</v>
          </cell>
          <cell r="J64" t="str">
            <v>bueno</v>
          </cell>
          <cell r="K64" t="str">
            <v>defsi</v>
          </cell>
        </row>
        <row r="65">
          <cell r="B65" t="b">
            <v>1</v>
          </cell>
          <cell r="E65" t="str">
            <v>San Francisco I</v>
          </cell>
          <cell r="H65" t="str">
            <v>salud_oral</v>
          </cell>
          <cell r="J65" t="str">
            <v>bueno</v>
          </cell>
          <cell r="K65" t="str">
            <v>defsi</v>
          </cell>
        </row>
        <row r="66">
          <cell r="B66" t="b">
            <v>1</v>
          </cell>
          <cell r="E66" t="str">
            <v>San Francisco I</v>
          </cell>
          <cell r="H66" t="str">
            <v>consulta_externa</v>
          </cell>
          <cell r="J66" t="str">
            <v>bueno</v>
          </cell>
          <cell r="K66" t="str">
            <v>defsi</v>
          </cell>
        </row>
        <row r="67">
          <cell r="B67" t="b">
            <v>1</v>
          </cell>
          <cell r="E67" t="str">
            <v>San Francisco I</v>
          </cell>
          <cell r="H67" t="str">
            <v>consulta_externa</v>
          </cell>
          <cell r="J67" t="str">
            <v>bueno</v>
          </cell>
          <cell r="K67" t="str">
            <v>defsi</v>
          </cell>
        </row>
        <row r="68">
          <cell r="B68" t="b">
            <v>1</v>
          </cell>
          <cell r="E68" t="str">
            <v>San Francisco I</v>
          </cell>
          <cell r="H68" t="str">
            <v>salud_oral</v>
          </cell>
          <cell r="J68" t="str">
            <v>bueno</v>
          </cell>
          <cell r="K68" t="str">
            <v>defsi</v>
          </cell>
        </row>
        <row r="69">
          <cell r="B69" t="b">
            <v>1</v>
          </cell>
          <cell r="E69" t="str">
            <v>San Francisco I</v>
          </cell>
          <cell r="H69" t="str">
            <v>laboratorio</v>
          </cell>
          <cell r="J69" t="str">
            <v>bueno</v>
          </cell>
          <cell r="K69" t="str">
            <v>defsi</v>
          </cell>
        </row>
        <row r="70">
          <cell r="B70" t="b">
            <v>1</v>
          </cell>
          <cell r="E70" t="str">
            <v>Nuevo Porvenir</v>
          </cell>
          <cell r="H70" t="str">
            <v>consulta_externa</v>
          </cell>
          <cell r="J70" t="str">
            <v>bueno</v>
          </cell>
          <cell r="K70" t="str">
            <v>probsi</v>
          </cell>
        </row>
        <row r="71">
          <cell r="B71" t="b">
            <v>1</v>
          </cell>
          <cell r="E71" t="str">
            <v>Nuevo Porvenir</v>
          </cell>
          <cell r="H71" t="str">
            <v>salud_oral</v>
          </cell>
          <cell r="J71" t="str">
            <v>bueno</v>
          </cell>
          <cell r="K71" t="str">
            <v>probsi</v>
          </cell>
        </row>
        <row r="72">
          <cell r="B72" t="b">
            <v>1</v>
          </cell>
          <cell r="E72" t="str">
            <v>Puerto Rey</v>
          </cell>
          <cell r="H72" t="str">
            <v>consulta_externa</v>
          </cell>
          <cell r="J72" t="str">
            <v>bueno</v>
          </cell>
          <cell r="K72" t="str">
            <v>probsi</v>
          </cell>
        </row>
        <row r="73">
          <cell r="B73" t="b">
            <v>1</v>
          </cell>
          <cell r="E73" t="str">
            <v>Nuevo Porvenir</v>
          </cell>
          <cell r="H73" t="str">
            <v>consulta_externa</v>
          </cell>
          <cell r="J73" t="str">
            <v>muybueno</v>
          </cell>
          <cell r="K73" t="str">
            <v>probsi</v>
          </cell>
        </row>
        <row r="74">
          <cell r="B74" t="b">
            <v>1</v>
          </cell>
          <cell r="E74" t="str">
            <v>Nuevo Porvenir</v>
          </cell>
          <cell r="H74" t="str">
            <v>consulta_externa</v>
          </cell>
          <cell r="J74" t="str">
            <v>bueno</v>
          </cell>
          <cell r="K74" t="str">
            <v>probsi</v>
          </cell>
        </row>
        <row r="75">
          <cell r="B75" t="b">
            <v>1</v>
          </cell>
          <cell r="E75" t="str">
            <v>Nuevo Porvenir</v>
          </cell>
          <cell r="H75" t="str">
            <v>consulta_externa</v>
          </cell>
          <cell r="J75" t="str">
            <v>bueno</v>
          </cell>
          <cell r="K75" t="str">
            <v>probsi</v>
          </cell>
        </row>
        <row r="76">
          <cell r="B76" t="b">
            <v>1</v>
          </cell>
          <cell r="E76" t="str">
            <v>Islote de San Bernardo</v>
          </cell>
          <cell r="H76" t="str">
            <v>salud_oral</v>
          </cell>
          <cell r="J76" t="str">
            <v>muybueno</v>
          </cell>
          <cell r="K76" t="str">
            <v>defsi</v>
          </cell>
        </row>
        <row r="77">
          <cell r="B77" t="b">
            <v>1</v>
          </cell>
          <cell r="E77" t="str">
            <v>Nuevo Porvenir</v>
          </cell>
          <cell r="H77" t="str">
            <v>salud_oral</v>
          </cell>
          <cell r="J77" t="str">
            <v>muybueno</v>
          </cell>
          <cell r="K77" t="str">
            <v>probsi</v>
          </cell>
        </row>
        <row r="78">
          <cell r="B78" t="b">
            <v>1</v>
          </cell>
          <cell r="E78" t="str">
            <v>Nuevo Porvenir</v>
          </cell>
          <cell r="H78" t="str">
            <v>laboratorio</v>
          </cell>
          <cell r="J78" t="str">
            <v>bueno</v>
          </cell>
          <cell r="K78" t="str">
            <v>probsi</v>
          </cell>
        </row>
        <row r="79">
          <cell r="B79" t="b">
            <v>1</v>
          </cell>
          <cell r="E79" t="str">
            <v>Islote de San Bernardo</v>
          </cell>
          <cell r="H79" t="str">
            <v>consulta_externa</v>
          </cell>
          <cell r="J79" t="str">
            <v>muybueno</v>
          </cell>
          <cell r="K79" t="str">
            <v>defsi</v>
          </cell>
        </row>
        <row r="80">
          <cell r="B80" t="b">
            <v>1</v>
          </cell>
          <cell r="E80" t="str">
            <v>Islote de San Bernardo</v>
          </cell>
          <cell r="H80" t="str">
            <v>laboratorio</v>
          </cell>
          <cell r="J80" t="str">
            <v>muybueno</v>
          </cell>
          <cell r="K80" t="str">
            <v>defsi</v>
          </cell>
        </row>
        <row r="81">
          <cell r="B81" t="b">
            <v>1</v>
          </cell>
          <cell r="E81" t="str">
            <v>San Francisco I</v>
          </cell>
          <cell r="H81" t="str">
            <v>consulta_externa</v>
          </cell>
          <cell r="J81" t="str">
            <v>bueno</v>
          </cell>
          <cell r="K81" t="str">
            <v>defsi</v>
          </cell>
        </row>
        <row r="82">
          <cell r="B82" t="b">
            <v>1</v>
          </cell>
          <cell r="E82" t="str">
            <v>San Francisco I</v>
          </cell>
          <cell r="H82" t="str">
            <v>salud_oral</v>
          </cell>
          <cell r="J82" t="str">
            <v>bueno</v>
          </cell>
          <cell r="K82" t="str">
            <v>defsi</v>
          </cell>
        </row>
        <row r="83">
          <cell r="B83" t="b">
            <v>1</v>
          </cell>
          <cell r="E83" t="str">
            <v>San Francisco I</v>
          </cell>
          <cell r="H83" t="str">
            <v>laboratorio</v>
          </cell>
          <cell r="J83" t="str">
            <v>bueno</v>
          </cell>
          <cell r="K83" t="str">
            <v>defsi</v>
          </cell>
        </row>
        <row r="84">
          <cell r="B84" t="b">
            <v>1</v>
          </cell>
          <cell r="E84" t="str">
            <v>San Francisco I</v>
          </cell>
          <cell r="H84" t="str">
            <v>consulta_externa</v>
          </cell>
          <cell r="J84" t="str">
            <v>bueno</v>
          </cell>
          <cell r="K84" t="str">
            <v>defsi</v>
          </cell>
        </row>
        <row r="85">
          <cell r="B85" t="b">
            <v>1</v>
          </cell>
          <cell r="E85" t="str">
            <v>San Francisco I</v>
          </cell>
          <cell r="H85" t="str">
            <v>salud_oral</v>
          </cell>
          <cell r="J85" t="str">
            <v>bueno</v>
          </cell>
          <cell r="K85" t="str">
            <v>defsi</v>
          </cell>
        </row>
        <row r="86">
          <cell r="B86" t="b">
            <v>1</v>
          </cell>
          <cell r="E86" t="str">
            <v>San Francisco I</v>
          </cell>
          <cell r="H86" t="str">
            <v>laboratorio</v>
          </cell>
          <cell r="J86" t="str">
            <v>bueno</v>
          </cell>
          <cell r="K86" t="str">
            <v>defsi</v>
          </cell>
        </row>
        <row r="87">
          <cell r="B87" t="b">
            <v>1</v>
          </cell>
          <cell r="E87" t="str">
            <v>San Francisco I</v>
          </cell>
          <cell r="H87" t="str">
            <v>consulta_externa</v>
          </cell>
          <cell r="J87" t="str">
            <v>bueno</v>
          </cell>
          <cell r="K87" t="str">
            <v>defsi</v>
          </cell>
        </row>
        <row r="88">
          <cell r="B88" t="b">
            <v>1</v>
          </cell>
          <cell r="E88" t="str">
            <v>San Francisco I</v>
          </cell>
          <cell r="H88" t="str">
            <v>salud_oral</v>
          </cell>
          <cell r="J88" t="str">
            <v>bueno</v>
          </cell>
          <cell r="K88" t="str">
            <v>defsi</v>
          </cell>
        </row>
        <row r="89">
          <cell r="B89" t="b">
            <v>1</v>
          </cell>
          <cell r="E89" t="str">
            <v>San Francisco I</v>
          </cell>
          <cell r="H89" t="str">
            <v>laboratorio</v>
          </cell>
          <cell r="J89" t="str">
            <v>bueno</v>
          </cell>
          <cell r="K89" t="str">
            <v>defsi</v>
          </cell>
        </row>
        <row r="90">
          <cell r="B90" t="b">
            <v>1</v>
          </cell>
          <cell r="E90" t="str">
            <v>Nuevo Porvenir</v>
          </cell>
          <cell r="H90" t="str">
            <v>laboratorio</v>
          </cell>
          <cell r="J90" t="str">
            <v>bueno</v>
          </cell>
          <cell r="K90" t="str">
            <v>probsi</v>
          </cell>
        </row>
        <row r="91">
          <cell r="B91" t="b">
            <v>1</v>
          </cell>
          <cell r="E91" t="str">
            <v>Fredonia</v>
          </cell>
          <cell r="H91" t="str">
            <v>consulta_externa</v>
          </cell>
          <cell r="J91" t="str">
            <v>bueno</v>
          </cell>
          <cell r="K91" t="str">
            <v>probsi</v>
          </cell>
        </row>
        <row r="92">
          <cell r="B92" t="b">
            <v>1</v>
          </cell>
          <cell r="E92" t="str">
            <v>Fredonia</v>
          </cell>
          <cell r="H92" t="str">
            <v>consulta_externa</v>
          </cell>
          <cell r="J92" t="str">
            <v>muybueno</v>
          </cell>
          <cell r="K92" t="str">
            <v>probsi</v>
          </cell>
        </row>
        <row r="93">
          <cell r="B93" t="b">
            <v>1</v>
          </cell>
          <cell r="E93" t="str">
            <v>Fredonia</v>
          </cell>
          <cell r="H93" t="str">
            <v>consulta_externa</v>
          </cell>
          <cell r="J93" t="str">
            <v>bueno</v>
          </cell>
          <cell r="K93" t="str">
            <v>probsi</v>
          </cell>
        </row>
        <row r="94">
          <cell r="B94" t="b">
            <v>1</v>
          </cell>
          <cell r="E94" t="str">
            <v>Fredonia</v>
          </cell>
          <cell r="H94" t="str">
            <v>salud_oral</v>
          </cell>
          <cell r="J94" t="str">
            <v>bueno</v>
          </cell>
          <cell r="K94" t="str">
            <v>probsi</v>
          </cell>
        </row>
        <row r="95">
          <cell r="B95" t="b">
            <v>1</v>
          </cell>
          <cell r="E95" t="str">
            <v>Fredonia</v>
          </cell>
          <cell r="H95" t="str">
            <v>laboratorio</v>
          </cell>
          <cell r="J95" t="str">
            <v>bueno</v>
          </cell>
          <cell r="K95" t="str">
            <v>probsi</v>
          </cell>
        </row>
        <row r="96">
          <cell r="B96" t="b">
            <v>1</v>
          </cell>
          <cell r="E96" t="str">
            <v>Tierra Baja</v>
          </cell>
          <cell r="H96" t="str">
            <v>consulta_externa</v>
          </cell>
          <cell r="J96" t="str">
            <v>bueno</v>
          </cell>
          <cell r="K96" t="str">
            <v>probsi</v>
          </cell>
        </row>
        <row r="97">
          <cell r="B97" t="b">
            <v>1</v>
          </cell>
          <cell r="E97" t="str">
            <v>Fredonia</v>
          </cell>
          <cell r="H97" t="str">
            <v>laboratorio</v>
          </cell>
          <cell r="J97" t="str">
            <v>bueno</v>
          </cell>
          <cell r="K97" t="str">
            <v>probsi</v>
          </cell>
        </row>
        <row r="98">
          <cell r="B98" t="b">
            <v>1</v>
          </cell>
          <cell r="E98" t="str">
            <v>Fredonia</v>
          </cell>
          <cell r="H98" t="str">
            <v>salud_oral</v>
          </cell>
          <cell r="J98" t="str">
            <v>bueno</v>
          </cell>
          <cell r="K98" t="str">
            <v>probsi</v>
          </cell>
        </row>
        <row r="99">
          <cell r="B99" t="b">
            <v>1</v>
          </cell>
          <cell r="E99" t="str">
            <v>Fredonia</v>
          </cell>
          <cell r="H99" t="str">
            <v>laboratorio</v>
          </cell>
          <cell r="J99" t="str">
            <v>bueno</v>
          </cell>
          <cell r="K99" t="str">
            <v>probsi</v>
          </cell>
        </row>
        <row r="100">
          <cell r="B100" t="b">
            <v>1</v>
          </cell>
          <cell r="E100" t="str">
            <v>Tierra Baja</v>
          </cell>
          <cell r="H100" t="str">
            <v>consulta_externa</v>
          </cell>
          <cell r="J100" t="str">
            <v>muybueno</v>
          </cell>
          <cell r="K100" t="str">
            <v>defsi</v>
          </cell>
        </row>
        <row r="101">
          <cell r="B101" t="b">
            <v>1</v>
          </cell>
          <cell r="E101" t="str">
            <v>Fredonia</v>
          </cell>
          <cell r="H101" t="str">
            <v>consulta_externa</v>
          </cell>
          <cell r="J101" t="str">
            <v>bueno</v>
          </cell>
          <cell r="K101" t="str">
            <v>probsi</v>
          </cell>
        </row>
        <row r="102">
          <cell r="B102" t="b">
            <v>1</v>
          </cell>
          <cell r="E102" t="str">
            <v>Fredonia</v>
          </cell>
          <cell r="H102" t="str">
            <v>salud_oral</v>
          </cell>
          <cell r="J102" t="str">
            <v>bueno</v>
          </cell>
          <cell r="K102" t="str">
            <v>probsi</v>
          </cell>
        </row>
        <row r="103">
          <cell r="B103" t="b">
            <v>1</v>
          </cell>
          <cell r="E103" t="str">
            <v>Fredonia</v>
          </cell>
          <cell r="H103" t="str">
            <v>laboratorio</v>
          </cell>
          <cell r="J103" t="str">
            <v>bueno</v>
          </cell>
          <cell r="K103" t="str">
            <v>probsi</v>
          </cell>
        </row>
        <row r="104">
          <cell r="B104" t="b">
            <v>1</v>
          </cell>
          <cell r="E104" t="str">
            <v>Tierra Baja</v>
          </cell>
          <cell r="H104" t="str">
            <v>salud_oral</v>
          </cell>
          <cell r="J104" t="str">
            <v>bueno</v>
          </cell>
          <cell r="K104" t="str">
            <v>defsi</v>
          </cell>
        </row>
        <row r="105">
          <cell r="B105" t="b">
            <v>1</v>
          </cell>
          <cell r="E105" t="str">
            <v>Fredonia</v>
          </cell>
          <cell r="H105" t="str">
            <v>consulta_externa</v>
          </cell>
          <cell r="J105" t="str">
            <v>bueno</v>
          </cell>
          <cell r="K105" t="str">
            <v>probsi</v>
          </cell>
        </row>
        <row r="106">
          <cell r="B106" t="b">
            <v>1</v>
          </cell>
          <cell r="E106" t="str">
            <v>Fredonia</v>
          </cell>
          <cell r="H106" t="str">
            <v>laboratorio</v>
          </cell>
          <cell r="J106" t="str">
            <v>bueno</v>
          </cell>
          <cell r="K106" t="str">
            <v>probsi</v>
          </cell>
        </row>
        <row r="107">
          <cell r="B107" t="b">
            <v>1</v>
          </cell>
          <cell r="E107" t="str">
            <v>Fredonia</v>
          </cell>
          <cell r="H107" t="str">
            <v>consulta_externa</v>
          </cell>
          <cell r="J107" t="str">
            <v>bueno</v>
          </cell>
          <cell r="K107" t="str">
            <v>probsi</v>
          </cell>
        </row>
        <row r="108">
          <cell r="B108" t="b">
            <v>1</v>
          </cell>
          <cell r="E108" t="str">
            <v>Fredonia</v>
          </cell>
          <cell r="H108" t="str">
            <v>consulta_externa</v>
          </cell>
          <cell r="J108" t="str">
            <v>bueno</v>
          </cell>
          <cell r="K108" t="str">
            <v>probsi</v>
          </cell>
        </row>
        <row r="109">
          <cell r="B109" t="b">
            <v>1</v>
          </cell>
          <cell r="E109" t="str">
            <v>Fredonia</v>
          </cell>
          <cell r="H109" t="str">
            <v>salud_oral</v>
          </cell>
          <cell r="J109" t="str">
            <v>bueno</v>
          </cell>
          <cell r="K109" t="str">
            <v>probsi</v>
          </cell>
        </row>
        <row r="110">
          <cell r="B110" t="b">
            <v>1</v>
          </cell>
          <cell r="E110" t="str">
            <v>Fredonia</v>
          </cell>
          <cell r="H110" t="str">
            <v>consulta_externa</v>
          </cell>
          <cell r="J110" t="str">
            <v>bueno</v>
          </cell>
          <cell r="K110" t="str">
            <v>probsi</v>
          </cell>
        </row>
        <row r="111">
          <cell r="B111" t="b">
            <v>1</v>
          </cell>
          <cell r="E111" t="str">
            <v>Fredonia</v>
          </cell>
          <cell r="H111" t="str">
            <v>consulta_externa</v>
          </cell>
          <cell r="J111" t="str">
            <v>bueno</v>
          </cell>
          <cell r="K111" t="str">
            <v>probsi</v>
          </cell>
        </row>
        <row r="112">
          <cell r="B112" t="b">
            <v>1</v>
          </cell>
          <cell r="E112" t="str">
            <v>Fredonia</v>
          </cell>
          <cell r="H112" t="str">
            <v>laboratorio</v>
          </cell>
          <cell r="J112" t="str">
            <v>bueno</v>
          </cell>
          <cell r="K112" t="str">
            <v>probsi</v>
          </cell>
        </row>
        <row r="113">
          <cell r="B113" t="b">
            <v>1</v>
          </cell>
          <cell r="E113" t="str">
            <v>San Francisco I</v>
          </cell>
          <cell r="H113" t="str">
            <v>consulta_externa</v>
          </cell>
          <cell r="J113" t="str">
            <v>bueno</v>
          </cell>
          <cell r="K113" t="str">
            <v>defsi</v>
          </cell>
        </row>
        <row r="114">
          <cell r="B114" t="b">
            <v>1</v>
          </cell>
          <cell r="E114" t="str">
            <v>San Francisco I</v>
          </cell>
          <cell r="H114" t="str">
            <v>salud_oral</v>
          </cell>
          <cell r="J114" t="str">
            <v>bueno</v>
          </cell>
          <cell r="K114" t="str">
            <v>defsi</v>
          </cell>
        </row>
        <row r="115">
          <cell r="B115" t="b">
            <v>1</v>
          </cell>
          <cell r="E115" t="str">
            <v>San Francisco I</v>
          </cell>
          <cell r="H115" t="str">
            <v>laboratorio</v>
          </cell>
          <cell r="J115" t="str">
            <v>bueno</v>
          </cell>
          <cell r="K115" t="str">
            <v>defsi</v>
          </cell>
        </row>
        <row r="116">
          <cell r="B116" t="b">
            <v>1</v>
          </cell>
          <cell r="E116" t="str">
            <v>Fredonia</v>
          </cell>
          <cell r="H116" t="str">
            <v>consulta_externa</v>
          </cell>
          <cell r="J116" t="str">
            <v>bueno</v>
          </cell>
          <cell r="K116" t="str">
            <v>probsi</v>
          </cell>
        </row>
        <row r="117">
          <cell r="B117" t="b">
            <v>1</v>
          </cell>
          <cell r="E117" t="str">
            <v>Fredonia</v>
          </cell>
          <cell r="H117" t="str">
            <v>salud_oral</v>
          </cell>
          <cell r="J117" t="str">
            <v>bueno</v>
          </cell>
          <cell r="K117" t="str">
            <v>probsi</v>
          </cell>
        </row>
        <row r="118">
          <cell r="B118" t="b">
            <v>1</v>
          </cell>
          <cell r="E118" t="str">
            <v>San Francisco I</v>
          </cell>
          <cell r="H118" t="str">
            <v>consulta_externa</v>
          </cell>
          <cell r="J118" t="str">
            <v>bueno</v>
          </cell>
          <cell r="K118" t="str">
            <v>defsi</v>
          </cell>
        </row>
        <row r="119">
          <cell r="B119" t="b">
            <v>1</v>
          </cell>
          <cell r="E119" t="str">
            <v>San Francisco I</v>
          </cell>
          <cell r="H119" t="str">
            <v>salud_oral</v>
          </cell>
          <cell r="J119" t="str">
            <v>bueno</v>
          </cell>
          <cell r="K119" t="str">
            <v>defsi</v>
          </cell>
        </row>
        <row r="120">
          <cell r="B120" t="b">
            <v>1</v>
          </cell>
          <cell r="E120" t="str">
            <v>San Francisco I</v>
          </cell>
          <cell r="H120" t="str">
            <v>laboratorio</v>
          </cell>
          <cell r="J120" t="str">
            <v>bueno</v>
          </cell>
          <cell r="K120" t="str">
            <v>defsi</v>
          </cell>
        </row>
        <row r="121">
          <cell r="B121" t="b">
            <v>1</v>
          </cell>
          <cell r="E121" t="str">
            <v>Fredonia</v>
          </cell>
          <cell r="H121" t="str">
            <v>consulta_externa</v>
          </cell>
          <cell r="J121" t="str">
            <v>bueno</v>
          </cell>
          <cell r="K121" t="str">
            <v>probsi</v>
          </cell>
        </row>
        <row r="122">
          <cell r="B122" t="b">
            <v>1</v>
          </cell>
          <cell r="E122" t="str">
            <v>San Francisco I</v>
          </cell>
          <cell r="H122" t="str">
            <v>consulta_externa</v>
          </cell>
          <cell r="J122" t="str">
            <v>bueno</v>
          </cell>
          <cell r="K122" t="str">
            <v>defsi</v>
          </cell>
        </row>
        <row r="123">
          <cell r="B123" t="b">
            <v>1</v>
          </cell>
          <cell r="E123" t="str">
            <v>San Francisco I</v>
          </cell>
          <cell r="H123" t="str">
            <v>salud_oral</v>
          </cell>
          <cell r="J123" t="str">
            <v>bueno</v>
          </cell>
          <cell r="K123" t="str">
            <v>defsi</v>
          </cell>
        </row>
        <row r="124">
          <cell r="B124" t="b">
            <v>1</v>
          </cell>
          <cell r="E124" t="str">
            <v>Tierra Baja</v>
          </cell>
          <cell r="H124" t="str">
            <v>consulta_externa</v>
          </cell>
          <cell r="J124" t="str">
            <v>bueno</v>
          </cell>
          <cell r="K124" t="str">
            <v>defsi</v>
          </cell>
        </row>
        <row r="125">
          <cell r="B125" t="b">
            <v>1</v>
          </cell>
          <cell r="E125" t="str">
            <v>Tierra Baja</v>
          </cell>
          <cell r="H125" t="str">
            <v>laboratorio</v>
          </cell>
          <cell r="J125" t="str">
            <v>bueno</v>
          </cell>
          <cell r="K125" t="str">
            <v>defsi</v>
          </cell>
        </row>
        <row r="126">
          <cell r="B126" t="b">
            <v>1</v>
          </cell>
          <cell r="E126" t="str">
            <v>San Francisco I</v>
          </cell>
          <cell r="H126" t="str">
            <v>laboratorio</v>
          </cell>
          <cell r="J126" t="str">
            <v>bueno</v>
          </cell>
          <cell r="K126" t="str">
            <v>defsi</v>
          </cell>
        </row>
        <row r="127">
          <cell r="B127" t="b">
            <v>1</v>
          </cell>
          <cell r="E127" t="str">
            <v>San Francisco I</v>
          </cell>
          <cell r="H127" t="str">
            <v>consulta_externa</v>
          </cell>
          <cell r="J127" t="str">
            <v>bueno</v>
          </cell>
          <cell r="K127" t="str">
            <v>defsi</v>
          </cell>
        </row>
        <row r="128">
          <cell r="B128" t="b">
            <v>1</v>
          </cell>
          <cell r="E128" t="str">
            <v>San Francisco I</v>
          </cell>
          <cell r="H128" t="str">
            <v>consulta_externa</v>
          </cell>
          <cell r="J128" t="str">
            <v>bueno</v>
          </cell>
          <cell r="K128" t="str">
            <v>defsi</v>
          </cell>
        </row>
        <row r="129">
          <cell r="B129" t="b">
            <v>1</v>
          </cell>
          <cell r="E129" t="str">
            <v>San Francisco I</v>
          </cell>
          <cell r="H129" t="str">
            <v>laboratorio</v>
          </cell>
          <cell r="J129" t="str">
            <v>bueno</v>
          </cell>
          <cell r="K129" t="str">
            <v>defsi</v>
          </cell>
        </row>
        <row r="130">
          <cell r="B130" t="b">
            <v>1</v>
          </cell>
          <cell r="E130" t="str">
            <v>Fredonia</v>
          </cell>
          <cell r="H130" t="str">
            <v>consulta_externa</v>
          </cell>
          <cell r="J130" t="str">
            <v>bueno</v>
          </cell>
          <cell r="K130" t="str">
            <v>probsi</v>
          </cell>
        </row>
        <row r="131">
          <cell r="B131" t="b">
            <v>1</v>
          </cell>
          <cell r="E131" t="str">
            <v>Fredonia</v>
          </cell>
          <cell r="H131" t="str">
            <v>salud_oral</v>
          </cell>
          <cell r="J131" t="str">
            <v>bueno</v>
          </cell>
          <cell r="K131" t="str">
            <v>probsi</v>
          </cell>
        </row>
        <row r="132">
          <cell r="B132" t="b">
            <v>1</v>
          </cell>
          <cell r="E132" t="str">
            <v>Fredonia</v>
          </cell>
          <cell r="H132" t="str">
            <v>laboratorio</v>
          </cell>
          <cell r="J132" t="str">
            <v>bueno</v>
          </cell>
          <cell r="K132" t="str">
            <v>probsi</v>
          </cell>
        </row>
        <row r="133">
          <cell r="B133" t="b">
            <v>1</v>
          </cell>
          <cell r="E133" t="str">
            <v>Tierra Baja</v>
          </cell>
          <cell r="H133" t="str">
            <v>consulta_externa</v>
          </cell>
          <cell r="J133" t="str">
            <v>bueno</v>
          </cell>
          <cell r="K133" t="str">
            <v>defsi</v>
          </cell>
        </row>
        <row r="134">
          <cell r="B134" t="b">
            <v>1</v>
          </cell>
          <cell r="E134" t="str">
            <v>Tierra Baja</v>
          </cell>
          <cell r="H134" t="str">
            <v>salud_oral</v>
          </cell>
          <cell r="J134" t="str">
            <v>bueno</v>
          </cell>
          <cell r="K134" t="str">
            <v>defsi</v>
          </cell>
        </row>
        <row r="135">
          <cell r="B135" t="b">
            <v>1</v>
          </cell>
          <cell r="E135" t="str">
            <v>Tierra Baja</v>
          </cell>
          <cell r="H135" t="str">
            <v>laboratorio</v>
          </cell>
          <cell r="J135" t="str">
            <v>bueno</v>
          </cell>
          <cell r="K135" t="str">
            <v>defsi</v>
          </cell>
        </row>
        <row r="136">
          <cell r="B136" t="b">
            <v>1</v>
          </cell>
          <cell r="E136" t="str">
            <v>San Francisco I</v>
          </cell>
          <cell r="H136" t="str">
            <v>consulta_externa</v>
          </cell>
          <cell r="J136" t="str">
            <v>bueno</v>
          </cell>
          <cell r="K136" t="str">
            <v>defsi</v>
          </cell>
        </row>
        <row r="137">
          <cell r="B137" t="b">
            <v>1</v>
          </cell>
          <cell r="E137" t="str">
            <v>San Francisco I</v>
          </cell>
          <cell r="H137" t="str">
            <v>salud_oral</v>
          </cell>
          <cell r="J137" t="str">
            <v>bueno</v>
          </cell>
          <cell r="K137" t="str">
            <v>defsi</v>
          </cell>
        </row>
        <row r="138">
          <cell r="B138" t="b">
            <v>1</v>
          </cell>
          <cell r="E138" t="str">
            <v>San Francisco I</v>
          </cell>
          <cell r="H138" t="str">
            <v>laboratorio</v>
          </cell>
          <cell r="J138" t="str">
            <v>bueno</v>
          </cell>
          <cell r="K138" t="str">
            <v>defsi</v>
          </cell>
        </row>
        <row r="139">
          <cell r="B139" t="b">
            <v>1</v>
          </cell>
          <cell r="E139" t="str">
            <v>Tierra Baja</v>
          </cell>
          <cell r="H139" t="str">
            <v>consulta_externa</v>
          </cell>
          <cell r="J139" t="str">
            <v>bueno</v>
          </cell>
          <cell r="K139" t="str">
            <v>defsi</v>
          </cell>
        </row>
        <row r="140">
          <cell r="B140" t="b">
            <v>1</v>
          </cell>
          <cell r="E140" t="str">
            <v>Tierra Baja</v>
          </cell>
          <cell r="H140" t="str">
            <v>laboratorio</v>
          </cell>
          <cell r="J140" t="str">
            <v>bueno</v>
          </cell>
          <cell r="K140" t="str">
            <v>defsi</v>
          </cell>
        </row>
        <row r="141">
          <cell r="B141" t="b">
            <v>1</v>
          </cell>
          <cell r="E141" t="str">
            <v>Tierra Baja</v>
          </cell>
          <cell r="H141" t="str">
            <v>consulta_externa</v>
          </cell>
          <cell r="J141" t="str">
            <v>bueno</v>
          </cell>
          <cell r="K141" t="str">
            <v>probsi</v>
          </cell>
        </row>
        <row r="142">
          <cell r="B142" t="b">
            <v>1</v>
          </cell>
          <cell r="E142" t="str">
            <v>Tierra Baja</v>
          </cell>
          <cell r="H142" t="str">
            <v>salud_oral</v>
          </cell>
          <cell r="J142" t="str">
            <v>bueno</v>
          </cell>
          <cell r="K142" t="str">
            <v>probsi</v>
          </cell>
        </row>
        <row r="143">
          <cell r="B143" t="b">
            <v>1</v>
          </cell>
          <cell r="E143" t="str">
            <v>San Francisco I</v>
          </cell>
          <cell r="H143" t="str">
            <v>consulta_externa</v>
          </cell>
          <cell r="J143" t="str">
            <v>bueno</v>
          </cell>
          <cell r="K143" t="str">
            <v>defsi</v>
          </cell>
        </row>
        <row r="144">
          <cell r="B144" t="b">
            <v>1</v>
          </cell>
          <cell r="E144" t="str">
            <v>San Francisco I</v>
          </cell>
          <cell r="H144" t="str">
            <v>salud_oral</v>
          </cell>
          <cell r="J144" t="str">
            <v>bueno</v>
          </cell>
          <cell r="K144" t="str">
            <v>defsi</v>
          </cell>
        </row>
        <row r="145">
          <cell r="B145" t="b">
            <v>1</v>
          </cell>
          <cell r="E145" t="str">
            <v>San Francisco I</v>
          </cell>
          <cell r="H145" t="str">
            <v>laboratorio</v>
          </cell>
          <cell r="J145" t="str">
            <v>bueno</v>
          </cell>
          <cell r="K145" t="str">
            <v>defsi</v>
          </cell>
        </row>
        <row r="146">
          <cell r="B146" t="b">
            <v>1</v>
          </cell>
          <cell r="E146" t="str">
            <v>San Francisco I</v>
          </cell>
          <cell r="H146" t="str">
            <v>consulta_externa</v>
          </cell>
          <cell r="J146" t="str">
            <v>bueno</v>
          </cell>
          <cell r="K146" t="str">
            <v>defsi</v>
          </cell>
        </row>
        <row r="147">
          <cell r="B147" t="b">
            <v>1</v>
          </cell>
          <cell r="E147" t="str">
            <v>San Francisco I</v>
          </cell>
          <cell r="H147" t="str">
            <v>salud_oral</v>
          </cell>
          <cell r="J147" t="str">
            <v>bueno</v>
          </cell>
          <cell r="K147" t="str">
            <v>defsi</v>
          </cell>
        </row>
        <row r="148">
          <cell r="B148" t="b">
            <v>1</v>
          </cell>
          <cell r="E148" t="str">
            <v>San Francisco I</v>
          </cell>
          <cell r="H148" t="str">
            <v>consulta_externa</v>
          </cell>
          <cell r="J148" t="str">
            <v>bueno</v>
          </cell>
          <cell r="K148" t="str">
            <v>defsi</v>
          </cell>
        </row>
        <row r="149">
          <cell r="B149" t="b">
            <v>1</v>
          </cell>
          <cell r="E149" t="str">
            <v>Tierra Baja</v>
          </cell>
          <cell r="H149" t="str">
            <v>laboratorio</v>
          </cell>
          <cell r="J149" t="str">
            <v>bueno</v>
          </cell>
          <cell r="K149" t="str">
            <v>defsi</v>
          </cell>
        </row>
        <row r="150">
          <cell r="B150" t="b">
            <v>1</v>
          </cell>
          <cell r="E150" t="str">
            <v>Tierra Baja</v>
          </cell>
          <cell r="H150" t="str">
            <v>salud_oral</v>
          </cell>
          <cell r="J150" t="str">
            <v>bueno</v>
          </cell>
          <cell r="K150" t="str">
            <v>defsi</v>
          </cell>
        </row>
        <row r="151">
          <cell r="B151" t="b">
            <v>1</v>
          </cell>
          <cell r="E151" t="str">
            <v>Tierra Baja</v>
          </cell>
          <cell r="H151" t="str">
            <v>consulta_externa</v>
          </cell>
          <cell r="J151" t="str">
            <v>bueno</v>
          </cell>
          <cell r="K151" t="str">
            <v>defsi</v>
          </cell>
        </row>
        <row r="152">
          <cell r="B152" t="b">
            <v>1</v>
          </cell>
          <cell r="E152" t="str">
            <v>Tierra Baja</v>
          </cell>
          <cell r="H152" t="str">
            <v>consulta_externa</v>
          </cell>
          <cell r="J152" t="str">
            <v>bueno</v>
          </cell>
          <cell r="K152" t="str">
            <v>defsi</v>
          </cell>
        </row>
        <row r="153">
          <cell r="B153" t="b">
            <v>1</v>
          </cell>
          <cell r="E153" t="str">
            <v>Tierra Baja</v>
          </cell>
          <cell r="H153" t="str">
            <v>consulta_externa</v>
          </cell>
          <cell r="J153" t="str">
            <v>bueno</v>
          </cell>
          <cell r="K153" t="str">
            <v>defsi</v>
          </cell>
        </row>
        <row r="154">
          <cell r="B154" t="b">
            <v>1</v>
          </cell>
          <cell r="E154" t="str">
            <v>Islote de San Bernardo</v>
          </cell>
          <cell r="H154" t="str">
            <v>consulta_externa</v>
          </cell>
          <cell r="J154" t="str">
            <v>muybueno</v>
          </cell>
          <cell r="K154" t="str">
            <v>defsi</v>
          </cell>
        </row>
        <row r="155">
          <cell r="B155" t="b">
            <v>1</v>
          </cell>
          <cell r="E155" t="str">
            <v>Tierra Baja</v>
          </cell>
          <cell r="H155" t="str">
            <v>salud_oral</v>
          </cell>
          <cell r="J155" t="str">
            <v>bueno</v>
          </cell>
          <cell r="K155" t="str">
            <v>defsi</v>
          </cell>
        </row>
        <row r="156">
          <cell r="B156" t="b">
            <v>1</v>
          </cell>
          <cell r="E156" t="str">
            <v>Islote de San Bernardo</v>
          </cell>
          <cell r="H156" t="str">
            <v>laboratorio</v>
          </cell>
          <cell r="J156" t="str">
            <v>muybueno</v>
          </cell>
          <cell r="K156" t="str">
            <v>defsi</v>
          </cell>
        </row>
        <row r="157">
          <cell r="B157" t="b">
            <v>1</v>
          </cell>
          <cell r="E157" t="str">
            <v>Islote de San Bernardo</v>
          </cell>
          <cell r="H157" t="str">
            <v>salud_oral</v>
          </cell>
          <cell r="J157" t="str">
            <v>muybueno</v>
          </cell>
          <cell r="K157" t="str">
            <v>defsi</v>
          </cell>
        </row>
        <row r="158">
          <cell r="B158" t="b">
            <v>1</v>
          </cell>
          <cell r="E158" t="str">
            <v>Fredonia</v>
          </cell>
          <cell r="H158" t="str">
            <v>salud_oral</v>
          </cell>
          <cell r="J158" t="str">
            <v>bueno</v>
          </cell>
          <cell r="K158" t="str">
            <v>probsi</v>
          </cell>
        </row>
        <row r="159">
          <cell r="B159" t="b">
            <v>1</v>
          </cell>
          <cell r="E159" t="str">
            <v>Fredonia</v>
          </cell>
          <cell r="H159" t="str">
            <v>salud_oral</v>
          </cell>
          <cell r="J159" t="str">
            <v>bueno</v>
          </cell>
          <cell r="K159" t="str">
            <v>probsi</v>
          </cell>
        </row>
        <row r="160">
          <cell r="B160" t="b">
            <v>1</v>
          </cell>
          <cell r="E160" t="str">
            <v>Fredonia</v>
          </cell>
          <cell r="H160" t="str">
            <v>laboratorio</v>
          </cell>
          <cell r="J160" t="str">
            <v>bueno</v>
          </cell>
          <cell r="K160" t="str">
            <v>probsi</v>
          </cell>
        </row>
        <row r="161">
          <cell r="B161" t="b">
            <v>1</v>
          </cell>
          <cell r="E161" t="str">
            <v>Fredonia</v>
          </cell>
          <cell r="H161" t="str">
            <v>laboratorio</v>
          </cell>
          <cell r="J161" t="str">
            <v>bueno</v>
          </cell>
          <cell r="K161" t="str">
            <v>probsi</v>
          </cell>
        </row>
        <row r="162">
          <cell r="B162" t="b">
            <v>1</v>
          </cell>
          <cell r="E162" t="str">
            <v>Fredonia</v>
          </cell>
          <cell r="H162" t="str">
            <v>laboratorio</v>
          </cell>
          <cell r="J162" t="str">
            <v>bueno</v>
          </cell>
          <cell r="K162" t="str">
            <v>probsi</v>
          </cell>
        </row>
        <row r="163">
          <cell r="B163" t="b">
            <v>1</v>
          </cell>
          <cell r="E163" t="str">
            <v>Fredonia</v>
          </cell>
          <cell r="H163" t="str">
            <v>salud_oral</v>
          </cell>
          <cell r="J163" t="str">
            <v>bueno</v>
          </cell>
          <cell r="K163" t="str">
            <v>probsi</v>
          </cell>
        </row>
        <row r="164">
          <cell r="B164" t="b">
            <v>1</v>
          </cell>
          <cell r="E164" t="str">
            <v>Fredonia</v>
          </cell>
          <cell r="H164" t="str">
            <v>salud_oral</v>
          </cell>
          <cell r="J164" t="str">
            <v>bueno</v>
          </cell>
          <cell r="K164" t="str">
            <v>probsi</v>
          </cell>
        </row>
        <row r="165">
          <cell r="B165" t="b">
            <v>1</v>
          </cell>
          <cell r="E165" t="str">
            <v>Fredonia</v>
          </cell>
          <cell r="H165" t="str">
            <v>salud_oral</v>
          </cell>
          <cell r="J165" t="str">
            <v>bueno</v>
          </cell>
          <cell r="K165" t="str">
            <v>probsi</v>
          </cell>
        </row>
        <row r="166">
          <cell r="B166" t="b">
            <v>1</v>
          </cell>
          <cell r="E166" t="str">
            <v>Fredonia</v>
          </cell>
          <cell r="H166" t="str">
            <v>salud_oral</v>
          </cell>
          <cell r="J166" t="str">
            <v>bueno</v>
          </cell>
          <cell r="K166" t="str">
            <v>probsi</v>
          </cell>
        </row>
        <row r="167">
          <cell r="B167" t="b">
            <v>1</v>
          </cell>
          <cell r="E167" t="str">
            <v>Tierra Baja</v>
          </cell>
          <cell r="H167" t="str">
            <v>laboratorio</v>
          </cell>
          <cell r="J167" t="str">
            <v>bueno</v>
          </cell>
          <cell r="K167" t="str">
            <v>defsi</v>
          </cell>
        </row>
        <row r="168">
          <cell r="B168" t="b">
            <v>1</v>
          </cell>
          <cell r="E168" t="str">
            <v>Tierra Baja</v>
          </cell>
          <cell r="H168" t="str">
            <v>laboratorio</v>
          </cell>
          <cell r="J168" t="str">
            <v>bueno</v>
          </cell>
          <cell r="K168" t="str">
            <v>defsi</v>
          </cell>
        </row>
        <row r="169">
          <cell r="B169" t="b">
            <v>1</v>
          </cell>
          <cell r="E169" t="str">
            <v>Tierra Baja</v>
          </cell>
          <cell r="H169" t="str">
            <v>laboratorio</v>
          </cell>
          <cell r="J169" t="str">
            <v>bueno</v>
          </cell>
          <cell r="K169" t="str">
            <v>defsi</v>
          </cell>
        </row>
        <row r="170">
          <cell r="B170" t="b">
            <v>1</v>
          </cell>
          <cell r="E170" t="str">
            <v>Tierra Baja</v>
          </cell>
          <cell r="H170" t="str">
            <v>salud_oral</v>
          </cell>
          <cell r="J170" t="str">
            <v>bueno</v>
          </cell>
          <cell r="K170" t="str">
            <v>defsi</v>
          </cell>
        </row>
        <row r="171">
          <cell r="B171" t="b">
            <v>1</v>
          </cell>
          <cell r="E171" t="str">
            <v>Tierra Baja</v>
          </cell>
          <cell r="H171" t="str">
            <v>consulta_externa</v>
          </cell>
          <cell r="J171" t="str">
            <v>bueno</v>
          </cell>
          <cell r="K171" t="str">
            <v>defsi</v>
          </cell>
        </row>
        <row r="172">
          <cell r="B172" t="b">
            <v>1</v>
          </cell>
          <cell r="E172" t="str">
            <v>Tierra Baja</v>
          </cell>
          <cell r="H172" t="str">
            <v>laboratorio</v>
          </cell>
          <cell r="J172" t="str">
            <v>bueno</v>
          </cell>
          <cell r="K172" t="str">
            <v>defsi</v>
          </cell>
        </row>
        <row r="173">
          <cell r="B173" t="b">
            <v>1</v>
          </cell>
          <cell r="E173" t="str">
            <v>Tierra Baja</v>
          </cell>
          <cell r="H173" t="str">
            <v>laboratorio</v>
          </cell>
          <cell r="J173" t="str">
            <v>bueno</v>
          </cell>
          <cell r="K173" t="str">
            <v>defsi</v>
          </cell>
        </row>
        <row r="174">
          <cell r="B174" t="b">
            <v>1</v>
          </cell>
          <cell r="E174" t="str">
            <v>Tierra Baja</v>
          </cell>
          <cell r="H174" t="str">
            <v>consulta_externa</v>
          </cell>
          <cell r="J174" t="str">
            <v>bueno</v>
          </cell>
          <cell r="K174" t="str">
            <v>probsi</v>
          </cell>
        </row>
        <row r="175">
          <cell r="B175" t="b">
            <v>1</v>
          </cell>
          <cell r="E175" t="str">
            <v>Tierra Baja</v>
          </cell>
          <cell r="H175" t="str">
            <v>laboratorio</v>
          </cell>
          <cell r="J175" t="str">
            <v>bueno</v>
          </cell>
          <cell r="K175" t="str">
            <v>defsi</v>
          </cell>
        </row>
        <row r="176">
          <cell r="B176" t="b">
            <v>1</v>
          </cell>
          <cell r="E176" t="str">
            <v>Tierra Baja</v>
          </cell>
          <cell r="H176" t="str">
            <v>salud_oral</v>
          </cell>
          <cell r="J176" t="str">
            <v>bueno</v>
          </cell>
          <cell r="K176" t="str">
            <v>defsi</v>
          </cell>
        </row>
        <row r="177">
          <cell r="B177" t="b">
            <v>1</v>
          </cell>
          <cell r="E177" t="str">
            <v>Tierra Baja</v>
          </cell>
          <cell r="H177" t="str">
            <v>salud_oral</v>
          </cell>
          <cell r="J177" t="str">
            <v>bueno</v>
          </cell>
          <cell r="K177" t="str">
            <v>probsi</v>
          </cell>
        </row>
        <row r="178">
          <cell r="B178" t="b">
            <v>1</v>
          </cell>
          <cell r="E178" t="str">
            <v>Tierra Baja</v>
          </cell>
          <cell r="H178" t="str">
            <v>laboratorio</v>
          </cell>
          <cell r="J178" t="str">
            <v>muybueno</v>
          </cell>
          <cell r="K178" t="str">
            <v>defsi</v>
          </cell>
        </row>
        <row r="179">
          <cell r="B179" t="b">
            <v>1</v>
          </cell>
          <cell r="E179" t="str">
            <v>Tierra Baja</v>
          </cell>
          <cell r="H179" t="str">
            <v>salud_oral</v>
          </cell>
          <cell r="J179" t="str">
            <v>muybueno</v>
          </cell>
          <cell r="K179" t="str">
            <v>defsi</v>
          </cell>
        </row>
        <row r="180">
          <cell r="B180" t="b">
            <v>1</v>
          </cell>
          <cell r="E180" t="str">
            <v>San Francisco I</v>
          </cell>
          <cell r="H180" t="str">
            <v>consulta_externa</v>
          </cell>
          <cell r="J180" t="str">
            <v>bueno</v>
          </cell>
          <cell r="K180" t="str">
            <v>defsi</v>
          </cell>
        </row>
        <row r="181">
          <cell r="B181" t="b">
            <v>1</v>
          </cell>
          <cell r="E181" t="str">
            <v>San Francisco I</v>
          </cell>
          <cell r="H181" t="str">
            <v>salud_oral</v>
          </cell>
          <cell r="J181" t="str">
            <v>bueno</v>
          </cell>
          <cell r="K181" t="str">
            <v>defsi</v>
          </cell>
        </row>
        <row r="182">
          <cell r="B182" t="b">
            <v>1</v>
          </cell>
          <cell r="E182" t="str">
            <v>San Francisco I</v>
          </cell>
          <cell r="H182" t="str">
            <v>laboratorio</v>
          </cell>
          <cell r="J182" t="str">
            <v>bueno</v>
          </cell>
          <cell r="K182" t="str">
            <v>defsi</v>
          </cell>
        </row>
        <row r="183">
          <cell r="B183" t="b">
            <v>1</v>
          </cell>
          <cell r="E183" t="str">
            <v>San Francisco I</v>
          </cell>
          <cell r="H183" t="str">
            <v>consulta_externa</v>
          </cell>
          <cell r="J183" t="str">
            <v>bueno</v>
          </cell>
          <cell r="K183" t="str">
            <v>defsi</v>
          </cell>
        </row>
        <row r="184">
          <cell r="B184" t="b">
            <v>1</v>
          </cell>
          <cell r="E184" t="str">
            <v>San Francisco I</v>
          </cell>
          <cell r="H184" t="str">
            <v>salud_oral</v>
          </cell>
          <cell r="J184" t="str">
            <v>bueno</v>
          </cell>
          <cell r="K184" t="str">
            <v>defsi</v>
          </cell>
        </row>
        <row r="185">
          <cell r="B185" t="b">
            <v>1</v>
          </cell>
          <cell r="E185" t="str">
            <v>San Francisco I</v>
          </cell>
          <cell r="H185" t="str">
            <v>laboratorio</v>
          </cell>
          <cell r="J185" t="str">
            <v>bueno</v>
          </cell>
          <cell r="K185" t="str">
            <v>defsi</v>
          </cell>
        </row>
        <row r="186">
          <cell r="B186" t="b">
            <v>1</v>
          </cell>
          <cell r="E186" t="str">
            <v>San Francisco I</v>
          </cell>
          <cell r="H186" t="str">
            <v>consulta_externa</v>
          </cell>
          <cell r="J186" t="str">
            <v>bueno</v>
          </cell>
          <cell r="K186" t="str">
            <v>defsi</v>
          </cell>
        </row>
        <row r="187">
          <cell r="B187" t="b">
            <v>1</v>
          </cell>
          <cell r="E187" t="str">
            <v>San Francisco I</v>
          </cell>
          <cell r="H187" t="str">
            <v>salud_oral</v>
          </cell>
          <cell r="J187" t="str">
            <v>bueno</v>
          </cell>
          <cell r="K187" t="str">
            <v>defsi</v>
          </cell>
        </row>
        <row r="188">
          <cell r="B188" t="b">
            <v>1</v>
          </cell>
          <cell r="E188" t="str">
            <v>San Francisco I</v>
          </cell>
          <cell r="H188" t="str">
            <v>laboratorio</v>
          </cell>
          <cell r="J188" t="str">
            <v>bueno</v>
          </cell>
          <cell r="K188" t="str">
            <v>defsi</v>
          </cell>
        </row>
        <row r="189">
          <cell r="B189" t="b">
            <v>1</v>
          </cell>
          <cell r="E189" t="str">
            <v>San Francisco I</v>
          </cell>
          <cell r="H189" t="str">
            <v>consulta_externa</v>
          </cell>
          <cell r="J189" t="str">
            <v>bueno</v>
          </cell>
          <cell r="K189" t="str">
            <v>defsi</v>
          </cell>
        </row>
        <row r="190">
          <cell r="B190" t="b">
            <v>1</v>
          </cell>
          <cell r="E190" t="str">
            <v>San Francisco I</v>
          </cell>
          <cell r="H190" t="str">
            <v>salud_oral</v>
          </cell>
          <cell r="J190" t="str">
            <v>bueno</v>
          </cell>
          <cell r="K190" t="str">
            <v>defsi</v>
          </cell>
        </row>
        <row r="191">
          <cell r="B191" t="b">
            <v>1</v>
          </cell>
          <cell r="E191" t="str">
            <v>San Francisco I</v>
          </cell>
          <cell r="H191" t="str">
            <v>laboratorio</v>
          </cell>
          <cell r="J191" t="str">
            <v>bueno</v>
          </cell>
          <cell r="K191" t="str">
            <v>defsi</v>
          </cell>
        </row>
        <row r="192">
          <cell r="B192" t="b">
            <v>1</v>
          </cell>
          <cell r="E192" t="str">
            <v>Nuevo Porvenir</v>
          </cell>
          <cell r="H192" t="str">
            <v>laboratorio</v>
          </cell>
          <cell r="J192" t="str">
            <v>bueno</v>
          </cell>
          <cell r="K192" t="str">
            <v>probsi</v>
          </cell>
        </row>
        <row r="193">
          <cell r="B193" t="b">
            <v>1</v>
          </cell>
          <cell r="E193" t="str">
            <v>Nuevo Porvenir</v>
          </cell>
          <cell r="H193" t="str">
            <v>laboratorio</v>
          </cell>
          <cell r="J193" t="str">
            <v>bueno</v>
          </cell>
          <cell r="K193" t="str">
            <v>probsi</v>
          </cell>
        </row>
        <row r="194">
          <cell r="B194" t="b">
            <v>1</v>
          </cell>
          <cell r="E194" t="str">
            <v>Nuevo Porvenir</v>
          </cell>
          <cell r="H194" t="str">
            <v>laboratorio</v>
          </cell>
          <cell r="J194" t="str">
            <v>bueno</v>
          </cell>
          <cell r="K194" t="str">
            <v>probsi</v>
          </cell>
        </row>
        <row r="195">
          <cell r="B195" t="b">
            <v>1</v>
          </cell>
          <cell r="E195" t="str">
            <v>Nuevo Porvenir</v>
          </cell>
          <cell r="H195" t="str">
            <v>laboratorio</v>
          </cell>
          <cell r="J195" t="str">
            <v>bueno</v>
          </cell>
          <cell r="K195" t="str">
            <v>probsi</v>
          </cell>
        </row>
        <row r="196">
          <cell r="B196" t="b">
            <v>1</v>
          </cell>
          <cell r="E196" t="str">
            <v>Fredonia</v>
          </cell>
          <cell r="H196" t="str">
            <v>laboratorio</v>
          </cell>
          <cell r="J196" t="str">
            <v>bueno</v>
          </cell>
          <cell r="K196" t="str">
            <v>probsi</v>
          </cell>
        </row>
        <row r="197">
          <cell r="B197" t="b">
            <v>1</v>
          </cell>
          <cell r="E197" t="str">
            <v>Fredonia</v>
          </cell>
          <cell r="H197" t="str">
            <v>laboratorio</v>
          </cell>
          <cell r="J197" t="str">
            <v>bueno</v>
          </cell>
          <cell r="K197" t="str">
            <v>probsi</v>
          </cell>
        </row>
        <row r="198">
          <cell r="B198" t="b">
            <v>1</v>
          </cell>
          <cell r="E198" t="str">
            <v>Fredonia</v>
          </cell>
          <cell r="H198" t="str">
            <v>salud_oral</v>
          </cell>
          <cell r="J198" t="str">
            <v>bueno</v>
          </cell>
          <cell r="K198" t="str">
            <v>probsi</v>
          </cell>
        </row>
        <row r="199">
          <cell r="B199" t="b">
            <v>1</v>
          </cell>
          <cell r="E199" t="str">
            <v>Fredonia</v>
          </cell>
          <cell r="H199" t="str">
            <v>salud_oral</v>
          </cell>
          <cell r="J199" t="str">
            <v>bueno</v>
          </cell>
          <cell r="K199" t="str">
            <v>probsi</v>
          </cell>
        </row>
        <row r="200">
          <cell r="B200" t="b">
            <v>1</v>
          </cell>
          <cell r="E200" t="str">
            <v>Nuevo Porvenir</v>
          </cell>
          <cell r="H200" t="str">
            <v>salud_oral</v>
          </cell>
          <cell r="J200" t="str">
            <v>bueno</v>
          </cell>
          <cell r="K200" t="str">
            <v>probsi</v>
          </cell>
        </row>
        <row r="201">
          <cell r="B201" t="b">
            <v>1</v>
          </cell>
          <cell r="E201" t="str">
            <v>Nuevo Porvenir</v>
          </cell>
          <cell r="H201" t="str">
            <v>salud_oral</v>
          </cell>
          <cell r="J201" t="str">
            <v>bueno</v>
          </cell>
          <cell r="K201" t="str">
            <v>probsi</v>
          </cell>
        </row>
        <row r="202">
          <cell r="B202" t="b">
            <v>1</v>
          </cell>
          <cell r="E202" t="str">
            <v>Nuevo Porvenir</v>
          </cell>
          <cell r="H202" t="str">
            <v>salud_oral</v>
          </cell>
          <cell r="J202" t="str">
            <v>bueno</v>
          </cell>
          <cell r="K202" t="str">
            <v>probsi</v>
          </cell>
        </row>
        <row r="203">
          <cell r="B203" t="b">
            <v>1</v>
          </cell>
          <cell r="E203" t="str">
            <v>Nuevo Porvenir</v>
          </cell>
          <cell r="H203" t="str">
            <v>salud_oral</v>
          </cell>
          <cell r="J203" t="str">
            <v>bueno</v>
          </cell>
          <cell r="K203" t="str">
            <v>probsi</v>
          </cell>
        </row>
        <row r="204">
          <cell r="B204" t="b">
            <v>1</v>
          </cell>
          <cell r="E204" t="str">
            <v>Isla del Rosario</v>
          </cell>
          <cell r="H204" t="str">
            <v>consulta_externa</v>
          </cell>
          <cell r="J204" t="str">
            <v>muybueno</v>
          </cell>
          <cell r="K204" t="str">
            <v>defsi</v>
          </cell>
        </row>
        <row r="205">
          <cell r="B205" t="b">
            <v>1</v>
          </cell>
          <cell r="E205" t="str">
            <v>Isla del Rosario</v>
          </cell>
          <cell r="H205" t="str">
            <v>consulta_externa</v>
          </cell>
          <cell r="J205" t="str">
            <v>muybueno</v>
          </cell>
          <cell r="K205" t="str">
            <v>defsi</v>
          </cell>
        </row>
        <row r="206">
          <cell r="B206" t="b">
            <v>1</v>
          </cell>
          <cell r="E206" t="str">
            <v>Isla del Rosario</v>
          </cell>
          <cell r="H206" t="str">
            <v>laboratorio</v>
          </cell>
          <cell r="J206" t="str">
            <v>muybueno</v>
          </cell>
          <cell r="K206" t="str">
            <v>defsi</v>
          </cell>
        </row>
        <row r="207">
          <cell r="B207" t="b">
            <v>1</v>
          </cell>
          <cell r="E207" t="str">
            <v>Bocachica</v>
          </cell>
          <cell r="H207" t="str">
            <v>consulta_externa</v>
          </cell>
          <cell r="J207" t="str">
            <v>bueno</v>
          </cell>
          <cell r="K207" t="str">
            <v>defsi</v>
          </cell>
        </row>
        <row r="208">
          <cell r="B208" t="b">
            <v>1</v>
          </cell>
          <cell r="E208" t="str">
            <v>Bocachica</v>
          </cell>
          <cell r="H208" t="str">
            <v>laboratorio</v>
          </cell>
          <cell r="J208" t="str">
            <v>bueno</v>
          </cell>
          <cell r="K208" t="str">
            <v>defsi</v>
          </cell>
        </row>
        <row r="209">
          <cell r="B209" t="b">
            <v>1</v>
          </cell>
          <cell r="E209" t="str">
            <v>Bocachica</v>
          </cell>
          <cell r="H209" t="str">
            <v>consulta_externa</v>
          </cell>
          <cell r="J209" t="str">
            <v>bueno</v>
          </cell>
          <cell r="K209" t="str">
            <v>defsi</v>
          </cell>
        </row>
        <row r="210">
          <cell r="B210" t="b">
            <v>1</v>
          </cell>
          <cell r="E210" t="str">
            <v>Bicentenario</v>
          </cell>
          <cell r="H210" t="str">
            <v>laboratorio</v>
          </cell>
          <cell r="J210" t="str">
            <v>bueno</v>
          </cell>
          <cell r="K210" t="str">
            <v>probsi</v>
          </cell>
        </row>
        <row r="211">
          <cell r="B211" t="b">
            <v>1</v>
          </cell>
          <cell r="E211" t="str">
            <v>Bicentenario</v>
          </cell>
          <cell r="H211" t="str">
            <v>laboratorio</v>
          </cell>
          <cell r="J211" t="str">
            <v>bueno</v>
          </cell>
          <cell r="K211" t="str">
            <v>probsi</v>
          </cell>
        </row>
        <row r="212">
          <cell r="B212" t="b">
            <v>1</v>
          </cell>
          <cell r="E212" t="str">
            <v>Bicentenario</v>
          </cell>
          <cell r="H212" t="str">
            <v>laboratorio</v>
          </cell>
          <cell r="J212" t="str">
            <v>bueno</v>
          </cell>
          <cell r="K212" t="str">
            <v>probsi</v>
          </cell>
        </row>
        <row r="213">
          <cell r="B213" t="b">
            <v>0</v>
          </cell>
          <cell r="E213" t="str">
            <v>Bicentenario</v>
          </cell>
          <cell r="H213" t="str">
            <v>laboratorio</v>
          </cell>
          <cell r="J213" t="str">
            <v>regular</v>
          </cell>
          <cell r="K213" t="str">
            <v>probsi</v>
          </cell>
        </row>
        <row r="214">
          <cell r="B214" t="b">
            <v>1</v>
          </cell>
          <cell r="E214" t="str">
            <v>Bosque</v>
          </cell>
          <cell r="H214" t="str">
            <v>consulta_externa</v>
          </cell>
          <cell r="J214" t="str">
            <v>bueno</v>
          </cell>
          <cell r="K214" t="str">
            <v>defsi</v>
          </cell>
        </row>
        <row r="215">
          <cell r="B215" t="b">
            <v>1</v>
          </cell>
          <cell r="E215" t="str">
            <v>Bocachica</v>
          </cell>
          <cell r="H215" t="str">
            <v>urgencia</v>
          </cell>
          <cell r="J215" t="str">
            <v>bueno</v>
          </cell>
          <cell r="K215" t="str">
            <v>probsi</v>
          </cell>
        </row>
        <row r="216">
          <cell r="B216" t="b">
            <v>1</v>
          </cell>
          <cell r="E216" t="str">
            <v>Bosque</v>
          </cell>
          <cell r="H216" t="str">
            <v>salud_oral</v>
          </cell>
          <cell r="J216" t="str">
            <v>bueno</v>
          </cell>
          <cell r="K216" t="str">
            <v>defsi</v>
          </cell>
        </row>
        <row r="217">
          <cell r="B217" t="b">
            <v>1</v>
          </cell>
          <cell r="E217" t="str">
            <v>Bosque</v>
          </cell>
          <cell r="H217" t="str">
            <v>laboratorio</v>
          </cell>
          <cell r="J217" t="str">
            <v>bueno</v>
          </cell>
          <cell r="K217" t="str">
            <v>defsi</v>
          </cell>
        </row>
        <row r="218">
          <cell r="B218" t="b">
            <v>1</v>
          </cell>
          <cell r="E218" t="str">
            <v>Bosque</v>
          </cell>
          <cell r="H218" t="str">
            <v>consulta_externa</v>
          </cell>
          <cell r="J218" t="str">
            <v>bueno</v>
          </cell>
          <cell r="K218" t="str">
            <v>defsi</v>
          </cell>
        </row>
        <row r="219">
          <cell r="B219" t="b">
            <v>1</v>
          </cell>
          <cell r="E219" t="str">
            <v>Bosque</v>
          </cell>
          <cell r="H219" t="str">
            <v>salud_oral</v>
          </cell>
          <cell r="J219" t="str">
            <v>bueno</v>
          </cell>
          <cell r="K219" t="str">
            <v>defsi</v>
          </cell>
        </row>
        <row r="220">
          <cell r="B220" t="b">
            <v>1</v>
          </cell>
          <cell r="E220" t="str">
            <v>Bosque</v>
          </cell>
          <cell r="H220" t="str">
            <v>laboratorio</v>
          </cell>
          <cell r="J220" t="str">
            <v>bueno</v>
          </cell>
          <cell r="K220" t="str">
            <v>defsi</v>
          </cell>
        </row>
        <row r="221">
          <cell r="B221" t="b">
            <v>1</v>
          </cell>
          <cell r="E221" t="str">
            <v>Isla del Rosario</v>
          </cell>
          <cell r="H221" t="str">
            <v>salud_oral</v>
          </cell>
          <cell r="J221" t="str">
            <v>muybueno</v>
          </cell>
          <cell r="K221" t="str">
            <v>defsi</v>
          </cell>
        </row>
        <row r="222">
          <cell r="B222" t="b">
            <v>1</v>
          </cell>
          <cell r="E222" t="str">
            <v>Bocachica</v>
          </cell>
          <cell r="H222" t="str">
            <v>consulta_externa</v>
          </cell>
          <cell r="J222" t="str">
            <v>bueno</v>
          </cell>
          <cell r="K222" t="str">
            <v>defsi</v>
          </cell>
        </row>
        <row r="223">
          <cell r="B223" t="b">
            <v>1</v>
          </cell>
          <cell r="E223" t="str">
            <v>Bocachica</v>
          </cell>
          <cell r="H223" t="str">
            <v>consulta_externa</v>
          </cell>
          <cell r="J223" t="str">
            <v>bueno</v>
          </cell>
          <cell r="K223" t="str">
            <v>defsi</v>
          </cell>
        </row>
        <row r="224">
          <cell r="B224" t="b">
            <v>1</v>
          </cell>
          <cell r="E224" t="str">
            <v>Bocachica</v>
          </cell>
          <cell r="H224" t="str">
            <v>consulta_externa</v>
          </cell>
          <cell r="J224" t="str">
            <v>bueno</v>
          </cell>
          <cell r="K224" t="str">
            <v>defsi</v>
          </cell>
        </row>
        <row r="225">
          <cell r="B225" t="b">
            <v>1</v>
          </cell>
          <cell r="E225" t="str">
            <v>Bocachica</v>
          </cell>
          <cell r="H225" t="str">
            <v>urgencia</v>
          </cell>
          <cell r="J225" t="str">
            <v>bueno</v>
          </cell>
          <cell r="K225" t="str">
            <v>probsi</v>
          </cell>
        </row>
        <row r="226">
          <cell r="B226" t="b">
            <v>1</v>
          </cell>
          <cell r="E226" t="str">
            <v>Isla del Rosario</v>
          </cell>
          <cell r="H226" t="str">
            <v>laboratorio</v>
          </cell>
          <cell r="J226" t="str">
            <v>muybueno</v>
          </cell>
          <cell r="K226" t="str">
            <v>defsi</v>
          </cell>
        </row>
        <row r="227">
          <cell r="B227" t="b">
            <v>1</v>
          </cell>
          <cell r="E227" t="str">
            <v>Bocachica</v>
          </cell>
          <cell r="H227" t="str">
            <v>consulta_externa</v>
          </cell>
          <cell r="J227" t="str">
            <v>bueno</v>
          </cell>
          <cell r="K227" t="str">
            <v>defsi</v>
          </cell>
        </row>
        <row r="228">
          <cell r="B228" t="b">
            <v>1</v>
          </cell>
          <cell r="E228" t="str">
            <v>Bocachica</v>
          </cell>
          <cell r="H228" t="str">
            <v>laboratorio</v>
          </cell>
          <cell r="J228" t="str">
            <v>bueno</v>
          </cell>
          <cell r="K228" t="str">
            <v>defsi</v>
          </cell>
        </row>
        <row r="229">
          <cell r="B229" t="b">
            <v>1</v>
          </cell>
          <cell r="E229" t="str">
            <v>Bocachica</v>
          </cell>
          <cell r="H229" t="str">
            <v>urgencia</v>
          </cell>
          <cell r="J229" t="str">
            <v>bueno</v>
          </cell>
          <cell r="K229" t="str">
            <v>defsi</v>
          </cell>
        </row>
        <row r="230">
          <cell r="B230" t="b">
            <v>1</v>
          </cell>
          <cell r="E230" t="str">
            <v>Bocachica</v>
          </cell>
          <cell r="H230" t="str">
            <v>salud_oral</v>
          </cell>
          <cell r="J230" t="str">
            <v>bueno</v>
          </cell>
          <cell r="K230" t="str">
            <v>defsi</v>
          </cell>
        </row>
        <row r="231">
          <cell r="B231" t="b">
            <v>1</v>
          </cell>
          <cell r="E231" t="str">
            <v>Bocachica</v>
          </cell>
          <cell r="H231" t="str">
            <v>consulta_externa</v>
          </cell>
          <cell r="J231" t="str">
            <v>bueno</v>
          </cell>
          <cell r="K231" t="str">
            <v>defsi</v>
          </cell>
        </row>
        <row r="232">
          <cell r="B232" t="b">
            <v>1</v>
          </cell>
          <cell r="E232" t="str">
            <v>Bocachica</v>
          </cell>
          <cell r="H232" t="str">
            <v>salud_oral</v>
          </cell>
          <cell r="J232" t="str">
            <v>bueno</v>
          </cell>
          <cell r="K232" t="str">
            <v>defsi</v>
          </cell>
        </row>
        <row r="233">
          <cell r="B233" t="b">
            <v>1</v>
          </cell>
          <cell r="E233" t="str">
            <v>Bosque</v>
          </cell>
          <cell r="H233" t="str">
            <v>consulta_externa</v>
          </cell>
          <cell r="J233" t="str">
            <v>bueno</v>
          </cell>
          <cell r="K233" t="str">
            <v>defsi</v>
          </cell>
        </row>
        <row r="234">
          <cell r="B234" t="b">
            <v>1</v>
          </cell>
          <cell r="E234" t="str">
            <v>Bosque</v>
          </cell>
          <cell r="H234" t="str">
            <v>salud_oral</v>
          </cell>
          <cell r="J234" t="str">
            <v>bueno</v>
          </cell>
          <cell r="K234" t="str">
            <v>defsi</v>
          </cell>
        </row>
        <row r="235">
          <cell r="B235" t="b">
            <v>1</v>
          </cell>
          <cell r="E235" t="str">
            <v>Bosque</v>
          </cell>
          <cell r="H235" t="str">
            <v>laboratorio</v>
          </cell>
          <cell r="J235" t="str">
            <v>bueno</v>
          </cell>
          <cell r="K235" t="str">
            <v>defsi</v>
          </cell>
        </row>
        <row r="236">
          <cell r="B236" t="b">
            <v>1</v>
          </cell>
          <cell r="E236" t="str">
            <v>Bosque</v>
          </cell>
          <cell r="H236" t="str">
            <v>consulta_externa</v>
          </cell>
          <cell r="J236" t="str">
            <v>bueno</v>
          </cell>
          <cell r="K236" t="str">
            <v>defsi</v>
          </cell>
        </row>
        <row r="237">
          <cell r="B237" t="b">
            <v>1</v>
          </cell>
          <cell r="E237" t="str">
            <v>Bosque</v>
          </cell>
          <cell r="H237" t="str">
            <v>salud_oral</v>
          </cell>
          <cell r="J237" t="str">
            <v>bueno</v>
          </cell>
          <cell r="K237" t="str">
            <v>defsi</v>
          </cell>
        </row>
        <row r="238">
          <cell r="B238" t="b">
            <v>1</v>
          </cell>
          <cell r="E238" t="str">
            <v>Bosque</v>
          </cell>
          <cell r="H238" t="str">
            <v>laboratorio</v>
          </cell>
          <cell r="J238" t="str">
            <v>bueno</v>
          </cell>
          <cell r="K238" t="str">
            <v>defsi</v>
          </cell>
        </row>
        <row r="239">
          <cell r="B239" t="b">
            <v>1</v>
          </cell>
          <cell r="E239" t="str">
            <v>Isla del Rosario</v>
          </cell>
          <cell r="H239" t="str">
            <v>consulta_externa</v>
          </cell>
          <cell r="J239" t="str">
            <v>muybueno</v>
          </cell>
          <cell r="K239" t="str">
            <v>defsi</v>
          </cell>
        </row>
        <row r="240">
          <cell r="B240" t="b">
            <v>1</v>
          </cell>
          <cell r="E240" t="str">
            <v>Isla del Rosario</v>
          </cell>
          <cell r="H240" t="str">
            <v>laboratorio</v>
          </cell>
          <cell r="J240" t="str">
            <v>muybueno</v>
          </cell>
          <cell r="K240" t="str">
            <v>defsi</v>
          </cell>
        </row>
        <row r="241">
          <cell r="B241" t="b">
            <v>1</v>
          </cell>
          <cell r="E241" t="str">
            <v>Bosque</v>
          </cell>
          <cell r="H241" t="str">
            <v>consulta_externa</v>
          </cell>
          <cell r="J241" t="str">
            <v>bueno</v>
          </cell>
          <cell r="K241" t="str">
            <v>defsi</v>
          </cell>
        </row>
        <row r="242">
          <cell r="B242" t="b">
            <v>1</v>
          </cell>
          <cell r="E242" t="str">
            <v>Bosque</v>
          </cell>
          <cell r="H242" t="str">
            <v>salud_oral</v>
          </cell>
          <cell r="J242" t="str">
            <v>bueno</v>
          </cell>
          <cell r="K242" t="str">
            <v>defsi</v>
          </cell>
        </row>
        <row r="243">
          <cell r="B243" t="b">
            <v>1</v>
          </cell>
          <cell r="E243" t="str">
            <v>Bosque</v>
          </cell>
          <cell r="H243" t="str">
            <v>laboratorio</v>
          </cell>
          <cell r="J243" t="str">
            <v>bueno</v>
          </cell>
          <cell r="K243" t="str">
            <v>defsi</v>
          </cell>
        </row>
        <row r="244">
          <cell r="B244" t="b">
            <v>1</v>
          </cell>
          <cell r="E244" t="str">
            <v>Bosque</v>
          </cell>
          <cell r="H244" t="str">
            <v>consulta_externa</v>
          </cell>
          <cell r="J244" t="str">
            <v>bueno</v>
          </cell>
          <cell r="K244" t="str">
            <v>defsi</v>
          </cell>
        </row>
        <row r="245">
          <cell r="B245" t="b">
            <v>1</v>
          </cell>
          <cell r="E245" t="str">
            <v>Bosque</v>
          </cell>
          <cell r="H245" t="str">
            <v>salud_oral</v>
          </cell>
          <cell r="J245" t="str">
            <v>bueno</v>
          </cell>
          <cell r="K245" t="str">
            <v>defsi</v>
          </cell>
        </row>
        <row r="246">
          <cell r="B246" t="b">
            <v>1</v>
          </cell>
          <cell r="E246" t="str">
            <v>Bicentenario</v>
          </cell>
          <cell r="H246" t="str">
            <v>consulta_externa</v>
          </cell>
          <cell r="J246" t="str">
            <v>bueno</v>
          </cell>
          <cell r="K246" t="str">
            <v>probsi</v>
          </cell>
        </row>
        <row r="247">
          <cell r="B247" t="b">
            <v>1</v>
          </cell>
          <cell r="E247" t="str">
            <v>Bosque</v>
          </cell>
          <cell r="H247" t="str">
            <v>laboratorio</v>
          </cell>
          <cell r="J247" t="str">
            <v>bueno</v>
          </cell>
          <cell r="K247" t="str">
            <v>defsi</v>
          </cell>
        </row>
        <row r="248">
          <cell r="B248" t="b">
            <v>1</v>
          </cell>
          <cell r="E248" t="str">
            <v>Bicentenario</v>
          </cell>
          <cell r="H248" t="str">
            <v>consulta_externa</v>
          </cell>
          <cell r="J248" t="str">
            <v>bueno</v>
          </cell>
          <cell r="K248" t="str">
            <v>probsi</v>
          </cell>
        </row>
        <row r="249">
          <cell r="B249" t="b">
            <v>1</v>
          </cell>
          <cell r="E249" t="str">
            <v>Bosque</v>
          </cell>
          <cell r="H249" t="str">
            <v>consulta_externa</v>
          </cell>
          <cell r="J249" t="str">
            <v>bueno</v>
          </cell>
          <cell r="K249" t="str">
            <v>defsi</v>
          </cell>
        </row>
        <row r="250">
          <cell r="B250" t="b">
            <v>0</v>
          </cell>
          <cell r="E250" t="str">
            <v>Bicentenario</v>
          </cell>
          <cell r="H250" t="str">
            <v>consulta_externa</v>
          </cell>
          <cell r="J250" t="str">
            <v>regular</v>
          </cell>
          <cell r="K250" t="str">
            <v>probsi</v>
          </cell>
        </row>
        <row r="251">
          <cell r="B251" t="b">
            <v>1</v>
          </cell>
          <cell r="E251" t="str">
            <v>Bosque</v>
          </cell>
          <cell r="H251" t="str">
            <v>salud_oral</v>
          </cell>
          <cell r="J251" t="str">
            <v>bueno</v>
          </cell>
          <cell r="K251" t="str">
            <v>defsi</v>
          </cell>
        </row>
        <row r="252">
          <cell r="B252" t="b">
            <v>1</v>
          </cell>
          <cell r="E252" t="str">
            <v>Bosque</v>
          </cell>
          <cell r="H252" t="str">
            <v>laboratorio</v>
          </cell>
          <cell r="J252" t="str">
            <v>bueno</v>
          </cell>
          <cell r="K252" t="str">
            <v>defsi</v>
          </cell>
        </row>
        <row r="253">
          <cell r="B253" t="b">
            <v>1</v>
          </cell>
          <cell r="E253" t="str">
            <v>Bicentenario</v>
          </cell>
          <cell r="H253" t="str">
            <v>consulta_externa</v>
          </cell>
          <cell r="J253" t="str">
            <v>bueno</v>
          </cell>
          <cell r="K253" t="str">
            <v>probsi</v>
          </cell>
        </row>
        <row r="254">
          <cell r="B254" t="b">
            <v>1</v>
          </cell>
          <cell r="E254" t="str">
            <v>Bicentenario</v>
          </cell>
          <cell r="H254" t="str">
            <v>laboratorio</v>
          </cell>
          <cell r="J254" t="str">
            <v>bueno</v>
          </cell>
          <cell r="K254" t="str">
            <v>probsi</v>
          </cell>
        </row>
        <row r="255">
          <cell r="B255" t="b">
            <v>1</v>
          </cell>
          <cell r="E255" t="str">
            <v>Bicentenario</v>
          </cell>
          <cell r="H255" t="str">
            <v>consulta_externa</v>
          </cell>
          <cell r="J255" t="str">
            <v>bueno</v>
          </cell>
          <cell r="K255" t="str">
            <v>probsi</v>
          </cell>
        </row>
        <row r="256">
          <cell r="B256" t="b">
            <v>1</v>
          </cell>
          <cell r="E256" t="str">
            <v>Bicentenario</v>
          </cell>
          <cell r="H256" t="str">
            <v>consulta_externa</v>
          </cell>
          <cell r="J256" t="str">
            <v>bueno</v>
          </cell>
          <cell r="K256" t="str">
            <v>probsi</v>
          </cell>
        </row>
        <row r="257">
          <cell r="B257" t="b">
            <v>1</v>
          </cell>
          <cell r="E257" t="str">
            <v>Bicentenario</v>
          </cell>
          <cell r="H257" t="str">
            <v>salud_oral</v>
          </cell>
          <cell r="J257" t="str">
            <v>bueno</v>
          </cell>
          <cell r="K257" t="str">
            <v>probsi</v>
          </cell>
        </row>
        <row r="258">
          <cell r="B258" t="b">
            <v>1</v>
          </cell>
          <cell r="E258" t="str">
            <v>Bicentenario</v>
          </cell>
          <cell r="H258" t="str">
            <v>urgencia</v>
          </cell>
          <cell r="J258" t="str">
            <v>bueno</v>
          </cell>
          <cell r="K258" t="str">
            <v>probsi</v>
          </cell>
        </row>
        <row r="259">
          <cell r="B259" t="b">
            <v>1</v>
          </cell>
          <cell r="E259" t="str">
            <v>Bicentenario</v>
          </cell>
          <cell r="H259" t="str">
            <v>consulta_externa</v>
          </cell>
          <cell r="J259" t="str">
            <v>bueno</v>
          </cell>
          <cell r="K259" t="str">
            <v>probsi</v>
          </cell>
        </row>
        <row r="260">
          <cell r="B260" t="b">
            <v>1</v>
          </cell>
          <cell r="E260" t="str">
            <v>Bicentenario</v>
          </cell>
          <cell r="H260" t="str">
            <v>laboratorio</v>
          </cell>
          <cell r="J260" t="str">
            <v>bueno</v>
          </cell>
          <cell r="K260" t="str">
            <v>probsi</v>
          </cell>
        </row>
        <row r="261">
          <cell r="B261" t="b">
            <v>1</v>
          </cell>
          <cell r="E261" t="str">
            <v>Bicentenario</v>
          </cell>
          <cell r="H261" t="str">
            <v>consulta_externa</v>
          </cell>
          <cell r="J261" t="str">
            <v>bueno</v>
          </cell>
          <cell r="K261" t="str">
            <v>probsi</v>
          </cell>
        </row>
        <row r="262">
          <cell r="B262" t="b">
            <v>1</v>
          </cell>
          <cell r="E262" t="str">
            <v>Bicentenario</v>
          </cell>
          <cell r="H262" t="str">
            <v>salud_oral</v>
          </cell>
          <cell r="J262" t="str">
            <v>bueno</v>
          </cell>
          <cell r="K262" t="str">
            <v>probsi</v>
          </cell>
        </row>
        <row r="263">
          <cell r="B263" t="b">
            <v>1</v>
          </cell>
          <cell r="E263" t="str">
            <v>Bicentenario</v>
          </cell>
          <cell r="H263" t="str">
            <v>laboratorio</v>
          </cell>
          <cell r="J263" t="str">
            <v>bueno</v>
          </cell>
          <cell r="K263" t="str">
            <v>probsi</v>
          </cell>
        </row>
        <row r="264">
          <cell r="B264" t="b">
            <v>1</v>
          </cell>
          <cell r="E264" t="str">
            <v>Bicentenario</v>
          </cell>
          <cell r="H264" t="str">
            <v>salud_oral</v>
          </cell>
          <cell r="J264" t="str">
            <v>bueno</v>
          </cell>
          <cell r="K264" t="str">
            <v>probsi</v>
          </cell>
        </row>
        <row r="265">
          <cell r="B265" t="b">
            <v>1</v>
          </cell>
          <cell r="E265" t="str">
            <v>Bicentenario</v>
          </cell>
          <cell r="H265" t="str">
            <v>consulta_externa</v>
          </cell>
          <cell r="J265" t="str">
            <v>bueno</v>
          </cell>
          <cell r="K265" t="str">
            <v>probsi</v>
          </cell>
        </row>
        <row r="266">
          <cell r="B266" t="b">
            <v>1</v>
          </cell>
          <cell r="E266" t="str">
            <v>Bicentenario</v>
          </cell>
          <cell r="H266" t="str">
            <v>salud_oral</v>
          </cell>
          <cell r="J266" t="str">
            <v>bueno</v>
          </cell>
          <cell r="K266" t="str">
            <v>probsi</v>
          </cell>
        </row>
        <row r="267">
          <cell r="B267" t="b">
            <v>1</v>
          </cell>
          <cell r="E267" t="str">
            <v>Bicentenario</v>
          </cell>
          <cell r="H267" t="str">
            <v>laboratorio</v>
          </cell>
          <cell r="J267" t="str">
            <v>bueno</v>
          </cell>
          <cell r="K267" t="str">
            <v>probsi</v>
          </cell>
        </row>
        <row r="268">
          <cell r="B268" t="b">
            <v>1</v>
          </cell>
          <cell r="E268" t="str">
            <v>Bocachica</v>
          </cell>
          <cell r="H268" t="str">
            <v>salud_oral</v>
          </cell>
          <cell r="J268" t="str">
            <v>bueno</v>
          </cell>
          <cell r="K268" t="str">
            <v>defsi</v>
          </cell>
        </row>
        <row r="269">
          <cell r="B269" t="b">
            <v>1</v>
          </cell>
          <cell r="E269" t="str">
            <v>Bicentenario</v>
          </cell>
          <cell r="H269" t="str">
            <v>consulta_externa</v>
          </cell>
          <cell r="J269" t="str">
            <v>bueno</v>
          </cell>
          <cell r="K269" t="str">
            <v>probsi</v>
          </cell>
        </row>
        <row r="270">
          <cell r="B270" t="b">
            <v>1</v>
          </cell>
          <cell r="E270" t="str">
            <v>Bocachica</v>
          </cell>
          <cell r="H270" t="str">
            <v>urgencia</v>
          </cell>
          <cell r="J270" t="str">
            <v>bueno</v>
          </cell>
          <cell r="K270" t="str">
            <v>defsi</v>
          </cell>
        </row>
        <row r="271">
          <cell r="B271" t="b">
            <v>1</v>
          </cell>
          <cell r="E271" t="str">
            <v>Bocachica</v>
          </cell>
          <cell r="H271" t="str">
            <v>urgencia</v>
          </cell>
          <cell r="J271" t="str">
            <v>bueno</v>
          </cell>
          <cell r="K271" t="str">
            <v>defsi</v>
          </cell>
        </row>
        <row r="272">
          <cell r="B272" t="b">
            <v>1</v>
          </cell>
          <cell r="E272" t="str">
            <v>Bosque</v>
          </cell>
          <cell r="H272" t="str">
            <v>consulta_externa</v>
          </cell>
          <cell r="J272" t="str">
            <v>bueno</v>
          </cell>
          <cell r="K272" t="str">
            <v>defsi</v>
          </cell>
        </row>
        <row r="273">
          <cell r="B273" t="b">
            <v>1</v>
          </cell>
          <cell r="E273" t="str">
            <v>Bosque</v>
          </cell>
          <cell r="H273" t="str">
            <v>salud_oral</v>
          </cell>
          <cell r="J273" t="str">
            <v>bueno</v>
          </cell>
          <cell r="K273" t="str">
            <v>defsi</v>
          </cell>
        </row>
        <row r="274">
          <cell r="B274" t="b">
            <v>1</v>
          </cell>
          <cell r="E274" t="str">
            <v>Bosque</v>
          </cell>
          <cell r="H274" t="str">
            <v>laboratorio</v>
          </cell>
          <cell r="J274" t="str">
            <v>bueno</v>
          </cell>
          <cell r="K274" t="str">
            <v>defsi</v>
          </cell>
        </row>
        <row r="275">
          <cell r="B275" t="b">
            <v>1</v>
          </cell>
          <cell r="E275" t="str">
            <v>Bosque</v>
          </cell>
          <cell r="H275" t="str">
            <v>laboratorio</v>
          </cell>
          <cell r="J275" t="str">
            <v>bueno</v>
          </cell>
          <cell r="K275" t="str">
            <v>defsi</v>
          </cell>
        </row>
        <row r="276">
          <cell r="B276" t="b">
            <v>1</v>
          </cell>
          <cell r="E276" t="str">
            <v>Bosque</v>
          </cell>
          <cell r="H276" t="str">
            <v>consulta_externa</v>
          </cell>
          <cell r="J276" t="str">
            <v>bueno</v>
          </cell>
          <cell r="K276" t="str">
            <v>defsi</v>
          </cell>
        </row>
        <row r="277">
          <cell r="B277" t="b">
            <v>1</v>
          </cell>
          <cell r="E277" t="str">
            <v>Bicentenario</v>
          </cell>
          <cell r="H277" t="str">
            <v>consulta_externa</v>
          </cell>
          <cell r="J277" t="str">
            <v>bueno</v>
          </cell>
          <cell r="K277" t="str">
            <v>probsi</v>
          </cell>
        </row>
        <row r="278">
          <cell r="B278" t="b">
            <v>1</v>
          </cell>
          <cell r="E278" t="str">
            <v>Bosque</v>
          </cell>
          <cell r="H278" t="str">
            <v>salud_oral</v>
          </cell>
          <cell r="J278" t="str">
            <v>bueno</v>
          </cell>
          <cell r="K278" t="str">
            <v>defsi</v>
          </cell>
        </row>
        <row r="279">
          <cell r="B279" t="b">
            <v>1</v>
          </cell>
          <cell r="E279" t="str">
            <v>Bicentenario</v>
          </cell>
          <cell r="H279" t="str">
            <v>rx</v>
          </cell>
          <cell r="J279" t="str">
            <v>bueno</v>
          </cell>
          <cell r="K279" t="str">
            <v>probsi</v>
          </cell>
        </row>
        <row r="280">
          <cell r="B280" t="b">
            <v>1</v>
          </cell>
          <cell r="E280" t="str">
            <v>Bicentenario</v>
          </cell>
          <cell r="H280" t="str">
            <v>rx</v>
          </cell>
          <cell r="J280" t="str">
            <v>bueno</v>
          </cell>
          <cell r="K280" t="str">
            <v>probsi</v>
          </cell>
        </row>
        <row r="281">
          <cell r="B281" t="b">
            <v>1</v>
          </cell>
          <cell r="E281" t="str">
            <v>Bosque</v>
          </cell>
          <cell r="H281" t="str">
            <v>consulta_externa</v>
          </cell>
          <cell r="J281" t="str">
            <v>bueno</v>
          </cell>
          <cell r="K281" t="str">
            <v>defsi</v>
          </cell>
        </row>
        <row r="282">
          <cell r="B282" t="b">
            <v>1</v>
          </cell>
          <cell r="E282" t="str">
            <v>Bicentenario</v>
          </cell>
          <cell r="H282" t="str">
            <v>rx</v>
          </cell>
          <cell r="J282" t="str">
            <v>bueno</v>
          </cell>
          <cell r="K282" t="str">
            <v>probsi</v>
          </cell>
        </row>
        <row r="283">
          <cell r="B283" t="b">
            <v>1</v>
          </cell>
          <cell r="E283" t="str">
            <v>Bicentenario</v>
          </cell>
          <cell r="H283" t="str">
            <v>rx</v>
          </cell>
          <cell r="J283" t="str">
            <v>bueno</v>
          </cell>
          <cell r="K283" t="str">
            <v>probsi</v>
          </cell>
        </row>
        <row r="284">
          <cell r="B284" t="b">
            <v>1</v>
          </cell>
          <cell r="E284" t="str">
            <v>Bosque</v>
          </cell>
          <cell r="H284" t="str">
            <v>salud_oral</v>
          </cell>
          <cell r="J284" t="str">
            <v>bueno</v>
          </cell>
          <cell r="K284" t="str">
            <v>defsi</v>
          </cell>
        </row>
        <row r="285">
          <cell r="B285" t="b">
            <v>1</v>
          </cell>
          <cell r="E285" t="str">
            <v>Bosque</v>
          </cell>
          <cell r="H285" t="str">
            <v>laboratorio</v>
          </cell>
          <cell r="J285" t="str">
            <v>bueno</v>
          </cell>
          <cell r="K285" t="str">
            <v>defsi</v>
          </cell>
        </row>
        <row r="286">
          <cell r="B286" t="b">
            <v>1</v>
          </cell>
          <cell r="E286" t="str">
            <v>Bocachica</v>
          </cell>
          <cell r="H286" t="str">
            <v>consulta_externa</v>
          </cell>
          <cell r="J286" t="str">
            <v>bueno</v>
          </cell>
          <cell r="K286" t="str">
            <v>probsi</v>
          </cell>
        </row>
        <row r="287">
          <cell r="B287" t="b">
            <v>1</v>
          </cell>
          <cell r="E287" t="str">
            <v>Bocachica</v>
          </cell>
          <cell r="H287" t="str">
            <v>salud_oral</v>
          </cell>
          <cell r="J287" t="str">
            <v>bueno</v>
          </cell>
          <cell r="K287" t="str">
            <v>probsi</v>
          </cell>
        </row>
        <row r="288">
          <cell r="B288" t="b">
            <v>1</v>
          </cell>
          <cell r="E288" t="str">
            <v>Bosque</v>
          </cell>
          <cell r="H288" t="str">
            <v>consulta_externa</v>
          </cell>
          <cell r="J288" t="str">
            <v>bueno</v>
          </cell>
          <cell r="K288" t="str">
            <v>defsi</v>
          </cell>
        </row>
        <row r="289">
          <cell r="B289" t="b">
            <v>1</v>
          </cell>
          <cell r="E289" t="str">
            <v>Bosque</v>
          </cell>
          <cell r="H289" t="str">
            <v>salud_oral</v>
          </cell>
          <cell r="J289" t="str">
            <v>bueno</v>
          </cell>
          <cell r="K289" t="str">
            <v>defsi</v>
          </cell>
        </row>
        <row r="290">
          <cell r="B290" t="b">
            <v>1</v>
          </cell>
          <cell r="E290" t="str">
            <v>Bosque</v>
          </cell>
          <cell r="H290" t="str">
            <v>laboratorio</v>
          </cell>
          <cell r="J290" t="str">
            <v>bueno</v>
          </cell>
          <cell r="K290" t="str">
            <v>defsi</v>
          </cell>
        </row>
        <row r="291">
          <cell r="B291" t="b">
            <v>1</v>
          </cell>
          <cell r="E291" t="str">
            <v>Bosque</v>
          </cell>
          <cell r="H291" t="str">
            <v>consulta_externa</v>
          </cell>
          <cell r="J291" t="str">
            <v>bueno</v>
          </cell>
          <cell r="K291" t="str">
            <v>defsi</v>
          </cell>
        </row>
        <row r="292">
          <cell r="B292" t="b">
            <v>1</v>
          </cell>
          <cell r="E292" t="str">
            <v>Bicentenario</v>
          </cell>
          <cell r="H292" t="str">
            <v>consulta_externa</v>
          </cell>
          <cell r="J292" t="str">
            <v>bueno</v>
          </cell>
          <cell r="K292" t="str">
            <v>probsi</v>
          </cell>
        </row>
        <row r="293">
          <cell r="B293" t="b">
            <v>1</v>
          </cell>
          <cell r="E293" t="str">
            <v>Bicentenario</v>
          </cell>
          <cell r="H293" t="str">
            <v>salud_oral</v>
          </cell>
          <cell r="J293" t="str">
            <v>bueno</v>
          </cell>
          <cell r="K293" t="str">
            <v>probsi</v>
          </cell>
        </row>
        <row r="294">
          <cell r="B294" t="b">
            <v>1</v>
          </cell>
          <cell r="E294" t="str">
            <v>Bicentenario</v>
          </cell>
          <cell r="H294" t="str">
            <v>laboratorio</v>
          </cell>
          <cell r="J294" t="str">
            <v>bueno</v>
          </cell>
          <cell r="K294" t="str">
            <v>probsi</v>
          </cell>
        </row>
        <row r="295">
          <cell r="B295" t="b">
            <v>0</v>
          </cell>
          <cell r="E295" t="str">
            <v>Bicentenario</v>
          </cell>
          <cell r="H295" t="str">
            <v>consulta_externa</v>
          </cell>
          <cell r="J295" t="str">
            <v>regular</v>
          </cell>
          <cell r="K295" t="str">
            <v>probsi</v>
          </cell>
        </row>
        <row r="296">
          <cell r="B296" t="b">
            <v>0</v>
          </cell>
          <cell r="E296" t="str">
            <v>Bicentenario</v>
          </cell>
          <cell r="H296" t="str">
            <v>consulta_externa</v>
          </cell>
          <cell r="J296" t="str">
            <v>regular</v>
          </cell>
          <cell r="K296" t="str">
            <v>probsi</v>
          </cell>
        </row>
        <row r="297">
          <cell r="B297" t="b">
            <v>1</v>
          </cell>
          <cell r="E297" t="str">
            <v>Bicentenario</v>
          </cell>
          <cell r="H297" t="str">
            <v>salud_oral</v>
          </cell>
          <cell r="J297" t="str">
            <v>bueno</v>
          </cell>
          <cell r="K297" t="str">
            <v>probsi</v>
          </cell>
        </row>
        <row r="298">
          <cell r="B298" t="b">
            <v>1</v>
          </cell>
          <cell r="E298" t="str">
            <v>Bicentenario</v>
          </cell>
          <cell r="H298" t="str">
            <v>consulta_externa</v>
          </cell>
          <cell r="J298" t="str">
            <v>bueno</v>
          </cell>
          <cell r="K298" t="str">
            <v>probsi</v>
          </cell>
        </row>
        <row r="299">
          <cell r="B299" t="b">
            <v>1</v>
          </cell>
          <cell r="E299" t="str">
            <v>Bicentenario</v>
          </cell>
          <cell r="H299" t="str">
            <v>rx</v>
          </cell>
          <cell r="J299" t="str">
            <v>bueno</v>
          </cell>
          <cell r="K299" t="str">
            <v>probsi</v>
          </cell>
        </row>
        <row r="300">
          <cell r="B300" t="b">
            <v>1</v>
          </cell>
          <cell r="E300" t="str">
            <v>Bicentenario</v>
          </cell>
          <cell r="H300" t="str">
            <v>rx</v>
          </cell>
          <cell r="J300" t="str">
            <v>bueno</v>
          </cell>
          <cell r="K300" t="str">
            <v>probsi</v>
          </cell>
        </row>
        <row r="301">
          <cell r="B301" t="b">
            <v>1</v>
          </cell>
          <cell r="E301" t="str">
            <v>Isla del Rosario</v>
          </cell>
          <cell r="H301" t="str">
            <v>consulta_externa</v>
          </cell>
          <cell r="J301" t="str">
            <v>muybueno</v>
          </cell>
          <cell r="K301" t="str">
            <v>defsi</v>
          </cell>
        </row>
        <row r="302">
          <cell r="B302" t="b">
            <v>1</v>
          </cell>
          <cell r="E302" t="str">
            <v>Isla del Rosario</v>
          </cell>
          <cell r="H302" t="str">
            <v>laboratorio</v>
          </cell>
          <cell r="J302" t="str">
            <v>muybueno</v>
          </cell>
          <cell r="K302" t="str">
            <v>defsi</v>
          </cell>
        </row>
        <row r="303">
          <cell r="B303" t="b">
            <v>0</v>
          </cell>
          <cell r="E303" t="str">
            <v>Bicentenario</v>
          </cell>
          <cell r="H303" t="str">
            <v>urgencia</v>
          </cell>
          <cell r="J303" t="str">
            <v>regular</v>
          </cell>
          <cell r="K303" t="str">
            <v>probsi</v>
          </cell>
        </row>
        <row r="304">
          <cell r="B304" t="b">
            <v>1</v>
          </cell>
          <cell r="E304" t="str">
            <v>Bocachica</v>
          </cell>
          <cell r="H304" t="str">
            <v>laboratorio</v>
          </cell>
          <cell r="J304" t="str">
            <v>bueno</v>
          </cell>
          <cell r="K304" t="str">
            <v>probsi</v>
          </cell>
        </row>
        <row r="305">
          <cell r="B305" t="b">
            <v>1</v>
          </cell>
          <cell r="E305" t="str">
            <v>Bocachica</v>
          </cell>
          <cell r="H305" t="str">
            <v>laboratorio</v>
          </cell>
          <cell r="J305" t="str">
            <v>bueno</v>
          </cell>
          <cell r="K305" t="str">
            <v>probsi</v>
          </cell>
        </row>
        <row r="306">
          <cell r="B306" t="b">
            <v>1</v>
          </cell>
          <cell r="E306" t="str">
            <v>Bocachica</v>
          </cell>
          <cell r="H306" t="str">
            <v>laboratorio</v>
          </cell>
          <cell r="J306" t="str">
            <v>bueno</v>
          </cell>
          <cell r="K306" t="str">
            <v>probsi</v>
          </cell>
        </row>
        <row r="307">
          <cell r="B307" t="b">
            <v>1</v>
          </cell>
          <cell r="E307" t="str">
            <v>Bocachica</v>
          </cell>
          <cell r="H307" t="str">
            <v>laboratorio</v>
          </cell>
          <cell r="J307" t="str">
            <v>bueno</v>
          </cell>
          <cell r="K307" t="str">
            <v>probsi</v>
          </cell>
        </row>
        <row r="308">
          <cell r="B308" t="b">
            <v>1</v>
          </cell>
          <cell r="E308" t="str">
            <v>Bocachica</v>
          </cell>
          <cell r="H308" t="str">
            <v>salud_oral</v>
          </cell>
          <cell r="J308" t="str">
            <v>bueno</v>
          </cell>
          <cell r="K308" t="str">
            <v>probsi</v>
          </cell>
        </row>
        <row r="309">
          <cell r="B309" t="b">
            <v>1</v>
          </cell>
          <cell r="E309" t="str">
            <v>Bocachica</v>
          </cell>
          <cell r="H309" t="str">
            <v>salud_oral</v>
          </cell>
          <cell r="J309" t="str">
            <v>bueno</v>
          </cell>
          <cell r="K309" t="str">
            <v>probsi</v>
          </cell>
        </row>
        <row r="310">
          <cell r="B310" t="b">
            <v>0</v>
          </cell>
          <cell r="E310" t="str">
            <v>Bocachica</v>
          </cell>
          <cell r="H310" t="str">
            <v>urgencia</v>
          </cell>
          <cell r="J310" t="str">
            <v>regular</v>
          </cell>
          <cell r="K310" t="str">
            <v>probsi</v>
          </cell>
        </row>
        <row r="311">
          <cell r="B311" t="b">
            <v>0</v>
          </cell>
          <cell r="E311" t="str">
            <v>Bocachica</v>
          </cell>
          <cell r="H311" t="str">
            <v>urgencia</v>
          </cell>
          <cell r="J311" t="str">
            <v>regular</v>
          </cell>
          <cell r="K311" t="str">
            <v>probsi</v>
          </cell>
        </row>
        <row r="312">
          <cell r="B312" t="b">
            <v>0</v>
          </cell>
          <cell r="E312" t="str">
            <v>Bocachica</v>
          </cell>
          <cell r="H312" t="str">
            <v>urgencia</v>
          </cell>
          <cell r="J312" t="str">
            <v>regular</v>
          </cell>
          <cell r="K312" t="str">
            <v>probsi</v>
          </cell>
        </row>
        <row r="313">
          <cell r="B313" t="b">
            <v>0</v>
          </cell>
          <cell r="E313" t="str">
            <v>Bocachica</v>
          </cell>
          <cell r="H313" t="str">
            <v>urgencia</v>
          </cell>
          <cell r="J313" t="str">
            <v>regular</v>
          </cell>
          <cell r="K313" t="str">
            <v>probsi</v>
          </cell>
        </row>
        <row r="314">
          <cell r="B314" t="b">
            <v>1</v>
          </cell>
          <cell r="E314" t="str">
            <v>Bicentenario</v>
          </cell>
          <cell r="H314" t="str">
            <v>salud_oral</v>
          </cell>
          <cell r="J314" t="str">
            <v>bueno</v>
          </cell>
          <cell r="K314" t="str">
            <v>probsi</v>
          </cell>
        </row>
        <row r="315">
          <cell r="B315" t="b">
            <v>1</v>
          </cell>
          <cell r="E315" t="str">
            <v>Bicentenario</v>
          </cell>
          <cell r="H315" t="str">
            <v>rx</v>
          </cell>
          <cell r="J315" t="str">
            <v>bueno</v>
          </cell>
          <cell r="K315" t="str">
            <v>probsi</v>
          </cell>
        </row>
        <row r="316">
          <cell r="B316" t="b">
            <v>1</v>
          </cell>
          <cell r="E316" t="str">
            <v>Isla del Rosario</v>
          </cell>
          <cell r="H316" t="str">
            <v>salud_oral</v>
          </cell>
          <cell r="J316" t="str">
            <v>muybueno</v>
          </cell>
          <cell r="K316" t="str">
            <v>defsi</v>
          </cell>
        </row>
        <row r="317">
          <cell r="B317" t="b">
            <v>1</v>
          </cell>
          <cell r="E317" t="str">
            <v>Bicentenario</v>
          </cell>
          <cell r="H317" t="str">
            <v>salud_oral</v>
          </cell>
          <cell r="J317" t="str">
            <v>bueno</v>
          </cell>
          <cell r="K317" t="str">
            <v>probsi</v>
          </cell>
        </row>
        <row r="318">
          <cell r="B318" t="b">
            <v>1</v>
          </cell>
          <cell r="E318" t="str">
            <v>Bicentenario</v>
          </cell>
          <cell r="H318" t="str">
            <v>laboratorio</v>
          </cell>
          <cell r="J318" t="str">
            <v>bueno</v>
          </cell>
          <cell r="K318" t="str">
            <v>probsi</v>
          </cell>
        </row>
        <row r="319">
          <cell r="B319" t="b">
            <v>1</v>
          </cell>
          <cell r="E319" t="str">
            <v>Bicentenario</v>
          </cell>
          <cell r="H319" t="str">
            <v>laboratorio</v>
          </cell>
          <cell r="J319" t="str">
            <v>bueno</v>
          </cell>
          <cell r="K319" t="str">
            <v>probsi</v>
          </cell>
        </row>
        <row r="320">
          <cell r="B320" t="b">
            <v>1</v>
          </cell>
          <cell r="E320" t="str">
            <v>Bicentenario</v>
          </cell>
          <cell r="H320" t="str">
            <v>rx</v>
          </cell>
          <cell r="J320" t="str">
            <v>bueno</v>
          </cell>
          <cell r="K320" t="str">
            <v>probsi</v>
          </cell>
        </row>
        <row r="321">
          <cell r="B321" t="b">
            <v>1</v>
          </cell>
          <cell r="E321" t="str">
            <v>Isla del Rosario</v>
          </cell>
          <cell r="H321" t="str">
            <v>consulta_externa</v>
          </cell>
          <cell r="J321" t="str">
            <v>muybueno</v>
          </cell>
          <cell r="K321" t="str">
            <v>defsi</v>
          </cell>
        </row>
        <row r="322">
          <cell r="B322" t="b">
            <v>1</v>
          </cell>
          <cell r="E322" t="str">
            <v>Isla del Rosario</v>
          </cell>
          <cell r="H322" t="str">
            <v>laboratorio</v>
          </cell>
          <cell r="J322" t="str">
            <v>muybueno</v>
          </cell>
          <cell r="K322" t="str">
            <v>defsi</v>
          </cell>
        </row>
        <row r="323">
          <cell r="B323" t="b">
            <v>1</v>
          </cell>
          <cell r="E323" t="str">
            <v>Bicentenario</v>
          </cell>
          <cell r="H323" t="str">
            <v>rx</v>
          </cell>
          <cell r="J323" t="str">
            <v>bueno</v>
          </cell>
          <cell r="K323" t="str">
            <v>probsi</v>
          </cell>
        </row>
        <row r="324">
          <cell r="B324" t="b">
            <v>1</v>
          </cell>
          <cell r="E324" t="str">
            <v>Bicentenario</v>
          </cell>
          <cell r="H324" t="str">
            <v>salud_oral</v>
          </cell>
          <cell r="J324" t="str">
            <v>bueno</v>
          </cell>
          <cell r="K324" t="str">
            <v>probsi</v>
          </cell>
        </row>
        <row r="325">
          <cell r="B325" t="b">
            <v>1</v>
          </cell>
          <cell r="E325" t="str">
            <v>Bicentenario</v>
          </cell>
          <cell r="H325" t="str">
            <v>laboratorio</v>
          </cell>
          <cell r="J325" t="str">
            <v>bueno</v>
          </cell>
          <cell r="K325" t="str">
            <v>probsi</v>
          </cell>
        </row>
        <row r="326">
          <cell r="B326" t="b">
            <v>1</v>
          </cell>
          <cell r="E326" t="str">
            <v>Bicentenario</v>
          </cell>
          <cell r="H326" t="str">
            <v>consulta_externa</v>
          </cell>
          <cell r="J326" t="str">
            <v>bueno</v>
          </cell>
          <cell r="K326" t="str">
            <v>probsi</v>
          </cell>
        </row>
        <row r="327">
          <cell r="B327" t="b">
            <v>1</v>
          </cell>
          <cell r="E327" t="str">
            <v>Isla del Rosario</v>
          </cell>
          <cell r="H327" t="str">
            <v>salud_oral</v>
          </cell>
          <cell r="J327" t="str">
            <v>muybueno</v>
          </cell>
          <cell r="K327" t="str">
            <v>defsi</v>
          </cell>
        </row>
        <row r="328">
          <cell r="B328" t="b">
            <v>1</v>
          </cell>
          <cell r="E328" t="str">
            <v>Blasdelezo</v>
          </cell>
          <cell r="H328" t="str">
            <v>consulta_externa</v>
          </cell>
          <cell r="J328" t="str">
            <v>bueno</v>
          </cell>
          <cell r="K328" t="str">
            <v>defsi</v>
          </cell>
        </row>
        <row r="329">
          <cell r="B329" t="b">
            <v>1</v>
          </cell>
          <cell r="E329" t="str">
            <v>Blasdelezo</v>
          </cell>
          <cell r="H329" t="str">
            <v>salud_oral</v>
          </cell>
          <cell r="J329" t="str">
            <v>bueno</v>
          </cell>
          <cell r="K329" t="str">
            <v>defsi</v>
          </cell>
        </row>
        <row r="330">
          <cell r="B330" t="b">
            <v>1</v>
          </cell>
          <cell r="E330" t="str">
            <v>Blasdelezo</v>
          </cell>
          <cell r="H330" t="str">
            <v>laboratorio</v>
          </cell>
          <cell r="J330" t="str">
            <v>bueno</v>
          </cell>
          <cell r="K330" t="str">
            <v>defsi</v>
          </cell>
        </row>
        <row r="331">
          <cell r="B331" t="b">
            <v>1</v>
          </cell>
          <cell r="E331" t="str">
            <v>Blasdelezo</v>
          </cell>
          <cell r="H331" t="str">
            <v>urgencia</v>
          </cell>
          <cell r="J331" t="str">
            <v>bueno</v>
          </cell>
          <cell r="K331" t="str">
            <v>defsi</v>
          </cell>
        </row>
        <row r="332">
          <cell r="B332" t="b">
            <v>1</v>
          </cell>
          <cell r="E332" t="str">
            <v>Blasdelezo</v>
          </cell>
          <cell r="H332" t="str">
            <v>pediatria</v>
          </cell>
          <cell r="J332" t="str">
            <v>bueno</v>
          </cell>
          <cell r="K332" t="str">
            <v>defsi</v>
          </cell>
        </row>
        <row r="333">
          <cell r="B333" t="b">
            <v>1</v>
          </cell>
          <cell r="E333" t="str">
            <v>Blasdelezo</v>
          </cell>
          <cell r="H333" t="str">
            <v>medicina_interna</v>
          </cell>
          <cell r="J333" t="str">
            <v>bueno</v>
          </cell>
          <cell r="K333" t="str">
            <v>defsi</v>
          </cell>
        </row>
        <row r="334">
          <cell r="B334" t="b">
            <v>1</v>
          </cell>
          <cell r="E334" t="str">
            <v>Blasdelezo</v>
          </cell>
          <cell r="H334" t="str">
            <v>consulta_externa</v>
          </cell>
          <cell r="J334" t="str">
            <v>bueno</v>
          </cell>
          <cell r="K334" t="str">
            <v>defsi</v>
          </cell>
        </row>
        <row r="335">
          <cell r="B335" t="b">
            <v>1</v>
          </cell>
          <cell r="E335" t="str">
            <v>Blasdelezo</v>
          </cell>
          <cell r="H335" t="str">
            <v>salud_oral</v>
          </cell>
          <cell r="J335" t="str">
            <v>bueno</v>
          </cell>
          <cell r="K335" t="str">
            <v>defsi</v>
          </cell>
        </row>
        <row r="336">
          <cell r="B336" t="b">
            <v>1</v>
          </cell>
          <cell r="E336" t="str">
            <v>Blasdelezo</v>
          </cell>
          <cell r="H336" t="str">
            <v>laboratorio</v>
          </cell>
          <cell r="J336" t="str">
            <v>bueno</v>
          </cell>
          <cell r="K336" t="str">
            <v>defsi</v>
          </cell>
        </row>
        <row r="337">
          <cell r="B337" t="b">
            <v>1</v>
          </cell>
          <cell r="E337" t="str">
            <v>Blasdelezo</v>
          </cell>
          <cell r="H337" t="str">
            <v>urgencia</v>
          </cell>
          <cell r="J337" t="str">
            <v>bueno</v>
          </cell>
          <cell r="K337" t="str">
            <v>defsi</v>
          </cell>
        </row>
        <row r="338">
          <cell r="B338" t="b">
            <v>1</v>
          </cell>
          <cell r="E338" t="str">
            <v>Blasdelezo</v>
          </cell>
          <cell r="H338" t="str">
            <v>consulta_externa</v>
          </cell>
          <cell r="J338" t="str">
            <v>bueno</v>
          </cell>
          <cell r="K338" t="str">
            <v>defsi</v>
          </cell>
        </row>
        <row r="339">
          <cell r="B339" t="b">
            <v>1</v>
          </cell>
          <cell r="E339" t="str">
            <v>Blasdelezo</v>
          </cell>
          <cell r="H339" t="str">
            <v>medicina_interna</v>
          </cell>
          <cell r="J339" t="str">
            <v>bueno</v>
          </cell>
          <cell r="K339" t="str">
            <v>defsi</v>
          </cell>
        </row>
        <row r="340">
          <cell r="B340" t="b">
            <v>1</v>
          </cell>
          <cell r="E340" t="str">
            <v>Blasdelezo</v>
          </cell>
          <cell r="H340" t="str">
            <v>consulta_externa</v>
          </cell>
          <cell r="J340" t="str">
            <v>bueno</v>
          </cell>
          <cell r="K340" t="str">
            <v>defsi</v>
          </cell>
        </row>
        <row r="341">
          <cell r="B341" t="b">
            <v>1</v>
          </cell>
          <cell r="E341" t="str">
            <v>Blasdelezo</v>
          </cell>
          <cell r="H341" t="str">
            <v>salud_oral</v>
          </cell>
          <cell r="J341" t="str">
            <v>bueno</v>
          </cell>
          <cell r="K341" t="str">
            <v>defsi</v>
          </cell>
        </row>
        <row r="342">
          <cell r="B342" t="b">
            <v>1</v>
          </cell>
          <cell r="E342" t="str">
            <v>Blasdelezo</v>
          </cell>
          <cell r="H342" t="str">
            <v>laboratorio</v>
          </cell>
          <cell r="J342" t="str">
            <v>bueno</v>
          </cell>
          <cell r="K342" t="str">
            <v>defsi</v>
          </cell>
        </row>
        <row r="343">
          <cell r="B343" t="b">
            <v>1</v>
          </cell>
          <cell r="E343" t="str">
            <v>Blasdelezo</v>
          </cell>
          <cell r="H343" t="str">
            <v>urgencia</v>
          </cell>
          <cell r="J343" t="str">
            <v>bueno</v>
          </cell>
          <cell r="K343" t="str">
            <v>defsi</v>
          </cell>
        </row>
        <row r="344">
          <cell r="B344" t="b">
            <v>1</v>
          </cell>
          <cell r="E344" t="str">
            <v>Blasdelezo</v>
          </cell>
          <cell r="H344" t="str">
            <v>pediatria</v>
          </cell>
          <cell r="J344" t="str">
            <v>bueno</v>
          </cell>
          <cell r="K344" t="str">
            <v>defsi</v>
          </cell>
        </row>
        <row r="345">
          <cell r="B345" t="b">
            <v>1</v>
          </cell>
          <cell r="E345" t="str">
            <v>Blasdelezo</v>
          </cell>
          <cell r="H345" t="str">
            <v>medicina_interna</v>
          </cell>
          <cell r="J345" t="str">
            <v>bueno</v>
          </cell>
          <cell r="K345" t="str">
            <v>defsi</v>
          </cell>
        </row>
        <row r="346">
          <cell r="B346" t="b">
            <v>1</v>
          </cell>
          <cell r="E346" t="str">
            <v>Blasdelezo</v>
          </cell>
          <cell r="H346" t="str">
            <v>consulta_externa</v>
          </cell>
          <cell r="J346" t="str">
            <v>bueno</v>
          </cell>
          <cell r="K346" t="str">
            <v>defsi</v>
          </cell>
        </row>
        <row r="347">
          <cell r="B347" t="b">
            <v>1</v>
          </cell>
          <cell r="E347" t="str">
            <v>Bicentenario</v>
          </cell>
          <cell r="H347" t="str">
            <v>salud_oral</v>
          </cell>
          <cell r="J347" t="str">
            <v>bueno</v>
          </cell>
          <cell r="K347" t="str">
            <v>probsi</v>
          </cell>
        </row>
        <row r="348">
          <cell r="B348" t="b">
            <v>1</v>
          </cell>
          <cell r="E348" t="str">
            <v>Bicentenario</v>
          </cell>
          <cell r="H348" t="str">
            <v>salud_oral</v>
          </cell>
          <cell r="J348" t="str">
            <v>bueno</v>
          </cell>
          <cell r="K348" t="str">
            <v>probsi</v>
          </cell>
        </row>
        <row r="349">
          <cell r="B349" t="b">
            <v>1</v>
          </cell>
          <cell r="E349" t="str">
            <v>Bicentenario</v>
          </cell>
          <cell r="H349" t="str">
            <v>salud_oral</v>
          </cell>
          <cell r="J349" t="str">
            <v>bueno</v>
          </cell>
          <cell r="K349" t="str">
            <v>probsi</v>
          </cell>
        </row>
        <row r="350">
          <cell r="B350" t="b">
            <v>1</v>
          </cell>
          <cell r="E350" t="str">
            <v>Blasdelezo</v>
          </cell>
          <cell r="H350" t="str">
            <v>salud_oral</v>
          </cell>
          <cell r="J350" t="str">
            <v>bueno</v>
          </cell>
          <cell r="K350" t="str">
            <v>defsi</v>
          </cell>
        </row>
        <row r="351">
          <cell r="B351" t="b">
            <v>0</v>
          </cell>
          <cell r="E351" t="str">
            <v>Bicentenario</v>
          </cell>
          <cell r="H351" t="str">
            <v>urgencia</v>
          </cell>
          <cell r="J351" t="str">
            <v>regular</v>
          </cell>
          <cell r="K351" t="str">
            <v>probsi</v>
          </cell>
        </row>
        <row r="352">
          <cell r="B352" t="b">
            <v>1</v>
          </cell>
          <cell r="E352" t="str">
            <v>Blasdelezo</v>
          </cell>
          <cell r="H352" t="str">
            <v>laboratorio</v>
          </cell>
          <cell r="J352" t="str">
            <v>bueno</v>
          </cell>
          <cell r="K352" t="str">
            <v>defsi</v>
          </cell>
        </row>
        <row r="353">
          <cell r="B353" t="b">
            <v>0</v>
          </cell>
          <cell r="E353" t="str">
            <v>Bicentenario</v>
          </cell>
          <cell r="H353" t="str">
            <v>urgencia</v>
          </cell>
          <cell r="J353" t="str">
            <v>regular</v>
          </cell>
          <cell r="K353" t="str">
            <v>probsi</v>
          </cell>
        </row>
        <row r="354">
          <cell r="B354" t="b">
            <v>1</v>
          </cell>
          <cell r="E354" t="str">
            <v>Bicentenario</v>
          </cell>
          <cell r="H354" t="str">
            <v>urgencia</v>
          </cell>
          <cell r="J354" t="str">
            <v>bueno</v>
          </cell>
          <cell r="K354" t="str">
            <v>probsi</v>
          </cell>
        </row>
        <row r="355">
          <cell r="B355" t="b">
            <v>1</v>
          </cell>
          <cell r="E355" t="str">
            <v>Bicentenario</v>
          </cell>
          <cell r="H355" t="str">
            <v>urgencia</v>
          </cell>
          <cell r="J355" t="str">
            <v>bueno</v>
          </cell>
          <cell r="K355" t="str">
            <v>probsi</v>
          </cell>
        </row>
        <row r="356">
          <cell r="B356" t="b">
            <v>1</v>
          </cell>
          <cell r="E356" t="str">
            <v>Bicentenario</v>
          </cell>
          <cell r="H356" t="str">
            <v>urgencia</v>
          </cell>
          <cell r="J356" t="str">
            <v>bueno</v>
          </cell>
          <cell r="K356" t="str">
            <v>probsi</v>
          </cell>
        </row>
        <row r="357">
          <cell r="B357" t="b">
            <v>1</v>
          </cell>
          <cell r="E357" t="str">
            <v>Blasdelezo</v>
          </cell>
          <cell r="H357" t="str">
            <v>urgencia</v>
          </cell>
          <cell r="J357" t="str">
            <v>bueno</v>
          </cell>
          <cell r="K357" t="str">
            <v>defsi</v>
          </cell>
        </row>
        <row r="358">
          <cell r="B358" t="b">
            <v>1</v>
          </cell>
          <cell r="E358" t="str">
            <v>Bicentenario</v>
          </cell>
          <cell r="H358" t="str">
            <v>urgencia</v>
          </cell>
          <cell r="J358" t="str">
            <v>bueno</v>
          </cell>
          <cell r="K358" t="str">
            <v>probsi</v>
          </cell>
        </row>
        <row r="359">
          <cell r="B359" t="b">
            <v>1</v>
          </cell>
          <cell r="E359" t="str">
            <v>Bicentenario</v>
          </cell>
          <cell r="H359" t="str">
            <v>urgencia</v>
          </cell>
          <cell r="J359" t="str">
            <v>bueno</v>
          </cell>
          <cell r="K359" t="str">
            <v>probsi</v>
          </cell>
        </row>
        <row r="360">
          <cell r="B360" t="b">
            <v>1</v>
          </cell>
          <cell r="E360" t="str">
            <v>Bicentenario</v>
          </cell>
          <cell r="H360" t="str">
            <v>rx</v>
          </cell>
          <cell r="J360" t="str">
            <v>bueno</v>
          </cell>
          <cell r="K360" t="str">
            <v>probsi</v>
          </cell>
        </row>
        <row r="361">
          <cell r="B361" t="b">
            <v>1</v>
          </cell>
          <cell r="E361" t="str">
            <v>Blasdelezo</v>
          </cell>
          <cell r="H361" t="str">
            <v>pediatria</v>
          </cell>
          <cell r="J361" t="str">
            <v>bueno</v>
          </cell>
          <cell r="K361" t="str">
            <v>defsi</v>
          </cell>
        </row>
        <row r="362">
          <cell r="B362" t="b">
            <v>1</v>
          </cell>
          <cell r="E362" t="str">
            <v>Bicentenario</v>
          </cell>
          <cell r="H362" t="str">
            <v>rx</v>
          </cell>
          <cell r="J362" t="str">
            <v>bueno</v>
          </cell>
          <cell r="K362" t="str">
            <v>probsi</v>
          </cell>
        </row>
        <row r="363">
          <cell r="B363" t="b">
            <v>1</v>
          </cell>
          <cell r="E363" t="str">
            <v>Blasdelezo</v>
          </cell>
          <cell r="H363" t="str">
            <v>medicina_interna</v>
          </cell>
          <cell r="J363" t="str">
            <v>bueno</v>
          </cell>
          <cell r="K363" t="str">
            <v>defsi</v>
          </cell>
        </row>
        <row r="364">
          <cell r="B364" t="b">
            <v>1</v>
          </cell>
          <cell r="E364" t="str">
            <v>Blasdelezo</v>
          </cell>
          <cell r="H364" t="str">
            <v>consulta_externa</v>
          </cell>
          <cell r="J364" t="str">
            <v>bueno</v>
          </cell>
          <cell r="K364" t="str">
            <v>defsi</v>
          </cell>
        </row>
        <row r="365">
          <cell r="B365" t="b">
            <v>1</v>
          </cell>
          <cell r="E365" t="str">
            <v>Blasdelezo</v>
          </cell>
          <cell r="H365" t="str">
            <v>salud_oral</v>
          </cell>
          <cell r="J365" t="str">
            <v>bueno</v>
          </cell>
          <cell r="K365" t="str">
            <v>defsi</v>
          </cell>
        </row>
        <row r="366">
          <cell r="B366" t="b">
            <v>1</v>
          </cell>
          <cell r="E366" t="str">
            <v>Blasdelezo</v>
          </cell>
          <cell r="H366" t="str">
            <v>laboratorio</v>
          </cell>
          <cell r="J366" t="str">
            <v>bueno</v>
          </cell>
          <cell r="K366" t="str">
            <v>defsi</v>
          </cell>
        </row>
        <row r="367">
          <cell r="B367" t="b">
            <v>1</v>
          </cell>
          <cell r="E367" t="str">
            <v>Blasdelezo</v>
          </cell>
          <cell r="H367" t="str">
            <v>urgencia</v>
          </cell>
          <cell r="J367" t="str">
            <v>bueno</v>
          </cell>
          <cell r="K367" t="str">
            <v>defsi</v>
          </cell>
        </row>
        <row r="368">
          <cell r="B368" t="b">
            <v>1</v>
          </cell>
          <cell r="E368" t="str">
            <v>Blasdelezo</v>
          </cell>
          <cell r="H368" t="str">
            <v>pediatria</v>
          </cell>
          <cell r="J368" t="str">
            <v>bueno</v>
          </cell>
          <cell r="K368" t="str">
            <v>defsi</v>
          </cell>
        </row>
        <row r="369">
          <cell r="B369" t="b">
            <v>1</v>
          </cell>
          <cell r="E369" t="str">
            <v>Blasdelezo</v>
          </cell>
          <cell r="H369" t="str">
            <v>medicina_interna</v>
          </cell>
          <cell r="J369" t="str">
            <v>bueno</v>
          </cell>
          <cell r="K369" t="str">
            <v>defsi</v>
          </cell>
        </row>
        <row r="370">
          <cell r="B370" t="b">
            <v>1</v>
          </cell>
          <cell r="E370" t="str">
            <v>Isla del Rosario</v>
          </cell>
          <cell r="H370" t="str">
            <v>consulta_externa</v>
          </cell>
          <cell r="J370" t="str">
            <v>muybueno</v>
          </cell>
          <cell r="K370" t="str">
            <v>defsi</v>
          </cell>
        </row>
        <row r="371">
          <cell r="B371" t="b">
            <v>1</v>
          </cell>
          <cell r="E371" t="str">
            <v>Isla del Rosario</v>
          </cell>
          <cell r="H371" t="str">
            <v>salud_oral</v>
          </cell>
          <cell r="J371" t="str">
            <v>muybueno</v>
          </cell>
          <cell r="K371" t="str">
            <v>defsi</v>
          </cell>
        </row>
        <row r="372">
          <cell r="B372" t="b">
            <v>1</v>
          </cell>
          <cell r="E372" t="str">
            <v>Isla del Rosario</v>
          </cell>
          <cell r="H372" t="str">
            <v>consulta_externa</v>
          </cell>
          <cell r="J372" t="str">
            <v>muybueno</v>
          </cell>
          <cell r="K372" t="str">
            <v>defsi</v>
          </cell>
        </row>
        <row r="373">
          <cell r="B373" t="b">
            <v>1</v>
          </cell>
          <cell r="E373" t="str">
            <v>Isla del Rosario</v>
          </cell>
          <cell r="H373" t="str">
            <v>salud_oral</v>
          </cell>
          <cell r="J373" t="str">
            <v>muybueno</v>
          </cell>
          <cell r="K373" t="str">
            <v>defsi</v>
          </cell>
        </row>
        <row r="374">
          <cell r="B374" t="b">
            <v>1</v>
          </cell>
          <cell r="E374" t="str">
            <v>Isla del Rosario</v>
          </cell>
          <cell r="H374" t="str">
            <v>consulta_externa</v>
          </cell>
          <cell r="J374" t="str">
            <v>muybueno</v>
          </cell>
          <cell r="K374" t="str">
            <v>defsi</v>
          </cell>
        </row>
        <row r="375">
          <cell r="B375" t="b">
            <v>1</v>
          </cell>
          <cell r="E375" t="str">
            <v>Isla del Rosario</v>
          </cell>
          <cell r="H375" t="str">
            <v>laboratorio</v>
          </cell>
          <cell r="J375" t="str">
            <v>muybueno</v>
          </cell>
          <cell r="K375" t="str">
            <v>defsi</v>
          </cell>
        </row>
        <row r="376">
          <cell r="B376" t="b">
            <v>1</v>
          </cell>
          <cell r="E376" t="str">
            <v>Isla del Rosario</v>
          </cell>
          <cell r="H376" t="str">
            <v>laboratorio</v>
          </cell>
          <cell r="J376" t="str">
            <v>muybueno</v>
          </cell>
          <cell r="K376" t="str">
            <v>defsi</v>
          </cell>
        </row>
        <row r="377">
          <cell r="B377" t="b">
            <v>1</v>
          </cell>
          <cell r="E377" t="str">
            <v>Blasdelezo</v>
          </cell>
          <cell r="H377" t="str">
            <v>consulta_externa</v>
          </cell>
          <cell r="J377" t="str">
            <v>bueno</v>
          </cell>
          <cell r="K377" t="str">
            <v>defsi</v>
          </cell>
        </row>
        <row r="378">
          <cell r="B378" t="b">
            <v>1</v>
          </cell>
          <cell r="E378" t="str">
            <v>Blasdelezo</v>
          </cell>
          <cell r="H378" t="str">
            <v>salud_oral</v>
          </cell>
          <cell r="J378" t="str">
            <v>bueno</v>
          </cell>
          <cell r="K378" t="str">
            <v>defsi</v>
          </cell>
        </row>
        <row r="379">
          <cell r="B379" t="b">
            <v>1</v>
          </cell>
          <cell r="E379" t="str">
            <v>Blasdelezo</v>
          </cell>
          <cell r="H379" t="str">
            <v>laboratorio</v>
          </cell>
          <cell r="J379" t="str">
            <v>bueno</v>
          </cell>
          <cell r="K379" t="str">
            <v>defsi</v>
          </cell>
        </row>
        <row r="380">
          <cell r="B380" t="b">
            <v>1</v>
          </cell>
          <cell r="E380" t="str">
            <v>Blasdelezo</v>
          </cell>
          <cell r="H380" t="str">
            <v>urgencia</v>
          </cell>
          <cell r="J380" t="str">
            <v>bueno</v>
          </cell>
          <cell r="K380" t="str">
            <v>defsi</v>
          </cell>
        </row>
        <row r="381">
          <cell r="B381" t="b">
            <v>1</v>
          </cell>
          <cell r="E381" t="str">
            <v>Blasdelezo</v>
          </cell>
          <cell r="H381" t="str">
            <v>pediatria</v>
          </cell>
          <cell r="J381" t="str">
            <v>bueno</v>
          </cell>
          <cell r="K381" t="str">
            <v>defsi</v>
          </cell>
        </row>
        <row r="382">
          <cell r="B382" t="b">
            <v>1</v>
          </cell>
          <cell r="E382" t="str">
            <v>Blasdelezo</v>
          </cell>
          <cell r="H382" t="str">
            <v>medicina_interna</v>
          </cell>
          <cell r="J382" t="str">
            <v>bueno</v>
          </cell>
          <cell r="K382" t="str">
            <v>defsi</v>
          </cell>
        </row>
        <row r="383">
          <cell r="B383" t="b">
            <v>1</v>
          </cell>
          <cell r="E383" t="str">
            <v>Blasdelezo</v>
          </cell>
          <cell r="H383" t="str">
            <v>consulta_externa</v>
          </cell>
          <cell r="J383" t="str">
            <v>bueno</v>
          </cell>
          <cell r="K383" t="str">
            <v>defsi</v>
          </cell>
        </row>
        <row r="384">
          <cell r="B384" t="b">
            <v>1</v>
          </cell>
          <cell r="E384" t="str">
            <v>Blasdelezo</v>
          </cell>
          <cell r="H384" t="str">
            <v>salud_oral</v>
          </cell>
          <cell r="J384" t="str">
            <v>bueno</v>
          </cell>
          <cell r="K384" t="str">
            <v>defsi</v>
          </cell>
        </row>
        <row r="385">
          <cell r="B385" t="b">
            <v>1</v>
          </cell>
          <cell r="E385" t="str">
            <v>Blasdelezo</v>
          </cell>
          <cell r="H385" t="str">
            <v>laboratorio</v>
          </cell>
          <cell r="J385" t="str">
            <v>bueno</v>
          </cell>
          <cell r="K385" t="str">
            <v>defsi</v>
          </cell>
        </row>
        <row r="386">
          <cell r="B386" t="b">
            <v>1</v>
          </cell>
          <cell r="E386" t="str">
            <v>Blasdelezo</v>
          </cell>
          <cell r="H386" t="str">
            <v>urgencia</v>
          </cell>
          <cell r="J386" t="str">
            <v>bueno</v>
          </cell>
          <cell r="K386" t="str">
            <v>defsi</v>
          </cell>
        </row>
        <row r="387">
          <cell r="B387" t="b">
            <v>1</v>
          </cell>
          <cell r="E387" t="str">
            <v>Blasdelezo</v>
          </cell>
          <cell r="H387" t="str">
            <v>pediatria</v>
          </cell>
          <cell r="J387" t="str">
            <v>bueno</v>
          </cell>
          <cell r="K387" t="str">
            <v>defsi</v>
          </cell>
        </row>
        <row r="388">
          <cell r="B388" t="b">
            <v>1</v>
          </cell>
          <cell r="E388" t="str">
            <v>Blasdelezo</v>
          </cell>
          <cell r="H388" t="str">
            <v>consulta_externa</v>
          </cell>
          <cell r="J388" t="str">
            <v>bueno</v>
          </cell>
          <cell r="K388" t="str">
            <v>defsi</v>
          </cell>
        </row>
        <row r="389">
          <cell r="B389" t="b">
            <v>1</v>
          </cell>
          <cell r="E389" t="str">
            <v>Blasdelezo</v>
          </cell>
          <cell r="H389" t="str">
            <v>salud_oral</v>
          </cell>
          <cell r="J389" t="str">
            <v>bueno</v>
          </cell>
          <cell r="K389" t="str">
            <v>defsi</v>
          </cell>
        </row>
        <row r="390">
          <cell r="B390" t="b">
            <v>1</v>
          </cell>
          <cell r="E390" t="str">
            <v>Blasdelezo</v>
          </cell>
          <cell r="H390" t="str">
            <v>laboratorio</v>
          </cell>
          <cell r="J390" t="str">
            <v>bueno</v>
          </cell>
          <cell r="K390" t="str">
            <v>defsi</v>
          </cell>
        </row>
        <row r="391">
          <cell r="B391" t="b">
            <v>1</v>
          </cell>
          <cell r="E391" t="str">
            <v>Blasdelezo</v>
          </cell>
          <cell r="H391" t="str">
            <v>urgencia</v>
          </cell>
          <cell r="J391" t="str">
            <v>bueno</v>
          </cell>
          <cell r="K391" t="str">
            <v>defsi</v>
          </cell>
        </row>
        <row r="392">
          <cell r="B392" t="b">
            <v>1</v>
          </cell>
          <cell r="E392" t="str">
            <v>Blasdelezo</v>
          </cell>
          <cell r="H392" t="str">
            <v>pediatria</v>
          </cell>
          <cell r="J392" t="str">
            <v>bueno</v>
          </cell>
          <cell r="K392" t="str">
            <v>defsi</v>
          </cell>
        </row>
        <row r="393">
          <cell r="B393" t="b">
            <v>1</v>
          </cell>
          <cell r="E393" t="str">
            <v>Blasdelezo</v>
          </cell>
          <cell r="H393" t="str">
            <v>consulta_externa</v>
          </cell>
          <cell r="J393" t="str">
            <v>bueno</v>
          </cell>
          <cell r="K393" t="str">
            <v>defsi</v>
          </cell>
        </row>
        <row r="394">
          <cell r="B394" t="b">
            <v>1</v>
          </cell>
          <cell r="E394" t="str">
            <v>Blasdelezo</v>
          </cell>
          <cell r="H394" t="str">
            <v>salud_oral</v>
          </cell>
          <cell r="J394" t="str">
            <v>bueno</v>
          </cell>
          <cell r="K394" t="str">
            <v>defsi</v>
          </cell>
        </row>
        <row r="395">
          <cell r="B395" t="b">
            <v>1</v>
          </cell>
          <cell r="E395" t="str">
            <v>Blasdelezo</v>
          </cell>
          <cell r="H395" t="str">
            <v>laboratorio</v>
          </cell>
          <cell r="J395" t="str">
            <v>bueno</v>
          </cell>
          <cell r="K395" t="str">
            <v>defsi</v>
          </cell>
        </row>
        <row r="396">
          <cell r="B396" t="b">
            <v>1</v>
          </cell>
          <cell r="E396" t="str">
            <v>Blasdelezo</v>
          </cell>
          <cell r="H396" t="str">
            <v>urgencia</v>
          </cell>
          <cell r="J396" t="str">
            <v>bueno</v>
          </cell>
          <cell r="K396" t="str">
            <v>defsi</v>
          </cell>
        </row>
        <row r="397">
          <cell r="B397" t="b">
            <v>1</v>
          </cell>
          <cell r="E397" t="str">
            <v>Blasdelezo</v>
          </cell>
          <cell r="H397" t="str">
            <v>salud_oral</v>
          </cell>
          <cell r="J397" t="str">
            <v>bueno</v>
          </cell>
          <cell r="K397" t="str">
            <v>defsi</v>
          </cell>
        </row>
        <row r="398">
          <cell r="B398" t="b">
            <v>1</v>
          </cell>
          <cell r="E398" t="str">
            <v>Blasdelezo</v>
          </cell>
          <cell r="H398" t="str">
            <v>laboratorio</v>
          </cell>
          <cell r="J398" t="str">
            <v>bueno</v>
          </cell>
          <cell r="K398" t="str">
            <v>defsi</v>
          </cell>
        </row>
        <row r="399">
          <cell r="B399" t="b">
            <v>1</v>
          </cell>
          <cell r="E399" t="str">
            <v>Blasdelezo</v>
          </cell>
          <cell r="H399" t="str">
            <v>pediatria</v>
          </cell>
          <cell r="J399" t="str">
            <v>bueno</v>
          </cell>
          <cell r="K399" t="str">
            <v>defsi</v>
          </cell>
        </row>
        <row r="400">
          <cell r="B400" t="b">
            <v>1</v>
          </cell>
          <cell r="E400" t="str">
            <v>Blasdelezo</v>
          </cell>
          <cell r="H400" t="str">
            <v>salud_oral</v>
          </cell>
          <cell r="J400" t="str">
            <v>bueno</v>
          </cell>
          <cell r="K400" t="str">
            <v>defsi</v>
          </cell>
        </row>
        <row r="401">
          <cell r="B401" t="b">
            <v>1</v>
          </cell>
          <cell r="E401" t="str">
            <v>Blasdelezo</v>
          </cell>
          <cell r="H401" t="str">
            <v>laboratorio</v>
          </cell>
          <cell r="J401" t="str">
            <v>bueno</v>
          </cell>
          <cell r="K401" t="str">
            <v>defsi</v>
          </cell>
        </row>
        <row r="402">
          <cell r="B402" t="b">
            <v>1</v>
          </cell>
          <cell r="E402" t="str">
            <v>Blasdelezo</v>
          </cell>
          <cell r="H402" t="str">
            <v>urgencia</v>
          </cell>
          <cell r="J402" t="str">
            <v>bueno</v>
          </cell>
          <cell r="K402" t="str">
            <v>defsi</v>
          </cell>
        </row>
        <row r="403">
          <cell r="B403" t="b">
            <v>1</v>
          </cell>
          <cell r="E403" t="str">
            <v>Blasdelezo</v>
          </cell>
          <cell r="H403" t="str">
            <v>pediatria</v>
          </cell>
          <cell r="J403" t="str">
            <v>bueno</v>
          </cell>
          <cell r="K403" t="str">
            <v>defsi</v>
          </cell>
        </row>
        <row r="404">
          <cell r="B404" t="b">
            <v>1</v>
          </cell>
          <cell r="E404" t="str">
            <v>Blasdelezo</v>
          </cell>
          <cell r="H404" t="str">
            <v>consulta_externa</v>
          </cell>
          <cell r="J404" t="str">
            <v>bueno</v>
          </cell>
          <cell r="K404" t="str">
            <v>defsi</v>
          </cell>
        </row>
        <row r="405">
          <cell r="B405" t="b">
            <v>1</v>
          </cell>
          <cell r="E405" t="str">
            <v>Blasdelezo</v>
          </cell>
          <cell r="H405" t="str">
            <v>salud_oral</v>
          </cell>
          <cell r="J405" t="str">
            <v>bueno</v>
          </cell>
          <cell r="K405" t="str">
            <v>defsi</v>
          </cell>
        </row>
        <row r="406">
          <cell r="B406" t="b">
            <v>1</v>
          </cell>
          <cell r="E406" t="str">
            <v>Blasdelezo</v>
          </cell>
          <cell r="H406" t="str">
            <v>laboratorio</v>
          </cell>
          <cell r="J406" t="str">
            <v>bueno</v>
          </cell>
          <cell r="K406" t="str">
            <v>defsi</v>
          </cell>
        </row>
        <row r="407">
          <cell r="B407" t="b">
            <v>1</v>
          </cell>
          <cell r="E407" t="str">
            <v>Isla Fuerte</v>
          </cell>
          <cell r="H407" t="str">
            <v>consulta_externa</v>
          </cell>
          <cell r="J407" t="str">
            <v>muybueno</v>
          </cell>
          <cell r="K407" t="str">
            <v>defsi</v>
          </cell>
        </row>
        <row r="408">
          <cell r="B408" t="b">
            <v>1</v>
          </cell>
          <cell r="E408" t="str">
            <v>Isla Fuerte</v>
          </cell>
          <cell r="H408" t="str">
            <v>laboratorio</v>
          </cell>
          <cell r="J408" t="str">
            <v>muybueno</v>
          </cell>
          <cell r="K408" t="str">
            <v>defsi</v>
          </cell>
        </row>
        <row r="409">
          <cell r="B409" t="b">
            <v>1</v>
          </cell>
          <cell r="E409" t="str">
            <v>Arroyo de Piedra</v>
          </cell>
          <cell r="H409" t="str">
            <v>consulta_externa</v>
          </cell>
          <cell r="J409" t="str">
            <v>bueno</v>
          </cell>
          <cell r="K409" t="str">
            <v>probsi</v>
          </cell>
        </row>
        <row r="410">
          <cell r="B410" t="b">
            <v>1</v>
          </cell>
          <cell r="E410" t="str">
            <v>Arroyo de Piedra</v>
          </cell>
          <cell r="H410" t="str">
            <v>salud_oral</v>
          </cell>
          <cell r="J410" t="str">
            <v>bueno</v>
          </cell>
          <cell r="K410" t="str">
            <v>probsi</v>
          </cell>
        </row>
        <row r="411">
          <cell r="B411" t="b">
            <v>1</v>
          </cell>
          <cell r="E411" t="str">
            <v>Arroyo de Piedra</v>
          </cell>
          <cell r="H411" t="str">
            <v>laboratorio</v>
          </cell>
          <cell r="J411" t="str">
            <v>bueno</v>
          </cell>
          <cell r="K411" t="str">
            <v>probsi</v>
          </cell>
        </row>
        <row r="412">
          <cell r="B412" t="b">
            <v>1</v>
          </cell>
          <cell r="E412" t="str">
            <v>Arroyo de Piedra</v>
          </cell>
          <cell r="H412" t="str">
            <v>consulta_externa</v>
          </cell>
          <cell r="J412" t="str">
            <v>bueno</v>
          </cell>
          <cell r="K412" t="str">
            <v>probsi</v>
          </cell>
        </row>
        <row r="413">
          <cell r="B413" t="b">
            <v>1</v>
          </cell>
          <cell r="E413" t="str">
            <v>Arroyo de Piedra</v>
          </cell>
          <cell r="H413" t="str">
            <v>laboratorio</v>
          </cell>
          <cell r="J413" t="str">
            <v>bueno</v>
          </cell>
          <cell r="K413" t="str">
            <v>probsi</v>
          </cell>
        </row>
        <row r="414">
          <cell r="B414" t="b">
            <v>1</v>
          </cell>
          <cell r="E414" t="str">
            <v>Arroyo de Piedra</v>
          </cell>
          <cell r="H414" t="str">
            <v>consulta_externa</v>
          </cell>
          <cell r="J414" t="str">
            <v>bueno</v>
          </cell>
          <cell r="K414" t="str">
            <v>probsi</v>
          </cell>
        </row>
        <row r="415">
          <cell r="B415" t="b">
            <v>1</v>
          </cell>
          <cell r="E415" t="str">
            <v>Arroyo de Piedra</v>
          </cell>
          <cell r="H415" t="str">
            <v>salud_oral</v>
          </cell>
          <cell r="J415" t="str">
            <v>bueno</v>
          </cell>
          <cell r="K415" t="str">
            <v>probsi</v>
          </cell>
        </row>
        <row r="416">
          <cell r="B416" t="b">
            <v>1</v>
          </cell>
          <cell r="E416" t="str">
            <v>Arroyo de Piedra</v>
          </cell>
          <cell r="H416" t="str">
            <v>consulta_externa</v>
          </cell>
          <cell r="J416" t="str">
            <v>bueno</v>
          </cell>
          <cell r="K416" t="str">
            <v>probsi</v>
          </cell>
        </row>
        <row r="417">
          <cell r="B417" t="b">
            <v>1</v>
          </cell>
          <cell r="E417" t="str">
            <v>Arroyo de Piedra</v>
          </cell>
          <cell r="H417" t="str">
            <v>salud_oral</v>
          </cell>
          <cell r="J417" t="str">
            <v>bueno</v>
          </cell>
          <cell r="K417" t="str">
            <v>probsi</v>
          </cell>
        </row>
        <row r="418">
          <cell r="B418" t="b">
            <v>1</v>
          </cell>
          <cell r="E418" t="str">
            <v>Cano de Oro</v>
          </cell>
          <cell r="H418" t="str">
            <v>laboratorio</v>
          </cell>
          <cell r="J418" t="str">
            <v>bueno</v>
          </cell>
          <cell r="K418" t="str">
            <v>defsi</v>
          </cell>
        </row>
        <row r="419">
          <cell r="B419" t="b">
            <v>1</v>
          </cell>
          <cell r="E419" t="str">
            <v>Arroyo de Piedra</v>
          </cell>
          <cell r="H419" t="str">
            <v>consulta_externa</v>
          </cell>
          <cell r="J419" t="str">
            <v>bueno</v>
          </cell>
          <cell r="K419" t="str">
            <v>probsi</v>
          </cell>
        </row>
        <row r="420">
          <cell r="B420" t="b">
            <v>1</v>
          </cell>
          <cell r="E420" t="str">
            <v>Cano de Oro</v>
          </cell>
          <cell r="H420" t="str">
            <v>laboratorio</v>
          </cell>
          <cell r="J420" t="str">
            <v>bueno</v>
          </cell>
          <cell r="K420" t="str">
            <v>defsi</v>
          </cell>
        </row>
        <row r="421">
          <cell r="B421" t="b">
            <v>1</v>
          </cell>
          <cell r="E421" t="str">
            <v>Arroyo de Piedra</v>
          </cell>
          <cell r="H421" t="str">
            <v>salud_oral</v>
          </cell>
          <cell r="J421" t="str">
            <v>bueno</v>
          </cell>
          <cell r="K421" t="str">
            <v>probsi</v>
          </cell>
        </row>
        <row r="422">
          <cell r="B422" t="b">
            <v>1</v>
          </cell>
          <cell r="E422" t="str">
            <v>Arroyo de Piedra</v>
          </cell>
          <cell r="H422" t="str">
            <v>laboratorio</v>
          </cell>
          <cell r="J422" t="str">
            <v>bueno</v>
          </cell>
          <cell r="K422" t="str">
            <v>probsi</v>
          </cell>
        </row>
        <row r="423">
          <cell r="B423" t="b">
            <v>1</v>
          </cell>
          <cell r="E423" t="str">
            <v>Cano de Oro</v>
          </cell>
          <cell r="H423" t="str">
            <v>laboratorio</v>
          </cell>
          <cell r="J423" t="str">
            <v>bueno</v>
          </cell>
          <cell r="K423" t="str">
            <v>defsi</v>
          </cell>
        </row>
        <row r="424">
          <cell r="B424" t="b">
            <v>1</v>
          </cell>
          <cell r="E424" t="str">
            <v>Cano de Oro</v>
          </cell>
          <cell r="H424" t="str">
            <v>consulta_externa</v>
          </cell>
          <cell r="J424" t="str">
            <v>bueno</v>
          </cell>
          <cell r="K424" t="str">
            <v>defsi</v>
          </cell>
        </row>
        <row r="425">
          <cell r="B425" t="b">
            <v>1</v>
          </cell>
          <cell r="E425" t="str">
            <v>Cano de Oro</v>
          </cell>
          <cell r="H425" t="str">
            <v>consulta_externa</v>
          </cell>
          <cell r="J425" t="str">
            <v>bueno</v>
          </cell>
          <cell r="K425" t="str">
            <v>defsi</v>
          </cell>
        </row>
        <row r="426">
          <cell r="B426" t="b">
            <v>1</v>
          </cell>
          <cell r="E426" t="str">
            <v>Cano de Oro</v>
          </cell>
          <cell r="H426" t="str">
            <v>laboratorio</v>
          </cell>
          <cell r="J426" t="str">
            <v>bueno</v>
          </cell>
          <cell r="K426" t="str">
            <v>defsi</v>
          </cell>
        </row>
        <row r="427">
          <cell r="B427" t="b">
            <v>1</v>
          </cell>
          <cell r="E427" t="str">
            <v>Isla Fuerte</v>
          </cell>
          <cell r="H427" t="str">
            <v>consulta_externa</v>
          </cell>
          <cell r="J427" t="str">
            <v>muybueno</v>
          </cell>
          <cell r="K427" t="str">
            <v>defsi</v>
          </cell>
        </row>
        <row r="428">
          <cell r="B428" t="b">
            <v>1</v>
          </cell>
          <cell r="E428" t="str">
            <v>Hospital Pozon</v>
          </cell>
          <cell r="H428" t="str">
            <v>consulta_externa</v>
          </cell>
          <cell r="J428" t="str">
            <v>bueno</v>
          </cell>
          <cell r="K428" t="str">
            <v>defsi</v>
          </cell>
        </row>
        <row r="429">
          <cell r="B429" t="b">
            <v>1</v>
          </cell>
          <cell r="E429" t="str">
            <v>Cano de Oro</v>
          </cell>
          <cell r="H429" t="str">
            <v>salud_oral</v>
          </cell>
          <cell r="J429" t="str">
            <v>bueno</v>
          </cell>
          <cell r="K429" t="str">
            <v>defsi</v>
          </cell>
        </row>
        <row r="430">
          <cell r="B430" t="b">
            <v>1</v>
          </cell>
          <cell r="E430" t="str">
            <v>Hospital Pozon</v>
          </cell>
          <cell r="H430" t="str">
            <v>salud_oral</v>
          </cell>
          <cell r="J430" t="str">
            <v>bueno</v>
          </cell>
          <cell r="K430" t="str">
            <v>defsi</v>
          </cell>
        </row>
        <row r="431">
          <cell r="B431" t="b">
            <v>1</v>
          </cell>
          <cell r="E431" t="str">
            <v>Isla Fuerte</v>
          </cell>
          <cell r="H431" t="str">
            <v>salud_oral</v>
          </cell>
          <cell r="J431" t="str">
            <v>muybueno</v>
          </cell>
          <cell r="K431" t="str">
            <v>defsi</v>
          </cell>
        </row>
        <row r="432">
          <cell r="B432" t="b">
            <v>1</v>
          </cell>
          <cell r="E432" t="str">
            <v>Hospital Pozon</v>
          </cell>
          <cell r="H432" t="str">
            <v>laboratorio</v>
          </cell>
          <cell r="J432" t="str">
            <v>bueno</v>
          </cell>
          <cell r="K432" t="str">
            <v>defsi</v>
          </cell>
        </row>
        <row r="433">
          <cell r="B433" t="b">
            <v>1</v>
          </cell>
          <cell r="E433" t="str">
            <v>Hospital Pozon</v>
          </cell>
          <cell r="H433" t="str">
            <v>urgencia</v>
          </cell>
          <cell r="J433" t="str">
            <v>bueno</v>
          </cell>
          <cell r="K433" t="str">
            <v>defsi</v>
          </cell>
        </row>
        <row r="434">
          <cell r="B434" t="b">
            <v>1</v>
          </cell>
          <cell r="E434" t="str">
            <v>Isla Fuerte</v>
          </cell>
          <cell r="H434" t="str">
            <v>consulta_externa</v>
          </cell>
          <cell r="J434" t="str">
            <v>muybueno</v>
          </cell>
          <cell r="K434" t="str">
            <v>defsi</v>
          </cell>
        </row>
        <row r="435">
          <cell r="B435" t="b">
            <v>1</v>
          </cell>
          <cell r="E435" t="str">
            <v>Isla Fuerte</v>
          </cell>
          <cell r="H435" t="str">
            <v>laboratorio</v>
          </cell>
          <cell r="J435" t="str">
            <v>muybueno</v>
          </cell>
          <cell r="K435" t="str">
            <v>defsi</v>
          </cell>
        </row>
        <row r="436">
          <cell r="B436" t="b">
            <v>1</v>
          </cell>
          <cell r="E436" t="str">
            <v>Hospital Pozon</v>
          </cell>
          <cell r="H436" t="str">
            <v>rx</v>
          </cell>
          <cell r="J436" t="str">
            <v>bueno</v>
          </cell>
          <cell r="K436" t="str">
            <v>defsi</v>
          </cell>
        </row>
        <row r="437">
          <cell r="B437" t="b">
            <v>1</v>
          </cell>
          <cell r="E437" t="str">
            <v>Hospital Pozon</v>
          </cell>
          <cell r="H437" t="str">
            <v>ginecologia</v>
          </cell>
          <cell r="J437" t="str">
            <v>bueno</v>
          </cell>
          <cell r="K437" t="str">
            <v>defsi</v>
          </cell>
        </row>
        <row r="438">
          <cell r="B438" t="b">
            <v>1</v>
          </cell>
          <cell r="E438" t="str">
            <v>Hospital Pozon</v>
          </cell>
          <cell r="H438" t="str">
            <v>pediatria</v>
          </cell>
          <cell r="J438" t="str">
            <v>bueno</v>
          </cell>
          <cell r="K438" t="str">
            <v>defsi</v>
          </cell>
        </row>
        <row r="439">
          <cell r="B439" t="b">
            <v>1</v>
          </cell>
          <cell r="E439" t="str">
            <v>Hospital Pozon</v>
          </cell>
          <cell r="H439" t="str">
            <v>medicina_interna</v>
          </cell>
          <cell r="J439" t="str">
            <v>bueno</v>
          </cell>
          <cell r="K439" t="str">
            <v>defsi</v>
          </cell>
        </row>
        <row r="440">
          <cell r="B440" t="b">
            <v>1</v>
          </cell>
          <cell r="E440" t="str">
            <v>Cano de Oro</v>
          </cell>
          <cell r="H440" t="str">
            <v>salud_oral</v>
          </cell>
          <cell r="J440" t="str">
            <v>bueno</v>
          </cell>
          <cell r="K440" t="str">
            <v>defsi</v>
          </cell>
        </row>
        <row r="441">
          <cell r="B441" t="b">
            <v>1</v>
          </cell>
          <cell r="E441" t="str">
            <v>Hospital Pozon</v>
          </cell>
          <cell r="H441" t="str">
            <v>consulta_externa</v>
          </cell>
          <cell r="J441" t="str">
            <v>bueno</v>
          </cell>
          <cell r="K441" t="str">
            <v>defsi</v>
          </cell>
        </row>
        <row r="442">
          <cell r="B442" t="b">
            <v>1</v>
          </cell>
          <cell r="E442" t="str">
            <v>Hospital Pozon</v>
          </cell>
          <cell r="H442" t="str">
            <v>salud_oral</v>
          </cell>
          <cell r="J442" t="str">
            <v>bueno</v>
          </cell>
          <cell r="K442" t="str">
            <v>defsi</v>
          </cell>
        </row>
        <row r="443">
          <cell r="B443" t="b">
            <v>1</v>
          </cell>
          <cell r="E443" t="str">
            <v>Isla Fuerte</v>
          </cell>
          <cell r="H443" t="str">
            <v>consulta_externa</v>
          </cell>
          <cell r="J443" t="str">
            <v>muybueno</v>
          </cell>
          <cell r="K443" t="str">
            <v>defsi</v>
          </cell>
        </row>
        <row r="444">
          <cell r="B444" t="b">
            <v>1</v>
          </cell>
          <cell r="E444" t="str">
            <v>Isla Fuerte</v>
          </cell>
          <cell r="H444" t="str">
            <v>laboratorio</v>
          </cell>
          <cell r="J444" t="str">
            <v>muybueno</v>
          </cell>
          <cell r="K444" t="str">
            <v>defsi</v>
          </cell>
        </row>
        <row r="445">
          <cell r="B445" t="b">
            <v>1</v>
          </cell>
          <cell r="E445" t="str">
            <v>Hospital Pozon</v>
          </cell>
          <cell r="H445" t="str">
            <v>laboratorio</v>
          </cell>
          <cell r="J445" t="str">
            <v>bueno</v>
          </cell>
          <cell r="K445" t="str">
            <v>defsi</v>
          </cell>
        </row>
        <row r="446">
          <cell r="B446" t="b">
            <v>1</v>
          </cell>
          <cell r="E446" t="str">
            <v>Arroyo de Piedra</v>
          </cell>
          <cell r="H446" t="str">
            <v>consulta_externa</v>
          </cell>
          <cell r="J446" t="str">
            <v>bueno</v>
          </cell>
          <cell r="K446" t="str">
            <v>probsi</v>
          </cell>
        </row>
        <row r="447">
          <cell r="B447" t="b">
            <v>1</v>
          </cell>
          <cell r="E447" t="str">
            <v>Arroyo de Piedra</v>
          </cell>
          <cell r="H447" t="str">
            <v>consulta_externa</v>
          </cell>
          <cell r="J447" t="str">
            <v>bueno</v>
          </cell>
          <cell r="K447" t="str">
            <v>probsi</v>
          </cell>
        </row>
        <row r="448">
          <cell r="B448" t="b">
            <v>1</v>
          </cell>
          <cell r="E448" t="str">
            <v>Arroyo de Piedra</v>
          </cell>
          <cell r="H448" t="str">
            <v>consulta_externa</v>
          </cell>
          <cell r="J448" t="str">
            <v>bueno</v>
          </cell>
          <cell r="K448" t="str">
            <v>probsi</v>
          </cell>
        </row>
        <row r="449">
          <cell r="B449" t="b">
            <v>1</v>
          </cell>
          <cell r="E449" t="str">
            <v>Arroyo de Piedra</v>
          </cell>
          <cell r="H449" t="str">
            <v>salud_oral</v>
          </cell>
          <cell r="J449" t="str">
            <v>bueno</v>
          </cell>
          <cell r="K449" t="str">
            <v>probsi</v>
          </cell>
        </row>
        <row r="450">
          <cell r="B450" t="b">
            <v>1</v>
          </cell>
          <cell r="E450" t="str">
            <v>Arroyo de Piedra</v>
          </cell>
          <cell r="H450" t="str">
            <v>laboratorio</v>
          </cell>
          <cell r="J450" t="str">
            <v>bueno</v>
          </cell>
          <cell r="K450" t="str">
            <v>probsi</v>
          </cell>
        </row>
        <row r="451">
          <cell r="B451" t="b">
            <v>1</v>
          </cell>
          <cell r="E451" t="str">
            <v>Cano de Oro</v>
          </cell>
          <cell r="H451" t="str">
            <v>laboratorio</v>
          </cell>
          <cell r="J451" t="str">
            <v>bueno</v>
          </cell>
          <cell r="K451" t="str">
            <v>defsi</v>
          </cell>
        </row>
        <row r="452">
          <cell r="B452" t="b">
            <v>1</v>
          </cell>
          <cell r="E452" t="str">
            <v>Cano de Oro</v>
          </cell>
          <cell r="H452" t="str">
            <v>salud_oral</v>
          </cell>
          <cell r="J452" t="str">
            <v>bueno</v>
          </cell>
          <cell r="K452" t="str">
            <v>defsi</v>
          </cell>
        </row>
        <row r="453">
          <cell r="B453" t="b">
            <v>1</v>
          </cell>
          <cell r="E453" t="str">
            <v>Cano de Oro</v>
          </cell>
          <cell r="H453" t="str">
            <v>consulta_externa</v>
          </cell>
          <cell r="J453" t="str">
            <v>bueno</v>
          </cell>
          <cell r="K453" t="str">
            <v>defsi</v>
          </cell>
        </row>
        <row r="454">
          <cell r="B454" t="b">
            <v>1</v>
          </cell>
          <cell r="E454" t="str">
            <v>Arroz Barato</v>
          </cell>
          <cell r="H454" t="str">
            <v>laboratorio</v>
          </cell>
          <cell r="J454" t="str">
            <v>bueno</v>
          </cell>
          <cell r="K454" t="str">
            <v>defsi</v>
          </cell>
        </row>
        <row r="455">
          <cell r="B455" t="b">
            <v>1</v>
          </cell>
          <cell r="E455" t="str">
            <v>Arroyo de Piedra</v>
          </cell>
          <cell r="H455" t="str">
            <v>consulta_externa</v>
          </cell>
          <cell r="J455" t="str">
            <v>bueno</v>
          </cell>
          <cell r="K455" t="str">
            <v>probsi</v>
          </cell>
        </row>
        <row r="456">
          <cell r="B456" t="b">
            <v>1</v>
          </cell>
          <cell r="E456" t="str">
            <v>Arroz Barato</v>
          </cell>
          <cell r="H456" t="str">
            <v>consulta_externa</v>
          </cell>
          <cell r="J456" t="str">
            <v>bueno</v>
          </cell>
          <cell r="K456" t="str">
            <v>defsi</v>
          </cell>
        </row>
        <row r="457">
          <cell r="B457" t="b">
            <v>1</v>
          </cell>
          <cell r="E457" t="str">
            <v>Arroyo de Piedra</v>
          </cell>
          <cell r="H457" t="str">
            <v>salud_oral</v>
          </cell>
          <cell r="J457" t="str">
            <v>bueno</v>
          </cell>
          <cell r="K457" t="str">
            <v>probsi</v>
          </cell>
        </row>
        <row r="458">
          <cell r="B458" t="b">
            <v>1</v>
          </cell>
          <cell r="E458" t="str">
            <v>Hospital Pozon</v>
          </cell>
          <cell r="H458" t="str">
            <v>urgencia</v>
          </cell>
          <cell r="J458" t="str">
            <v>bueno</v>
          </cell>
          <cell r="K458" t="str">
            <v>defsi</v>
          </cell>
        </row>
        <row r="459">
          <cell r="B459" t="b">
            <v>1</v>
          </cell>
          <cell r="E459" t="str">
            <v>Hospital Pozon</v>
          </cell>
          <cell r="H459" t="str">
            <v>rx</v>
          </cell>
          <cell r="J459" t="str">
            <v>bueno</v>
          </cell>
          <cell r="K459" t="str">
            <v>defsi</v>
          </cell>
        </row>
        <row r="460">
          <cell r="B460" t="b">
            <v>1</v>
          </cell>
          <cell r="E460" t="str">
            <v>Cano de Oro</v>
          </cell>
          <cell r="H460" t="str">
            <v>consulta_externa</v>
          </cell>
          <cell r="J460" t="str">
            <v>bueno</v>
          </cell>
          <cell r="K460" t="str">
            <v>defsi</v>
          </cell>
        </row>
        <row r="461">
          <cell r="B461" t="b">
            <v>1</v>
          </cell>
          <cell r="E461" t="str">
            <v>Arroz Barato</v>
          </cell>
          <cell r="H461" t="str">
            <v>consulta_externa</v>
          </cell>
          <cell r="J461" t="str">
            <v>bueno</v>
          </cell>
          <cell r="K461" t="str">
            <v>defsi</v>
          </cell>
        </row>
        <row r="462">
          <cell r="B462" t="b">
            <v>1</v>
          </cell>
          <cell r="E462" t="str">
            <v>Arroz Barato</v>
          </cell>
          <cell r="H462" t="str">
            <v>laboratorio</v>
          </cell>
          <cell r="J462" t="str">
            <v>bueno</v>
          </cell>
          <cell r="K462" t="str">
            <v>defsi</v>
          </cell>
        </row>
        <row r="463">
          <cell r="B463" t="b">
            <v>1</v>
          </cell>
          <cell r="E463" t="str">
            <v>Isla Fuerte</v>
          </cell>
          <cell r="H463" t="str">
            <v>consulta_externa</v>
          </cell>
          <cell r="J463" t="str">
            <v>muybueno</v>
          </cell>
          <cell r="K463" t="str">
            <v>defsi</v>
          </cell>
        </row>
        <row r="464">
          <cell r="B464" t="b">
            <v>1</v>
          </cell>
          <cell r="E464" t="str">
            <v>Arroyo de Piedra</v>
          </cell>
          <cell r="H464" t="str">
            <v>consulta_externa</v>
          </cell>
          <cell r="J464" t="str">
            <v>bueno</v>
          </cell>
          <cell r="K464" t="str">
            <v>probsi</v>
          </cell>
        </row>
        <row r="465">
          <cell r="B465" t="b">
            <v>1</v>
          </cell>
          <cell r="E465" t="str">
            <v>Isla Fuerte</v>
          </cell>
          <cell r="H465" t="str">
            <v>laboratorio</v>
          </cell>
          <cell r="J465" t="str">
            <v>muybueno</v>
          </cell>
          <cell r="K465" t="str">
            <v>defsi</v>
          </cell>
        </row>
        <row r="466">
          <cell r="B466" t="b">
            <v>1</v>
          </cell>
          <cell r="E466" t="str">
            <v>Arroyo de Piedra</v>
          </cell>
          <cell r="H466" t="str">
            <v>consulta_externa</v>
          </cell>
          <cell r="J466" t="str">
            <v>bueno</v>
          </cell>
          <cell r="K466" t="str">
            <v>probsi</v>
          </cell>
        </row>
        <row r="467">
          <cell r="B467" t="b">
            <v>1</v>
          </cell>
          <cell r="E467" t="str">
            <v>Cano de Oro</v>
          </cell>
          <cell r="H467" t="str">
            <v>laboratorio</v>
          </cell>
          <cell r="J467" t="str">
            <v>bueno</v>
          </cell>
          <cell r="K467" t="str">
            <v>defsi</v>
          </cell>
        </row>
        <row r="468">
          <cell r="B468" t="b">
            <v>1</v>
          </cell>
          <cell r="E468" t="str">
            <v>Hospital Pozon</v>
          </cell>
          <cell r="H468" t="str">
            <v>ginecologia</v>
          </cell>
          <cell r="J468" t="str">
            <v>bueno</v>
          </cell>
          <cell r="K468" t="str">
            <v>defsi</v>
          </cell>
        </row>
        <row r="469">
          <cell r="B469" t="b">
            <v>1</v>
          </cell>
          <cell r="E469" t="str">
            <v>Arroz Barato</v>
          </cell>
          <cell r="H469" t="str">
            <v>laboratorio</v>
          </cell>
          <cell r="J469" t="str">
            <v>bueno</v>
          </cell>
          <cell r="K469" t="str">
            <v>defsi</v>
          </cell>
        </row>
        <row r="470">
          <cell r="B470" t="b">
            <v>1</v>
          </cell>
          <cell r="E470" t="str">
            <v>Arroyo de Piedra</v>
          </cell>
          <cell r="H470" t="str">
            <v>consulta_externa</v>
          </cell>
          <cell r="J470" t="str">
            <v>bueno</v>
          </cell>
          <cell r="K470" t="str">
            <v>probsi</v>
          </cell>
        </row>
        <row r="471">
          <cell r="B471" t="b">
            <v>1</v>
          </cell>
          <cell r="E471" t="str">
            <v>Arroyo de Piedra</v>
          </cell>
          <cell r="H471" t="str">
            <v>salud_oral</v>
          </cell>
          <cell r="J471" t="str">
            <v>bueno</v>
          </cell>
          <cell r="K471" t="str">
            <v>probsi</v>
          </cell>
        </row>
        <row r="472">
          <cell r="B472" t="b">
            <v>1</v>
          </cell>
          <cell r="E472" t="str">
            <v>Arroyo de Piedra</v>
          </cell>
          <cell r="H472" t="str">
            <v>salud_oral</v>
          </cell>
          <cell r="J472" t="str">
            <v>bueno</v>
          </cell>
          <cell r="K472" t="str">
            <v>probsi</v>
          </cell>
        </row>
        <row r="473">
          <cell r="B473" t="b">
            <v>1</v>
          </cell>
          <cell r="E473" t="str">
            <v>Arroyo de Piedra</v>
          </cell>
          <cell r="H473" t="str">
            <v>laboratorio</v>
          </cell>
          <cell r="J473" t="str">
            <v>bueno</v>
          </cell>
          <cell r="K473" t="str">
            <v>probsi</v>
          </cell>
        </row>
        <row r="474">
          <cell r="B474" t="b">
            <v>1</v>
          </cell>
          <cell r="E474" t="str">
            <v>Hospital Pozon</v>
          </cell>
          <cell r="H474" t="str">
            <v>pediatria</v>
          </cell>
          <cell r="J474" t="str">
            <v>bueno</v>
          </cell>
          <cell r="K474" t="str">
            <v>defsi</v>
          </cell>
        </row>
        <row r="475">
          <cell r="B475" t="b">
            <v>1</v>
          </cell>
          <cell r="E475" t="str">
            <v>Hospital Pozon</v>
          </cell>
          <cell r="H475" t="str">
            <v>medicina_interna</v>
          </cell>
          <cell r="J475" t="str">
            <v>bueno</v>
          </cell>
          <cell r="K475" t="str">
            <v>defsi</v>
          </cell>
        </row>
        <row r="476">
          <cell r="B476" t="b">
            <v>1</v>
          </cell>
          <cell r="E476" t="str">
            <v>Arroz Barato</v>
          </cell>
          <cell r="H476" t="str">
            <v>laboratorio</v>
          </cell>
          <cell r="J476" t="str">
            <v>bueno</v>
          </cell>
          <cell r="K476" t="str">
            <v>defsi</v>
          </cell>
        </row>
        <row r="477">
          <cell r="B477" t="b">
            <v>0</v>
          </cell>
          <cell r="E477" t="str">
            <v>Cano de Oro</v>
          </cell>
          <cell r="H477" t="str">
            <v>laboratorio</v>
          </cell>
          <cell r="J477" t="str">
            <v>malo</v>
          </cell>
          <cell r="K477" t="str">
            <v>probno</v>
          </cell>
        </row>
        <row r="478">
          <cell r="B478" t="b">
            <v>1</v>
          </cell>
          <cell r="E478" t="str">
            <v>Arroz Barato</v>
          </cell>
          <cell r="H478" t="str">
            <v>consulta_externa</v>
          </cell>
          <cell r="J478" t="str">
            <v>bueno</v>
          </cell>
          <cell r="K478" t="str">
            <v>defsi</v>
          </cell>
        </row>
        <row r="479">
          <cell r="B479" t="b">
            <v>1</v>
          </cell>
          <cell r="E479" t="str">
            <v>Arroz Barato</v>
          </cell>
          <cell r="H479" t="str">
            <v>salud_oral</v>
          </cell>
          <cell r="J479" t="str">
            <v>bueno</v>
          </cell>
          <cell r="K479" t="str">
            <v>defsi</v>
          </cell>
        </row>
        <row r="480">
          <cell r="B480" t="b">
            <v>1</v>
          </cell>
          <cell r="E480" t="str">
            <v>Arroz Barato</v>
          </cell>
          <cell r="H480" t="str">
            <v>consulta_externa</v>
          </cell>
          <cell r="J480" t="str">
            <v>bueno</v>
          </cell>
          <cell r="K480" t="str">
            <v>defsi</v>
          </cell>
        </row>
        <row r="481">
          <cell r="B481" t="b">
            <v>1</v>
          </cell>
          <cell r="E481" t="str">
            <v>Arroz Barato</v>
          </cell>
          <cell r="H481" t="str">
            <v>salud_oral</v>
          </cell>
          <cell r="J481" t="str">
            <v>bueno</v>
          </cell>
          <cell r="K481" t="str">
            <v>defsi</v>
          </cell>
        </row>
        <row r="482">
          <cell r="B482" t="b">
            <v>1</v>
          </cell>
          <cell r="E482" t="str">
            <v>Arroz Barato</v>
          </cell>
          <cell r="H482" t="str">
            <v>salud_oral</v>
          </cell>
          <cell r="J482" t="str">
            <v>bueno</v>
          </cell>
          <cell r="K482" t="str">
            <v>defsi</v>
          </cell>
        </row>
        <row r="483">
          <cell r="B483" t="b">
            <v>1</v>
          </cell>
          <cell r="E483" t="str">
            <v>Arroz Barato</v>
          </cell>
          <cell r="H483" t="str">
            <v>consulta_externa</v>
          </cell>
          <cell r="J483" t="str">
            <v>bueno</v>
          </cell>
          <cell r="K483" t="str">
            <v>defsi</v>
          </cell>
        </row>
        <row r="484">
          <cell r="B484" t="b">
            <v>1</v>
          </cell>
          <cell r="E484" t="str">
            <v>Arroz Barato</v>
          </cell>
          <cell r="H484" t="str">
            <v>salud_oral</v>
          </cell>
          <cell r="J484" t="str">
            <v>bueno</v>
          </cell>
          <cell r="K484" t="str">
            <v>defsi</v>
          </cell>
        </row>
        <row r="485">
          <cell r="B485" t="b">
            <v>1</v>
          </cell>
          <cell r="E485" t="str">
            <v>Arroz Barato</v>
          </cell>
          <cell r="H485" t="str">
            <v>consulta_externa</v>
          </cell>
          <cell r="J485" t="str">
            <v>bueno</v>
          </cell>
          <cell r="K485" t="str">
            <v>defsi</v>
          </cell>
        </row>
        <row r="486">
          <cell r="B486" t="b">
            <v>1</v>
          </cell>
          <cell r="E486" t="str">
            <v>Arroz Barato</v>
          </cell>
          <cell r="H486" t="str">
            <v>salud_oral</v>
          </cell>
          <cell r="J486" t="str">
            <v>bueno</v>
          </cell>
          <cell r="K486" t="str">
            <v>defsi</v>
          </cell>
        </row>
        <row r="487">
          <cell r="B487" t="b">
            <v>1</v>
          </cell>
          <cell r="E487" t="str">
            <v>Arroz Barato</v>
          </cell>
          <cell r="H487" t="str">
            <v>rx</v>
          </cell>
          <cell r="J487" t="str">
            <v>bueno</v>
          </cell>
          <cell r="K487" t="str">
            <v>defsi</v>
          </cell>
        </row>
        <row r="488">
          <cell r="B488" t="b">
            <v>1</v>
          </cell>
          <cell r="E488" t="str">
            <v>Arroz Barato</v>
          </cell>
          <cell r="H488" t="str">
            <v>laboratorio</v>
          </cell>
          <cell r="J488" t="str">
            <v>bueno</v>
          </cell>
          <cell r="K488" t="str">
            <v>defsi</v>
          </cell>
        </row>
        <row r="489">
          <cell r="B489" t="b">
            <v>1</v>
          </cell>
          <cell r="E489" t="str">
            <v>Arroz Barato</v>
          </cell>
          <cell r="H489" t="str">
            <v>rx</v>
          </cell>
          <cell r="J489" t="str">
            <v>bueno</v>
          </cell>
          <cell r="K489" t="str">
            <v>defsi</v>
          </cell>
        </row>
        <row r="490">
          <cell r="B490" t="b">
            <v>1</v>
          </cell>
          <cell r="E490" t="str">
            <v>Arroz Barato</v>
          </cell>
          <cell r="H490" t="str">
            <v>rx</v>
          </cell>
          <cell r="J490" t="str">
            <v>bueno</v>
          </cell>
          <cell r="K490" t="str">
            <v>defsi</v>
          </cell>
        </row>
        <row r="491">
          <cell r="B491" t="b">
            <v>1</v>
          </cell>
          <cell r="E491" t="str">
            <v>Arroz Barato</v>
          </cell>
          <cell r="H491" t="str">
            <v>rx</v>
          </cell>
          <cell r="J491" t="str">
            <v>muybueno</v>
          </cell>
          <cell r="K491" t="str">
            <v>defsi</v>
          </cell>
        </row>
        <row r="492">
          <cell r="B492" t="b">
            <v>1</v>
          </cell>
          <cell r="E492" t="str">
            <v>Arroz Barato</v>
          </cell>
          <cell r="H492" t="str">
            <v>rx</v>
          </cell>
          <cell r="J492" t="str">
            <v>bueno</v>
          </cell>
          <cell r="K492" t="str">
            <v>defsi</v>
          </cell>
        </row>
        <row r="493">
          <cell r="B493" t="b">
            <v>1</v>
          </cell>
          <cell r="E493" t="str">
            <v>Arroz Barato</v>
          </cell>
          <cell r="H493" t="str">
            <v>salud_oral</v>
          </cell>
          <cell r="J493" t="str">
            <v>bueno</v>
          </cell>
          <cell r="K493" t="str">
            <v>defsi</v>
          </cell>
        </row>
        <row r="494">
          <cell r="B494" t="b">
            <v>1</v>
          </cell>
          <cell r="E494" t="str">
            <v>Arroyo de Piedra</v>
          </cell>
          <cell r="H494" t="str">
            <v>consulta_externa</v>
          </cell>
          <cell r="J494" t="str">
            <v>bueno</v>
          </cell>
          <cell r="K494" t="str">
            <v>probsi</v>
          </cell>
        </row>
        <row r="495">
          <cell r="B495" t="b">
            <v>1</v>
          </cell>
          <cell r="E495" t="str">
            <v>Cano de Oro</v>
          </cell>
          <cell r="H495" t="str">
            <v>consulta_externa</v>
          </cell>
          <cell r="J495" t="str">
            <v>bueno</v>
          </cell>
          <cell r="K495" t="str">
            <v>probsi</v>
          </cell>
        </row>
        <row r="496">
          <cell r="B496" t="b">
            <v>1</v>
          </cell>
          <cell r="E496" t="str">
            <v>Arroyo de Piedra</v>
          </cell>
          <cell r="H496" t="str">
            <v>consulta_externa</v>
          </cell>
          <cell r="J496" t="str">
            <v>bueno</v>
          </cell>
          <cell r="K496" t="str">
            <v>probsi</v>
          </cell>
        </row>
        <row r="497">
          <cell r="B497" t="b">
            <v>1</v>
          </cell>
          <cell r="E497" t="str">
            <v>Arroyo de Piedra</v>
          </cell>
          <cell r="H497" t="str">
            <v>consulta_externa</v>
          </cell>
          <cell r="J497" t="str">
            <v>bueno</v>
          </cell>
          <cell r="K497" t="str">
            <v>probsi</v>
          </cell>
        </row>
        <row r="498">
          <cell r="B498" t="b">
            <v>1</v>
          </cell>
          <cell r="E498" t="str">
            <v>Arroyo de Piedra</v>
          </cell>
          <cell r="H498" t="str">
            <v>laboratorio</v>
          </cell>
          <cell r="J498" t="str">
            <v>bueno</v>
          </cell>
          <cell r="K498" t="str">
            <v>probsi</v>
          </cell>
        </row>
        <row r="499">
          <cell r="B499" t="b">
            <v>1</v>
          </cell>
          <cell r="E499" t="str">
            <v>Arroz Barato</v>
          </cell>
          <cell r="H499" t="str">
            <v>laboratorio</v>
          </cell>
          <cell r="J499" t="str">
            <v>bueno</v>
          </cell>
          <cell r="K499" t="str">
            <v>defsi</v>
          </cell>
        </row>
        <row r="500">
          <cell r="B500" t="b">
            <v>1</v>
          </cell>
          <cell r="E500" t="str">
            <v>Cano de Oro</v>
          </cell>
          <cell r="H500" t="str">
            <v>salud_oral</v>
          </cell>
          <cell r="J500" t="str">
            <v>bueno</v>
          </cell>
          <cell r="K500" t="str">
            <v>defsi</v>
          </cell>
        </row>
        <row r="501">
          <cell r="B501" t="b">
            <v>1</v>
          </cell>
          <cell r="E501" t="str">
            <v>Cano de Oro</v>
          </cell>
          <cell r="H501" t="str">
            <v>laboratorio</v>
          </cell>
          <cell r="J501" t="str">
            <v>bueno</v>
          </cell>
          <cell r="K501" t="str">
            <v>defsi</v>
          </cell>
        </row>
        <row r="502">
          <cell r="B502" t="b">
            <v>1</v>
          </cell>
          <cell r="E502" t="str">
            <v>Arroz Barato</v>
          </cell>
          <cell r="H502" t="str">
            <v>consulta_externa</v>
          </cell>
          <cell r="J502" t="str">
            <v>bueno</v>
          </cell>
          <cell r="K502" t="str">
            <v>defsi</v>
          </cell>
        </row>
        <row r="503">
          <cell r="B503" t="b">
            <v>1</v>
          </cell>
          <cell r="E503" t="str">
            <v>Arroyo de Piedra</v>
          </cell>
          <cell r="H503" t="str">
            <v>consulta_externa</v>
          </cell>
          <cell r="J503" t="str">
            <v>bueno</v>
          </cell>
          <cell r="K503" t="str">
            <v>probsi</v>
          </cell>
        </row>
        <row r="504">
          <cell r="B504" t="b">
            <v>0</v>
          </cell>
          <cell r="E504" t="str">
            <v>Arroz Barato</v>
          </cell>
          <cell r="H504" t="str">
            <v>consulta_externa</v>
          </cell>
          <cell r="J504" t="str">
            <v>regular</v>
          </cell>
          <cell r="K504" t="str">
            <v>defsi</v>
          </cell>
        </row>
        <row r="505">
          <cell r="B505" t="b">
            <v>1</v>
          </cell>
          <cell r="E505" t="str">
            <v>Arroyo de Piedra</v>
          </cell>
          <cell r="H505" t="str">
            <v>salud_oral</v>
          </cell>
          <cell r="J505" t="str">
            <v>bueno</v>
          </cell>
          <cell r="K505" t="str">
            <v>probsi</v>
          </cell>
        </row>
        <row r="506">
          <cell r="B506" t="b">
            <v>0</v>
          </cell>
          <cell r="E506" t="str">
            <v>Arroz Barato</v>
          </cell>
          <cell r="H506" t="str">
            <v>laboratorio</v>
          </cell>
          <cell r="J506" t="str">
            <v>regular</v>
          </cell>
          <cell r="K506" t="str">
            <v>defsi</v>
          </cell>
        </row>
        <row r="507">
          <cell r="B507" t="b">
            <v>1</v>
          </cell>
          <cell r="E507" t="str">
            <v>Arroz Barato</v>
          </cell>
          <cell r="H507" t="str">
            <v>consulta_externa</v>
          </cell>
          <cell r="J507" t="str">
            <v>bueno</v>
          </cell>
          <cell r="K507" t="str">
            <v>defsi</v>
          </cell>
        </row>
        <row r="508">
          <cell r="B508" t="b">
            <v>1</v>
          </cell>
          <cell r="E508" t="str">
            <v>Arroz Barato</v>
          </cell>
          <cell r="H508" t="str">
            <v>laboratorio</v>
          </cell>
          <cell r="J508" t="str">
            <v>bueno</v>
          </cell>
          <cell r="K508" t="str">
            <v>defsi</v>
          </cell>
        </row>
        <row r="509">
          <cell r="B509" t="b">
            <v>1</v>
          </cell>
          <cell r="E509" t="str">
            <v>Cano de Oro</v>
          </cell>
          <cell r="H509" t="str">
            <v>consulta_externa</v>
          </cell>
          <cell r="J509" t="str">
            <v>bueno</v>
          </cell>
          <cell r="K509" t="str">
            <v>defsi</v>
          </cell>
        </row>
        <row r="510">
          <cell r="B510" t="b">
            <v>1</v>
          </cell>
          <cell r="E510" t="str">
            <v>Arroyo de Piedra</v>
          </cell>
          <cell r="H510" t="str">
            <v>consulta_externa</v>
          </cell>
          <cell r="J510" t="str">
            <v>muybueno</v>
          </cell>
          <cell r="K510" t="str">
            <v>probsi</v>
          </cell>
        </row>
        <row r="511">
          <cell r="B511" t="b">
            <v>1</v>
          </cell>
          <cell r="E511" t="str">
            <v>Arroyo de Piedra</v>
          </cell>
          <cell r="H511" t="str">
            <v>laboratorio</v>
          </cell>
          <cell r="J511" t="str">
            <v>bueno</v>
          </cell>
          <cell r="K511" t="str">
            <v>probsi</v>
          </cell>
        </row>
        <row r="512">
          <cell r="B512" t="b">
            <v>1</v>
          </cell>
          <cell r="E512" t="str">
            <v>Arroz Barato</v>
          </cell>
          <cell r="H512" t="str">
            <v>consulta_externa</v>
          </cell>
          <cell r="J512" t="str">
            <v>bueno</v>
          </cell>
          <cell r="K512" t="str">
            <v>defsi</v>
          </cell>
        </row>
        <row r="513">
          <cell r="B513" t="b">
            <v>1</v>
          </cell>
          <cell r="E513" t="str">
            <v>Arroz Barato</v>
          </cell>
          <cell r="H513" t="str">
            <v>consulta_externa</v>
          </cell>
          <cell r="J513" t="str">
            <v>bueno</v>
          </cell>
          <cell r="K513" t="str">
            <v>defsi</v>
          </cell>
        </row>
        <row r="514">
          <cell r="B514" t="b">
            <v>1</v>
          </cell>
          <cell r="E514" t="str">
            <v>Arroz Barato</v>
          </cell>
          <cell r="H514" t="str">
            <v>rx</v>
          </cell>
          <cell r="J514" t="str">
            <v>bueno</v>
          </cell>
          <cell r="K514" t="str">
            <v>defsi</v>
          </cell>
        </row>
        <row r="515">
          <cell r="B515" t="b">
            <v>1</v>
          </cell>
          <cell r="E515" t="str">
            <v>Isla Fuerte</v>
          </cell>
          <cell r="H515" t="str">
            <v>salud_oral</v>
          </cell>
          <cell r="J515" t="str">
            <v>muybueno</v>
          </cell>
          <cell r="K515" t="str">
            <v>defsi</v>
          </cell>
        </row>
        <row r="516">
          <cell r="B516" t="b">
            <v>1</v>
          </cell>
          <cell r="E516" t="str">
            <v>Arroz Barato</v>
          </cell>
          <cell r="H516" t="str">
            <v>rx</v>
          </cell>
          <cell r="J516" t="str">
            <v>bueno</v>
          </cell>
          <cell r="K516" t="str">
            <v>defsi</v>
          </cell>
        </row>
        <row r="517">
          <cell r="B517" t="b">
            <v>1</v>
          </cell>
          <cell r="E517" t="str">
            <v>Arroz Barato</v>
          </cell>
          <cell r="H517" t="str">
            <v>rx</v>
          </cell>
          <cell r="J517" t="str">
            <v>bueno</v>
          </cell>
          <cell r="K517" t="str">
            <v>defsi</v>
          </cell>
        </row>
        <row r="518">
          <cell r="B518" t="b">
            <v>1</v>
          </cell>
          <cell r="E518" t="str">
            <v>Arroz Barato</v>
          </cell>
          <cell r="H518" t="str">
            <v>rx</v>
          </cell>
          <cell r="J518" t="str">
            <v>bueno</v>
          </cell>
          <cell r="K518" t="str">
            <v>defsi</v>
          </cell>
        </row>
        <row r="519">
          <cell r="B519" t="b">
            <v>0</v>
          </cell>
          <cell r="E519" t="str">
            <v>Arroyo de Piedra</v>
          </cell>
          <cell r="H519" t="str">
            <v>consulta_externa</v>
          </cell>
          <cell r="J519" t="str">
            <v>regular</v>
          </cell>
          <cell r="K519" t="str">
            <v>probsi</v>
          </cell>
        </row>
        <row r="520">
          <cell r="B520" t="b">
            <v>1</v>
          </cell>
          <cell r="E520" t="str">
            <v>Arroyo de Piedra</v>
          </cell>
          <cell r="H520" t="str">
            <v>laboratorio</v>
          </cell>
          <cell r="J520" t="str">
            <v>bueno</v>
          </cell>
          <cell r="K520" t="str">
            <v>probsi</v>
          </cell>
        </row>
        <row r="521">
          <cell r="B521" t="b">
            <v>1</v>
          </cell>
          <cell r="E521" t="str">
            <v>Arroyo de Piedra</v>
          </cell>
          <cell r="H521" t="str">
            <v>consulta_externa</v>
          </cell>
          <cell r="J521" t="str">
            <v>bueno</v>
          </cell>
          <cell r="K521" t="str">
            <v>probsi</v>
          </cell>
        </row>
        <row r="522">
          <cell r="B522" t="b">
            <v>1</v>
          </cell>
          <cell r="E522" t="str">
            <v>Arroyo de Piedra</v>
          </cell>
          <cell r="H522" t="str">
            <v>laboratorio</v>
          </cell>
          <cell r="J522" t="str">
            <v>bueno</v>
          </cell>
          <cell r="K522" t="str">
            <v>probsi</v>
          </cell>
        </row>
        <row r="523">
          <cell r="B523" t="b">
            <v>0</v>
          </cell>
          <cell r="E523" t="str">
            <v>Arroyo de Piedra</v>
          </cell>
          <cell r="H523" t="str">
            <v>consulta_externa</v>
          </cell>
          <cell r="J523" t="str">
            <v>regular</v>
          </cell>
          <cell r="K523" t="str">
            <v>probsi</v>
          </cell>
        </row>
        <row r="524">
          <cell r="B524" t="b">
            <v>0</v>
          </cell>
          <cell r="E524" t="str">
            <v>Arroyo de Piedra</v>
          </cell>
          <cell r="H524" t="str">
            <v>salud_oral</v>
          </cell>
          <cell r="J524" t="str">
            <v>regular</v>
          </cell>
          <cell r="K524" t="str">
            <v>probsi</v>
          </cell>
        </row>
        <row r="525">
          <cell r="B525" t="b">
            <v>1</v>
          </cell>
          <cell r="E525" t="str">
            <v>Cano de Oro</v>
          </cell>
          <cell r="H525" t="str">
            <v>consulta_externa</v>
          </cell>
          <cell r="J525" t="str">
            <v>muybueno</v>
          </cell>
          <cell r="K525" t="str">
            <v>defsi</v>
          </cell>
        </row>
        <row r="526">
          <cell r="B526" t="b">
            <v>1</v>
          </cell>
          <cell r="E526" t="str">
            <v>Arroyo de Piedra</v>
          </cell>
          <cell r="H526" t="str">
            <v>consulta_externa</v>
          </cell>
          <cell r="J526" t="str">
            <v>muybueno</v>
          </cell>
          <cell r="K526" t="str">
            <v>probsi</v>
          </cell>
        </row>
        <row r="527">
          <cell r="B527" t="b">
            <v>1</v>
          </cell>
          <cell r="E527" t="str">
            <v>Arroyo de Piedra</v>
          </cell>
          <cell r="H527" t="str">
            <v>laboratorio</v>
          </cell>
          <cell r="J527" t="str">
            <v>bueno</v>
          </cell>
          <cell r="K527" t="str">
            <v>probsi</v>
          </cell>
        </row>
        <row r="528">
          <cell r="B528" t="b">
            <v>1</v>
          </cell>
          <cell r="E528" t="str">
            <v>Isla Fuerte</v>
          </cell>
          <cell r="H528" t="str">
            <v>consulta_externa</v>
          </cell>
          <cell r="J528" t="str">
            <v>muybueno</v>
          </cell>
          <cell r="K528" t="str">
            <v>defsi</v>
          </cell>
        </row>
        <row r="529">
          <cell r="B529" t="b">
            <v>1</v>
          </cell>
          <cell r="E529" t="str">
            <v>Isla Fuerte</v>
          </cell>
          <cell r="H529" t="str">
            <v>laboratorio</v>
          </cell>
          <cell r="J529" t="str">
            <v>muybueno</v>
          </cell>
          <cell r="K529" t="str">
            <v>defsi</v>
          </cell>
        </row>
        <row r="530">
          <cell r="B530" t="b">
            <v>1</v>
          </cell>
          <cell r="E530" t="str">
            <v>Cano de Oro</v>
          </cell>
          <cell r="H530" t="str">
            <v>salud_oral</v>
          </cell>
          <cell r="J530" t="str">
            <v>bueno</v>
          </cell>
          <cell r="K530" t="str">
            <v>defsi</v>
          </cell>
        </row>
        <row r="531">
          <cell r="B531" t="b">
            <v>1</v>
          </cell>
          <cell r="E531" t="str">
            <v>Isla Fuerte</v>
          </cell>
          <cell r="H531" t="str">
            <v>consulta_externa</v>
          </cell>
          <cell r="J531" t="str">
            <v>muybueno</v>
          </cell>
          <cell r="K531" t="str">
            <v>defsi</v>
          </cell>
        </row>
        <row r="532">
          <cell r="B532" t="b">
            <v>1</v>
          </cell>
          <cell r="E532" t="str">
            <v>Isla Fuerte</v>
          </cell>
          <cell r="H532" t="str">
            <v>laboratorio</v>
          </cell>
          <cell r="J532" t="str">
            <v>muybueno</v>
          </cell>
          <cell r="K532" t="str">
            <v>defsi</v>
          </cell>
        </row>
        <row r="533">
          <cell r="B533" t="b">
            <v>1</v>
          </cell>
          <cell r="E533" t="str">
            <v>Arroyo de Piedra</v>
          </cell>
          <cell r="H533" t="str">
            <v>consulta_externa</v>
          </cell>
          <cell r="J533" t="str">
            <v>bueno</v>
          </cell>
          <cell r="K533" t="str">
            <v>probsi</v>
          </cell>
        </row>
        <row r="534">
          <cell r="B534" t="b">
            <v>0</v>
          </cell>
          <cell r="E534" t="str">
            <v>Arroyo de Piedra</v>
          </cell>
          <cell r="H534" t="str">
            <v>salud_oral</v>
          </cell>
          <cell r="J534" t="str">
            <v>regular</v>
          </cell>
          <cell r="K534" t="str">
            <v>probsi</v>
          </cell>
        </row>
        <row r="535">
          <cell r="B535" t="b">
            <v>1</v>
          </cell>
          <cell r="E535" t="str">
            <v>Isla Fuerte</v>
          </cell>
          <cell r="H535" t="str">
            <v>consulta_externa</v>
          </cell>
          <cell r="J535" t="str">
            <v>muybueno</v>
          </cell>
          <cell r="K535" t="str">
            <v>defsi</v>
          </cell>
        </row>
        <row r="536">
          <cell r="B536" t="b">
            <v>1</v>
          </cell>
          <cell r="E536" t="str">
            <v>Arroyo de Piedra</v>
          </cell>
          <cell r="H536" t="str">
            <v>consulta_externa</v>
          </cell>
          <cell r="J536" t="str">
            <v>bueno</v>
          </cell>
          <cell r="K536" t="str">
            <v>probsi</v>
          </cell>
        </row>
        <row r="537">
          <cell r="B537" t="b">
            <v>1</v>
          </cell>
          <cell r="E537" t="str">
            <v>Arroyo de Piedra</v>
          </cell>
          <cell r="H537" t="str">
            <v>salud_oral</v>
          </cell>
          <cell r="J537" t="str">
            <v>bueno</v>
          </cell>
          <cell r="K537" t="str">
            <v>probsi</v>
          </cell>
        </row>
        <row r="538">
          <cell r="B538" t="b">
            <v>1</v>
          </cell>
          <cell r="E538" t="str">
            <v>Arroyo de Piedra</v>
          </cell>
          <cell r="H538" t="str">
            <v>consulta_externa</v>
          </cell>
          <cell r="J538" t="str">
            <v>bueno</v>
          </cell>
          <cell r="K538" t="str">
            <v>probsi</v>
          </cell>
        </row>
        <row r="539">
          <cell r="B539" t="b">
            <v>1</v>
          </cell>
          <cell r="E539" t="str">
            <v>Arroyo de Piedra</v>
          </cell>
          <cell r="H539" t="str">
            <v>laboratorio</v>
          </cell>
          <cell r="J539" t="str">
            <v>bueno</v>
          </cell>
          <cell r="K539" t="str">
            <v>probsi</v>
          </cell>
        </row>
        <row r="540">
          <cell r="B540" t="b">
            <v>1</v>
          </cell>
          <cell r="E540" t="str">
            <v>Arroyo de Piedra</v>
          </cell>
          <cell r="H540" t="str">
            <v>salud_oral</v>
          </cell>
          <cell r="J540" t="str">
            <v>bueno</v>
          </cell>
          <cell r="K540" t="str">
            <v>probsi</v>
          </cell>
        </row>
        <row r="541">
          <cell r="B541" t="b">
            <v>1</v>
          </cell>
          <cell r="E541" t="str">
            <v>Arroyo de Piedra</v>
          </cell>
          <cell r="H541" t="str">
            <v>consulta_externa</v>
          </cell>
          <cell r="J541" t="str">
            <v>bueno</v>
          </cell>
          <cell r="K541" t="str">
            <v>probsi</v>
          </cell>
        </row>
        <row r="542">
          <cell r="B542" t="b">
            <v>1</v>
          </cell>
          <cell r="E542" t="str">
            <v>Arroyo de Piedra</v>
          </cell>
          <cell r="H542" t="str">
            <v>laboratorio</v>
          </cell>
          <cell r="J542" t="str">
            <v>bueno</v>
          </cell>
          <cell r="K542" t="str">
            <v>probsi</v>
          </cell>
        </row>
        <row r="543">
          <cell r="B543" t="b">
            <v>1</v>
          </cell>
          <cell r="E543" t="str">
            <v>Cano de Oro</v>
          </cell>
          <cell r="H543" t="str">
            <v>salud_oral</v>
          </cell>
          <cell r="J543" t="str">
            <v>muybueno</v>
          </cell>
          <cell r="K543" t="str">
            <v>defsi</v>
          </cell>
        </row>
        <row r="544">
          <cell r="B544" t="b">
            <v>1</v>
          </cell>
          <cell r="E544" t="str">
            <v>Cano de Oro</v>
          </cell>
          <cell r="H544" t="str">
            <v>salud_oral</v>
          </cell>
          <cell r="J544" t="str">
            <v>muybueno</v>
          </cell>
          <cell r="K544" t="str">
            <v>defsi</v>
          </cell>
        </row>
        <row r="545">
          <cell r="B545" t="b">
            <v>1</v>
          </cell>
          <cell r="E545" t="str">
            <v>Arroyo de Piedra</v>
          </cell>
          <cell r="H545" t="str">
            <v>consulta_externa</v>
          </cell>
          <cell r="J545" t="str">
            <v>bueno</v>
          </cell>
          <cell r="K545" t="str">
            <v>probsi</v>
          </cell>
        </row>
        <row r="546">
          <cell r="B546" t="b">
            <v>1</v>
          </cell>
          <cell r="E546" t="str">
            <v>Arroyo de Piedra</v>
          </cell>
          <cell r="H546" t="str">
            <v>salud_oral</v>
          </cell>
          <cell r="J546" t="str">
            <v>bueno</v>
          </cell>
          <cell r="K546" t="str">
            <v>probsi</v>
          </cell>
        </row>
        <row r="547">
          <cell r="B547" t="b">
            <v>1</v>
          </cell>
          <cell r="E547" t="str">
            <v>Cano de Oro</v>
          </cell>
          <cell r="H547" t="str">
            <v>consulta_externa</v>
          </cell>
          <cell r="J547" t="str">
            <v>muybueno</v>
          </cell>
          <cell r="K547" t="str">
            <v>defsi</v>
          </cell>
        </row>
        <row r="548">
          <cell r="B548" t="b">
            <v>1</v>
          </cell>
          <cell r="E548" t="str">
            <v>Cano de Oro</v>
          </cell>
          <cell r="H548" t="str">
            <v>salud_oral</v>
          </cell>
          <cell r="J548" t="str">
            <v>muybueno</v>
          </cell>
          <cell r="K548" t="str">
            <v>defsi</v>
          </cell>
        </row>
        <row r="549">
          <cell r="B549" t="b">
            <v>1</v>
          </cell>
          <cell r="E549" t="str">
            <v>Arroyo de Piedra</v>
          </cell>
          <cell r="H549" t="str">
            <v>consulta_externa</v>
          </cell>
          <cell r="J549" t="str">
            <v>bueno</v>
          </cell>
          <cell r="K549" t="str">
            <v>probsi</v>
          </cell>
        </row>
        <row r="550">
          <cell r="B550" t="b">
            <v>1</v>
          </cell>
          <cell r="E550" t="str">
            <v>Arroyo de Piedra</v>
          </cell>
          <cell r="H550" t="str">
            <v>salud_oral</v>
          </cell>
          <cell r="J550" t="str">
            <v>bueno</v>
          </cell>
          <cell r="K550" t="str">
            <v>probsi</v>
          </cell>
        </row>
        <row r="551">
          <cell r="B551" t="b">
            <v>1</v>
          </cell>
          <cell r="E551" t="str">
            <v>Arroyo de Piedra</v>
          </cell>
          <cell r="H551" t="str">
            <v>laboratorio</v>
          </cell>
          <cell r="J551" t="str">
            <v>bueno</v>
          </cell>
          <cell r="K551" t="str">
            <v>probsi</v>
          </cell>
        </row>
        <row r="552">
          <cell r="B552" t="b">
            <v>1</v>
          </cell>
          <cell r="E552" t="str">
            <v>Arroz Barato</v>
          </cell>
          <cell r="H552" t="str">
            <v>rx</v>
          </cell>
          <cell r="J552" t="str">
            <v>bueno</v>
          </cell>
          <cell r="K552" t="str">
            <v>defsi</v>
          </cell>
        </row>
        <row r="553">
          <cell r="B553" t="b">
            <v>1</v>
          </cell>
          <cell r="E553" t="str">
            <v>Arroz Barato</v>
          </cell>
          <cell r="H553" t="str">
            <v>rx</v>
          </cell>
          <cell r="J553" t="str">
            <v>bueno</v>
          </cell>
          <cell r="K553" t="str">
            <v>defsi</v>
          </cell>
        </row>
        <row r="554">
          <cell r="B554" t="b">
            <v>1</v>
          </cell>
          <cell r="E554" t="str">
            <v>Arroz Barato</v>
          </cell>
          <cell r="H554" t="str">
            <v>consulta_externa</v>
          </cell>
          <cell r="J554" t="str">
            <v>bueno</v>
          </cell>
          <cell r="K554" t="str">
            <v>defsi</v>
          </cell>
        </row>
        <row r="555">
          <cell r="B555" t="b">
            <v>1</v>
          </cell>
          <cell r="E555" t="str">
            <v>Arroz Barato</v>
          </cell>
          <cell r="H555" t="str">
            <v>laboratorio</v>
          </cell>
          <cell r="J555" t="str">
            <v>bueno</v>
          </cell>
          <cell r="K555" t="str">
            <v>defsi</v>
          </cell>
        </row>
        <row r="556">
          <cell r="B556" t="b">
            <v>1</v>
          </cell>
          <cell r="E556" t="str">
            <v>Arroz Barato</v>
          </cell>
          <cell r="H556" t="str">
            <v>salud_oral</v>
          </cell>
          <cell r="J556" t="str">
            <v>muybueno</v>
          </cell>
          <cell r="K556" t="str">
            <v>defsi</v>
          </cell>
        </row>
        <row r="557">
          <cell r="B557" t="b">
            <v>1</v>
          </cell>
          <cell r="E557" t="str">
            <v>Arroyo de Piedra</v>
          </cell>
          <cell r="H557" t="str">
            <v>consulta_externa</v>
          </cell>
          <cell r="J557" t="str">
            <v>bueno</v>
          </cell>
          <cell r="K557" t="str">
            <v>probsi</v>
          </cell>
        </row>
        <row r="558">
          <cell r="B558" t="b">
            <v>1</v>
          </cell>
          <cell r="E558" t="str">
            <v>Arroyo de Piedra</v>
          </cell>
          <cell r="H558" t="str">
            <v>salud_oral</v>
          </cell>
          <cell r="J558" t="str">
            <v>bueno</v>
          </cell>
          <cell r="K558" t="str">
            <v>probsi</v>
          </cell>
        </row>
        <row r="559">
          <cell r="B559" t="b">
            <v>0</v>
          </cell>
          <cell r="E559" t="str">
            <v>Arroz Barato</v>
          </cell>
          <cell r="H559" t="str">
            <v>consulta_externa</v>
          </cell>
          <cell r="J559" t="str">
            <v>regular</v>
          </cell>
          <cell r="K559" t="str">
            <v>probsi</v>
          </cell>
        </row>
        <row r="560">
          <cell r="B560" t="b">
            <v>0</v>
          </cell>
          <cell r="E560" t="str">
            <v>Arroz Barato</v>
          </cell>
          <cell r="H560" t="str">
            <v>salud_oral</v>
          </cell>
          <cell r="J560" t="str">
            <v>regular</v>
          </cell>
          <cell r="K560" t="str">
            <v>probsi</v>
          </cell>
        </row>
        <row r="561">
          <cell r="B561" t="b">
            <v>1</v>
          </cell>
          <cell r="E561" t="str">
            <v>Arroyo de Piedra</v>
          </cell>
          <cell r="H561" t="str">
            <v>consulta_externa</v>
          </cell>
          <cell r="J561" t="str">
            <v>bueno</v>
          </cell>
          <cell r="K561" t="str">
            <v>probsi</v>
          </cell>
        </row>
        <row r="562">
          <cell r="B562" t="b">
            <v>1</v>
          </cell>
          <cell r="E562" t="str">
            <v>Arroyo de Piedra</v>
          </cell>
          <cell r="H562" t="str">
            <v>laboratorio</v>
          </cell>
          <cell r="J562" t="str">
            <v>bueno</v>
          </cell>
          <cell r="K562" t="str">
            <v>probsi</v>
          </cell>
        </row>
        <row r="563">
          <cell r="B563" t="b">
            <v>1</v>
          </cell>
          <cell r="E563" t="str">
            <v>Hospital Pozon</v>
          </cell>
          <cell r="H563" t="str">
            <v>consulta_externa</v>
          </cell>
          <cell r="J563" t="str">
            <v>bueno</v>
          </cell>
          <cell r="K563" t="str">
            <v>defsi</v>
          </cell>
        </row>
        <row r="564">
          <cell r="B564" t="b">
            <v>1</v>
          </cell>
          <cell r="E564" t="str">
            <v>Hospital Pozon</v>
          </cell>
          <cell r="H564" t="str">
            <v>salud_oral</v>
          </cell>
          <cell r="J564" t="str">
            <v>bueno</v>
          </cell>
          <cell r="K564" t="str">
            <v>defsi</v>
          </cell>
        </row>
        <row r="565">
          <cell r="B565" t="b">
            <v>1</v>
          </cell>
          <cell r="E565" t="str">
            <v>Arroyo de Piedra</v>
          </cell>
          <cell r="H565" t="str">
            <v>salud_oral</v>
          </cell>
          <cell r="J565" t="str">
            <v>bueno</v>
          </cell>
          <cell r="K565" t="str">
            <v>probsi</v>
          </cell>
        </row>
        <row r="566">
          <cell r="B566" t="b">
            <v>1</v>
          </cell>
          <cell r="E566" t="str">
            <v>Arroyo de Piedra</v>
          </cell>
          <cell r="H566" t="str">
            <v>consulta_externa</v>
          </cell>
          <cell r="J566" t="str">
            <v>bueno</v>
          </cell>
          <cell r="K566" t="str">
            <v>probsi</v>
          </cell>
        </row>
        <row r="567">
          <cell r="B567" t="b">
            <v>1</v>
          </cell>
          <cell r="E567" t="str">
            <v>Arroyo de Piedra</v>
          </cell>
          <cell r="H567" t="str">
            <v>laboratorio</v>
          </cell>
          <cell r="J567" t="str">
            <v>bueno</v>
          </cell>
          <cell r="K567" t="str">
            <v>probsi</v>
          </cell>
        </row>
        <row r="568">
          <cell r="B568" t="b">
            <v>1</v>
          </cell>
          <cell r="E568" t="str">
            <v>Hospital Pozon</v>
          </cell>
          <cell r="H568" t="str">
            <v>laboratorio</v>
          </cell>
          <cell r="J568" t="str">
            <v>bueno</v>
          </cell>
          <cell r="K568" t="str">
            <v>defsi</v>
          </cell>
        </row>
        <row r="569">
          <cell r="B569" t="b">
            <v>1</v>
          </cell>
          <cell r="E569" t="str">
            <v>Hospital Pozon</v>
          </cell>
          <cell r="H569" t="str">
            <v>urgencia</v>
          </cell>
          <cell r="J569" t="str">
            <v>bueno</v>
          </cell>
          <cell r="K569" t="str">
            <v>defsi</v>
          </cell>
        </row>
        <row r="570">
          <cell r="B570" t="b">
            <v>1</v>
          </cell>
          <cell r="E570" t="str">
            <v>Hospital Pozon</v>
          </cell>
          <cell r="H570" t="str">
            <v>rx</v>
          </cell>
          <cell r="J570" t="str">
            <v>bueno</v>
          </cell>
          <cell r="K570" t="str">
            <v>defsi</v>
          </cell>
        </row>
        <row r="571">
          <cell r="B571" t="b">
            <v>1</v>
          </cell>
          <cell r="E571" t="str">
            <v>Hospital Pozon</v>
          </cell>
          <cell r="H571" t="str">
            <v>ginecologia</v>
          </cell>
          <cell r="J571" t="str">
            <v>bueno</v>
          </cell>
          <cell r="K571" t="str">
            <v>defsi</v>
          </cell>
        </row>
        <row r="572">
          <cell r="B572" t="b">
            <v>1</v>
          </cell>
          <cell r="E572" t="str">
            <v>Hospital Pozon</v>
          </cell>
          <cell r="H572" t="str">
            <v>pediatria</v>
          </cell>
          <cell r="J572" t="str">
            <v>bueno</v>
          </cell>
          <cell r="K572" t="str">
            <v>defsi</v>
          </cell>
        </row>
        <row r="573">
          <cell r="B573" t="b">
            <v>1</v>
          </cell>
          <cell r="E573" t="str">
            <v>Hospital Pozon</v>
          </cell>
          <cell r="H573" t="str">
            <v>medicina_interna</v>
          </cell>
          <cell r="J573" t="str">
            <v>bueno</v>
          </cell>
          <cell r="K573" t="str">
            <v>defsi</v>
          </cell>
        </row>
        <row r="574">
          <cell r="B574" t="b">
            <v>1</v>
          </cell>
          <cell r="E574" t="str">
            <v>Hospital Pozon</v>
          </cell>
          <cell r="H574" t="str">
            <v>consulta_externa</v>
          </cell>
          <cell r="J574" t="str">
            <v>bueno</v>
          </cell>
          <cell r="K574" t="str">
            <v>defsi</v>
          </cell>
        </row>
        <row r="575">
          <cell r="B575" t="b">
            <v>1</v>
          </cell>
          <cell r="E575" t="str">
            <v>Hospital Pozon</v>
          </cell>
          <cell r="H575" t="str">
            <v>salud_oral</v>
          </cell>
          <cell r="J575" t="str">
            <v>bueno</v>
          </cell>
          <cell r="K575" t="str">
            <v>defsi</v>
          </cell>
        </row>
        <row r="576">
          <cell r="B576" t="b">
            <v>1</v>
          </cell>
          <cell r="E576" t="str">
            <v>Hospital Pozon</v>
          </cell>
          <cell r="H576" t="str">
            <v>laboratorio</v>
          </cell>
          <cell r="J576" t="str">
            <v>bueno</v>
          </cell>
          <cell r="K576" t="str">
            <v>defsi</v>
          </cell>
        </row>
        <row r="577">
          <cell r="B577" t="b">
            <v>1</v>
          </cell>
          <cell r="E577" t="str">
            <v>Hospital Pozon</v>
          </cell>
          <cell r="H577" t="str">
            <v>urgencia</v>
          </cell>
          <cell r="J577" t="str">
            <v>bueno</v>
          </cell>
          <cell r="K577" t="str">
            <v>defsi</v>
          </cell>
        </row>
        <row r="578">
          <cell r="B578" t="b">
            <v>1</v>
          </cell>
          <cell r="E578" t="str">
            <v>Hospital Pozon</v>
          </cell>
          <cell r="H578" t="str">
            <v>rx</v>
          </cell>
          <cell r="J578" t="str">
            <v>bueno</v>
          </cell>
          <cell r="K578" t="str">
            <v>defsi</v>
          </cell>
        </row>
        <row r="579">
          <cell r="B579" t="b">
            <v>1</v>
          </cell>
          <cell r="E579" t="str">
            <v>Hospital Pozon</v>
          </cell>
          <cell r="H579" t="str">
            <v>ginecologia</v>
          </cell>
          <cell r="J579" t="str">
            <v>bueno</v>
          </cell>
          <cell r="K579" t="str">
            <v>defsi</v>
          </cell>
        </row>
        <row r="580">
          <cell r="B580" t="b">
            <v>1</v>
          </cell>
          <cell r="E580" t="str">
            <v>Hospital Pozon</v>
          </cell>
          <cell r="H580" t="str">
            <v>pediatria</v>
          </cell>
          <cell r="J580" t="str">
            <v>bueno</v>
          </cell>
          <cell r="K580" t="str">
            <v>defsi</v>
          </cell>
        </row>
        <row r="581">
          <cell r="B581" t="b">
            <v>1</v>
          </cell>
          <cell r="E581" t="str">
            <v>Hospital Pozon</v>
          </cell>
          <cell r="H581" t="str">
            <v>consulta_externa</v>
          </cell>
          <cell r="J581" t="str">
            <v>bueno</v>
          </cell>
          <cell r="K581" t="str">
            <v>defsi</v>
          </cell>
        </row>
        <row r="582">
          <cell r="B582" t="b">
            <v>1</v>
          </cell>
          <cell r="E582" t="str">
            <v>Hospital Pozon</v>
          </cell>
          <cell r="H582" t="str">
            <v>salud_oral</v>
          </cell>
          <cell r="J582" t="str">
            <v>bueno</v>
          </cell>
          <cell r="K582" t="str">
            <v>defsi</v>
          </cell>
        </row>
        <row r="583">
          <cell r="B583" t="b">
            <v>1</v>
          </cell>
          <cell r="E583" t="str">
            <v>Hospital Pozon</v>
          </cell>
          <cell r="H583" t="str">
            <v>laboratorio</v>
          </cell>
          <cell r="J583" t="str">
            <v>bueno</v>
          </cell>
          <cell r="K583" t="str">
            <v>defsi</v>
          </cell>
        </row>
        <row r="584">
          <cell r="B584" t="b">
            <v>1</v>
          </cell>
          <cell r="E584" t="str">
            <v>Hospital Pozon</v>
          </cell>
          <cell r="H584" t="str">
            <v>urgencia</v>
          </cell>
          <cell r="J584" t="str">
            <v>bueno</v>
          </cell>
          <cell r="K584" t="str">
            <v>defsi</v>
          </cell>
        </row>
        <row r="585">
          <cell r="B585" t="b">
            <v>1</v>
          </cell>
          <cell r="E585" t="str">
            <v>Hospital Pozon</v>
          </cell>
          <cell r="H585" t="str">
            <v>rx</v>
          </cell>
          <cell r="J585" t="str">
            <v>bueno</v>
          </cell>
          <cell r="K585" t="str">
            <v>defsi</v>
          </cell>
        </row>
        <row r="586">
          <cell r="B586" t="b">
            <v>1</v>
          </cell>
          <cell r="E586" t="str">
            <v>Hospital Pozon</v>
          </cell>
          <cell r="H586" t="str">
            <v>ginecologia</v>
          </cell>
          <cell r="J586" t="str">
            <v>bueno</v>
          </cell>
          <cell r="K586" t="str">
            <v>defsi</v>
          </cell>
        </row>
        <row r="587">
          <cell r="B587" t="b">
            <v>1</v>
          </cell>
          <cell r="E587" t="str">
            <v>Hospital Pozon</v>
          </cell>
          <cell r="H587" t="str">
            <v>pediatria</v>
          </cell>
          <cell r="J587" t="str">
            <v>bueno</v>
          </cell>
          <cell r="K587" t="str">
            <v>defsi</v>
          </cell>
        </row>
        <row r="588">
          <cell r="B588" t="b">
            <v>1</v>
          </cell>
          <cell r="E588" t="str">
            <v>Hospital Pozon</v>
          </cell>
          <cell r="H588" t="str">
            <v>consulta_externa</v>
          </cell>
          <cell r="J588" t="str">
            <v>bueno</v>
          </cell>
          <cell r="K588" t="str">
            <v>defsi</v>
          </cell>
        </row>
        <row r="589">
          <cell r="B589" t="b">
            <v>1</v>
          </cell>
          <cell r="E589" t="str">
            <v>Hospital Pozon</v>
          </cell>
          <cell r="H589" t="str">
            <v>salud_oral</v>
          </cell>
          <cell r="J589" t="str">
            <v>bueno</v>
          </cell>
          <cell r="K589" t="str">
            <v>defsi</v>
          </cell>
        </row>
        <row r="590">
          <cell r="B590" t="b">
            <v>1</v>
          </cell>
          <cell r="E590" t="str">
            <v>Hospital Pozon</v>
          </cell>
          <cell r="H590" t="str">
            <v>laboratorio</v>
          </cell>
          <cell r="J590" t="str">
            <v>bueno</v>
          </cell>
          <cell r="K590" t="str">
            <v>defsi</v>
          </cell>
        </row>
        <row r="591">
          <cell r="B591" t="b">
            <v>1</v>
          </cell>
          <cell r="E591" t="str">
            <v>Hospital Pozon</v>
          </cell>
          <cell r="H591" t="str">
            <v>urgencia</v>
          </cell>
          <cell r="J591" t="str">
            <v>bueno</v>
          </cell>
          <cell r="K591" t="str">
            <v>defsi</v>
          </cell>
        </row>
        <row r="592">
          <cell r="B592" t="b">
            <v>1</v>
          </cell>
          <cell r="E592" t="str">
            <v>Hospital Pozon</v>
          </cell>
          <cell r="H592" t="str">
            <v>rx</v>
          </cell>
          <cell r="J592" t="str">
            <v>bueno</v>
          </cell>
          <cell r="K592" t="str">
            <v>defsi</v>
          </cell>
        </row>
        <row r="593">
          <cell r="B593" t="b">
            <v>1</v>
          </cell>
          <cell r="E593" t="str">
            <v>Hospital Pozon</v>
          </cell>
          <cell r="H593" t="str">
            <v>ginecologia</v>
          </cell>
          <cell r="J593" t="str">
            <v>bueno</v>
          </cell>
          <cell r="K593" t="str">
            <v>defsi</v>
          </cell>
        </row>
        <row r="594">
          <cell r="B594" t="b">
            <v>1</v>
          </cell>
          <cell r="E594" t="str">
            <v>Hospital Pozon</v>
          </cell>
          <cell r="H594" t="str">
            <v>pediatria</v>
          </cell>
          <cell r="J594" t="str">
            <v>bueno</v>
          </cell>
          <cell r="K594" t="str">
            <v>defsi</v>
          </cell>
        </row>
        <row r="595">
          <cell r="B595" t="b">
            <v>1</v>
          </cell>
          <cell r="E595" t="str">
            <v>Hospital Pozon</v>
          </cell>
          <cell r="H595" t="str">
            <v>consulta_externa</v>
          </cell>
          <cell r="J595" t="str">
            <v>bueno</v>
          </cell>
          <cell r="K595" t="str">
            <v>defsi</v>
          </cell>
        </row>
        <row r="596">
          <cell r="B596" t="b">
            <v>1</v>
          </cell>
          <cell r="E596" t="str">
            <v>Hospital Pozon</v>
          </cell>
          <cell r="H596" t="str">
            <v>salud_oral</v>
          </cell>
          <cell r="J596" t="str">
            <v>bueno</v>
          </cell>
          <cell r="K596" t="str">
            <v>defsi</v>
          </cell>
        </row>
        <row r="597">
          <cell r="B597" t="b">
            <v>1</v>
          </cell>
          <cell r="E597" t="str">
            <v>Hospital Pozon</v>
          </cell>
          <cell r="H597" t="str">
            <v>laboratorio</v>
          </cell>
          <cell r="J597" t="str">
            <v>bueno</v>
          </cell>
          <cell r="K597" t="str">
            <v>defsi</v>
          </cell>
        </row>
        <row r="598">
          <cell r="B598" t="b">
            <v>1</v>
          </cell>
          <cell r="E598" t="str">
            <v>Hospital Pozon</v>
          </cell>
          <cell r="H598" t="str">
            <v>rx</v>
          </cell>
          <cell r="J598" t="str">
            <v>bueno</v>
          </cell>
          <cell r="K598" t="str">
            <v>defsi</v>
          </cell>
        </row>
        <row r="599">
          <cell r="B599" t="b">
            <v>1</v>
          </cell>
          <cell r="E599" t="str">
            <v>Hospital Pozon</v>
          </cell>
          <cell r="H599" t="str">
            <v>ginecologia</v>
          </cell>
          <cell r="J599" t="str">
            <v>bueno</v>
          </cell>
          <cell r="K599" t="str">
            <v>defsi</v>
          </cell>
        </row>
        <row r="600">
          <cell r="B600" t="b">
            <v>1</v>
          </cell>
          <cell r="E600" t="str">
            <v>Hospital Pozon</v>
          </cell>
          <cell r="H600" t="str">
            <v>pediatria</v>
          </cell>
          <cell r="J600" t="str">
            <v>bueno</v>
          </cell>
          <cell r="K600" t="str">
            <v>defsi</v>
          </cell>
        </row>
        <row r="601">
          <cell r="B601" t="b">
            <v>1</v>
          </cell>
          <cell r="E601" t="str">
            <v>Hospital Pozon</v>
          </cell>
          <cell r="H601" t="str">
            <v>urgencia</v>
          </cell>
          <cell r="J601" t="str">
            <v>bueno</v>
          </cell>
          <cell r="K601" t="str">
            <v>defsi</v>
          </cell>
        </row>
        <row r="602">
          <cell r="B602" t="b">
            <v>1</v>
          </cell>
          <cell r="E602" t="str">
            <v>Hospital Pozon</v>
          </cell>
          <cell r="H602" t="str">
            <v>consulta_externa</v>
          </cell>
          <cell r="J602" t="str">
            <v>bueno</v>
          </cell>
          <cell r="K602" t="str">
            <v>defsi</v>
          </cell>
        </row>
        <row r="603">
          <cell r="B603" t="b">
            <v>1</v>
          </cell>
          <cell r="E603" t="str">
            <v>Hospital Pozon</v>
          </cell>
          <cell r="H603" t="str">
            <v>salud_oral</v>
          </cell>
          <cell r="J603" t="str">
            <v>bueno</v>
          </cell>
          <cell r="K603" t="str">
            <v>defsi</v>
          </cell>
        </row>
        <row r="604">
          <cell r="B604" t="b">
            <v>1</v>
          </cell>
          <cell r="E604" t="str">
            <v>Hospital Pozon</v>
          </cell>
          <cell r="H604" t="str">
            <v>laboratorio</v>
          </cell>
          <cell r="J604" t="str">
            <v>bueno</v>
          </cell>
          <cell r="K604" t="str">
            <v>defsi</v>
          </cell>
        </row>
        <row r="605">
          <cell r="B605" t="b">
            <v>1</v>
          </cell>
          <cell r="E605" t="str">
            <v>Hospital Pozon</v>
          </cell>
          <cell r="H605" t="str">
            <v>urgencia</v>
          </cell>
          <cell r="J605" t="str">
            <v>bueno</v>
          </cell>
          <cell r="K605" t="str">
            <v>defsi</v>
          </cell>
        </row>
        <row r="606">
          <cell r="B606" t="b">
            <v>1</v>
          </cell>
          <cell r="E606" t="str">
            <v>Hospital Pozon</v>
          </cell>
          <cell r="H606" t="str">
            <v>rx</v>
          </cell>
          <cell r="J606" t="str">
            <v>bueno</v>
          </cell>
          <cell r="K606" t="str">
            <v>defsi</v>
          </cell>
        </row>
        <row r="607">
          <cell r="B607" t="b">
            <v>1</v>
          </cell>
          <cell r="E607" t="str">
            <v>Hospital Pozon</v>
          </cell>
          <cell r="H607" t="str">
            <v>ginecologia</v>
          </cell>
          <cell r="J607" t="str">
            <v>bueno</v>
          </cell>
          <cell r="K607" t="str">
            <v>defsi</v>
          </cell>
        </row>
        <row r="608">
          <cell r="B608" t="b">
            <v>1</v>
          </cell>
          <cell r="E608" t="str">
            <v>Hospital Pozon</v>
          </cell>
          <cell r="H608" t="str">
            <v>pediatria</v>
          </cell>
          <cell r="J608" t="str">
            <v>bueno</v>
          </cell>
          <cell r="K608" t="str">
            <v>defsi</v>
          </cell>
        </row>
        <row r="609">
          <cell r="B609" t="b">
            <v>1</v>
          </cell>
          <cell r="E609" t="str">
            <v>Hospital Pozon</v>
          </cell>
          <cell r="H609" t="str">
            <v>consulta_externa</v>
          </cell>
          <cell r="J609" t="str">
            <v>bueno</v>
          </cell>
          <cell r="K609" t="str">
            <v>defsi</v>
          </cell>
        </row>
        <row r="610">
          <cell r="B610" t="b">
            <v>1</v>
          </cell>
          <cell r="E610" t="str">
            <v>Hospital Pozon</v>
          </cell>
          <cell r="H610" t="str">
            <v>salud_oral</v>
          </cell>
          <cell r="J610" t="str">
            <v>bueno</v>
          </cell>
          <cell r="K610" t="str">
            <v>defsi</v>
          </cell>
        </row>
        <row r="611">
          <cell r="B611" t="b">
            <v>1</v>
          </cell>
          <cell r="E611" t="str">
            <v>Hospital Pozon</v>
          </cell>
          <cell r="H611" t="str">
            <v>laboratorio</v>
          </cell>
          <cell r="J611" t="str">
            <v>bueno</v>
          </cell>
          <cell r="K611" t="str">
            <v>defsi</v>
          </cell>
        </row>
        <row r="612">
          <cell r="B612" t="b">
            <v>1</v>
          </cell>
          <cell r="E612" t="str">
            <v>Arroz Barato</v>
          </cell>
          <cell r="H612" t="str">
            <v>salud_oral</v>
          </cell>
          <cell r="J612" t="str">
            <v>bueno</v>
          </cell>
          <cell r="K612" t="str">
            <v>defsi</v>
          </cell>
        </row>
        <row r="613">
          <cell r="B613" t="b">
            <v>1</v>
          </cell>
          <cell r="E613" t="str">
            <v>Arroz Barato</v>
          </cell>
          <cell r="H613" t="str">
            <v>salud_oral</v>
          </cell>
          <cell r="J613" t="str">
            <v>muybueno</v>
          </cell>
          <cell r="K613" t="str">
            <v>defsi</v>
          </cell>
        </row>
        <row r="614">
          <cell r="B614" t="b">
            <v>1</v>
          </cell>
          <cell r="E614" t="str">
            <v>Arroz Barato</v>
          </cell>
          <cell r="H614" t="str">
            <v>salud_oral</v>
          </cell>
          <cell r="J614" t="str">
            <v>bueno</v>
          </cell>
          <cell r="K614" t="str">
            <v>defsi</v>
          </cell>
        </row>
        <row r="615">
          <cell r="B615" t="b">
            <v>1</v>
          </cell>
          <cell r="E615" t="str">
            <v>Arroz Barato</v>
          </cell>
          <cell r="H615" t="str">
            <v>salud_oral</v>
          </cell>
          <cell r="J615" t="str">
            <v>bueno</v>
          </cell>
          <cell r="K615" t="str">
            <v>defsi</v>
          </cell>
        </row>
        <row r="616">
          <cell r="B616" t="b">
            <v>1</v>
          </cell>
          <cell r="E616" t="str">
            <v>Arroz Barato</v>
          </cell>
          <cell r="H616" t="str">
            <v>consulta_externa</v>
          </cell>
          <cell r="J616" t="str">
            <v>bueno</v>
          </cell>
          <cell r="K616" t="str">
            <v>defsi</v>
          </cell>
        </row>
        <row r="617">
          <cell r="B617" t="b">
            <v>1</v>
          </cell>
          <cell r="E617" t="str">
            <v>Arroz Barato</v>
          </cell>
          <cell r="H617" t="str">
            <v>laboratorio</v>
          </cell>
          <cell r="J617" t="str">
            <v>bueno</v>
          </cell>
          <cell r="K617" t="str">
            <v>defsi</v>
          </cell>
        </row>
        <row r="618">
          <cell r="B618" t="b">
            <v>1</v>
          </cell>
          <cell r="E618" t="str">
            <v>Arroz Barato</v>
          </cell>
          <cell r="H618" t="str">
            <v>laboratorio</v>
          </cell>
          <cell r="J618" t="str">
            <v>bueno</v>
          </cell>
          <cell r="K618" t="str">
            <v>defsi</v>
          </cell>
        </row>
        <row r="619">
          <cell r="B619" t="b">
            <v>1</v>
          </cell>
          <cell r="E619" t="str">
            <v>Arroz Barato</v>
          </cell>
          <cell r="H619" t="str">
            <v>laboratorio</v>
          </cell>
          <cell r="J619" t="str">
            <v>bueno</v>
          </cell>
          <cell r="K619" t="str">
            <v>defsi</v>
          </cell>
        </row>
        <row r="620">
          <cell r="B620" t="b">
            <v>1</v>
          </cell>
          <cell r="E620" t="str">
            <v>Arroz Barato</v>
          </cell>
          <cell r="H620" t="str">
            <v>rx</v>
          </cell>
          <cell r="J620" t="str">
            <v>bueno</v>
          </cell>
          <cell r="K620" t="str">
            <v>defsi</v>
          </cell>
        </row>
        <row r="621">
          <cell r="B621" t="b">
            <v>1</v>
          </cell>
          <cell r="E621" t="str">
            <v>Los Cerros</v>
          </cell>
          <cell r="H621" t="str">
            <v>consulta_externa</v>
          </cell>
          <cell r="J621" t="str">
            <v>bueno</v>
          </cell>
          <cell r="K621" t="str">
            <v>defsi</v>
          </cell>
        </row>
        <row r="622">
          <cell r="B622" t="b">
            <v>1</v>
          </cell>
          <cell r="E622" t="str">
            <v>Los Cerros</v>
          </cell>
          <cell r="H622" t="str">
            <v>consulta_externa</v>
          </cell>
          <cell r="J622" t="str">
            <v>bueno</v>
          </cell>
          <cell r="K622" t="str">
            <v>defsi</v>
          </cell>
        </row>
        <row r="623">
          <cell r="B623" t="b">
            <v>1</v>
          </cell>
          <cell r="E623" t="str">
            <v>Los Cerros</v>
          </cell>
          <cell r="H623" t="str">
            <v>salud_oral</v>
          </cell>
          <cell r="J623" t="str">
            <v>bueno</v>
          </cell>
          <cell r="K623" t="str">
            <v>defsi</v>
          </cell>
        </row>
        <row r="624">
          <cell r="B624" t="b">
            <v>1</v>
          </cell>
          <cell r="E624" t="str">
            <v>Los Cerros</v>
          </cell>
          <cell r="H624" t="str">
            <v>consulta_externa</v>
          </cell>
          <cell r="J624" t="str">
            <v>bueno</v>
          </cell>
          <cell r="K624" t="str">
            <v>defsi</v>
          </cell>
        </row>
        <row r="625">
          <cell r="B625" t="b">
            <v>1</v>
          </cell>
          <cell r="E625" t="str">
            <v>Los Cerros</v>
          </cell>
          <cell r="H625" t="str">
            <v>salud_oral</v>
          </cell>
          <cell r="J625" t="str">
            <v>bueno</v>
          </cell>
          <cell r="K625" t="str">
            <v>defsi</v>
          </cell>
        </row>
        <row r="626">
          <cell r="B626" t="b">
            <v>1</v>
          </cell>
          <cell r="E626" t="str">
            <v>Los Cerros</v>
          </cell>
          <cell r="H626" t="str">
            <v>consulta_externa</v>
          </cell>
          <cell r="J626" t="str">
            <v>bueno</v>
          </cell>
          <cell r="K626" t="str">
            <v>defsi</v>
          </cell>
        </row>
        <row r="627">
          <cell r="B627" t="b">
            <v>1</v>
          </cell>
          <cell r="E627" t="str">
            <v>Los Cerros</v>
          </cell>
          <cell r="H627" t="str">
            <v>salud_oral</v>
          </cell>
          <cell r="J627" t="str">
            <v>bueno</v>
          </cell>
          <cell r="K627" t="str">
            <v>defsi</v>
          </cell>
        </row>
        <row r="628">
          <cell r="B628" t="b">
            <v>1</v>
          </cell>
          <cell r="E628" t="str">
            <v>Los Cerros</v>
          </cell>
          <cell r="H628" t="str">
            <v>consulta_externa</v>
          </cell>
          <cell r="J628" t="str">
            <v>bueno</v>
          </cell>
          <cell r="K628" t="str">
            <v>defsi</v>
          </cell>
        </row>
        <row r="629">
          <cell r="B629" t="b">
            <v>1</v>
          </cell>
          <cell r="E629" t="str">
            <v>Isla Fuerte</v>
          </cell>
          <cell r="H629" t="str">
            <v>consulta_externa</v>
          </cell>
          <cell r="J629" t="str">
            <v>muybueno</v>
          </cell>
          <cell r="K629" t="str">
            <v>defsi</v>
          </cell>
        </row>
        <row r="630">
          <cell r="B630" t="b">
            <v>1</v>
          </cell>
          <cell r="E630" t="str">
            <v>Los Cerros</v>
          </cell>
          <cell r="H630" t="str">
            <v>consulta_externa</v>
          </cell>
          <cell r="J630" t="str">
            <v>bueno</v>
          </cell>
          <cell r="K630" t="str">
            <v>defsi</v>
          </cell>
        </row>
        <row r="631">
          <cell r="B631" t="b">
            <v>1</v>
          </cell>
          <cell r="E631" t="str">
            <v>Isla Fuerte</v>
          </cell>
          <cell r="H631" t="str">
            <v>consulta_externa</v>
          </cell>
          <cell r="J631" t="str">
            <v>muybueno</v>
          </cell>
          <cell r="K631" t="str">
            <v>defsi</v>
          </cell>
        </row>
        <row r="632">
          <cell r="B632" t="b">
            <v>1</v>
          </cell>
          <cell r="E632" t="str">
            <v>Isla Fuerte</v>
          </cell>
          <cell r="H632" t="str">
            <v>laboratorio</v>
          </cell>
          <cell r="J632" t="str">
            <v>muybueno</v>
          </cell>
          <cell r="K632" t="str">
            <v>defsi</v>
          </cell>
        </row>
        <row r="633">
          <cell r="B633" t="b">
            <v>1</v>
          </cell>
          <cell r="E633" t="str">
            <v>Los Cerros</v>
          </cell>
          <cell r="H633" t="str">
            <v>consulta_externa</v>
          </cell>
          <cell r="J633" t="str">
            <v>bueno</v>
          </cell>
          <cell r="K633" t="str">
            <v>defsi</v>
          </cell>
        </row>
        <row r="634">
          <cell r="B634" t="b">
            <v>1</v>
          </cell>
          <cell r="E634" t="str">
            <v>Los Cerros</v>
          </cell>
          <cell r="H634" t="str">
            <v>salud_oral</v>
          </cell>
          <cell r="J634" t="str">
            <v>bueno</v>
          </cell>
          <cell r="K634" t="str">
            <v>defsi</v>
          </cell>
        </row>
        <row r="635">
          <cell r="B635" t="b">
            <v>1</v>
          </cell>
          <cell r="E635" t="str">
            <v>Los Cerros</v>
          </cell>
          <cell r="H635" t="str">
            <v>consulta_externa</v>
          </cell>
          <cell r="J635" t="str">
            <v>bueno</v>
          </cell>
          <cell r="K635" t="str">
            <v>defsi</v>
          </cell>
        </row>
        <row r="636">
          <cell r="B636" t="b">
            <v>1</v>
          </cell>
          <cell r="E636" t="str">
            <v>Los Cerros</v>
          </cell>
          <cell r="H636" t="str">
            <v>salud_oral</v>
          </cell>
          <cell r="J636" t="str">
            <v>bueno</v>
          </cell>
          <cell r="K636" t="str">
            <v>defsi</v>
          </cell>
        </row>
        <row r="637">
          <cell r="B637" t="b">
            <v>1</v>
          </cell>
          <cell r="E637" t="str">
            <v>Los Cerros</v>
          </cell>
          <cell r="H637" t="str">
            <v>salud_oral</v>
          </cell>
          <cell r="J637" t="str">
            <v>bueno</v>
          </cell>
          <cell r="K637" t="str">
            <v>defsi</v>
          </cell>
        </row>
        <row r="638">
          <cell r="B638" t="b">
            <v>1</v>
          </cell>
          <cell r="E638" t="str">
            <v>Los Cerros</v>
          </cell>
          <cell r="H638" t="str">
            <v>salud_oral</v>
          </cell>
          <cell r="J638" t="str">
            <v>bueno</v>
          </cell>
          <cell r="K638" t="str">
            <v>defsi</v>
          </cell>
        </row>
        <row r="639">
          <cell r="B639" t="b">
            <v>1</v>
          </cell>
          <cell r="E639" t="str">
            <v>Los Cerros</v>
          </cell>
          <cell r="H639" t="str">
            <v>consulta_externa</v>
          </cell>
          <cell r="J639" t="str">
            <v>bueno</v>
          </cell>
          <cell r="K639" t="str">
            <v>defsi</v>
          </cell>
        </row>
        <row r="640">
          <cell r="B640" t="b">
            <v>1</v>
          </cell>
          <cell r="E640" t="str">
            <v>Los Cerros</v>
          </cell>
          <cell r="H640" t="str">
            <v>salud_oral</v>
          </cell>
          <cell r="J640" t="str">
            <v>bueno</v>
          </cell>
          <cell r="K640" t="str">
            <v>defsi</v>
          </cell>
        </row>
        <row r="641">
          <cell r="B641" t="b">
            <v>1</v>
          </cell>
          <cell r="E641" t="str">
            <v>Los Cerros</v>
          </cell>
          <cell r="H641" t="str">
            <v>consulta_externa</v>
          </cell>
          <cell r="J641" t="str">
            <v>bueno</v>
          </cell>
          <cell r="K641" t="str">
            <v>defsi</v>
          </cell>
        </row>
        <row r="642">
          <cell r="B642" t="b">
            <v>1</v>
          </cell>
          <cell r="E642" t="str">
            <v>Los Cerros</v>
          </cell>
          <cell r="H642" t="str">
            <v>laboratorio</v>
          </cell>
          <cell r="J642" t="str">
            <v>muybueno</v>
          </cell>
          <cell r="K642" t="str">
            <v>defsi</v>
          </cell>
        </row>
        <row r="643">
          <cell r="B643" t="b">
            <v>1</v>
          </cell>
          <cell r="E643" t="str">
            <v>Los Cerros</v>
          </cell>
          <cell r="H643" t="str">
            <v>laboratorio</v>
          </cell>
          <cell r="J643" t="str">
            <v>muybueno</v>
          </cell>
          <cell r="K643" t="str">
            <v>defsi</v>
          </cell>
        </row>
        <row r="644">
          <cell r="B644" t="b">
            <v>1</v>
          </cell>
          <cell r="E644" t="str">
            <v>Los Cerros</v>
          </cell>
          <cell r="H644" t="str">
            <v>salud_oral</v>
          </cell>
          <cell r="J644" t="str">
            <v>bueno</v>
          </cell>
          <cell r="K644" t="str">
            <v>defsi</v>
          </cell>
        </row>
        <row r="645">
          <cell r="B645" t="b">
            <v>1</v>
          </cell>
          <cell r="E645" t="str">
            <v>Los Cerros</v>
          </cell>
          <cell r="H645" t="str">
            <v>salud_oral</v>
          </cell>
          <cell r="J645" t="str">
            <v>bueno</v>
          </cell>
          <cell r="K645" t="str">
            <v>defsi</v>
          </cell>
        </row>
        <row r="646">
          <cell r="B646" t="b">
            <v>1</v>
          </cell>
          <cell r="E646" t="str">
            <v>Los Cerros</v>
          </cell>
          <cell r="H646" t="str">
            <v>consulta_externa</v>
          </cell>
          <cell r="J646" t="str">
            <v>bueno</v>
          </cell>
          <cell r="K646" t="str">
            <v>defsi</v>
          </cell>
        </row>
        <row r="647">
          <cell r="B647" t="b">
            <v>1</v>
          </cell>
          <cell r="E647" t="str">
            <v>Los Cerros</v>
          </cell>
          <cell r="H647" t="str">
            <v>laboratorio</v>
          </cell>
          <cell r="J647" t="str">
            <v>bueno</v>
          </cell>
          <cell r="K647" t="str">
            <v>defsi</v>
          </cell>
        </row>
        <row r="648">
          <cell r="B648" t="b">
            <v>1</v>
          </cell>
          <cell r="E648" t="str">
            <v>Isla Fuerte</v>
          </cell>
          <cell r="H648" t="str">
            <v>consulta_externa</v>
          </cell>
          <cell r="J648" t="str">
            <v>muybueno</v>
          </cell>
          <cell r="K648" t="str">
            <v>defsi</v>
          </cell>
        </row>
        <row r="649">
          <cell r="B649" t="b">
            <v>1</v>
          </cell>
          <cell r="E649" t="str">
            <v>Isla Fuerte</v>
          </cell>
          <cell r="H649" t="str">
            <v>salud_oral</v>
          </cell>
          <cell r="J649" t="str">
            <v>muybueno</v>
          </cell>
          <cell r="K649" t="str">
            <v>defsi</v>
          </cell>
        </row>
        <row r="650">
          <cell r="B650" t="b">
            <v>1</v>
          </cell>
          <cell r="E650" t="str">
            <v>Hospital Pozon</v>
          </cell>
          <cell r="H650" t="str">
            <v>consulta_externa</v>
          </cell>
          <cell r="J650" t="str">
            <v>bueno</v>
          </cell>
          <cell r="K650" t="str">
            <v>defsi</v>
          </cell>
        </row>
        <row r="651">
          <cell r="B651" t="b">
            <v>1</v>
          </cell>
          <cell r="E651" t="str">
            <v>Hospital Pozon</v>
          </cell>
          <cell r="H651" t="str">
            <v>salud_oral</v>
          </cell>
          <cell r="J651" t="str">
            <v>bueno</v>
          </cell>
          <cell r="K651" t="str">
            <v>defsi</v>
          </cell>
        </row>
        <row r="652">
          <cell r="B652" t="b">
            <v>1</v>
          </cell>
          <cell r="E652" t="str">
            <v>Hospital Pozon</v>
          </cell>
          <cell r="H652" t="str">
            <v>laboratorio</v>
          </cell>
          <cell r="J652" t="str">
            <v>bueno</v>
          </cell>
          <cell r="K652" t="str">
            <v>defsi</v>
          </cell>
        </row>
        <row r="653">
          <cell r="B653" t="b">
            <v>1</v>
          </cell>
          <cell r="E653" t="str">
            <v>Hospital Pozon</v>
          </cell>
          <cell r="H653" t="str">
            <v>rx</v>
          </cell>
          <cell r="J653" t="str">
            <v>bueno</v>
          </cell>
          <cell r="K653" t="str">
            <v>defsi</v>
          </cell>
        </row>
        <row r="654">
          <cell r="B654" t="b">
            <v>1</v>
          </cell>
          <cell r="E654" t="str">
            <v>Hospital Pozon</v>
          </cell>
          <cell r="H654" t="str">
            <v>ginecologia</v>
          </cell>
          <cell r="J654" t="str">
            <v>bueno</v>
          </cell>
          <cell r="K654" t="str">
            <v>defsi</v>
          </cell>
        </row>
        <row r="655">
          <cell r="B655" t="b">
            <v>1</v>
          </cell>
          <cell r="E655" t="str">
            <v>Hospital Pozon</v>
          </cell>
          <cell r="H655" t="str">
            <v>pediatria</v>
          </cell>
          <cell r="J655" t="str">
            <v>bueno</v>
          </cell>
          <cell r="K655" t="str">
            <v>defsi</v>
          </cell>
        </row>
        <row r="656">
          <cell r="B656" t="b">
            <v>1</v>
          </cell>
          <cell r="E656" t="str">
            <v>Hospital Pozon</v>
          </cell>
          <cell r="H656" t="str">
            <v>urgencia</v>
          </cell>
          <cell r="J656" t="str">
            <v>bueno</v>
          </cell>
          <cell r="K656" t="str">
            <v>defsi</v>
          </cell>
        </row>
        <row r="657">
          <cell r="B657" t="b">
            <v>1</v>
          </cell>
          <cell r="E657" t="str">
            <v>Hospital Pozon</v>
          </cell>
          <cell r="H657" t="str">
            <v>urgencia</v>
          </cell>
          <cell r="J657" t="str">
            <v>bueno</v>
          </cell>
          <cell r="K657" t="str">
            <v>defsi</v>
          </cell>
        </row>
        <row r="658">
          <cell r="B658" t="b">
            <v>1</v>
          </cell>
          <cell r="E658" t="str">
            <v>Hospital Pozon</v>
          </cell>
          <cell r="H658" t="str">
            <v>consulta_externa</v>
          </cell>
          <cell r="J658" t="str">
            <v>bueno</v>
          </cell>
          <cell r="K658" t="str">
            <v>defsi</v>
          </cell>
        </row>
        <row r="659">
          <cell r="B659" t="b">
            <v>1</v>
          </cell>
          <cell r="E659" t="str">
            <v>Hospital Pozon</v>
          </cell>
          <cell r="H659" t="str">
            <v>salud_oral</v>
          </cell>
          <cell r="J659" t="str">
            <v>bueno</v>
          </cell>
          <cell r="K659" t="str">
            <v>defsi</v>
          </cell>
        </row>
        <row r="660">
          <cell r="B660" t="b">
            <v>1</v>
          </cell>
          <cell r="E660" t="str">
            <v>Hospital Pozon</v>
          </cell>
          <cell r="H660" t="str">
            <v>laboratorio</v>
          </cell>
          <cell r="J660" t="str">
            <v>bueno</v>
          </cell>
          <cell r="K660" t="str">
            <v>defsi</v>
          </cell>
        </row>
        <row r="661">
          <cell r="B661" t="b">
            <v>1</v>
          </cell>
          <cell r="E661" t="str">
            <v>Hospital Pozon</v>
          </cell>
          <cell r="H661" t="str">
            <v>urgencia</v>
          </cell>
          <cell r="J661" t="str">
            <v>bueno</v>
          </cell>
          <cell r="K661" t="str">
            <v>defsi</v>
          </cell>
        </row>
        <row r="662">
          <cell r="B662" t="b">
            <v>1</v>
          </cell>
          <cell r="E662" t="str">
            <v>Hospital Pozon</v>
          </cell>
          <cell r="H662" t="str">
            <v>consulta_externa</v>
          </cell>
          <cell r="J662" t="str">
            <v>bueno</v>
          </cell>
          <cell r="K662" t="str">
            <v>defsi</v>
          </cell>
        </row>
        <row r="663">
          <cell r="B663" t="b">
            <v>1</v>
          </cell>
          <cell r="E663" t="str">
            <v>Hospital Pozon</v>
          </cell>
          <cell r="H663" t="str">
            <v>salud_oral</v>
          </cell>
          <cell r="J663" t="str">
            <v>bueno</v>
          </cell>
          <cell r="K663" t="str">
            <v>defsi</v>
          </cell>
        </row>
        <row r="664">
          <cell r="B664" t="b">
            <v>1</v>
          </cell>
          <cell r="E664" t="str">
            <v>Hospital Pozon</v>
          </cell>
          <cell r="H664" t="str">
            <v>laboratorio</v>
          </cell>
          <cell r="J664" t="str">
            <v>bueno</v>
          </cell>
          <cell r="K664" t="str">
            <v>defsi</v>
          </cell>
        </row>
        <row r="665">
          <cell r="B665" t="b">
            <v>1</v>
          </cell>
          <cell r="E665" t="str">
            <v>Hospital Pozon</v>
          </cell>
          <cell r="H665" t="str">
            <v>urgencia</v>
          </cell>
          <cell r="J665" t="str">
            <v>bueno</v>
          </cell>
          <cell r="K665" t="str">
            <v>defsi</v>
          </cell>
        </row>
        <row r="666">
          <cell r="B666" t="b">
            <v>1</v>
          </cell>
          <cell r="E666" t="str">
            <v>Hospital Pozon</v>
          </cell>
          <cell r="H666" t="str">
            <v>rx</v>
          </cell>
          <cell r="J666" t="str">
            <v>bueno</v>
          </cell>
          <cell r="K666" t="str">
            <v>defsi</v>
          </cell>
        </row>
        <row r="667">
          <cell r="B667" t="b">
            <v>1</v>
          </cell>
          <cell r="E667" t="str">
            <v>Hospital Pozon</v>
          </cell>
          <cell r="H667" t="str">
            <v>rx</v>
          </cell>
          <cell r="J667" t="str">
            <v>bueno</v>
          </cell>
          <cell r="K667" t="str">
            <v>defsi</v>
          </cell>
        </row>
        <row r="668">
          <cell r="B668" t="b">
            <v>1</v>
          </cell>
          <cell r="E668" t="str">
            <v>Pozon</v>
          </cell>
          <cell r="H668" t="str">
            <v>consulta_externa</v>
          </cell>
          <cell r="J668" t="str">
            <v>bueno</v>
          </cell>
          <cell r="K668" t="str">
            <v>defsi</v>
          </cell>
        </row>
        <row r="669">
          <cell r="B669" t="b">
            <v>1</v>
          </cell>
          <cell r="E669" t="str">
            <v>Pozon</v>
          </cell>
          <cell r="H669" t="str">
            <v>salud_oral</v>
          </cell>
          <cell r="J669" t="str">
            <v>bueno</v>
          </cell>
          <cell r="K669" t="str">
            <v>defsi</v>
          </cell>
        </row>
        <row r="670">
          <cell r="B670" t="b">
            <v>1</v>
          </cell>
          <cell r="E670" t="str">
            <v>Pozon</v>
          </cell>
          <cell r="H670" t="str">
            <v>laboratorio</v>
          </cell>
          <cell r="J670" t="str">
            <v>bueno</v>
          </cell>
          <cell r="K670" t="str">
            <v>defsi</v>
          </cell>
        </row>
        <row r="671">
          <cell r="B671" t="b">
            <v>1</v>
          </cell>
          <cell r="E671" t="str">
            <v>Pozon</v>
          </cell>
          <cell r="H671" t="str">
            <v>consulta_externa</v>
          </cell>
          <cell r="J671" t="str">
            <v>bueno</v>
          </cell>
          <cell r="K671" t="str">
            <v>defsi</v>
          </cell>
        </row>
        <row r="672">
          <cell r="B672" t="b">
            <v>1</v>
          </cell>
          <cell r="E672" t="str">
            <v>Pozon</v>
          </cell>
          <cell r="H672" t="str">
            <v>salud_oral</v>
          </cell>
          <cell r="J672" t="str">
            <v>bueno</v>
          </cell>
          <cell r="K672" t="str">
            <v>defsi</v>
          </cell>
        </row>
        <row r="673">
          <cell r="B673" t="b">
            <v>1</v>
          </cell>
          <cell r="E673" t="str">
            <v>Pozon</v>
          </cell>
          <cell r="H673" t="str">
            <v>laboratorio</v>
          </cell>
          <cell r="J673" t="str">
            <v>bueno</v>
          </cell>
          <cell r="K673" t="str">
            <v>defsi</v>
          </cell>
        </row>
        <row r="674">
          <cell r="B674" t="b">
            <v>1</v>
          </cell>
          <cell r="E674" t="str">
            <v>Pozon</v>
          </cell>
          <cell r="H674" t="str">
            <v>consulta_externa</v>
          </cell>
          <cell r="J674" t="str">
            <v>bueno</v>
          </cell>
          <cell r="K674" t="str">
            <v>defsi</v>
          </cell>
        </row>
        <row r="675">
          <cell r="B675" t="b">
            <v>1</v>
          </cell>
          <cell r="E675" t="str">
            <v>Pozon</v>
          </cell>
          <cell r="H675" t="str">
            <v>salud_oral</v>
          </cell>
          <cell r="J675" t="str">
            <v>bueno</v>
          </cell>
          <cell r="K675" t="str">
            <v>defsi</v>
          </cell>
        </row>
        <row r="676">
          <cell r="B676" t="b">
            <v>1</v>
          </cell>
          <cell r="E676" t="str">
            <v>Pozon</v>
          </cell>
          <cell r="H676" t="str">
            <v>laboratorio</v>
          </cell>
          <cell r="J676" t="str">
            <v>bueno</v>
          </cell>
          <cell r="K676" t="str">
            <v>defsi</v>
          </cell>
        </row>
        <row r="677">
          <cell r="B677" t="b">
            <v>1</v>
          </cell>
          <cell r="E677" t="str">
            <v>Pozon</v>
          </cell>
          <cell r="H677" t="str">
            <v>consulta_externa</v>
          </cell>
          <cell r="J677" t="str">
            <v>bueno</v>
          </cell>
          <cell r="K677" t="str">
            <v>defsi</v>
          </cell>
        </row>
        <row r="678">
          <cell r="B678" t="b">
            <v>1</v>
          </cell>
          <cell r="E678" t="str">
            <v>Pozon</v>
          </cell>
          <cell r="H678" t="str">
            <v>salud_oral</v>
          </cell>
          <cell r="J678" t="str">
            <v>bueno</v>
          </cell>
          <cell r="K678" t="str">
            <v>defsi</v>
          </cell>
        </row>
        <row r="679">
          <cell r="B679" t="b">
            <v>1</v>
          </cell>
          <cell r="E679" t="str">
            <v>Pozon</v>
          </cell>
          <cell r="H679" t="str">
            <v>laboratorio</v>
          </cell>
          <cell r="J679" t="str">
            <v>bueno</v>
          </cell>
          <cell r="K679" t="str">
            <v>defsi</v>
          </cell>
        </row>
        <row r="680">
          <cell r="B680" t="b">
            <v>1</v>
          </cell>
          <cell r="E680" t="str">
            <v>Pozon</v>
          </cell>
          <cell r="H680" t="str">
            <v>consulta_externa</v>
          </cell>
          <cell r="J680" t="str">
            <v>bueno</v>
          </cell>
          <cell r="K680" t="str">
            <v>defsi</v>
          </cell>
        </row>
        <row r="681">
          <cell r="B681" t="b">
            <v>1</v>
          </cell>
          <cell r="E681" t="str">
            <v>Pozon</v>
          </cell>
          <cell r="H681" t="str">
            <v>salud_oral</v>
          </cell>
          <cell r="J681" t="str">
            <v>bueno</v>
          </cell>
          <cell r="K681" t="str">
            <v>defsi</v>
          </cell>
        </row>
        <row r="682">
          <cell r="B682" t="b">
            <v>1</v>
          </cell>
          <cell r="E682" t="str">
            <v>Pozon</v>
          </cell>
          <cell r="H682" t="str">
            <v>laboratorio</v>
          </cell>
          <cell r="J682" t="str">
            <v>bueno</v>
          </cell>
          <cell r="K682" t="str">
            <v>defsi</v>
          </cell>
        </row>
        <row r="683">
          <cell r="B683" t="b">
            <v>1</v>
          </cell>
          <cell r="E683" t="str">
            <v>Pozon</v>
          </cell>
          <cell r="H683" t="str">
            <v>consulta_externa</v>
          </cell>
          <cell r="J683" t="str">
            <v>bueno</v>
          </cell>
          <cell r="K683" t="str">
            <v>defsi</v>
          </cell>
        </row>
        <row r="684">
          <cell r="B684" t="b">
            <v>1</v>
          </cell>
          <cell r="E684" t="str">
            <v>Pozon</v>
          </cell>
          <cell r="H684" t="str">
            <v>salud_oral</v>
          </cell>
          <cell r="J684" t="str">
            <v>bueno</v>
          </cell>
          <cell r="K684" t="str">
            <v>defsi</v>
          </cell>
        </row>
        <row r="685">
          <cell r="B685" t="b">
            <v>1</v>
          </cell>
          <cell r="E685" t="str">
            <v>Pozon</v>
          </cell>
          <cell r="H685" t="str">
            <v>laboratorio</v>
          </cell>
          <cell r="J685" t="str">
            <v>bueno</v>
          </cell>
          <cell r="K685" t="str">
            <v>defsi</v>
          </cell>
        </row>
        <row r="686">
          <cell r="B686" t="b">
            <v>1</v>
          </cell>
          <cell r="E686" t="str">
            <v>Pozon</v>
          </cell>
          <cell r="H686" t="str">
            <v>consulta_externa</v>
          </cell>
          <cell r="J686" t="str">
            <v>bueno</v>
          </cell>
          <cell r="K686" t="str">
            <v>defsi</v>
          </cell>
        </row>
        <row r="687">
          <cell r="B687" t="b">
            <v>1</v>
          </cell>
          <cell r="E687" t="str">
            <v>Pozon</v>
          </cell>
          <cell r="H687" t="str">
            <v>salud_oral</v>
          </cell>
          <cell r="J687" t="str">
            <v>bueno</v>
          </cell>
          <cell r="K687" t="str">
            <v>defsi</v>
          </cell>
        </row>
        <row r="688">
          <cell r="B688" t="b">
            <v>1</v>
          </cell>
          <cell r="E688" t="str">
            <v>Pozon</v>
          </cell>
          <cell r="H688" t="str">
            <v>laboratorio</v>
          </cell>
          <cell r="J688" t="str">
            <v>bueno</v>
          </cell>
          <cell r="K688" t="str">
            <v>defsi</v>
          </cell>
        </row>
        <row r="689">
          <cell r="B689" t="b">
            <v>1</v>
          </cell>
          <cell r="E689" t="str">
            <v>Pozon</v>
          </cell>
          <cell r="H689" t="str">
            <v>consulta_externa</v>
          </cell>
          <cell r="J689" t="str">
            <v>bueno</v>
          </cell>
          <cell r="K689" t="str">
            <v>defsi</v>
          </cell>
        </row>
        <row r="690">
          <cell r="B690" t="b">
            <v>1</v>
          </cell>
          <cell r="E690" t="str">
            <v>Pozon</v>
          </cell>
          <cell r="H690" t="str">
            <v>salud_oral</v>
          </cell>
          <cell r="J690" t="str">
            <v>bueno</v>
          </cell>
          <cell r="K690" t="str">
            <v>defsi</v>
          </cell>
        </row>
        <row r="691">
          <cell r="B691" t="b">
            <v>1</v>
          </cell>
          <cell r="E691" t="str">
            <v>Pozon</v>
          </cell>
          <cell r="H691" t="str">
            <v>laboratorio</v>
          </cell>
          <cell r="J691" t="str">
            <v>bueno</v>
          </cell>
          <cell r="K691" t="str">
            <v>defsi</v>
          </cell>
        </row>
        <row r="692">
          <cell r="B692" t="b">
            <v>1</v>
          </cell>
          <cell r="E692" t="str">
            <v>Manzanillo</v>
          </cell>
          <cell r="H692" t="str">
            <v>laboratorio</v>
          </cell>
          <cell r="J692" t="str">
            <v>bueno</v>
          </cell>
          <cell r="K692" t="str">
            <v>defsi</v>
          </cell>
        </row>
        <row r="693">
          <cell r="B693" t="b">
            <v>1</v>
          </cell>
          <cell r="E693" t="str">
            <v>Manzanillo</v>
          </cell>
          <cell r="H693" t="str">
            <v>laboratorio</v>
          </cell>
          <cell r="J693" t="str">
            <v>bueno</v>
          </cell>
          <cell r="K693" t="str">
            <v>defsi</v>
          </cell>
        </row>
        <row r="694">
          <cell r="B694" t="b">
            <v>1</v>
          </cell>
          <cell r="E694" t="str">
            <v>Manzanillo</v>
          </cell>
          <cell r="H694" t="str">
            <v>laboratorio</v>
          </cell>
          <cell r="J694" t="str">
            <v>bueno</v>
          </cell>
          <cell r="K694" t="str">
            <v>defsi</v>
          </cell>
        </row>
        <row r="695">
          <cell r="B695" t="b">
            <v>1</v>
          </cell>
          <cell r="E695" t="str">
            <v>Manzanillo</v>
          </cell>
          <cell r="H695" t="str">
            <v>consulta_externa</v>
          </cell>
          <cell r="J695" t="str">
            <v>bueno</v>
          </cell>
          <cell r="K695" t="str">
            <v>defsi</v>
          </cell>
        </row>
        <row r="696">
          <cell r="B696" t="b">
            <v>1</v>
          </cell>
          <cell r="E696" t="str">
            <v>Manzanillo</v>
          </cell>
          <cell r="H696" t="str">
            <v>salud_oral</v>
          </cell>
          <cell r="J696" t="str">
            <v>bueno</v>
          </cell>
          <cell r="K696" t="str">
            <v>defsi</v>
          </cell>
        </row>
        <row r="697">
          <cell r="B697" t="b">
            <v>1</v>
          </cell>
          <cell r="E697" t="str">
            <v>Manzanillo</v>
          </cell>
          <cell r="H697" t="str">
            <v>consulta_externa</v>
          </cell>
          <cell r="J697" t="str">
            <v>bueno</v>
          </cell>
          <cell r="K697" t="str">
            <v>defsi</v>
          </cell>
        </row>
        <row r="698">
          <cell r="B698" t="b">
            <v>1</v>
          </cell>
          <cell r="E698" t="str">
            <v>Manzanillo</v>
          </cell>
          <cell r="H698" t="str">
            <v>laboratorio</v>
          </cell>
          <cell r="J698" t="str">
            <v>bueno</v>
          </cell>
          <cell r="K698" t="str">
            <v>defsi</v>
          </cell>
        </row>
        <row r="699">
          <cell r="B699" t="b">
            <v>1</v>
          </cell>
          <cell r="E699" t="str">
            <v>Manzanillo</v>
          </cell>
          <cell r="H699" t="str">
            <v>salud_oral</v>
          </cell>
          <cell r="J699" t="str">
            <v>bueno</v>
          </cell>
          <cell r="K699" t="str">
            <v>defsi</v>
          </cell>
        </row>
        <row r="700">
          <cell r="B700" t="b">
            <v>1</v>
          </cell>
          <cell r="E700" t="str">
            <v>Manzanillo</v>
          </cell>
          <cell r="H700" t="str">
            <v>consulta_externa</v>
          </cell>
          <cell r="J700" t="str">
            <v>bueno</v>
          </cell>
          <cell r="K700" t="str">
            <v>defsi</v>
          </cell>
        </row>
        <row r="701">
          <cell r="B701" t="b">
            <v>1</v>
          </cell>
          <cell r="E701" t="str">
            <v>Manzanillo</v>
          </cell>
          <cell r="H701" t="str">
            <v>laboratorio</v>
          </cell>
          <cell r="J701" t="str">
            <v>bueno</v>
          </cell>
          <cell r="K701" t="str">
            <v>defsi</v>
          </cell>
        </row>
        <row r="702">
          <cell r="B702" t="b">
            <v>1</v>
          </cell>
          <cell r="E702" t="str">
            <v>Manzanillo</v>
          </cell>
          <cell r="H702" t="str">
            <v>salud_oral</v>
          </cell>
          <cell r="J702" t="str">
            <v>bueno</v>
          </cell>
          <cell r="K702" t="str">
            <v>defsi</v>
          </cell>
        </row>
        <row r="703">
          <cell r="B703" t="b">
            <v>1</v>
          </cell>
          <cell r="E703" t="str">
            <v>Manzanillo</v>
          </cell>
          <cell r="H703" t="str">
            <v>consulta_externa</v>
          </cell>
          <cell r="J703" t="str">
            <v>bueno</v>
          </cell>
          <cell r="K703" t="str">
            <v>defsi</v>
          </cell>
        </row>
        <row r="704">
          <cell r="B704" t="b">
            <v>1</v>
          </cell>
          <cell r="E704" t="str">
            <v>Manzanillo</v>
          </cell>
          <cell r="H704" t="str">
            <v>laboratorio</v>
          </cell>
          <cell r="J704" t="str">
            <v>bueno</v>
          </cell>
          <cell r="K704" t="str">
            <v>probsi</v>
          </cell>
        </row>
        <row r="705">
          <cell r="B705" t="b">
            <v>1</v>
          </cell>
          <cell r="E705" t="str">
            <v>Manzanillo</v>
          </cell>
          <cell r="H705" t="str">
            <v>salud_oral</v>
          </cell>
          <cell r="J705" t="str">
            <v>bueno</v>
          </cell>
          <cell r="K705" t="str">
            <v>probsi</v>
          </cell>
        </row>
        <row r="706">
          <cell r="B706" t="b">
            <v>1</v>
          </cell>
          <cell r="E706" t="str">
            <v>Manzanillo</v>
          </cell>
          <cell r="H706" t="str">
            <v>consulta_externa</v>
          </cell>
          <cell r="J706" t="str">
            <v>bueno</v>
          </cell>
          <cell r="K706" t="str">
            <v>probsi</v>
          </cell>
        </row>
        <row r="707">
          <cell r="B707" t="b">
            <v>1</v>
          </cell>
          <cell r="E707" t="str">
            <v>Manzanillo</v>
          </cell>
          <cell r="H707" t="str">
            <v>laboratorio</v>
          </cell>
          <cell r="J707" t="str">
            <v>bueno</v>
          </cell>
          <cell r="K707" t="str">
            <v>probsi</v>
          </cell>
        </row>
        <row r="708">
          <cell r="B708" t="b">
            <v>1</v>
          </cell>
          <cell r="E708" t="str">
            <v>Manzanillo</v>
          </cell>
          <cell r="H708" t="str">
            <v>consulta_externa</v>
          </cell>
          <cell r="J708" t="str">
            <v>bueno</v>
          </cell>
          <cell r="K708" t="str">
            <v>probsi</v>
          </cell>
        </row>
        <row r="709">
          <cell r="B709" t="b">
            <v>1</v>
          </cell>
          <cell r="E709" t="str">
            <v>Manzanillo</v>
          </cell>
          <cell r="H709" t="str">
            <v>salud_oral</v>
          </cell>
          <cell r="J709" t="str">
            <v>bueno</v>
          </cell>
          <cell r="K709" t="str">
            <v>defsi</v>
          </cell>
        </row>
        <row r="710">
          <cell r="B710" t="b">
            <v>1</v>
          </cell>
          <cell r="E710" t="str">
            <v>Manzanillo</v>
          </cell>
          <cell r="H710" t="str">
            <v>laboratorio</v>
          </cell>
          <cell r="J710" t="str">
            <v>bueno</v>
          </cell>
          <cell r="K710" t="str">
            <v>defsi</v>
          </cell>
        </row>
        <row r="711">
          <cell r="B711" t="b">
            <v>1</v>
          </cell>
          <cell r="E711" t="str">
            <v>Manzanillo</v>
          </cell>
          <cell r="H711" t="str">
            <v>salud_oral</v>
          </cell>
          <cell r="J711" t="str">
            <v>bueno</v>
          </cell>
          <cell r="K711" t="str">
            <v>defsi</v>
          </cell>
        </row>
        <row r="712">
          <cell r="B712" t="b">
            <v>1</v>
          </cell>
          <cell r="E712" t="str">
            <v>Manzanillo</v>
          </cell>
          <cell r="H712" t="str">
            <v>consulta_externa</v>
          </cell>
          <cell r="J712" t="str">
            <v>bueno</v>
          </cell>
          <cell r="K712" t="str">
            <v>defsi</v>
          </cell>
        </row>
        <row r="713">
          <cell r="B713" t="b">
            <v>1</v>
          </cell>
          <cell r="E713" t="str">
            <v>Manzanillo</v>
          </cell>
          <cell r="H713" t="str">
            <v>laboratorio</v>
          </cell>
          <cell r="J713" t="str">
            <v>bueno</v>
          </cell>
          <cell r="K713" t="str">
            <v>defsi</v>
          </cell>
        </row>
        <row r="714">
          <cell r="B714" t="b">
            <v>1</v>
          </cell>
          <cell r="E714" t="str">
            <v>Manzanillo</v>
          </cell>
          <cell r="H714" t="str">
            <v>consulta_externa</v>
          </cell>
          <cell r="J714" t="str">
            <v>bueno</v>
          </cell>
          <cell r="K714" t="str">
            <v>defsi</v>
          </cell>
        </row>
        <row r="715">
          <cell r="B715" t="b">
            <v>1</v>
          </cell>
          <cell r="E715" t="str">
            <v>Las Reinas</v>
          </cell>
          <cell r="H715" t="str">
            <v>consulta_externa</v>
          </cell>
          <cell r="J715" t="str">
            <v>bueno</v>
          </cell>
          <cell r="K715" t="str">
            <v>probsi</v>
          </cell>
        </row>
        <row r="716">
          <cell r="B716" t="b">
            <v>1</v>
          </cell>
          <cell r="E716" t="str">
            <v>Las Reinas</v>
          </cell>
          <cell r="H716" t="str">
            <v>salud_oral</v>
          </cell>
          <cell r="J716" t="str">
            <v>bueno</v>
          </cell>
          <cell r="K716" t="str">
            <v>probsi</v>
          </cell>
        </row>
        <row r="717">
          <cell r="B717" t="b">
            <v>1</v>
          </cell>
          <cell r="E717" t="str">
            <v>Las Reinas</v>
          </cell>
          <cell r="H717" t="str">
            <v>laboratorio</v>
          </cell>
          <cell r="J717" t="str">
            <v>bueno</v>
          </cell>
          <cell r="K717" t="str">
            <v>probsi</v>
          </cell>
        </row>
        <row r="718">
          <cell r="B718" t="b">
            <v>1</v>
          </cell>
          <cell r="E718" t="str">
            <v>Las Reinas</v>
          </cell>
          <cell r="H718" t="str">
            <v>consulta_externa</v>
          </cell>
          <cell r="J718" t="str">
            <v>bueno</v>
          </cell>
          <cell r="K718" t="str">
            <v>probsi</v>
          </cell>
        </row>
        <row r="719">
          <cell r="B719" t="b">
            <v>1</v>
          </cell>
          <cell r="E719" t="str">
            <v>Las Reinas</v>
          </cell>
          <cell r="H719" t="str">
            <v>salud_oral</v>
          </cell>
          <cell r="J719" t="str">
            <v>bueno</v>
          </cell>
          <cell r="K719" t="str">
            <v>probsi</v>
          </cell>
        </row>
        <row r="720">
          <cell r="B720" t="b">
            <v>1</v>
          </cell>
          <cell r="E720" t="str">
            <v>Las Reinas</v>
          </cell>
          <cell r="H720" t="str">
            <v>laboratorio</v>
          </cell>
          <cell r="J720" t="str">
            <v>bueno</v>
          </cell>
          <cell r="K720" t="str">
            <v>probsi</v>
          </cell>
        </row>
        <row r="721">
          <cell r="B721" t="b">
            <v>1</v>
          </cell>
          <cell r="E721" t="str">
            <v>Las Reinas</v>
          </cell>
          <cell r="H721" t="str">
            <v>consulta_externa</v>
          </cell>
          <cell r="J721" t="str">
            <v>bueno</v>
          </cell>
          <cell r="K721" t="str">
            <v>probsi</v>
          </cell>
        </row>
        <row r="722">
          <cell r="B722" t="b">
            <v>1</v>
          </cell>
          <cell r="E722" t="str">
            <v>Las Reinas</v>
          </cell>
          <cell r="H722" t="str">
            <v>laboratorio</v>
          </cell>
          <cell r="J722" t="str">
            <v>bueno</v>
          </cell>
          <cell r="K722" t="str">
            <v>probsi</v>
          </cell>
        </row>
        <row r="723">
          <cell r="B723" t="b">
            <v>1</v>
          </cell>
          <cell r="E723" t="str">
            <v>Las Reinas</v>
          </cell>
          <cell r="H723" t="str">
            <v>consulta_externa</v>
          </cell>
          <cell r="J723" t="str">
            <v>bueno</v>
          </cell>
          <cell r="K723" t="str">
            <v>probsi</v>
          </cell>
        </row>
        <row r="724">
          <cell r="B724" t="b">
            <v>1</v>
          </cell>
          <cell r="E724" t="str">
            <v>Las Reinas</v>
          </cell>
          <cell r="H724" t="str">
            <v>consulta_externa</v>
          </cell>
          <cell r="J724" t="str">
            <v>bueno</v>
          </cell>
          <cell r="K724" t="str">
            <v>probsi</v>
          </cell>
        </row>
        <row r="725">
          <cell r="B725" t="b">
            <v>1</v>
          </cell>
          <cell r="E725" t="str">
            <v>Las Reinas</v>
          </cell>
          <cell r="H725" t="str">
            <v>laboratorio</v>
          </cell>
          <cell r="J725" t="str">
            <v>bueno</v>
          </cell>
          <cell r="K725" t="str">
            <v>probsi</v>
          </cell>
        </row>
        <row r="726">
          <cell r="B726" t="b">
            <v>1</v>
          </cell>
          <cell r="E726" t="str">
            <v>Bayunca</v>
          </cell>
          <cell r="H726" t="str">
            <v>consulta_externa</v>
          </cell>
          <cell r="J726" t="str">
            <v>bueno</v>
          </cell>
          <cell r="K726" t="str">
            <v>defsi</v>
          </cell>
        </row>
        <row r="727">
          <cell r="B727" t="b">
            <v>1</v>
          </cell>
          <cell r="E727" t="str">
            <v>Bayunca</v>
          </cell>
          <cell r="H727" t="str">
            <v>salud_oral</v>
          </cell>
          <cell r="J727" t="str">
            <v>bueno</v>
          </cell>
          <cell r="K727" t="str">
            <v>defsi</v>
          </cell>
        </row>
        <row r="728">
          <cell r="B728" t="b">
            <v>1</v>
          </cell>
          <cell r="E728" t="str">
            <v>Manzanillo</v>
          </cell>
          <cell r="H728" t="str">
            <v>laboratorio</v>
          </cell>
          <cell r="J728" t="str">
            <v>bueno</v>
          </cell>
          <cell r="K728" t="str">
            <v>defsi</v>
          </cell>
        </row>
        <row r="729">
          <cell r="B729" t="b">
            <v>1</v>
          </cell>
          <cell r="E729" t="str">
            <v>Manzanillo</v>
          </cell>
          <cell r="H729" t="str">
            <v>salud_oral</v>
          </cell>
          <cell r="J729" t="str">
            <v>bueno</v>
          </cell>
          <cell r="K729" t="str">
            <v>defsi</v>
          </cell>
        </row>
        <row r="730">
          <cell r="B730" t="b">
            <v>1</v>
          </cell>
          <cell r="E730" t="str">
            <v>Manzanillo</v>
          </cell>
          <cell r="H730" t="str">
            <v>consulta_externa</v>
          </cell>
          <cell r="J730" t="str">
            <v>bueno</v>
          </cell>
          <cell r="K730" t="str">
            <v>defsi</v>
          </cell>
        </row>
        <row r="731">
          <cell r="B731" t="b">
            <v>1</v>
          </cell>
          <cell r="E731" t="str">
            <v>Bayunca</v>
          </cell>
          <cell r="H731" t="str">
            <v>laboratorio</v>
          </cell>
          <cell r="J731" t="str">
            <v>bueno</v>
          </cell>
          <cell r="K731" t="str">
            <v>defsi</v>
          </cell>
        </row>
        <row r="732">
          <cell r="B732" t="b">
            <v>1</v>
          </cell>
          <cell r="E732" t="str">
            <v>Las Reinas</v>
          </cell>
          <cell r="H732" t="str">
            <v>consulta_externa</v>
          </cell>
          <cell r="J732" t="str">
            <v>bueno</v>
          </cell>
          <cell r="K732" t="str">
            <v>probsi</v>
          </cell>
        </row>
        <row r="733">
          <cell r="B733" t="b">
            <v>1</v>
          </cell>
          <cell r="E733" t="str">
            <v>Las Reinas</v>
          </cell>
          <cell r="H733" t="str">
            <v>salud_oral</v>
          </cell>
          <cell r="J733" t="str">
            <v>bueno</v>
          </cell>
          <cell r="K733" t="str">
            <v>probsi</v>
          </cell>
        </row>
        <row r="734">
          <cell r="B734" t="b">
            <v>1</v>
          </cell>
          <cell r="E734" t="str">
            <v>Bayunca</v>
          </cell>
          <cell r="H734" t="str">
            <v>urgencia</v>
          </cell>
          <cell r="J734" t="str">
            <v>bueno</v>
          </cell>
          <cell r="K734" t="str">
            <v>defsi</v>
          </cell>
        </row>
        <row r="735">
          <cell r="B735" t="b">
            <v>1</v>
          </cell>
          <cell r="E735" t="str">
            <v>Las Reinas</v>
          </cell>
          <cell r="H735" t="str">
            <v>salud_oral</v>
          </cell>
          <cell r="J735" t="str">
            <v>bueno</v>
          </cell>
          <cell r="K735" t="str">
            <v>probsi</v>
          </cell>
        </row>
        <row r="736">
          <cell r="B736" t="b">
            <v>1</v>
          </cell>
          <cell r="E736" t="str">
            <v>Las Reinas</v>
          </cell>
          <cell r="H736" t="str">
            <v>consulta_externa</v>
          </cell>
          <cell r="J736" t="str">
            <v>bueno</v>
          </cell>
          <cell r="K736" t="str">
            <v>probsi</v>
          </cell>
        </row>
        <row r="737">
          <cell r="B737" t="b">
            <v>0</v>
          </cell>
          <cell r="E737" t="str">
            <v>Las Reinas</v>
          </cell>
          <cell r="H737" t="str">
            <v>consulta_externa</v>
          </cell>
          <cell r="J737" t="str">
            <v>regular</v>
          </cell>
          <cell r="K737" t="str">
            <v>probsi</v>
          </cell>
        </row>
        <row r="738">
          <cell r="B738" t="b">
            <v>1</v>
          </cell>
          <cell r="E738" t="str">
            <v>Bayunca</v>
          </cell>
          <cell r="H738" t="str">
            <v>consulta_externa</v>
          </cell>
          <cell r="J738" t="str">
            <v>bueno</v>
          </cell>
          <cell r="K738" t="str">
            <v>defsi</v>
          </cell>
        </row>
        <row r="739">
          <cell r="B739" t="b">
            <v>1</v>
          </cell>
          <cell r="E739" t="str">
            <v>Bayunca</v>
          </cell>
          <cell r="H739" t="str">
            <v>salud_oral</v>
          </cell>
          <cell r="J739" t="str">
            <v>bueno</v>
          </cell>
          <cell r="K739" t="str">
            <v>defsi</v>
          </cell>
        </row>
        <row r="740">
          <cell r="B740" t="b">
            <v>1</v>
          </cell>
          <cell r="E740" t="str">
            <v>Bayunca</v>
          </cell>
          <cell r="H740" t="str">
            <v>laboratorio</v>
          </cell>
          <cell r="J740" t="str">
            <v>bueno</v>
          </cell>
          <cell r="K740" t="str">
            <v>defsi</v>
          </cell>
        </row>
        <row r="741">
          <cell r="B741" t="b">
            <v>1</v>
          </cell>
          <cell r="E741" t="str">
            <v>Bayunca</v>
          </cell>
          <cell r="H741" t="str">
            <v>urgencia</v>
          </cell>
          <cell r="J741" t="str">
            <v>bueno</v>
          </cell>
          <cell r="K741" t="str">
            <v>defsi</v>
          </cell>
        </row>
        <row r="742">
          <cell r="B742" t="b">
            <v>1</v>
          </cell>
          <cell r="E742" t="str">
            <v>Bayunca</v>
          </cell>
          <cell r="H742" t="str">
            <v>consulta_externa</v>
          </cell>
          <cell r="J742" t="str">
            <v>bueno</v>
          </cell>
          <cell r="K742" t="str">
            <v>defsi</v>
          </cell>
        </row>
        <row r="743">
          <cell r="B743" t="b">
            <v>1</v>
          </cell>
          <cell r="E743" t="str">
            <v>Bayunca</v>
          </cell>
          <cell r="H743" t="str">
            <v>salud_oral</v>
          </cell>
          <cell r="J743" t="str">
            <v>bueno</v>
          </cell>
          <cell r="K743" t="str">
            <v>defsi</v>
          </cell>
        </row>
        <row r="744">
          <cell r="B744" t="b">
            <v>1</v>
          </cell>
          <cell r="E744" t="str">
            <v>Bayunca</v>
          </cell>
          <cell r="H744" t="str">
            <v>laboratorio</v>
          </cell>
          <cell r="J744" t="str">
            <v>bueno</v>
          </cell>
          <cell r="K744" t="str">
            <v>defsi</v>
          </cell>
        </row>
        <row r="745">
          <cell r="B745" t="b">
            <v>1</v>
          </cell>
          <cell r="E745" t="str">
            <v>Bayunca</v>
          </cell>
          <cell r="H745" t="str">
            <v>urgencia</v>
          </cell>
          <cell r="J745" t="str">
            <v>bueno</v>
          </cell>
          <cell r="K745" t="str">
            <v>defsi</v>
          </cell>
        </row>
        <row r="746">
          <cell r="B746" t="b">
            <v>1</v>
          </cell>
          <cell r="E746" t="str">
            <v>Las Reinas</v>
          </cell>
          <cell r="H746" t="str">
            <v>laboratorio</v>
          </cell>
          <cell r="J746" t="str">
            <v>bueno</v>
          </cell>
          <cell r="K746" t="str">
            <v>probsi</v>
          </cell>
        </row>
        <row r="747">
          <cell r="B747" t="b">
            <v>1</v>
          </cell>
          <cell r="E747" t="str">
            <v>Las Reinas</v>
          </cell>
          <cell r="H747" t="str">
            <v>laboratorio</v>
          </cell>
          <cell r="J747" t="str">
            <v>bueno</v>
          </cell>
          <cell r="K747" t="str">
            <v>probsi</v>
          </cell>
        </row>
        <row r="748">
          <cell r="B748" t="b">
            <v>1</v>
          </cell>
          <cell r="E748" t="str">
            <v>Las Reinas</v>
          </cell>
          <cell r="H748" t="str">
            <v>salud_oral</v>
          </cell>
          <cell r="J748" t="str">
            <v>bueno</v>
          </cell>
          <cell r="K748" t="str">
            <v>probsi</v>
          </cell>
        </row>
        <row r="749">
          <cell r="B749" t="b">
            <v>1</v>
          </cell>
          <cell r="E749" t="str">
            <v>Las Reinas</v>
          </cell>
          <cell r="H749" t="str">
            <v>salud_oral</v>
          </cell>
          <cell r="J749" t="str">
            <v>bueno</v>
          </cell>
          <cell r="K749" t="str">
            <v>probsi</v>
          </cell>
        </row>
        <row r="750">
          <cell r="B750" t="b">
            <v>1</v>
          </cell>
          <cell r="E750" t="str">
            <v>Gaviotas</v>
          </cell>
          <cell r="H750" t="str">
            <v>consulta_externa</v>
          </cell>
          <cell r="J750" t="str">
            <v>bueno</v>
          </cell>
          <cell r="K750" t="str">
            <v>defsi</v>
          </cell>
        </row>
        <row r="751">
          <cell r="B751" t="b">
            <v>1</v>
          </cell>
          <cell r="E751" t="str">
            <v>Gaviotas</v>
          </cell>
          <cell r="H751" t="str">
            <v>laboratorio</v>
          </cell>
          <cell r="J751" t="str">
            <v>muybueno</v>
          </cell>
          <cell r="K751" t="str">
            <v>defsi</v>
          </cell>
        </row>
        <row r="752">
          <cell r="B752" t="b">
            <v>1</v>
          </cell>
          <cell r="E752" t="str">
            <v>Gaviotas</v>
          </cell>
          <cell r="H752" t="str">
            <v>consulta_externa</v>
          </cell>
          <cell r="J752" t="str">
            <v>muybueno</v>
          </cell>
          <cell r="K752" t="str">
            <v>defsi</v>
          </cell>
        </row>
        <row r="753">
          <cell r="B753" t="b">
            <v>1</v>
          </cell>
          <cell r="E753" t="str">
            <v>Gaviotas</v>
          </cell>
          <cell r="H753" t="str">
            <v>consulta_externa</v>
          </cell>
          <cell r="J753" t="str">
            <v>bueno</v>
          </cell>
          <cell r="K753" t="str">
            <v>defsi</v>
          </cell>
        </row>
        <row r="754">
          <cell r="B754" t="b">
            <v>1</v>
          </cell>
          <cell r="E754" t="str">
            <v>Gaviotas</v>
          </cell>
          <cell r="H754" t="str">
            <v>consulta_externa</v>
          </cell>
          <cell r="J754" t="str">
            <v>bueno</v>
          </cell>
          <cell r="K754" t="str">
            <v>defsi</v>
          </cell>
        </row>
        <row r="755">
          <cell r="B755" t="b">
            <v>1</v>
          </cell>
          <cell r="E755" t="str">
            <v>Gaviotas</v>
          </cell>
          <cell r="H755" t="str">
            <v>laboratorio</v>
          </cell>
          <cell r="J755" t="str">
            <v>bueno</v>
          </cell>
          <cell r="K755" t="str">
            <v>defsi</v>
          </cell>
        </row>
        <row r="756">
          <cell r="B756" t="b">
            <v>1</v>
          </cell>
          <cell r="E756" t="str">
            <v>Gaviotas</v>
          </cell>
          <cell r="H756" t="str">
            <v>consulta_externa</v>
          </cell>
          <cell r="J756" t="str">
            <v>bueno</v>
          </cell>
          <cell r="K756" t="str">
            <v>defsi</v>
          </cell>
        </row>
        <row r="757">
          <cell r="B757" t="b">
            <v>1</v>
          </cell>
          <cell r="E757" t="str">
            <v>Gaviotas</v>
          </cell>
          <cell r="H757" t="str">
            <v>consulta_externa</v>
          </cell>
          <cell r="J757" t="str">
            <v>bueno</v>
          </cell>
          <cell r="K757" t="str">
            <v>defsi</v>
          </cell>
        </row>
        <row r="758">
          <cell r="B758" t="b">
            <v>1</v>
          </cell>
          <cell r="E758" t="str">
            <v>Gaviotas</v>
          </cell>
          <cell r="H758" t="str">
            <v>laboratorio</v>
          </cell>
          <cell r="J758" t="str">
            <v>bueno</v>
          </cell>
          <cell r="K758" t="str">
            <v>defsi</v>
          </cell>
        </row>
        <row r="759">
          <cell r="B759" t="b">
            <v>1</v>
          </cell>
          <cell r="E759" t="str">
            <v>Gaviotas</v>
          </cell>
          <cell r="H759" t="str">
            <v>consulta_externa</v>
          </cell>
          <cell r="J759" t="str">
            <v>bueno</v>
          </cell>
          <cell r="K759" t="str">
            <v>defsi</v>
          </cell>
        </row>
        <row r="760">
          <cell r="B760" t="b">
            <v>1</v>
          </cell>
          <cell r="E760" t="str">
            <v>Gaviotas</v>
          </cell>
          <cell r="H760" t="str">
            <v>consulta_externa</v>
          </cell>
          <cell r="J760" t="str">
            <v>bueno</v>
          </cell>
          <cell r="K760" t="str">
            <v>defsi</v>
          </cell>
        </row>
        <row r="761">
          <cell r="B761" t="b">
            <v>1</v>
          </cell>
          <cell r="E761" t="str">
            <v>Gaviotas</v>
          </cell>
          <cell r="H761" t="str">
            <v>salud_oral</v>
          </cell>
          <cell r="J761" t="str">
            <v>bueno</v>
          </cell>
          <cell r="K761" t="str">
            <v>defsi</v>
          </cell>
        </row>
        <row r="762">
          <cell r="B762" t="b">
            <v>1</v>
          </cell>
          <cell r="E762" t="str">
            <v>Gaviotas</v>
          </cell>
          <cell r="H762" t="str">
            <v>salud_oral</v>
          </cell>
          <cell r="J762" t="str">
            <v>bueno</v>
          </cell>
          <cell r="K762" t="str">
            <v>defsi</v>
          </cell>
        </row>
        <row r="763">
          <cell r="B763" t="b">
            <v>1</v>
          </cell>
          <cell r="E763" t="str">
            <v>Gaviotas</v>
          </cell>
          <cell r="H763" t="str">
            <v>salud_oral</v>
          </cell>
          <cell r="J763" t="str">
            <v>bueno</v>
          </cell>
          <cell r="K763" t="str">
            <v>defsi</v>
          </cell>
        </row>
        <row r="764">
          <cell r="B764" t="b">
            <v>1</v>
          </cell>
          <cell r="E764" t="str">
            <v>Gaviotas</v>
          </cell>
          <cell r="H764" t="str">
            <v>consulta_externa</v>
          </cell>
          <cell r="J764" t="str">
            <v>bueno</v>
          </cell>
          <cell r="K764" t="str">
            <v>defsi</v>
          </cell>
        </row>
        <row r="765">
          <cell r="B765" t="b">
            <v>1</v>
          </cell>
          <cell r="E765" t="str">
            <v>Las Reinas</v>
          </cell>
          <cell r="H765" t="str">
            <v>consulta_externa</v>
          </cell>
          <cell r="J765" t="str">
            <v>bueno</v>
          </cell>
          <cell r="K765" t="str">
            <v>probsi</v>
          </cell>
        </row>
        <row r="766">
          <cell r="B766" t="b">
            <v>1</v>
          </cell>
          <cell r="E766" t="str">
            <v>Las Reinas</v>
          </cell>
          <cell r="H766" t="str">
            <v>salud_oral</v>
          </cell>
          <cell r="J766" t="str">
            <v>bueno</v>
          </cell>
          <cell r="K766" t="str">
            <v>probsi</v>
          </cell>
        </row>
        <row r="767">
          <cell r="B767" t="b">
            <v>1</v>
          </cell>
          <cell r="E767" t="str">
            <v>Las Reinas</v>
          </cell>
          <cell r="H767" t="str">
            <v>laboratorio</v>
          </cell>
          <cell r="J767" t="str">
            <v>bueno</v>
          </cell>
          <cell r="K767" t="str">
            <v>probsi</v>
          </cell>
        </row>
        <row r="768">
          <cell r="B768" t="b">
            <v>1</v>
          </cell>
          <cell r="E768" t="str">
            <v>Bayunca</v>
          </cell>
          <cell r="H768" t="str">
            <v>consulta_externa</v>
          </cell>
          <cell r="J768" t="str">
            <v>bueno</v>
          </cell>
          <cell r="K768" t="str">
            <v>defsi</v>
          </cell>
        </row>
        <row r="769">
          <cell r="B769" t="b">
            <v>1</v>
          </cell>
          <cell r="E769" t="str">
            <v>Las Reinas</v>
          </cell>
          <cell r="H769" t="str">
            <v>laboratorio</v>
          </cell>
          <cell r="J769" t="str">
            <v>bueno</v>
          </cell>
          <cell r="K769" t="str">
            <v>probsi</v>
          </cell>
        </row>
        <row r="770">
          <cell r="B770" t="b">
            <v>1</v>
          </cell>
          <cell r="E770" t="str">
            <v>Las Reinas</v>
          </cell>
          <cell r="H770" t="str">
            <v>salud_oral</v>
          </cell>
          <cell r="J770" t="str">
            <v>bueno</v>
          </cell>
          <cell r="K770" t="str">
            <v>probsi</v>
          </cell>
        </row>
        <row r="771">
          <cell r="B771" t="b">
            <v>1</v>
          </cell>
          <cell r="E771" t="str">
            <v>Las Reinas</v>
          </cell>
          <cell r="H771" t="str">
            <v>consulta_externa</v>
          </cell>
          <cell r="J771" t="str">
            <v>bueno</v>
          </cell>
          <cell r="K771" t="str">
            <v>probsi</v>
          </cell>
        </row>
        <row r="772">
          <cell r="B772" t="b">
            <v>1</v>
          </cell>
          <cell r="E772" t="str">
            <v>Bayunca</v>
          </cell>
          <cell r="H772" t="str">
            <v>salud_oral</v>
          </cell>
          <cell r="J772" t="str">
            <v>bueno</v>
          </cell>
          <cell r="K772" t="str">
            <v>defsi</v>
          </cell>
        </row>
        <row r="773">
          <cell r="B773" t="b">
            <v>1</v>
          </cell>
          <cell r="E773" t="str">
            <v>Las Reinas</v>
          </cell>
          <cell r="H773" t="str">
            <v>consulta_externa</v>
          </cell>
          <cell r="J773" t="str">
            <v>bueno</v>
          </cell>
          <cell r="K773" t="str">
            <v>probsi</v>
          </cell>
        </row>
        <row r="774">
          <cell r="B774" t="b">
            <v>1</v>
          </cell>
          <cell r="E774" t="str">
            <v>Las Reinas</v>
          </cell>
          <cell r="H774" t="str">
            <v>consulta_externa</v>
          </cell>
          <cell r="J774" t="str">
            <v>bueno</v>
          </cell>
          <cell r="K774" t="str">
            <v>probsi</v>
          </cell>
        </row>
        <row r="775">
          <cell r="B775" t="b">
            <v>1</v>
          </cell>
          <cell r="E775" t="str">
            <v>Las Reinas</v>
          </cell>
          <cell r="H775" t="str">
            <v>laboratorio</v>
          </cell>
          <cell r="J775" t="str">
            <v>bueno</v>
          </cell>
          <cell r="K775" t="str">
            <v>probsi</v>
          </cell>
        </row>
        <row r="776">
          <cell r="B776" t="b">
            <v>1</v>
          </cell>
          <cell r="E776" t="str">
            <v>Las Reinas</v>
          </cell>
          <cell r="H776" t="str">
            <v>consulta_externa</v>
          </cell>
          <cell r="J776" t="str">
            <v>bueno</v>
          </cell>
          <cell r="K776" t="str">
            <v>probsi</v>
          </cell>
        </row>
        <row r="777">
          <cell r="B777" t="b">
            <v>1</v>
          </cell>
          <cell r="E777" t="str">
            <v>Las Reinas</v>
          </cell>
          <cell r="H777" t="str">
            <v>consulta_externa</v>
          </cell>
          <cell r="J777" t="str">
            <v>bueno</v>
          </cell>
          <cell r="K777" t="str">
            <v>probsi</v>
          </cell>
        </row>
        <row r="778">
          <cell r="B778" t="b">
            <v>1</v>
          </cell>
          <cell r="E778" t="str">
            <v>Gaviotas</v>
          </cell>
          <cell r="H778" t="str">
            <v>consulta_externa</v>
          </cell>
          <cell r="J778" t="str">
            <v>bueno</v>
          </cell>
          <cell r="K778" t="str">
            <v>defsi</v>
          </cell>
        </row>
        <row r="779">
          <cell r="B779" t="b">
            <v>1</v>
          </cell>
          <cell r="E779" t="str">
            <v>Gaviotas</v>
          </cell>
          <cell r="H779" t="str">
            <v>salud_oral</v>
          </cell>
          <cell r="J779" t="str">
            <v>bueno</v>
          </cell>
          <cell r="K779" t="str">
            <v>defsi</v>
          </cell>
        </row>
        <row r="780">
          <cell r="B780" t="b">
            <v>1</v>
          </cell>
          <cell r="E780" t="str">
            <v>Gaviotas</v>
          </cell>
          <cell r="H780" t="str">
            <v>salud_oral</v>
          </cell>
          <cell r="J780" t="str">
            <v>bueno</v>
          </cell>
          <cell r="K780" t="str">
            <v>defsi</v>
          </cell>
        </row>
        <row r="781">
          <cell r="B781" t="b">
            <v>1</v>
          </cell>
          <cell r="E781" t="str">
            <v>Gaviotas</v>
          </cell>
          <cell r="H781" t="str">
            <v>consulta_externa</v>
          </cell>
          <cell r="J781" t="str">
            <v>bueno</v>
          </cell>
          <cell r="K781" t="str">
            <v>defsi</v>
          </cell>
        </row>
        <row r="782">
          <cell r="B782" t="b">
            <v>1</v>
          </cell>
          <cell r="E782" t="str">
            <v>Gaviotas</v>
          </cell>
          <cell r="H782" t="str">
            <v>laboratorio</v>
          </cell>
          <cell r="J782" t="str">
            <v>bueno</v>
          </cell>
          <cell r="K782" t="str">
            <v>defsi</v>
          </cell>
        </row>
        <row r="783">
          <cell r="B783" t="b">
            <v>1</v>
          </cell>
          <cell r="E783" t="str">
            <v>Gaviotas</v>
          </cell>
          <cell r="H783" t="str">
            <v>laboratorio</v>
          </cell>
          <cell r="J783" t="str">
            <v>bueno</v>
          </cell>
          <cell r="K783" t="str">
            <v>defsi</v>
          </cell>
        </row>
        <row r="784">
          <cell r="B784" t="b">
            <v>1</v>
          </cell>
          <cell r="E784" t="str">
            <v>Gaviotas</v>
          </cell>
          <cell r="H784" t="str">
            <v>laboratorio</v>
          </cell>
          <cell r="J784" t="str">
            <v>bueno</v>
          </cell>
          <cell r="K784" t="str">
            <v>defsi</v>
          </cell>
        </row>
        <row r="785">
          <cell r="B785" t="b">
            <v>1</v>
          </cell>
          <cell r="E785" t="str">
            <v>Gaviotas</v>
          </cell>
          <cell r="H785" t="str">
            <v>laboratorio</v>
          </cell>
          <cell r="J785" t="str">
            <v>bueno</v>
          </cell>
          <cell r="K785" t="str">
            <v>defsi</v>
          </cell>
        </row>
        <row r="786">
          <cell r="B786" t="b">
            <v>1</v>
          </cell>
          <cell r="E786" t="str">
            <v>Gaviotas</v>
          </cell>
          <cell r="H786" t="str">
            <v>laboratorio</v>
          </cell>
          <cell r="J786" t="str">
            <v>muybueno</v>
          </cell>
          <cell r="K786" t="str">
            <v>defsi</v>
          </cell>
        </row>
        <row r="787">
          <cell r="B787" t="b">
            <v>1</v>
          </cell>
          <cell r="E787" t="str">
            <v>Boquilla</v>
          </cell>
          <cell r="H787" t="str">
            <v>consulta_externa</v>
          </cell>
          <cell r="J787" t="str">
            <v>bueno</v>
          </cell>
          <cell r="K787" t="str">
            <v>probsi</v>
          </cell>
        </row>
        <row r="788">
          <cell r="B788" t="b">
            <v>1</v>
          </cell>
          <cell r="E788" t="str">
            <v>Boquilla</v>
          </cell>
          <cell r="H788" t="str">
            <v>consulta_externa</v>
          </cell>
          <cell r="J788" t="str">
            <v>bueno</v>
          </cell>
          <cell r="K788" t="str">
            <v>probsi</v>
          </cell>
        </row>
        <row r="789">
          <cell r="B789" t="b">
            <v>1</v>
          </cell>
          <cell r="E789" t="str">
            <v>Boquilla</v>
          </cell>
          <cell r="H789" t="str">
            <v>consulta_externa</v>
          </cell>
          <cell r="J789" t="str">
            <v>bueno</v>
          </cell>
          <cell r="K789" t="str">
            <v>probsi</v>
          </cell>
        </row>
        <row r="790">
          <cell r="B790" t="b">
            <v>1</v>
          </cell>
          <cell r="E790" t="str">
            <v>Boquilla</v>
          </cell>
          <cell r="H790" t="str">
            <v>laboratorio</v>
          </cell>
          <cell r="J790" t="str">
            <v>bueno</v>
          </cell>
          <cell r="K790" t="str">
            <v>probsi</v>
          </cell>
        </row>
        <row r="791">
          <cell r="B791" t="b">
            <v>1</v>
          </cell>
          <cell r="E791" t="str">
            <v>Boquilla</v>
          </cell>
          <cell r="H791" t="str">
            <v>urgencia</v>
          </cell>
          <cell r="J791" t="str">
            <v>bueno</v>
          </cell>
          <cell r="K791" t="str">
            <v>probsi</v>
          </cell>
        </row>
        <row r="792">
          <cell r="B792" t="b">
            <v>1</v>
          </cell>
          <cell r="E792" t="str">
            <v>Bayunca</v>
          </cell>
          <cell r="H792" t="str">
            <v>laboratorio</v>
          </cell>
          <cell r="J792" t="str">
            <v>bueno</v>
          </cell>
          <cell r="K792" t="str">
            <v>defsi</v>
          </cell>
        </row>
        <row r="793">
          <cell r="B793" t="b">
            <v>1</v>
          </cell>
          <cell r="E793" t="str">
            <v>Bayunca</v>
          </cell>
          <cell r="H793" t="str">
            <v>urgencia</v>
          </cell>
          <cell r="J793" t="str">
            <v>bueno</v>
          </cell>
          <cell r="K793" t="str">
            <v>defsi</v>
          </cell>
        </row>
        <row r="794">
          <cell r="B794" t="b">
            <v>1</v>
          </cell>
          <cell r="E794" t="str">
            <v>Bayunca</v>
          </cell>
          <cell r="H794" t="str">
            <v>consulta_externa</v>
          </cell>
          <cell r="J794" t="str">
            <v>bueno</v>
          </cell>
          <cell r="K794" t="str">
            <v>defsi</v>
          </cell>
        </row>
        <row r="795">
          <cell r="B795" t="b">
            <v>1</v>
          </cell>
          <cell r="E795" t="str">
            <v>Bayunca</v>
          </cell>
          <cell r="H795" t="str">
            <v>salud_oral</v>
          </cell>
          <cell r="J795" t="str">
            <v>bueno</v>
          </cell>
          <cell r="K795" t="str">
            <v>defsi</v>
          </cell>
        </row>
        <row r="796">
          <cell r="B796" t="b">
            <v>1</v>
          </cell>
          <cell r="E796" t="str">
            <v>Bayunca</v>
          </cell>
          <cell r="H796" t="str">
            <v>laboratorio</v>
          </cell>
          <cell r="J796" t="str">
            <v>bueno</v>
          </cell>
          <cell r="K796" t="str">
            <v>defsi</v>
          </cell>
        </row>
        <row r="797">
          <cell r="B797" t="b">
            <v>1</v>
          </cell>
          <cell r="E797" t="str">
            <v>Bayunca</v>
          </cell>
          <cell r="H797" t="str">
            <v>urgencia</v>
          </cell>
          <cell r="J797" t="str">
            <v>bueno</v>
          </cell>
          <cell r="K797" t="str">
            <v>defsi</v>
          </cell>
        </row>
        <row r="798">
          <cell r="B798" t="b">
            <v>1</v>
          </cell>
          <cell r="E798" t="str">
            <v>Bayunca</v>
          </cell>
          <cell r="H798" t="str">
            <v>consulta_externa</v>
          </cell>
          <cell r="J798" t="str">
            <v>bueno</v>
          </cell>
          <cell r="K798" t="str">
            <v>defsi</v>
          </cell>
        </row>
        <row r="799">
          <cell r="B799" t="b">
            <v>1</v>
          </cell>
          <cell r="E799" t="str">
            <v>Boquilla</v>
          </cell>
          <cell r="H799" t="str">
            <v>consulta_externa</v>
          </cell>
          <cell r="J799" t="str">
            <v>bueno</v>
          </cell>
          <cell r="K799" t="str">
            <v>probsi</v>
          </cell>
        </row>
        <row r="800">
          <cell r="B800" t="b">
            <v>1</v>
          </cell>
          <cell r="E800" t="str">
            <v>Boquilla</v>
          </cell>
          <cell r="H800" t="str">
            <v>consulta_externa</v>
          </cell>
          <cell r="J800" t="str">
            <v>bueno</v>
          </cell>
          <cell r="K800" t="str">
            <v>probsi</v>
          </cell>
        </row>
        <row r="801">
          <cell r="B801" t="b">
            <v>1</v>
          </cell>
          <cell r="E801" t="str">
            <v>Bayunca</v>
          </cell>
          <cell r="H801" t="str">
            <v>salud_oral</v>
          </cell>
          <cell r="J801" t="str">
            <v>bueno</v>
          </cell>
          <cell r="K801" t="str">
            <v>defsi</v>
          </cell>
        </row>
        <row r="802">
          <cell r="B802" t="b">
            <v>1</v>
          </cell>
          <cell r="E802" t="str">
            <v>Bayunca</v>
          </cell>
          <cell r="H802" t="str">
            <v>laboratorio</v>
          </cell>
          <cell r="J802" t="str">
            <v>bueno</v>
          </cell>
          <cell r="K802" t="str">
            <v>defsi</v>
          </cell>
        </row>
        <row r="803">
          <cell r="B803" t="b">
            <v>1</v>
          </cell>
          <cell r="E803" t="str">
            <v>Bayunca</v>
          </cell>
          <cell r="H803" t="str">
            <v>urgencia</v>
          </cell>
          <cell r="J803" t="str">
            <v>bueno</v>
          </cell>
          <cell r="K803" t="str">
            <v>defsi</v>
          </cell>
        </row>
        <row r="804">
          <cell r="B804" t="b">
            <v>1</v>
          </cell>
          <cell r="E804" t="str">
            <v>Boquilla</v>
          </cell>
          <cell r="H804" t="str">
            <v>consulta_externa</v>
          </cell>
          <cell r="J804" t="str">
            <v>bueno</v>
          </cell>
          <cell r="K804" t="str">
            <v>probsi</v>
          </cell>
        </row>
        <row r="805">
          <cell r="B805" t="b">
            <v>1</v>
          </cell>
          <cell r="E805" t="str">
            <v>Boquilla</v>
          </cell>
          <cell r="H805" t="str">
            <v>consulta_externa</v>
          </cell>
          <cell r="J805" t="str">
            <v>bueno</v>
          </cell>
          <cell r="K805" t="str">
            <v>probsi</v>
          </cell>
        </row>
        <row r="806">
          <cell r="B806" t="b">
            <v>1</v>
          </cell>
          <cell r="E806" t="str">
            <v>Nelson Mandela UPA</v>
          </cell>
          <cell r="H806" t="str">
            <v>consulta_externa</v>
          </cell>
          <cell r="J806" t="str">
            <v>bueno</v>
          </cell>
          <cell r="K806" t="str">
            <v>probsi</v>
          </cell>
        </row>
        <row r="807">
          <cell r="B807" t="b">
            <v>1</v>
          </cell>
          <cell r="E807" t="str">
            <v>Nelson Mandela UPA</v>
          </cell>
          <cell r="H807" t="str">
            <v>salud_oral</v>
          </cell>
          <cell r="J807" t="str">
            <v>bueno</v>
          </cell>
          <cell r="K807" t="str">
            <v>probsi</v>
          </cell>
        </row>
        <row r="808">
          <cell r="B808" t="b">
            <v>0</v>
          </cell>
          <cell r="E808" t="str">
            <v>Nelson Mandela UPA</v>
          </cell>
          <cell r="H808" t="str">
            <v>laboratorio</v>
          </cell>
          <cell r="J808" t="str">
            <v>regular</v>
          </cell>
          <cell r="K808" t="str">
            <v>probsi</v>
          </cell>
        </row>
        <row r="809">
          <cell r="B809" t="b">
            <v>1</v>
          </cell>
          <cell r="E809" t="str">
            <v>Boquilla</v>
          </cell>
          <cell r="H809" t="str">
            <v>laboratorio</v>
          </cell>
          <cell r="J809" t="str">
            <v>bueno</v>
          </cell>
          <cell r="K809" t="str">
            <v>probsi</v>
          </cell>
        </row>
        <row r="810">
          <cell r="B810" t="b">
            <v>1</v>
          </cell>
          <cell r="E810" t="str">
            <v>Gaviotas</v>
          </cell>
          <cell r="H810" t="str">
            <v>laboratorio</v>
          </cell>
          <cell r="J810" t="str">
            <v>bueno</v>
          </cell>
          <cell r="K810" t="str">
            <v>defsi</v>
          </cell>
        </row>
        <row r="811">
          <cell r="B811" t="b">
            <v>1</v>
          </cell>
          <cell r="E811" t="str">
            <v>Gaviotas</v>
          </cell>
          <cell r="H811" t="str">
            <v>laboratorio</v>
          </cell>
          <cell r="J811" t="str">
            <v>bueno</v>
          </cell>
          <cell r="K811" t="str">
            <v>defsi</v>
          </cell>
        </row>
        <row r="812">
          <cell r="B812" t="b">
            <v>1</v>
          </cell>
          <cell r="E812" t="str">
            <v>Nelson Mandela UPA</v>
          </cell>
          <cell r="H812" t="str">
            <v>consulta_externa</v>
          </cell>
          <cell r="J812" t="str">
            <v>bueno</v>
          </cell>
          <cell r="K812" t="str">
            <v>probsi</v>
          </cell>
        </row>
        <row r="813">
          <cell r="B813" t="b">
            <v>1</v>
          </cell>
          <cell r="E813" t="str">
            <v>Boquilla</v>
          </cell>
          <cell r="H813" t="str">
            <v>consulta_externa</v>
          </cell>
          <cell r="J813" t="str">
            <v>bueno</v>
          </cell>
          <cell r="K813" t="str">
            <v>probsi</v>
          </cell>
        </row>
        <row r="814">
          <cell r="B814" t="b">
            <v>1</v>
          </cell>
          <cell r="E814" t="str">
            <v>Nelson Mandela UPA</v>
          </cell>
          <cell r="H814" t="str">
            <v>salud_oral</v>
          </cell>
          <cell r="J814" t="str">
            <v>bueno</v>
          </cell>
          <cell r="K814" t="str">
            <v>probsi</v>
          </cell>
        </row>
        <row r="815">
          <cell r="B815" t="b">
            <v>1</v>
          </cell>
          <cell r="E815" t="str">
            <v>Nelson Mandela UPA</v>
          </cell>
          <cell r="H815" t="str">
            <v>laboratorio</v>
          </cell>
          <cell r="J815" t="str">
            <v>bueno</v>
          </cell>
          <cell r="K815" t="str">
            <v>probsi</v>
          </cell>
        </row>
        <row r="816">
          <cell r="B816" t="b">
            <v>1</v>
          </cell>
          <cell r="E816" t="str">
            <v>Gaviotas</v>
          </cell>
          <cell r="H816" t="str">
            <v>laboratorio</v>
          </cell>
          <cell r="J816" t="str">
            <v>bueno</v>
          </cell>
          <cell r="K816" t="str">
            <v>defsi</v>
          </cell>
        </row>
        <row r="817">
          <cell r="B817" t="b">
            <v>1</v>
          </cell>
          <cell r="E817" t="str">
            <v>Gaviotas</v>
          </cell>
          <cell r="H817" t="str">
            <v>salud_oral</v>
          </cell>
          <cell r="J817" t="str">
            <v>bueno</v>
          </cell>
          <cell r="K817" t="str">
            <v>defsi</v>
          </cell>
        </row>
        <row r="818">
          <cell r="B818" t="b">
            <v>1</v>
          </cell>
          <cell r="E818" t="str">
            <v>Gaviotas</v>
          </cell>
          <cell r="H818" t="str">
            <v>salud_oral</v>
          </cell>
          <cell r="J818" t="str">
            <v>bueno</v>
          </cell>
          <cell r="K818" t="str">
            <v>defsi</v>
          </cell>
        </row>
        <row r="819">
          <cell r="B819" t="b">
            <v>1</v>
          </cell>
          <cell r="E819" t="str">
            <v>Boquilla</v>
          </cell>
          <cell r="H819" t="str">
            <v>laboratorio</v>
          </cell>
          <cell r="J819" t="str">
            <v>bueno</v>
          </cell>
          <cell r="K819" t="str">
            <v>probsi</v>
          </cell>
        </row>
        <row r="820">
          <cell r="B820" t="b">
            <v>1</v>
          </cell>
          <cell r="E820" t="str">
            <v>Gaviotas</v>
          </cell>
          <cell r="H820" t="str">
            <v>salud_oral</v>
          </cell>
          <cell r="J820" t="str">
            <v>muybueno</v>
          </cell>
          <cell r="K820" t="str">
            <v>defsi</v>
          </cell>
        </row>
        <row r="821">
          <cell r="B821" t="b">
            <v>0</v>
          </cell>
          <cell r="E821" t="str">
            <v>Nelson Mandela UPA</v>
          </cell>
          <cell r="H821" t="str">
            <v>consulta_externa</v>
          </cell>
          <cell r="J821" t="str">
            <v>regular</v>
          </cell>
          <cell r="K821" t="str">
            <v>probsi</v>
          </cell>
        </row>
        <row r="822">
          <cell r="B822" t="b">
            <v>1</v>
          </cell>
          <cell r="E822" t="str">
            <v>Gaviotas</v>
          </cell>
          <cell r="H822" t="str">
            <v>salud_oral</v>
          </cell>
          <cell r="J822" t="str">
            <v>bueno</v>
          </cell>
          <cell r="K822" t="str">
            <v>defsi</v>
          </cell>
        </row>
        <row r="823">
          <cell r="B823" t="b">
            <v>1</v>
          </cell>
          <cell r="E823" t="str">
            <v>Nelson Mandela UPA</v>
          </cell>
          <cell r="H823" t="str">
            <v>salud_oral</v>
          </cell>
          <cell r="J823" t="str">
            <v>bueno</v>
          </cell>
          <cell r="K823" t="str">
            <v>probsi</v>
          </cell>
        </row>
        <row r="824">
          <cell r="B824" t="b">
            <v>1</v>
          </cell>
          <cell r="E824" t="str">
            <v>Nelson Mandela UPA</v>
          </cell>
          <cell r="H824" t="str">
            <v>salud_oral</v>
          </cell>
          <cell r="J824" t="str">
            <v>bueno</v>
          </cell>
          <cell r="K824" t="str">
            <v>probsi</v>
          </cell>
        </row>
        <row r="825">
          <cell r="B825" t="b">
            <v>1</v>
          </cell>
          <cell r="E825" t="str">
            <v>Gaviotas</v>
          </cell>
          <cell r="H825" t="str">
            <v>salud_oral</v>
          </cell>
          <cell r="J825" t="str">
            <v>bueno</v>
          </cell>
          <cell r="K825" t="str">
            <v>defsi</v>
          </cell>
        </row>
        <row r="826">
          <cell r="B826" t="b">
            <v>0</v>
          </cell>
          <cell r="E826" t="str">
            <v>Nelson Mandela UPA</v>
          </cell>
          <cell r="H826" t="str">
            <v>laboratorio</v>
          </cell>
          <cell r="J826" t="str">
            <v>regular</v>
          </cell>
          <cell r="K826" t="str">
            <v>probsi</v>
          </cell>
        </row>
        <row r="827">
          <cell r="B827" t="b">
            <v>1</v>
          </cell>
          <cell r="E827" t="str">
            <v>Nelson Mandela UPA</v>
          </cell>
          <cell r="H827" t="str">
            <v>salud_oral</v>
          </cell>
          <cell r="J827" t="str">
            <v>bueno</v>
          </cell>
          <cell r="K827" t="str">
            <v>probsi</v>
          </cell>
        </row>
        <row r="828">
          <cell r="B828" t="b">
            <v>1</v>
          </cell>
          <cell r="E828" t="str">
            <v>Nelson Mandela UPA</v>
          </cell>
          <cell r="H828" t="str">
            <v>consulta_externa</v>
          </cell>
          <cell r="J828" t="str">
            <v>bueno</v>
          </cell>
          <cell r="K828" t="str">
            <v>probsi</v>
          </cell>
        </row>
        <row r="829">
          <cell r="B829" t="b">
            <v>1</v>
          </cell>
          <cell r="E829" t="str">
            <v>Nelson Mandela UPA</v>
          </cell>
          <cell r="H829" t="str">
            <v>consulta_externa</v>
          </cell>
          <cell r="J829" t="str">
            <v>bueno</v>
          </cell>
          <cell r="K829" t="str">
            <v>probsi</v>
          </cell>
        </row>
        <row r="830">
          <cell r="B830" t="b">
            <v>1</v>
          </cell>
          <cell r="E830" t="str">
            <v>Boquilla</v>
          </cell>
          <cell r="H830" t="str">
            <v>consulta_externa</v>
          </cell>
          <cell r="J830" t="str">
            <v>bueno</v>
          </cell>
          <cell r="K830" t="str">
            <v>defsi</v>
          </cell>
        </row>
        <row r="831">
          <cell r="B831" t="b">
            <v>1</v>
          </cell>
          <cell r="E831" t="str">
            <v>Boquilla</v>
          </cell>
          <cell r="H831" t="str">
            <v>consulta_externa</v>
          </cell>
          <cell r="J831" t="str">
            <v>bueno</v>
          </cell>
          <cell r="K831" t="str">
            <v>defsi</v>
          </cell>
        </row>
        <row r="832">
          <cell r="B832" t="b">
            <v>1</v>
          </cell>
          <cell r="E832" t="str">
            <v>Boquilla</v>
          </cell>
          <cell r="H832" t="str">
            <v>consulta_externa</v>
          </cell>
          <cell r="J832" t="str">
            <v>bueno</v>
          </cell>
          <cell r="K832" t="str">
            <v>defsi</v>
          </cell>
        </row>
        <row r="833">
          <cell r="B833" t="b">
            <v>1</v>
          </cell>
          <cell r="E833" t="str">
            <v>Boquilla</v>
          </cell>
          <cell r="H833" t="str">
            <v>consulta_externa</v>
          </cell>
          <cell r="J833" t="str">
            <v>bueno</v>
          </cell>
          <cell r="K833" t="str">
            <v>defsi</v>
          </cell>
        </row>
        <row r="834">
          <cell r="B834" t="b">
            <v>1</v>
          </cell>
          <cell r="E834" t="str">
            <v>Nelson Mandela UPA</v>
          </cell>
          <cell r="H834" t="str">
            <v>laboratorio</v>
          </cell>
          <cell r="J834" t="str">
            <v>bueno</v>
          </cell>
          <cell r="K834" t="str">
            <v>probsi</v>
          </cell>
        </row>
        <row r="835">
          <cell r="B835" t="b">
            <v>1</v>
          </cell>
          <cell r="E835" t="str">
            <v>Boquilla</v>
          </cell>
          <cell r="H835" t="str">
            <v>consulta_externa</v>
          </cell>
          <cell r="J835" t="str">
            <v>bueno</v>
          </cell>
          <cell r="K835" t="str">
            <v>defsi</v>
          </cell>
        </row>
        <row r="836">
          <cell r="B836" t="b">
            <v>1</v>
          </cell>
          <cell r="E836" t="str">
            <v>Boquilla</v>
          </cell>
          <cell r="H836" t="str">
            <v>consulta_externa</v>
          </cell>
          <cell r="J836" t="str">
            <v>bueno</v>
          </cell>
          <cell r="K836" t="str">
            <v>defsi</v>
          </cell>
        </row>
        <row r="837">
          <cell r="B837" t="b">
            <v>1</v>
          </cell>
          <cell r="E837" t="str">
            <v>Boquilla</v>
          </cell>
          <cell r="H837" t="str">
            <v>salud_oral</v>
          </cell>
          <cell r="J837" t="str">
            <v>bueno</v>
          </cell>
          <cell r="K837" t="str">
            <v>defsi</v>
          </cell>
        </row>
        <row r="838">
          <cell r="B838" t="b">
            <v>0</v>
          </cell>
          <cell r="E838" t="str">
            <v>Nelson Mandela UPA</v>
          </cell>
          <cell r="H838" t="str">
            <v>consulta_externa</v>
          </cell>
          <cell r="J838" t="str">
            <v>regular</v>
          </cell>
          <cell r="K838" t="str">
            <v>probsi</v>
          </cell>
        </row>
        <row r="839">
          <cell r="B839" t="b">
            <v>1</v>
          </cell>
          <cell r="E839" t="str">
            <v>Nelson Mandela UPA</v>
          </cell>
          <cell r="H839" t="str">
            <v>consulta_externa</v>
          </cell>
          <cell r="J839" t="str">
            <v>bueno</v>
          </cell>
          <cell r="K839" t="str">
            <v>probsi</v>
          </cell>
        </row>
        <row r="840">
          <cell r="B840" t="b">
            <v>1</v>
          </cell>
          <cell r="E840" t="str">
            <v>Boquilla</v>
          </cell>
          <cell r="H840" t="str">
            <v>laboratorio</v>
          </cell>
          <cell r="J840" t="str">
            <v>bueno</v>
          </cell>
          <cell r="K840" t="str">
            <v>defsi</v>
          </cell>
        </row>
        <row r="841">
          <cell r="B841" t="b">
            <v>1</v>
          </cell>
          <cell r="E841" t="str">
            <v>Nelson Mandela UPA</v>
          </cell>
          <cell r="H841" t="str">
            <v>laboratorio</v>
          </cell>
          <cell r="J841" t="str">
            <v>bueno</v>
          </cell>
          <cell r="K841" t="str">
            <v>probsi</v>
          </cell>
        </row>
        <row r="842">
          <cell r="B842" t="b">
            <v>1</v>
          </cell>
          <cell r="E842" t="str">
            <v>Boquilla</v>
          </cell>
          <cell r="H842" t="str">
            <v>urgencia</v>
          </cell>
          <cell r="J842" t="str">
            <v>bueno</v>
          </cell>
          <cell r="K842" t="str">
            <v>defsi</v>
          </cell>
        </row>
        <row r="843">
          <cell r="B843" t="b">
            <v>1</v>
          </cell>
          <cell r="E843" t="str">
            <v>Nelson Mandela UPA</v>
          </cell>
          <cell r="H843" t="str">
            <v>consulta_externa</v>
          </cell>
          <cell r="J843" t="str">
            <v>bueno</v>
          </cell>
          <cell r="K843" t="str">
            <v>probsi</v>
          </cell>
        </row>
        <row r="844">
          <cell r="B844" t="b">
            <v>1</v>
          </cell>
          <cell r="E844" t="str">
            <v>Nelson Mandela UPA</v>
          </cell>
          <cell r="H844" t="str">
            <v>consulta_externa</v>
          </cell>
          <cell r="J844" t="str">
            <v>bueno</v>
          </cell>
          <cell r="K844" t="str">
            <v>probsi</v>
          </cell>
        </row>
        <row r="845">
          <cell r="B845" t="b">
            <v>1</v>
          </cell>
          <cell r="E845" t="str">
            <v>Nelson Mandela UPA</v>
          </cell>
          <cell r="H845" t="str">
            <v>laboratorio</v>
          </cell>
          <cell r="J845" t="str">
            <v>bueno</v>
          </cell>
          <cell r="K845" t="str">
            <v>probsi</v>
          </cell>
        </row>
        <row r="846">
          <cell r="B846" t="b">
            <v>1</v>
          </cell>
          <cell r="E846" t="str">
            <v>Nelson Mandela UPA</v>
          </cell>
          <cell r="H846" t="str">
            <v>consulta_externa</v>
          </cell>
          <cell r="J846" t="str">
            <v>bueno</v>
          </cell>
          <cell r="K846" t="str">
            <v>probsi</v>
          </cell>
        </row>
        <row r="847">
          <cell r="B847" t="b">
            <v>1</v>
          </cell>
          <cell r="E847" t="str">
            <v>Bayunca</v>
          </cell>
          <cell r="H847" t="str">
            <v>consulta_externa</v>
          </cell>
          <cell r="J847" t="str">
            <v>bueno</v>
          </cell>
          <cell r="K847" t="str">
            <v>defsi</v>
          </cell>
        </row>
        <row r="848">
          <cell r="B848" t="b">
            <v>1</v>
          </cell>
          <cell r="E848" t="str">
            <v>Nelson Mandela UPA</v>
          </cell>
          <cell r="H848" t="str">
            <v>consulta_externa</v>
          </cell>
          <cell r="J848" t="str">
            <v>bueno</v>
          </cell>
          <cell r="K848" t="str">
            <v>probsi</v>
          </cell>
        </row>
        <row r="849">
          <cell r="B849" t="b">
            <v>1</v>
          </cell>
          <cell r="E849" t="str">
            <v>Bayunca</v>
          </cell>
          <cell r="H849" t="str">
            <v>salud_oral</v>
          </cell>
          <cell r="J849" t="str">
            <v>bueno</v>
          </cell>
          <cell r="K849" t="str">
            <v>defsi</v>
          </cell>
        </row>
        <row r="850">
          <cell r="B850" t="b">
            <v>1</v>
          </cell>
          <cell r="E850" t="str">
            <v>Nelson Mandela UPA</v>
          </cell>
          <cell r="H850" t="str">
            <v>laboratorio</v>
          </cell>
          <cell r="J850" t="str">
            <v>bueno</v>
          </cell>
          <cell r="K850" t="str">
            <v>probsi</v>
          </cell>
        </row>
        <row r="851">
          <cell r="B851" t="b">
            <v>1</v>
          </cell>
          <cell r="E851" t="str">
            <v>Bayunca</v>
          </cell>
          <cell r="H851" t="str">
            <v>laboratorio</v>
          </cell>
          <cell r="J851" t="str">
            <v>bueno</v>
          </cell>
          <cell r="K851" t="str">
            <v>defsi</v>
          </cell>
        </row>
        <row r="852">
          <cell r="B852" t="b">
            <v>1</v>
          </cell>
          <cell r="E852" t="str">
            <v>Bayunca</v>
          </cell>
          <cell r="H852" t="str">
            <v>urgencia</v>
          </cell>
          <cell r="J852" t="str">
            <v>bueno</v>
          </cell>
          <cell r="K852" t="str">
            <v>defsi</v>
          </cell>
        </row>
        <row r="853">
          <cell r="B853" t="b">
            <v>1</v>
          </cell>
          <cell r="E853" t="str">
            <v>Boquilla</v>
          </cell>
          <cell r="H853" t="str">
            <v>consulta_externa</v>
          </cell>
          <cell r="J853" t="str">
            <v>bueno</v>
          </cell>
          <cell r="K853" t="str">
            <v>probsi</v>
          </cell>
        </row>
        <row r="854">
          <cell r="B854" t="b">
            <v>1</v>
          </cell>
          <cell r="E854" t="str">
            <v>Boquilla</v>
          </cell>
          <cell r="H854" t="str">
            <v>salud_oral</v>
          </cell>
          <cell r="J854" t="str">
            <v>bueno</v>
          </cell>
          <cell r="K854" t="str">
            <v>probsi</v>
          </cell>
        </row>
        <row r="855">
          <cell r="B855" t="b">
            <v>1</v>
          </cell>
          <cell r="E855" t="str">
            <v>Boquilla</v>
          </cell>
          <cell r="H855" t="str">
            <v>urgencia</v>
          </cell>
          <cell r="J855" t="str">
            <v>bueno</v>
          </cell>
          <cell r="K855" t="str">
            <v>probsi</v>
          </cell>
        </row>
        <row r="856">
          <cell r="B856" t="b">
            <v>1</v>
          </cell>
          <cell r="E856" t="str">
            <v>Bayunca</v>
          </cell>
          <cell r="H856" t="str">
            <v>consulta_externa</v>
          </cell>
          <cell r="J856" t="str">
            <v>bueno</v>
          </cell>
          <cell r="K856" t="str">
            <v>defsi</v>
          </cell>
        </row>
        <row r="857">
          <cell r="B857" t="b">
            <v>1</v>
          </cell>
          <cell r="E857" t="str">
            <v>Bayunca</v>
          </cell>
          <cell r="H857" t="str">
            <v>salud_oral</v>
          </cell>
          <cell r="J857" t="str">
            <v>bueno</v>
          </cell>
          <cell r="K857" t="str">
            <v>defsi</v>
          </cell>
        </row>
        <row r="858">
          <cell r="B858" t="b">
            <v>1</v>
          </cell>
          <cell r="E858" t="str">
            <v>Bayunca</v>
          </cell>
          <cell r="H858" t="str">
            <v>laboratorio</v>
          </cell>
          <cell r="J858" t="str">
            <v>bueno</v>
          </cell>
          <cell r="K858" t="str">
            <v>defsi</v>
          </cell>
        </row>
        <row r="859">
          <cell r="B859" t="b">
            <v>1</v>
          </cell>
          <cell r="E859" t="str">
            <v>Bayunca</v>
          </cell>
          <cell r="H859" t="str">
            <v>urgencia</v>
          </cell>
          <cell r="J859" t="str">
            <v>bueno</v>
          </cell>
          <cell r="K859" t="str">
            <v>defsi</v>
          </cell>
        </row>
        <row r="860">
          <cell r="B860" t="b">
            <v>1</v>
          </cell>
          <cell r="E860" t="str">
            <v>Nelson Mandela UPA</v>
          </cell>
          <cell r="H860" t="str">
            <v>salud_oral</v>
          </cell>
          <cell r="J860" t="str">
            <v>bueno</v>
          </cell>
          <cell r="K860" t="str">
            <v>probsi</v>
          </cell>
        </row>
        <row r="861">
          <cell r="B861" t="b">
            <v>1</v>
          </cell>
          <cell r="E861" t="str">
            <v>Nelson Mandela UPA</v>
          </cell>
          <cell r="H861" t="str">
            <v>consulta_externa</v>
          </cell>
          <cell r="J861" t="str">
            <v>bueno</v>
          </cell>
          <cell r="K861" t="str">
            <v>probsi</v>
          </cell>
        </row>
        <row r="862">
          <cell r="B862" t="b">
            <v>1</v>
          </cell>
          <cell r="E862" t="str">
            <v>Nelson Mandela UPA</v>
          </cell>
          <cell r="H862" t="str">
            <v>laboratorio</v>
          </cell>
          <cell r="J862" t="str">
            <v>bueno</v>
          </cell>
          <cell r="K862" t="str">
            <v>probsi</v>
          </cell>
        </row>
        <row r="863">
          <cell r="B863" t="b">
            <v>1</v>
          </cell>
          <cell r="E863" t="str">
            <v>Nelson Mandela UPA</v>
          </cell>
          <cell r="H863" t="str">
            <v>consulta_externa</v>
          </cell>
          <cell r="J863" t="str">
            <v>bueno</v>
          </cell>
          <cell r="K863" t="str">
            <v>probsi</v>
          </cell>
        </row>
        <row r="864">
          <cell r="B864" t="b">
            <v>1</v>
          </cell>
          <cell r="E864" t="str">
            <v>Nelson Mandela UPA</v>
          </cell>
          <cell r="H864" t="str">
            <v>salud_oral</v>
          </cell>
          <cell r="J864" t="str">
            <v>bueno</v>
          </cell>
          <cell r="K864" t="str">
            <v>probsi</v>
          </cell>
        </row>
        <row r="865">
          <cell r="B865" t="b">
            <v>0</v>
          </cell>
          <cell r="E865" t="str">
            <v>Nelson Mandela UPA</v>
          </cell>
          <cell r="H865" t="str">
            <v>laboratorio</v>
          </cell>
          <cell r="J865" t="str">
            <v>regular</v>
          </cell>
          <cell r="K865" t="str">
            <v>probsi</v>
          </cell>
        </row>
        <row r="866">
          <cell r="B866" t="b">
            <v>1</v>
          </cell>
          <cell r="E866" t="str">
            <v>Bayunca</v>
          </cell>
          <cell r="H866" t="str">
            <v>consulta_externa</v>
          </cell>
          <cell r="J866" t="str">
            <v>bueno</v>
          </cell>
          <cell r="K866" t="str">
            <v>defsi</v>
          </cell>
        </row>
        <row r="867">
          <cell r="B867" t="b">
            <v>1</v>
          </cell>
          <cell r="E867" t="str">
            <v>Nelson Mandela UPA</v>
          </cell>
          <cell r="H867" t="str">
            <v>salud_oral</v>
          </cell>
          <cell r="J867" t="str">
            <v>bueno</v>
          </cell>
          <cell r="K867" t="str">
            <v>probsi</v>
          </cell>
        </row>
        <row r="868">
          <cell r="B868" t="b">
            <v>1</v>
          </cell>
          <cell r="E868" t="str">
            <v>Boquilla</v>
          </cell>
          <cell r="H868" t="str">
            <v>consulta_externa</v>
          </cell>
          <cell r="J868" t="str">
            <v>bueno</v>
          </cell>
          <cell r="K868" t="str">
            <v>probsi</v>
          </cell>
        </row>
        <row r="869">
          <cell r="B869" t="b">
            <v>1</v>
          </cell>
          <cell r="E869" t="str">
            <v>Bayunca</v>
          </cell>
          <cell r="H869" t="str">
            <v>salud_oral</v>
          </cell>
          <cell r="J869" t="str">
            <v>bueno</v>
          </cell>
          <cell r="K869" t="str">
            <v>defsi</v>
          </cell>
        </row>
        <row r="870">
          <cell r="B870" t="b">
            <v>1</v>
          </cell>
          <cell r="E870" t="str">
            <v>Boquilla</v>
          </cell>
          <cell r="H870" t="str">
            <v>laboratorio</v>
          </cell>
          <cell r="J870" t="str">
            <v>bueno</v>
          </cell>
          <cell r="K870" t="str">
            <v>defsi</v>
          </cell>
        </row>
        <row r="871">
          <cell r="B871" t="b">
            <v>1</v>
          </cell>
          <cell r="E871" t="str">
            <v>Boquilla</v>
          </cell>
          <cell r="H871" t="str">
            <v>salud_oral</v>
          </cell>
          <cell r="J871" t="str">
            <v>bueno</v>
          </cell>
          <cell r="K871" t="str">
            <v>defsi</v>
          </cell>
        </row>
        <row r="872">
          <cell r="B872" t="b">
            <v>1</v>
          </cell>
          <cell r="E872" t="str">
            <v>Bayunca</v>
          </cell>
          <cell r="H872" t="str">
            <v>urgencia</v>
          </cell>
          <cell r="J872" t="str">
            <v>bueno</v>
          </cell>
          <cell r="K872" t="str">
            <v>defsi</v>
          </cell>
        </row>
        <row r="873">
          <cell r="B873" t="b">
            <v>1</v>
          </cell>
          <cell r="E873" t="str">
            <v>Nelson Mandela UPA</v>
          </cell>
          <cell r="H873" t="str">
            <v>consulta_externa</v>
          </cell>
          <cell r="J873" t="str">
            <v>bueno</v>
          </cell>
          <cell r="K873" t="str">
            <v>probsi</v>
          </cell>
        </row>
        <row r="874">
          <cell r="B874" t="b">
            <v>1</v>
          </cell>
          <cell r="E874" t="str">
            <v>Bayunca</v>
          </cell>
          <cell r="H874" t="str">
            <v>urgencia</v>
          </cell>
          <cell r="J874" t="str">
            <v>bueno</v>
          </cell>
          <cell r="K874" t="str">
            <v>defsi</v>
          </cell>
        </row>
        <row r="875">
          <cell r="B875" t="b">
            <v>1</v>
          </cell>
          <cell r="E875" t="str">
            <v>Bayunca</v>
          </cell>
          <cell r="H875" t="str">
            <v>consulta_externa</v>
          </cell>
          <cell r="J875" t="str">
            <v>bueno</v>
          </cell>
          <cell r="K875" t="str">
            <v>defsi</v>
          </cell>
        </row>
        <row r="876">
          <cell r="B876" t="b">
            <v>1</v>
          </cell>
          <cell r="E876" t="str">
            <v>Bayunca</v>
          </cell>
          <cell r="H876" t="str">
            <v>salud_oral</v>
          </cell>
          <cell r="J876" t="str">
            <v>bueno</v>
          </cell>
          <cell r="K876" t="str">
            <v>defsi</v>
          </cell>
        </row>
        <row r="877">
          <cell r="B877" t="b">
            <v>1</v>
          </cell>
          <cell r="E877" t="str">
            <v>Bayunca</v>
          </cell>
          <cell r="H877" t="str">
            <v>salud_oral</v>
          </cell>
          <cell r="J877" t="str">
            <v>bueno</v>
          </cell>
          <cell r="K877" t="str">
            <v>defsi</v>
          </cell>
        </row>
        <row r="878">
          <cell r="B878" t="b">
            <v>1</v>
          </cell>
          <cell r="E878" t="str">
            <v>Bayunca</v>
          </cell>
          <cell r="H878" t="str">
            <v>laboratorio</v>
          </cell>
          <cell r="J878" t="str">
            <v>bueno</v>
          </cell>
          <cell r="K878" t="str">
            <v>defsi</v>
          </cell>
        </row>
        <row r="879">
          <cell r="B879" t="b">
            <v>1</v>
          </cell>
          <cell r="E879" t="str">
            <v>Boquilla</v>
          </cell>
          <cell r="H879" t="str">
            <v>consulta_externa</v>
          </cell>
          <cell r="J879" t="str">
            <v>bueno</v>
          </cell>
          <cell r="K879" t="str">
            <v>defsi</v>
          </cell>
        </row>
        <row r="880">
          <cell r="B880" t="b">
            <v>1</v>
          </cell>
          <cell r="E880" t="str">
            <v>Boston</v>
          </cell>
          <cell r="H880" t="str">
            <v>consulta_externa</v>
          </cell>
          <cell r="J880" t="str">
            <v>bueno</v>
          </cell>
          <cell r="K880" t="str">
            <v>defsi</v>
          </cell>
        </row>
        <row r="881">
          <cell r="B881" t="b">
            <v>1</v>
          </cell>
          <cell r="E881" t="str">
            <v>Boston</v>
          </cell>
          <cell r="H881" t="str">
            <v>consulta_externa</v>
          </cell>
          <cell r="J881" t="str">
            <v>bueno</v>
          </cell>
          <cell r="K881" t="str">
            <v>defsi</v>
          </cell>
        </row>
        <row r="882">
          <cell r="B882" t="b">
            <v>1</v>
          </cell>
          <cell r="E882" t="str">
            <v>Boston</v>
          </cell>
          <cell r="H882" t="str">
            <v>consulta_externa</v>
          </cell>
          <cell r="J882" t="str">
            <v>bueno</v>
          </cell>
          <cell r="K882" t="str">
            <v>defsi</v>
          </cell>
        </row>
        <row r="883">
          <cell r="B883" t="b">
            <v>1</v>
          </cell>
          <cell r="E883" t="str">
            <v>Boston</v>
          </cell>
          <cell r="H883" t="str">
            <v>consulta_externa</v>
          </cell>
          <cell r="J883" t="str">
            <v>bueno</v>
          </cell>
          <cell r="K883" t="str">
            <v>defsi</v>
          </cell>
        </row>
        <row r="884">
          <cell r="B884" t="b">
            <v>1</v>
          </cell>
          <cell r="E884" t="str">
            <v>Boston</v>
          </cell>
          <cell r="H884" t="str">
            <v>consulta_externa</v>
          </cell>
          <cell r="J884" t="str">
            <v>bueno</v>
          </cell>
          <cell r="K884" t="str">
            <v>defsi</v>
          </cell>
        </row>
        <row r="885">
          <cell r="B885" t="b">
            <v>1</v>
          </cell>
          <cell r="E885" t="str">
            <v>Boston</v>
          </cell>
          <cell r="H885" t="str">
            <v>consulta_externa</v>
          </cell>
          <cell r="J885" t="str">
            <v>bueno</v>
          </cell>
          <cell r="K885" t="str">
            <v>defsi</v>
          </cell>
        </row>
        <row r="886">
          <cell r="B886" t="b">
            <v>1</v>
          </cell>
          <cell r="E886" t="str">
            <v>Boston</v>
          </cell>
          <cell r="H886" t="str">
            <v>consulta_externa</v>
          </cell>
          <cell r="J886" t="str">
            <v>bueno</v>
          </cell>
          <cell r="K886" t="str">
            <v>defsi</v>
          </cell>
        </row>
        <row r="887">
          <cell r="B887" t="b">
            <v>1</v>
          </cell>
          <cell r="E887" t="str">
            <v>Boston</v>
          </cell>
          <cell r="H887" t="str">
            <v>consulta_externa</v>
          </cell>
          <cell r="J887" t="str">
            <v>bueno</v>
          </cell>
          <cell r="K887" t="str">
            <v>defsi</v>
          </cell>
        </row>
        <row r="888">
          <cell r="B888" t="b">
            <v>1</v>
          </cell>
          <cell r="E888" t="str">
            <v>Boston</v>
          </cell>
          <cell r="H888" t="str">
            <v>consulta_externa</v>
          </cell>
          <cell r="J888" t="str">
            <v>bueno</v>
          </cell>
          <cell r="K888" t="str">
            <v>defsi</v>
          </cell>
        </row>
        <row r="889">
          <cell r="B889" t="b">
            <v>1</v>
          </cell>
          <cell r="E889" t="str">
            <v>Boston</v>
          </cell>
          <cell r="H889" t="str">
            <v>consulta_externa</v>
          </cell>
          <cell r="J889" t="str">
            <v>bueno</v>
          </cell>
          <cell r="K889" t="str">
            <v>defsi</v>
          </cell>
        </row>
        <row r="890">
          <cell r="B890" t="b">
            <v>1</v>
          </cell>
          <cell r="E890" t="str">
            <v>Boston</v>
          </cell>
          <cell r="H890" t="str">
            <v>consulta_externa</v>
          </cell>
          <cell r="J890" t="str">
            <v>muybueno</v>
          </cell>
          <cell r="K890" t="str">
            <v>defsi</v>
          </cell>
        </row>
        <row r="891">
          <cell r="B891" t="b">
            <v>1</v>
          </cell>
          <cell r="E891" t="str">
            <v>Boston</v>
          </cell>
          <cell r="H891" t="str">
            <v>consulta_externa</v>
          </cell>
          <cell r="J891" t="str">
            <v>muybueno</v>
          </cell>
          <cell r="K891" t="str">
            <v>defsi</v>
          </cell>
        </row>
        <row r="892">
          <cell r="B892" t="b">
            <v>1</v>
          </cell>
          <cell r="E892" t="str">
            <v>Boquilla</v>
          </cell>
          <cell r="H892" t="str">
            <v>urgencia</v>
          </cell>
          <cell r="J892" t="str">
            <v>bueno</v>
          </cell>
          <cell r="K892" t="str">
            <v>defsi</v>
          </cell>
        </row>
        <row r="893">
          <cell r="B893" t="b">
            <v>1</v>
          </cell>
          <cell r="E893" t="str">
            <v>Santa Ana</v>
          </cell>
          <cell r="H893" t="str">
            <v>consulta_externa</v>
          </cell>
          <cell r="J893" t="str">
            <v>muybueno</v>
          </cell>
          <cell r="K893" t="str">
            <v>defsi</v>
          </cell>
        </row>
        <row r="894">
          <cell r="B894" t="b">
            <v>1</v>
          </cell>
          <cell r="E894" t="str">
            <v>Santa Ana</v>
          </cell>
          <cell r="H894" t="str">
            <v>laboratorio</v>
          </cell>
          <cell r="J894" t="str">
            <v>muybueno</v>
          </cell>
          <cell r="K894" t="str">
            <v>defsi</v>
          </cell>
        </row>
        <row r="895">
          <cell r="B895" t="b">
            <v>1</v>
          </cell>
          <cell r="E895" t="str">
            <v>Santa Ana</v>
          </cell>
          <cell r="H895" t="str">
            <v>salud_oral</v>
          </cell>
          <cell r="J895" t="str">
            <v>muybueno</v>
          </cell>
          <cell r="K895" t="str">
            <v>defsi</v>
          </cell>
        </row>
        <row r="896">
          <cell r="B896" t="b">
            <v>1</v>
          </cell>
          <cell r="E896" t="str">
            <v>Libano</v>
          </cell>
          <cell r="H896" t="str">
            <v>consulta_externa</v>
          </cell>
          <cell r="J896" t="str">
            <v>bueno</v>
          </cell>
          <cell r="K896" t="str">
            <v>defsi</v>
          </cell>
        </row>
        <row r="897">
          <cell r="B897" t="b">
            <v>1</v>
          </cell>
          <cell r="E897" t="str">
            <v>Libano</v>
          </cell>
          <cell r="H897" t="str">
            <v>laboratorio</v>
          </cell>
          <cell r="J897" t="str">
            <v>bueno</v>
          </cell>
          <cell r="K897" t="str">
            <v>defsi</v>
          </cell>
        </row>
        <row r="898">
          <cell r="B898" t="b">
            <v>1</v>
          </cell>
          <cell r="E898" t="str">
            <v>Santa Ana</v>
          </cell>
          <cell r="H898" t="str">
            <v>consulta_externa</v>
          </cell>
          <cell r="J898" t="str">
            <v>muybueno</v>
          </cell>
          <cell r="K898" t="str">
            <v>defsi</v>
          </cell>
        </row>
        <row r="899">
          <cell r="B899" t="b">
            <v>1</v>
          </cell>
          <cell r="E899" t="str">
            <v>Santa Ana</v>
          </cell>
          <cell r="H899" t="str">
            <v>consulta_externa</v>
          </cell>
          <cell r="J899" t="str">
            <v>muybueno</v>
          </cell>
          <cell r="K899" t="str">
            <v>defsi</v>
          </cell>
        </row>
        <row r="900">
          <cell r="B900" t="b">
            <v>1</v>
          </cell>
          <cell r="E900" t="str">
            <v>Santa Ana</v>
          </cell>
          <cell r="H900" t="str">
            <v>laboratorio</v>
          </cell>
          <cell r="J900" t="str">
            <v>muybueno</v>
          </cell>
          <cell r="K900" t="str">
            <v>defsi</v>
          </cell>
        </row>
        <row r="901">
          <cell r="B901" t="b">
            <v>1</v>
          </cell>
          <cell r="E901" t="str">
            <v>Boquilla</v>
          </cell>
          <cell r="H901" t="str">
            <v>urgencia</v>
          </cell>
          <cell r="J901" t="str">
            <v>bueno</v>
          </cell>
          <cell r="K901" t="str">
            <v>probsi</v>
          </cell>
        </row>
        <row r="902">
          <cell r="B902" t="b">
            <v>1</v>
          </cell>
          <cell r="E902" t="str">
            <v>Santa Ana</v>
          </cell>
          <cell r="H902" t="str">
            <v>consulta_externa</v>
          </cell>
          <cell r="J902" t="str">
            <v>muybueno</v>
          </cell>
          <cell r="K902" t="str">
            <v>defsi</v>
          </cell>
        </row>
        <row r="903">
          <cell r="B903" t="b">
            <v>1</v>
          </cell>
          <cell r="E903" t="str">
            <v>Santa Ana</v>
          </cell>
          <cell r="H903" t="str">
            <v>laboratorio</v>
          </cell>
          <cell r="J903" t="str">
            <v>muybueno</v>
          </cell>
          <cell r="K903" t="str">
            <v>defsi</v>
          </cell>
        </row>
        <row r="904">
          <cell r="B904" t="b">
            <v>1</v>
          </cell>
          <cell r="E904" t="str">
            <v>Santa Ana</v>
          </cell>
          <cell r="H904" t="str">
            <v>consulta_externa</v>
          </cell>
          <cell r="J904" t="str">
            <v>muybueno</v>
          </cell>
          <cell r="K904" t="str">
            <v>defsi</v>
          </cell>
        </row>
        <row r="905">
          <cell r="B905" t="b">
            <v>1</v>
          </cell>
          <cell r="E905" t="str">
            <v>Santa Ana</v>
          </cell>
          <cell r="H905" t="str">
            <v>laboratorio</v>
          </cell>
          <cell r="J905" t="str">
            <v>muybueno</v>
          </cell>
          <cell r="K905" t="str">
            <v>defsi</v>
          </cell>
        </row>
        <row r="906">
          <cell r="B906" t="b">
            <v>1</v>
          </cell>
          <cell r="E906" t="str">
            <v>Libano</v>
          </cell>
          <cell r="H906" t="str">
            <v>laboratorio</v>
          </cell>
          <cell r="J906" t="str">
            <v>bueno</v>
          </cell>
          <cell r="K906" t="str">
            <v>defsi</v>
          </cell>
        </row>
        <row r="907">
          <cell r="B907" t="b">
            <v>1</v>
          </cell>
          <cell r="E907" t="str">
            <v>Santa Ana</v>
          </cell>
          <cell r="H907" t="str">
            <v>salud_oral</v>
          </cell>
          <cell r="J907" t="str">
            <v>muybueno</v>
          </cell>
          <cell r="K907" t="str">
            <v>defsi</v>
          </cell>
        </row>
        <row r="908">
          <cell r="B908" t="b">
            <v>1</v>
          </cell>
          <cell r="E908" t="str">
            <v>Libano</v>
          </cell>
          <cell r="H908" t="str">
            <v>salud_oral</v>
          </cell>
          <cell r="J908" t="str">
            <v>bueno</v>
          </cell>
          <cell r="K908" t="str">
            <v>defsi</v>
          </cell>
        </row>
        <row r="909">
          <cell r="B909" t="b">
            <v>1</v>
          </cell>
          <cell r="E909" t="str">
            <v>Bayunca</v>
          </cell>
          <cell r="H909" t="str">
            <v>consulta_externa</v>
          </cell>
          <cell r="J909" t="str">
            <v>bueno</v>
          </cell>
          <cell r="K909" t="str">
            <v>defsi</v>
          </cell>
        </row>
        <row r="910">
          <cell r="B910" t="b">
            <v>1</v>
          </cell>
          <cell r="E910" t="str">
            <v>Bayunca</v>
          </cell>
          <cell r="H910" t="str">
            <v>salud_oral</v>
          </cell>
          <cell r="J910" t="str">
            <v>bueno</v>
          </cell>
          <cell r="K910" t="str">
            <v>defsi</v>
          </cell>
        </row>
        <row r="911">
          <cell r="B911" t="b">
            <v>1</v>
          </cell>
          <cell r="E911" t="str">
            <v>Bayunca</v>
          </cell>
          <cell r="H911" t="str">
            <v>laboratorio</v>
          </cell>
          <cell r="J911" t="str">
            <v>bueno</v>
          </cell>
          <cell r="K911" t="str">
            <v>defsi</v>
          </cell>
        </row>
        <row r="912">
          <cell r="B912" t="b">
            <v>1</v>
          </cell>
          <cell r="E912" t="str">
            <v>Libano</v>
          </cell>
          <cell r="H912" t="str">
            <v>salud_oral</v>
          </cell>
          <cell r="J912" t="str">
            <v>bueno</v>
          </cell>
          <cell r="K912" t="str">
            <v>defsi</v>
          </cell>
        </row>
        <row r="913">
          <cell r="B913" t="b">
            <v>1</v>
          </cell>
          <cell r="E913" t="str">
            <v>Santa Ana</v>
          </cell>
          <cell r="H913" t="str">
            <v>consulta_externa</v>
          </cell>
          <cell r="J913" t="str">
            <v>muybueno</v>
          </cell>
          <cell r="K913" t="str">
            <v>defsi</v>
          </cell>
        </row>
        <row r="914">
          <cell r="B914" t="b">
            <v>1</v>
          </cell>
          <cell r="E914" t="str">
            <v>Libano</v>
          </cell>
          <cell r="H914" t="str">
            <v>consulta_externa</v>
          </cell>
          <cell r="J914" t="str">
            <v>bueno</v>
          </cell>
          <cell r="K914" t="str">
            <v>defsi</v>
          </cell>
        </row>
        <row r="915">
          <cell r="B915" t="b">
            <v>1</v>
          </cell>
          <cell r="E915" t="str">
            <v>Libano</v>
          </cell>
          <cell r="H915" t="str">
            <v>consulta_externa</v>
          </cell>
          <cell r="J915" t="str">
            <v>muybueno</v>
          </cell>
          <cell r="K915" t="str">
            <v>defsi</v>
          </cell>
        </row>
        <row r="916">
          <cell r="B916" t="b">
            <v>1</v>
          </cell>
          <cell r="E916" t="str">
            <v>Libano</v>
          </cell>
          <cell r="H916" t="str">
            <v>salud_oral</v>
          </cell>
          <cell r="J916" t="str">
            <v>muybueno</v>
          </cell>
          <cell r="K916" t="str">
            <v>defsi</v>
          </cell>
        </row>
        <row r="917">
          <cell r="B917" t="b">
            <v>1</v>
          </cell>
          <cell r="E917" t="str">
            <v>Las Reinas</v>
          </cell>
          <cell r="H917" t="str">
            <v>laboratorio</v>
          </cell>
          <cell r="J917" t="str">
            <v>bueno</v>
          </cell>
          <cell r="K917" t="str">
            <v>probsi</v>
          </cell>
        </row>
        <row r="918">
          <cell r="B918" t="b">
            <v>1</v>
          </cell>
          <cell r="E918" t="str">
            <v>Boquilla</v>
          </cell>
          <cell r="H918" t="str">
            <v>salud_oral</v>
          </cell>
          <cell r="J918" t="str">
            <v>bueno</v>
          </cell>
          <cell r="K918" t="str">
            <v>probsi</v>
          </cell>
        </row>
        <row r="919">
          <cell r="B919" t="b">
            <v>1</v>
          </cell>
          <cell r="E919" t="str">
            <v>Las Reinas</v>
          </cell>
          <cell r="H919" t="str">
            <v>laboratorio</v>
          </cell>
          <cell r="J919" t="str">
            <v>bueno</v>
          </cell>
          <cell r="K919" t="str">
            <v>probsi</v>
          </cell>
        </row>
        <row r="920">
          <cell r="B920" t="b">
            <v>1</v>
          </cell>
          <cell r="E920" t="str">
            <v>Las Reinas</v>
          </cell>
          <cell r="H920" t="str">
            <v>laboratorio</v>
          </cell>
          <cell r="J920" t="str">
            <v>bueno</v>
          </cell>
          <cell r="K920" t="str">
            <v>probsi</v>
          </cell>
        </row>
        <row r="921">
          <cell r="B921" t="b">
            <v>1</v>
          </cell>
          <cell r="E921" t="str">
            <v>Boquilla</v>
          </cell>
          <cell r="H921" t="str">
            <v>consulta_externa</v>
          </cell>
          <cell r="J921" t="str">
            <v>bueno</v>
          </cell>
          <cell r="K921" t="str">
            <v>probsi</v>
          </cell>
        </row>
        <row r="922">
          <cell r="B922" t="b">
            <v>1</v>
          </cell>
          <cell r="E922" t="str">
            <v>Boquilla</v>
          </cell>
          <cell r="H922" t="str">
            <v>consulta_externa</v>
          </cell>
          <cell r="J922" t="str">
            <v>bueno</v>
          </cell>
          <cell r="K922" t="str">
            <v>probsi</v>
          </cell>
        </row>
        <row r="923">
          <cell r="B923" t="b">
            <v>1</v>
          </cell>
          <cell r="E923" t="str">
            <v>Las Reinas</v>
          </cell>
          <cell r="H923" t="str">
            <v>salud_oral</v>
          </cell>
          <cell r="J923" t="str">
            <v>bueno</v>
          </cell>
          <cell r="K923" t="str">
            <v>probsi</v>
          </cell>
        </row>
        <row r="924">
          <cell r="B924" t="b">
            <v>1</v>
          </cell>
          <cell r="E924" t="str">
            <v>Las Reinas</v>
          </cell>
          <cell r="H924" t="str">
            <v>salud_oral</v>
          </cell>
          <cell r="J924" t="str">
            <v>bueno</v>
          </cell>
          <cell r="K924" t="str">
            <v>probsi</v>
          </cell>
        </row>
        <row r="925">
          <cell r="B925" t="b">
            <v>1</v>
          </cell>
          <cell r="E925" t="str">
            <v>Las Reinas</v>
          </cell>
          <cell r="H925" t="str">
            <v>salud_oral</v>
          </cell>
          <cell r="J925" t="str">
            <v>bueno</v>
          </cell>
          <cell r="K925" t="str">
            <v>probsi</v>
          </cell>
        </row>
        <row r="926">
          <cell r="B926" t="b">
            <v>1</v>
          </cell>
          <cell r="E926" t="str">
            <v>Boquilla</v>
          </cell>
          <cell r="H926" t="str">
            <v>salud_oral</v>
          </cell>
          <cell r="J926" t="str">
            <v>bueno</v>
          </cell>
          <cell r="K926" t="str">
            <v>probsi</v>
          </cell>
        </row>
        <row r="927">
          <cell r="B927" t="b">
            <v>1</v>
          </cell>
          <cell r="E927" t="str">
            <v>Libano</v>
          </cell>
          <cell r="H927" t="str">
            <v>consulta_externa</v>
          </cell>
          <cell r="J927" t="str">
            <v>bueno</v>
          </cell>
          <cell r="K927" t="str">
            <v>probsi</v>
          </cell>
        </row>
        <row r="928">
          <cell r="B928" t="b">
            <v>1</v>
          </cell>
          <cell r="E928" t="str">
            <v>Libano</v>
          </cell>
          <cell r="H928" t="str">
            <v>laboratorio</v>
          </cell>
          <cell r="J928" t="str">
            <v>bueno</v>
          </cell>
          <cell r="K928" t="str">
            <v>defsi</v>
          </cell>
        </row>
        <row r="929">
          <cell r="B929" t="b">
            <v>1</v>
          </cell>
          <cell r="E929" t="str">
            <v>Libano</v>
          </cell>
          <cell r="H929" t="str">
            <v>laboratorio</v>
          </cell>
          <cell r="J929" t="str">
            <v>bueno</v>
          </cell>
          <cell r="K929" t="str">
            <v>defsi</v>
          </cell>
        </row>
        <row r="930">
          <cell r="B930" t="b">
            <v>0</v>
          </cell>
          <cell r="E930" t="str">
            <v>Libano</v>
          </cell>
          <cell r="H930" t="str">
            <v>consulta_externa</v>
          </cell>
          <cell r="J930" t="str">
            <v>regular</v>
          </cell>
          <cell r="K930" t="str">
            <v>defsi</v>
          </cell>
        </row>
        <row r="931">
          <cell r="B931" t="b">
            <v>1</v>
          </cell>
          <cell r="E931" t="str">
            <v>Libano</v>
          </cell>
          <cell r="H931" t="str">
            <v>salud_oral</v>
          </cell>
          <cell r="J931" t="str">
            <v>bueno</v>
          </cell>
          <cell r="K931" t="str">
            <v>defsi</v>
          </cell>
        </row>
        <row r="932">
          <cell r="B932" t="b">
            <v>1</v>
          </cell>
          <cell r="E932" t="str">
            <v>Libano</v>
          </cell>
          <cell r="H932" t="str">
            <v>consulta_externa</v>
          </cell>
          <cell r="J932" t="str">
            <v>bueno</v>
          </cell>
          <cell r="K932" t="str">
            <v>defsi</v>
          </cell>
        </row>
        <row r="933">
          <cell r="B933" t="b">
            <v>1</v>
          </cell>
          <cell r="E933" t="str">
            <v>Bayunca</v>
          </cell>
          <cell r="H933" t="str">
            <v>urgencia</v>
          </cell>
          <cell r="J933" t="str">
            <v>bueno</v>
          </cell>
          <cell r="K933" t="str">
            <v>defsi</v>
          </cell>
        </row>
        <row r="934">
          <cell r="B934" t="b">
            <v>1</v>
          </cell>
          <cell r="E934" t="str">
            <v>Bayunca</v>
          </cell>
          <cell r="H934" t="str">
            <v>consulta_externa</v>
          </cell>
          <cell r="J934" t="str">
            <v>bueno</v>
          </cell>
          <cell r="K934" t="str">
            <v>defsi</v>
          </cell>
        </row>
        <row r="935">
          <cell r="B935" t="b">
            <v>1</v>
          </cell>
          <cell r="E935" t="str">
            <v>Santa Ana</v>
          </cell>
          <cell r="H935" t="str">
            <v>consulta_externa</v>
          </cell>
          <cell r="J935" t="str">
            <v>muybueno</v>
          </cell>
          <cell r="K935" t="str">
            <v>defsi</v>
          </cell>
        </row>
        <row r="936">
          <cell r="B936" t="b">
            <v>1</v>
          </cell>
          <cell r="E936" t="str">
            <v>Bayunca</v>
          </cell>
          <cell r="H936" t="str">
            <v>salud_oral</v>
          </cell>
          <cell r="J936" t="str">
            <v>bueno</v>
          </cell>
          <cell r="K936" t="str">
            <v>defsi</v>
          </cell>
        </row>
        <row r="937">
          <cell r="B937" t="b">
            <v>1</v>
          </cell>
          <cell r="E937" t="str">
            <v>Santa Ana</v>
          </cell>
          <cell r="H937" t="str">
            <v>laboratorio</v>
          </cell>
          <cell r="J937" t="str">
            <v>muybueno</v>
          </cell>
          <cell r="K937" t="str">
            <v>defsi</v>
          </cell>
        </row>
        <row r="938">
          <cell r="B938" t="b">
            <v>1</v>
          </cell>
          <cell r="E938" t="str">
            <v>Bayunca</v>
          </cell>
          <cell r="H938" t="str">
            <v>laboratorio</v>
          </cell>
          <cell r="J938" t="str">
            <v>bueno</v>
          </cell>
          <cell r="K938" t="str">
            <v>defsi</v>
          </cell>
        </row>
        <row r="939">
          <cell r="B939" t="b">
            <v>0</v>
          </cell>
          <cell r="E939" t="str">
            <v>Libano</v>
          </cell>
          <cell r="H939" t="str">
            <v>consulta_externa</v>
          </cell>
          <cell r="J939" t="str">
            <v>regular</v>
          </cell>
          <cell r="K939" t="str">
            <v>defsi</v>
          </cell>
        </row>
        <row r="940">
          <cell r="B940" t="b">
            <v>1</v>
          </cell>
          <cell r="E940" t="str">
            <v>Bayunca</v>
          </cell>
          <cell r="H940" t="str">
            <v>urgencia</v>
          </cell>
          <cell r="J940" t="str">
            <v>bueno</v>
          </cell>
          <cell r="K940" t="str">
            <v>defsi</v>
          </cell>
        </row>
        <row r="941">
          <cell r="B941" t="b">
            <v>1</v>
          </cell>
          <cell r="E941" t="str">
            <v>Bayunca</v>
          </cell>
          <cell r="H941" t="str">
            <v>consulta_externa</v>
          </cell>
          <cell r="J941" t="str">
            <v>bueno</v>
          </cell>
          <cell r="K941" t="str">
            <v>defsi</v>
          </cell>
        </row>
        <row r="942">
          <cell r="B942" t="b">
            <v>1</v>
          </cell>
          <cell r="E942" t="str">
            <v>Bayunca</v>
          </cell>
          <cell r="H942" t="str">
            <v>salud_oral</v>
          </cell>
          <cell r="J942" t="str">
            <v>bueno</v>
          </cell>
          <cell r="K942" t="str">
            <v>defsi</v>
          </cell>
        </row>
        <row r="943">
          <cell r="B943" t="b">
            <v>1</v>
          </cell>
          <cell r="E943" t="str">
            <v>Bayunca</v>
          </cell>
          <cell r="H943" t="str">
            <v>laboratorio</v>
          </cell>
          <cell r="J943" t="str">
            <v>bueno</v>
          </cell>
          <cell r="K943" t="str">
            <v>defsi</v>
          </cell>
        </row>
        <row r="944">
          <cell r="B944" t="b">
            <v>1</v>
          </cell>
          <cell r="E944" t="str">
            <v>Libano</v>
          </cell>
          <cell r="H944" t="str">
            <v>consulta_externa</v>
          </cell>
          <cell r="J944" t="str">
            <v>bueno</v>
          </cell>
          <cell r="K944" t="str">
            <v>defsi</v>
          </cell>
        </row>
        <row r="945">
          <cell r="B945" t="b">
            <v>1</v>
          </cell>
          <cell r="E945" t="str">
            <v>Bayunca</v>
          </cell>
          <cell r="H945" t="str">
            <v>urgencia</v>
          </cell>
          <cell r="J945" t="str">
            <v>bueno</v>
          </cell>
          <cell r="K945" t="str">
            <v>defsi</v>
          </cell>
        </row>
        <row r="946">
          <cell r="B946" t="b">
            <v>1</v>
          </cell>
          <cell r="E946" t="str">
            <v>Bayunca</v>
          </cell>
          <cell r="H946" t="str">
            <v>consulta_externa</v>
          </cell>
          <cell r="J946" t="str">
            <v>bueno</v>
          </cell>
          <cell r="K946" t="str">
            <v>defsi</v>
          </cell>
        </row>
        <row r="947">
          <cell r="B947" t="b">
            <v>1</v>
          </cell>
          <cell r="E947" t="str">
            <v>Bayunca</v>
          </cell>
          <cell r="H947" t="str">
            <v>salud_oral</v>
          </cell>
          <cell r="J947" t="str">
            <v>bueno</v>
          </cell>
          <cell r="K947" t="str">
            <v>defsi</v>
          </cell>
        </row>
        <row r="948">
          <cell r="B948" t="b">
            <v>1</v>
          </cell>
          <cell r="E948" t="str">
            <v>Libano</v>
          </cell>
          <cell r="H948" t="str">
            <v>consulta_externa</v>
          </cell>
          <cell r="J948" t="str">
            <v>bueno</v>
          </cell>
          <cell r="K948" t="str">
            <v>defsi</v>
          </cell>
        </row>
        <row r="949">
          <cell r="B949" t="b">
            <v>1</v>
          </cell>
          <cell r="E949" t="str">
            <v>Libano</v>
          </cell>
          <cell r="H949" t="str">
            <v>laboratorio</v>
          </cell>
          <cell r="J949" t="str">
            <v>bueno</v>
          </cell>
          <cell r="K949" t="str">
            <v>defsi</v>
          </cell>
        </row>
        <row r="950">
          <cell r="B950" t="b">
            <v>1</v>
          </cell>
          <cell r="E950" t="str">
            <v>Libano</v>
          </cell>
          <cell r="H950" t="str">
            <v>consulta_externa</v>
          </cell>
          <cell r="J950" t="str">
            <v>bueno</v>
          </cell>
          <cell r="K950" t="str">
            <v>defsi</v>
          </cell>
        </row>
        <row r="951">
          <cell r="B951" t="b">
            <v>1</v>
          </cell>
          <cell r="E951" t="str">
            <v>Libano</v>
          </cell>
          <cell r="H951" t="str">
            <v>consulta_externa</v>
          </cell>
          <cell r="J951" t="str">
            <v>muybueno</v>
          </cell>
          <cell r="K951" t="str">
            <v>defsi</v>
          </cell>
        </row>
        <row r="952">
          <cell r="B952" t="b">
            <v>1</v>
          </cell>
          <cell r="E952" t="str">
            <v>Libano</v>
          </cell>
          <cell r="H952" t="str">
            <v>consulta_externa</v>
          </cell>
          <cell r="J952" t="str">
            <v>bueno</v>
          </cell>
          <cell r="K952" t="str">
            <v>defsi</v>
          </cell>
        </row>
        <row r="953">
          <cell r="B953" t="b">
            <v>1</v>
          </cell>
          <cell r="E953" t="str">
            <v>Libano</v>
          </cell>
          <cell r="H953" t="str">
            <v>salud_oral</v>
          </cell>
          <cell r="J953" t="str">
            <v>bueno</v>
          </cell>
          <cell r="K953" t="str">
            <v>defsi</v>
          </cell>
        </row>
        <row r="954">
          <cell r="B954" t="b">
            <v>1</v>
          </cell>
          <cell r="E954" t="str">
            <v>Santa Ana</v>
          </cell>
          <cell r="H954" t="str">
            <v>urgencia</v>
          </cell>
          <cell r="J954" t="str">
            <v>muybueno</v>
          </cell>
          <cell r="K954" t="str">
            <v>defsi</v>
          </cell>
        </row>
        <row r="955">
          <cell r="B955" t="b">
            <v>1</v>
          </cell>
          <cell r="E955" t="str">
            <v>Libano</v>
          </cell>
          <cell r="H955" t="str">
            <v>salud_oral</v>
          </cell>
          <cell r="J955" t="str">
            <v>bueno</v>
          </cell>
          <cell r="K955" t="str">
            <v>defsi</v>
          </cell>
        </row>
        <row r="956">
          <cell r="B956" t="b">
            <v>1</v>
          </cell>
          <cell r="E956" t="str">
            <v>Libano</v>
          </cell>
          <cell r="H956" t="str">
            <v>consulta_externa</v>
          </cell>
          <cell r="J956" t="str">
            <v>bueno</v>
          </cell>
          <cell r="K956" t="str">
            <v>defsi</v>
          </cell>
        </row>
        <row r="957">
          <cell r="B957" t="b">
            <v>1</v>
          </cell>
          <cell r="E957" t="str">
            <v>Libano</v>
          </cell>
          <cell r="H957" t="str">
            <v>salud_oral</v>
          </cell>
          <cell r="J957" t="str">
            <v>bueno</v>
          </cell>
          <cell r="K957" t="str">
            <v>defsi</v>
          </cell>
        </row>
        <row r="958">
          <cell r="B958" t="b">
            <v>1</v>
          </cell>
          <cell r="E958" t="str">
            <v>Boquilla</v>
          </cell>
          <cell r="H958" t="str">
            <v>salud_oral</v>
          </cell>
          <cell r="J958" t="str">
            <v>bueno</v>
          </cell>
          <cell r="K958" t="str">
            <v>probsi</v>
          </cell>
        </row>
        <row r="959">
          <cell r="B959" t="b">
            <v>1</v>
          </cell>
          <cell r="E959" t="str">
            <v>Libano</v>
          </cell>
          <cell r="H959" t="str">
            <v>salud_oral</v>
          </cell>
          <cell r="J959" t="str">
            <v>bueno</v>
          </cell>
          <cell r="K959" t="str">
            <v>defsi</v>
          </cell>
        </row>
        <row r="960">
          <cell r="B960" t="b">
            <v>1</v>
          </cell>
          <cell r="E960" t="str">
            <v>Boquilla</v>
          </cell>
          <cell r="H960" t="str">
            <v>salud_oral</v>
          </cell>
          <cell r="J960" t="str">
            <v>bueno</v>
          </cell>
          <cell r="K960" t="str">
            <v>probsi</v>
          </cell>
        </row>
        <row r="961">
          <cell r="B961" t="b">
            <v>1</v>
          </cell>
          <cell r="E961" t="str">
            <v>Libano</v>
          </cell>
          <cell r="H961" t="str">
            <v>laboratorio</v>
          </cell>
          <cell r="J961" t="str">
            <v>bueno</v>
          </cell>
          <cell r="K961" t="str">
            <v>defsi</v>
          </cell>
        </row>
        <row r="962">
          <cell r="B962" t="b">
            <v>1</v>
          </cell>
          <cell r="E962" t="str">
            <v>Libano</v>
          </cell>
          <cell r="H962" t="str">
            <v>laboratorio</v>
          </cell>
          <cell r="J962" t="str">
            <v>bueno</v>
          </cell>
          <cell r="K962" t="str">
            <v>defsi</v>
          </cell>
        </row>
        <row r="963">
          <cell r="B963" t="b">
            <v>1</v>
          </cell>
          <cell r="E963" t="str">
            <v>Libano</v>
          </cell>
          <cell r="H963" t="str">
            <v>salud_oral</v>
          </cell>
          <cell r="J963" t="str">
            <v>bueno</v>
          </cell>
          <cell r="K963" t="str">
            <v>defsi</v>
          </cell>
        </row>
        <row r="964">
          <cell r="B964" t="b">
            <v>1</v>
          </cell>
          <cell r="E964" t="str">
            <v>Libano</v>
          </cell>
          <cell r="H964" t="str">
            <v>consulta_externa</v>
          </cell>
          <cell r="J964" t="str">
            <v>bueno</v>
          </cell>
          <cell r="K964" t="str">
            <v>defsi</v>
          </cell>
        </row>
        <row r="965">
          <cell r="B965" t="b">
            <v>1</v>
          </cell>
          <cell r="E965" t="str">
            <v>Libano</v>
          </cell>
          <cell r="H965" t="str">
            <v>laboratorio</v>
          </cell>
          <cell r="J965" t="str">
            <v>bueno</v>
          </cell>
          <cell r="K965" t="str">
            <v>defsi</v>
          </cell>
        </row>
        <row r="966">
          <cell r="B966" t="b">
            <v>1</v>
          </cell>
          <cell r="E966" t="str">
            <v>Libano</v>
          </cell>
          <cell r="H966" t="str">
            <v>consulta_externa</v>
          </cell>
          <cell r="J966" t="str">
            <v>bueno</v>
          </cell>
          <cell r="K966" t="str">
            <v>defsi</v>
          </cell>
        </row>
        <row r="967">
          <cell r="B967" t="b">
            <v>1</v>
          </cell>
          <cell r="E967" t="str">
            <v>Libano</v>
          </cell>
          <cell r="H967" t="str">
            <v>laboratorio</v>
          </cell>
          <cell r="J967" t="str">
            <v>bueno</v>
          </cell>
          <cell r="K967" t="str">
            <v>defsi</v>
          </cell>
        </row>
        <row r="968">
          <cell r="B968" t="b">
            <v>1</v>
          </cell>
          <cell r="E968" t="str">
            <v>Libano</v>
          </cell>
          <cell r="H968" t="str">
            <v>salud_oral</v>
          </cell>
          <cell r="J968" t="str">
            <v>bueno</v>
          </cell>
          <cell r="K968" t="str">
            <v>defsi</v>
          </cell>
        </row>
        <row r="969">
          <cell r="B969" t="b">
            <v>1</v>
          </cell>
          <cell r="E969" t="str">
            <v>Santa Ana</v>
          </cell>
          <cell r="H969" t="str">
            <v>salud_oral</v>
          </cell>
          <cell r="J969" t="str">
            <v>muybueno</v>
          </cell>
          <cell r="K969" t="str">
            <v>defsi</v>
          </cell>
        </row>
        <row r="970">
          <cell r="B970" t="b">
            <v>1</v>
          </cell>
          <cell r="E970" t="str">
            <v>Libano</v>
          </cell>
          <cell r="H970" t="str">
            <v>salud_oral</v>
          </cell>
          <cell r="J970" t="str">
            <v>bueno</v>
          </cell>
          <cell r="K970" t="str">
            <v>defsi</v>
          </cell>
        </row>
        <row r="971">
          <cell r="B971" t="b">
            <v>1</v>
          </cell>
          <cell r="E971" t="str">
            <v>Boquilla</v>
          </cell>
          <cell r="H971" t="str">
            <v>laboratorio</v>
          </cell>
          <cell r="J971" t="str">
            <v>bueno</v>
          </cell>
          <cell r="K971" t="str">
            <v>probsi</v>
          </cell>
        </row>
        <row r="972">
          <cell r="B972" t="b">
            <v>1</v>
          </cell>
          <cell r="E972" t="str">
            <v>Libano</v>
          </cell>
          <cell r="H972" t="str">
            <v>salud_oral</v>
          </cell>
          <cell r="J972" t="str">
            <v>muybueno</v>
          </cell>
          <cell r="K972" t="str">
            <v>defsi</v>
          </cell>
        </row>
        <row r="973">
          <cell r="B973" t="b">
            <v>1</v>
          </cell>
          <cell r="E973" t="str">
            <v>Libano</v>
          </cell>
          <cell r="H973" t="str">
            <v>pediatria</v>
          </cell>
          <cell r="J973" t="str">
            <v>bueno</v>
          </cell>
          <cell r="K973" t="str">
            <v>defsi</v>
          </cell>
        </row>
        <row r="974">
          <cell r="B974" t="b">
            <v>1</v>
          </cell>
          <cell r="E974" t="str">
            <v>Nelson Mandela UPA</v>
          </cell>
          <cell r="H974" t="str">
            <v>laboratorio</v>
          </cell>
          <cell r="J974" t="str">
            <v>bueno</v>
          </cell>
          <cell r="K974" t="str">
            <v>probsi</v>
          </cell>
        </row>
        <row r="975">
          <cell r="B975" t="b">
            <v>0</v>
          </cell>
          <cell r="E975" t="str">
            <v>Nelson Mandela UPA</v>
          </cell>
          <cell r="H975" t="str">
            <v>laboratorio</v>
          </cell>
          <cell r="J975" t="str">
            <v>regular</v>
          </cell>
          <cell r="K975" t="str">
            <v>probsi</v>
          </cell>
        </row>
        <row r="976">
          <cell r="B976" t="b">
            <v>1</v>
          </cell>
          <cell r="E976" t="str">
            <v>Nelson Mandela UPA</v>
          </cell>
          <cell r="H976" t="str">
            <v>laboratorio</v>
          </cell>
          <cell r="J976" t="str">
            <v>bueno</v>
          </cell>
          <cell r="K976" t="str">
            <v>probsi</v>
          </cell>
        </row>
        <row r="977">
          <cell r="B977" t="b">
            <v>1</v>
          </cell>
          <cell r="E977" t="str">
            <v>Nelson Mandela UPA</v>
          </cell>
          <cell r="H977" t="str">
            <v>salud_oral</v>
          </cell>
          <cell r="J977" t="str">
            <v>bueno</v>
          </cell>
          <cell r="K977" t="str">
            <v>probsi</v>
          </cell>
        </row>
        <row r="978">
          <cell r="B978" t="b">
            <v>1</v>
          </cell>
          <cell r="E978" t="str">
            <v>Nelson Mandela UPA</v>
          </cell>
          <cell r="H978" t="str">
            <v>salud_oral</v>
          </cell>
          <cell r="J978" t="str">
            <v>bueno</v>
          </cell>
          <cell r="K978" t="str">
            <v>probsi</v>
          </cell>
        </row>
        <row r="979">
          <cell r="B979" t="b">
            <v>1</v>
          </cell>
          <cell r="E979" t="str">
            <v>Nelson Mandela UPA</v>
          </cell>
          <cell r="H979" t="str">
            <v>salud_oral</v>
          </cell>
          <cell r="J979" t="str">
            <v>bueno</v>
          </cell>
          <cell r="K979" t="str">
            <v>probsi</v>
          </cell>
        </row>
        <row r="980">
          <cell r="B980" t="b">
            <v>1</v>
          </cell>
          <cell r="E980" t="str">
            <v>Nelson Mandela UPA</v>
          </cell>
          <cell r="H980" t="str">
            <v>salud_oral</v>
          </cell>
          <cell r="J980" t="str">
            <v>bueno</v>
          </cell>
          <cell r="K980" t="str">
            <v>probsi</v>
          </cell>
        </row>
        <row r="981">
          <cell r="B981" t="b">
            <v>0</v>
          </cell>
          <cell r="E981" t="str">
            <v>Nelson Mandela UPA</v>
          </cell>
          <cell r="H981" t="str">
            <v>urgencia</v>
          </cell>
          <cell r="J981" t="str">
            <v>regular</v>
          </cell>
          <cell r="K981" t="str">
            <v>probsi</v>
          </cell>
        </row>
        <row r="982">
          <cell r="B982" t="b">
            <v>0</v>
          </cell>
          <cell r="E982" t="str">
            <v>Nelson Mandela UPA</v>
          </cell>
          <cell r="H982" t="str">
            <v>urgencia</v>
          </cell>
          <cell r="J982" t="str">
            <v>regular</v>
          </cell>
          <cell r="K982" t="str">
            <v>probsi</v>
          </cell>
        </row>
        <row r="983">
          <cell r="B983" t="b">
            <v>1</v>
          </cell>
          <cell r="E983" t="str">
            <v>Nelson Mandela UPA</v>
          </cell>
          <cell r="H983" t="str">
            <v>urgencia</v>
          </cell>
          <cell r="J983" t="str">
            <v>bueno</v>
          </cell>
          <cell r="K983" t="str">
            <v>probsi</v>
          </cell>
        </row>
        <row r="984">
          <cell r="B984" t="b">
            <v>1</v>
          </cell>
          <cell r="E984" t="str">
            <v>Nelson Mandela UPA</v>
          </cell>
          <cell r="H984" t="str">
            <v>urgencia</v>
          </cell>
          <cell r="J984" t="str">
            <v>bueno</v>
          </cell>
          <cell r="K984" t="str">
            <v>probsi</v>
          </cell>
        </row>
        <row r="985">
          <cell r="B985" t="b">
            <v>1</v>
          </cell>
          <cell r="E985" t="str">
            <v>Santa Ana</v>
          </cell>
          <cell r="H985" t="str">
            <v>laboratorio</v>
          </cell>
          <cell r="J985" t="str">
            <v>muybueno</v>
          </cell>
          <cell r="K985" t="str">
            <v>defsi</v>
          </cell>
        </row>
        <row r="986">
          <cell r="B986" t="b">
            <v>0</v>
          </cell>
          <cell r="E986" t="str">
            <v>Boquilla</v>
          </cell>
          <cell r="H986" t="str">
            <v>urgencia</v>
          </cell>
          <cell r="J986" t="str">
            <v>regular</v>
          </cell>
          <cell r="K986" t="str">
            <v>probsi</v>
          </cell>
        </row>
        <row r="987">
          <cell r="B987" t="b">
            <v>0</v>
          </cell>
          <cell r="E987" t="str">
            <v>Boquilla</v>
          </cell>
          <cell r="H987" t="str">
            <v>urgencia</v>
          </cell>
          <cell r="J987" t="str">
            <v>regular</v>
          </cell>
          <cell r="K987" t="str">
            <v>probsi</v>
          </cell>
        </row>
        <row r="988">
          <cell r="B988" t="b">
            <v>1</v>
          </cell>
          <cell r="E988" t="str">
            <v>Boquilla</v>
          </cell>
          <cell r="H988" t="str">
            <v>salud_oral</v>
          </cell>
          <cell r="J988" t="str">
            <v>bueno</v>
          </cell>
          <cell r="K988" t="str">
            <v>probsi</v>
          </cell>
        </row>
        <row r="989">
          <cell r="B989" t="b">
            <v>1</v>
          </cell>
          <cell r="E989" t="str">
            <v>Boquilla</v>
          </cell>
          <cell r="H989" t="str">
            <v>salud_oral</v>
          </cell>
          <cell r="J989" t="str">
            <v>bueno</v>
          </cell>
          <cell r="K989" t="str">
            <v>probsi</v>
          </cell>
        </row>
        <row r="990">
          <cell r="B990" t="b">
            <v>1</v>
          </cell>
          <cell r="E990" t="str">
            <v>Santa Ana</v>
          </cell>
          <cell r="H990" t="str">
            <v>consulta_externa</v>
          </cell>
          <cell r="J990" t="str">
            <v>muybueno</v>
          </cell>
          <cell r="K990" t="str">
            <v>defsi</v>
          </cell>
        </row>
        <row r="991">
          <cell r="B991" t="b">
            <v>1</v>
          </cell>
          <cell r="E991" t="str">
            <v>Santa Ana</v>
          </cell>
          <cell r="H991" t="str">
            <v>laboratorio</v>
          </cell>
          <cell r="J991" t="str">
            <v>muybueno</v>
          </cell>
          <cell r="K991" t="str">
            <v>defsi</v>
          </cell>
        </row>
        <row r="992">
          <cell r="B992" t="b">
            <v>1</v>
          </cell>
          <cell r="E992" t="str">
            <v>Libano</v>
          </cell>
          <cell r="H992" t="str">
            <v>pediatria</v>
          </cell>
          <cell r="J992" t="str">
            <v>bueno</v>
          </cell>
          <cell r="K992" t="str">
            <v>defsi</v>
          </cell>
        </row>
        <row r="993">
          <cell r="B993" t="b">
            <v>1</v>
          </cell>
          <cell r="E993" t="str">
            <v>Libano</v>
          </cell>
          <cell r="H993" t="str">
            <v>pediatria</v>
          </cell>
          <cell r="J993" t="str">
            <v>bueno</v>
          </cell>
          <cell r="K993" t="str">
            <v>defsi</v>
          </cell>
        </row>
        <row r="994">
          <cell r="B994" t="b">
            <v>1</v>
          </cell>
          <cell r="E994" t="str">
            <v>Santa Ana</v>
          </cell>
          <cell r="H994" t="str">
            <v>consulta_externa</v>
          </cell>
          <cell r="J994" t="str">
            <v>muybueno</v>
          </cell>
          <cell r="K994" t="str">
            <v>defsi</v>
          </cell>
        </row>
        <row r="995">
          <cell r="B995" t="b">
            <v>1</v>
          </cell>
          <cell r="E995" t="str">
            <v>Santa Ana</v>
          </cell>
          <cell r="H995" t="str">
            <v>laboratorio</v>
          </cell>
          <cell r="J995" t="str">
            <v>muybueno</v>
          </cell>
          <cell r="K995" t="str">
            <v>defsi</v>
          </cell>
        </row>
        <row r="996">
          <cell r="B996" t="b">
            <v>1</v>
          </cell>
          <cell r="E996" t="str">
            <v>Santa Ana</v>
          </cell>
          <cell r="H996" t="str">
            <v>salud_oral</v>
          </cell>
          <cell r="J996" t="str">
            <v>muybueno</v>
          </cell>
          <cell r="K996" t="str">
            <v>defsi</v>
          </cell>
        </row>
        <row r="997">
          <cell r="B997" t="b">
            <v>1</v>
          </cell>
          <cell r="E997" t="str">
            <v>Boquilla</v>
          </cell>
          <cell r="H997" t="str">
            <v>laboratorio</v>
          </cell>
          <cell r="J997" t="str">
            <v>bueno</v>
          </cell>
          <cell r="K997" t="str">
            <v>probsi</v>
          </cell>
        </row>
        <row r="998">
          <cell r="B998" t="b">
            <v>1</v>
          </cell>
          <cell r="E998" t="str">
            <v>Boquilla</v>
          </cell>
          <cell r="H998" t="str">
            <v>laboratorio</v>
          </cell>
          <cell r="J998" t="str">
            <v>bueno</v>
          </cell>
          <cell r="K998" t="str">
            <v>probsi</v>
          </cell>
        </row>
        <row r="999">
          <cell r="B999" t="b">
            <v>1</v>
          </cell>
          <cell r="E999" t="str">
            <v>Boquilla</v>
          </cell>
          <cell r="H999" t="str">
            <v>laboratorio</v>
          </cell>
          <cell r="J999" t="str">
            <v>bueno</v>
          </cell>
          <cell r="K999" t="str">
            <v>defsi</v>
          </cell>
        </row>
        <row r="1000">
          <cell r="B1000" t="b">
            <v>1</v>
          </cell>
          <cell r="E1000" t="str">
            <v>Boquilla</v>
          </cell>
          <cell r="H1000" t="str">
            <v>salud_oral</v>
          </cell>
          <cell r="J1000" t="str">
            <v>bueno</v>
          </cell>
          <cell r="K1000" t="str">
            <v>defsi</v>
          </cell>
        </row>
        <row r="1001">
          <cell r="B1001" t="b">
            <v>0</v>
          </cell>
          <cell r="E1001" t="str">
            <v>Boquilla</v>
          </cell>
          <cell r="H1001" t="str">
            <v>urgencia</v>
          </cell>
          <cell r="J1001" t="str">
            <v>regular</v>
          </cell>
          <cell r="K1001" t="str">
            <v>probsi</v>
          </cell>
        </row>
        <row r="1002">
          <cell r="B1002" t="b">
            <v>1</v>
          </cell>
          <cell r="E1002" t="str">
            <v>Boquilla</v>
          </cell>
          <cell r="H1002" t="str">
            <v>urgencia</v>
          </cell>
          <cell r="J1002" t="str">
            <v>bueno</v>
          </cell>
          <cell r="K1002" t="str">
            <v>probsi</v>
          </cell>
        </row>
        <row r="1003">
          <cell r="B1003" t="b">
            <v>1</v>
          </cell>
          <cell r="E1003" t="str">
            <v>Boquilla</v>
          </cell>
          <cell r="H1003" t="str">
            <v>urgencia</v>
          </cell>
          <cell r="J1003" t="str">
            <v>bueno</v>
          </cell>
          <cell r="K1003" t="str">
            <v>probsi</v>
          </cell>
        </row>
        <row r="1004">
          <cell r="B1004" t="b">
            <v>1</v>
          </cell>
          <cell r="E1004" t="str">
            <v>Santa Ana</v>
          </cell>
          <cell r="H1004" t="str">
            <v>consulta_externa</v>
          </cell>
          <cell r="J1004" t="str">
            <v>muybueno</v>
          </cell>
          <cell r="K1004" t="str">
            <v>defsi</v>
          </cell>
        </row>
        <row r="1005">
          <cell r="B1005" t="b">
            <v>1</v>
          </cell>
          <cell r="E1005" t="str">
            <v>Santa Ana</v>
          </cell>
          <cell r="H1005" t="str">
            <v>salud_oral</v>
          </cell>
          <cell r="J1005" t="str">
            <v>muybueno</v>
          </cell>
          <cell r="K1005" t="str">
            <v>defsi</v>
          </cell>
        </row>
        <row r="1006">
          <cell r="B1006" t="b">
            <v>1</v>
          </cell>
          <cell r="E1006" t="str">
            <v>Boquilla</v>
          </cell>
          <cell r="H1006" t="str">
            <v>laboratorio</v>
          </cell>
          <cell r="J1006" t="str">
            <v>bueno</v>
          </cell>
          <cell r="K1006" t="str">
            <v>defsi</v>
          </cell>
        </row>
        <row r="1007">
          <cell r="B1007" t="b">
            <v>1</v>
          </cell>
          <cell r="E1007" t="str">
            <v>Boquilla</v>
          </cell>
          <cell r="H1007" t="str">
            <v>salud_oral</v>
          </cell>
          <cell r="J1007" t="str">
            <v>bueno</v>
          </cell>
          <cell r="K1007" t="str">
            <v>defsi</v>
          </cell>
        </row>
        <row r="1008">
          <cell r="B1008" t="b">
            <v>1</v>
          </cell>
          <cell r="E1008" t="str">
            <v>Santa Ana</v>
          </cell>
          <cell r="H1008" t="str">
            <v>laboratorio</v>
          </cell>
          <cell r="J1008" t="str">
            <v>muybueno</v>
          </cell>
          <cell r="K1008" t="str">
            <v>defsi</v>
          </cell>
        </row>
        <row r="1009">
          <cell r="B1009" t="b">
            <v>1</v>
          </cell>
          <cell r="E1009" t="str">
            <v>Baru</v>
          </cell>
          <cell r="H1009" t="str">
            <v>consulta_externa</v>
          </cell>
          <cell r="J1009" t="str">
            <v>muybueno</v>
          </cell>
          <cell r="K1009" t="str">
            <v>defsi</v>
          </cell>
        </row>
        <row r="1010">
          <cell r="B1010" t="b">
            <v>1</v>
          </cell>
          <cell r="E1010" t="str">
            <v>Baru</v>
          </cell>
          <cell r="H1010" t="str">
            <v>laboratorio</v>
          </cell>
          <cell r="J1010" t="str">
            <v>muybueno</v>
          </cell>
          <cell r="K1010" t="str">
            <v>defsi</v>
          </cell>
        </row>
        <row r="1011">
          <cell r="B1011" t="b">
            <v>1</v>
          </cell>
          <cell r="E1011" t="str">
            <v>Baru</v>
          </cell>
          <cell r="H1011" t="str">
            <v>laboratorio</v>
          </cell>
          <cell r="J1011" t="str">
            <v>muybueno</v>
          </cell>
          <cell r="K1011" t="str">
            <v>defsi</v>
          </cell>
        </row>
        <row r="1012">
          <cell r="B1012" t="b">
            <v>1</v>
          </cell>
          <cell r="E1012" t="str">
            <v>Foco Rojo</v>
          </cell>
          <cell r="H1012" t="str">
            <v>consulta_externa</v>
          </cell>
          <cell r="J1012" t="str">
            <v>bueno</v>
          </cell>
          <cell r="K1012" t="str">
            <v>probsi</v>
          </cell>
        </row>
        <row r="1013">
          <cell r="B1013" t="b">
            <v>1</v>
          </cell>
          <cell r="E1013" t="str">
            <v>Foco Rojo</v>
          </cell>
          <cell r="H1013" t="str">
            <v>salud_oral</v>
          </cell>
          <cell r="J1013" t="str">
            <v>bueno</v>
          </cell>
          <cell r="K1013" t="str">
            <v>probsi</v>
          </cell>
        </row>
        <row r="1014">
          <cell r="B1014" t="b">
            <v>1</v>
          </cell>
          <cell r="E1014" t="str">
            <v>Foco Rojo</v>
          </cell>
          <cell r="H1014" t="str">
            <v>consulta_externa</v>
          </cell>
          <cell r="J1014" t="str">
            <v>bueno</v>
          </cell>
          <cell r="K1014" t="str">
            <v>probsi</v>
          </cell>
        </row>
        <row r="1015">
          <cell r="B1015" t="b">
            <v>1</v>
          </cell>
          <cell r="E1015" t="str">
            <v>Foco Rojo</v>
          </cell>
          <cell r="H1015" t="str">
            <v>salud_oral</v>
          </cell>
          <cell r="J1015" t="str">
            <v>bueno</v>
          </cell>
          <cell r="K1015" t="str">
            <v>probsi</v>
          </cell>
        </row>
        <row r="1016">
          <cell r="B1016" t="b">
            <v>1</v>
          </cell>
          <cell r="E1016" t="str">
            <v>Foco Rojo</v>
          </cell>
          <cell r="H1016" t="str">
            <v>laboratorio</v>
          </cell>
          <cell r="J1016" t="str">
            <v>bueno</v>
          </cell>
          <cell r="K1016" t="str">
            <v>probsi</v>
          </cell>
        </row>
        <row r="1017">
          <cell r="B1017" t="b">
            <v>1</v>
          </cell>
          <cell r="E1017" t="str">
            <v>Foco Rojo</v>
          </cell>
          <cell r="H1017" t="str">
            <v>consulta_externa</v>
          </cell>
          <cell r="J1017" t="str">
            <v>bueno</v>
          </cell>
          <cell r="K1017" t="str">
            <v>probsi</v>
          </cell>
        </row>
        <row r="1018">
          <cell r="B1018" t="b">
            <v>1</v>
          </cell>
          <cell r="E1018" t="str">
            <v>Foco Rojo</v>
          </cell>
          <cell r="H1018" t="str">
            <v>laboratorio</v>
          </cell>
          <cell r="J1018" t="str">
            <v>bueno</v>
          </cell>
          <cell r="K1018" t="str">
            <v>probsi</v>
          </cell>
        </row>
        <row r="1019">
          <cell r="B1019" t="b">
            <v>1</v>
          </cell>
          <cell r="E1019" t="str">
            <v>Foco Rojo</v>
          </cell>
          <cell r="H1019" t="str">
            <v>consulta_externa</v>
          </cell>
          <cell r="J1019" t="str">
            <v>muybueno</v>
          </cell>
          <cell r="K1019" t="str">
            <v>probsi</v>
          </cell>
        </row>
        <row r="1020">
          <cell r="B1020" t="b">
            <v>1</v>
          </cell>
          <cell r="E1020" t="str">
            <v>Foco Rojo</v>
          </cell>
          <cell r="H1020" t="str">
            <v>laboratorio</v>
          </cell>
          <cell r="J1020" t="str">
            <v>muybueno</v>
          </cell>
          <cell r="K1020" t="str">
            <v>probsi</v>
          </cell>
        </row>
        <row r="1021">
          <cell r="B1021" t="b">
            <v>1</v>
          </cell>
          <cell r="E1021" t="str">
            <v>Baru</v>
          </cell>
          <cell r="H1021" t="str">
            <v>consulta_externa</v>
          </cell>
          <cell r="J1021" t="str">
            <v>muybueno</v>
          </cell>
          <cell r="K1021" t="str">
            <v>defsi</v>
          </cell>
        </row>
        <row r="1022">
          <cell r="B1022" t="b">
            <v>1</v>
          </cell>
          <cell r="E1022" t="str">
            <v>Baru</v>
          </cell>
          <cell r="H1022" t="str">
            <v>consulta_externa</v>
          </cell>
          <cell r="J1022" t="str">
            <v>muybueno</v>
          </cell>
          <cell r="K1022" t="str">
            <v>defsi</v>
          </cell>
        </row>
        <row r="1023">
          <cell r="B1023" t="b">
            <v>1</v>
          </cell>
          <cell r="E1023" t="str">
            <v>Baru</v>
          </cell>
          <cell r="H1023" t="str">
            <v>laboratorio</v>
          </cell>
          <cell r="J1023" t="str">
            <v>muybueno</v>
          </cell>
          <cell r="K1023" t="str">
            <v>defsi</v>
          </cell>
        </row>
        <row r="1024">
          <cell r="B1024" t="b">
            <v>1</v>
          </cell>
          <cell r="E1024" t="str">
            <v>Foco Rojo</v>
          </cell>
          <cell r="H1024" t="str">
            <v>consulta_externa</v>
          </cell>
          <cell r="J1024" t="str">
            <v>bueno</v>
          </cell>
          <cell r="K1024" t="str">
            <v>probsi</v>
          </cell>
        </row>
        <row r="1025">
          <cell r="B1025" t="b">
            <v>1</v>
          </cell>
          <cell r="E1025" t="str">
            <v>Foco Rojo</v>
          </cell>
          <cell r="H1025" t="str">
            <v>laboratorio</v>
          </cell>
          <cell r="J1025" t="str">
            <v>bueno</v>
          </cell>
          <cell r="K1025" t="str">
            <v>probsi</v>
          </cell>
        </row>
        <row r="1026">
          <cell r="B1026" t="b">
            <v>1</v>
          </cell>
          <cell r="E1026" t="str">
            <v>Foco Rojo</v>
          </cell>
          <cell r="H1026" t="str">
            <v>consulta_externa</v>
          </cell>
          <cell r="J1026" t="str">
            <v>bueno</v>
          </cell>
          <cell r="K1026" t="str">
            <v>probsi</v>
          </cell>
        </row>
        <row r="1027">
          <cell r="B1027" t="b">
            <v>1</v>
          </cell>
          <cell r="E1027" t="str">
            <v>Foco Rojo</v>
          </cell>
          <cell r="H1027" t="str">
            <v>consulta_externa</v>
          </cell>
          <cell r="J1027" t="str">
            <v>bueno</v>
          </cell>
          <cell r="K1027" t="str">
            <v>probsi</v>
          </cell>
        </row>
        <row r="1028">
          <cell r="B1028" t="b">
            <v>1</v>
          </cell>
          <cell r="E1028" t="str">
            <v>Foco Rojo</v>
          </cell>
          <cell r="H1028" t="str">
            <v>salud_oral</v>
          </cell>
          <cell r="J1028" t="str">
            <v>bueno</v>
          </cell>
          <cell r="K1028" t="str">
            <v>probsi</v>
          </cell>
        </row>
        <row r="1029">
          <cell r="B1029" t="b">
            <v>1</v>
          </cell>
          <cell r="E1029" t="str">
            <v>Foco Rojo</v>
          </cell>
          <cell r="H1029" t="str">
            <v>laboratorio</v>
          </cell>
          <cell r="J1029" t="str">
            <v>bueno</v>
          </cell>
          <cell r="K1029" t="str">
            <v>probsi</v>
          </cell>
        </row>
        <row r="1030">
          <cell r="B1030" t="b">
            <v>1</v>
          </cell>
          <cell r="E1030" t="str">
            <v>Baru</v>
          </cell>
          <cell r="H1030" t="str">
            <v>salud_oral</v>
          </cell>
          <cell r="J1030" t="str">
            <v>muybueno</v>
          </cell>
          <cell r="K1030" t="str">
            <v>defsi</v>
          </cell>
        </row>
        <row r="1031">
          <cell r="B1031" t="b">
            <v>1</v>
          </cell>
          <cell r="E1031" t="str">
            <v>Foco Rojo</v>
          </cell>
          <cell r="H1031" t="str">
            <v>consulta_externa</v>
          </cell>
          <cell r="J1031" t="str">
            <v>bueno</v>
          </cell>
          <cell r="K1031" t="str">
            <v>probsi</v>
          </cell>
        </row>
        <row r="1032">
          <cell r="B1032" t="b">
            <v>1</v>
          </cell>
          <cell r="E1032" t="str">
            <v>Foco Rojo</v>
          </cell>
          <cell r="H1032" t="str">
            <v>laboratorio</v>
          </cell>
          <cell r="J1032" t="str">
            <v>bueno</v>
          </cell>
          <cell r="K1032" t="str">
            <v>probsi</v>
          </cell>
        </row>
        <row r="1033">
          <cell r="B1033" t="b">
            <v>1</v>
          </cell>
          <cell r="E1033" t="str">
            <v>Foco Rojo</v>
          </cell>
          <cell r="H1033" t="str">
            <v>consulta_externa</v>
          </cell>
          <cell r="J1033" t="str">
            <v>bueno</v>
          </cell>
          <cell r="K1033" t="str">
            <v>probsi</v>
          </cell>
        </row>
        <row r="1034">
          <cell r="B1034" t="b">
            <v>1</v>
          </cell>
          <cell r="E1034" t="str">
            <v>Foco Rojo</v>
          </cell>
          <cell r="H1034" t="str">
            <v>consulta_externa</v>
          </cell>
          <cell r="J1034" t="str">
            <v>bueno</v>
          </cell>
          <cell r="K1034" t="str">
            <v>probsi</v>
          </cell>
        </row>
        <row r="1035">
          <cell r="B1035" t="b">
            <v>1</v>
          </cell>
          <cell r="E1035" t="str">
            <v>Foco Rojo</v>
          </cell>
          <cell r="H1035" t="str">
            <v>consulta_externa</v>
          </cell>
          <cell r="J1035" t="str">
            <v>bueno</v>
          </cell>
          <cell r="K1035" t="str">
            <v>probsi</v>
          </cell>
        </row>
        <row r="1036">
          <cell r="B1036" t="b">
            <v>1</v>
          </cell>
          <cell r="E1036" t="str">
            <v>Foco Rojo</v>
          </cell>
          <cell r="H1036" t="str">
            <v>consulta_externa</v>
          </cell>
          <cell r="J1036" t="str">
            <v>bueno</v>
          </cell>
          <cell r="K1036" t="str">
            <v>probsi</v>
          </cell>
        </row>
        <row r="1037">
          <cell r="B1037" t="b">
            <v>1</v>
          </cell>
          <cell r="E1037" t="str">
            <v>Baru</v>
          </cell>
          <cell r="H1037" t="str">
            <v>consulta_externa</v>
          </cell>
          <cell r="J1037" t="str">
            <v>muybueno</v>
          </cell>
          <cell r="K1037" t="str">
            <v>defsi</v>
          </cell>
        </row>
        <row r="1038">
          <cell r="B1038" t="b">
            <v>1</v>
          </cell>
          <cell r="E1038" t="str">
            <v>Baru</v>
          </cell>
          <cell r="H1038" t="str">
            <v>laboratorio</v>
          </cell>
          <cell r="J1038" t="str">
            <v>muybueno</v>
          </cell>
          <cell r="K1038" t="str">
            <v>defsi</v>
          </cell>
        </row>
        <row r="1039">
          <cell r="B1039" t="b">
            <v>1</v>
          </cell>
          <cell r="E1039" t="str">
            <v>Foco Rojo</v>
          </cell>
          <cell r="H1039" t="str">
            <v>consulta_externa</v>
          </cell>
          <cell r="J1039" t="str">
            <v>bueno</v>
          </cell>
          <cell r="K1039" t="str">
            <v>probsi</v>
          </cell>
        </row>
        <row r="1040">
          <cell r="B1040" t="b">
            <v>1</v>
          </cell>
          <cell r="E1040" t="str">
            <v>Foco Rojo</v>
          </cell>
          <cell r="H1040" t="str">
            <v>salud_oral</v>
          </cell>
          <cell r="J1040" t="str">
            <v>bueno</v>
          </cell>
          <cell r="K1040" t="str">
            <v>probsi</v>
          </cell>
        </row>
        <row r="1041">
          <cell r="B1041" t="b">
            <v>1</v>
          </cell>
          <cell r="E1041" t="str">
            <v>Foco Rojo</v>
          </cell>
          <cell r="H1041" t="str">
            <v>laboratorio</v>
          </cell>
          <cell r="J1041" t="str">
            <v>bueno</v>
          </cell>
          <cell r="K1041" t="str">
            <v>probsi</v>
          </cell>
        </row>
        <row r="1042">
          <cell r="B1042" t="b">
            <v>1</v>
          </cell>
          <cell r="E1042" t="str">
            <v>Tierra Bomba</v>
          </cell>
          <cell r="H1042" t="str">
            <v>consulta_externa</v>
          </cell>
          <cell r="J1042" t="str">
            <v>bueno</v>
          </cell>
          <cell r="K1042" t="str">
            <v>probsi</v>
          </cell>
        </row>
        <row r="1043">
          <cell r="B1043" t="b">
            <v>1</v>
          </cell>
          <cell r="E1043" t="str">
            <v>Foco Rojo</v>
          </cell>
          <cell r="H1043" t="str">
            <v>salud_oral</v>
          </cell>
          <cell r="J1043" t="str">
            <v>bueno</v>
          </cell>
          <cell r="K1043" t="str">
            <v>probsi</v>
          </cell>
        </row>
        <row r="1044">
          <cell r="B1044" t="b">
            <v>1</v>
          </cell>
          <cell r="E1044" t="str">
            <v>Foco Rojo</v>
          </cell>
          <cell r="H1044" t="str">
            <v>salud_oral</v>
          </cell>
          <cell r="J1044" t="str">
            <v>bueno</v>
          </cell>
          <cell r="K1044" t="str">
            <v>probsi</v>
          </cell>
        </row>
        <row r="1045">
          <cell r="B1045" t="b">
            <v>1</v>
          </cell>
          <cell r="E1045" t="str">
            <v>Baru</v>
          </cell>
          <cell r="H1045" t="str">
            <v>salud_oral</v>
          </cell>
          <cell r="J1045" t="str">
            <v>muybueno</v>
          </cell>
          <cell r="K1045" t="str">
            <v>defsi</v>
          </cell>
        </row>
        <row r="1046">
          <cell r="B1046" t="b">
            <v>1</v>
          </cell>
          <cell r="E1046" t="str">
            <v>Foco Rojo</v>
          </cell>
          <cell r="H1046" t="str">
            <v>salud_oral</v>
          </cell>
          <cell r="J1046" t="str">
            <v>bueno</v>
          </cell>
          <cell r="K1046" t="str">
            <v>probsi</v>
          </cell>
        </row>
        <row r="1047">
          <cell r="B1047" t="b">
            <v>1</v>
          </cell>
          <cell r="E1047" t="str">
            <v>Foco Rojo</v>
          </cell>
          <cell r="H1047" t="str">
            <v>salud_oral</v>
          </cell>
          <cell r="J1047" t="str">
            <v>bueno</v>
          </cell>
          <cell r="K1047" t="str">
            <v>probsi</v>
          </cell>
        </row>
        <row r="1048">
          <cell r="B1048" t="b">
            <v>1</v>
          </cell>
          <cell r="E1048" t="str">
            <v>Foco Rojo</v>
          </cell>
          <cell r="H1048" t="str">
            <v>laboratorio</v>
          </cell>
          <cell r="J1048" t="str">
            <v>bueno</v>
          </cell>
          <cell r="K1048" t="str">
            <v>probsi</v>
          </cell>
        </row>
        <row r="1049">
          <cell r="B1049" t="b">
            <v>1</v>
          </cell>
          <cell r="E1049" t="str">
            <v>Esperanza</v>
          </cell>
          <cell r="H1049" t="str">
            <v>consulta_externa</v>
          </cell>
          <cell r="J1049" t="str">
            <v>bueno</v>
          </cell>
          <cell r="K1049" t="str">
            <v>defsi</v>
          </cell>
        </row>
        <row r="1050">
          <cell r="B1050" t="b">
            <v>1</v>
          </cell>
          <cell r="E1050" t="str">
            <v>Tierra Bomba</v>
          </cell>
          <cell r="H1050" t="str">
            <v>consulta_externa</v>
          </cell>
          <cell r="J1050" t="str">
            <v>bueno</v>
          </cell>
          <cell r="K1050" t="str">
            <v>probsi</v>
          </cell>
        </row>
        <row r="1051">
          <cell r="B1051" t="b">
            <v>1</v>
          </cell>
          <cell r="E1051" t="str">
            <v>Tierra Bomba</v>
          </cell>
          <cell r="H1051" t="str">
            <v>laboratorio</v>
          </cell>
          <cell r="J1051" t="str">
            <v>bueno</v>
          </cell>
          <cell r="K1051" t="str">
            <v>defsi</v>
          </cell>
        </row>
        <row r="1052">
          <cell r="B1052" t="b">
            <v>1</v>
          </cell>
          <cell r="E1052" t="str">
            <v>Tierra Bomba</v>
          </cell>
          <cell r="H1052" t="str">
            <v>salud_oral</v>
          </cell>
          <cell r="J1052" t="str">
            <v>bueno</v>
          </cell>
          <cell r="K1052" t="str">
            <v>defsi</v>
          </cell>
        </row>
        <row r="1053">
          <cell r="B1053" t="b">
            <v>1</v>
          </cell>
          <cell r="E1053" t="str">
            <v>Esperanza</v>
          </cell>
          <cell r="H1053" t="str">
            <v>salud_oral</v>
          </cell>
          <cell r="J1053" t="str">
            <v>bueno</v>
          </cell>
          <cell r="K1053" t="str">
            <v>defsi</v>
          </cell>
        </row>
        <row r="1054">
          <cell r="B1054" t="b">
            <v>1</v>
          </cell>
          <cell r="E1054" t="str">
            <v>Tierra Bomba</v>
          </cell>
          <cell r="H1054" t="str">
            <v>salud_oral</v>
          </cell>
          <cell r="J1054" t="str">
            <v>bueno</v>
          </cell>
          <cell r="K1054" t="str">
            <v>defsi</v>
          </cell>
        </row>
        <row r="1055">
          <cell r="B1055" t="b">
            <v>1</v>
          </cell>
          <cell r="E1055" t="str">
            <v>Tierra Bomba</v>
          </cell>
          <cell r="H1055" t="str">
            <v>consulta_externa</v>
          </cell>
          <cell r="J1055" t="str">
            <v>bueno</v>
          </cell>
          <cell r="K1055" t="str">
            <v>defsi</v>
          </cell>
        </row>
        <row r="1056">
          <cell r="B1056" t="b">
            <v>1</v>
          </cell>
          <cell r="E1056" t="str">
            <v>Socorro</v>
          </cell>
          <cell r="H1056" t="str">
            <v>consulta_externa</v>
          </cell>
          <cell r="J1056" t="str">
            <v>bueno</v>
          </cell>
          <cell r="K1056" t="str">
            <v>defsi</v>
          </cell>
        </row>
        <row r="1057">
          <cell r="B1057" t="b">
            <v>1</v>
          </cell>
          <cell r="E1057" t="str">
            <v>Esperanza</v>
          </cell>
          <cell r="H1057" t="str">
            <v>laboratorio</v>
          </cell>
          <cell r="J1057" t="str">
            <v>bueno</v>
          </cell>
          <cell r="K1057" t="str">
            <v>defsi</v>
          </cell>
        </row>
        <row r="1058">
          <cell r="B1058" t="b">
            <v>1</v>
          </cell>
          <cell r="E1058" t="str">
            <v>Socorro</v>
          </cell>
          <cell r="H1058" t="str">
            <v>salud_oral</v>
          </cell>
          <cell r="J1058" t="str">
            <v>bueno</v>
          </cell>
          <cell r="K1058" t="str">
            <v>defsi</v>
          </cell>
        </row>
        <row r="1059">
          <cell r="B1059" t="b">
            <v>1</v>
          </cell>
          <cell r="E1059" t="str">
            <v>Socorro</v>
          </cell>
          <cell r="H1059" t="str">
            <v>consulta_externa</v>
          </cell>
          <cell r="J1059" t="str">
            <v>bueno</v>
          </cell>
          <cell r="K1059" t="str">
            <v>defsi</v>
          </cell>
        </row>
        <row r="1060">
          <cell r="B1060" t="b">
            <v>1</v>
          </cell>
          <cell r="E1060" t="str">
            <v>Socorro</v>
          </cell>
          <cell r="H1060" t="str">
            <v>consulta_externa</v>
          </cell>
          <cell r="J1060" t="str">
            <v>muybueno</v>
          </cell>
          <cell r="K1060" t="str">
            <v>defsi</v>
          </cell>
        </row>
        <row r="1061">
          <cell r="B1061" t="b">
            <v>1</v>
          </cell>
          <cell r="E1061" t="str">
            <v>Esperanza</v>
          </cell>
          <cell r="H1061" t="str">
            <v>urgencia</v>
          </cell>
          <cell r="J1061" t="str">
            <v>bueno</v>
          </cell>
          <cell r="K1061" t="str">
            <v>defsi</v>
          </cell>
        </row>
        <row r="1062">
          <cell r="B1062" t="b">
            <v>1</v>
          </cell>
          <cell r="E1062" t="str">
            <v>Esperanza</v>
          </cell>
          <cell r="H1062" t="str">
            <v>electros</v>
          </cell>
          <cell r="J1062" t="str">
            <v>bueno</v>
          </cell>
          <cell r="K1062" t="str">
            <v>defsi</v>
          </cell>
        </row>
        <row r="1063">
          <cell r="B1063" t="b">
            <v>1</v>
          </cell>
          <cell r="E1063" t="str">
            <v>Baru</v>
          </cell>
          <cell r="H1063" t="str">
            <v>consulta_externa</v>
          </cell>
          <cell r="J1063" t="str">
            <v>muybueno</v>
          </cell>
          <cell r="K1063" t="str">
            <v>defsi</v>
          </cell>
        </row>
        <row r="1064">
          <cell r="B1064" t="b">
            <v>1</v>
          </cell>
          <cell r="E1064" t="str">
            <v>Baru</v>
          </cell>
          <cell r="H1064" t="str">
            <v>laboratorio</v>
          </cell>
          <cell r="J1064" t="str">
            <v>muybueno</v>
          </cell>
          <cell r="K1064" t="str">
            <v>defsi</v>
          </cell>
        </row>
        <row r="1065">
          <cell r="B1065" t="b">
            <v>1</v>
          </cell>
          <cell r="E1065" t="str">
            <v>Baru</v>
          </cell>
          <cell r="H1065" t="str">
            <v>salud_oral</v>
          </cell>
          <cell r="J1065" t="str">
            <v>muybueno</v>
          </cell>
          <cell r="K1065" t="str">
            <v>defsi</v>
          </cell>
        </row>
        <row r="1066">
          <cell r="B1066" t="b">
            <v>1</v>
          </cell>
          <cell r="E1066" t="str">
            <v>Tierra Bomba</v>
          </cell>
          <cell r="H1066" t="str">
            <v>laboratorio</v>
          </cell>
          <cell r="J1066" t="str">
            <v>bueno</v>
          </cell>
          <cell r="K1066" t="str">
            <v>probsi</v>
          </cell>
        </row>
        <row r="1067">
          <cell r="B1067" t="b">
            <v>1</v>
          </cell>
          <cell r="E1067" t="str">
            <v>Esperanza</v>
          </cell>
          <cell r="H1067" t="str">
            <v>consulta_externa</v>
          </cell>
          <cell r="J1067" t="str">
            <v>bueno</v>
          </cell>
          <cell r="K1067" t="str">
            <v>defsi</v>
          </cell>
        </row>
        <row r="1068">
          <cell r="B1068" t="b">
            <v>1</v>
          </cell>
          <cell r="E1068" t="str">
            <v>Baru</v>
          </cell>
          <cell r="H1068" t="str">
            <v>consulta_externa</v>
          </cell>
          <cell r="J1068" t="str">
            <v>muybueno</v>
          </cell>
          <cell r="K1068" t="str">
            <v>defsi</v>
          </cell>
        </row>
        <row r="1069">
          <cell r="B1069" t="b">
            <v>1</v>
          </cell>
          <cell r="E1069" t="str">
            <v>Baru</v>
          </cell>
          <cell r="H1069" t="str">
            <v>laboratorio</v>
          </cell>
          <cell r="J1069" t="str">
            <v>muybueno</v>
          </cell>
          <cell r="K1069" t="str">
            <v>defsi</v>
          </cell>
        </row>
        <row r="1070">
          <cell r="B1070" t="b">
            <v>1</v>
          </cell>
          <cell r="E1070" t="str">
            <v>Esperanza</v>
          </cell>
          <cell r="H1070" t="str">
            <v>salud_oral</v>
          </cell>
          <cell r="J1070" t="str">
            <v>bueno</v>
          </cell>
          <cell r="K1070" t="str">
            <v>defsi</v>
          </cell>
        </row>
        <row r="1071">
          <cell r="B1071" t="b">
            <v>1</v>
          </cell>
          <cell r="E1071" t="str">
            <v>Esperanza</v>
          </cell>
          <cell r="H1071" t="str">
            <v>laboratorio</v>
          </cell>
          <cell r="J1071" t="str">
            <v>bueno</v>
          </cell>
          <cell r="K1071" t="str">
            <v>defsi</v>
          </cell>
        </row>
        <row r="1072">
          <cell r="B1072" t="b">
            <v>1</v>
          </cell>
          <cell r="E1072" t="str">
            <v>Esperanza</v>
          </cell>
          <cell r="H1072" t="str">
            <v>urgencia</v>
          </cell>
          <cell r="J1072" t="str">
            <v>bueno</v>
          </cell>
          <cell r="K1072" t="str">
            <v>defsi</v>
          </cell>
        </row>
        <row r="1073">
          <cell r="B1073" t="b">
            <v>1</v>
          </cell>
          <cell r="E1073" t="str">
            <v>Esperanza</v>
          </cell>
          <cell r="H1073" t="str">
            <v>electros</v>
          </cell>
          <cell r="J1073" t="str">
            <v>bueno</v>
          </cell>
          <cell r="K1073" t="str">
            <v>defsi</v>
          </cell>
        </row>
        <row r="1074">
          <cell r="B1074" t="b">
            <v>1</v>
          </cell>
          <cell r="E1074" t="str">
            <v>Baru</v>
          </cell>
          <cell r="H1074" t="str">
            <v>laboratorio</v>
          </cell>
          <cell r="J1074" t="str">
            <v>muybueno</v>
          </cell>
          <cell r="K1074" t="str">
            <v>defsi</v>
          </cell>
        </row>
        <row r="1075">
          <cell r="B1075" t="b">
            <v>1</v>
          </cell>
          <cell r="E1075" t="str">
            <v>Candelaria</v>
          </cell>
          <cell r="H1075" t="str">
            <v>consulta_externa</v>
          </cell>
          <cell r="J1075" t="str">
            <v>bueno</v>
          </cell>
          <cell r="K1075" t="str">
            <v>probsi</v>
          </cell>
        </row>
        <row r="1076">
          <cell r="B1076" t="b">
            <v>1</v>
          </cell>
          <cell r="E1076" t="str">
            <v>Candelaria</v>
          </cell>
          <cell r="H1076" t="str">
            <v>laboratorio</v>
          </cell>
          <cell r="J1076" t="str">
            <v>bueno</v>
          </cell>
          <cell r="K1076" t="str">
            <v>probsi</v>
          </cell>
        </row>
        <row r="1077">
          <cell r="B1077" t="b">
            <v>1</v>
          </cell>
          <cell r="E1077" t="str">
            <v>Candelaria</v>
          </cell>
          <cell r="H1077" t="str">
            <v>consulta_externa</v>
          </cell>
          <cell r="J1077" t="str">
            <v>bueno</v>
          </cell>
          <cell r="K1077" t="str">
            <v>probsi</v>
          </cell>
        </row>
        <row r="1078">
          <cell r="B1078" t="b">
            <v>1</v>
          </cell>
          <cell r="E1078" t="str">
            <v>Baru</v>
          </cell>
          <cell r="H1078" t="str">
            <v>consulta_externa</v>
          </cell>
          <cell r="J1078" t="str">
            <v>muybueno</v>
          </cell>
          <cell r="K1078" t="str">
            <v>defsi</v>
          </cell>
        </row>
        <row r="1079">
          <cell r="B1079" t="b">
            <v>1</v>
          </cell>
          <cell r="E1079" t="str">
            <v>Baru</v>
          </cell>
          <cell r="H1079" t="str">
            <v>salud_oral</v>
          </cell>
          <cell r="J1079" t="str">
            <v>muybueno</v>
          </cell>
          <cell r="K1079" t="str">
            <v>defsi</v>
          </cell>
        </row>
        <row r="1080">
          <cell r="B1080" t="b">
            <v>1</v>
          </cell>
          <cell r="E1080" t="str">
            <v>Tierra Bomba</v>
          </cell>
          <cell r="H1080" t="str">
            <v>consulta_externa</v>
          </cell>
          <cell r="J1080" t="str">
            <v>bueno</v>
          </cell>
          <cell r="K1080" t="str">
            <v>defsi</v>
          </cell>
        </row>
        <row r="1081">
          <cell r="B1081" t="b">
            <v>1</v>
          </cell>
          <cell r="E1081" t="str">
            <v>Tierra Bomba</v>
          </cell>
          <cell r="H1081" t="str">
            <v>laboratorio</v>
          </cell>
          <cell r="J1081" t="str">
            <v>bueno</v>
          </cell>
          <cell r="K1081" t="str">
            <v>defsi</v>
          </cell>
        </row>
        <row r="1082">
          <cell r="B1082" t="b">
            <v>1</v>
          </cell>
          <cell r="E1082" t="str">
            <v>Candelaria</v>
          </cell>
          <cell r="H1082" t="str">
            <v>consulta_externa</v>
          </cell>
          <cell r="J1082" t="str">
            <v>bueno</v>
          </cell>
          <cell r="K1082" t="str">
            <v>probsi</v>
          </cell>
        </row>
        <row r="1083">
          <cell r="B1083" t="b">
            <v>1</v>
          </cell>
          <cell r="E1083" t="str">
            <v>Candelaria</v>
          </cell>
          <cell r="H1083" t="str">
            <v>consulta_externa</v>
          </cell>
          <cell r="J1083" t="str">
            <v>bueno</v>
          </cell>
          <cell r="K1083" t="str">
            <v>probsi</v>
          </cell>
        </row>
        <row r="1084">
          <cell r="B1084" t="b">
            <v>1</v>
          </cell>
          <cell r="E1084" t="str">
            <v>Baru</v>
          </cell>
          <cell r="H1084" t="str">
            <v>consulta_externa</v>
          </cell>
          <cell r="J1084" t="str">
            <v>muybueno</v>
          </cell>
          <cell r="K1084" t="str">
            <v>defsi</v>
          </cell>
        </row>
        <row r="1085">
          <cell r="B1085" t="b">
            <v>1</v>
          </cell>
          <cell r="E1085" t="str">
            <v>Candelaria</v>
          </cell>
          <cell r="H1085" t="str">
            <v>consulta_externa</v>
          </cell>
          <cell r="J1085" t="str">
            <v>bueno</v>
          </cell>
          <cell r="K1085" t="str">
            <v>probsi</v>
          </cell>
        </row>
        <row r="1086">
          <cell r="B1086" t="b">
            <v>1</v>
          </cell>
          <cell r="E1086" t="str">
            <v>Candelaria</v>
          </cell>
          <cell r="H1086" t="str">
            <v>salud_oral</v>
          </cell>
          <cell r="J1086" t="str">
            <v>bueno</v>
          </cell>
          <cell r="K1086" t="str">
            <v>probsi</v>
          </cell>
        </row>
        <row r="1087">
          <cell r="B1087" t="b">
            <v>1</v>
          </cell>
          <cell r="E1087" t="str">
            <v>Esperanza</v>
          </cell>
          <cell r="H1087" t="str">
            <v>consulta_externa</v>
          </cell>
          <cell r="J1087" t="str">
            <v>bueno</v>
          </cell>
          <cell r="K1087" t="str">
            <v>defsi</v>
          </cell>
        </row>
        <row r="1088">
          <cell r="B1088" t="b">
            <v>1</v>
          </cell>
          <cell r="E1088" t="str">
            <v>Candelaria</v>
          </cell>
          <cell r="H1088" t="str">
            <v>consulta_externa</v>
          </cell>
          <cell r="J1088" t="str">
            <v>muybueno</v>
          </cell>
          <cell r="K1088" t="str">
            <v>probsi</v>
          </cell>
        </row>
        <row r="1089">
          <cell r="B1089" t="b">
            <v>1</v>
          </cell>
          <cell r="E1089" t="str">
            <v>Candelaria</v>
          </cell>
          <cell r="H1089" t="str">
            <v>urgencia</v>
          </cell>
          <cell r="J1089" t="str">
            <v>bueno</v>
          </cell>
          <cell r="K1089" t="str">
            <v>probsi</v>
          </cell>
        </row>
        <row r="1090">
          <cell r="B1090" t="b">
            <v>1</v>
          </cell>
          <cell r="E1090" t="str">
            <v>Esperanza</v>
          </cell>
          <cell r="H1090" t="str">
            <v>salud_oral</v>
          </cell>
          <cell r="J1090" t="str">
            <v>bueno</v>
          </cell>
          <cell r="K1090" t="str">
            <v>defsi</v>
          </cell>
        </row>
        <row r="1091">
          <cell r="B1091" t="b">
            <v>1</v>
          </cell>
          <cell r="E1091" t="str">
            <v>Esperanza</v>
          </cell>
          <cell r="H1091" t="str">
            <v>laboratorio</v>
          </cell>
          <cell r="J1091" t="str">
            <v>bueno</v>
          </cell>
          <cell r="K1091" t="str">
            <v>defsi</v>
          </cell>
        </row>
        <row r="1092">
          <cell r="B1092" t="b">
            <v>1</v>
          </cell>
          <cell r="E1092" t="str">
            <v>Tierra Bomba</v>
          </cell>
          <cell r="H1092" t="str">
            <v>consulta_externa</v>
          </cell>
          <cell r="J1092" t="str">
            <v>bueno</v>
          </cell>
          <cell r="K1092" t="str">
            <v>defsi</v>
          </cell>
        </row>
        <row r="1093">
          <cell r="B1093" t="b">
            <v>1</v>
          </cell>
          <cell r="E1093" t="str">
            <v>Tierra Bomba</v>
          </cell>
          <cell r="H1093" t="str">
            <v>laboratorio</v>
          </cell>
          <cell r="J1093" t="str">
            <v>bueno</v>
          </cell>
          <cell r="K1093" t="str">
            <v>defsi</v>
          </cell>
        </row>
        <row r="1094">
          <cell r="B1094" t="b">
            <v>1</v>
          </cell>
          <cell r="E1094" t="str">
            <v>Tierra Bomba</v>
          </cell>
          <cell r="H1094" t="str">
            <v>salud_oral</v>
          </cell>
          <cell r="J1094" t="str">
            <v>bueno</v>
          </cell>
          <cell r="K1094" t="str">
            <v>defsi</v>
          </cell>
        </row>
        <row r="1095">
          <cell r="B1095" t="b">
            <v>1</v>
          </cell>
          <cell r="E1095" t="str">
            <v>Esperanza</v>
          </cell>
          <cell r="H1095" t="str">
            <v>urgencia</v>
          </cell>
          <cell r="J1095" t="str">
            <v>bueno</v>
          </cell>
          <cell r="K1095" t="str">
            <v>defsi</v>
          </cell>
        </row>
        <row r="1096">
          <cell r="B1096" t="b">
            <v>1</v>
          </cell>
          <cell r="E1096" t="str">
            <v>Esperanza</v>
          </cell>
          <cell r="H1096" t="str">
            <v>electros</v>
          </cell>
          <cell r="J1096" t="str">
            <v>bueno</v>
          </cell>
          <cell r="K1096" t="str">
            <v>defsi</v>
          </cell>
        </row>
        <row r="1097">
          <cell r="B1097" t="b">
            <v>1</v>
          </cell>
          <cell r="E1097" t="str">
            <v>Candelaria</v>
          </cell>
          <cell r="H1097" t="str">
            <v>electros</v>
          </cell>
          <cell r="J1097" t="str">
            <v>bueno</v>
          </cell>
          <cell r="K1097" t="str">
            <v>probsi</v>
          </cell>
        </row>
        <row r="1098">
          <cell r="B1098" t="b">
            <v>1</v>
          </cell>
          <cell r="E1098" t="str">
            <v>Baru</v>
          </cell>
          <cell r="H1098" t="str">
            <v>consulta_externa</v>
          </cell>
          <cell r="J1098" t="str">
            <v>muybueno</v>
          </cell>
          <cell r="K1098" t="str">
            <v>defsi</v>
          </cell>
        </row>
        <row r="1099">
          <cell r="B1099" t="b">
            <v>1</v>
          </cell>
          <cell r="E1099" t="str">
            <v>Candelaria</v>
          </cell>
          <cell r="H1099" t="str">
            <v>consulta_externa</v>
          </cell>
          <cell r="J1099" t="str">
            <v>bueno</v>
          </cell>
          <cell r="K1099" t="str">
            <v>probsi</v>
          </cell>
        </row>
        <row r="1100">
          <cell r="B1100" t="b">
            <v>1</v>
          </cell>
          <cell r="E1100" t="str">
            <v>Candelaria</v>
          </cell>
          <cell r="H1100" t="str">
            <v>salud_oral</v>
          </cell>
          <cell r="J1100" t="str">
            <v>bueno</v>
          </cell>
          <cell r="K1100" t="str">
            <v>probsi</v>
          </cell>
        </row>
        <row r="1101">
          <cell r="B1101" t="b">
            <v>1</v>
          </cell>
          <cell r="E1101" t="str">
            <v>Tierra Bomba</v>
          </cell>
          <cell r="H1101" t="str">
            <v>consulta_externa</v>
          </cell>
          <cell r="J1101" t="str">
            <v>bueno</v>
          </cell>
          <cell r="K1101" t="str">
            <v>defsi</v>
          </cell>
        </row>
        <row r="1102">
          <cell r="B1102" t="b">
            <v>1</v>
          </cell>
          <cell r="E1102" t="str">
            <v>Candelaria</v>
          </cell>
          <cell r="H1102" t="str">
            <v>urgencia</v>
          </cell>
          <cell r="J1102" t="str">
            <v>bueno</v>
          </cell>
          <cell r="K1102" t="str">
            <v>probsi</v>
          </cell>
        </row>
        <row r="1103">
          <cell r="B1103" t="b">
            <v>1</v>
          </cell>
          <cell r="E1103" t="str">
            <v>Candelaria</v>
          </cell>
          <cell r="H1103" t="str">
            <v>consulta_externa</v>
          </cell>
          <cell r="J1103" t="str">
            <v>bueno</v>
          </cell>
          <cell r="K1103" t="str">
            <v>probsi</v>
          </cell>
        </row>
        <row r="1104">
          <cell r="B1104" t="b">
            <v>1</v>
          </cell>
          <cell r="E1104" t="str">
            <v>Candelaria</v>
          </cell>
          <cell r="H1104" t="str">
            <v>salud_oral</v>
          </cell>
          <cell r="J1104" t="str">
            <v>bueno</v>
          </cell>
          <cell r="K1104" t="str">
            <v>probsi</v>
          </cell>
        </row>
        <row r="1105">
          <cell r="B1105" t="b">
            <v>1</v>
          </cell>
          <cell r="E1105" t="str">
            <v>Candelaria</v>
          </cell>
          <cell r="H1105" t="str">
            <v>consulta_externa</v>
          </cell>
          <cell r="J1105" t="str">
            <v>bueno</v>
          </cell>
          <cell r="K1105" t="str">
            <v>probsi</v>
          </cell>
        </row>
        <row r="1106">
          <cell r="B1106" t="b">
            <v>1</v>
          </cell>
          <cell r="E1106" t="str">
            <v>Candelaria</v>
          </cell>
          <cell r="H1106" t="str">
            <v>salud_oral</v>
          </cell>
          <cell r="J1106" t="str">
            <v>bueno</v>
          </cell>
          <cell r="K1106" t="str">
            <v>probsi</v>
          </cell>
        </row>
        <row r="1107">
          <cell r="B1107" t="b">
            <v>1</v>
          </cell>
          <cell r="E1107" t="str">
            <v>Tierra Bomba</v>
          </cell>
          <cell r="H1107" t="str">
            <v>consulta_externa</v>
          </cell>
          <cell r="J1107" t="str">
            <v>bueno</v>
          </cell>
          <cell r="K1107" t="str">
            <v>defsi</v>
          </cell>
        </row>
        <row r="1108">
          <cell r="B1108" t="b">
            <v>1</v>
          </cell>
          <cell r="E1108" t="str">
            <v>Baru</v>
          </cell>
          <cell r="H1108" t="str">
            <v>laboratorio</v>
          </cell>
          <cell r="J1108" t="str">
            <v>muybueno</v>
          </cell>
          <cell r="K1108" t="str">
            <v>defsi</v>
          </cell>
        </row>
        <row r="1109">
          <cell r="B1109" t="b">
            <v>1</v>
          </cell>
          <cell r="E1109" t="str">
            <v>Tierra Bomba</v>
          </cell>
          <cell r="H1109" t="str">
            <v>consulta_externa</v>
          </cell>
          <cell r="J1109" t="str">
            <v>bueno</v>
          </cell>
          <cell r="K1109" t="str">
            <v>defsi</v>
          </cell>
        </row>
        <row r="1110">
          <cell r="B1110" t="b">
            <v>1</v>
          </cell>
          <cell r="E1110" t="str">
            <v>Tierra Bomba</v>
          </cell>
          <cell r="H1110" t="str">
            <v>salud_oral</v>
          </cell>
          <cell r="J1110" t="str">
            <v>bueno</v>
          </cell>
          <cell r="K1110" t="str">
            <v>defsi</v>
          </cell>
        </row>
        <row r="1111">
          <cell r="B1111" t="b">
            <v>1</v>
          </cell>
          <cell r="E1111" t="str">
            <v>Tierra Bomba</v>
          </cell>
          <cell r="H1111" t="str">
            <v>laboratorio</v>
          </cell>
          <cell r="J1111" t="str">
            <v>bueno</v>
          </cell>
          <cell r="K1111" t="str">
            <v>defsi</v>
          </cell>
        </row>
        <row r="1112">
          <cell r="B1112" t="b">
            <v>1</v>
          </cell>
          <cell r="E1112" t="str">
            <v>Candelaria</v>
          </cell>
          <cell r="H1112" t="str">
            <v>consulta_externa</v>
          </cell>
          <cell r="J1112" t="str">
            <v>bueno</v>
          </cell>
          <cell r="K1112" t="str">
            <v>probsi</v>
          </cell>
        </row>
        <row r="1113">
          <cell r="B1113" t="b">
            <v>1</v>
          </cell>
          <cell r="E1113" t="str">
            <v>Candelaria</v>
          </cell>
          <cell r="H1113" t="str">
            <v>consulta_externa</v>
          </cell>
          <cell r="J1113" t="str">
            <v>bueno</v>
          </cell>
          <cell r="K1113" t="str">
            <v>probsi</v>
          </cell>
        </row>
        <row r="1114">
          <cell r="B1114" t="b">
            <v>1</v>
          </cell>
          <cell r="E1114" t="str">
            <v>Tierra Bomba</v>
          </cell>
          <cell r="H1114" t="str">
            <v>salud_oral</v>
          </cell>
          <cell r="J1114" t="str">
            <v>bueno</v>
          </cell>
          <cell r="K1114" t="str">
            <v>defsi</v>
          </cell>
        </row>
        <row r="1115">
          <cell r="B1115" t="b">
            <v>1</v>
          </cell>
          <cell r="E1115" t="str">
            <v>Tierra Bomba</v>
          </cell>
          <cell r="H1115" t="str">
            <v>salud_oral</v>
          </cell>
          <cell r="J1115" t="str">
            <v>bueno</v>
          </cell>
          <cell r="K1115" t="str">
            <v>defsi</v>
          </cell>
        </row>
        <row r="1116">
          <cell r="B1116" t="b">
            <v>1</v>
          </cell>
          <cell r="E1116" t="str">
            <v>Socorro</v>
          </cell>
          <cell r="H1116" t="str">
            <v>consulta_externa</v>
          </cell>
          <cell r="J1116" t="str">
            <v>bueno</v>
          </cell>
          <cell r="K1116" t="str">
            <v>defsi</v>
          </cell>
        </row>
        <row r="1117">
          <cell r="B1117" t="b">
            <v>1</v>
          </cell>
          <cell r="E1117" t="str">
            <v>Socorro</v>
          </cell>
          <cell r="H1117" t="str">
            <v>laboratorio</v>
          </cell>
          <cell r="J1117" t="str">
            <v>bueno</v>
          </cell>
          <cell r="K1117" t="str">
            <v>defsi</v>
          </cell>
        </row>
        <row r="1118">
          <cell r="B1118" t="b">
            <v>1</v>
          </cell>
          <cell r="E1118" t="str">
            <v>Socorro</v>
          </cell>
          <cell r="H1118" t="str">
            <v>consulta_externa</v>
          </cell>
          <cell r="J1118" t="str">
            <v>bueno</v>
          </cell>
          <cell r="K1118" t="str">
            <v>defsi</v>
          </cell>
        </row>
        <row r="1119">
          <cell r="B1119" t="b">
            <v>1</v>
          </cell>
          <cell r="E1119" t="str">
            <v>Socorro</v>
          </cell>
          <cell r="H1119" t="str">
            <v>laboratorio</v>
          </cell>
          <cell r="J1119" t="str">
            <v>bueno</v>
          </cell>
          <cell r="K1119" t="str">
            <v>defsi</v>
          </cell>
        </row>
        <row r="1120">
          <cell r="B1120" t="b">
            <v>1</v>
          </cell>
          <cell r="E1120" t="str">
            <v>Socorro</v>
          </cell>
          <cell r="H1120" t="str">
            <v>consulta_externa</v>
          </cell>
          <cell r="J1120" t="str">
            <v>bueno</v>
          </cell>
          <cell r="K1120" t="str">
            <v>defsi</v>
          </cell>
        </row>
        <row r="1121">
          <cell r="B1121" t="b">
            <v>1</v>
          </cell>
          <cell r="E1121" t="str">
            <v>Socorro</v>
          </cell>
          <cell r="H1121" t="str">
            <v>laboratorio</v>
          </cell>
          <cell r="J1121" t="str">
            <v>bueno</v>
          </cell>
          <cell r="K1121" t="str">
            <v>defsi</v>
          </cell>
        </row>
        <row r="1122">
          <cell r="B1122" t="b">
            <v>1</v>
          </cell>
          <cell r="E1122" t="str">
            <v>Socorro</v>
          </cell>
          <cell r="H1122" t="str">
            <v>consulta_externa</v>
          </cell>
          <cell r="J1122" t="str">
            <v>bueno</v>
          </cell>
          <cell r="K1122" t="str">
            <v>defsi</v>
          </cell>
        </row>
        <row r="1123">
          <cell r="B1123" t="b">
            <v>1</v>
          </cell>
          <cell r="E1123" t="str">
            <v>Socorro</v>
          </cell>
          <cell r="H1123" t="str">
            <v>salud_oral</v>
          </cell>
          <cell r="J1123" t="str">
            <v>bueno</v>
          </cell>
          <cell r="K1123" t="str">
            <v>defsi</v>
          </cell>
        </row>
        <row r="1124">
          <cell r="B1124" t="b">
            <v>0</v>
          </cell>
          <cell r="E1124" t="str">
            <v>Socorro</v>
          </cell>
          <cell r="H1124" t="str">
            <v>salud_oral</v>
          </cell>
          <cell r="J1124" t="str">
            <v>regular</v>
          </cell>
          <cell r="K1124" t="str">
            <v>probsi</v>
          </cell>
        </row>
        <row r="1125">
          <cell r="B1125" t="b">
            <v>0</v>
          </cell>
          <cell r="E1125" t="str">
            <v>Socorro</v>
          </cell>
          <cell r="H1125" t="str">
            <v>consulta_externa</v>
          </cell>
          <cell r="J1125" t="str">
            <v>regular</v>
          </cell>
          <cell r="K1125" t="str">
            <v>probsi</v>
          </cell>
        </row>
        <row r="1126">
          <cell r="B1126" t="b">
            <v>1</v>
          </cell>
          <cell r="E1126" t="str">
            <v>Baru</v>
          </cell>
          <cell r="H1126" t="str">
            <v>consulta_externa</v>
          </cell>
          <cell r="J1126" t="str">
            <v>muybueno</v>
          </cell>
          <cell r="K1126" t="str">
            <v>defsi</v>
          </cell>
        </row>
        <row r="1127">
          <cell r="B1127" t="b">
            <v>1</v>
          </cell>
          <cell r="E1127" t="str">
            <v>Socorro</v>
          </cell>
          <cell r="H1127" t="str">
            <v>consulta_externa</v>
          </cell>
          <cell r="J1127" t="str">
            <v>bueno</v>
          </cell>
          <cell r="K1127" t="str">
            <v>defsi</v>
          </cell>
        </row>
        <row r="1128">
          <cell r="B1128" t="b">
            <v>1</v>
          </cell>
          <cell r="E1128" t="str">
            <v>Baru</v>
          </cell>
          <cell r="H1128" t="str">
            <v>laboratorio</v>
          </cell>
          <cell r="J1128" t="str">
            <v>muybueno</v>
          </cell>
          <cell r="K1128" t="str">
            <v>defsi</v>
          </cell>
        </row>
        <row r="1129">
          <cell r="B1129" t="b">
            <v>1</v>
          </cell>
          <cell r="E1129" t="str">
            <v>Socorro</v>
          </cell>
          <cell r="H1129" t="str">
            <v>laboratorio</v>
          </cell>
          <cell r="J1129" t="str">
            <v>bueno</v>
          </cell>
          <cell r="K1129" t="str">
            <v>defsi</v>
          </cell>
        </row>
        <row r="1130">
          <cell r="B1130" t="b">
            <v>1</v>
          </cell>
          <cell r="E1130" t="str">
            <v>Socorro</v>
          </cell>
          <cell r="H1130" t="str">
            <v>consulta_externa</v>
          </cell>
          <cell r="J1130" t="str">
            <v>bueno</v>
          </cell>
          <cell r="K1130" t="str">
            <v>defsi</v>
          </cell>
        </row>
        <row r="1131">
          <cell r="B1131" t="b">
            <v>1</v>
          </cell>
          <cell r="E1131" t="str">
            <v>Socorro</v>
          </cell>
          <cell r="H1131" t="str">
            <v>laboratorio</v>
          </cell>
          <cell r="J1131" t="str">
            <v>bueno</v>
          </cell>
          <cell r="K1131" t="str">
            <v>defsi</v>
          </cell>
        </row>
        <row r="1132">
          <cell r="B1132" t="b">
            <v>1</v>
          </cell>
          <cell r="E1132" t="str">
            <v>Socorro</v>
          </cell>
          <cell r="H1132" t="str">
            <v>salud_oral</v>
          </cell>
          <cell r="J1132" t="str">
            <v>bueno</v>
          </cell>
          <cell r="K1132" t="str">
            <v>defsi</v>
          </cell>
        </row>
        <row r="1133">
          <cell r="B1133" t="b">
            <v>1</v>
          </cell>
          <cell r="E1133" t="str">
            <v>Candelaria</v>
          </cell>
          <cell r="H1133" t="str">
            <v>consulta_externa</v>
          </cell>
          <cell r="J1133" t="str">
            <v>bueno</v>
          </cell>
          <cell r="K1133" t="str">
            <v>probsi</v>
          </cell>
        </row>
        <row r="1134">
          <cell r="B1134" t="b">
            <v>1</v>
          </cell>
          <cell r="E1134" t="str">
            <v>Candelaria</v>
          </cell>
          <cell r="H1134" t="str">
            <v>laboratorio</v>
          </cell>
          <cell r="J1134" t="str">
            <v>bueno</v>
          </cell>
          <cell r="K1134" t="str">
            <v>probsi</v>
          </cell>
        </row>
        <row r="1135">
          <cell r="B1135" t="b">
            <v>1</v>
          </cell>
          <cell r="E1135" t="str">
            <v>Candelaria</v>
          </cell>
          <cell r="H1135" t="str">
            <v>salud_oral</v>
          </cell>
          <cell r="J1135" t="str">
            <v>bueno</v>
          </cell>
          <cell r="K1135" t="str">
            <v>probsi</v>
          </cell>
        </row>
        <row r="1136">
          <cell r="B1136" t="b">
            <v>1</v>
          </cell>
          <cell r="E1136" t="str">
            <v>Candelaria</v>
          </cell>
          <cell r="H1136" t="str">
            <v>consulta_externa</v>
          </cell>
          <cell r="J1136" t="str">
            <v>bueno</v>
          </cell>
          <cell r="K1136" t="str">
            <v>probsi</v>
          </cell>
        </row>
        <row r="1137">
          <cell r="B1137" t="b">
            <v>1</v>
          </cell>
          <cell r="E1137" t="str">
            <v>Candelaria</v>
          </cell>
          <cell r="H1137" t="str">
            <v>laboratorio</v>
          </cell>
          <cell r="J1137" t="str">
            <v>bueno</v>
          </cell>
          <cell r="K1137" t="str">
            <v>probsi</v>
          </cell>
        </row>
        <row r="1138">
          <cell r="B1138" t="b">
            <v>1</v>
          </cell>
          <cell r="E1138" t="str">
            <v>Esperanza</v>
          </cell>
          <cell r="H1138" t="str">
            <v>consulta_externa</v>
          </cell>
          <cell r="J1138" t="str">
            <v>bueno</v>
          </cell>
          <cell r="K1138" t="str">
            <v>defsi</v>
          </cell>
        </row>
        <row r="1139">
          <cell r="B1139" t="b">
            <v>1</v>
          </cell>
          <cell r="E1139" t="str">
            <v>Esperanza</v>
          </cell>
          <cell r="H1139" t="str">
            <v>salud_oral</v>
          </cell>
          <cell r="J1139" t="str">
            <v>bueno</v>
          </cell>
          <cell r="K1139" t="str">
            <v>defsi</v>
          </cell>
        </row>
        <row r="1140">
          <cell r="B1140" t="b">
            <v>1</v>
          </cell>
          <cell r="E1140" t="str">
            <v>Candelaria</v>
          </cell>
          <cell r="H1140" t="str">
            <v>consulta_externa</v>
          </cell>
          <cell r="J1140" t="str">
            <v>bueno</v>
          </cell>
          <cell r="K1140" t="str">
            <v>probsi</v>
          </cell>
        </row>
        <row r="1141">
          <cell r="B1141" t="b">
            <v>1</v>
          </cell>
          <cell r="E1141" t="str">
            <v>Esperanza</v>
          </cell>
          <cell r="H1141" t="str">
            <v>laboratorio</v>
          </cell>
          <cell r="J1141" t="str">
            <v>bueno</v>
          </cell>
          <cell r="K1141" t="str">
            <v>defsi</v>
          </cell>
        </row>
        <row r="1142">
          <cell r="B1142" t="b">
            <v>1</v>
          </cell>
          <cell r="E1142" t="str">
            <v>Esperanza</v>
          </cell>
          <cell r="H1142" t="str">
            <v>urgencia</v>
          </cell>
          <cell r="J1142" t="str">
            <v>bueno</v>
          </cell>
          <cell r="K1142" t="str">
            <v>defsi</v>
          </cell>
        </row>
        <row r="1143">
          <cell r="B1143" t="b">
            <v>1</v>
          </cell>
          <cell r="E1143" t="str">
            <v>Esperanza</v>
          </cell>
          <cell r="H1143" t="str">
            <v>electros</v>
          </cell>
          <cell r="J1143" t="str">
            <v>bueno</v>
          </cell>
          <cell r="K1143" t="str">
            <v>defsi</v>
          </cell>
        </row>
        <row r="1144">
          <cell r="B1144" t="b">
            <v>1</v>
          </cell>
          <cell r="E1144" t="str">
            <v>Esperanza</v>
          </cell>
          <cell r="H1144" t="str">
            <v>consulta_externa</v>
          </cell>
          <cell r="J1144" t="str">
            <v>bueno</v>
          </cell>
          <cell r="K1144" t="str">
            <v>defsi</v>
          </cell>
        </row>
        <row r="1145">
          <cell r="B1145" t="b">
            <v>1</v>
          </cell>
          <cell r="E1145" t="str">
            <v>Candelaria</v>
          </cell>
          <cell r="H1145" t="str">
            <v>consulta_externa</v>
          </cell>
          <cell r="J1145" t="str">
            <v>bueno</v>
          </cell>
          <cell r="K1145" t="str">
            <v>probsi</v>
          </cell>
        </row>
        <row r="1146">
          <cell r="B1146" t="b">
            <v>1</v>
          </cell>
          <cell r="E1146" t="str">
            <v>Candelaria</v>
          </cell>
          <cell r="H1146" t="str">
            <v>salud_oral</v>
          </cell>
          <cell r="J1146" t="str">
            <v>bueno</v>
          </cell>
          <cell r="K1146" t="str">
            <v>probsi</v>
          </cell>
        </row>
        <row r="1147">
          <cell r="B1147" t="b">
            <v>0</v>
          </cell>
          <cell r="E1147" t="str">
            <v>Candelaria</v>
          </cell>
          <cell r="H1147" t="str">
            <v>laboratorio</v>
          </cell>
          <cell r="J1147" t="str">
            <v>regular</v>
          </cell>
          <cell r="K1147" t="str">
            <v>probsi</v>
          </cell>
        </row>
        <row r="1148">
          <cell r="B1148" t="b">
            <v>1</v>
          </cell>
          <cell r="E1148" t="str">
            <v>Esperanza</v>
          </cell>
          <cell r="H1148" t="str">
            <v>salud_oral</v>
          </cell>
          <cell r="J1148" t="str">
            <v>bueno</v>
          </cell>
          <cell r="K1148" t="str">
            <v>defsi</v>
          </cell>
        </row>
        <row r="1149">
          <cell r="B1149" t="b">
            <v>1</v>
          </cell>
          <cell r="E1149" t="str">
            <v>Esperanza</v>
          </cell>
          <cell r="H1149" t="str">
            <v>laboratorio</v>
          </cell>
          <cell r="J1149" t="str">
            <v>bueno</v>
          </cell>
          <cell r="K1149" t="str">
            <v>defsi</v>
          </cell>
        </row>
        <row r="1150">
          <cell r="B1150" t="b">
            <v>1</v>
          </cell>
          <cell r="E1150" t="str">
            <v>Esperanza</v>
          </cell>
          <cell r="H1150" t="str">
            <v>urgencia</v>
          </cell>
          <cell r="J1150" t="str">
            <v>bueno</v>
          </cell>
          <cell r="K1150" t="str">
            <v>defsi</v>
          </cell>
        </row>
        <row r="1151">
          <cell r="B1151" t="b">
            <v>1</v>
          </cell>
          <cell r="E1151" t="str">
            <v>Esperanza</v>
          </cell>
          <cell r="H1151" t="str">
            <v>electros</v>
          </cell>
          <cell r="J1151" t="str">
            <v>bueno</v>
          </cell>
          <cell r="K1151" t="str">
            <v>defsi</v>
          </cell>
        </row>
        <row r="1152">
          <cell r="B1152" t="b">
            <v>1</v>
          </cell>
          <cell r="E1152" t="str">
            <v>Esperanza</v>
          </cell>
          <cell r="H1152" t="str">
            <v>consulta_externa</v>
          </cell>
          <cell r="J1152" t="str">
            <v>bueno</v>
          </cell>
          <cell r="K1152" t="str">
            <v>defsi</v>
          </cell>
        </row>
        <row r="1153">
          <cell r="B1153" t="b">
            <v>1</v>
          </cell>
          <cell r="E1153" t="str">
            <v>Esperanza</v>
          </cell>
          <cell r="H1153" t="str">
            <v>salud_oral</v>
          </cell>
          <cell r="J1153" t="str">
            <v>bueno</v>
          </cell>
          <cell r="K1153" t="str">
            <v>defsi</v>
          </cell>
        </row>
        <row r="1154">
          <cell r="B1154" t="b">
            <v>1</v>
          </cell>
          <cell r="E1154" t="str">
            <v>Esperanza</v>
          </cell>
          <cell r="H1154" t="str">
            <v>laboratorio</v>
          </cell>
          <cell r="J1154" t="str">
            <v>bueno</v>
          </cell>
          <cell r="K1154" t="str">
            <v>defsi</v>
          </cell>
        </row>
        <row r="1155">
          <cell r="B1155" t="b">
            <v>1</v>
          </cell>
          <cell r="E1155" t="str">
            <v>Esperanza</v>
          </cell>
          <cell r="H1155" t="str">
            <v>urgencia</v>
          </cell>
          <cell r="J1155" t="str">
            <v>bueno</v>
          </cell>
          <cell r="K1155" t="str">
            <v>defsi</v>
          </cell>
        </row>
        <row r="1156">
          <cell r="B1156" t="b">
            <v>1</v>
          </cell>
          <cell r="E1156" t="str">
            <v>Esperanza</v>
          </cell>
          <cell r="H1156" t="str">
            <v>electros</v>
          </cell>
          <cell r="J1156" t="str">
            <v>bueno</v>
          </cell>
          <cell r="K1156" t="str">
            <v>defsi</v>
          </cell>
        </row>
        <row r="1157">
          <cell r="B1157" t="b">
            <v>1</v>
          </cell>
          <cell r="E1157" t="str">
            <v>Esperanza</v>
          </cell>
          <cell r="H1157" t="str">
            <v>consulta_externa</v>
          </cell>
          <cell r="J1157" t="str">
            <v>bueno</v>
          </cell>
          <cell r="K1157" t="str">
            <v>defsi</v>
          </cell>
        </row>
        <row r="1158">
          <cell r="B1158" t="b">
            <v>1</v>
          </cell>
          <cell r="E1158" t="str">
            <v>Esperanza</v>
          </cell>
          <cell r="H1158" t="str">
            <v>salud_oral</v>
          </cell>
          <cell r="J1158" t="str">
            <v>bueno</v>
          </cell>
          <cell r="K1158" t="str">
            <v>defsi</v>
          </cell>
        </row>
        <row r="1159">
          <cell r="B1159" t="b">
            <v>1</v>
          </cell>
          <cell r="E1159" t="str">
            <v>Esperanza</v>
          </cell>
          <cell r="H1159" t="str">
            <v>laboratorio</v>
          </cell>
          <cell r="J1159" t="str">
            <v>bueno</v>
          </cell>
          <cell r="K1159" t="str">
            <v>defsi</v>
          </cell>
        </row>
        <row r="1160">
          <cell r="B1160" t="b">
            <v>1</v>
          </cell>
          <cell r="E1160" t="str">
            <v>Esperanza</v>
          </cell>
          <cell r="H1160" t="str">
            <v>urgencia</v>
          </cell>
          <cell r="J1160" t="str">
            <v>bueno</v>
          </cell>
          <cell r="K1160" t="str">
            <v>defsi</v>
          </cell>
        </row>
        <row r="1161">
          <cell r="B1161" t="b">
            <v>1</v>
          </cell>
          <cell r="E1161" t="str">
            <v>Esperanza</v>
          </cell>
          <cell r="H1161" t="str">
            <v>electros</v>
          </cell>
          <cell r="J1161" t="str">
            <v>bueno</v>
          </cell>
          <cell r="K1161" t="str">
            <v>defsi</v>
          </cell>
        </row>
        <row r="1162">
          <cell r="B1162" t="b">
            <v>1</v>
          </cell>
          <cell r="E1162" t="str">
            <v>Esperanza</v>
          </cell>
          <cell r="H1162" t="str">
            <v>consulta_externa</v>
          </cell>
          <cell r="J1162" t="str">
            <v>bueno</v>
          </cell>
          <cell r="K1162" t="str">
            <v>defsi</v>
          </cell>
        </row>
        <row r="1163">
          <cell r="B1163" t="b">
            <v>1</v>
          </cell>
          <cell r="E1163" t="str">
            <v>Esperanza</v>
          </cell>
          <cell r="H1163" t="str">
            <v>salud_oral</v>
          </cell>
          <cell r="J1163" t="str">
            <v>bueno</v>
          </cell>
          <cell r="K1163" t="str">
            <v>defsi</v>
          </cell>
        </row>
        <row r="1164">
          <cell r="B1164" t="b">
            <v>1</v>
          </cell>
          <cell r="E1164" t="str">
            <v>Esperanza</v>
          </cell>
          <cell r="H1164" t="str">
            <v>laboratorio</v>
          </cell>
          <cell r="J1164" t="str">
            <v>bueno</v>
          </cell>
          <cell r="K1164" t="str">
            <v>defsi</v>
          </cell>
        </row>
        <row r="1165">
          <cell r="B1165" t="b">
            <v>1</v>
          </cell>
          <cell r="E1165" t="str">
            <v>Esperanza</v>
          </cell>
          <cell r="H1165" t="str">
            <v>urgencia</v>
          </cell>
          <cell r="J1165" t="str">
            <v>bueno</v>
          </cell>
          <cell r="K1165" t="str">
            <v>defsi</v>
          </cell>
        </row>
        <row r="1166">
          <cell r="B1166" t="b">
            <v>1</v>
          </cell>
          <cell r="E1166" t="str">
            <v>Esperanza</v>
          </cell>
          <cell r="H1166" t="str">
            <v>electros</v>
          </cell>
          <cell r="J1166" t="str">
            <v>bueno</v>
          </cell>
          <cell r="K1166" t="str">
            <v>defsi</v>
          </cell>
        </row>
        <row r="1167">
          <cell r="B1167" t="b">
            <v>1</v>
          </cell>
          <cell r="E1167" t="str">
            <v>Candelaria</v>
          </cell>
          <cell r="H1167" t="str">
            <v>salud_oral</v>
          </cell>
          <cell r="J1167" t="str">
            <v>bueno</v>
          </cell>
          <cell r="K1167" t="str">
            <v>probsi</v>
          </cell>
        </row>
        <row r="1168">
          <cell r="B1168" t="b">
            <v>1</v>
          </cell>
          <cell r="E1168" t="str">
            <v>Candelaria</v>
          </cell>
          <cell r="H1168" t="str">
            <v>laboratorio</v>
          </cell>
          <cell r="J1168" t="str">
            <v>bueno</v>
          </cell>
          <cell r="K1168" t="str">
            <v>probsi</v>
          </cell>
        </row>
        <row r="1169">
          <cell r="B1169" t="b">
            <v>1</v>
          </cell>
          <cell r="E1169" t="str">
            <v>Socorro</v>
          </cell>
          <cell r="H1169" t="str">
            <v>salud_oral</v>
          </cell>
          <cell r="J1169" t="str">
            <v>bueno</v>
          </cell>
          <cell r="K1169" t="str">
            <v>defsi</v>
          </cell>
        </row>
        <row r="1170">
          <cell r="B1170" t="b">
            <v>1</v>
          </cell>
          <cell r="E1170" t="str">
            <v>Socorro</v>
          </cell>
          <cell r="H1170" t="str">
            <v>salud_oral</v>
          </cell>
          <cell r="J1170" t="str">
            <v>bueno</v>
          </cell>
          <cell r="K1170" t="str">
            <v>defsi</v>
          </cell>
        </row>
        <row r="1171">
          <cell r="B1171" t="b">
            <v>1</v>
          </cell>
          <cell r="E1171" t="str">
            <v>Socorro</v>
          </cell>
          <cell r="H1171" t="str">
            <v>consulta_externa</v>
          </cell>
          <cell r="J1171" t="str">
            <v>bueno</v>
          </cell>
          <cell r="K1171" t="str">
            <v>defsi</v>
          </cell>
        </row>
        <row r="1172">
          <cell r="B1172" t="b">
            <v>1</v>
          </cell>
          <cell r="E1172" t="str">
            <v>Esperanza</v>
          </cell>
          <cell r="H1172" t="str">
            <v>consulta_externa</v>
          </cell>
          <cell r="J1172" t="str">
            <v>bueno</v>
          </cell>
          <cell r="K1172" t="str">
            <v>defsi</v>
          </cell>
        </row>
        <row r="1173">
          <cell r="B1173" t="b">
            <v>1</v>
          </cell>
          <cell r="E1173" t="str">
            <v>Esperanza</v>
          </cell>
          <cell r="H1173" t="str">
            <v>salud_oral</v>
          </cell>
          <cell r="J1173" t="str">
            <v>bueno</v>
          </cell>
          <cell r="K1173" t="str">
            <v>defsi</v>
          </cell>
        </row>
        <row r="1174">
          <cell r="B1174" t="b">
            <v>1</v>
          </cell>
          <cell r="E1174" t="str">
            <v>Esperanza</v>
          </cell>
          <cell r="H1174" t="str">
            <v>laboratorio</v>
          </cell>
          <cell r="J1174" t="str">
            <v>bueno</v>
          </cell>
          <cell r="K1174" t="str">
            <v>defsi</v>
          </cell>
        </row>
        <row r="1175">
          <cell r="B1175" t="b">
            <v>1</v>
          </cell>
          <cell r="E1175" t="str">
            <v>Esperanza</v>
          </cell>
          <cell r="H1175" t="str">
            <v>urgencia</v>
          </cell>
          <cell r="J1175" t="str">
            <v>bueno</v>
          </cell>
          <cell r="K1175" t="str">
            <v>defsi</v>
          </cell>
        </row>
        <row r="1176">
          <cell r="B1176" t="b">
            <v>1</v>
          </cell>
          <cell r="E1176" t="str">
            <v>Esperanza</v>
          </cell>
          <cell r="H1176" t="str">
            <v>electros</v>
          </cell>
          <cell r="J1176" t="str">
            <v>bueno</v>
          </cell>
          <cell r="K1176" t="str">
            <v>defsi</v>
          </cell>
        </row>
        <row r="1177">
          <cell r="B1177" t="b">
            <v>1</v>
          </cell>
          <cell r="E1177" t="str">
            <v>Esperanza</v>
          </cell>
          <cell r="H1177" t="str">
            <v>consulta_externa</v>
          </cell>
          <cell r="J1177" t="str">
            <v>bueno</v>
          </cell>
          <cell r="K1177" t="str">
            <v>defsi</v>
          </cell>
        </row>
        <row r="1178">
          <cell r="B1178" t="b">
            <v>1</v>
          </cell>
          <cell r="E1178" t="str">
            <v>Esperanza</v>
          </cell>
          <cell r="H1178" t="str">
            <v>salud_oral</v>
          </cell>
          <cell r="J1178" t="str">
            <v>bueno</v>
          </cell>
          <cell r="K1178" t="str">
            <v>defsi</v>
          </cell>
        </row>
        <row r="1179">
          <cell r="B1179" t="b">
            <v>1</v>
          </cell>
          <cell r="E1179" t="str">
            <v>Esperanza</v>
          </cell>
          <cell r="H1179" t="str">
            <v>laboratorio</v>
          </cell>
          <cell r="J1179" t="str">
            <v>bueno</v>
          </cell>
          <cell r="K1179" t="str">
            <v>defsi</v>
          </cell>
        </row>
        <row r="1180">
          <cell r="B1180" t="b">
            <v>1</v>
          </cell>
          <cell r="E1180" t="str">
            <v>Esperanza</v>
          </cell>
          <cell r="H1180" t="str">
            <v>urgencia</v>
          </cell>
          <cell r="J1180" t="str">
            <v>bueno</v>
          </cell>
          <cell r="K1180" t="str">
            <v>defsi</v>
          </cell>
        </row>
        <row r="1181">
          <cell r="B1181" t="b">
            <v>1</v>
          </cell>
          <cell r="E1181" t="str">
            <v>Esperanza</v>
          </cell>
          <cell r="H1181" t="str">
            <v>electros</v>
          </cell>
          <cell r="J1181" t="str">
            <v>bueno</v>
          </cell>
          <cell r="K1181" t="str">
            <v>defsi</v>
          </cell>
        </row>
        <row r="1182">
          <cell r="B1182" t="b">
            <v>1</v>
          </cell>
          <cell r="E1182" t="str">
            <v>Socorro</v>
          </cell>
          <cell r="H1182" t="str">
            <v>consulta_externa</v>
          </cell>
          <cell r="J1182" t="str">
            <v>bueno</v>
          </cell>
          <cell r="K1182" t="str">
            <v>defsi</v>
          </cell>
        </row>
        <row r="1183">
          <cell r="B1183" t="b">
            <v>1</v>
          </cell>
          <cell r="E1183" t="str">
            <v>Socorro</v>
          </cell>
          <cell r="H1183" t="str">
            <v>laboratorio</v>
          </cell>
          <cell r="J1183" t="str">
            <v>bueno</v>
          </cell>
          <cell r="K1183" t="str">
            <v>defsi</v>
          </cell>
        </row>
        <row r="1184">
          <cell r="B1184" t="b">
            <v>1</v>
          </cell>
          <cell r="E1184" t="str">
            <v>Socorro</v>
          </cell>
          <cell r="H1184" t="str">
            <v>laboratorio</v>
          </cell>
          <cell r="J1184" t="str">
            <v>bueno</v>
          </cell>
          <cell r="K1184" t="str">
            <v>defsi</v>
          </cell>
        </row>
        <row r="1185">
          <cell r="B1185" t="b">
            <v>1</v>
          </cell>
          <cell r="E1185" t="str">
            <v>Socorro</v>
          </cell>
          <cell r="H1185" t="str">
            <v>consulta_externa</v>
          </cell>
          <cell r="J1185" t="str">
            <v>bueno</v>
          </cell>
          <cell r="K1185" t="str">
            <v>defsi</v>
          </cell>
        </row>
        <row r="1186">
          <cell r="B1186" t="b">
            <v>1</v>
          </cell>
          <cell r="E1186" t="str">
            <v>Socorro</v>
          </cell>
          <cell r="H1186" t="str">
            <v>consulta_externa</v>
          </cell>
          <cell r="J1186" t="str">
            <v>bueno</v>
          </cell>
          <cell r="K1186" t="str">
            <v>defsi</v>
          </cell>
        </row>
        <row r="1187">
          <cell r="B1187" t="b">
            <v>0</v>
          </cell>
          <cell r="E1187" t="str">
            <v>Socorro</v>
          </cell>
          <cell r="H1187" t="str">
            <v>consulta_externa</v>
          </cell>
          <cell r="J1187" t="str">
            <v>regular</v>
          </cell>
          <cell r="K1187" t="str">
            <v>defsi</v>
          </cell>
        </row>
        <row r="1188">
          <cell r="B1188" t="b">
            <v>1</v>
          </cell>
          <cell r="E1188" t="str">
            <v>Socorro</v>
          </cell>
          <cell r="H1188" t="str">
            <v>laboratorio</v>
          </cell>
          <cell r="J1188" t="str">
            <v>bueno</v>
          </cell>
          <cell r="K1188" t="str">
            <v>defsi</v>
          </cell>
        </row>
        <row r="1189">
          <cell r="B1189" t="b">
            <v>1</v>
          </cell>
          <cell r="E1189" t="str">
            <v>Socorro</v>
          </cell>
          <cell r="H1189" t="str">
            <v>laboratorio</v>
          </cell>
          <cell r="J1189" t="str">
            <v>bueno</v>
          </cell>
          <cell r="K1189" t="str">
            <v>defsi</v>
          </cell>
        </row>
        <row r="1190">
          <cell r="B1190" t="b">
            <v>1</v>
          </cell>
          <cell r="E1190" t="str">
            <v>Socorro</v>
          </cell>
          <cell r="H1190" t="str">
            <v>laboratorio</v>
          </cell>
          <cell r="J1190" t="str">
            <v>bueno</v>
          </cell>
          <cell r="K1190" t="str">
            <v>defsi</v>
          </cell>
        </row>
        <row r="1191">
          <cell r="B1191" t="b">
            <v>1</v>
          </cell>
          <cell r="E1191" t="str">
            <v>Socorro</v>
          </cell>
          <cell r="H1191" t="str">
            <v>ecografias</v>
          </cell>
          <cell r="J1191" t="str">
            <v>bueno</v>
          </cell>
          <cell r="K1191" t="str">
            <v>defsi</v>
          </cell>
        </row>
        <row r="1192">
          <cell r="B1192" t="b">
            <v>1</v>
          </cell>
          <cell r="E1192" t="str">
            <v>Socorro</v>
          </cell>
          <cell r="H1192" t="str">
            <v>ecografias</v>
          </cell>
          <cell r="J1192" t="str">
            <v>bueno</v>
          </cell>
          <cell r="K1192" t="str">
            <v>defsi</v>
          </cell>
        </row>
        <row r="1193">
          <cell r="B1193" t="b">
            <v>1</v>
          </cell>
          <cell r="E1193" t="str">
            <v>Socorro</v>
          </cell>
          <cell r="H1193" t="str">
            <v>ecografias</v>
          </cell>
          <cell r="J1193" t="str">
            <v>bueno</v>
          </cell>
          <cell r="K1193" t="str">
            <v>probsi</v>
          </cell>
        </row>
        <row r="1194">
          <cell r="B1194" t="b">
            <v>1</v>
          </cell>
          <cell r="E1194" t="str">
            <v>Socorro</v>
          </cell>
          <cell r="H1194" t="str">
            <v>ecografias</v>
          </cell>
          <cell r="J1194" t="str">
            <v>bueno</v>
          </cell>
          <cell r="K1194" t="str">
            <v>defsi</v>
          </cell>
        </row>
        <row r="1195">
          <cell r="B1195" t="b">
            <v>0</v>
          </cell>
          <cell r="E1195" t="str">
            <v>Socorro</v>
          </cell>
          <cell r="H1195" t="str">
            <v>ecografias</v>
          </cell>
          <cell r="J1195" t="str">
            <v>regular</v>
          </cell>
          <cell r="K1195" t="str">
            <v>defsi</v>
          </cell>
        </row>
        <row r="1196">
          <cell r="B1196" t="b">
            <v>1</v>
          </cell>
          <cell r="E1196" t="str">
            <v>Socorro</v>
          </cell>
          <cell r="H1196" t="str">
            <v>salud_oral</v>
          </cell>
          <cell r="J1196" t="str">
            <v>bueno</v>
          </cell>
          <cell r="K1196" t="str">
            <v>defsi</v>
          </cell>
        </row>
        <row r="1197">
          <cell r="B1197" t="b">
            <v>1</v>
          </cell>
          <cell r="E1197" t="str">
            <v>Socorro</v>
          </cell>
          <cell r="H1197" t="str">
            <v>salud_oral</v>
          </cell>
          <cell r="J1197" t="str">
            <v>bueno</v>
          </cell>
          <cell r="K1197" t="str">
            <v>defsi</v>
          </cell>
        </row>
        <row r="1198">
          <cell r="B1198" t="b">
            <v>0</v>
          </cell>
          <cell r="E1198" t="str">
            <v>Socorro</v>
          </cell>
          <cell r="H1198" t="str">
            <v>salud_oral</v>
          </cell>
          <cell r="J1198" t="str">
            <v>regular</v>
          </cell>
          <cell r="K1198" t="str">
            <v>defsi</v>
          </cell>
        </row>
        <row r="1199">
          <cell r="B1199" t="b">
            <v>1</v>
          </cell>
          <cell r="E1199" t="str">
            <v>Socorro</v>
          </cell>
          <cell r="H1199" t="str">
            <v>salud_oral</v>
          </cell>
          <cell r="J1199" t="str">
            <v>bueno</v>
          </cell>
          <cell r="K1199" t="str">
            <v>defsi</v>
          </cell>
        </row>
        <row r="1200">
          <cell r="B1200" t="b">
            <v>1</v>
          </cell>
          <cell r="E1200" t="str">
            <v>Socorro</v>
          </cell>
          <cell r="H1200" t="str">
            <v>salud_oral</v>
          </cell>
          <cell r="J1200" t="str">
            <v>bueno</v>
          </cell>
          <cell r="K1200" t="str">
            <v>defsi</v>
          </cell>
        </row>
        <row r="1201">
          <cell r="B1201" t="b">
            <v>1</v>
          </cell>
          <cell r="E1201" t="str">
            <v>Socorro</v>
          </cell>
          <cell r="H1201" t="str">
            <v>salud_oral</v>
          </cell>
          <cell r="J1201" t="str">
            <v>bueno</v>
          </cell>
          <cell r="K1201" t="str">
            <v>defsi</v>
          </cell>
        </row>
        <row r="1202">
          <cell r="B1202" t="b">
            <v>1</v>
          </cell>
          <cell r="E1202" t="str">
            <v>Islote de San Bernardo</v>
          </cell>
          <cell r="H1202" t="str">
            <v>consulta_externa</v>
          </cell>
          <cell r="J1202" t="str">
            <v>muybueno</v>
          </cell>
          <cell r="K1202" t="str">
            <v>defsi</v>
          </cell>
        </row>
        <row r="1203">
          <cell r="B1203" t="b">
            <v>1</v>
          </cell>
          <cell r="E1203" t="str">
            <v>Islote de San Bernardo</v>
          </cell>
          <cell r="H1203" t="str">
            <v>laboratorio</v>
          </cell>
          <cell r="J1203" t="str">
            <v>muybueno</v>
          </cell>
          <cell r="K1203" t="str">
            <v>defsi</v>
          </cell>
        </row>
        <row r="1204">
          <cell r="B1204" t="b">
            <v>1</v>
          </cell>
          <cell r="E1204" t="str">
            <v>Bocachica</v>
          </cell>
          <cell r="H1204" t="str">
            <v>urgencia</v>
          </cell>
          <cell r="J1204" t="str">
            <v>bueno</v>
          </cell>
          <cell r="K1204" t="str">
            <v>defsi</v>
          </cell>
        </row>
        <row r="1205">
          <cell r="B1205" t="b">
            <v>1</v>
          </cell>
          <cell r="E1205" t="str">
            <v>Islote de San Bernardo</v>
          </cell>
          <cell r="H1205" t="str">
            <v>salud_oral</v>
          </cell>
          <cell r="J1205" t="str">
            <v>muybueno</v>
          </cell>
          <cell r="K1205" t="str">
            <v>defsi</v>
          </cell>
        </row>
        <row r="1206">
          <cell r="B1206" t="b">
            <v>1</v>
          </cell>
          <cell r="E1206" t="str">
            <v>Islote de San Bernardo</v>
          </cell>
          <cell r="H1206" t="str">
            <v>consulta_externa</v>
          </cell>
          <cell r="J1206" t="str">
            <v>muybueno</v>
          </cell>
          <cell r="K1206" t="str">
            <v>defsi</v>
          </cell>
        </row>
        <row r="1207">
          <cell r="B1207" t="b">
            <v>1</v>
          </cell>
          <cell r="E1207" t="str">
            <v>Bocachica</v>
          </cell>
          <cell r="H1207" t="str">
            <v>consulta_externa</v>
          </cell>
          <cell r="J1207" t="str">
            <v>bueno</v>
          </cell>
          <cell r="K1207" t="str">
            <v>defsi</v>
          </cell>
        </row>
        <row r="1208">
          <cell r="B1208" t="b">
            <v>1</v>
          </cell>
          <cell r="E1208" t="str">
            <v>Bocachica</v>
          </cell>
          <cell r="H1208" t="str">
            <v>consulta_externa</v>
          </cell>
          <cell r="J1208" t="str">
            <v>bueno</v>
          </cell>
          <cell r="K1208" t="str">
            <v>defsi</v>
          </cell>
        </row>
        <row r="1209">
          <cell r="B1209" t="b">
            <v>1</v>
          </cell>
          <cell r="E1209" t="str">
            <v>Bocachica</v>
          </cell>
          <cell r="H1209" t="str">
            <v>urgencia</v>
          </cell>
          <cell r="J1209" t="str">
            <v>bueno</v>
          </cell>
          <cell r="K1209" t="str">
            <v>probsi</v>
          </cell>
        </row>
        <row r="1210">
          <cell r="B1210" t="b">
            <v>1</v>
          </cell>
          <cell r="E1210" t="str">
            <v>Islote de San Bernardo</v>
          </cell>
          <cell r="H1210" t="str">
            <v>consulta_externa</v>
          </cell>
          <cell r="J1210" t="str">
            <v>muybueno</v>
          </cell>
          <cell r="K1210" t="str">
            <v>defsi</v>
          </cell>
        </row>
        <row r="1211">
          <cell r="B1211" t="b">
            <v>1</v>
          </cell>
          <cell r="E1211" t="str">
            <v>Islote de San Bernardo</v>
          </cell>
          <cell r="H1211" t="str">
            <v>laboratorio</v>
          </cell>
          <cell r="J1211" t="str">
            <v>muybueno</v>
          </cell>
          <cell r="K1211" t="str">
            <v>defsi</v>
          </cell>
        </row>
        <row r="1212">
          <cell r="B1212" t="b">
            <v>1</v>
          </cell>
          <cell r="E1212" t="str">
            <v>Islote de San Bernardo</v>
          </cell>
          <cell r="H1212" t="str">
            <v>laboratorio</v>
          </cell>
          <cell r="J1212" t="str">
            <v>muybueno</v>
          </cell>
          <cell r="K1212" t="str">
            <v>defsi</v>
          </cell>
        </row>
        <row r="1213">
          <cell r="B1213" t="b">
            <v>1</v>
          </cell>
          <cell r="E1213" t="str">
            <v>Bocachica</v>
          </cell>
          <cell r="H1213" t="str">
            <v>consulta_externa</v>
          </cell>
          <cell r="J1213" t="str">
            <v>bueno</v>
          </cell>
          <cell r="K1213" t="str">
            <v>defsi</v>
          </cell>
        </row>
        <row r="1214">
          <cell r="B1214" t="b">
            <v>1</v>
          </cell>
          <cell r="E1214" t="str">
            <v>Bocachica</v>
          </cell>
          <cell r="H1214" t="str">
            <v>laboratorio</v>
          </cell>
          <cell r="J1214" t="str">
            <v>bueno</v>
          </cell>
          <cell r="K1214" t="str">
            <v>probsi</v>
          </cell>
        </row>
        <row r="1215">
          <cell r="B1215" t="b">
            <v>1</v>
          </cell>
          <cell r="E1215" t="str">
            <v>Bocachica</v>
          </cell>
          <cell r="H1215" t="str">
            <v>consulta_externa</v>
          </cell>
          <cell r="J1215" t="str">
            <v>bueno</v>
          </cell>
          <cell r="K1215" t="str">
            <v>probsi</v>
          </cell>
        </row>
        <row r="1216">
          <cell r="B1216" t="b">
            <v>1</v>
          </cell>
          <cell r="E1216" t="str">
            <v>Punta Canoa</v>
          </cell>
          <cell r="H1216" t="str">
            <v>consulta_externa</v>
          </cell>
          <cell r="J1216" t="str">
            <v>bueno</v>
          </cell>
          <cell r="K1216" t="str">
            <v>probsi</v>
          </cell>
        </row>
        <row r="1217">
          <cell r="B1217" t="b">
            <v>1</v>
          </cell>
          <cell r="E1217" t="str">
            <v>Punta Canoa</v>
          </cell>
          <cell r="H1217" t="str">
            <v>consulta_externa</v>
          </cell>
          <cell r="J1217" t="str">
            <v>bueno</v>
          </cell>
          <cell r="K1217" t="str">
            <v>probsi</v>
          </cell>
        </row>
        <row r="1218">
          <cell r="B1218" t="b">
            <v>1</v>
          </cell>
          <cell r="E1218" t="str">
            <v>Punta Canoa</v>
          </cell>
          <cell r="H1218" t="str">
            <v>consulta_externa</v>
          </cell>
          <cell r="J1218" t="str">
            <v>bueno</v>
          </cell>
          <cell r="K1218" t="str">
            <v>probsi</v>
          </cell>
        </row>
        <row r="1219">
          <cell r="B1219" t="b">
            <v>1</v>
          </cell>
          <cell r="E1219" t="str">
            <v>Punta Canoa</v>
          </cell>
          <cell r="H1219" t="str">
            <v>consulta_externa</v>
          </cell>
          <cell r="J1219" t="str">
            <v>bueno</v>
          </cell>
          <cell r="K1219" t="str">
            <v>probsi</v>
          </cell>
        </row>
        <row r="1220">
          <cell r="B1220" t="b">
            <v>1</v>
          </cell>
          <cell r="E1220" t="str">
            <v>Punta Canoa</v>
          </cell>
          <cell r="H1220" t="str">
            <v>consulta_externa</v>
          </cell>
          <cell r="J1220" t="str">
            <v>bueno</v>
          </cell>
          <cell r="K1220" t="str">
            <v>probsi</v>
          </cell>
        </row>
        <row r="1221">
          <cell r="B1221" t="b">
            <v>1</v>
          </cell>
          <cell r="E1221" t="str">
            <v>Punta Canoa</v>
          </cell>
          <cell r="H1221" t="str">
            <v>salud_oral</v>
          </cell>
          <cell r="J1221" t="str">
            <v>bueno</v>
          </cell>
          <cell r="K1221" t="str">
            <v>probsi</v>
          </cell>
        </row>
        <row r="1222">
          <cell r="B1222" t="b">
            <v>1</v>
          </cell>
          <cell r="E1222" t="str">
            <v>Islote de San Bernardo</v>
          </cell>
          <cell r="H1222" t="str">
            <v>consulta_externa</v>
          </cell>
          <cell r="J1222" t="str">
            <v>muybueno</v>
          </cell>
          <cell r="K1222" t="str">
            <v>defsi</v>
          </cell>
        </row>
        <row r="1223">
          <cell r="B1223" t="b">
            <v>1</v>
          </cell>
          <cell r="E1223" t="str">
            <v>Bocachica</v>
          </cell>
          <cell r="H1223" t="str">
            <v>consulta_externa</v>
          </cell>
          <cell r="J1223" t="str">
            <v>bueno</v>
          </cell>
          <cell r="K1223" t="str">
            <v>defsi</v>
          </cell>
        </row>
        <row r="1224">
          <cell r="B1224" t="b">
            <v>1</v>
          </cell>
          <cell r="E1224" t="str">
            <v>Punta Canoa</v>
          </cell>
          <cell r="H1224" t="str">
            <v>salud_oral</v>
          </cell>
          <cell r="J1224" t="str">
            <v>bueno</v>
          </cell>
          <cell r="K1224" t="str">
            <v>probsi</v>
          </cell>
        </row>
        <row r="1225">
          <cell r="B1225" t="b">
            <v>1</v>
          </cell>
          <cell r="E1225" t="str">
            <v>Punta Canoa</v>
          </cell>
          <cell r="H1225" t="str">
            <v>salud_oral</v>
          </cell>
          <cell r="J1225" t="str">
            <v>bueno</v>
          </cell>
          <cell r="K1225" t="str">
            <v>probsi</v>
          </cell>
        </row>
        <row r="1226">
          <cell r="B1226" t="b">
            <v>1</v>
          </cell>
          <cell r="E1226" t="str">
            <v>Punta Canoa</v>
          </cell>
          <cell r="H1226" t="str">
            <v>salud_oral</v>
          </cell>
          <cell r="J1226" t="str">
            <v>bueno</v>
          </cell>
          <cell r="K1226" t="str">
            <v>probsi</v>
          </cell>
        </row>
        <row r="1227">
          <cell r="B1227" t="b">
            <v>1</v>
          </cell>
          <cell r="E1227" t="str">
            <v>Islote de San Bernardo</v>
          </cell>
          <cell r="H1227" t="str">
            <v>laboratorio</v>
          </cell>
          <cell r="J1227" t="str">
            <v>muybueno</v>
          </cell>
          <cell r="K1227" t="str">
            <v>defsi</v>
          </cell>
        </row>
        <row r="1228">
          <cell r="B1228" t="b">
            <v>1</v>
          </cell>
          <cell r="E1228" t="str">
            <v>Punta Canoa</v>
          </cell>
          <cell r="H1228" t="str">
            <v>salud_oral</v>
          </cell>
          <cell r="J1228" t="str">
            <v>bueno</v>
          </cell>
          <cell r="K1228" t="str">
            <v>probsi</v>
          </cell>
        </row>
        <row r="1229">
          <cell r="B1229" t="b">
            <v>1</v>
          </cell>
          <cell r="E1229" t="str">
            <v>Punta Canoa</v>
          </cell>
          <cell r="H1229" t="str">
            <v>salud_oral</v>
          </cell>
          <cell r="J1229" t="str">
            <v>bueno</v>
          </cell>
          <cell r="K1229" t="str">
            <v>probsi</v>
          </cell>
        </row>
        <row r="1230">
          <cell r="B1230" t="b">
            <v>1</v>
          </cell>
          <cell r="E1230" t="str">
            <v>Punta Canoa</v>
          </cell>
          <cell r="H1230" t="str">
            <v>salud_oral</v>
          </cell>
          <cell r="J1230" t="str">
            <v>bueno</v>
          </cell>
          <cell r="K1230" t="str">
            <v>probsi</v>
          </cell>
        </row>
        <row r="1231">
          <cell r="B1231" t="b">
            <v>1</v>
          </cell>
          <cell r="E1231" t="str">
            <v>Bocachica</v>
          </cell>
          <cell r="H1231" t="str">
            <v>laboratorio</v>
          </cell>
          <cell r="J1231" t="str">
            <v>bueno</v>
          </cell>
          <cell r="K1231" t="str">
            <v>defsi</v>
          </cell>
        </row>
        <row r="1232">
          <cell r="B1232" t="b">
            <v>1</v>
          </cell>
          <cell r="E1232" t="str">
            <v>Punta Canoa</v>
          </cell>
          <cell r="H1232" t="str">
            <v>laboratorio</v>
          </cell>
          <cell r="J1232" t="str">
            <v>bueno</v>
          </cell>
          <cell r="K1232" t="str">
            <v>probsi</v>
          </cell>
        </row>
        <row r="1233">
          <cell r="B1233" t="b">
            <v>1</v>
          </cell>
          <cell r="E1233" t="str">
            <v>Punta Canoa</v>
          </cell>
          <cell r="H1233" t="str">
            <v>laboratorio</v>
          </cell>
          <cell r="J1233" t="str">
            <v>bueno</v>
          </cell>
          <cell r="K1233" t="str">
            <v>probsi</v>
          </cell>
        </row>
        <row r="1234">
          <cell r="B1234" t="b">
            <v>1</v>
          </cell>
          <cell r="E1234" t="str">
            <v>Punta Canoa</v>
          </cell>
          <cell r="H1234" t="str">
            <v>laboratorio</v>
          </cell>
          <cell r="J1234" t="str">
            <v>bueno</v>
          </cell>
          <cell r="K1234" t="str">
            <v>probsi</v>
          </cell>
        </row>
        <row r="1235">
          <cell r="B1235" t="b">
            <v>1</v>
          </cell>
          <cell r="E1235" t="str">
            <v>Punta Canoa</v>
          </cell>
          <cell r="H1235" t="str">
            <v>laboratorio</v>
          </cell>
          <cell r="J1235" t="str">
            <v>bueno</v>
          </cell>
          <cell r="K1235" t="str">
            <v>probsi</v>
          </cell>
        </row>
        <row r="1236">
          <cell r="B1236" t="b">
            <v>1</v>
          </cell>
          <cell r="E1236" t="str">
            <v>Punta Canoa</v>
          </cell>
          <cell r="H1236" t="str">
            <v>laboratorio</v>
          </cell>
          <cell r="J1236" t="str">
            <v>bueno</v>
          </cell>
          <cell r="K1236" t="str">
            <v>probsi</v>
          </cell>
        </row>
        <row r="1237">
          <cell r="B1237" t="b">
            <v>1</v>
          </cell>
          <cell r="E1237" t="str">
            <v>Punta Canoa</v>
          </cell>
          <cell r="H1237" t="str">
            <v>laboratorio</v>
          </cell>
          <cell r="J1237" t="str">
            <v>bueno</v>
          </cell>
          <cell r="K1237" t="str">
            <v>probsi</v>
          </cell>
        </row>
        <row r="1238">
          <cell r="B1238" t="b">
            <v>1</v>
          </cell>
          <cell r="E1238" t="str">
            <v>Bocachica</v>
          </cell>
          <cell r="H1238" t="str">
            <v>salud_oral</v>
          </cell>
          <cell r="J1238" t="str">
            <v>bueno</v>
          </cell>
          <cell r="K1238" t="str">
            <v>defsi</v>
          </cell>
        </row>
        <row r="1239">
          <cell r="B1239" t="b">
            <v>1</v>
          </cell>
          <cell r="E1239" t="str">
            <v>Socorro</v>
          </cell>
          <cell r="H1239" t="str">
            <v>consulta_externa</v>
          </cell>
          <cell r="J1239" t="str">
            <v>bueno</v>
          </cell>
          <cell r="K1239" t="str">
            <v>defsi</v>
          </cell>
        </row>
        <row r="1240">
          <cell r="B1240" t="b">
            <v>1</v>
          </cell>
          <cell r="E1240" t="str">
            <v>Bocachica</v>
          </cell>
          <cell r="H1240" t="str">
            <v>laboratorio</v>
          </cell>
          <cell r="J1240" t="str">
            <v>bueno</v>
          </cell>
          <cell r="K1240" t="str">
            <v>defsi</v>
          </cell>
        </row>
        <row r="1241">
          <cell r="B1241" t="b">
            <v>1</v>
          </cell>
          <cell r="E1241" t="str">
            <v>Bocachica</v>
          </cell>
          <cell r="H1241" t="str">
            <v>consulta_externa</v>
          </cell>
          <cell r="J1241" t="str">
            <v>bueno</v>
          </cell>
          <cell r="K1241" t="str">
            <v>defsi</v>
          </cell>
        </row>
        <row r="1242">
          <cell r="B1242" t="b">
            <v>1</v>
          </cell>
          <cell r="E1242" t="str">
            <v>Socorro</v>
          </cell>
          <cell r="H1242" t="str">
            <v>laboratorio</v>
          </cell>
          <cell r="J1242" t="str">
            <v>bueno</v>
          </cell>
          <cell r="K1242" t="str">
            <v>defsi</v>
          </cell>
        </row>
        <row r="1243">
          <cell r="B1243" t="b">
            <v>1</v>
          </cell>
          <cell r="E1243" t="str">
            <v>Socorro</v>
          </cell>
          <cell r="H1243" t="str">
            <v>laboratorio</v>
          </cell>
          <cell r="J1243" t="str">
            <v>bueno</v>
          </cell>
          <cell r="K1243" t="str">
            <v>defsi</v>
          </cell>
        </row>
        <row r="1244">
          <cell r="B1244" t="b">
            <v>1</v>
          </cell>
          <cell r="E1244" t="str">
            <v>Islote de San Bernardo</v>
          </cell>
          <cell r="H1244" t="str">
            <v>consulta_externa</v>
          </cell>
          <cell r="J1244" t="str">
            <v>muybueno</v>
          </cell>
          <cell r="K1244" t="str">
            <v>defsi</v>
          </cell>
        </row>
        <row r="1245">
          <cell r="B1245" t="b">
            <v>1</v>
          </cell>
          <cell r="E1245" t="str">
            <v>Islote de San Bernardo</v>
          </cell>
          <cell r="H1245" t="str">
            <v>laboratorio</v>
          </cell>
          <cell r="J1245" t="str">
            <v>muybueno</v>
          </cell>
          <cell r="K1245" t="str">
            <v>defsi</v>
          </cell>
        </row>
        <row r="1246">
          <cell r="B1246" t="b">
            <v>1</v>
          </cell>
          <cell r="E1246" t="str">
            <v>Islote de San Bernardo</v>
          </cell>
          <cell r="H1246" t="str">
            <v>salud_oral</v>
          </cell>
          <cell r="J1246" t="str">
            <v>muybueno</v>
          </cell>
          <cell r="K1246" t="str">
            <v>defsi</v>
          </cell>
        </row>
        <row r="1247">
          <cell r="B1247" t="b">
            <v>1</v>
          </cell>
          <cell r="E1247" t="str">
            <v>Bocachica</v>
          </cell>
          <cell r="H1247" t="str">
            <v>consulta_externa</v>
          </cell>
          <cell r="J1247" t="str">
            <v>bueno</v>
          </cell>
          <cell r="K1247" t="str">
            <v>defsi</v>
          </cell>
        </row>
        <row r="1248">
          <cell r="B1248" t="b">
            <v>1</v>
          </cell>
          <cell r="E1248" t="str">
            <v>Islote de San Bernardo</v>
          </cell>
          <cell r="H1248" t="str">
            <v>laboratorio</v>
          </cell>
          <cell r="J1248" t="str">
            <v>muybueno</v>
          </cell>
          <cell r="K1248" t="str">
            <v>defsi</v>
          </cell>
        </row>
        <row r="1249">
          <cell r="B1249" t="b">
            <v>1</v>
          </cell>
          <cell r="E1249" t="str">
            <v>Bocachica</v>
          </cell>
          <cell r="H1249" t="str">
            <v>salud_oral</v>
          </cell>
          <cell r="J1249" t="str">
            <v>bueno</v>
          </cell>
          <cell r="K1249" t="str">
            <v>defsi</v>
          </cell>
        </row>
        <row r="1250">
          <cell r="B1250" t="b">
            <v>1</v>
          </cell>
          <cell r="E1250" t="str">
            <v>Islote de San Bernardo</v>
          </cell>
          <cell r="H1250" t="str">
            <v>consulta_externa</v>
          </cell>
          <cell r="J1250" t="str">
            <v>muybueno</v>
          </cell>
          <cell r="K1250" t="str">
            <v>defsi</v>
          </cell>
        </row>
        <row r="1251">
          <cell r="B1251" t="b">
            <v>1</v>
          </cell>
          <cell r="E1251" t="str">
            <v>Islote de San Bernardo</v>
          </cell>
          <cell r="H1251" t="str">
            <v>laboratorio</v>
          </cell>
          <cell r="J1251" t="str">
            <v>muybueno</v>
          </cell>
          <cell r="K1251" t="str">
            <v>defsi</v>
          </cell>
        </row>
        <row r="1252">
          <cell r="B1252" t="b">
            <v>1</v>
          </cell>
          <cell r="E1252" t="str">
            <v>Socorro</v>
          </cell>
          <cell r="H1252" t="str">
            <v>consulta_externa</v>
          </cell>
          <cell r="J1252" t="str">
            <v>bueno</v>
          </cell>
          <cell r="K1252" t="str">
            <v>defsi</v>
          </cell>
        </row>
        <row r="1253">
          <cell r="B1253" t="b">
            <v>1</v>
          </cell>
          <cell r="E1253" t="str">
            <v>Socorro</v>
          </cell>
          <cell r="H1253" t="str">
            <v>consulta_externa</v>
          </cell>
          <cell r="J1253" t="str">
            <v>bueno</v>
          </cell>
          <cell r="K1253" t="str">
            <v>defsi</v>
          </cell>
        </row>
        <row r="1254">
          <cell r="B1254" t="b">
            <v>1</v>
          </cell>
          <cell r="E1254" t="str">
            <v>Socorro</v>
          </cell>
          <cell r="H1254" t="str">
            <v>laboratorio</v>
          </cell>
          <cell r="J1254" t="str">
            <v>muybueno</v>
          </cell>
          <cell r="K1254" t="str">
            <v>defsi</v>
          </cell>
        </row>
        <row r="1255">
          <cell r="B1255" t="b">
            <v>1</v>
          </cell>
          <cell r="E1255" t="str">
            <v>Socorro</v>
          </cell>
          <cell r="H1255" t="str">
            <v>laboratorio</v>
          </cell>
          <cell r="J1255" t="str">
            <v>bueno</v>
          </cell>
          <cell r="K1255" t="str">
            <v>defsi</v>
          </cell>
        </row>
        <row r="1256">
          <cell r="B1256" t="b">
            <v>1</v>
          </cell>
          <cell r="E1256" t="str">
            <v>Socorro</v>
          </cell>
          <cell r="H1256" t="str">
            <v>consulta_externa</v>
          </cell>
          <cell r="J1256" t="str">
            <v>bueno</v>
          </cell>
          <cell r="K1256" t="str">
            <v>defsi</v>
          </cell>
        </row>
        <row r="1257">
          <cell r="B1257" t="b">
            <v>1</v>
          </cell>
          <cell r="E1257" t="str">
            <v>Socorro</v>
          </cell>
          <cell r="H1257" t="str">
            <v>laboratorio</v>
          </cell>
          <cell r="J1257" t="str">
            <v>bueno</v>
          </cell>
          <cell r="K1257" t="str">
            <v>defsi</v>
          </cell>
        </row>
        <row r="1258">
          <cell r="B1258" t="b">
            <v>1</v>
          </cell>
          <cell r="E1258" t="str">
            <v>Socorro</v>
          </cell>
          <cell r="H1258" t="str">
            <v>laboratorio</v>
          </cell>
          <cell r="J1258" t="str">
            <v>bueno</v>
          </cell>
          <cell r="K1258" t="str">
            <v>defsi</v>
          </cell>
        </row>
        <row r="1259">
          <cell r="B1259" t="b">
            <v>1</v>
          </cell>
          <cell r="E1259" t="str">
            <v>Socorro</v>
          </cell>
          <cell r="H1259" t="str">
            <v>consulta_externa</v>
          </cell>
          <cell r="J1259" t="str">
            <v>bueno</v>
          </cell>
          <cell r="K1259" t="str">
            <v>defsi</v>
          </cell>
        </row>
        <row r="1260">
          <cell r="B1260" t="b">
            <v>1</v>
          </cell>
          <cell r="E1260" t="str">
            <v>Socorro</v>
          </cell>
          <cell r="H1260" t="str">
            <v>consulta_externa</v>
          </cell>
          <cell r="J1260" t="str">
            <v>bueno</v>
          </cell>
          <cell r="K1260" t="str">
            <v>defsi</v>
          </cell>
        </row>
        <row r="1261">
          <cell r="B1261" t="b">
            <v>1</v>
          </cell>
          <cell r="E1261" t="str">
            <v>Socorro</v>
          </cell>
          <cell r="H1261" t="str">
            <v>laboratorio</v>
          </cell>
          <cell r="J1261" t="str">
            <v>bueno</v>
          </cell>
          <cell r="K1261" t="str">
            <v>defsi</v>
          </cell>
        </row>
        <row r="1262">
          <cell r="B1262" t="b">
            <v>1</v>
          </cell>
          <cell r="E1262" t="str">
            <v>Bocachica</v>
          </cell>
          <cell r="H1262" t="str">
            <v>consulta_externa</v>
          </cell>
          <cell r="J1262" t="str">
            <v>bueno</v>
          </cell>
          <cell r="K1262" t="str">
            <v>defsi</v>
          </cell>
        </row>
        <row r="1263">
          <cell r="B1263" t="b">
            <v>1</v>
          </cell>
          <cell r="E1263" t="str">
            <v>Islote de San Bernardo</v>
          </cell>
          <cell r="H1263" t="str">
            <v>salud_oral</v>
          </cell>
          <cell r="J1263" t="str">
            <v>muybueno</v>
          </cell>
          <cell r="K1263" t="str">
            <v>defsi</v>
          </cell>
        </row>
        <row r="1264">
          <cell r="B1264" t="b">
            <v>1</v>
          </cell>
          <cell r="E1264" t="str">
            <v>Bocachica</v>
          </cell>
          <cell r="H1264" t="str">
            <v>urgencia</v>
          </cell>
          <cell r="J1264" t="str">
            <v>bueno</v>
          </cell>
          <cell r="K1264" t="str">
            <v>defsi</v>
          </cell>
        </row>
        <row r="1265">
          <cell r="B1265" t="b">
            <v>1</v>
          </cell>
          <cell r="E1265" t="str">
            <v>Bocachica</v>
          </cell>
          <cell r="H1265" t="str">
            <v>urgencia</v>
          </cell>
          <cell r="J1265" t="str">
            <v>bueno</v>
          </cell>
          <cell r="K1265" t="str">
            <v>defsi</v>
          </cell>
        </row>
        <row r="1266">
          <cell r="B1266" t="b">
            <v>1</v>
          </cell>
          <cell r="E1266" t="str">
            <v>Bocachica</v>
          </cell>
          <cell r="H1266" t="str">
            <v>salud_oral</v>
          </cell>
          <cell r="J1266" t="str">
            <v>bueno</v>
          </cell>
          <cell r="K1266" t="str">
            <v>defsi</v>
          </cell>
        </row>
        <row r="1267">
          <cell r="B1267" t="b">
            <v>1</v>
          </cell>
          <cell r="E1267" t="str">
            <v>Socorro</v>
          </cell>
          <cell r="H1267" t="str">
            <v>laboratorio</v>
          </cell>
          <cell r="J1267" t="str">
            <v>bueno</v>
          </cell>
          <cell r="K1267" t="str">
            <v>defsi</v>
          </cell>
        </row>
        <row r="1268">
          <cell r="B1268" t="b">
            <v>1</v>
          </cell>
          <cell r="E1268" t="str">
            <v>Socorro</v>
          </cell>
          <cell r="H1268" t="str">
            <v>laboratorio</v>
          </cell>
          <cell r="J1268" t="str">
            <v>bueno</v>
          </cell>
          <cell r="K1268" t="str">
            <v>defsi</v>
          </cell>
        </row>
        <row r="1269">
          <cell r="B1269" t="b">
            <v>1</v>
          </cell>
          <cell r="E1269" t="str">
            <v>Socorro</v>
          </cell>
          <cell r="H1269" t="str">
            <v>consulta_externa</v>
          </cell>
          <cell r="J1269" t="str">
            <v>bueno</v>
          </cell>
          <cell r="K1269" t="str">
            <v>defsi</v>
          </cell>
        </row>
        <row r="1270">
          <cell r="B1270" t="b">
            <v>1</v>
          </cell>
          <cell r="E1270" t="str">
            <v>Bocachica</v>
          </cell>
          <cell r="H1270" t="str">
            <v>urgencia</v>
          </cell>
          <cell r="J1270" t="str">
            <v>bueno</v>
          </cell>
          <cell r="K1270" t="str">
            <v>probsi</v>
          </cell>
        </row>
        <row r="1271">
          <cell r="B1271" t="b">
            <v>1</v>
          </cell>
          <cell r="E1271" t="str">
            <v>Bocachica</v>
          </cell>
          <cell r="H1271" t="str">
            <v>salud_oral</v>
          </cell>
          <cell r="J1271" t="str">
            <v>bueno</v>
          </cell>
          <cell r="K1271" t="str">
            <v>defsi</v>
          </cell>
        </row>
        <row r="1272">
          <cell r="B1272" t="b">
            <v>1</v>
          </cell>
          <cell r="E1272" t="str">
            <v>Socorro</v>
          </cell>
          <cell r="H1272" t="str">
            <v>salud_oral</v>
          </cell>
          <cell r="J1272" t="str">
            <v>bueno</v>
          </cell>
          <cell r="K1272" t="str">
            <v>defsi</v>
          </cell>
        </row>
        <row r="1273">
          <cell r="B1273" t="b">
            <v>1</v>
          </cell>
          <cell r="E1273" t="str">
            <v>Socorro</v>
          </cell>
          <cell r="H1273" t="str">
            <v>salud_oral</v>
          </cell>
          <cell r="J1273" t="str">
            <v>bueno</v>
          </cell>
          <cell r="K1273" t="str">
            <v>defsi</v>
          </cell>
        </row>
        <row r="1274">
          <cell r="B1274" t="b">
            <v>1</v>
          </cell>
          <cell r="E1274" t="str">
            <v>Socorro</v>
          </cell>
          <cell r="H1274" t="str">
            <v>salud_oral</v>
          </cell>
          <cell r="J1274" t="str">
            <v>bueno</v>
          </cell>
          <cell r="K1274" t="str">
            <v>defsi</v>
          </cell>
        </row>
        <row r="1275">
          <cell r="B1275" t="b">
            <v>1</v>
          </cell>
          <cell r="E1275" t="str">
            <v>Socorro</v>
          </cell>
          <cell r="H1275" t="str">
            <v>consulta_externa</v>
          </cell>
          <cell r="J1275" t="str">
            <v>bueno</v>
          </cell>
          <cell r="K1275" t="str">
            <v>defsi</v>
          </cell>
        </row>
        <row r="1276">
          <cell r="B1276" t="b">
            <v>1</v>
          </cell>
          <cell r="E1276" t="str">
            <v>Socorro</v>
          </cell>
          <cell r="H1276" t="str">
            <v>laboratorio</v>
          </cell>
          <cell r="J1276" t="str">
            <v>bueno</v>
          </cell>
          <cell r="K1276" t="str">
            <v>defsi</v>
          </cell>
        </row>
        <row r="1277">
          <cell r="B1277" t="b">
            <v>1</v>
          </cell>
          <cell r="E1277" t="str">
            <v>Socorro</v>
          </cell>
          <cell r="H1277" t="str">
            <v>laboratorio</v>
          </cell>
          <cell r="J1277" t="str">
            <v>bueno</v>
          </cell>
          <cell r="K1277" t="str">
            <v>defsi</v>
          </cell>
        </row>
        <row r="1278">
          <cell r="B1278" t="b">
            <v>1</v>
          </cell>
          <cell r="E1278" t="str">
            <v>Socorro</v>
          </cell>
          <cell r="H1278" t="str">
            <v>salud_oral</v>
          </cell>
          <cell r="J1278" t="str">
            <v>bueno</v>
          </cell>
          <cell r="K1278" t="str">
            <v>defsi</v>
          </cell>
        </row>
        <row r="1279">
          <cell r="B1279" t="b">
            <v>1</v>
          </cell>
          <cell r="E1279" t="str">
            <v>Socorro</v>
          </cell>
          <cell r="H1279" t="str">
            <v>salud_oral</v>
          </cell>
          <cell r="J1279" t="str">
            <v>bueno</v>
          </cell>
          <cell r="K1279" t="str">
            <v>defsi</v>
          </cell>
        </row>
        <row r="1280">
          <cell r="B1280" t="b">
            <v>1</v>
          </cell>
          <cell r="E1280" t="str">
            <v>Socorro</v>
          </cell>
          <cell r="H1280" t="str">
            <v>salud_oral</v>
          </cell>
          <cell r="J1280" t="str">
            <v>muybueno</v>
          </cell>
          <cell r="K1280" t="str">
            <v>defsi</v>
          </cell>
        </row>
        <row r="1281">
          <cell r="B1281" t="b">
            <v>0</v>
          </cell>
          <cell r="E1281" t="str">
            <v>Socorro</v>
          </cell>
          <cell r="H1281" t="str">
            <v>salud_oral</v>
          </cell>
          <cell r="J1281" t="str">
            <v>regular</v>
          </cell>
          <cell r="K1281" t="str">
            <v>defsi</v>
          </cell>
        </row>
        <row r="1282">
          <cell r="B1282" t="b">
            <v>1</v>
          </cell>
          <cell r="E1282" t="str">
            <v>Socorro</v>
          </cell>
          <cell r="H1282" t="str">
            <v>salud_oral</v>
          </cell>
          <cell r="J1282" t="str">
            <v>bueno</v>
          </cell>
          <cell r="K1282" t="str">
            <v>defsi</v>
          </cell>
        </row>
        <row r="1283">
          <cell r="B1283" t="b">
            <v>1</v>
          </cell>
          <cell r="E1283" t="str">
            <v>Bocachica</v>
          </cell>
          <cell r="H1283" t="str">
            <v>salud_oral</v>
          </cell>
          <cell r="J1283" t="str">
            <v>bueno</v>
          </cell>
          <cell r="K1283" t="str">
            <v>probsi</v>
          </cell>
        </row>
        <row r="1284">
          <cell r="B1284" t="b">
            <v>1</v>
          </cell>
          <cell r="E1284" t="str">
            <v>Ternera</v>
          </cell>
          <cell r="H1284" t="str">
            <v>consulta_externa</v>
          </cell>
          <cell r="J1284" t="str">
            <v>bueno</v>
          </cell>
          <cell r="K1284" t="str">
            <v>defsi</v>
          </cell>
        </row>
        <row r="1285">
          <cell r="B1285" t="b">
            <v>1</v>
          </cell>
          <cell r="E1285" t="str">
            <v>Ternera</v>
          </cell>
          <cell r="H1285" t="str">
            <v>salud_oral</v>
          </cell>
          <cell r="J1285" t="str">
            <v>bueno</v>
          </cell>
          <cell r="K1285" t="str">
            <v>defsi</v>
          </cell>
        </row>
        <row r="1286">
          <cell r="B1286" t="b">
            <v>1</v>
          </cell>
          <cell r="E1286" t="str">
            <v>Ternera</v>
          </cell>
          <cell r="H1286" t="str">
            <v>laboratorio</v>
          </cell>
          <cell r="J1286" t="str">
            <v>bueno</v>
          </cell>
          <cell r="K1286" t="str">
            <v>defsi</v>
          </cell>
        </row>
        <row r="1287">
          <cell r="B1287" t="b">
            <v>1</v>
          </cell>
          <cell r="E1287" t="str">
            <v>Ternera</v>
          </cell>
          <cell r="H1287" t="str">
            <v>consulta_externa</v>
          </cell>
          <cell r="J1287" t="str">
            <v>bueno</v>
          </cell>
          <cell r="K1287" t="str">
            <v>defsi</v>
          </cell>
        </row>
        <row r="1288">
          <cell r="B1288" t="b">
            <v>1</v>
          </cell>
          <cell r="E1288" t="str">
            <v>Ternera</v>
          </cell>
          <cell r="H1288" t="str">
            <v>laboratorio</v>
          </cell>
          <cell r="J1288" t="str">
            <v>bueno</v>
          </cell>
          <cell r="K1288" t="str">
            <v>defsi</v>
          </cell>
        </row>
        <row r="1289">
          <cell r="B1289" t="b">
            <v>1</v>
          </cell>
          <cell r="E1289" t="str">
            <v>Ternera</v>
          </cell>
          <cell r="H1289" t="str">
            <v>laboratorio</v>
          </cell>
          <cell r="J1289" t="str">
            <v>bueno</v>
          </cell>
          <cell r="K1289" t="str">
            <v>defsi</v>
          </cell>
        </row>
        <row r="1290">
          <cell r="B1290" t="b">
            <v>1</v>
          </cell>
          <cell r="E1290" t="str">
            <v>Ternera</v>
          </cell>
          <cell r="H1290" t="str">
            <v>consulta_externa</v>
          </cell>
          <cell r="J1290" t="str">
            <v>bueno</v>
          </cell>
          <cell r="K1290" t="str">
            <v>defsi</v>
          </cell>
        </row>
        <row r="1291">
          <cell r="B1291" t="b">
            <v>1</v>
          </cell>
          <cell r="E1291" t="str">
            <v>Ternera</v>
          </cell>
          <cell r="H1291" t="str">
            <v>consulta_externa</v>
          </cell>
          <cell r="J1291" t="str">
            <v>bueno</v>
          </cell>
          <cell r="K1291" t="str">
            <v>defsi</v>
          </cell>
        </row>
        <row r="1292">
          <cell r="B1292" t="b">
            <v>1</v>
          </cell>
          <cell r="E1292" t="str">
            <v>Ternera</v>
          </cell>
          <cell r="H1292" t="str">
            <v>laboratorio</v>
          </cell>
          <cell r="J1292" t="str">
            <v>bueno</v>
          </cell>
          <cell r="K1292" t="str">
            <v>defsi</v>
          </cell>
        </row>
        <row r="1293">
          <cell r="B1293" t="b">
            <v>1</v>
          </cell>
          <cell r="E1293" t="str">
            <v>Ternera</v>
          </cell>
          <cell r="H1293" t="str">
            <v>consulta_externa</v>
          </cell>
          <cell r="J1293" t="str">
            <v>muybueno</v>
          </cell>
          <cell r="K1293" t="str">
            <v>defsi</v>
          </cell>
        </row>
        <row r="1294">
          <cell r="B1294" t="b">
            <v>1</v>
          </cell>
          <cell r="E1294" t="str">
            <v>Ternera</v>
          </cell>
          <cell r="H1294" t="str">
            <v>laboratorio</v>
          </cell>
          <cell r="J1294" t="str">
            <v>muybueno</v>
          </cell>
          <cell r="K1294" t="str">
            <v>defsi</v>
          </cell>
        </row>
        <row r="1295">
          <cell r="B1295" t="b">
            <v>1</v>
          </cell>
          <cell r="E1295" t="str">
            <v>Bocachica</v>
          </cell>
          <cell r="H1295" t="str">
            <v>laboratorio</v>
          </cell>
          <cell r="J1295" t="str">
            <v>bueno</v>
          </cell>
          <cell r="K1295" t="str">
            <v>defsi</v>
          </cell>
        </row>
        <row r="1296">
          <cell r="B1296" t="b">
            <v>1</v>
          </cell>
          <cell r="E1296" t="str">
            <v>Bocachica</v>
          </cell>
          <cell r="H1296" t="str">
            <v>consulta_externa</v>
          </cell>
          <cell r="J1296" t="str">
            <v>bueno</v>
          </cell>
          <cell r="K1296" t="str">
            <v>defsi</v>
          </cell>
        </row>
        <row r="1297">
          <cell r="B1297" t="b">
            <v>1</v>
          </cell>
          <cell r="E1297" t="str">
            <v>Ternera</v>
          </cell>
          <cell r="H1297" t="str">
            <v>consulta_externa</v>
          </cell>
          <cell r="J1297" t="str">
            <v>bueno</v>
          </cell>
          <cell r="K1297" t="str">
            <v>defsi</v>
          </cell>
        </row>
        <row r="1298">
          <cell r="B1298" t="b">
            <v>0</v>
          </cell>
          <cell r="E1298" t="str">
            <v>Ternera</v>
          </cell>
          <cell r="H1298" t="str">
            <v>salud_oral</v>
          </cell>
          <cell r="J1298" t="str">
            <v>regular</v>
          </cell>
          <cell r="K1298" t="str">
            <v>probsi</v>
          </cell>
        </row>
        <row r="1299">
          <cell r="B1299" t="b">
            <v>1</v>
          </cell>
          <cell r="E1299" t="str">
            <v>Bocachica</v>
          </cell>
          <cell r="H1299" t="str">
            <v>consulta_externa</v>
          </cell>
          <cell r="J1299" t="str">
            <v>bueno</v>
          </cell>
          <cell r="K1299" t="str">
            <v>probsi</v>
          </cell>
        </row>
        <row r="1300">
          <cell r="B1300" t="b">
            <v>1</v>
          </cell>
          <cell r="E1300" t="str">
            <v>Bocachica</v>
          </cell>
          <cell r="H1300" t="str">
            <v>laboratorio</v>
          </cell>
          <cell r="J1300" t="str">
            <v>bueno</v>
          </cell>
          <cell r="K1300" t="str">
            <v>defsi</v>
          </cell>
        </row>
        <row r="1301">
          <cell r="B1301" t="b">
            <v>1</v>
          </cell>
          <cell r="E1301" t="str">
            <v>Ternera</v>
          </cell>
          <cell r="H1301" t="str">
            <v>consulta_externa</v>
          </cell>
          <cell r="J1301" t="str">
            <v>bueno</v>
          </cell>
          <cell r="K1301" t="str">
            <v>defsi</v>
          </cell>
        </row>
        <row r="1302">
          <cell r="B1302" t="b">
            <v>1</v>
          </cell>
          <cell r="E1302" t="str">
            <v>Ternera</v>
          </cell>
          <cell r="H1302" t="str">
            <v>salud_oral</v>
          </cell>
          <cell r="J1302" t="str">
            <v>bueno</v>
          </cell>
          <cell r="K1302" t="str">
            <v>defsi</v>
          </cell>
        </row>
        <row r="1303">
          <cell r="B1303" t="b">
            <v>1</v>
          </cell>
          <cell r="E1303" t="str">
            <v>Punta Canoa</v>
          </cell>
          <cell r="H1303" t="str">
            <v>consulta_externa</v>
          </cell>
          <cell r="J1303" t="str">
            <v>bueno</v>
          </cell>
          <cell r="K1303" t="str">
            <v>probsi</v>
          </cell>
        </row>
        <row r="1304">
          <cell r="B1304" t="b">
            <v>1</v>
          </cell>
          <cell r="E1304" t="str">
            <v>Punta Canoa</v>
          </cell>
          <cell r="H1304" t="str">
            <v>consulta_externa</v>
          </cell>
          <cell r="J1304" t="str">
            <v>bueno</v>
          </cell>
          <cell r="K1304" t="str">
            <v>probsi</v>
          </cell>
        </row>
        <row r="1305">
          <cell r="B1305" t="b">
            <v>1</v>
          </cell>
          <cell r="E1305" t="str">
            <v>Punta Canoa</v>
          </cell>
          <cell r="H1305" t="str">
            <v>consulta_externa</v>
          </cell>
          <cell r="J1305" t="str">
            <v>bueno</v>
          </cell>
          <cell r="K1305" t="str">
            <v>probsi</v>
          </cell>
        </row>
        <row r="1306">
          <cell r="B1306" t="b">
            <v>1</v>
          </cell>
          <cell r="E1306" t="str">
            <v>Punta Canoa</v>
          </cell>
          <cell r="H1306" t="str">
            <v>consulta_externa</v>
          </cell>
          <cell r="J1306" t="str">
            <v>bueno</v>
          </cell>
          <cell r="K1306" t="str">
            <v>probsi</v>
          </cell>
        </row>
        <row r="1307">
          <cell r="B1307" t="b">
            <v>1</v>
          </cell>
          <cell r="E1307" t="str">
            <v>Punta Canoa</v>
          </cell>
          <cell r="H1307" t="str">
            <v>consulta_externa</v>
          </cell>
          <cell r="J1307" t="str">
            <v>bueno</v>
          </cell>
          <cell r="K1307" t="str">
            <v>probsi</v>
          </cell>
        </row>
        <row r="1308">
          <cell r="B1308" t="b">
            <v>1</v>
          </cell>
          <cell r="E1308" t="str">
            <v>Punta Canoa</v>
          </cell>
          <cell r="H1308" t="str">
            <v>consulta_externa</v>
          </cell>
          <cell r="J1308" t="str">
            <v>bueno</v>
          </cell>
          <cell r="K1308" t="str">
            <v>probsi</v>
          </cell>
        </row>
        <row r="1309">
          <cell r="B1309" t="b">
            <v>1</v>
          </cell>
          <cell r="E1309" t="str">
            <v>Punta Canoa</v>
          </cell>
          <cell r="H1309" t="str">
            <v>consulta_externa</v>
          </cell>
          <cell r="J1309" t="str">
            <v>bueno</v>
          </cell>
          <cell r="K1309" t="str">
            <v>probsi</v>
          </cell>
        </row>
        <row r="1310">
          <cell r="B1310" t="b">
            <v>1</v>
          </cell>
          <cell r="E1310" t="str">
            <v>Punta Canoa</v>
          </cell>
          <cell r="H1310" t="str">
            <v>laboratorio</v>
          </cell>
          <cell r="J1310" t="str">
            <v>bueno</v>
          </cell>
          <cell r="K1310" t="str">
            <v>probsi</v>
          </cell>
        </row>
        <row r="1311">
          <cell r="B1311" t="b">
            <v>1</v>
          </cell>
          <cell r="E1311" t="str">
            <v>Punta Canoa</v>
          </cell>
          <cell r="H1311" t="str">
            <v>laboratorio</v>
          </cell>
          <cell r="J1311" t="str">
            <v>bueno</v>
          </cell>
          <cell r="K1311" t="str">
            <v>probsi</v>
          </cell>
        </row>
        <row r="1312">
          <cell r="B1312" t="b">
            <v>1</v>
          </cell>
          <cell r="E1312" t="str">
            <v>Punta Canoa</v>
          </cell>
          <cell r="H1312" t="str">
            <v>laboratorio</v>
          </cell>
          <cell r="J1312" t="str">
            <v>bueno</v>
          </cell>
          <cell r="K1312" t="str">
            <v>probsi</v>
          </cell>
        </row>
        <row r="1313">
          <cell r="B1313" t="b">
            <v>1</v>
          </cell>
          <cell r="E1313" t="str">
            <v>Punta Canoa</v>
          </cell>
          <cell r="H1313" t="str">
            <v>laboratorio</v>
          </cell>
          <cell r="J1313" t="str">
            <v>bueno</v>
          </cell>
          <cell r="K1313" t="str">
            <v>probsi</v>
          </cell>
        </row>
        <row r="1314">
          <cell r="B1314" t="b">
            <v>1</v>
          </cell>
          <cell r="E1314" t="str">
            <v>Punta Canoa</v>
          </cell>
          <cell r="H1314" t="str">
            <v>laboratorio</v>
          </cell>
          <cell r="J1314" t="str">
            <v>bueno</v>
          </cell>
          <cell r="K1314" t="str">
            <v>probsi</v>
          </cell>
        </row>
        <row r="1315">
          <cell r="B1315" t="b">
            <v>1</v>
          </cell>
          <cell r="E1315" t="str">
            <v>Punta Canoa</v>
          </cell>
          <cell r="H1315" t="str">
            <v>salud_oral</v>
          </cell>
          <cell r="J1315" t="str">
            <v>bueno</v>
          </cell>
          <cell r="K1315" t="str">
            <v>probsi</v>
          </cell>
        </row>
        <row r="1316">
          <cell r="B1316" t="b">
            <v>1</v>
          </cell>
          <cell r="E1316" t="str">
            <v>Punta Canoa</v>
          </cell>
          <cell r="H1316" t="str">
            <v>salud_oral</v>
          </cell>
          <cell r="J1316" t="str">
            <v>bueno</v>
          </cell>
          <cell r="K1316" t="str">
            <v>probsi</v>
          </cell>
        </row>
        <row r="1317">
          <cell r="B1317" t="b">
            <v>1</v>
          </cell>
          <cell r="E1317" t="str">
            <v>Punta Canoa</v>
          </cell>
          <cell r="H1317" t="str">
            <v>salud_oral</v>
          </cell>
          <cell r="J1317" t="str">
            <v>bueno</v>
          </cell>
          <cell r="K1317" t="str">
            <v>probsi</v>
          </cell>
        </row>
        <row r="1318">
          <cell r="B1318" t="b">
            <v>1</v>
          </cell>
          <cell r="E1318" t="str">
            <v>Punta Canoa</v>
          </cell>
          <cell r="H1318" t="str">
            <v>salud_oral</v>
          </cell>
          <cell r="J1318" t="str">
            <v>bueno</v>
          </cell>
          <cell r="K1318" t="str">
            <v>probsi</v>
          </cell>
        </row>
        <row r="1319">
          <cell r="B1319" t="b">
            <v>1</v>
          </cell>
          <cell r="E1319" t="str">
            <v>Punta Canoa</v>
          </cell>
          <cell r="H1319" t="str">
            <v>salud_oral</v>
          </cell>
          <cell r="J1319" t="str">
            <v>bueno</v>
          </cell>
          <cell r="K1319" t="str">
            <v>probsi</v>
          </cell>
        </row>
        <row r="1320">
          <cell r="B1320" t="b">
            <v>1</v>
          </cell>
          <cell r="E1320" t="str">
            <v>Ternera</v>
          </cell>
          <cell r="H1320" t="str">
            <v>salud_oral</v>
          </cell>
          <cell r="J1320" t="str">
            <v>bueno</v>
          </cell>
          <cell r="K1320" t="str">
            <v>defsi</v>
          </cell>
        </row>
        <row r="1321">
          <cell r="B1321" t="b">
            <v>1</v>
          </cell>
          <cell r="E1321" t="str">
            <v>Ternera</v>
          </cell>
          <cell r="H1321" t="str">
            <v>salud_oral</v>
          </cell>
          <cell r="J1321" t="str">
            <v>bueno</v>
          </cell>
          <cell r="K1321" t="str">
            <v>defsi</v>
          </cell>
        </row>
        <row r="1322">
          <cell r="B1322" t="b">
            <v>1</v>
          </cell>
          <cell r="E1322" t="str">
            <v>Bocachica</v>
          </cell>
          <cell r="H1322" t="str">
            <v>consulta_externa</v>
          </cell>
          <cell r="J1322" t="str">
            <v>bueno</v>
          </cell>
          <cell r="K1322" t="str">
            <v>probsi</v>
          </cell>
        </row>
        <row r="1323">
          <cell r="B1323" t="b">
            <v>1</v>
          </cell>
          <cell r="E1323" t="str">
            <v>Bocachica</v>
          </cell>
          <cell r="H1323" t="str">
            <v>urgencia</v>
          </cell>
          <cell r="J1323" t="str">
            <v>bueno</v>
          </cell>
          <cell r="K1323" t="str">
            <v>probsi</v>
          </cell>
        </row>
        <row r="1324">
          <cell r="B1324" t="b">
            <v>1</v>
          </cell>
          <cell r="E1324" t="str">
            <v>Bocachica</v>
          </cell>
          <cell r="H1324" t="str">
            <v>salud_oral</v>
          </cell>
          <cell r="J1324" t="str">
            <v>bueno</v>
          </cell>
          <cell r="K1324" t="str">
            <v>probsi</v>
          </cell>
        </row>
        <row r="1325">
          <cell r="B1325" t="b">
            <v>1</v>
          </cell>
          <cell r="E1325" t="str">
            <v>Bocachica</v>
          </cell>
          <cell r="H1325" t="str">
            <v>salud_oral</v>
          </cell>
          <cell r="J1325" t="str">
            <v>bueno</v>
          </cell>
          <cell r="K1325" t="str">
            <v>probsi</v>
          </cell>
        </row>
        <row r="1326">
          <cell r="B1326" t="b">
            <v>1</v>
          </cell>
          <cell r="E1326" t="str">
            <v>Bocachica</v>
          </cell>
          <cell r="H1326" t="str">
            <v>consulta_externa</v>
          </cell>
          <cell r="J1326" t="str">
            <v>muybueno</v>
          </cell>
          <cell r="K1326" t="str">
            <v>defsi</v>
          </cell>
        </row>
        <row r="1327">
          <cell r="B1327" t="b">
            <v>1</v>
          </cell>
          <cell r="E1327" t="str">
            <v>Bocachica</v>
          </cell>
          <cell r="H1327" t="str">
            <v>consulta_externa</v>
          </cell>
          <cell r="J1327" t="str">
            <v>muybueno</v>
          </cell>
          <cell r="K1327" t="str">
            <v>defsi</v>
          </cell>
        </row>
        <row r="1328">
          <cell r="B1328" t="b">
            <v>1</v>
          </cell>
          <cell r="E1328" t="str">
            <v>Bocachica</v>
          </cell>
          <cell r="H1328" t="str">
            <v>urgencia</v>
          </cell>
          <cell r="J1328" t="str">
            <v>bueno</v>
          </cell>
          <cell r="K1328" t="str">
            <v>defsi</v>
          </cell>
        </row>
        <row r="1329">
          <cell r="B1329" t="b">
            <v>1</v>
          </cell>
          <cell r="E1329" t="str">
            <v>Bocachica</v>
          </cell>
          <cell r="H1329" t="str">
            <v>consulta_externa</v>
          </cell>
          <cell r="J1329" t="str">
            <v>bueno</v>
          </cell>
          <cell r="K1329" t="str">
            <v>defsi</v>
          </cell>
        </row>
        <row r="1330">
          <cell r="B1330" t="b">
            <v>1</v>
          </cell>
          <cell r="E1330" t="str">
            <v>Bocachica</v>
          </cell>
          <cell r="H1330" t="str">
            <v>salud_oral</v>
          </cell>
          <cell r="J1330" t="str">
            <v>bueno</v>
          </cell>
          <cell r="K1330" t="str">
            <v>defsi</v>
          </cell>
        </row>
        <row r="1331">
          <cell r="B1331" t="b">
            <v>1</v>
          </cell>
          <cell r="E1331" t="str">
            <v>Bocachica</v>
          </cell>
          <cell r="H1331" t="str">
            <v>salud_oral</v>
          </cell>
          <cell r="J1331" t="str">
            <v>bueno</v>
          </cell>
          <cell r="K1331" t="str">
            <v>defsi</v>
          </cell>
        </row>
        <row r="1332">
          <cell r="B1332" t="b">
            <v>1</v>
          </cell>
          <cell r="E1332" t="str">
            <v>Isla Fuerte</v>
          </cell>
          <cell r="H1332" t="str">
            <v>consulta_externa</v>
          </cell>
          <cell r="J1332" t="str">
            <v>muybueno</v>
          </cell>
          <cell r="K1332" t="str">
            <v>defsi</v>
          </cell>
        </row>
        <row r="1333">
          <cell r="B1333" t="b">
            <v>1</v>
          </cell>
          <cell r="E1333" t="str">
            <v>Ternera</v>
          </cell>
          <cell r="H1333" t="str">
            <v>consulta_externa</v>
          </cell>
          <cell r="J1333" t="str">
            <v>bueno</v>
          </cell>
          <cell r="K1333" t="str">
            <v>defsi</v>
          </cell>
        </row>
        <row r="1334">
          <cell r="B1334" t="b">
            <v>1</v>
          </cell>
          <cell r="E1334" t="str">
            <v>Ternera</v>
          </cell>
          <cell r="H1334" t="str">
            <v>salud_oral</v>
          </cell>
          <cell r="J1334" t="str">
            <v>bueno</v>
          </cell>
          <cell r="K1334" t="str">
            <v>defsi</v>
          </cell>
        </row>
        <row r="1335">
          <cell r="B1335" t="b">
            <v>1</v>
          </cell>
          <cell r="E1335" t="str">
            <v>Ternera</v>
          </cell>
          <cell r="H1335" t="str">
            <v>consulta_externa</v>
          </cell>
          <cell r="J1335" t="str">
            <v>bueno</v>
          </cell>
          <cell r="K1335" t="str">
            <v>defsi</v>
          </cell>
        </row>
        <row r="1336">
          <cell r="B1336" t="b">
            <v>1</v>
          </cell>
          <cell r="E1336" t="str">
            <v>Isla Fuerte</v>
          </cell>
          <cell r="H1336" t="str">
            <v>laboratorio</v>
          </cell>
          <cell r="J1336" t="str">
            <v>muybueno</v>
          </cell>
          <cell r="K1336" t="str">
            <v>defsi</v>
          </cell>
        </row>
        <row r="1337">
          <cell r="B1337" t="b">
            <v>1</v>
          </cell>
          <cell r="E1337" t="str">
            <v>Ternera</v>
          </cell>
          <cell r="H1337" t="str">
            <v>consulta_externa</v>
          </cell>
          <cell r="J1337" t="str">
            <v>muybueno</v>
          </cell>
          <cell r="K1337" t="str">
            <v>defsi</v>
          </cell>
        </row>
        <row r="1338">
          <cell r="B1338" t="b">
            <v>1</v>
          </cell>
          <cell r="E1338" t="str">
            <v>Isla Fuerte</v>
          </cell>
          <cell r="H1338" t="str">
            <v>salud_oral</v>
          </cell>
          <cell r="J1338" t="str">
            <v>muybueno</v>
          </cell>
          <cell r="K1338" t="str">
            <v>defsi</v>
          </cell>
        </row>
        <row r="1339">
          <cell r="B1339" t="b">
            <v>1</v>
          </cell>
          <cell r="E1339" t="str">
            <v>Isla Fuerte</v>
          </cell>
          <cell r="H1339" t="str">
            <v>consulta_externa</v>
          </cell>
          <cell r="J1339" t="str">
            <v>muybueno</v>
          </cell>
          <cell r="K1339" t="str">
            <v>defsi</v>
          </cell>
        </row>
        <row r="1340">
          <cell r="B1340" t="b">
            <v>1</v>
          </cell>
          <cell r="E1340" t="str">
            <v>Isla Fuerte</v>
          </cell>
          <cell r="H1340" t="str">
            <v>laboratorio</v>
          </cell>
          <cell r="J1340" t="str">
            <v>muybueno</v>
          </cell>
          <cell r="K1340" t="str">
            <v>defsi</v>
          </cell>
        </row>
        <row r="1341">
          <cell r="B1341" t="b">
            <v>1</v>
          </cell>
          <cell r="E1341" t="str">
            <v>Isla Fuerte</v>
          </cell>
          <cell r="H1341" t="str">
            <v>consulta_externa</v>
          </cell>
          <cell r="J1341" t="str">
            <v>muybueno</v>
          </cell>
          <cell r="K1341" t="str">
            <v>defsi</v>
          </cell>
        </row>
        <row r="1342">
          <cell r="B1342" t="b">
            <v>1</v>
          </cell>
          <cell r="E1342" t="str">
            <v>Isla Fuerte</v>
          </cell>
          <cell r="H1342" t="str">
            <v>laboratorio</v>
          </cell>
          <cell r="J1342" t="str">
            <v>muybueno</v>
          </cell>
          <cell r="K1342" t="str">
            <v>defsi</v>
          </cell>
        </row>
        <row r="1343">
          <cell r="B1343" t="b">
            <v>1</v>
          </cell>
          <cell r="E1343" t="str">
            <v>Ternera</v>
          </cell>
          <cell r="H1343" t="str">
            <v>consulta_externa</v>
          </cell>
          <cell r="J1343" t="str">
            <v>bueno</v>
          </cell>
          <cell r="K1343" t="str">
            <v>defsi</v>
          </cell>
        </row>
        <row r="1344">
          <cell r="B1344" t="b">
            <v>1</v>
          </cell>
          <cell r="E1344" t="str">
            <v>Isla Fuerte</v>
          </cell>
          <cell r="H1344" t="str">
            <v>consulta_externa</v>
          </cell>
          <cell r="J1344" t="str">
            <v>muybueno</v>
          </cell>
          <cell r="K1344" t="str">
            <v>defsi</v>
          </cell>
        </row>
        <row r="1345">
          <cell r="B1345" t="b">
            <v>1</v>
          </cell>
          <cell r="E1345" t="str">
            <v>Ternera</v>
          </cell>
          <cell r="H1345" t="str">
            <v>laboratorio</v>
          </cell>
          <cell r="J1345" t="str">
            <v>bueno</v>
          </cell>
          <cell r="K1345" t="str">
            <v>defsi</v>
          </cell>
        </row>
        <row r="1346">
          <cell r="B1346" t="b">
            <v>1</v>
          </cell>
          <cell r="E1346" t="str">
            <v>Ternera</v>
          </cell>
          <cell r="H1346" t="str">
            <v>laboratorio</v>
          </cell>
          <cell r="J1346" t="str">
            <v>bueno</v>
          </cell>
          <cell r="K1346" t="str">
            <v>defsi</v>
          </cell>
        </row>
        <row r="1347">
          <cell r="B1347" t="b">
            <v>1</v>
          </cell>
          <cell r="E1347" t="str">
            <v>Ternera</v>
          </cell>
          <cell r="H1347" t="str">
            <v>consulta_externa</v>
          </cell>
          <cell r="J1347" t="str">
            <v>bueno</v>
          </cell>
          <cell r="K1347" t="str">
            <v>defsi</v>
          </cell>
        </row>
        <row r="1348">
          <cell r="B1348" t="b">
            <v>1</v>
          </cell>
          <cell r="E1348" t="str">
            <v>Ternera</v>
          </cell>
          <cell r="H1348" t="str">
            <v>salud_oral</v>
          </cell>
          <cell r="J1348" t="str">
            <v>bueno</v>
          </cell>
          <cell r="K1348" t="str">
            <v>defsi</v>
          </cell>
        </row>
        <row r="1349">
          <cell r="B1349" t="b">
            <v>1</v>
          </cell>
          <cell r="E1349" t="str">
            <v>Ternera</v>
          </cell>
          <cell r="H1349" t="str">
            <v>salud_oral</v>
          </cell>
          <cell r="J1349" t="str">
            <v>bueno</v>
          </cell>
          <cell r="K1349" t="str">
            <v>defsi</v>
          </cell>
        </row>
        <row r="1350">
          <cell r="B1350" t="b">
            <v>1</v>
          </cell>
          <cell r="E1350" t="str">
            <v>Isla Fuerte</v>
          </cell>
          <cell r="H1350" t="str">
            <v>salud_oral</v>
          </cell>
          <cell r="J1350" t="str">
            <v>muybueno</v>
          </cell>
          <cell r="K1350" t="str">
            <v>defsi</v>
          </cell>
        </row>
        <row r="1351">
          <cell r="B1351" t="b">
            <v>1</v>
          </cell>
          <cell r="E1351" t="str">
            <v>Ternera</v>
          </cell>
          <cell r="H1351" t="str">
            <v>salud_oral</v>
          </cell>
          <cell r="J1351" t="str">
            <v>bueno</v>
          </cell>
          <cell r="K1351" t="str">
            <v>defsi</v>
          </cell>
        </row>
        <row r="1352">
          <cell r="B1352" t="b">
            <v>1</v>
          </cell>
          <cell r="E1352" t="str">
            <v>Ternera</v>
          </cell>
          <cell r="H1352" t="str">
            <v>salud_oral</v>
          </cell>
          <cell r="J1352" t="str">
            <v>bueno</v>
          </cell>
          <cell r="K1352" t="str">
            <v>defsi</v>
          </cell>
        </row>
        <row r="1353">
          <cell r="B1353" t="b">
            <v>1</v>
          </cell>
          <cell r="E1353" t="str">
            <v>Ternera</v>
          </cell>
          <cell r="H1353" t="str">
            <v>consulta_externa</v>
          </cell>
          <cell r="J1353" t="str">
            <v>bueno</v>
          </cell>
          <cell r="K1353" t="str">
            <v>defsi</v>
          </cell>
        </row>
        <row r="1354">
          <cell r="B1354" t="b">
            <v>1</v>
          </cell>
          <cell r="E1354" t="str">
            <v>Punta Canoa</v>
          </cell>
          <cell r="H1354" t="str">
            <v>consulta_externa</v>
          </cell>
          <cell r="J1354" t="str">
            <v>bueno</v>
          </cell>
          <cell r="K1354" t="str">
            <v>probsi</v>
          </cell>
        </row>
        <row r="1355">
          <cell r="B1355" t="b">
            <v>1</v>
          </cell>
          <cell r="E1355" t="str">
            <v>Punta Canoa</v>
          </cell>
          <cell r="H1355" t="str">
            <v>consulta_externa</v>
          </cell>
          <cell r="J1355" t="str">
            <v>bueno</v>
          </cell>
          <cell r="K1355" t="str">
            <v>probsi</v>
          </cell>
        </row>
        <row r="1356">
          <cell r="B1356" t="b">
            <v>1</v>
          </cell>
          <cell r="E1356" t="str">
            <v>Punta Canoa</v>
          </cell>
          <cell r="H1356" t="str">
            <v>consulta_externa</v>
          </cell>
          <cell r="J1356" t="str">
            <v>bueno</v>
          </cell>
          <cell r="K1356" t="str">
            <v>probsi</v>
          </cell>
        </row>
        <row r="1357">
          <cell r="B1357" t="b">
            <v>1</v>
          </cell>
          <cell r="E1357" t="str">
            <v>Punta Canoa</v>
          </cell>
          <cell r="H1357" t="str">
            <v>consulta_externa</v>
          </cell>
          <cell r="J1357" t="str">
            <v>bueno</v>
          </cell>
          <cell r="K1357" t="str">
            <v>probsi</v>
          </cell>
        </row>
        <row r="1358">
          <cell r="B1358" t="b">
            <v>1</v>
          </cell>
          <cell r="E1358" t="str">
            <v>Punta Canoa</v>
          </cell>
          <cell r="H1358" t="str">
            <v>consulta_externa</v>
          </cell>
          <cell r="J1358" t="str">
            <v>bueno</v>
          </cell>
          <cell r="K1358" t="str">
            <v>probsi</v>
          </cell>
        </row>
        <row r="1359">
          <cell r="B1359" t="b">
            <v>1</v>
          </cell>
          <cell r="E1359" t="str">
            <v>Punta Canoa</v>
          </cell>
          <cell r="H1359" t="str">
            <v>consulta_externa</v>
          </cell>
          <cell r="J1359" t="str">
            <v>bueno</v>
          </cell>
          <cell r="K1359" t="str">
            <v>probsi</v>
          </cell>
        </row>
        <row r="1360">
          <cell r="B1360" t="b">
            <v>1</v>
          </cell>
          <cell r="E1360" t="str">
            <v>Punta Canoa</v>
          </cell>
          <cell r="H1360" t="str">
            <v>salud_oral</v>
          </cell>
          <cell r="J1360" t="str">
            <v>bueno</v>
          </cell>
          <cell r="K1360" t="str">
            <v>probsi</v>
          </cell>
        </row>
        <row r="1361">
          <cell r="B1361" t="b">
            <v>1</v>
          </cell>
          <cell r="E1361" t="str">
            <v>Punta Canoa</v>
          </cell>
          <cell r="H1361" t="str">
            <v>salud_oral</v>
          </cell>
          <cell r="J1361" t="str">
            <v>bueno</v>
          </cell>
          <cell r="K1361" t="str">
            <v>probsi</v>
          </cell>
        </row>
        <row r="1362">
          <cell r="B1362" t="b">
            <v>1</v>
          </cell>
          <cell r="E1362" t="str">
            <v>Punta Canoa</v>
          </cell>
          <cell r="H1362" t="str">
            <v>salud_oral</v>
          </cell>
          <cell r="J1362" t="str">
            <v>bueno</v>
          </cell>
          <cell r="K1362" t="str">
            <v>probsi</v>
          </cell>
        </row>
        <row r="1363">
          <cell r="B1363" t="b">
            <v>1</v>
          </cell>
          <cell r="E1363" t="str">
            <v>Punta Canoa</v>
          </cell>
          <cell r="H1363" t="str">
            <v>salud_oral</v>
          </cell>
          <cell r="J1363" t="str">
            <v>bueno</v>
          </cell>
          <cell r="K1363" t="str">
            <v>probsi</v>
          </cell>
        </row>
        <row r="1364">
          <cell r="B1364" t="b">
            <v>1</v>
          </cell>
          <cell r="E1364" t="str">
            <v>Punta Canoa</v>
          </cell>
          <cell r="H1364" t="str">
            <v>salud_oral</v>
          </cell>
          <cell r="J1364" t="str">
            <v>bueno</v>
          </cell>
          <cell r="K1364" t="str">
            <v>probsi</v>
          </cell>
        </row>
        <row r="1365">
          <cell r="B1365" t="b">
            <v>1</v>
          </cell>
          <cell r="E1365" t="str">
            <v>Punta Canoa</v>
          </cell>
          <cell r="H1365" t="str">
            <v>salud_oral</v>
          </cell>
          <cell r="J1365" t="str">
            <v>bueno</v>
          </cell>
          <cell r="K1365" t="str">
            <v>probsi</v>
          </cell>
        </row>
        <row r="1366">
          <cell r="B1366" t="b">
            <v>1</v>
          </cell>
          <cell r="E1366" t="str">
            <v>Punta Canoa</v>
          </cell>
          <cell r="H1366" t="str">
            <v>salud_oral</v>
          </cell>
          <cell r="J1366" t="str">
            <v>bueno</v>
          </cell>
          <cell r="K1366" t="str">
            <v>probsi</v>
          </cell>
        </row>
        <row r="1367">
          <cell r="B1367" t="b">
            <v>1</v>
          </cell>
          <cell r="E1367" t="str">
            <v>Punta Canoa</v>
          </cell>
          <cell r="H1367" t="str">
            <v>laboratorio</v>
          </cell>
          <cell r="J1367" t="str">
            <v>bueno</v>
          </cell>
          <cell r="K1367" t="str">
            <v>probsi</v>
          </cell>
        </row>
        <row r="1368">
          <cell r="B1368" t="b">
            <v>1</v>
          </cell>
          <cell r="E1368" t="str">
            <v>Punta Canoa</v>
          </cell>
          <cell r="H1368" t="str">
            <v>laboratorio</v>
          </cell>
          <cell r="J1368" t="str">
            <v>bueno</v>
          </cell>
          <cell r="K1368" t="str">
            <v>probsi</v>
          </cell>
        </row>
        <row r="1369">
          <cell r="B1369" t="b">
            <v>1</v>
          </cell>
          <cell r="E1369" t="str">
            <v>Punta Canoa</v>
          </cell>
          <cell r="H1369" t="str">
            <v>laboratorio</v>
          </cell>
          <cell r="J1369" t="str">
            <v>bueno</v>
          </cell>
          <cell r="K1369" t="str">
            <v>probsi</v>
          </cell>
        </row>
        <row r="1370">
          <cell r="B1370" t="b">
            <v>1</v>
          </cell>
          <cell r="E1370" t="str">
            <v>Punta Canoa</v>
          </cell>
          <cell r="H1370" t="str">
            <v>laboratorio</v>
          </cell>
          <cell r="J1370" t="str">
            <v>bueno</v>
          </cell>
          <cell r="K1370" t="str">
            <v>probsi</v>
          </cell>
        </row>
        <row r="1371">
          <cell r="B1371" t="b">
            <v>1</v>
          </cell>
          <cell r="E1371" t="str">
            <v>Punta Canoa</v>
          </cell>
          <cell r="H1371" t="str">
            <v>laboratorio</v>
          </cell>
          <cell r="J1371" t="str">
            <v>bueno</v>
          </cell>
          <cell r="K1371" t="str">
            <v>probsi</v>
          </cell>
        </row>
        <row r="1372">
          <cell r="B1372" t="b">
            <v>1</v>
          </cell>
          <cell r="E1372" t="str">
            <v>Punta Canoa</v>
          </cell>
          <cell r="H1372" t="str">
            <v>laboratorio</v>
          </cell>
          <cell r="J1372" t="str">
            <v>bueno</v>
          </cell>
          <cell r="K1372" t="str">
            <v>probsi</v>
          </cell>
        </row>
        <row r="1373">
          <cell r="B1373" t="b">
            <v>1</v>
          </cell>
          <cell r="E1373" t="str">
            <v>Punta Canoa</v>
          </cell>
          <cell r="H1373" t="str">
            <v>laboratorio</v>
          </cell>
          <cell r="J1373" t="str">
            <v>bueno</v>
          </cell>
          <cell r="K1373" t="str">
            <v>probsi</v>
          </cell>
        </row>
        <row r="1374">
          <cell r="B1374" t="b">
            <v>1</v>
          </cell>
          <cell r="E1374" t="str">
            <v>Ternera</v>
          </cell>
          <cell r="H1374" t="str">
            <v>salud_oral</v>
          </cell>
          <cell r="J1374" t="str">
            <v>bueno</v>
          </cell>
          <cell r="K1374" t="str">
            <v>defsi</v>
          </cell>
        </row>
        <row r="1375">
          <cell r="B1375" t="b">
            <v>1</v>
          </cell>
          <cell r="E1375" t="str">
            <v>Ternera</v>
          </cell>
          <cell r="H1375" t="str">
            <v>salud_oral</v>
          </cell>
          <cell r="J1375" t="str">
            <v>bueno</v>
          </cell>
          <cell r="K1375" t="str">
            <v>defsi</v>
          </cell>
        </row>
        <row r="1376">
          <cell r="B1376" t="b">
            <v>0</v>
          </cell>
          <cell r="E1376" t="str">
            <v>Ternera</v>
          </cell>
          <cell r="H1376" t="str">
            <v>salud_oral</v>
          </cell>
          <cell r="J1376" t="str">
            <v>regular</v>
          </cell>
          <cell r="K1376" t="str">
            <v>defsi</v>
          </cell>
        </row>
        <row r="1377">
          <cell r="B1377" t="b">
            <v>1</v>
          </cell>
          <cell r="E1377" t="str">
            <v>Ternera</v>
          </cell>
          <cell r="H1377" t="str">
            <v>laboratorio</v>
          </cell>
          <cell r="J1377" t="str">
            <v>bueno</v>
          </cell>
          <cell r="K1377" t="str">
            <v>defsi</v>
          </cell>
        </row>
        <row r="1378">
          <cell r="B1378" t="b">
            <v>1</v>
          </cell>
          <cell r="E1378" t="str">
            <v>Ternera</v>
          </cell>
          <cell r="H1378" t="str">
            <v>laboratorio</v>
          </cell>
          <cell r="J1378" t="str">
            <v>bueno</v>
          </cell>
          <cell r="K1378" t="str">
            <v>defsi</v>
          </cell>
        </row>
        <row r="1379">
          <cell r="B1379" t="b">
            <v>0</v>
          </cell>
          <cell r="E1379" t="str">
            <v>Ternera</v>
          </cell>
          <cell r="H1379" t="str">
            <v>laboratorio</v>
          </cell>
          <cell r="J1379" t="str">
            <v>regular</v>
          </cell>
          <cell r="K1379" t="str">
            <v>defsi</v>
          </cell>
        </row>
        <row r="1380">
          <cell r="B1380" t="b">
            <v>1</v>
          </cell>
          <cell r="E1380" t="str">
            <v>Ternera</v>
          </cell>
          <cell r="H1380" t="str">
            <v>laboratorio</v>
          </cell>
          <cell r="J1380" t="str">
            <v>bueno</v>
          </cell>
          <cell r="K1380" t="str">
            <v>defsi</v>
          </cell>
        </row>
        <row r="1381">
          <cell r="B1381" t="b">
            <v>0</v>
          </cell>
          <cell r="E1381" t="str">
            <v>Ternera</v>
          </cell>
          <cell r="H1381" t="str">
            <v>laboratorio</v>
          </cell>
          <cell r="J1381" t="str">
            <v>regular</v>
          </cell>
          <cell r="K1381" t="str">
            <v>defsi</v>
          </cell>
        </row>
        <row r="1382">
          <cell r="B1382" t="b">
            <v>0</v>
          </cell>
          <cell r="E1382" t="str">
            <v>Ternera</v>
          </cell>
          <cell r="H1382" t="str">
            <v>consulta_externa</v>
          </cell>
          <cell r="J1382" t="str">
            <v>regular</v>
          </cell>
          <cell r="K1382" t="str">
            <v>defsi</v>
          </cell>
        </row>
        <row r="1383">
          <cell r="B1383" t="b">
            <v>0</v>
          </cell>
          <cell r="E1383" t="str">
            <v>Ternera</v>
          </cell>
          <cell r="H1383" t="str">
            <v>laboratorio</v>
          </cell>
          <cell r="J1383" t="str">
            <v>regular</v>
          </cell>
          <cell r="K1383" t="str">
            <v>defsi</v>
          </cell>
        </row>
        <row r="1384">
          <cell r="B1384" t="b">
            <v>1</v>
          </cell>
          <cell r="E1384" t="str">
            <v>Ternera</v>
          </cell>
          <cell r="H1384" t="str">
            <v>laboratorio</v>
          </cell>
          <cell r="J1384" t="str">
            <v>bueno</v>
          </cell>
          <cell r="K1384" t="str">
            <v>defsi</v>
          </cell>
        </row>
        <row r="1385">
          <cell r="B1385" t="b">
            <v>1</v>
          </cell>
          <cell r="E1385" t="str">
            <v>Ternera</v>
          </cell>
          <cell r="H1385" t="str">
            <v>consulta_externa</v>
          </cell>
          <cell r="J1385" t="str">
            <v>bueno</v>
          </cell>
          <cell r="K1385" t="str">
            <v>defsi</v>
          </cell>
        </row>
        <row r="1386">
          <cell r="B1386" t="b">
            <v>1</v>
          </cell>
          <cell r="E1386" t="str">
            <v>Ternera</v>
          </cell>
          <cell r="H1386" t="str">
            <v>consulta_externa</v>
          </cell>
          <cell r="J1386" t="str">
            <v>bueno</v>
          </cell>
          <cell r="K1386" t="str">
            <v>defsi</v>
          </cell>
        </row>
        <row r="1387">
          <cell r="B1387" t="b">
            <v>1</v>
          </cell>
          <cell r="E1387" t="str">
            <v>Ternera</v>
          </cell>
          <cell r="H1387" t="str">
            <v>laboratorio</v>
          </cell>
          <cell r="J1387" t="str">
            <v>bueno</v>
          </cell>
          <cell r="K1387" t="str">
            <v>defsi</v>
          </cell>
        </row>
        <row r="1388">
          <cell r="B1388" t="b">
            <v>1</v>
          </cell>
          <cell r="E1388" t="str">
            <v>Ternera</v>
          </cell>
          <cell r="H1388" t="str">
            <v>consulta_externa</v>
          </cell>
          <cell r="J1388" t="str">
            <v>muybueno</v>
          </cell>
          <cell r="K1388" t="str">
            <v>defsi</v>
          </cell>
        </row>
        <row r="1389">
          <cell r="B1389" t="b">
            <v>1</v>
          </cell>
          <cell r="E1389" t="str">
            <v>Ternera</v>
          </cell>
          <cell r="H1389" t="str">
            <v>laboratorio</v>
          </cell>
          <cell r="J1389" t="str">
            <v>muybueno</v>
          </cell>
          <cell r="K1389" t="str">
            <v>defsi</v>
          </cell>
        </row>
        <row r="1390">
          <cell r="B1390" t="b">
            <v>1</v>
          </cell>
          <cell r="E1390" t="str">
            <v>Ternera</v>
          </cell>
          <cell r="H1390" t="str">
            <v>laboratorio</v>
          </cell>
          <cell r="J1390" t="str">
            <v>bueno</v>
          </cell>
          <cell r="K1390" t="str">
            <v>defsi</v>
          </cell>
        </row>
        <row r="1391">
          <cell r="B1391" t="b">
            <v>1</v>
          </cell>
          <cell r="E1391" t="str">
            <v>Ternera</v>
          </cell>
          <cell r="H1391" t="str">
            <v>consulta_externa</v>
          </cell>
          <cell r="J1391" t="str">
            <v>bueno</v>
          </cell>
          <cell r="K1391" t="str">
            <v>defsi</v>
          </cell>
        </row>
        <row r="1392">
          <cell r="B1392" t="b">
            <v>1</v>
          </cell>
          <cell r="E1392" t="str">
            <v>Ternera</v>
          </cell>
          <cell r="H1392" t="str">
            <v>consulta_externa</v>
          </cell>
          <cell r="J1392" t="str">
            <v>bueno</v>
          </cell>
          <cell r="K1392" t="str">
            <v>defsi</v>
          </cell>
        </row>
        <row r="1393">
          <cell r="B1393" t="b">
            <v>1</v>
          </cell>
          <cell r="E1393" t="str">
            <v>Ternera</v>
          </cell>
          <cell r="H1393" t="str">
            <v>salud_oral</v>
          </cell>
          <cell r="J1393" t="str">
            <v>bueno</v>
          </cell>
          <cell r="K1393" t="str">
            <v>defsi</v>
          </cell>
        </row>
        <row r="1394">
          <cell r="B1394" t="b">
            <v>1</v>
          </cell>
          <cell r="E1394" t="str">
            <v>Ternera</v>
          </cell>
          <cell r="H1394" t="str">
            <v>salud_oral</v>
          </cell>
          <cell r="J1394" t="str">
            <v>bueno</v>
          </cell>
          <cell r="K1394" t="str">
            <v>defsi</v>
          </cell>
        </row>
        <row r="1395">
          <cell r="B1395" t="b">
            <v>1</v>
          </cell>
          <cell r="E1395" t="str">
            <v>Cano de Oro</v>
          </cell>
          <cell r="H1395" t="str">
            <v>consulta_externa</v>
          </cell>
          <cell r="J1395" t="str">
            <v>bueno</v>
          </cell>
          <cell r="K1395" t="str">
            <v>defsi</v>
          </cell>
        </row>
        <row r="1396">
          <cell r="B1396" t="b">
            <v>1</v>
          </cell>
          <cell r="E1396" t="str">
            <v>Cano de Oro</v>
          </cell>
          <cell r="H1396" t="str">
            <v>laboratorio</v>
          </cell>
          <cell r="J1396" t="str">
            <v>bueno</v>
          </cell>
          <cell r="K1396" t="str">
            <v>defsi</v>
          </cell>
        </row>
        <row r="1397">
          <cell r="B1397" t="b">
            <v>1</v>
          </cell>
          <cell r="E1397" t="str">
            <v>Cano de Oro</v>
          </cell>
          <cell r="H1397" t="str">
            <v>salud_oral</v>
          </cell>
          <cell r="J1397" t="str">
            <v>bueno</v>
          </cell>
          <cell r="K1397" t="str">
            <v>defsi</v>
          </cell>
        </row>
        <row r="1398">
          <cell r="B1398" t="b">
            <v>1</v>
          </cell>
          <cell r="E1398" t="str">
            <v>Cano de Oro</v>
          </cell>
          <cell r="H1398" t="str">
            <v>laboratorio</v>
          </cell>
          <cell r="J1398" t="str">
            <v>bueno</v>
          </cell>
          <cell r="K1398" t="str">
            <v>defsi</v>
          </cell>
        </row>
        <row r="1399">
          <cell r="B1399" t="b">
            <v>1</v>
          </cell>
          <cell r="E1399" t="str">
            <v>Arroyo Grande</v>
          </cell>
          <cell r="H1399" t="str">
            <v>consulta_externa</v>
          </cell>
          <cell r="J1399" t="str">
            <v>bueno</v>
          </cell>
          <cell r="K1399" t="str">
            <v>probsi</v>
          </cell>
        </row>
        <row r="1400">
          <cell r="B1400" t="b">
            <v>1</v>
          </cell>
          <cell r="E1400" t="str">
            <v>Arroyo Grande</v>
          </cell>
          <cell r="H1400" t="str">
            <v>salud_oral</v>
          </cell>
          <cell r="J1400" t="str">
            <v>bueno</v>
          </cell>
          <cell r="K1400" t="str">
            <v>probsi</v>
          </cell>
        </row>
        <row r="1401">
          <cell r="B1401" t="b">
            <v>1</v>
          </cell>
          <cell r="E1401" t="str">
            <v>Arroyo Grande</v>
          </cell>
          <cell r="H1401" t="str">
            <v>laboratorio</v>
          </cell>
          <cell r="J1401" t="str">
            <v>bueno</v>
          </cell>
          <cell r="K1401" t="str">
            <v>probsi</v>
          </cell>
        </row>
        <row r="1402">
          <cell r="B1402" t="b">
            <v>1</v>
          </cell>
          <cell r="E1402" t="str">
            <v>Arroyo Grande</v>
          </cell>
          <cell r="H1402" t="str">
            <v>consulta_externa</v>
          </cell>
          <cell r="J1402" t="str">
            <v>muybueno</v>
          </cell>
          <cell r="K1402" t="str">
            <v>probsi</v>
          </cell>
        </row>
        <row r="1403">
          <cell r="B1403" t="b">
            <v>1</v>
          </cell>
          <cell r="E1403" t="str">
            <v>Arroyo Grande</v>
          </cell>
          <cell r="H1403" t="str">
            <v>salud_oral</v>
          </cell>
          <cell r="J1403" t="str">
            <v>bueno</v>
          </cell>
          <cell r="K1403" t="str">
            <v>probsi</v>
          </cell>
        </row>
        <row r="1404">
          <cell r="B1404" t="b">
            <v>1</v>
          </cell>
          <cell r="E1404" t="str">
            <v>Arroyo Grande</v>
          </cell>
          <cell r="H1404" t="str">
            <v>laboratorio</v>
          </cell>
          <cell r="J1404" t="str">
            <v>bueno</v>
          </cell>
          <cell r="K1404" t="str">
            <v>probsi</v>
          </cell>
        </row>
        <row r="1405">
          <cell r="B1405" t="b">
            <v>1</v>
          </cell>
          <cell r="E1405" t="str">
            <v>Cano de Oro</v>
          </cell>
          <cell r="H1405" t="str">
            <v>laboratorio</v>
          </cell>
          <cell r="J1405" t="str">
            <v>bueno</v>
          </cell>
          <cell r="K1405" t="str">
            <v>defsi</v>
          </cell>
        </row>
        <row r="1406">
          <cell r="B1406" t="b">
            <v>1</v>
          </cell>
          <cell r="E1406" t="str">
            <v>Arroyo Grande</v>
          </cell>
          <cell r="H1406" t="str">
            <v>consulta_externa</v>
          </cell>
          <cell r="J1406" t="str">
            <v>bueno</v>
          </cell>
          <cell r="K1406" t="str">
            <v>probsi</v>
          </cell>
        </row>
        <row r="1407">
          <cell r="B1407" t="b">
            <v>1</v>
          </cell>
          <cell r="E1407" t="str">
            <v>Cano de Oro</v>
          </cell>
          <cell r="H1407" t="str">
            <v>consulta_externa</v>
          </cell>
          <cell r="J1407" t="str">
            <v>bueno</v>
          </cell>
          <cell r="K1407" t="str">
            <v>defsi</v>
          </cell>
        </row>
        <row r="1408">
          <cell r="B1408" t="b">
            <v>1</v>
          </cell>
          <cell r="E1408" t="str">
            <v>Arroyo Grande</v>
          </cell>
          <cell r="H1408" t="str">
            <v>salud_oral</v>
          </cell>
          <cell r="J1408" t="str">
            <v>bueno</v>
          </cell>
          <cell r="K1408" t="str">
            <v>probsi</v>
          </cell>
        </row>
        <row r="1409">
          <cell r="B1409" t="b">
            <v>1</v>
          </cell>
          <cell r="E1409" t="str">
            <v>Arroyo Grande</v>
          </cell>
          <cell r="H1409" t="str">
            <v>laboratorio</v>
          </cell>
          <cell r="J1409" t="str">
            <v>bueno</v>
          </cell>
          <cell r="K1409" t="str">
            <v>probsi</v>
          </cell>
        </row>
        <row r="1410">
          <cell r="B1410" t="b">
            <v>1</v>
          </cell>
          <cell r="E1410" t="str">
            <v>Arroz Barato</v>
          </cell>
          <cell r="H1410" t="str">
            <v>rx</v>
          </cell>
          <cell r="J1410" t="str">
            <v>bueno</v>
          </cell>
          <cell r="K1410" t="str">
            <v>defsi</v>
          </cell>
        </row>
        <row r="1411">
          <cell r="B1411" t="b">
            <v>1</v>
          </cell>
          <cell r="E1411" t="str">
            <v>Arroz Barato</v>
          </cell>
          <cell r="H1411" t="str">
            <v>rx</v>
          </cell>
          <cell r="J1411" t="str">
            <v>bueno</v>
          </cell>
          <cell r="K1411" t="str">
            <v>defsi</v>
          </cell>
        </row>
        <row r="1412">
          <cell r="B1412" t="b">
            <v>1</v>
          </cell>
          <cell r="E1412" t="str">
            <v>Arroyo Grande</v>
          </cell>
          <cell r="H1412" t="str">
            <v>consulta_externa</v>
          </cell>
          <cell r="J1412" t="str">
            <v>bueno</v>
          </cell>
          <cell r="K1412" t="str">
            <v>probsi</v>
          </cell>
        </row>
        <row r="1413">
          <cell r="B1413" t="b">
            <v>1</v>
          </cell>
          <cell r="E1413" t="str">
            <v>Arroz Barato</v>
          </cell>
          <cell r="H1413" t="str">
            <v>rx</v>
          </cell>
          <cell r="J1413" t="str">
            <v>bueno</v>
          </cell>
          <cell r="K1413" t="str">
            <v>defsi</v>
          </cell>
        </row>
        <row r="1414">
          <cell r="B1414" t="b">
            <v>1</v>
          </cell>
          <cell r="E1414" t="str">
            <v>Arroyo Grande</v>
          </cell>
          <cell r="H1414" t="str">
            <v>laboratorio</v>
          </cell>
          <cell r="J1414" t="str">
            <v>bueno</v>
          </cell>
          <cell r="K1414" t="str">
            <v>probsi</v>
          </cell>
        </row>
        <row r="1415">
          <cell r="B1415" t="b">
            <v>1</v>
          </cell>
          <cell r="E1415" t="str">
            <v>Arroz Barato</v>
          </cell>
          <cell r="H1415" t="str">
            <v>rx</v>
          </cell>
          <cell r="J1415" t="str">
            <v>bueno</v>
          </cell>
          <cell r="K1415" t="str">
            <v>defsi</v>
          </cell>
        </row>
        <row r="1416">
          <cell r="B1416" t="b">
            <v>1</v>
          </cell>
          <cell r="E1416" t="str">
            <v>Arroz Barato</v>
          </cell>
          <cell r="H1416" t="str">
            <v>salud_oral</v>
          </cell>
          <cell r="J1416" t="str">
            <v>bueno</v>
          </cell>
          <cell r="K1416" t="str">
            <v>defsi</v>
          </cell>
        </row>
        <row r="1417">
          <cell r="B1417" t="b">
            <v>1</v>
          </cell>
          <cell r="E1417" t="str">
            <v>Arroz Barato</v>
          </cell>
          <cell r="H1417" t="str">
            <v>consulta_externa</v>
          </cell>
          <cell r="J1417" t="str">
            <v>bueno</v>
          </cell>
          <cell r="K1417" t="str">
            <v>defsi</v>
          </cell>
        </row>
        <row r="1418">
          <cell r="B1418" t="b">
            <v>0</v>
          </cell>
          <cell r="E1418" t="str">
            <v>Arroz Barato</v>
          </cell>
          <cell r="H1418" t="str">
            <v>salud_oral</v>
          </cell>
          <cell r="J1418" t="str">
            <v>regular</v>
          </cell>
          <cell r="K1418" t="str">
            <v>probsi</v>
          </cell>
        </row>
        <row r="1419">
          <cell r="B1419" t="b">
            <v>1</v>
          </cell>
          <cell r="E1419" t="str">
            <v>Arroz Barato</v>
          </cell>
          <cell r="H1419" t="str">
            <v>consulta_externa</v>
          </cell>
          <cell r="J1419" t="str">
            <v>bueno</v>
          </cell>
          <cell r="K1419" t="str">
            <v>defsi</v>
          </cell>
        </row>
        <row r="1420">
          <cell r="B1420" t="b">
            <v>1</v>
          </cell>
          <cell r="E1420" t="str">
            <v>Arroyo Grande</v>
          </cell>
          <cell r="H1420" t="str">
            <v>consulta_externa</v>
          </cell>
          <cell r="J1420" t="str">
            <v>bueno</v>
          </cell>
          <cell r="K1420" t="str">
            <v>probsi</v>
          </cell>
        </row>
        <row r="1421">
          <cell r="B1421" t="b">
            <v>1</v>
          </cell>
          <cell r="E1421" t="str">
            <v>Arroyo Grande</v>
          </cell>
          <cell r="H1421" t="str">
            <v>consulta_externa</v>
          </cell>
          <cell r="J1421" t="str">
            <v>bueno</v>
          </cell>
          <cell r="K1421" t="str">
            <v>probsi</v>
          </cell>
        </row>
        <row r="1422">
          <cell r="B1422" t="b">
            <v>1</v>
          </cell>
          <cell r="E1422" t="str">
            <v>Arroyo Grande</v>
          </cell>
          <cell r="H1422" t="str">
            <v>laboratorio</v>
          </cell>
          <cell r="J1422" t="str">
            <v>bueno</v>
          </cell>
          <cell r="K1422" t="str">
            <v>probsi</v>
          </cell>
        </row>
        <row r="1423">
          <cell r="B1423" t="b">
            <v>1</v>
          </cell>
          <cell r="E1423" t="str">
            <v>Cano de Oro</v>
          </cell>
          <cell r="H1423" t="str">
            <v>salud_oral</v>
          </cell>
          <cell r="J1423" t="str">
            <v>bueno</v>
          </cell>
          <cell r="K1423" t="str">
            <v>defsi</v>
          </cell>
        </row>
        <row r="1424">
          <cell r="B1424" t="b">
            <v>1</v>
          </cell>
          <cell r="E1424" t="str">
            <v>Hospital Pozon</v>
          </cell>
          <cell r="H1424" t="str">
            <v>consulta_externa</v>
          </cell>
          <cell r="J1424" t="str">
            <v>bueno</v>
          </cell>
          <cell r="K1424" t="str">
            <v>defsi</v>
          </cell>
        </row>
        <row r="1425">
          <cell r="B1425" t="b">
            <v>1</v>
          </cell>
          <cell r="E1425" t="str">
            <v>Hospital Pozon</v>
          </cell>
          <cell r="H1425" t="str">
            <v>laboratorio</v>
          </cell>
          <cell r="J1425" t="str">
            <v>bueno</v>
          </cell>
          <cell r="K1425" t="str">
            <v>defsi</v>
          </cell>
        </row>
        <row r="1426">
          <cell r="B1426" t="b">
            <v>1</v>
          </cell>
          <cell r="E1426" t="str">
            <v>Hospital Pozon</v>
          </cell>
          <cell r="H1426" t="str">
            <v>laboratorio</v>
          </cell>
          <cell r="J1426" t="str">
            <v>bueno</v>
          </cell>
          <cell r="K1426" t="str">
            <v>defsi</v>
          </cell>
        </row>
        <row r="1427">
          <cell r="B1427" t="b">
            <v>1</v>
          </cell>
          <cell r="E1427" t="str">
            <v>Hospital Pozon</v>
          </cell>
          <cell r="H1427" t="str">
            <v>urgencia</v>
          </cell>
          <cell r="J1427" t="str">
            <v>bueno</v>
          </cell>
          <cell r="K1427" t="str">
            <v>defsi</v>
          </cell>
        </row>
        <row r="1428">
          <cell r="B1428" t="b">
            <v>1</v>
          </cell>
          <cell r="E1428" t="str">
            <v>Hospital Pozon</v>
          </cell>
          <cell r="H1428" t="str">
            <v>rx</v>
          </cell>
          <cell r="J1428" t="str">
            <v>bueno</v>
          </cell>
          <cell r="K1428" t="str">
            <v>defsi</v>
          </cell>
        </row>
        <row r="1429">
          <cell r="B1429" t="b">
            <v>1</v>
          </cell>
          <cell r="E1429" t="str">
            <v>Cano de Oro</v>
          </cell>
          <cell r="H1429" t="str">
            <v>laboratorio</v>
          </cell>
          <cell r="J1429" t="str">
            <v>bueno</v>
          </cell>
          <cell r="K1429" t="str">
            <v>defsi</v>
          </cell>
        </row>
        <row r="1430">
          <cell r="B1430" t="b">
            <v>1</v>
          </cell>
          <cell r="E1430" t="str">
            <v>Isla del Rosario</v>
          </cell>
          <cell r="H1430" t="str">
            <v>consulta_externa</v>
          </cell>
          <cell r="J1430" t="str">
            <v>muybueno</v>
          </cell>
          <cell r="K1430" t="str">
            <v>defsi</v>
          </cell>
        </row>
        <row r="1431">
          <cell r="B1431" t="b">
            <v>1</v>
          </cell>
          <cell r="E1431" t="str">
            <v>Arroyo Grande</v>
          </cell>
          <cell r="H1431" t="str">
            <v>consulta_externa</v>
          </cell>
          <cell r="J1431" t="str">
            <v>bueno</v>
          </cell>
          <cell r="K1431" t="str">
            <v>probsi</v>
          </cell>
        </row>
        <row r="1432">
          <cell r="B1432" t="b">
            <v>1</v>
          </cell>
          <cell r="E1432" t="str">
            <v>Isla del Rosario</v>
          </cell>
          <cell r="H1432" t="str">
            <v>laboratorio</v>
          </cell>
          <cell r="J1432" t="str">
            <v>muybueno</v>
          </cell>
          <cell r="K1432" t="str">
            <v>defsi</v>
          </cell>
        </row>
        <row r="1433">
          <cell r="B1433" t="b">
            <v>1</v>
          </cell>
          <cell r="E1433" t="str">
            <v>Cano de Oro</v>
          </cell>
          <cell r="H1433" t="str">
            <v>consulta_externa</v>
          </cell>
          <cell r="J1433" t="str">
            <v>bueno</v>
          </cell>
          <cell r="K1433" t="str">
            <v>defsi</v>
          </cell>
        </row>
        <row r="1434">
          <cell r="B1434" t="b">
            <v>1</v>
          </cell>
          <cell r="E1434" t="str">
            <v>Arroyo Grande</v>
          </cell>
          <cell r="H1434" t="str">
            <v>salud_oral</v>
          </cell>
          <cell r="J1434" t="str">
            <v>bueno</v>
          </cell>
          <cell r="K1434" t="str">
            <v>probsi</v>
          </cell>
        </row>
        <row r="1435">
          <cell r="B1435" t="b">
            <v>1</v>
          </cell>
          <cell r="E1435" t="str">
            <v>Hospital Pozon</v>
          </cell>
          <cell r="H1435" t="str">
            <v>pediatria</v>
          </cell>
          <cell r="J1435" t="str">
            <v>bueno</v>
          </cell>
          <cell r="K1435" t="str">
            <v>defsi</v>
          </cell>
        </row>
        <row r="1436">
          <cell r="B1436" t="b">
            <v>1</v>
          </cell>
          <cell r="E1436" t="str">
            <v>Arroyo Grande</v>
          </cell>
          <cell r="H1436" t="str">
            <v>laboratorio</v>
          </cell>
          <cell r="J1436" t="str">
            <v>bueno</v>
          </cell>
          <cell r="K1436" t="str">
            <v>probsi</v>
          </cell>
        </row>
        <row r="1437">
          <cell r="B1437" t="b">
            <v>1</v>
          </cell>
          <cell r="E1437" t="str">
            <v>Hospital Pozon</v>
          </cell>
          <cell r="H1437" t="str">
            <v>consulta_externa</v>
          </cell>
          <cell r="J1437" t="str">
            <v>bueno</v>
          </cell>
          <cell r="K1437" t="str">
            <v>defsi</v>
          </cell>
        </row>
        <row r="1438">
          <cell r="B1438" t="b">
            <v>1</v>
          </cell>
          <cell r="E1438" t="str">
            <v>Hospital Pozon</v>
          </cell>
          <cell r="H1438" t="str">
            <v>salud_oral</v>
          </cell>
          <cell r="J1438" t="str">
            <v>bueno</v>
          </cell>
          <cell r="K1438" t="str">
            <v>defsi</v>
          </cell>
        </row>
        <row r="1439">
          <cell r="B1439" t="b">
            <v>1</v>
          </cell>
          <cell r="E1439" t="str">
            <v>Isla del Rosario</v>
          </cell>
          <cell r="H1439" t="str">
            <v>salud_oral</v>
          </cell>
          <cell r="J1439" t="str">
            <v>muybueno</v>
          </cell>
          <cell r="K1439" t="str">
            <v>defsi</v>
          </cell>
        </row>
        <row r="1440">
          <cell r="B1440" t="b">
            <v>1</v>
          </cell>
          <cell r="E1440" t="str">
            <v>Hospital Pozon</v>
          </cell>
          <cell r="H1440" t="str">
            <v>laboratorio</v>
          </cell>
          <cell r="J1440" t="str">
            <v>bueno</v>
          </cell>
          <cell r="K1440" t="str">
            <v>defsi</v>
          </cell>
        </row>
        <row r="1441">
          <cell r="B1441" t="b">
            <v>1</v>
          </cell>
          <cell r="E1441" t="str">
            <v>Hospital Pozon</v>
          </cell>
          <cell r="H1441" t="str">
            <v>urgencia</v>
          </cell>
          <cell r="J1441" t="str">
            <v>bueno</v>
          </cell>
          <cell r="K1441" t="str">
            <v>defsi</v>
          </cell>
        </row>
        <row r="1442">
          <cell r="B1442" t="b">
            <v>1</v>
          </cell>
          <cell r="E1442" t="str">
            <v>Hospital Pozon</v>
          </cell>
          <cell r="H1442" t="str">
            <v>rx</v>
          </cell>
          <cell r="J1442" t="str">
            <v>bueno</v>
          </cell>
          <cell r="K1442" t="str">
            <v>defsi</v>
          </cell>
        </row>
        <row r="1443">
          <cell r="B1443" t="b">
            <v>1</v>
          </cell>
          <cell r="E1443" t="str">
            <v>Isla del Rosario</v>
          </cell>
          <cell r="H1443" t="str">
            <v>consulta_externa</v>
          </cell>
          <cell r="J1443" t="str">
            <v>muybueno</v>
          </cell>
          <cell r="K1443" t="str">
            <v>defsi</v>
          </cell>
        </row>
        <row r="1444">
          <cell r="B1444" t="b">
            <v>1</v>
          </cell>
          <cell r="E1444" t="str">
            <v>Isla del Rosario</v>
          </cell>
          <cell r="H1444" t="str">
            <v>laboratorio</v>
          </cell>
          <cell r="J1444" t="str">
            <v>muybueno</v>
          </cell>
          <cell r="K1444" t="str">
            <v>defsi</v>
          </cell>
        </row>
        <row r="1445">
          <cell r="B1445" t="b">
            <v>1</v>
          </cell>
          <cell r="E1445" t="str">
            <v>Arroyo Grande</v>
          </cell>
          <cell r="H1445" t="str">
            <v>consulta_externa</v>
          </cell>
          <cell r="J1445" t="str">
            <v>bueno</v>
          </cell>
          <cell r="K1445" t="str">
            <v>probsi</v>
          </cell>
        </row>
        <row r="1446">
          <cell r="B1446" t="b">
            <v>1</v>
          </cell>
          <cell r="E1446" t="str">
            <v>Arroyo Grande</v>
          </cell>
          <cell r="H1446" t="str">
            <v>consulta_externa</v>
          </cell>
          <cell r="J1446" t="str">
            <v>muybueno</v>
          </cell>
          <cell r="K1446" t="str">
            <v>probsi</v>
          </cell>
        </row>
        <row r="1447">
          <cell r="B1447" t="b">
            <v>1</v>
          </cell>
          <cell r="E1447" t="str">
            <v>Arroyo Grande</v>
          </cell>
          <cell r="H1447" t="str">
            <v>laboratorio</v>
          </cell>
          <cell r="J1447" t="str">
            <v>bueno</v>
          </cell>
          <cell r="K1447" t="str">
            <v>probsi</v>
          </cell>
        </row>
        <row r="1448">
          <cell r="B1448" t="b">
            <v>1</v>
          </cell>
          <cell r="E1448" t="str">
            <v>Arroyo Grande</v>
          </cell>
          <cell r="H1448" t="str">
            <v>consulta_externa</v>
          </cell>
          <cell r="J1448" t="str">
            <v>bueno</v>
          </cell>
          <cell r="K1448" t="str">
            <v>probsi</v>
          </cell>
        </row>
        <row r="1449">
          <cell r="B1449" t="b">
            <v>1</v>
          </cell>
          <cell r="E1449" t="str">
            <v>Arroz Barato</v>
          </cell>
          <cell r="H1449" t="str">
            <v>consulta_externa</v>
          </cell>
          <cell r="J1449" t="str">
            <v>bueno</v>
          </cell>
          <cell r="K1449" t="str">
            <v>defsi</v>
          </cell>
        </row>
        <row r="1450">
          <cell r="B1450" t="b">
            <v>1</v>
          </cell>
          <cell r="E1450" t="str">
            <v>Arroz Barato</v>
          </cell>
          <cell r="H1450" t="str">
            <v>laboratorio</v>
          </cell>
          <cell r="J1450" t="str">
            <v>bueno</v>
          </cell>
          <cell r="K1450" t="str">
            <v>defsi</v>
          </cell>
        </row>
        <row r="1451">
          <cell r="B1451" t="b">
            <v>1</v>
          </cell>
          <cell r="E1451" t="str">
            <v>Arroz Barato</v>
          </cell>
          <cell r="H1451" t="str">
            <v>rx</v>
          </cell>
          <cell r="J1451" t="str">
            <v>bueno</v>
          </cell>
          <cell r="K1451" t="str">
            <v>defsi</v>
          </cell>
        </row>
        <row r="1452">
          <cell r="B1452" t="b">
            <v>1</v>
          </cell>
          <cell r="E1452" t="str">
            <v>Arroz Barato</v>
          </cell>
          <cell r="H1452" t="str">
            <v>rx</v>
          </cell>
          <cell r="J1452" t="str">
            <v>bueno</v>
          </cell>
          <cell r="K1452" t="str">
            <v>defsi</v>
          </cell>
        </row>
        <row r="1453">
          <cell r="B1453" t="b">
            <v>1</v>
          </cell>
          <cell r="E1453" t="str">
            <v>Arroz Barato</v>
          </cell>
          <cell r="H1453" t="str">
            <v>rx</v>
          </cell>
          <cell r="J1453" t="str">
            <v>muybueno</v>
          </cell>
          <cell r="K1453" t="str">
            <v>defsi</v>
          </cell>
        </row>
        <row r="1454">
          <cell r="B1454" t="b">
            <v>1</v>
          </cell>
          <cell r="E1454" t="str">
            <v>Arroz Barato</v>
          </cell>
          <cell r="H1454" t="str">
            <v>rx</v>
          </cell>
          <cell r="J1454" t="str">
            <v>bueno</v>
          </cell>
          <cell r="K1454" t="str">
            <v>defsi</v>
          </cell>
        </row>
        <row r="1455">
          <cell r="B1455" t="b">
            <v>1</v>
          </cell>
          <cell r="E1455" t="str">
            <v>Arroz Barato</v>
          </cell>
          <cell r="H1455" t="str">
            <v>laboratorio</v>
          </cell>
          <cell r="J1455" t="str">
            <v>bueno</v>
          </cell>
          <cell r="K1455" t="str">
            <v>defsi</v>
          </cell>
        </row>
        <row r="1456">
          <cell r="B1456" t="b">
            <v>1</v>
          </cell>
          <cell r="E1456" t="str">
            <v>Arroz Barato</v>
          </cell>
          <cell r="H1456" t="str">
            <v>laboratorio</v>
          </cell>
          <cell r="J1456" t="str">
            <v>bueno</v>
          </cell>
          <cell r="K1456" t="str">
            <v>defsi</v>
          </cell>
        </row>
        <row r="1457">
          <cell r="B1457" t="b">
            <v>1</v>
          </cell>
          <cell r="E1457" t="str">
            <v>Arroyo Grande</v>
          </cell>
          <cell r="H1457" t="str">
            <v>consulta_externa</v>
          </cell>
          <cell r="J1457" t="str">
            <v>bueno</v>
          </cell>
          <cell r="K1457" t="str">
            <v>probsi</v>
          </cell>
        </row>
        <row r="1458">
          <cell r="B1458" t="b">
            <v>1</v>
          </cell>
          <cell r="E1458" t="str">
            <v>Arroz Barato</v>
          </cell>
          <cell r="H1458" t="str">
            <v>consulta_externa</v>
          </cell>
          <cell r="J1458" t="str">
            <v>bueno</v>
          </cell>
          <cell r="K1458" t="str">
            <v>defsi</v>
          </cell>
        </row>
        <row r="1459">
          <cell r="B1459" t="b">
            <v>1</v>
          </cell>
          <cell r="E1459" t="str">
            <v>Arroyo Grande</v>
          </cell>
          <cell r="H1459" t="str">
            <v>laboratorio</v>
          </cell>
          <cell r="J1459" t="str">
            <v>bueno</v>
          </cell>
          <cell r="K1459" t="str">
            <v>probsi</v>
          </cell>
        </row>
        <row r="1460">
          <cell r="B1460" t="b">
            <v>1</v>
          </cell>
          <cell r="E1460" t="str">
            <v>Arroyo Grande</v>
          </cell>
          <cell r="H1460" t="str">
            <v>salud_oral</v>
          </cell>
          <cell r="J1460" t="str">
            <v>bueno</v>
          </cell>
          <cell r="K1460" t="str">
            <v>probsi</v>
          </cell>
        </row>
        <row r="1461">
          <cell r="B1461" t="b">
            <v>1</v>
          </cell>
          <cell r="E1461" t="str">
            <v>Arroz Barato</v>
          </cell>
          <cell r="H1461" t="str">
            <v>consulta_externa</v>
          </cell>
          <cell r="J1461" t="str">
            <v>bueno</v>
          </cell>
          <cell r="K1461" t="str">
            <v>defsi</v>
          </cell>
        </row>
        <row r="1462">
          <cell r="B1462" t="b">
            <v>1</v>
          </cell>
          <cell r="E1462" t="str">
            <v>Isla del Rosario</v>
          </cell>
          <cell r="H1462" t="str">
            <v>laboratorio</v>
          </cell>
          <cell r="J1462" t="str">
            <v>muybueno</v>
          </cell>
          <cell r="K1462" t="str">
            <v>defsi</v>
          </cell>
        </row>
        <row r="1463">
          <cell r="B1463" t="b">
            <v>1</v>
          </cell>
          <cell r="E1463" t="str">
            <v>Arroz Barato</v>
          </cell>
          <cell r="H1463" t="str">
            <v>laboratorio</v>
          </cell>
          <cell r="J1463" t="str">
            <v>bueno</v>
          </cell>
          <cell r="K1463" t="str">
            <v>defsi</v>
          </cell>
        </row>
        <row r="1464">
          <cell r="B1464" t="b">
            <v>0</v>
          </cell>
          <cell r="E1464" t="str">
            <v>Arroz Barato</v>
          </cell>
          <cell r="H1464" t="str">
            <v>laboratorio</v>
          </cell>
          <cell r="J1464" t="str">
            <v>regular</v>
          </cell>
          <cell r="K1464" t="str">
            <v>defsi</v>
          </cell>
        </row>
        <row r="1465">
          <cell r="B1465" t="b">
            <v>1</v>
          </cell>
          <cell r="E1465" t="str">
            <v>Arroz Barato</v>
          </cell>
          <cell r="H1465" t="str">
            <v>laboratorio</v>
          </cell>
          <cell r="J1465" t="str">
            <v>bueno</v>
          </cell>
          <cell r="K1465" t="str">
            <v>defsi</v>
          </cell>
        </row>
        <row r="1466">
          <cell r="B1466" t="b">
            <v>1</v>
          </cell>
          <cell r="E1466" t="str">
            <v>Arroz Barato</v>
          </cell>
          <cell r="H1466" t="str">
            <v>laboratorio</v>
          </cell>
          <cell r="J1466" t="str">
            <v>bueno</v>
          </cell>
          <cell r="K1466" t="str">
            <v>defsi</v>
          </cell>
        </row>
        <row r="1467">
          <cell r="B1467" t="b">
            <v>1</v>
          </cell>
          <cell r="E1467" t="str">
            <v>Arroz Barato</v>
          </cell>
          <cell r="H1467" t="str">
            <v>consulta_externa</v>
          </cell>
          <cell r="J1467" t="str">
            <v>bueno</v>
          </cell>
          <cell r="K1467" t="str">
            <v>defsi</v>
          </cell>
        </row>
        <row r="1468">
          <cell r="B1468" t="b">
            <v>1</v>
          </cell>
          <cell r="E1468" t="str">
            <v>Arroz Barato</v>
          </cell>
          <cell r="H1468" t="str">
            <v>laboratorio</v>
          </cell>
          <cell r="J1468" t="str">
            <v>bueno</v>
          </cell>
          <cell r="K1468" t="str">
            <v>defsi</v>
          </cell>
        </row>
        <row r="1469">
          <cell r="B1469" t="b">
            <v>1</v>
          </cell>
          <cell r="E1469" t="str">
            <v>Arroz Barato</v>
          </cell>
          <cell r="H1469" t="str">
            <v>consulta_externa</v>
          </cell>
          <cell r="J1469" t="str">
            <v>bueno</v>
          </cell>
          <cell r="K1469" t="str">
            <v>defsi</v>
          </cell>
        </row>
        <row r="1470">
          <cell r="B1470" t="b">
            <v>1</v>
          </cell>
          <cell r="E1470" t="str">
            <v>Arroz Barato</v>
          </cell>
          <cell r="H1470" t="str">
            <v>consulta_externa</v>
          </cell>
          <cell r="J1470" t="str">
            <v>bueno</v>
          </cell>
          <cell r="K1470" t="str">
            <v>defsi</v>
          </cell>
        </row>
        <row r="1471">
          <cell r="B1471" t="b">
            <v>0</v>
          </cell>
          <cell r="E1471" t="str">
            <v>Arroz Barato</v>
          </cell>
          <cell r="H1471" t="str">
            <v>laboratorio</v>
          </cell>
          <cell r="J1471" t="str">
            <v>regular</v>
          </cell>
          <cell r="K1471" t="str">
            <v>defsi</v>
          </cell>
        </row>
        <row r="1472">
          <cell r="B1472" t="b">
            <v>1</v>
          </cell>
          <cell r="E1472" t="str">
            <v>Cano de Oro</v>
          </cell>
          <cell r="H1472" t="str">
            <v>salud_oral</v>
          </cell>
          <cell r="J1472" t="str">
            <v>bueno</v>
          </cell>
          <cell r="K1472" t="str">
            <v>defsi</v>
          </cell>
        </row>
        <row r="1473">
          <cell r="B1473" t="b">
            <v>1</v>
          </cell>
          <cell r="E1473" t="str">
            <v>Arroz Barato</v>
          </cell>
          <cell r="H1473" t="str">
            <v>laboratorio</v>
          </cell>
          <cell r="J1473" t="str">
            <v>bueno</v>
          </cell>
          <cell r="K1473" t="str">
            <v>defsi</v>
          </cell>
        </row>
        <row r="1474">
          <cell r="B1474" t="b">
            <v>0</v>
          </cell>
          <cell r="E1474" t="str">
            <v>Arroz Barato</v>
          </cell>
          <cell r="H1474" t="str">
            <v>salud_oral</v>
          </cell>
          <cell r="J1474" t="str">
            <v>regular</v>
          </cell>
          <cell r="K1474" t="str">
            <v>defsi</v>
          </cell>
        </row>
        <row r="1475">
          <cell r="B1475" t="b">
            <v>1</v>
          </cell>
          <cell r="E1475" t="str">
            <v>Arroz Barato</v>
          </cell>
          <cell r="H1475" t="str">
            <v>salud_oral</v>
          </cell>
          <cell r="J1475" t="str">
            <v>bueno</v>
          </cell>
          <cell r="K1475" t="str">
            <v>defsi</v>
          </cell>
        </row>
        <row r="1476">
          <cell r="B1476" t="b">
            <v>1</v>
          </cell>
          <cell r="E1476" t="str">
            <v>Arroz Barato</v>
          </cell>
          <cell r="H1476" t="str">
            <v>salud_oral</v>
          </cell>
          <cell r="J1476" t="str">
            <v>bueno</v>
          </cell>
          <cell r="K1476" t="str">
            <v>defsi</v>
          </cell>
        </row>
        <row r="1477">
          <cell r="B1477" t="b">
            <v>1</v>
          </cell>
          <cell r="E1477" t="str">
            <v>Arroz Barato</v>
          </cell>
          <cell r="H1477" t="str">
            <v>salud_oral</v>
          </cell>
          <cell r="J1477" t="str">
            <v>muybueno</v>
          </cell>
          <cell r="K1477" t="str">
            <v>defsi</v>
          </cell>
        </row>
        <row r="1478">
          <cell r="B1478" t="b">
            <v>1</v>
          </cell>
          <cell r="E1478" t="str">
            <v>Arroz Barato</v>
          </cell>
          <cell r="H1478" t="str">
            <v>consulta_externa</v>
          </cell>
          <cell r="J1478" t="str">
            <v>muybueno</v>
          </cell>
          <cell r="K1478" t="str">
            <v>defsi</v>
          </cell>
        </row>
        <row r="1479">
          <cell r="B1479" t="b">
            <v>1</v>
          </cell>
          <cell r="E1479" t="str">
            <v>Arroz Barato</v>
          </cell>
          <cell r="H1479" t="str">
            <v>rx</v>
          </cell>
          <cell r="J1479" t="str">
            <v>bueno</v>
          </cell>
          <cell r="K1479" t="str">
            <v>defsi</v>
          </cell>
        </row>
        <row r="1480">
          <cell r="B1480" t="b">
            <v>1</v>
          </cell>
          <cell r="E1480" t="str">
            <v>Arroz Barato</v>
          </cell>
          <cell r="H1480" t="str">
            <v>rx</v>
          </cell>
          <cell r="J1480" t="str">
            <v>bueno</v>
          </cell>
          <cell r="K1480" t="str">
            <v>defsi</v>
          </cell>
        </row>
        <row r="1481">
          <cell r="B1481" t="b">
            <v>0</v>
          </cell>
          <cell r="E1481" t="str">
            <v>Arroz Barato</v>
          </cell>
          <cell r="H1481" t="str">
            <v>rx</v>
          </cell>
          <cell r="J1481" t="str">
            <v>regular</v>
          </cell>
          <cell r="K1481" t="str">
            <v>defsi</v>
          </cell>
        </row>
        <row r="1482">
          <cell r="B1482" t="b">
            <v>1</v>
          </cell>
          <cell r="E1482" t="str">
            <v>Arroz Barato</v>
          </cell>
          <cell r="H1482" t="str">
            <v>rx</v>
          </cell>
          <cell r="J1482" t="str">
            <v>bueno</v>
          </cell>
          <cell r="K1482" t="str">
            <v>defsi</v>
          </cell>
        </row>
        <row r="1483">
          <cell r="B1483" t="b">
            <v>1</v>
          </cell>
          <cell r="E1483" t="str">
            <v>Hospital Pozon</v>
          </cell>
          <cell r="H1483" t="str">
            <v>ginecologia</v>
          </cell>
          <cell r="J1483" t="str">
            <v>bueno</v>
          </cell>
          <cell r="K1483" t="str">
            <v>defsi</v>
          </cell>
        </row>
        <row r="1484">
          <cell r="B1484" t="b">
            <v>1</v>
          </cell>
          <cell r="E1484" t="str">
            <v>Arroz Barato</v>
          </cell>
          <cell r="H1484" t="str">
            <v>salud_oral</v>
          </cell>
          <cell r="J1484" t="str">
            <v>bueno</v>
          </cell>
          <cell r="K1484" t="str">
            <v>defsi</v>
          </cell>
        </row>
        <row r="1485">
          <cell r="B1485" t="b">
            <v>1</v>
          </cell>
          <cell r="E1485" t="str">
            <v>Cano de Oro</v>
          </cell>
          <cell r="H1485" t="str">
            <v>consulta_externa</v>
          </cell>
          <cell r="J1485" t="str">
            <v>bueno</v>
          </cell>
          <cell r="K1485" t="str">
            <v>defsi</v>
          </cell>
        </row>
        <row r="1486">
          <cell r="B1486" t="b">
            <v>1</v>
          </cell>
          <cell r="E1486" t="str">
            <v>Arroz Barato</v>
          </cell>
          <cell r="H1486" t="str">
            <v>salud_oral</v>
          </cell>
          <cell r="J1486" t="str">
            <v>bueno</v>
          </cell>
          <cell r="K1486" t="str">
            <v>defsi</v>
          </cell>
        </row>
        <row r="1487">
          <cell r="B1487" t="b">
            <v>1</v>
          </cell>
          <cell r="E1487" t="str">
            <v>Hospital Pozon</v>
          </cell>
          <cell r="H1487" t="str">
            <v>pediatria</v>
          </cell>
          <cell r="J1487" t="str">
            <v>bueno</v>
          </cell>
          <cell r="K1487" t="str">
            <v>defsi</v>
          </cell>
        </row>
        <row r="1488">
          <cell r="B1488" t="b">
            <v>1</v>
          </cell>
          <cell r="E1488" t="str">
            <v>Arroz Barato</v>
          </cell>
          <cell r="H1488" t="str">
            <v>urgencia</v>
          </cell>
          <cell r="J1488" t="str">
            <v>bueno</v>
          </cell>
          <cell r="K1488" t="str">
            <v>defsi</v>
          </cell>
        </row>
        <row r="1489">
          <cell r="B1489" t="b">
            <v>0</v>
          </cell>
          <cell r="E1489" t="str">
            <v>Arroz Barato</v>
          </cell>
          <cell r="H1489" t="str">
            <v>urgencia</v>
          </cell>
          <cell r="J1489" t="str">
            <v>regular</v>
          </cell>
          <cell r="K1489" t="str">
            <v>defsi</v>
          </cell>
        </row>
        <row r="1490">
          <cell r="B1490" t="b">
            <v>1</v>
          </cell>
          <cell r="E1490" t="str">
            <v>Arroz Barato</v>
          </cell>
          <cell r="H1490" t="str">
            <v>urgencia</v>
          </cell>
          <cell r="J1490" t="str">
            <v>bueno</v>
          </cell>
          <cell r="K1490" t="str">
            <v>defsi</v>
          </cell>
        </row>
        <row r="1491">
          <cell r="B1491" t="b">
            <v>1</v>
          </cell>
          <cell r="E1491" t="str">
            <v>Arroz Barato</v>
          </cell>
          <cell r="H1491" t="str">
            <v>urgencia</v>
          </cell>
          <cell r="J1491" t="str">
            <v>bueno</v>
          </cell>
          <cell r="K1491" t="str">
            <v>defsi</v>
          </cell>
        </row>
        <row r="1492">
          <cell r="B1492" t="b">
            <v>1</v>
          </cell>
          <cell r="E1492" t="str">
            <v>Hospital Pozon</v>
          </cell>
          <cell r="H1492" t="str">
            <v>ginecologia</v>
          </cell>
          <cell r="J1492" t="str">
            <v>bueno</v>
          </cell>
          <cell r="K1492" t="str">
            <v>defsi</v>
          </cell>
        </row>
        <row r="1493">
          <cell r="B1493" t="b">
            <v>1</v>
          </cell>
          <cell r="E1493" t="str">
            <v>Arroz Barato</v>
          </cell>
          <cell r="H1493" t="str">
            <v>salud_oral</v>
          </cell>
          <cell r="J1493" t="str">
            <v>bueno</v>
          </cell>
          <cell r="K1493" t="str">
            <v>defsi</v>
          </cell>
        </row>
        <row r="1494">
          <cell r="B1494" t="b">
            <v>1</v>
          </cell>
          <cell r="E1494" t="str">
            <v>Arroz Barato</v>
          </cell>
          <cell r="H1494" t="str">
            <v>salud_oral</v>
          </cell>
          <cell r="J1494" t="str">
            <v>bueno</v>
          </cell>
          <cell r="K1494" t="str">
            <v>defsi</v>
          </cell>
        </row>
        <row r="1495">
          <cell r="B1495" t="b">
            <v>1</v>
          </cell>
          <cell r="E1495" t="str">
            <v>Arroz Barato</v>
          </cell>
          <cell r="H1495" t="str">
            <v>consulta_externa</v>
          </cell>
          <cell r="J1495" t="str">
            <v>bueno</v>
          </cell>
          <cell r="K1495" t="str">
            <v>defsi</v>
          </cell>
        </row>
        <row r="1496">
          <cell r="B1496" t="b">
            <v>1</v>
          </cell>
          <cell r="E1496" t="str">
            <v>Isla del Rosario</v>
          </cell>
          <cell r="H1496" t="str">
            <v>consulta_externa</v>
          </cell>
          <cell r="J1496" t="str">
            <v>muybueno</v>
          </cell>
          <cell r="K1496" t="str">
            <v>defsi</v>
          </cell>
        </row>
        <row r="1497">
          <cell r="B1497" t="b">
            <v>1</v>
          </cell>
          <cell r="E1497" t="str">
            <v>Isla del Rosario</v>
          </cell>
          <cell r="H1497" t="str">
            <v>laboratorio</v>
          </cell>
          <cell r="J1497" t="str">
            <v>muybueno</v>
          </cell>
          <cell r="K1497" t="str">
            <v>defsi</v>
          </cell>
        </row>
        <row r="1498">
          <cell r="B1498" t="b">
            <v>1</v>
          </cell>
          <cell r="E1498" t="str">
            <v>Arroyo Grande</v>
          </cell>
          <cell r="H1498" t="str">
            <v>salud_oral</v>
          </cell>
          <cell r="J1498" t="str">
            <v>bueno</v>
          </cell>
          <cell r="K1498" t="str">
            <v>probsi</v>
          </cell>
        </row>
        <row r="1499">
          <cell r="B1499" t="b">
            <v>1</v>
          </cell>
          <cell r="E1499" t="str">
            <v>Arroyo Grande</v>
          </cell>
          <cell r="H1499" t="str">
            <v>salud_oral</v>
          </cell>
          <cell r="J1499" t="str">
            <v>bueno</v>
          </cell>
          <cell r="K1499" t="str">
            <v>probsi</v>
          </cell>
        </row>
        <row r="1500">
          <cell r="B1500" t="b">
            <v>1</v>
          </cell>
          <cell r="E1500" t="str">
            <v>Isla del Rosario</v>
          </cell>
          <cell r="H1500" t="str">
            <v>consulta_externa</v>
          </cell>
          <cell r="J1500" t="str">
            <v>muybueno</v>
          </cell>
          <cell r="K1500" t="str">
            <v>defsi</v>
          </cell>
        </row>
        <row r="1501">
          <cell r="B1501" t="b">
            <v>0</v>
          </cell>
          <cell r="E1501" t="str">
            <v>Arroyo Grande</v>
          </cell>
          <cell r="H1501" t="str">
            <v>consulta_externa</v>
          </cell>
          <cell r="J1501" t="str">
            <v>regular</v>
          </cell>
          <cell r="K1501" t="str">
            <v>probsi</v>
          </cell>
        </row>
        <row r="1502">
          <cell r="B1502" t="b">
            <v>1</v>
          </cell>
          <cell r="E1502" t="str">
            <v>Hospital Pozon</v>
          </cell>
          <cell r="H1502" t="str">
            <v>consulta_externa</v>
          </cell>
          <cell r="J1502" t="str">
            <v>bueno</v>
          </cell>
          <cell r="K1502" t="str">
            <v>defsi</v>
          </cell>
        </row>
        <row r="1503">
          <cell r="B1503" t="b">
            <v>1</v>
          </cell>
          <cell r="E1503" t="str">
            <v>Hospital Pozon</v>
          </cell>
          <cell r="H1503" t="str">
            <v>salud_oral</v>
          </cell>
          <cell r="J1503" t="str">
            <v>bueno</v>
          </cell>
          <cell r="K1503" t="str">
            <v>defsi</v>
          </cell>
        </row>
        <row r="1504">
          <cell r="B1504" t="b">
            <v>1</v>
          </cell>
          <cell r="E1504" t="str">
            <v>Hospital Pozon</v>
          </cell>
          <cell r="H1504" t="str">
            <v>laboratorio</v>
          </cell>
          <cell r="J1504" t="str">
            <v>bueno</v>
          </cell>
          <cell r="K1504" t="str">
            <v>defsi</v>
          </cell>
        </row>
        <row r="1505">
          <cell r="B1505" t="b">
            <v>1</v>
          </cell>
          <cell r="E1505" t="str">
            <v>Hospital Pozon</v>
          </cell>
          <cell r="H1505" t="str">
            <v>urgencia</v>
          </cell>
          <cell r="J1505" t="str">
            <v>bueno</v>
          </cell>
          <cell r="K1505" t="str">
            <v>defsi</v>
          </cell>
        </row>
        <row r="1506">
          <cell r="B1506" t="b">
            <v>1</v>
          </cell>
          <cell r="E1506" t="str">
            <v>Arroyo Grande</v>
          </cell>
          <cell r="H1506" t="str">
            <v>laboratorio</v>
          </cell>
          <cell r="J1506" t="str">
            <v>bueno</v>
          </cell>
          <cell r="K1506" t="str">
            <v>probsi</v>
          </cell>
        </row>
        <row r="1507">
          <cell r="B1507" t="b">
            <v>1</v>
          </cell>
          <cell r="E1507" t="str">
            <v>Arroyo Grande</v>
          </cell>
          <cell r="H1507" t="str">
            <v>salud_oral</v>
          </cell>
          <cell r="J1507" t="str">
            <v>bueno</v>
          </cell>
          <cell r="K1507" t="str">
            <v>probsi</v>
          </cell>
        </row>
        <row r="1508">
          <cell r="B1508" t="b">
            <v>1</v>
          </cell>
          <cell r="E1508" t="str">
            <v>Arroyo Grande</v>
          </cell>
          <cell r="H1508" t="str">
            <v>salud_oral</v>
          </cell>
          <cell r="J1508" t="str">
            <v>bueno</v>
          </cell>
          <cell r="K1508" t="str">
            <v>probsi</v>
          </cell>
        </row>
        <row r="1509">
          <cell r="B1509" t="b">
            <v>1</v>
          </cell>
          <cell r="E1509" t="str">
            <v>Hospital Pozon</v>
          </cell>
          <cell r="H1509" t="str">
            <v>rx</v>
          </cell>
          <cell r="J1509" t="str">
            <v>bueno</v>
          </cell>
          <cell r="K1509" t="str">
            <v>defsi</v>
          </cell>
        </row>
        <row r="1510">
          <cell r="B1510" t="b">
            <v>1</v>
          </cell>
          <cell r="E1510" t="str">
            <v>Arroyo Grande</v>
          </cell>
          <cell r="H1510" t="str">
            <v>laboratorio</v>
          </cell>
          <cell r="J1510" t="str">
            <v>bueno</v>
          </cell>
          <cell r="K1510" t="str">
            <v>probsi</v>
          </cell>
        </row>
        <row r="1511">
          <cell r="B1511" t="b">
            <v>1</v>
          </cell>
          <cell r="E1511" t="str">
            <v>Hospital Pozon</v>
          </cell>
          <cell r="H1511" t="str">
            <v>ginecologia</v>
          </cell>
          <cell r="J1511" t="str">
            <v>bueno</v>
          </cell>
          <cell r="K1511" t="str">
            <v>defsi</v>
          </cell>
        </row>
        <row r="1512">
          <cell r="B1512" t="b">
            <v>1</v>
          </cell>
          <cell r="E1512" t="str">
            <v>Cano de Oro</v>
          </cell>
          <cell r="H1512" t="str">
            <v>salud_oral</v>
          </cell>
          <cell r="J1512" t="str">
            <v>muybueno</v>
          </cell>
          <cell r="K1512" t="str">
            <v>defsi</v>
          </cell>
        </row>
        <row r="1513">
          <cell r="B1513" t="b">
            <v>1</v>
          </cell>
          <cell r="E1513" t="str">
            <v>Hospital Pozon</v>
          </cell>
          <cell r="H1513" t="str">
            <v>pediatria</v>
          </cell>
          <cell r="J1513" t="str">
            <v>bueno</v>
          </cell>
          <cell r="K1513" t="str">
            <v>defsi</v>
          </cell>
        </row>
        <row r="1514">
          <cell r="B1514" t="b">
            <v>1</v>
          </cell>
          <cell r="E1514" t="str">
            <v>Arroyo Grande</v>
          </cell>
          <cell r="H1514" t="str">
            <v>consulta_externa</v>
          </cell>
          <cell r="J1514" t="str">
            <v>bueno</v>
          </cell>
          <cell r="K1514" t="str">
            <v>probsi</v>
          </cell>
        </row>
        <row r="1515">
          <cell r="B1515" t="b">
            <v>1</v>
          </cell>
          <cell r="E1515" t="str">
            <v>Arroyo Grande</v>
          </cell>
          <cell r="H1515" t="str">
            <v>salud_oral</v>
          </cell>
          <cell r="J1515" t="str">
            <v>bueno</v>
          </cell>
          <cell r="K1515" t="str">
            <v>probsi</v>
          </cell>
        </row>
        <row r="1516">
          <cell r="B1516" t="b">
            <v>1</v>
          </cell>
          <cell r="E1516" t="str">
            <v>Cano de Oro</v>
          </cell>
          <cell r="H1516" t="str">
            <v>laboratorio</v>
          </cell>
          <cell r="J1516" t="str">
            <v>muybueno</v>
          </cell>
          <cell r="K1516" t="str">
            <v>defsi</v>
          </cell>
        </row>
        <row r="1517">
          <cell r="B1517" t="b">
            <v>1</v>
          </cell>
          <cell r="E1517" t="str">
            <v>Isla del Rosario</v>
          </cell>
          <cell r="H1517" t="str">
            <v>consulta_externa</v>
          </cell>
          <cell r="J1517" t="str">
            <v>muybueno</v>
          </cell>
          <cell r="K1517" t="str">
            <v>defsi</v>
          </cell>
        </row>
        <row r="1518">
          <cell r="B1518" t="b">
            <v>1</v>
          </cell>
          <cell r="E1518" t="str">
            <v>Isla del Rosario</v>
          </cell>
          <cell r="H1518" t="str">
            <v>laboratorio</v>
          </cell>
          <cell r="J1518" t="str">
            <v>muybueno</v>
          </cell>
          <cell r="K1518" t="str">
            <v>defsi</v>
          </cell>
        </row>
        <row r="1519">
          <cell r="B1519" t="b">
            <v>1</v>
          </cell>
          <cell r="E1519" t="str">
            <v>Cano de Oro</v>
          </cell>
          <cell r="H1519" t="str">
            <v>consulta_externa</v>
          </cell>
          <cell r="J1519" t="str">
            <v>muybueno</v>
          </cell>
          <cell r="K1519" t="str">
            <v>defsi</v>
          </cell>
        </row>
        <row r="1520">
          <cell r="B1520" t="b">
            <v>1</v>
          </cell>
          <cell r="E1520" t="str">
            <v>Isla del Rosario</v>
          </cell>
          <cell r="H1520" t="str">
            <v>consulta_externa</v>
          </cell>
          <cell r="J1520" t="str">
            <v>muybueno</v>
          </cell>
          <cell r="K1520" t="str">
            <v>defsi</v>
          </cell>
        </row>
        <row r="1521">
          <cell r="B1521" t="b">
            <v>1</v>
          </cell>
          <cell r="E1521" t="str">
            <v>Isla del Rosario</v>
          </cell>
          <cell r="H1521" t="str">
            <v>salud_oral</v>
          </cell>
          <cell r="J1521" t="str">
            <v>muybueno</v>
          </cell>
          <cell r="K1521" t="str">
            <v>defsi</v>
          </cell>
        </row>
        <row r="1522">
          <cell r="B1522" t="b">
            <v>1</v>
          </cell>
          <cell r="E1522" t="str">
            <v>Hospital Pozon</v>
          </cell>
          <cell r="H1522" t="str">
            <v>consulta_externa</v>
          </cell>
          <cell r="J1522" t="str">
            <v>bueno</v>
          </cell>
          <cell r="K1522" t="str">
            <v>defsi</v>
          </cell>
        </row>
        <row r="1523">
          <cell r="B1523" t="b">
            <v>1</v>
          </cell>
          <cell r="E1523" t="str">
            <v>Hospital Pozon</v>
          </cell>
          <cell r="H1523" t="str">
            <v>salud_oral</v>
          </cell>
          <cell r="J1523" t="str">
            <v>bueno</v>
          </cell>
          <cell r="K1523" t="str">
            <v>defsi</v>
          </cell>
        </row>
        <row r="1524">
          <cell r="B1524" t="b">
            <v>1</v>
          </cell>
          <cell r="E1524" t="str">
            <v>Hospital Pozon</v>
          </cell>
          <cell r="H1524" t="str">
            <v>laboratorio</v>
          </cell>
          <cell r="J1524" t="str">
            <v>bueno</v>
          </cell>
          <cell r="K1524" t="str">
            <v>defsi</v>
          </cell>
        </row>
        <row r="1525">
          <cell r="B1525" t="b">
            <v>1</v>
          </cell>
          <cell r="E1525" t="str">
            <v>Pasacaballos</v>
          </cell>
          <cell r="H1525" t="str">
            <v>laboratorio</v>
          </cell>
          <cell r="J1525" t="str">
            <v>bueno</v>
          </cell>
          <cell r="K1525" t="str">
            <v>defsi</v>
          </cell>
        </row>
        <row r="1526">
          <cell r="B1526" t="b">
            <v>1</v>
          </cell>
          <cell r="E1526" t="str">
            <v>Pasacaballos</v>
          </cell>
          <cell r="H1526" t="str">
            <v>consulta_externa</v>
          </cell>
          <cell r="J1526" t="str">
            <v>bueno</v>
          </cell>
          <cell r="K1526" t="str">
            <v>defsi</v>
          </cell>
        </row>
        <row r="1527">
          <cell r="B1527" t="b">
            <v>1</v>
          </cell>
          <cell r="E1527" t="str">
            <v>Hospital Pozon</v>
          </cell>
          <cell r="H1527" t="str">
            <v>urgencia</v>
          </cell>
          <cell r="J1527" t="str">
            <v>bueno</v>
          </cell>
          <cell r="K1527" t="str">
            <v>defsi</v>
          </cell>
        </row>
        <row r="1528">
          <cell r="B1528" t="b">
            <v>1</v>
          </cell>
          <cell r="E1528" t="str">
            <v>Pasacaballos</v>
          </cell>
          <cell r="H1528" t="str">
            <v>salud_oral</v>
          </cell>
          <cell r="J1528" t="str">
            <v>bueno</v>
          </cell>
          <cell r="K1528" t="str">
            <v>defsi</v>
          </cell>
        </row>
        <row r="1529">
          <cell r="B1529" t="b">
            <v>1</v>
          </cell>
          <cell r="E1529" t="str">
            <v>Pasacaballos</v>
          </cell>
          <cell r="H1529" t="str">
            <v>salud_oral</v>
          </cell>
          <cell r="J1529" t="str">
            <v>bueno</v>
          </cell>
          <cell r="K1529" t="str">
            <v>defsi</v>
          </cell>
        </row>
        <row r="1530">
          <cell r="B1530" t="b">
            <v>1</v>
          </cell>
          <cell r="E1530" t="str">
            <v>Pasacaballos</v>
          </cell>
          <cell r="H1530" t="str">
            <v>consulta_externa</v>
          </cell>
          <cell r="J1530" t="str">
            <v>bueno</v>
          </cell>
          <cell r="K1530" t="str">
            <v>defsi</v>
          </cell>
        </row>
        <row r="1531">
          <cell r="B1531" t="b">
            <v>1</v>
          </cell>
          <cell r="E1531" t="str">
            <v>Pasacaballos</v>
          </cell>
          <cell r="H1531" t="str">
            <v>consulta_externa</v>
          </cell>
          <cell r="J1531" t="str">
            <v>bueno</v>
          </cell>
          <cell r="K1531" t="str">
            <v>defsi</v>
          </cell>
        </row>
        <row r="1532">
          <cell r="B1532" t="b">
            <v>1</v>
          </cell>
          <cell r="E1532" t="str">
            <v>Arroyo de Piedra</v>
          </cell>
          <cell r="H1532" t="str">
            <v>consulta_externa</v>
          </cell>
          <cell r="J1532" t="str">
            <v>bueno</v>
          </cell>
          <cell r="K1532" t="str">
            <v>probsi</v>
          </cell>
        </row>
        <row r="1533">
          <cell r="B1533" t="b">
            <v>1</v>
          </cell>
          <cell r="E1533" t="str">
            <v>Arroyo de Piedra</v>
          </cell>
          <cell r="H1533" t="str">
            <v>consulta_externa</v>
          </cell>
          <cell r="J1533" t="str">
            <v>bueno</v>
          </cell>
          <cell r="K1533" t="str">
            <v>probsi</v>
          </cell>
        </row>
        <row r="1534">
          <cell r="B1534" t="b">
            <v>1</v>
          </cell>
          <cell r="E1534" t="str">
            <v>Arroyo de Piedra</v>
          </cell>
          <cell r="H1534" t="str">
            <v>salud_oral</v>
          </cell>
          <cell r="J1534" t="str">
            <v>bueno</v>
          </cell>
          <cell r="K1534" t="str">
            <v>probsi</v>
          </cell>
        </row>
        <row r="1535">
          <cell r="B1535" t="b">
            <v>1</v>
          </cell>
          <cell r="E1535" t="str">
            <v>Pasacaballos</v>
          </cell>
          <cell r="H1535" t="str">
            <v>consulta_externa</v>
          </cell>
          <cell r="J1535" t="str">
            <v>bueno</v>
          </cell>
          <cell r="K1535" t="str">
            <v>defsi</v>
          </cell>
        </row>
        <row r="1536">
          <cell r="B1536" t="b">
            <v>1</v>
          </cell>
          <cell r="E1536" t="str">
            <v>Arroyo de Piedra</v>
          </cell>
          <cell r="H1536" t="str">
            <v>laboratorio</v>
          </cell>
          <cell r="J1536" t="str">
            <v>bueno</v>
          </cell>
          <cell r="K1536" t="str">
            <v>probsi</v>
          </cell>
        </row>
        <row r="1537">
          <cell r="B1537" t="b">
            <v>1</v>
          </cell>
          <cell r="E1537" t="str">
            <v>Pasacaballos</v>
          </cell>
          <cell r="H1537" t="str">
            <v>laboratorio</v>
          </cell>
          <cell r="J1537" t="str">
            <v>bueno</v>
          </cell>
          <cell r="K1537" t="str">
            <v>defsi</v>
          </cell>
        </row>
        <row r="1538">
          <cell r="B1538" t="b">
            <v>1</v>
          </cell>
          <cell r="E1538" t="str">
            <v>Hospital Pozon</v>
          </cell>
          <cell r="H1538" t="str">
            <v>rx</v>
          </cell>
          <cell r="J1538" t="str">
            <v>bueno</v>
          </cell>
          <cell r="K1538" t="str">
            <v>defsi</v>
          </cell>
        </row>
        <row r="1539">
          <cell r="B1539" t="b">
            <v>1</v>
          </cell>
          <cell r="E1539" t="str">
            <v>Pasacaballos</v>
          </cell>
          <cell r="H1539" t="str">
            <v>salud_oral</v>
          </cell>
          <cell r="J1539" t="str">
            <v>bueno</v>
          </cell>
          <cell r="K1539" t="str">
            <v>defsi</v>
          </cell>
        </row>
        <row r="1540">
          <cell r="B1540" t="b">
            <v>1</v>
          </cell>
          <cell r="E1540" t="str">
            <v>Pasacaballos</v>
          </cell>
          <cell r="H1540" t="str">
            <v>consulta_externa</v>
          </cell>
          <cell r="J1540" t="str">
            <v>bueno</v>
          </cell>
          <cell r="K1540" t="str">
            <v>defsi</v>
          </cell>
        </row>
        <row r="1541">
          <cell r="B1541" t="b">
            <v>0</v>
          </cell>
          <cell r="E1541" t="str">
            <v>Pasacaballos</v>
          </cell>
          <cell r="H1541" t="str">
            <v>consulta_externa</v>
          </cell>
          <cell r="J1541" t="str">
            <v>regular</v>
          </cell>
          <cell r="K1541" t="str">
            <v>probno</v>
          </cell>
        </row>
        <row r="1542">
          <cell r="B1542" t="b">
            <v>1</v>
          </cell>
          <cell r="E1542" t="str">
            <v>Pasacaballos</v>
          </cell>
          <cell r="H1542" t="str">
            <v>laboratorio</v>
          </cell>
          <cell r="J1542" t="str">
            <v>bueno</v>
          </cell>
          <cell r="K1542" t="str">
            <v>defsi</v>
          </cell>
        </row>
        <row r="1543">
          <cell r="B1543" t="b">
            <v>1</v>
          </cell>
          <cell r="E1543" t="str">
            <v>Isla del Rosario</v>
          </cell>
          <cell r="H1543" t="str">
            <v>laboratorio</v>
          </cell>
          <cell r="J1543" t="str">
            <v>muybueno</v>
          </cell>
          <cell r="K1543" t="str">
            <v>defsi</v>
          </cell>
        </row>
        <row r="1544">
          <cell r="B1544" t="b">
            <v>1</v>
          </cell>
          <cell r="E1544" t="str">
            <v>Pasacaballos</v>
          </cell>
          <cell r="H1544" t="str">
            <v>laboratorio</v>
          </cell>
          <cell r="J1544" t="str">
            <v>bueno</v>
          </cell>
          <cell r="K1544" t="str">
            <v>defsi</v>
          </cell>
        </row>
        <row r="1545">
          <cell r="B1545" t="b">
            <v>1</v>
          </cell>
          <cell r="E1545" t="str">
            <v>Pasacaballos</v>
          </cell>
          <cell r="H1545" t="str">
            <v>consulta_externa</v>
          </cell>
          <cell r="J1545" t="str">
            <v>bueno</v>
          </cell>
          <cell r="K1545" t="str">
            <v>defsi</v>
          </cell>
        </row>
        <row r="1546">
          <cell r="B1546" t="b">
            <v>1</v>
          </cell>
          <cell r="E1546" t="str">
            <v>Arroyo de Piedra</v>
          </cell>
          <cell r="H1546" t="str">
            <v>laboratorio</v>
          </cell>
          <cell r="J1546" t="str">
            <v>bueno</v>
          </cell>
          <cell r="K1546" t="str">
            <v>probsi</v>
          </cell>
        </row>
        <row r="1547">
          <cell r="B1547" t="b">
            <v>1</v>
          </cell>
          <cell r="E1547" t="str">
            <v>Arroyo de Piedra</v>
          </cell>
          <cell r="H1547" t="str">
            <v>laboratorio</v>
          </cell>
          <cell r="J1547" t="str">
            <v>bueno</v>
          </cell>
          <cell r="K1547" t="str">
            <v>probsi</v>
          </cell>
        </row>
        <row r="1548">
          <cell r="B1548" t="b">
            <v>1</v>
          </cell>
          <cell r="E1548" t="str">
            <v>Pasacaballos</v>
          </cell>
          <cell r="H1548" t="str">
            <v>salud_oral</v>
          </cell>
          <cell r="J1548" t="str">
            <v>bueno</v>
          </cell>
          <cell r="K1548" t="str">
            <v>defsi</v>
          </cell>
        </row>
        <row r="1549">
          <cell r="B1549" t="b">
            <v>1</v>
          </cell>
          <cell r="E1549" t="str">
            <v>Pasacaballos</v>
          </cell>
          <cell r="H1549" t="str">
            <v>laboratorio</v>
          </cell>
          <cell r="J1549" t="str">
            <v>muybueno</v>
          </cell>
          <cell r="K1549" t="str">
            <v>defsi</v>
          </cell>
        </row>
        <row r="1550">
          <cell r="B1550" t="b">
            <v>1</v>
          </cell>
          <cell r="E1550" t="str">
            <v>Pasacaballos</v>
          </cell>
          <cell r="H1550" t="str">
            <v>salud_oral</v>
          </cell>
          <cell r="J1550" t="str">
            <v>bueno</v>
          </cell>
          <cell r="K1550" t="str">
            <v>defsi</v>
          </cell>
        </row>
        <row r="1551">
          <cell r="B1551" t="b">
            <v>1</v>
          </cell>
          <cell r="E1551" t="str">
            <v>Cano de Oro</v>
          </cell>
          <cell r="H1551" t="str">
            <v>consulta_externa</v>
          </cell>
          <cell r="J1551" t="str">
            <v>bueno</v>
          </cell>
          <cell r="K1551" t="str">
            <v>defsi</v>
          </cell>
        </row>
        <row r="1552">
          <cell r="B1552" t="b">
            <v>1</v>
          </cell>
          <cell r="E1552" t="str">
            <v>Pasacaballos</v>
          </cell>
          <cell r="H1552" t="str">
            <v>consulta_externa</v>
          </cell>
          <cell r="J1552" t="str">
            <v>bueno</v>
          </cell>
          <cell r="K1552" t="str">
            <v>defsi</v>
          </cell>
        </row>
        <row r="1553">
          <cell r="B1553" t="b">
            <v>1</v>
          </cell>
          <cell r="E1553" t="str">
            <v>Pasacaballos</v>
          </cell>
          <cell r="H1553" t="str">
            <v>consulta_externa</v>
          </cell>
          <cell r="J1553" t="str">
            <v>bueno</v>
          </cell>
          <cell r="K1553" t="str">
            <v>defsi</v>
          </cell>
        </row>
        <row r="1554">
          <cell r="B1554" t="b">
            <v>1</v>
          </cell>
          <cell r="E1554" t="str">
            <v>Hospital Pozon</v>
          </cell>
          <cell r="H1554" t="str">
            <v>pediatria</v>
          </cell>
          <cell r="J1554" t="str">
            <v>bueno</v>
          </cell>
          <cell r="K1554" t="str">
            <v>defsi</v>
          </cell>
        </row>
        <row r="1555">
          <cell r="B1555" t="b">
            <v>1</v>
          </cell>
          <cell r="E1555" t="str">
            <v>Pasacaballos</v>
          </cell>
          <cell r="H1555" t="str">
            <v>consulta_externa</v>
          </cell>
          <cell r="J1555" t="str">
            <v>bueno</v>
          </cell>
          <cell r="K1555" t="str">
            <v>defsi</v>
          </cell>
        </row>
        <row r="1556">
          <cell r="B1556" t="b">
            <v>1</v>
          </cell>
          <cell r="E1556" t="str">
            <v>Pasacaballos</v>
          </cell>
          <cell r="H1556" t="str">
            <v>laboratorio</v>
          </cell>
          <cell r="J1556" t="str">
            <v>bueno</v>
          </cell>
          <cell r="K1556" t="str">
            <v>defsi</v>
          </cell>
        </row>
        <row r="1557">
          <cell r="B1557" t="b">
            <v>1</v>
          </cell>
          <cell r="E1557" t="str">
            <v>Arroyo de Piedra</v>
          </cell>
          <cell r="H1557" t="str">
            <v>consulta_externa</v>
          </cell>
          <cell r="J1557" t="str">
            <v>bueno</v>
          </cell>
          <cell r="K1557" t="str">
            <v>probsi</v>
          </cell>
        </row>
        <row r="1558">
          <cell r="B1558" t="b">
            <v>1</v>
          </cell>
          <cell r="E1558" t="str">
            <v>Arroyo de Piedra</v>
          </cell>
          <cell r="H1558" t="str">
            <v>laboratorio</v>
          </cell>
          <cell r="J1558" t="str">
            <v>bueno</v>
          </cell>
          <cell r="K1558" t="str">
            <v>probsi</v>
          </cell>
        </row>
        <row r="1559">
          <cell r="B1559" t="b">
            <v>1</v>
          </cell>
          <cell r="E1559" t="str">
            <v>Arroyo de Piedra</v>
          </cell>
          <cell r="H1559" t="str">
            <v>salud_oral</v>
          </cell>
          <cell r="J1559" t="str">
            <v>bueno</v>
          </cell>
          <cell r="K1559" t="str">
            <v>probsi</v>
          </cell>
        </row>
        <row r="1560">
          <cell r="B1560" t="b">
            <v>1</v>
          </cell>
          <cell r="E1560" t="str">
            <v>Pasacaballos</v>
          </cell>
          <cell r="H1560" t="str">
            <v>consulta_externa</v>
          </cell>
          <cell r="J1560" t="str">
            <v>bueno</v>
          </cell>
          <cell r="K1560" t="str">
            <v>defsi</v>
          </cell>
        </row>
        <row r="1561">
          <cell r="B1561" t="b">
            <v>1</v>
          </cell>
          <cell r="E1561" t="str">
            <v>Pasacaballos</v>
          </cell>
          <cell r="H1561" t="str">
            <v>laboratorio</v>
          </cell>
          <cell r="J1561" t="str">
            <v>bueno</v>
          </cell>
          <cell r="K1561" t="str">
            <v>defsi</v>
          </cell>
        </row>
        <row r="1562">
          <cell r="B1562" t="b">
            <v>1</v>
          </cell>
          <cell r="E1562" t="str">
            <v>Pasacaballos</v>
          </cell>
          <cell r="H1562" t="str">
            <v>consulta_externa</v>
          </cell>
          <cell r="J1562" t="str">
            <v>bueno</v>
          </cell>
          <cell r="K1562" t="str">
            <v>defsi</v>
          </cell>
        </row>
        <row r="1563">
          <cell r="B1563" t="b">
            <v>1</v>
          </cell>
          <cell r="E1563" t="str">
            <v>Pasacaballos</v>
          </cell>
          <cell r="H1563" t="str">
            <v>laboratorio</v>
          </cell>
          <cell r="J1563" t="str">
            <v>bueno</v>
          </cell>
          <cell r="K1563" t="str">
            <v>defsi</v>
          </cell>
        </row>
        <row r="1564">
          <cell r="B1564" t="b">
            <v>1</v>
          </cell>
          <cell r="E1564" t="str">
            <v>Isla del Rosario</v>
          </cell>
          <cell r="H1564" t="str">
            <v>consulta_externa</v>
          </cell>
          <cell r="J1564" t="str">
            <v>muybueno</v>
          </cell>
          <cell r="K1564" t="str">
            <v>defsi</v>
          </cell>
        </row>
        <row r="1565">
          <cell r="B1565" t="b">
            <v>1</v>
          </cell>
          <cell r="E1565" t="str">
            <v>Isla del Rosario</v>
          </cell>
          <cell r="H1565" t="str">
            <v>salud_oral</v>
          </cell>
          <cell r="J1565" t="str">
            <v>muybueno</v>
          </cell>
          <cell r="K1565" t="str">
            <v>defsi</v>
          </cell>
        </row>
        <row r="1566">
          <cell r="B1566" t="b">
            <v>1</v>
          </cell>
          <cell r="E1566" t="str">
            <v>Cano de Oro</v>
          </cell>
          <cell r="H1566" t="str">
            <v>consulta_externa</v>
          </cell>
          <cell r="J1566" t="str">
            <v>bueno</v>
          </cell>
          <cell r="K1566" t="str">
            <v>defsi</v>
          </cell>
        </row>
        <row r="1567">
          <cell r="B1567" t="b">
            <v>0</v>
          </cell>
          <cell r="E1567" t="str">
            <v>Pasacaballos</v>
          </cell>
          <cell r="H1567" t="str">
            <v>salud_oral</v>
          </cell>
          <cell r="J1567" t="str">
            <v>regular</v>
          </cell>
          <cell r="K1567" t="str">
            <v>probsi</v>
          </cell>
        </row>
        <row r="1568">
          <cell r="B1568" t="b">
            <v>1</v>
          </cell>
          <cell r="E1568" t="str">
            <v>Arroyo de Piedra</v>
          </cell>
          <cell r="H1568" t="str">
            <v>consulta_externa</v>
          </cell>
          <cell r="J1568" t="str">
            <v>bueno</v>
          </cell>
          <cell r="K1568" t="str">
            <v>probsi</v>
          </cell>
        </row>
        <row r="1569">
          <cell r="B1569" t="b">
            <v>1</v>
          </cell>
          <cell r="E1569" t="str">
            <v>Arroyo de Piedra</v>
          </cell>
          <cell r="H1569" t="str">
            <v>consulta_externa</v>
          </cell>
          <cell r="J1569" t="str">
            <v>bueno</v>
          </cell>
          <cell r="K1569" t="str">
            <v>probsi</v>
          </cell>
        </row>
        <row r="1570">
          <cell r="B1570" t="b">
            <v>1</v>
          </cell>
          <cell r="E1570" t="str">
            <v>Arroyo de Piedra</v>
          </cell>
          <cell r="H1570" t="str">
            <v>laboratorio</v>
          </cell>
          <cell r="J1570" t="str">
            <v>bueno</v>
          </cell>
          <cell r="K1570" t="str">
            <v>probsi</v>
          </cell>
        </row>
        <row r="1571">
          <cell r="B1571" t="b">
            <v>1</v>
          </cell>
          <cell r="E1571" t="str">
            <v>Hospital Pozon</v>
          </cell>
          <cell r="H1571" t="str">
            <v>ginecologia</v>
          </cell>
          <cell r="J1571" t="str">
            <v>bueno</v>
          </cell>
          <cell r="K1571" t="str">
            <v>defsi</v>
          </cell>
        </row>
        <row r="1572">
          <cell r="B1572" t="b">
            <v>1</v>
          </cell>
          <cell r="E1572" t="str">
            <v>Arroyo de Piedra</v>
          </cell>
          <cell r="H1572" t="str">
            <v>consulta_externa</v>
          </cell>
          <cell r="J1572" t="str">
            <v>muybueno</v>
          </cell>
          <cell r="K1572" t="str">
            <v>probsi</v>
          </cell>
        </row>
        <row r="1573">
          <cell r="B1573" t="b">
            <v>1</v>
          </cell>
          <cell r="E1573" t="str">
            <v>Arroyo de Piedra</v>
          </cell>
          <cell r="H1573" t="str">
            <v>salud_oral</v>
          </cell>
          <cell r="J1573" t="str">
            <v>bueno</v>
          </cell>
          <cell r="K1573" t="str">
            <v>probsi</v>
          </cell>
        </row>
        <row r="1574">
          <cell r="B1574" t="b">
            <v>1</v>
          </cell>
          <cell r="E1574" t="str">
            <v>Hospital Pozon</v>
          </cell>
          <cell r="H1574" t="str">
            <v>consulta_externa</v>
          </cell>
          <cell r="J1574" t="str">
            <v>bueno</v>
          </cell>
          <cell r="K1574" t="str">
            <v>defsi</v>
          </cell>
        </row>
        <row r="1575">
          <cell r="B1575" t="b">
            <v>1</v>
          </cell>
          <cell r="E1575" t="str">
            <v>Hospital Pozon</v>
          </cell>
          <cell r="H1575" t="str">
            <v>salud_oral</v>
          </cell>
          <cell r="J1575" t="str">
            <v>bueno</v>
          </cell>
          <cell r="K1575" t="str">
            <v>defsi</v>
          </cell>
        </row>
        <row r="1576">
          <cell r="B1576" t="b">
            <v>1</v>
          </cell>
          <cell r="E1576" t="str">
            <v>Hospital Pozon</v>
          </cell>
          <cell r="H1576" t="str">
            <v>laboratorio</v>
          </cell>
          <cell r="J1576" t="str">
            <v>bueno</v>
          </cell>
          <cell r="K1576" t="str">
            <v>defsi</v>
          </cell>
        </row>
        <row r="1577">
          <cell r="B1577" t="b">
            <v>1</v>
          </cell>
          <cell r="E1577" t="str">
            <v>Hospital Pozon</v>
          </cell>
          <cell r="H1577" t="str">
            <v>urgencia</v>
          </cell>
          <cell r="J1577" t="str">
            <v>bueno</v>
          </cell>
          <cell r="K1577" t="str">
            <v>defsi</v>
          </cell>
        </row>
        <row r="1578">
          <cell r="B1578" t="b">
            <v>1</v>
          </cell>
          <cell r="E1578" t="str">
            <v>Hospital Pozon</v>
          </cell>
          <cell r="H1578" t="str">
            <v>rx</v>
          </cell>
          <cell r="J1578" t="str">
            <v>bueno</v>
          </cell>
          <cell r="K1578" t="str">
            <v>defsi</v>
          </cell>
        </row>
        <row r="1579">
          <cell r="B1579" t="b">
            <v>1</v>
          </cell>
          <cell r="E1579" t="str">
            <v>Arroyo de Piedra</v>
          </cell>
          <cell r="H1579" t="str">
            <v>consulta_externa</v>
          </cell>
          <cell r="J1579" t="str">
            <v>bueno</v>
          </cell>
          <cell r="K1579" t="str">
            <v>probsi</v>
          </cell>
        </row>
        <row r="1580">
          <cell r="B1580" t="b">
            <v>1</v>
          </cell>
          <cell r="E1580" t="str">
            <v>Arroyo de Piedra</v>
          </cell>
          <cell r="H1580" t="str">
            <v>salud_oral</v>
          </cell>
          <cell r="J1580" t="str">
            <v>bueno</v>
          </cell>
          <cell r="K1580" t="str">
            <v>probsi</v>
          </cell>
        </row>
        <row r="1581">
          <cell r="B1581" t="b">
            <v>1</v>
          </cell>
          <cell r="E1581" t="str">
            <v>Arroyo de Piedra</v>
          </cell>
          <cell r="H1581" t="str">
            <v>laboratorio</v>
          </cell>
          <cell r="J1581" t="str">
            <v>bueno</v>
          </cell>
          <cell r="K1581" t="str">
            <v>probsi</v>
          </cell>
        </row>
        <row r="1582">
          <cell r="B1582" t="b">
            <v>1</v>
          </cell>
          <cell r="E1582" t="str">
            <v>Hospital Pozon</v>
          </cell>
          <cell r="H1582" t="str">
            <v>ginecologia</v>
          </cell>
          <cell r="J1582" t="str">
            <v>bueno</v>
          </cell>
          <cell r="K1582" t="str">
            <v>defsi</v>
          </cell>
        </row>
        <row r="1583">
          <cell r="B1583" t="b">
            <v>1</v>
          </cell>
          <cell r="E1583" t="str">
            <v>Arroyo de Piedra</v>
          </cell>
          <cell r="H1583" t="str">
            <v>salud_oral</v>
          </cell>
          <cell r="J1583" t="str">
            <v>bueno</v>
          </cell>
          <cell r="K1583" t="str">
            <v>probsi</v>
          </cell>
        </row>
        <row r="1584">
          <cell r="B1584" t="b">
            <v>1</v>
          </cell>
          <cell r="E1584" t="str">
            <v>Hospital Pozon</v>
          </cell>
          <cell r="H1584" t="str">
            <v>pediatria</v>
          </cell>
          <cell r="J1584" t="str">
            <v>bueno</v>
          </cell>
          <cell r="K1584" t="str">
            <v>defsi</v>
          </cell>
        </row>
        <row r="1585">
          <cell r="B1585" t="b">
            <v>1</v>
          </cell>
          <cell r="E1585" t="str">
            <v>Hospital Pozon</v>
          </cell>
          <cell r="H1585" t="str">
            <v>medicina_interna</v>
          </cell>
          <cell r="J1585" t="str">
            <v>bueno</v>
          </cell>
          <cell r="K1585" t="str">
            <v>defsi</v>
          </cell>
        </row>
        <row r="1586">
          <cell r="B1586" t="b">
            <v>0</v>
          </cell>
          <cell r="E1586" t="str">
            <v>Pasacaballos</v>
          </cell>
          <cell r="H1586" t="str">
            <v>salud_oral</v>
          </cell>
          <cell r="J1586" t="str">
            <v>regular</v>
          </cell>
          <cell r="K1586" t="str">
            <v>probsi</v>
          </cell>
        </row>
        <row r="1587">
          <cell r="B1587" t="b">
            <v>1</v>
          </cell>
          <cell r="E1587" t="str">
            <v>Pasacaballos</v>
          </cell>
          <cell r="H1587" t="str">
            <v>salud_oral</v>
          </cell>
          <cell r="J1587" t="str">
            <v>bueno</v>
          </cell>
          <cell r="K1587" t="str">
            <v>defsi</v>
          </cell>
        </row>
        <row r="1588">
          <cell r="B1588" t="b">
            <v>1</v>
          </cell>
          <cell r="E1588" t="str">
            <v>Pasacaballos</v>
          </cell>
          <cell r="H1588" t="str">
            <v>consulta_externa</v>
          </cell>
          <cell r="J1588" t="str">
            <v>bueno</v>
          </cell>
          <cell r="K1588" t="str">
            <v>defsi</v>
          </cell>
        </row>
        <row r="1589">
          <cell r="B1589" t="b">
            <v>1</v>
          </cell>
          <cell r="E1589" t="str">
            <v>Pasacaballos</v>
          </cell>
          <cell r="H1589" t="str">
            <v>consulta_externa</v>
          </cell>
          <cell r="J1589" t="str">
            <v>bueno</v>
          </cell>
          <cell r="K1589" t="str">
            <v>defsi</v>
          </cell>
        </row>
        <row r="1590">
          <cell r="B1590" t="b">
            <v>1</v>
          </cell>
          <cell r="E1590" t="str">
            <v>Arroyo de Piedra</v>
          </cell>
          <cell r="H1590" t="str">
            <v>salud_oral</v>
          </cell>
          <cell r="J1590" t="str">
            <v>bueno</v>
          </cell>
          <cell r="K1590" t="str">
            <v>probsi</v>
          </cell>
        </row>
        <row r="1591">
          <cell r="B1591" t="b">
            <v>1</v>
          </cell>
          <cell r="E1591" t="str">
            <v>Arroyo de Piedra</v>
          </cell>
          <cell r="H1591" t="str">
            <v>salud_oral</v>
          </cell>
          <cell r="J1591" t="str">
            <v>bueno</v>
          </cell>
          <cell r="K1591" t="str">
            <v>probsi</v>
          </cell>
        </row>
        <row r="1592">
          <cell r="B1592" t="b">
            <v>1</v>
          </cell>
          <cell r="E1592" t="str">
            <v>Arroyo de Piedra</v>
          </cell>
          <cell r="H1592" t="str">
            <v>laboratorio</v>
          </cell>
          <cell r="J1592" t="str">
            <v>bueno</v>
          </cell>
          <cell r="K1592" t="str">
            <v>probsi</v>
          </cell>
        </row>
        <row r="1593">
          <cell r="B1593" t="b">
            <v>0</v>
          </cell>
          <cell r="E1593" t="str">
            <v>Arroyo de Piedra</v>
          </cell>
          <cell r="H1593" t="str">
            <v>salud_oral</v>
          </cell>
          <cell r="J1593" t="str">
            <v>muymalo</v>
          </cell>
          <cell r="K1593" t="str">
            <v>probsi</v>
          </cell>
        </row>
        <row r="1594">
          <cell r="B1594" t="b">
            <v>1</v>
          </cell>
          <cell r="E1594" t="str">
            <v>Arroyo de Piedra</v>
          </cell>
          <cell r="H1594" t="str">
            <v>laboratorio</v>
          </cell>
          <cell r="J1594" t="str">
            <v>bueno</v>
          </cell>
          <cell r="K1594" t="str">
            <v>probsi</v>
          </cell>
        </row>
        <row r="1595">
          <cell r="B1595" t="b">
            <v>1</v>
          </cell>
          <cell r="E1595" t="str">
            <v>Arroyo de Piedra</v>
          </cell>
          <cell r="H1595" t="str">
            <v>laboratorio</v>
          </cell>
          <cell r="J1595" t="str">
            <v>bueno</v>
          </cell>
          <cell r="K1595" t="str">
            <v>probsi</v>
          </cell>
        </row>
        <row r="1596">
          <cell r="B1596" t="b">
            <v>1</v>
          </cell>
          <cell r="E1596" t="str">
            <v>Arroyo de Piedra</v>
          </cell>
          <cell r="H1596" t="str">
            <v>salud_oral</v>
          </cell>
          <cell r="J1596" t="str">
            <v>bueno</v>
          </cell>
          <cell r="K1596" t="str">
            <v>probsi</v>
          </cell>
        </row>
        <row r="1597">
          <cell r="B1597" t="b">
            <v>0</v>
          </cell>
          <cell r="E1597" t="str">
            <v>Pasacaballos</v>
          </cell>
          <cell r="H1597" t="str">
            <v>urgencia</v>
          </cell>
          <cell r="J1597" t="str">
            <v>regular</v>
          </cell>
          <cell r="K1597" t="str">
            <v>probsi</v>
          </cell>
        </row>
        <row r="1598">
          <cell r="B1598" t="b">
            <v>1</v>
          </cell>
          <cell r="E1598" t="str">
            <v>Pasacaballos</v>
          </cell>
          <cell r="H1598" t="str">
            <v>urgencia</v>
          </cell>
          <cell r="J1598" t="str">
            <v>bueno</v>
          </cell>
          <cell r="K1598" t="str">
            <v>defsi</v>
          </cell>
        </row>
        <row r="1599">
          <cell r="B1599" t="b">
            <v>0</v>
          </cell>
          <cell r="E1599" t="str">
            <v>Pasacaballos</v>
          </cell>
          <cell r="H1599" t="str">
            <v>urgencia</v>
          </cell>
          <cell r="J1599" t="str">
            <v>regular</v>
          </cell>
          <cell r="K1599" t="str">
            <v>probsi</v>
          </cell>
        </row>
        <row r="1600">
          <cell r="B1600" t="b">
            <v>1</v>
          </cell>
          <cell r="E1600" t="str">
            <v>Pasacaballos</v>
          </cell>
          <cell r="H1600" t="str">
            <v>urgencia</v>
          </cell>
          <cell r="J1600" t="str">
            <v>bueno</v>
          </cell>
          <cell r="K1600" t="str">
            <v>defsi</v>
          </cell>
        </row>
        <row r="1601">
          <cell r="B1601" t="b">
            <v>1</v>
          </cell>
          <cell r="E1601" t="str">
            <v>Pasacaballos</v>
          </cell>
          <cell r="H1601" t="str">
            <v>urgencia</v>
          </cell>
          <cell r="J1601" t="str">
            <v>bueno</v>
          </cell>
          <cell r="K1601" t="str">
            <v>defsi</v>
          </cell>
        </row>
        <row r="1602">
          <cell r="B1602" t="b">
            <v>1</v>
          </cell>
          <cell r="E1602" t="str">
            <v>Isla del Rosario</v>
          </cell>
          <cell r="H1602" t="str">
            <v>consulta_externa</v>
          </cell>
          <cell r="J1602" t="str">
            <v>muybueno</v>
          </cell>
          <cell r="K1602" t="str">
            <v>defsi</v>
          </cell>
        </row>
        <row r="1603">
          <cell r="B1603" t="b">
            <v>1</v>
          </cell>
          <cell r="E1603" t="str">
            <v>Isla del Rosario</v>
          </cell>
          <cell r="H1603" t="str">
            <v>laboratorio</v>
          </cell>
          <cell r="J1603" t="str">
            <v>muybueno</v>
          </cell>
          <cell r="K1603" t="str">
            <v>defsi</v>
          </cell>
        </row>
        <row r="1604">
          <cell r="B1604" t="b">
            <v>1</v>
          </cell>
          <cell r="E1604" t="str">
            <v>Hospital Pozon</v>
          </cell>
          <cell r="H1604" t="str">
            <v>consulta_externa</v>
          </cell>
          <cell r="J1604" t="str">
            <v>bueno</v>
          </cell>
          <cell r="K1604" t="str">
            <v>defsi</v>
          </cell>
        </row>
        <row r="1605">
          <cell r="B1605" t="b">
            <v>1</v>
          </cell>
          <cell r="E1605" t="str">
            <v>Hospital Pozon</v>
          </cell>
          <cell r="H1605" t="str">
            <v>salud_oral</v>
          </cell>
          <cell r="J1605" t="str">
            <v>bueno</v>
          </cell>
          <cell r="K1605" t="str">
            <v>defsi</v>
          </cell>
        </row>
        <row r="1606">
          <cell r="B1606" t="b">
            <v>1</v>
          </cell>
          <cell r="E1606" t="str">
            <v>Hospital Pozon</v>
          </cell>
          <cell r="H1606" t="str">
            <v>laboratorio</v>
          </cell>
          <cell r="J1606" t="str">
            <v>bueno</v>
          </cell>
          <cell r="K1606" t="str">
            <v>defsi</v>
          </cell>
        </row>
        <row r="1607">
          <cell r="B1607" t="b">
            <v>1</v>
          </cell>
          <cell r="E1607" t="str">
            <v>Hospital Pozon</v>
          </cell>
          <cell r="H1607" t="str">
            <v>urgencia</v>
          </cell>
          <cell r="J1607" t="str">
            <v>bueno</v>
          </cell>
          <cell r="K1607" t="str">
            <v>defsi</v>
          </cell>
        </row>
        <row r="1608">
          <cell r="B1608" t="b">
            <v>1</v>
          </cell>
          <cell r="E1608" t="str">
            <v>Hospital Pozon</v>
          </cell>
          <cell r="H1608" t="str">
            <v>rx</v>
          </cell>
          <cell r="J1608" t="str">
            <v>bueno</v>
          </cell>
          <cell r="K1608" t="str">
            <v>defsi</v>
          </cell>
        </row>
        <row r="1609">
          <cell r="B1609" t="b">
            <v>1</v>
          </cell>
          <cell r="E1609" t="str">
            <v>Pasacaballos</v>
          </cell>
          <cell r="H1609" t="str">
            <v>salud_oral</v>
          </cell>
          <cell r="J1609" t="str">
            <v>bueno</v>
          </cell>
          <cell r="K1609" t="str">
            <v>defsi</v>
          </cell>
        </row>
        <row r="1610">
          <cell r="B1610" t="b">
            <v>1</v>
          </cell>
          <cell r="E1610" t="str">
            <v>Pasacaballos</v>
          </cell>
          <cell r="H1610" t="str">
            <v>consulta_externa</v>
          </cell>
          <cell r="J1610" t="str">
            <v>bueno</v>
          </cell>
          <cell r="K1610" t="str">
            <v>defsi</v>
          </cell>
        </row>
        <row r="1611">
          <cell r="B1611" t="b">
            <v>1</v>
          </cell>
          <cell r="E1611" t="str">
            <v>Pasacaballos</v>
          </cell>
          <cell r="H1611" t="str">
            <v>salud_oral</v>
          </cell>
          <cell r="J1611" t="str">
            <v>bueno</v>
          </cell>
          <cell r="K1611" t="str">
            <v>defsi</v>
          </cell>
        </row>
        <row r="1612">
          <cell r="B1612" t="b">
            <v>1</v>
          </cell>
          <cell r="E1612" t="str">
            <v>Pasacaballos</v>
          </cell>
          <cell r="H1612" t="str">
            <v>salud_oral</v>
          </cell>
          <cell r="J1612" t="str">
            <v>bueno</v>
          </cell>
          <cell r="K1612" t="str">
            <v>defsi</v>
          </cell>
        </row>
        <row r="1613">
          <cell r="B1613" t="b">
            <v>0</v>
          </cell>
          <cell r="E1613" t="str">
            <v>Pasacaballos</v>
          </cell>
          <cell r="H1613" t="str">
            <v>consulta_externa</v>
          </cell>
          <cell r="J1613" t="str">
            <v>regular</v>
          </cell>
          <cell r="K1613" t="str">
            <v>defsi</v>
          </cell>
        </row>
        <row r="1614">
          <cell r="B1614" t="b">
            <v>1</v>
          </cell>
          <cell r="E1614" t="str">
            <v>Hospital Pozon</v>
          </cell>
          <cell r="H1614" t="str">
            <v>ginecologia</v>
          </cell>
          <cell r="J1614" t="str">
            <v>bueno</v>
          </cell>
          <cell r="K1614" t="str">
            <v>defsi</v>
          </cell>
        </row>
        <row r="1615">
          <cell r="B1615" t="b">
            <v>1</v>
          </cell>
          <cell r="E1615" t="str">
            <v>Hospital Pozon</v>
          </cell>
          <cell r="H1615" t="str">
            <v>pediatria</v>
          </cell>
          <cell r="J1615" t="str">
            <v>bueno</v>
          </cell>
          <cell r="K1615" t="str">
            <v>defsi</v>
          </cell>
        </row>
        <row r="1616">
          <cell r="B1616" t="b">
            <v>1</v>
          </cell>
          <cell r="E1616" t="str">
            <v>Hospital Pozon</v>
          </cell>
          <cell r="H1616" t="str">
            <v>medicina_interna</v>
          </cell>
          <cell r="J1616" t="str">
            <v>bueno</v>
          </cell>
          <cell r="K1616" t="str">
            <v>defsi</v>
          </cell>
        </row>
        <row r="1617">
          <cell r="B1617" t="b">
            <v>1</v>
          </cell>
          <cell r="E1617" t="str">
            <v>Hospital Pozon</v>
          </cell>
          <cell r="H1617" t="str">
            <v>consulta_externa</v>
          </cell>
          <cell r="J1617" t="str">
            <v>bueno</v>
          </cell>
          <cell r="K1617" t="str">
            <v>defsi</v>
          </cell>
        </row>
        <row r="1618">
          <cell r="B1618" t="b">
            <v>1</v>
          </cell>
          <cell r="E1618" t="str">
            <v>Hospital Pozon</v>
          </cell>
          <cell r="H1618" t="str">
            <v>salud_oral</v>
          </cell>
          <cell r="J1618" t="str">
            <v>bueno</v>
          </cell>
          <cell r="K1618" t="str">
            <v>defsi</v>
          </cell>
        </row>
        <row r="1619">
          <cell r="B1619" t="b">
            <v>1</v>
          </cell>
          <cell r="E1619" t="str">
            <v>Hospital Pozon</v>
          </cell>
          <cell r="H1619" t="str">
            <v>laboratorio</v>
          </cell>
          <cell r="J1619" t="str">
            <v>bueno</v>
          </cell>
          <cell r="K1619" t="str">
            <v>defsi</v>
          </cell>
        </row>
        <row r="1620">
          <cell r="B1620" t="b">
            <v>1</v>
          </cell>
          <cell r="E1620" t="str">
            <v>Isla del Rosario</v>
          </cell>
          <cell r="H1620" t="str">
            <v>salud_oral</v>
          </cell>
          <cell r="J1620" t="str">
            <v>muybueno</v>
          </cell>
          <cell r="K1620" t="str">
            <v>defsi</v>
          </cell>
        </row>
        <row r="1621">
          <cell r="B1621" t="b">
            <v>1</v>
          </cell>
          <cell r="E1621" t="str">
            <v>Hospital Pozon</v>
          </cell>
          <cell r="H1621" t="str">
            <v>urgencia</v>
          </cell>
          <cell r="J1621" t="str">
            <v>bueno</v>
          </cell>
          <cell r="K1621" t="str">
            <v>defsi</v>
          </cell>
        </row>
        <row r="1622">
          <cell r="B1622" t="b">
            <v>1</v>
          </cell>
          <cell r="E1622" t="str">
            <v>Hospital Pozon</v>
          </cell>
          <cell r="H1622" t="str">
            <v>rx</v>
          </cell>
          <cell r="J1622" t="str">
            <v>bueno</v>
          </cell>
          <cell r="K1622" t="str">
            <v>defsi</v>
          </cell>
        </row>
        <row r="1623">
          <cell r="B1623" t="b">
            <v>1</v>
          </cell>
          <cell r="E1623" t="str">
            <v>Hospital Pozon</v>
          </cell>
          <cell r="H1623" t="str">
            <v>ginecologia</v>
          </cell>
          <cell r="J1623" t="str">
            <v>bueno</v>
          </cell>
          <cell r="K1623" t="str">
            <v>defsi</v>
          </cell>
        </row>
        <row r="1624">
          <cell r="B1624" t="b">
            <v>1</v>
          </cell>
          <cell r="E1624" t="str">
            <v>Hospital Pozon</v>
          </cell>
          <cell r="H1624" t="str">
            <v>pediatria</v>
          </cell>
          <cell r="J1624" t="str">
            <v>bueno</v>
          </cell>
          <cell r="K1624" t="str">
            <v>defsi</v>
          </cell>
        </row>
        <row r="1625">
          <cell r="B1625" t="b">
            <v>1</v>
          </cell>
          <cell r="E1625" t="str">
            <v>Pasacaballos</v>
          </cell>
          <cell r="H1625" t="str">
            <v>salud_oral</v>
          </cell>
          <cell r="J1625" t="str">
            <v>bueno</v>
          </cell>
          <cell r="K1625" t="str">
            <v>defsi</v>
          </cell>
        </row>
        <row r="1626">
          <cell r="B1626" t="b">
            <v>1</v>
          </cell>
          <cell r="E1626" t="str">
            <v>Pasacaballos</v>
          </cell>
          <cell r="H1626" t="str">
            <v>salud_oral</v>
          </cell>
          <cell r="J1626" t="str">
            <v>bueno</v>
          </cell>
          <cell r="K1626" t="str">
            <v>defsi</v>
          </cell>
        </row>
        <row r="1627">
          <cell r="B1627" t="b">
            <v>1</v>
          </cell>
          <cell r="E1627" t="str">
            <v>Pasacaballos</v>
          </cell>
          <cell r="H1627" t="str">
            <v>salud_oral</v>
          </cell>
          <cell r="J1627" t="str">
            <v>bueno</v>
          </cell>
          <cell r="K1627" t="str">
            <v>defsi</v>
          </cell>
        </row>
        <row r="1628">
          <cell r="B1628" t="b">
            <v>1</v>
          </cell>
          <cell r="E1628" t="str">
            <v>Pasacaballos</v>
          </cell>
          <cell r="H1628" t="str">
            <v>consulta_externa</v>
          </cell>
          <cell r="J1628" t="str">
            <v>bueno</v>
          </cell>
          <cell r="K1628" t="str">
            <v>defsi</v>
          </cell>
        </row>
        <row r="1629">
          <cell r="B1629" t="b">
            <v>1</v>
          </cell>
          <cell r="E1629" t="str">
            <v>Pasacaballos</v>
          </cell>
          <cell r="H1629" t="str">
            <v>laboratorio</v>
          </cell>
          <cell r="J1629" t="str">
            <v>bueno</v>
          </cell>
          <cell r="K1629" t="str">
            <v>defsi</v>
          </cell>
        </row>
        <row r="1630">
          <cell r="B1630" t="b">
            <v>1</v>
          </cell>
          <cell r="E1630" t="str">
            <v>Pasacaballos</v>
          </cell>
          <cell r="H1630" t="str">
            <v>salud_oral</v>
          </cell>
          <cell r="J1630" t="str">
            <v>bueno</v>
          </cell>
          <cell r="K1630" t="str">
            <v>defsi</v>
          </cell>
        </row>
        <row r="1631">
          <cell r="B1631" t="b">
            <v>1</v>
          </cell>
          <cell r="E1631" t="str">
            <v>Pasacaballos</v>
          </cell>
          <cell r="H1631" t="str">
            <v>salud_oral</v>
          </cell>
          <cell r="J1631" t="str">
            <v>bueno</v>
          </cell>
          <cell r="K1631" t="str">
            <v>defsi</v>
          </cell>
        </row>
        <row r="1632">
          <cell r="B1632" t="b">
            <v>1</v>
          </cell>
          <cell r="E1632" t="str">
            <v>Pasacaballos</v>
          </cell>
          <cell r="H1632" t="str">
            <v>consulta_externa</v>
          </cell>
          <cell r="J1632" t="str">
            <v>bueno</v>
          </cell>
          <cell r="K1632" t="str">
            <v>defsi</v>
          </cell>
        </row>
        <row r="1633">
          <cell r="B1633" t="b">
            <v>1</v>
          </cell>
          <cell r="E1633" t="str">
            <v>Pasacaballos</v>
          </cell>
          <cell r="H1633" t="str">
            <v>laboratorio</v>
          </cell>
          <cell r="J1633" t="str">
            <v>bueno</v>
          </cell>
          <cell r="K1633" t="str">
            <v>defsi</v>
          </cell>
        </row>
        <row r="1634">
          <cell r="B1634" t="b">
            <v>1</v>
          </cell>
          <cell r="E1634" t="str">
            <v>Pasacaballos</v>
          </cell>
          <cell r="H1634" t="str">
            <v>laboratorio</v>
          </cell>
          <cell r="J1634" t="str">
            <v>bueno</v>
          </cell>
          <cell r="K1634" t="str">
            <v>defsi</v>
          </cell>
        </row>
        <row r="1635">
          <cell r="B1635" t="b">
            <v>1</v>
          </cell>
          <cell r="E1635" t="str">
            <v>Pasacaballos</v>
          </cell>
          <cell r="H1635" t="str">
            <v>consulta_externa</v>
          </cell>
          <cell r="J1635" t="str">
            <v>bueno</v>
          </cell>
          <cell r="K1635" t="str">
            <v>defsi</v>
          </cell>
        </row>
        <row r="1636">
          <cell r="B1636" t="b">
            <v>1</v>
          </cell>
          <cell r="E1636" t="str">
            <v>Pasacaballos</v>
          </cell>
          <cell r="H1636" t="str">
            <v>salud_oral</v>
          </cell>
          <cell r="J1636" t="str">
            <v>bueno</v>
          </cell>
          <cell r="K1636" t="str">
            <v>defsi</v>
          </cell>
        </row>
        <row r="1637">
          <cell r="B1637" t="b">
            <v>1</v>
          </cell>
          <cell r="E1637" t="str">
            <v>Pasacaballos</v>
          </cell>
          <cell r="H1637" t="str">
            <v>salud_oral</v>
          </cell>
          <cell r="J1637" t="str">
            <v>bueno</v>
          </cell>
          <cell r="K1637" t="str">
            <v>defsi</v>
          </cell>
        </row>
        <row r="1638">
          <cell r="B1638" t="b">
            <v>1</v>
          </cell>
          <cell r="E1638" t="str">
            <v>Pasacaballos</v>
          </cell>
          <cell r="H1638" t="str">
            <v>consulta_externa</v>
          </cell>
          <cell r="J1638" t="str">
            <v>bueno</v>
          </cell>
          <cell r="K1638" t="str">
            <v>defsi</v>
          </cell>
        </row>
        <row r="1639">
          <cell r="B1639" t="b">
            <v>1</v>
          </cell>
          <cell r="E1639" t="str">
            <v>Pasacaballos</v>
          </cell>
          <cell r="H1639" t="str">
            <v>laboratorio</v>
          </cell>
          <cell r="J1639" t="str">
            <v>bueno</v>
          </cell>
          <cell r="K1639" t="str">
            <v>defsi</v>
          </cell>
        </row>
        <row r="1640">
          <cell r="B1640" t="b">
            <v>1</v>
          </cell>
          <cell r="E1640" t="str">
            <v>Hospital Pozon</v>
          </cell>
          <cell r="H1640" t="str">
            <v>consulta_externa</v>
          </cell>
          <cell r="J1640" t="str">
            <v>bueno</v>
          </cell>
          <cell r="K1640" t="str">
            <v>defsi</v>
          </cell>
        </row>
        <row r="1641">
          <cell r="B1641" t="b">
            <v>1</v>
          </cell>
          <cell r="E1641" t="str">
            <v>Hospital Pozon</v>
          </cell>
          <cell r="H1641" t="str">
            <v>salud_oral</v>
          </cell>
          <cell r="J1641" t="str">
            <v>bueno</v>
          </cell>
          <cell r="K1641" t="str">
            <v>defsi</v>
          </cell>
        </row>
        <row r="1642">
          <cell r="B1642" t="b">
            <v>1</v>
          </cell>
          <cell r="E1642" t="str">
            <v>Hospital Pozon</v>
          </cell>
          <cell r="H1642" t="str">
            <v>laboratorio</v>
          </cell>
          <cell r="J1642" t="str">
            <v>bueno</v>
          </cell>
          <cell r="K1642" t="str">
            <v>defsi</v>
          </cell>
        </row>
        <row r="1643">
          <cell r="B1643" t="b">
            <v>1</v>
          </cell>
          <cell r="E1643" t="str">
            <v>Hospital Pozon</v>
          </cell>
          <cell r="H1643" t="str">
            <v>urgencia</v>
          </cell>
          <cell r="J1643" t="str">
            <v>bueno</v>
          </cell>
          <cell r="K1643" t="str">
            <v>defsi</v>
          </cell>
        </row>
        <row r="1644">
          <cell r="B1644" t="b">
            <v>1</v>
          </cell>
          <cell r="E1644" t="str">
            <v>Hospital Pozon</v>
          </cell>
          <cell r="H1644" t="str">
            <v>consulta_externa</v>
          </cell>
          <cell r="J1644" t="str">
            <v>bueno</v>
          </cell>
          <cell r="K1644" t="str">
            <v>defsi</v>
          </cell>
        </row>
        <row r="1645">
          <cell r="B1645" t="b">
            <v>1</v>
          </cell>
          <cell r="E1645" t="str">
            <v>Hospital Pozon</v>
          </cell>
          <cell r="H1645" t="str">
            <v>salud_oral</v>
          </cell>
          <cell r="J1645" t="str">
            <v>bueno</v>
          </cell>
          <cell r="K1645" t="str">
            <v>defsi</v>
          </cell>
        </row>
        <row r="1646">
          <cell r="B1646" t="b">
            <v>1</v>
          </cell>
          <cell r="E1646" t="str">
            <v>Hospital Pozon</v>
          </cell>
          <cell r="H1646" t="str">
            <v>laboratorio</v>
          </cell>
          <cell r="J1646" t="str">
            <v>bueno</v>
          </cell>
          <cell r="K1646" t="str">
            <v>defsi</v>
          </cell>
        </row>
        <row r="1647">
          <cell r="B1647" t="b">
            <v>1</v>
          </cell>
          <cell r="E1647" t="str">
            <v>Hospital Pozon</v>
          </cell>
          <cell r="H1647" t="str">
            <v>urgencia</v>
          </cell>
          <cell r="J1647" t="str">
            <v>bueno</v>
          </cell>
          <cell r="K1647" t="str">
            <v>defsi</v>
          </cell>
        </row>
        <row r="1648">
          <cell r="B1648" t="b">
            <v>1</v>
          </cell>
          <cell r="E1648" t="str">
            <v>Isla del Rosario</v>
          </cell>
          <cell r="H1648" t="str">
            <v>consulta_externa</v>
          </cell>
          <cell r="J1648" t="str">
            <v>muybueno</v>
          </cell>
          <cell r="K1648" t="str">
            <v>defsi</v>
          </cell>
        </row>
        <row r="1649">
          <cell r="B1649" t="b">
            <v>1</v>
          </cell>
          <cell r="E1649" t="str">
            <v>Isla del Rosario</v>
          </cell>
          <cell r="H1649" t="str">
            <v>laboratorio</v>
          </cell>
          <cell r="J1649" t="str">
            <v>muybueno</v>
          </cell>
          <cell r="K1649" t="str">
            <v>defsi</v>
          </cell>
        </row>
        <row r="1650">
          <cell r="B1650" t="b">
            <v>1</v>
          </cell>
          <cell r="E1650" t="str">
            <v>Isla del Rosario</v>
          </cell>
          <cell r="H1650" t="str">
            <v>salud_oral</v>
          </cell>
          <cell r="J1650" t="str">
            <v>muybueno</v>
          </cell>
          <cell r="K1650" t="str">
            <v>defsi</v>
          </cell>
        </row>
        <row r="1651">
          <cell r="B1651" t="b">
            <v>1</v>
          </cell>
          <cell r="E1651" t="str">
            <v>Isla del Rosario</v>
          </cell>
          <cell r="H1651" t="str">
            <v>laboratorio</v>
          </cell>
          <cell r="J1651" t="str">
            <v>muybueno</v>
          </cell>
          <cell r="K1651" t="str">
            <v>defsi</v>
          </cell>
        </row>
        <row r="1652">
          <cell r="B1652" t="b">
            <v>1</v>
          </cell>
          <cell r="E1652" t="str">
            <v>Arroyo Grande</v>
          </cell>
          <cell r="H1652" t="str">
            <v>consulta_externa</v>
          </cell>
          <cell r="J1652" t="str">
            <v>bueno</v>
          </cell>
          <cell r="K1652" t="str">
            <v>probsi</v>
          </cell>
        </row>
        <row r="1653">
          <cell r="B1653" t="b">
            <v>1</v>
          </cell>
          <cell r="E1653" t="str">
            <v>Arroyo Grande</v>
          </cell>
          <cell r="H1653" t="str">
            <v>consulta_externa</v>
          </cell>
          <cell r="J1653" t="str">
            <v>bueno</v>
          </cell>
          <cell r="K1653" t="str">
            <v>probsi</v>
          </cell>
        </row>
        <row r="1654">
          <cell r="B1654" t="b">
            <v>1</v>
          </cell>
          <cell r="E1654" t="str">
            <v>Arroyo Grande</v>
          </cell>
          <cell r="H1654" t="str">
            <v>consulta_externa</v>
          </cell>
          <cell r="J1654" t="str">
            <v>bueno</v>
          </cell>
          <cell r="K1654" t="str">
            <v>probsi</v>
          </cell>
        </row>
        <row r="1655">
          <cell r="B1655" t="b">
            <v>1</v>
          </cell>
          <cell r="E1655" t="str">
            <v>Arroyo Grande</v>
          </cell>
          <cell r="H1655" t="str">
            <v>consulta_externa</v>
          </cell>
          <cell r="J1655" t="str">
            <v>bueno</v>
          </cell>
          <cell r="K1655" t="str">
            <v>probsi</v>
          </cell>
        </row>
        <row r="1656">
          <cell r="B1656" t="b">
            <v>1</v>
          </cell>
          <cell r="E1656" t="str">
            <v>Arroyo Grande</v>
          </cell>
          <cell r="H1656" t="str">
            <v>consulta_externa</v>
          </cell>
          <cell r="J1656" t="str">
            <v>bueno</v>
          </cell>
          <cell r="K1656" t="str">
            <v>probsi</v>
          </cell>
        </row>
        <row r="1657">
          <cell r="B1657" t="b">
            <v>1</v>
          </cell>
          <cell r="E1657" t="str">
            <v>Arroyo Grande</v>
          </cell>
          <cell r="H1657" t="str">
            <v>salud_oral</v>
          </cell>
          <cell r="J1657" t="str">
            <v>bueno</v>
          </cell>
          <cell r="K1657" t="str">
            <v>probsi</v>
          </cell>
        </row>
        <row r="1658">
          <cell r="B1658" t="b">
            <v>1</v>
          </cell>
          <cell r="E1658" t="str">
            <v>Arroyo Grande</v>
          </cell>
          <cell r="H1658" t="str">
            <v>salud_oral</v>
          </cell>
          <cell r="J1658" t="str">
            <v>bueno</v>
          </cell>
          <cell r="K1658" t="str">
            <v>probsi</v>
          </cell>
        </row>
        <row r="1659">
          <cell r="B1659" t="b">
            <v>1</v>
          </cell>
          <cell r="E1659" t="str">
            <v>Arroyo Grande</v>
          </cell>
          <cell r="H1659" t="str">
            <v>salud_oral</v>
          </cell>
          <cell r="J1659" t="str">
            <v>bueno</v>
          </cell>
          <cell r="K1659" t="str">
            <v>probsi</v>
          </cell>
        </row>
        <row r="1660">
          <cell r="B1660" t="b">
            <v>1</v>
          </cell>
          <cell r="E1660" t="str">
            <v>Arroyo Grande</v>
          </cell>
          <cell r="H1660" t="str">
            <v>salud_oral</v>
          </cell>
          <cell r="J1660" t="str">
            <v>bueno</v>
          </cell>
          <cell r="K1660" t="str">
            <v>probsi</v>
          </cell>
        </row>
        <row r="1661">
          <cell r="B1661" t="b">
            <v>1</v>
          </cell>
          <cell r="E1661" t="str">
            <v>Arroyo Grande</v>
          </cell>
          <cell r="H1661" t="str">
            <v>salud_oral</v>
          </cell>
          <cell r="J1661" t="str">
            <v>bueno</v>
          </cell>
          <cell r="K1661" t="str">
            <v>probsi</v>
          </cell>
        </row>
        <row r="1662">
          <cell r="B1662" t="b">
            <v>1</v>
          </cell>
          <cell r="E1662" t="str">
            <v>Arroyo Grande</v>
          </cell>
          <cell r="H1662" t="str">
            <v>salud_oral</v>
          </cell>
          <cell r="J1662" t="str">
            <v>bueno</v>
          </cell>
          <cell r="K1662" t="str">
            <v>probsi</v>
          </cell>
        </row>
        <row r="1663">
          <cell r="B1663" t="b">
            <v>1</v>
          </cell>
          <cell r="E1663" t="str">
            <v>Arroyo Grande</v>
          </cell>
          <cell r="H1663" t="str">
            <v>laboratorio</v>
          </cell>
          <cell r="J1663" t="str">
            <v>bueno</v>
          </cell>
          <cell r="K1663" t="str">
            <v>probsi</v>
          </cell>
        </row>
        <row r="1664">
          <cell r="B1664" t="b">
            <v>1</v>
          </cell>
          <cell r="E1664" t="str">
            <v>Arroyo Grande</v>
          </cell>
          <cell r="H1664" t="str">
            <v>laboratorio</v>
          </cell>
          <cell r="J1664" t="str">
            <v>bueno</v>
          </cell>
          <cell r="K1664" t="str">
            <v>probsi</v>
          </cell>
        </row>
        <row r="1665">
          <cell r="B1665" t="b">
            <v>1</v>
          </cell>
          <cell r="E1665" t="str">
            <v>Arroyo Grande</v>
          </cell>
          <cell r="H1665" t="str">
            <v>laboratorio</v>
          </cell>
          <cell r="J1665" t="str">
            <v>bueno</v>
          </cell>
          <cell r="K1665" t="str">
            <v>probsi</v>
          </cell>
        </row>
        <row r="1666">
          <cell r="B1666" t="b">
            <v>1</v>
          </cell>
          <cell r="E1666" t="str">
            <v>Arroyo Grande</v>
          </cell>
          <cell r="H1666" t="str">
            <v>laboratorio</v>
          </cell>
          <cell r="J1666" t="str">
            <v>bueno</v>
          </cell>
          <cell r="K1666" t="str">
            <v>probsi</v>
          </cell>
        </row>
        <row r="1667">
          <cell r="B1667" t="b">
            <v>1</v>
          </cell>
          <cell r="E1667" t="str">
            <v>Arroyo Grande</v>
          </cell>
          <cell r="H1667" t="str">
            <v>laboratorio</v>
          </cell>
          <cell r="J1667" t="str">
            <v>bueno</v>
          </cell>
          <cell r="K1667" t="str">
            <v>probsi</v>
          </cell>
        </row>
        <row r="1668">
          <cell r="B1668" t="b">
            <v>1</v>
          </cell>
          <cell r="E1668" t="str">
            <v>Isla del Rosario</v>
          </cell>
          <cell r="H1668" t="str">
            <v>consulta_externa</v>
          </cell>
          <cell r="J1668" t="str">
            <v>muybueno</v>
          </cell>
          <cell r="K1668" t="str">
            <v>defsi</v>
          </cell>
        </row>
        <row r="1669">
          <cell r="B1669" t="b">
            <v>1</v>
          </cell>
          <cell r="E1669" t="str">
            <v>Isla del Rosario</v>
          </cell>
          <cell r="H1669" t="str">
            <v>laboratorio</v>
          </cell>
          <cell r="J1669" t="str">
            <v>muybueno</v>
          </cell>
          <cell r="K1669" t="str">
            <v>defsi</v>
          </cell>
        </row>
        <row r="1670">
          <cell r="B1670" t="b">
            <v>1</v>
          </cell>
          <cell r="E1670" t="str">
            <v>Isla del Rosario</v>
          </cell>
          <cell r="H1670" t="str">
            <v>consulta_externa</v>
          </cell>
          <cell r="J1670" t="str">
            <v>muybueno</v>
          </cell>
          <cell r="K1670" t="str">
            <v>defsi</v>
          </cell>
        </row>
        <row r="1671">
          <cell r="B1671" t="b">
            <v>1</v>
          </cell>
          <cell r="E1671" t="str">
            <v>Isla del Rosario</v>
          </cell>
          <cell r="H1671" t="str">
            <v>laboratorio</v>
          </cell>
          <cell r="J1671" t="str">
            <v>muybueno</v>
          </cell>
          <cell r="K1671" t="str">
            <v>defsi</v>
          </cell>
        </row>
        <row r="1672">
          <cell r="B1672" t="b">
            <v>1</v>
          </cell>
          <cell r="E1672" t="str">
            <v>Isla del Rosario</v>
          </cell>
          <cell r="H1672" t="str">
            <v>salud_oral</v>
          </cell>
          <cell r="J1672" t="str">
            <v>muybueno</v>
          </cell>
          <cell r="K1672" t="str">
            <v>defsi</v>
          </cell>
        </row>
        <row r="1673">
          <cell r="B1673" t="b">
            <v>1</v>
          </cell>
          <cell r="E1673" t="str">
            <v>Hospital Pozon</v>
          </cell>
          <cell r="H1673" t="str">
            <v>consulta_externa</v>
          </cell>
          <cell r="J1673" t="str">
            <v>bueno</v>
          </cell>
          <cell r="K1673" t="str">
            <v>defsi</v>
          </cell>
        </row>
        <row r="1674">
          <cell r="B1674" t="b">
            <v>1</v>
          </cell>
          <cell r="E1674" t="str">
            <v>Hospital Pozon</v>
          </cell>
          <cell r="H1674" t="str">
            <v>salud_oral</v>
          </cell>
          <cell r="J1674" t="str">
            <v>bueno</v>
          </cell>
          <cell r="K1674" t="str">
            <v>defsi</v>
          </cell>
        </row>
        <row r="1675">
          <cell r="B1675" t="b">
            <v>1</v>
          </cell>
          <cell r="E1675" t="str">
            <v>Hospital Pozon</v>
          </cell>
          <cell r="H1675" t="str">
            <v>laboratorio</v>
          </cell>
          <cell r="J1675" t="str">
            <v>bueno</v>
          </cell>
          <cell r="K1675" t="str">
            <v>defsi</v>
          </cell>
        </row>
        <row r="1676">
          <cell r="B1676" t="b">
            <v>1</v>
          </cell>
          <cell r="E1676" t="str">
            <v>Hospital Pozon</v>
          </cell>
          <cell r="H1676" t="str">
            <v>urgencia</v>
          </cell>
          <cell r="J1676" t="str">
            <v>bueno</v>
          </cell>
          <cell r="K1676" t="str">
            <v>defsi</v>
          </cell>
        </row>
        <row r="1677">
          <cell r="B1677" t="b">
            <v>1</v>
          </cell>
          <cell r="E1677" t="str">
            <v>Hospital Pozon</v>
          </cell>
          <cell r="H1677" t="str">
            <v>consulta_externa</v>
          </cell>
          <cell r="J1677" t="str">
            <v>bueno</v>
          </cell>
          <cell r="K1677" t="str">
            <v>defsi</v>
          </cell>
        </row>
        <row r="1678">
          <cell r="B1678" t="b">
            <v>1</v>
          </cell>
          <cell r="E1678" t="str">
            <v>Hospital Pozon</v>
          </cell>
          <cell r="H1678" t="str">
            <v>consulta_externa</v>
          </cell>
          <cell r="J1678" t="str">
            <v>bueno</v>
          </cell>
          <cell r="K1678" t="str">
            <v>defsi</v>
          </cell>
        </row>
        <row r="1679">
          <cell r="B1679" t="b">
            <v>1</v>
          </cell>
          <cell r="E1679" t="str">
            <v>Hospital Pozon</v>
          </cell>
          <cell r="H1679" t="str">
            <v>laboratorio</v>
          </cell>
          <cell r="J1679" t="str">
            <v>bueno</v>
          </cell>
          <cell r="K1679" t="str">
            <v>defsi</v>
          </cell>
        </row>
        <row r="1680">
          <cell r="B1680" t="b">
            <v>1</v>
          </cell>
          <cell r="E1680" t="str">
            <v>Hospital Pozon</v>
          </cell>
          <cell r="H1680" t="str">
            <v>salud_oral</v>
          </cell>
          <cell r="J1680" t="str">
            <v>bueno</v>
          </cell>
          <cell r="K1680" t="str">
            <v>defsi</v>
          </cell>
        </row>
        <row r="1681">
          <cell r="B1681" t="b">
            <v>1</v>
          </cell>
          <cell r="E1681" t="str">
            <v>Hospital Pozon</v>
          </cell>
          <cell r="H1681" t="str">
            <v>salud_oral</v>
          </cell>
          <cell r="J1681" t="str">
            <v>bueno</v>
          </cell>
          <cell r="K1681" t="str">
            <v>defsi</v>
          </cell>
        </row>
        <row r="1682">
          <cell r="B1682" t="b">
            <v>1</v>
          </cell>
          <cell r="E1682" t="str">
            <v>Hospital Pozon</v>
          </cell>
          <cell r="H1682" t="str">
            <v>salud_oral</v>
          </cell>
          <cell r="J1682" t="str">
            <v>bueno</v>
          </cell>
          <cell r="K1682" t="str">
            <v>defsi</v>
          </cell>
        </row>
        <row r="1683">
          <cell r="B1683" t="b">
            <v>1</v>
          </cell>
          <cell r="E1683" t="str">
            <v>Hospital Pozon</v>
          </cell>
          <cell r="H1683" t="str">
            <v>rx</v>
          </cell>
          <cell r="J1683" t="str">
            <v>bueno</v>
          </cell>
          <cell r="K1683" t="str">
            <v>defsi</v>
          </cell>
        </row>
        <row r="1684">
          <cell r="B1684" t="b">
            <v>1</v>
          </cell>
          <cell r="E1684" t="str">
            <v>Hospital Pozon</v>
          </cell>
          <cell r="H1684" t="str">
            <v>rx</v>
          </cell>
          <cell r="J1684" t="str">
            <v>bueno</v>
          </cell>
          <cell r="K1684" t="str">
            <v>defsi</v>
          </cell>
        </row>
        <row r="1685">
          <cell r="B1685" t="b">
            <v>1</v>
          </cell>
          <cell r="E1685" t="str">
            <v>Hospital Pozon</v>
          </cell>
          <cell r="H1685" t="str">
            <v>rx</v>
          </cell>
          <cell r="J1685" t="str">
            <v>bueno</v>
          </cell>
          <cell r="K1685" t="str">
            <v>defsi</v>
          </cell>
        </row>
        <row r="1686">
          <cell r="B1686" t="b">
            <v>1</v>
          </cell>
          <cell r="E1686" t="str">
            <v>Hospital Pozon</v>
          </cell>
          <cell r="H1686" t="str">
            <v>rx</v>
          </cell>
          <cell r="J1686" t="str">
            <v>bueno</v>
          </cell>
          <cell r="K1686" t="str">
            <v>defsi</v>
          </cell>
        </row>
        <row r="1687">
          <cell r="B1687" t="b">
            <v>1</v>
          </cell>
          <cell r="E1687" t="str">
            <v>Hospital Pozon</v>
          </cell>
          <cell r="H1687" t="str">
            <v>rx</v>
          </cell>
          <cell r="J1687" t="str">
            <v>bueno</v>
          </cell>
          <cell r="K1687" t="str">
            <v>defsi</v>
          </cell>
        </row>
        <row r="1688">
          <cell r="B1688" t="b">
            <v>1</v>
          </cell>
          <cell r="E1688" t="str">
            <v>Pozon</v>
          </cell>
          <cell r="H1688" t="str">
            <v>consulta_externa</v>
          </cell>
          <cell r="J1688" t="str">
            <v>bueno</v>
          </cell>
          <cell r="K1688" t="str">
            <v>defsi</v>
          </cell>
        </row>
        <row r="1689">
          <cell r="B1689" t="b">
            <v>1</v>
          </cell>
          <cell r="E1689" t="str">
            <v>Pozon</v>
          </cell>
          <cell r="H1689" t="str">
            <v>salud_oral</v>
          </cell>
          <cell r="J1689" t="str">
            <v>bueno</v>
          </cell>
          <cell r="K1689" t="str">
            <v>defsi</v>
          </cell>
        </row>
        <row r="1690">
          <cell r="B1690" t="b">
            <v>1</v>
          </cell>
          <cell r="E1690" t="str">
            <v>Pozon</v>
          </cell>
          <cell r="H1690" t="str">
            <v>laboratorio</v>
          </cell>
          <cell r="J1690" t="str">
            <v>bueno</v>
          </cell>
          <cell r="K1690" t="str">
            <v>defsi</v>
          </cell>
        </row>
        <row r="1691">
          <cell r="B1691" t="b">
            <v>1</v>
          </cell>
          <cell r="E1691" t="str">
            <v>Pozon</v>
          </cell>
          <cell r="H1691" t="str">
            <v>consulta_externa</v>
          </cell>
          <cell r="J1691" t="str">
            <v>bueno</v>
          </cell>
          <cell r="K1691" t="str">
            <v>defsi</v>
          </cell>
        </row>
        <row r="1692">
          <cell r="B1692" t="b">
            <v>1</v>
          </cell>
          <cell r="E1692" t="str">
            <v>Arroyo de Piedra</v>
          </cell>
          <cell r="H1692" t="str">
            <v>salud_oral</v>
          </cell>
          <cell r="J1692" t="str">
            <v>bueno</v>
          </cell>
          <cell r="K1692" t="str">
            <v>probsi</v>
          </cell>
        </row>
        <row r="1693">
          <cell r="B1693" t="b">
            <v>1</v>
          </cell>
          <cell r="E1693" t="str">
            <v>Arroyo de Piedra</v>
          </cell>
          <cell r="H1693" t="str">
            <v>salud_oral</v>
          </cell>
          <cell r="J1693" t="str">
            <v>bueno</v>
          </cell>
          <cell r="K1693" t="str">
            <v>probsi</v>
          </cell>
        </row>
        <row r="1694">
          <cell r="B1694" t="b">
            <v>1</v>
          </cell>
          <cell r="E1694" t="str">
            <v>Arroyo de Piedra</v>
          </cell>
          <cell r="H1694" t="str">
            <v>salud_oral</v>
          </cell>
          <cell r="J1694" t="str">
            <v>bueno</v>
          </cell>
          <cell r="K1694" t="str">
            <v>probsi</v>
          </cell>
        </row>
        <row r="1695">
          <cell r="B1695" t="b">
            <v>1</v>
          </cell>
          <cell r="E1695" t="str">
            <v>Arroyo de Piedra</v>
          </cell>
          <cell r="H1695" t="str">
            <v>laboratorio</v>
          </cell>
          <cell r="J1695" t="str">
            <v>bueno</v>
          </cell>
          <cell r="K1695" t="str">
            <v>probsi</v>
          </cell>
        </row>
        <row r="1696">
          <cell r="B1696" t="b">
            <v>1</v>
          </cell>
          <cell r="E1696" t="str">
            <v>Arroyo de Piedra</v>
          </cell>
          <cell r="H1696" t="str">
            <v>laboratorio</v>
          </cell>
          <cell r="J1696" t="str">
            <v>bueno</v>
          </cell>
          <cell r="K1696" t="str">
            <v>probsi</v>
          </cell>
        </row>
        <row r="1697">
          <cell r="B1697" t="b">
            <v>1</v>
          </cell>
          <cell r="E1697" t="str">
            <v>Arroyo de Piedra</v>
          </cell>
          <cell r="H1697" t="str">
            <v>laboratorio</v>
          </cell>
          <cell r="J1697" t="str">
            <v>bueno</v>
          </cell>
          <cell r="K1697" t="str">
            <v>probsi</v>
          </cell>
        </row>
        <row r="1698">
          <cell r="B1698" t="b">
            <v>1</v>
          </cell>
          <cell r="E1698" t="str">
            <v>Pozon</v>
          </cell>
          <cell r="H1698" t="str">
            <v>salud_oral</v>
          </cell>
          <cell r="J1698" t="str">
            <v>bueno</v>
          </cell>
          <cell r="K1698" t="str">
            <v>defsi</v>
          </cell>
        </row>
        <row r="1699">
          <cell r="B1699" t="b">
            <v>1</v>
          </cell>
          <cell r="E1699" t="str">
            <v>Pozon</v>
          </cell>
          <cell r="H1699" t="str">
            <v>laboratorio</v>
          </cell>
          <cell r="J1699" t="str">
            <v>bueno</v>
          </cell>
          <cell r="K1699" t="str">
            <v>defsi</v>
          </cell>
        </row>
        <row r="1700">
          <cell r="B1700" t="b">
            <v>1</v>
          </cell>
          <cell r="E1700" t="str">
            <v>Pozon</v>
          </cell>
          <cell r="H1700" t="str">
            <v>consulta_externa</v>
          </cell>
          <cell r="J1700" t="str">
            <v>bueno</v>
          </cell>
          <cell r="K1700" t="str">
            <v>defsi</v>
          </cell>
        </row>
        <row r="1701">
          <cell r="B1701" t="b">
            <v>1</v>
          </cell>
          <cell r="E1701" t="str">
            <v>Pozon</v>
          </cell>
          <cell r="H1701" t="str">
            <v>salud_oral</v>
          </cell>
          <cell r="J1701" t="str">
            <v>bueno</v>
          </cell>
          <cell r="K1701" t="str">
            <v>defsi</v>
          </cell>
        </row>
        <row r="1702">
          <cell r="B1702" t="b">
            <v>1</v>
          </cell>
          <cell r="E1702" t="str">
            <v>Pozon</v>
          </cell>
          <cell r="H1702" t="str">
            <v>laboratorio</v>
          </cell>
          <cell r="J1702" t="str">
            <v>bueno</v>
          </cell>
          <cell r="K1702" t="str">
            <v>defsi</v>
          </cell>
        </row>
        <row r="1703">
          <cell r="B1703" t="b">
            <v>1</v>
          </cell>
          <cell r="E1703" t="str">
            <v>Pozon</v>
          </cell>
          <cell r="H1703" t="str">
            <v>consulta_externa</v>
          </cell>
          <cell r="J1703" t="str">
            <v>bueno</v>
          </cell>
          <cell r="K1703" t="str">
            <v>defsi</v>
          </cell>
        </row>
        <row r="1704">
          <cell r="B1704" t="b">
            <v>1</v>
          </cell>
          <cell r="E1704" t="str">
            <v>Pozon</v>
          </cell>
          <cell r="H1704" t="str">
            <v>salud_oral</v>
          </cell>
          <cell r="J1704" t="str">
            <v>bueno</v>
          </cell>
          <cell r="K1704" t="str">
            <v>defsi</v>
          </cell>
        </row>
        <row r="1705">
          <cell r="B1705" t="b">
            <v>1</v>
          </cell>
          <cell r="E1705" t="str">
            <v>Pozon</v>
          </cell>
          <cell r="H1705" t="str">
            <v>laboratorio</v>
          </cell>
          <cell r="J1705" t="str">
            <v>bueno</v>
          </cell>
          <cell r="K1705" t="str">
            <v>defsi</v>
          </cell>
        </row>
        <row r="1706">
          <cell r="B1706" t="b">
            <v>1</v>
          </cell>
          <cell r="E1706" t="str">
            <v>Pozon</v>
          </cell>
          <cell r="H1706" t="str">
            <v>consulta_externa</v>
          </cell>
          <cell r="J1706" t="str">
            <v>bueno</v>
          </cell>
          <cell r="K1706" t="str">
            <v>defsi</v>
          </cell>
        </row>
        <row r="1707">
          <cell r="B1707" t="b">
            <v>1</v>
          </cell>
          <cell r="E1707" t="str">
            <v>Pozon</v>
          </cell>
          <cell r="H1707" t="str">
            <v>salud_oral</v>
          </cell>
          <cell r="J1707" t="str">
            <v>bueno</v>
          </cell>
          <cell r="K1707" t="str">
            <v>defsi</v>
          </cell>
        </row>
        <row r="1708">
          <cell r="B1708" t="b">
            <v>1</v>
          </cell>
          <cell r="E1708" t="str">
            <v>Pozon</v>
          </cell>
          <cell r="H1708" t="str">
            <v>laboratorio</v>
          </cell>
          <cell r="J1708" t="str">
            <v>bueno</v>
          </cell>
          <cell r="K1708" t="str">
            <v>defsi</v>
          </cell>
        </row>
        <row r="1709">
          <cell r="B1709" t="b">
            <v>1</v>
          </cell>
          <cell r="E1709" t="str">
            <v>Pozon</v>
          </cell>
          <cell r="H1709" t="str">
            <v>consulta_externa</v>
          </cell>
          <cell r="J1709" t="str">
            <v>bueno</v>
          </cell>
          <cell r="K1709" t="str">
            <v>defsi</v>
          </cell>
        </row>
        <row r="1710">
          <cell r="B1710" t="b">
            <v>1</v>
          </cell>
          <cell r="E1710" t="str">
            <v>Pozon</v>
          </cell>
          <cell r="H1710" t="str">
            <v>salud_oral</v>
          </cell>
          <cell r="J1710" t="str">
            <v>bueno</v>
          </cell>
          <cell r="K1710" t="str">
            <v>defsi</v>
          </cell>
        </row>
        <row r="1711">
          <cell r="B1711" t="b">
            <v>1</v>
          </cell>
          <cell r="E1711" t="str">
            <v>Pozon</v>
          </cell>
          <cell r="H1711" t="str">
            <v>laboratorio</v>
          </cell>
          <cell r="J1711" t="str">
            <v>bueno</v>
          </cell>
          <cell r="K1711" t="str">
            <v>defsi</v>
          </cell>
        </row>
        <row r="1712">
          <cell r="B1712" t="b">
            <v>1</v>
          </cell>
          <cell r="E1712" t="str">
            <v>Pozon</v>
          </cell>
          <cell r="H1712" t="str">
            <v>consulta_externa</v>
          </cell>
          <cell r="J1712" t="str">
            <v>bueno</v>
          </cell>
          <cell r="K1712" t="str">
            <v>defsi</v>
          </cell>
        </row>
        <row r="1713">
          <cell r="B1713" t="b">
            <v>1</v>
          </cell>
          <cell r="E1713" t="str">
            <v>Pozon</v>
          </cell>
          <cell r="H1713" t="str">
            <v>salud_oral</v>
          </cell>
          <cell r="J1713" t="str">
            <v>bueno</v>
          </cell>
          <cell r="K1713" t="str">
            <v>defsi</v>
          </cell>
        </row>
        <row r="1714">
          <cell r="B1714" t="b">
            <v>1</v>
          </cell>
          <cell r="E1714" t="str">
            <v>Pozon</v>
          </cell>
          <cell r="H1714" t="str">
            <v>laboratorio</v>
          </cell>
          <cell r="J1714" t="str">
            <v>bueno</v>
          </cell>
          <cell r="K1714" t="str">
            <v>defsi</v>
          </cell>
        </row>
        <row r="1715">
          <cell r="B1715" t="b">
            <v>1</v>
          </cell>
          <cell r="E1715" t="str">
            <v>Pozon</v>
          </cell>
          <cell r="H1715" t="str">
            <v>consulta_externa</v>
          </cell>
          <cell r="J1715" t="str">
            <v>bueno</v>
          </cell>
          <cell r="K1715" t="str">
            <v>defsi</v>
          </cell>
        </row>
        <row r="1716">
          <cell r="B1716" t="b">
            <v>1</v>
          </cell>
          <cell r="E1716" t="str">
            <v>Pozon</v>
          </cell>
          <cell r="H1716" t="str">
            <v>salud_oral</v>
          </cell>
          <cell r="J1716" t="str">
            <v>bueno</v>
          </cell>
          <cell r="K1716" t="str">
            <v>defsi</v>
          </cell>
        </row>
        <row r="1717">
          <cell r="B1717" t="b">
            <v>1</v>
          </cell>
          <cell r="E1717" t="str">
            <v>Pozon</v>
          </cell>
          <cell r="H1717" t="str">
            <v>laboratorio</v>
          </cell>
          <cell r="J1717" t="str">
            <v>bueno</v>
          </cell>
          <cell r="K1717" t="str">
            <v>defsi</v>
          </cell>
        </row>
        <row r="1718">
          <cell r="B1718" t="b">
            <v>1</v>
          </cell>
          <cell r="E1718" t="str">
            <v>Pozon</v>
          </cell>
          <cell r="H1718" t="str">
            <v>consulta_externa</v>
          </cell>
          <cell r="J1718" t="str">
            <v>bueno</v>
          </cell>
          <cell r="K1718" t="str">
            <v>defsi</v>
          </cell>
        </row>
        <row r="1719">
          <cell r="B1719" t="b">
            <v>1</v>
          </cell>
          <cell r="E1719" t="str">
            <v>Pozon</v>
          </cell>
          <cell r="H1719" t="str">
            <v>salud_oral</v>
          </cell>
          <cell r="J1719" t="str">
            <v>bueno</v>
          </cell>
          <cell r="K1719" t="str">
            <v>defsi</v>
          </cell>
        </row>
        <row r="1720">
          <cell r="B1720" t="b">
            <v>1</v>
          </cell>
          <cell r="E1720" t="str">
            <v>Pozon</v>
          </cell>
          <cell r="H1720" t="str">
            <v>laboratorio</v>
          </cell>
          <cell r="J1720" t="str">
            <v>bueno</v>
          </cell>
          <cell r="K1720" t="str">
            <v>defsi</v>
          </cell>
        </row>
        <row r="1721">
          <cell r="B1721" t="b">
            <v>1</v>
          </cell>
          <cell r="E1721" t="str">
            <v>Pozon</v>
          </cell>
          <cell r="H1721" t="str">
            <v>consulta_externa</v>
          </cell>
          <cell r="J1721" t="str">
            <v>bueno</v>
          </cell>
          <cell r="K1721" t="str">
            <v>defsi</v>
          </cell>
        </row>
        <row r="1722">
          <cell r="B1722" t="b">
            <v>1</v>
          </cell>
          <cell r="E1722" t="str">
            <v>Pozon</v>
          </cell>
          <cell r="H1722" t="str">
            <v>salud_oral</v>
          </cell>
          <cell r="J1722" t="str">
            <v>bueno</v>
          </cell>
          <cell r="K1722" t="str">
            <v>defsi</v>
          </cell>
        </row>
        <row r="1723">
          <cell r="B1723" t="b">
            <v>1</v>
          </cell>
          <cell r="E1723" t="str">
            <v>Pozon</v>
          </cell>
          <cell r="H1723" t="str">
            <v>laboratorio</v>
          </cell>
          <cell r="J1723" t="str">
            <v>bueno</v>
          </cell>
          <cell r="K1723" t="str">
            <v>defsi</v>
          </cell>
        </row>
        <row r="1724">
          <cell r="B1724" t="b">
            <v>1</v>
          </cell>
          <cell r="E1724" t="str">
            <v>Pozon</v>
          </cell>
          <cell r="H1724" t="str">
            <v>consulta_externa</v>
          </cell>
          <cell r="J1724" t="str">
            <v>bueno</v>
          </cell>
          <cell r="K1724" t="str">
            <v>defsi</v>
          </cell>
        </row>
        <row r="1725">
          <cell r="B1725" t="b">
            <v>1</v>
          </cell>
          <cell r="E1725" t="str">
            <v>Pozon</v>
          </cell>
          <cell r="H1725" t="str">
            <v>salud_oral</v>
          </cell>
          <cell r="J1725" t="str">
            <v>bueno</v>
          </cell>
          <cell r="K1725" t="str">
            <v>defsi</v>
          </cell>
        </row>
        <row r="1726">
          <cell r="B1726" t="b">
            <v>1</v>
          </cell>
          <cell r="E1726" t="str">
            <v>Pozon</v>
          </cell>
          <cell r="H1726" t="str">
            <v>laboratorio</v>
          </cell>
          <cell r="J1726" t="str">
            <v>bueno</v>
          </cell>
          <cell r="K1726" t="str">
            <v>defsi</v>
          </cell>
        </row>
        <row r="1727">
          <cell r="B1727" t="b">
            <v>1</v>
          </cell>
          <cell r="E1727" t="str">
            <v>Pozon</v>
          </cell>
          <cell r="H1727" t="str">
            <v>consulta_externa</v>
          </cell>
          <cell r="J1727" t="str">
            <v>bueno</v>
          </cell>
          <cell r="K1727" t="str">
            <v>defsi</v>
          </cell>
        </row>
        <row r="1728">
          <cell r="B1728" t="b">
            <v>1</v>
          </cell>
          <cell r="E1728" t="str">
            <v>Pozon</v>
          </cell>
          <cell r="H1728" t="str">
            <v>salud_oral</v>
          </cell>
          <cell r="J1728" t="str">
            <v>bueno</v>
          </cell>
          <cell r="K1728" t="str">
            <v>defsi</v>
          </cell>
        </row>
        <row r="1729">
          <cell r="B1729" t="b">
            <v>1</v>
          </cell>
          <cell r="E1729" t="str">
            <v>Pozon</v>
          </cell>
          <cell r="H1729" t="str">
            <v>laboratorio</v>
          </cell>
          <cell r="J1729" t="str">
            <v>bueno</v>
          </cell>
          <cell r="K1729" t="str">
            <v>defsi</v>
          </cell>
        </row>
        <row r="1730">
          <cell r="B1730" t="b">
            <v>1</v>
          </cell>
          <cell r="E1730" t="str">
            <v>Manzanillo</v>
          </cell>
          <cell r="H1730" t="str">
            <v>consulta_externa</v>
          </cell>
          <cell r="J1730" t="str">
            <v>bueno</v>
          </cell>
          <cell r="K1730" t="str">
            <v>defsi</v>
          </cell>
        </row>
        <row r="1731">
          <cell r="B1731" t="b">
            <v>1</v>
          </cell>
          <cell r="E1731" t="str">
            <v>Manzanillo</v>
          </cell>
          <cell r="H1731" t="str">
            <v>laboratorio</v>
          </cell>
          <cell r="J1731" t="str">
            <v>bueno</v>
          </cell>
          <cell r="K1731" t="str">
            <v>defsi</v>
          </cell>
        </row>
        <row r="1732">
          <cell r="B1732" t="b">
            <v>1</v>
          </cell>
          <cell r="E1732" t="str">
            <v>Manzanillo</v>
          </cell>
          <cell r="H1732" t="str">
            <v>salud_oral</v>
          </cell>
          <cell r="J1732" t="str">
            <v>bueno</v>
          </cell>
          <cell r="K1732" t="str">
            <v>defsi</v>
          </cell>
        </row>
        <row r="1733">
          <cell r="B1733" t="b">
            <v>1</v>
          </cell>
          <cell r="E1733" t="str">
            <v>Manzanillo</v>
          </cell>
          <cell r="H1733" t="str">
            <v>laboratorio</v>
          </cell>
          <cell r="J1733" t="str">
            <v>bueno</v>
          </cell>
          <cell r="K1733" t="str">
            <v>defsi</v>
          </cell>
        </row>
        <row r="1734">
          <cell r="B1734" t="b">
            <v>1</v>
          </cell>
          <cell r="E1734" t="str">
            <v>Manzanillo</v>
          </cell>
          <cell r="H1734" t="str">
            <v>salud_oral</v>
          </cell>
          <cell r="J1734" t="str">
            <v>bueno</v>
          </cell>
          <cell r="K1734" t="str">
            <v>defsi</v>
          </cell>
        </row>
        <row r="1735">
          <cell r="B1735" t="b">
            <v>1</v>
          </cell>
          <cell r="E1735" t="str">
            <v>Manzanillo</v>
          </cell>
          <cell r="H1735" t="str">
            <v>consulta_externa</v>
          </cell>
          <cell r="J1735" t="str">
            <v>muybueno</v>
          </cell>
          <cell r="K1735" t="str">
            <v>defsi</v>
          </cell>
        </row>
        <row r="1736">
          <cell r="B1736" t="b">
            <v>1</v>
          </cell>
          <cell r="E1736" t="str">
            <v>Manzanillo</v>
          </cell>
          <cell r="H1736" t="str">
            <v>consulta_externa</v>
          </cell>
          <cell r="J1736" t="str">
            <v>bueno</v>
          </cell>
          <cell r="K1736" t="str">
            <v>defsi</v>
          </cell>
        </row>
        <row r="1737">
          <cell r="B1737" t="b">
            <v>1</v>
          </cell>
          <cell r="E1737" t="str">
            <v>Manzanillo</v>
          </cell>
          <cell r="H1737" t="str">
            <v>laboratorio</v>
          </cell>
          <cell r="J1737" t="str">
            <v>muybueno</v>
          </cell>
          <cell r="K1737" t="str">
            <v>defsi</v>
          </cell>
        </row>
        <row r="1738">
          <cell r="B1738" t="b">
            <v>1</v>
          </cell>
          <cell r="E1738" t="str">
            <v>Manzanillo</v>
          </cell>
          <cell r="H1738" t="str">
            <v>laboratorio</v>
          </cell>
          <cell r="J1738" t="str">
            <v>muybueno</v>
          </cell>
          <cell r="K1738" t="str">
            <v>defsi</v>
          </cell>
        </row>
        <row r="1739">
          <cell r="B1739" t="b">
            <v>1</v>
          </cell>
          <cell r="E1739" t="str">
            <v>Santa Ana</v>
          </cell>
          <cell r="H1739" t="str">
            <v>consulta_externa</v>
          </cell>
          <cell r="J1739" t="str">
            <v>muybueno</v>
          </cell>
          <cell r="K1739" t="str">
            <v>defsi</v>
          </cell>
        </row>
        <row r="1740">
          <cell r="B1740" t="b">
            <v>1</v>
          </cell>
          <cell r="E1740" t="str">
            <v>Santa Ana</v>
          </cell>
          <cell r="H1740" t="str">
            <v>laboratorio</v>
          </cell>
          <cell r="J1740" t="str">
            <v>muybueno</v>
          </cell>
          <cell r="K1740" t="str">
            <v>defsi</v>
          </cell>
        </row>
        <row r="1741">
          <cell r="B1741" t="b">
            <v>1</v>
          </cell>
          <cell r="E1741" t="str">
            <v>Santa Ana</v>
          </cell>
          <cell r="H1741" t="str">
            <v>salud_oral</v>
          </cell>
          <cell r="J1741" t="str">
            <v>muybueno</v>
          </cell>
          <cell r="K1741" t="str">
            <v>defsi</v>
          </cell>
        </row>
        <row r="1742">
          <cell r="B1742" t="b">
            <v>1</v>
          </cell>
          <cell r="E1742" t="str">
            <v>Bayunca</v>
          </cell>
          <cell r="H1742" t="str">
            <v>consulta_externa</v>
          </cell>
          <cell r="J1742" t="str">
            <v>bueno</v>
          </cell>
          <cell r="K1742" t="str">
            <v>defsi</v>
          </cell>
        </row>
        <row r="1743">
          <cell r="B1743" t="b">
            <v>1</v>
          </cell>
          <cell r="E1743" t="str">
            <v>Bayunca</v>
          </cell>
          <cell r="H1743" t="str">
            <v>salud_oral</v>
          </cell>
          <cell r="J1743" t="str">
            <v>bueno</v>
          </cell>
          <cell r="K1743" t="str">
            <v>defsi</v>
          </cell>
        </row>
        <row r="1744">
          <cell r="B1744" t="b">
            <v>1</v>
          </cell>
          <cell r="E1744" t="str">
            <v>Bayunca</v>
          </cell>
          <cell r="H1744" t="str">
            <v>laboratorio</v>
          </cell>
          <cell r="J1744" t="str">
            <v>bueno</v>
          </cell>
          <cell r="K1744" t="str">
            <v>defsi</v>
          </cell>
        </row>
        <row r="1745">
          <cell r="B1745" t="b">
            <v>1</v>
          </cell>
          <cell r="E1745" t="str">
            <v>Bayunca</v>
          </cell>
          <cell r="H1745" t="str">
            <v>urgencia</v>
          </cell>
          <cell r="J1745" t="str">
            <v>bueno</v>
          </cell>
          <cell r="K1745" t="str">
            <v>defsi</v>
          </cell>
        </row>
        <row r="1746">
          <cell r="B1746" t="b">
            <v>1</v>
          </cell>
          <cell r="E1746" t="str">
            <v>Bayunca</v>
          </cell>
          <cell r="H1746" t="str">
            <v>consulta_externa</v>
          </cell>
          <cell r="J1746" t="str">
            <v>bueno</v>
          </cell>
          <cell r="K1746" t="str">
            <v>defsi</v>
          </cell>
        </row>
        <row r="1747">
          <cell r="B1747" t="b">
            <v>1</v>
          </cell>
          <cell r="E1747" t="str">
            <v>Bayunca</v>
          </cell>
          <cell r="H1747" t="str">
            <v>salud_oral</v>
          </cell>
          <cell r="J1747" t="str">
            <v>bueno</v>
          </cell>
          <cell r="K1747" t="str">
            <v>defsi</v>
          </cell>
        </row>
        <row r="1748">
          <cell r="B1748" t="b">
            <v>1</v>
          </cell>
          <cell r="E1748" t="str">
            <v>Bayunca</v>
          </cell>
          <cell r="H1748" t="str">
            <v>laboratorio</v>
          </cell>
          <cell r="J1748" t="str">
            <v>bueno</v>
          </cell>
          <cell r="K1748" t="str">
            <v>defsi</v>
          </cell>
        </row>
        <row r="1749">
          <cell r="B1749" t="b">
            <v>1</v>
          </cell>
          <cell r="E1749" t="str">
            <v>Bayunca</v>
          </cell>
          <cell r="H1749" t="str">
            <v>urgencia</v>
          </cell>
          <cell r="J1749" t="str">
            <v>bueno</v>
          </cell>
          <cell r="K1749" t="str">
            <v>defsi</v>
          </cell>
        </row>
        <row r="1750">
          <cell r="B1750" t="b">
            <v>1</v>
          </cell>
          <cell r="E1750" t="str">
            <v>Bayunca</v>
          </cell>
          <cell r="H1750" t="str">
            <v>consulta_externa</v>
          </cell>
          <cell r="J1750" t="str">
            <v>bueno</v>
          </cell>
          <cell r="K1750" t="str">
            <v>defsi</v>
          </cell>
        </row>
        <row r="1751">
          <cell r="B1751" t="b">
            <v>1</v>
          </cell>
          <cell r="E1751" t="str">
            <v>Santa Ana</v>
          </cell>
          <cell r="H1751" t="str">
            <v>consulta_externa</v>
          </cell>
          <cell r="J1751" t="str">
            <v>muybueno</v>
          </cell>
          <cell r="K1751" t="str">
            <v>defsi</v>
          </cell>
        </row>
        <row r="1752">
          <cell r="B1752" t="b">
            <v>1</v>
          </cell>
          <cell r="E1752" t="str">
            <v>Santa Ana</v>
          </cell>
          <cell r="H1752" t="str">
            <v>laboratorio</v>
          </cell>
          <cell r="J1752" t="str">
            <v>muybueno</v>
          </cell>
          <cell r="K1752" t="str">
            <v>defsi</v>
          </cell>
        </row>
        <row r="1753">
          <cell r="B1753" t="b">
            <v>1</v>
          </cell>
          <cell r="E1753" t="str">
            <v>Bayunca</v>
          </cell>
          <cell r="H1753" t="str">
            <v>salud_oral</v>
          </cell>
          <cell r="J1753" t="str">
            <v>bueno</v>
          </cell>
          <cell r="K1753" t="str">
            <v>defsi</v>
          </cell>
        </row>
        <row r="1754">
          <cell r="B1754" t="b">
            <v>1</v>
          </cell>
          <cell r="E1754" t="str">
            <v>Bayunca</v>
          </cell>
          <cell r="H1754" t="str">
            <v>laboratorio</v>
          </cell>
          <cell r="J1754" t="str">
            <v>bueno</v>
          </cell>
          <cell r="K1754" t="str">
            <v>defsi</v>
          </cell>
        </row>
        <row r="1755">
          <cell r="B1755" t="b">
            <v>1</v>
          </cell>
          <cell r="E1755" t="str">
            <v>Bayunca</v>
          </cell>
          <cell r="H1755" t="str">
            <v>urgencia</v>
          </cell>
          <cell r="J1755" t="str">
            <v>bueno</v>
          </cell>
          <cell r="K1755" t="str">
            <v>defsi</v>
          </cell>
        </row>
        <row r="1756">
          <cell r="B1756" t="b">
            <v>1</v>
          </cell>
          <cell r="E1756" t="str">
            <v>Las Reinas</v>
          </cell>
          <cell r="H1756" t="str">
            <v>consulta_externa</v>
          </cell>
          <cell r="J1756" t="str">
            <v>bueno</v>
          </cell>
          <cell r="K1756" t="str">
            <v>probsi</v>
          </cell>
        </row>
        <row r="1757">
          <cell r="B1757" t="b">
            <v>1</v>
          </cell>
          <cell r="E1757" t="str">
            <v>Las Reinas</v>
          </cell>
          <cell r="H1757" t="str">
            <v>salud_oral</v>
          </cell>
          <cell r="J1757" t="str">
            <v>bueno</v>
          </cell>
          <cell r="K1757" t="str">
            <v>probsi</v>
          </cell>
        </row>
        <row r="1758">
          <cell r="B1758" t="b">
            <v>1</v>
          </cell>
          <cell r="E1758" t="str">
            <v>Las Reinas</v>
          </cell>
          <cell r="H1758" t="str">
            <v>laboratorio</v>
          </cell>
          <cell r="J1758" t="str">
            <v>bueno</v>
          </cell>
          <cell r="K1758" t="str">
            <v>probsi</v>
          </cell>
        </row>
        <row r="1759">
          <cell r="B1759" t="b">
            <v>1</v>
          </cell>
          <cell r="E1759" t="str">
            <v>Bayunca</v>
          </cell>
          <cell r="H1759" t="str">
            <v>consulta_externa</v>
          </cell>
          <cell r="J1759" t="str">
            <v>bueno</v>
          </cell>
          <cell r="K1759" t="str">
            <v>defsi</v>
          </cell>
        </row>
        <row r="1760">
          <cell r="B1760" t="b">
            <v>0</v>
          </cell>
          <cell r="E1760" t="str">
            <v>Las Reinas</v>
          </cell>
          <cell r="H1760" t="str">
            <v>consulta_externa</v>
          </cell>
          <cell r="J1760" t="str">
            <v>malo</v>
          </cell>
          <cell r="K1760" t="str">
            <v>probsi</v>
          </cell>
        </row>
        <row r="1761">
          <cell r="B1761" t="b">
            <v>0</v>
          </cell>
          <cell r="E1761" t="str">
            <v>Las Reinas</v>
          </cell>
          <cell r="H1761" t="str">
            <v>salud_oral</v>
          </cell>
          <cell r="J1761" t="str">
            <v>regular</v>
          </cell>
          <cell r="K1761" t="str">
            <v>probsi</v>
          </cell>
        </row>
        <row r="1762">
          <cell r="B1762" t="b">
            <v>0</v>
          </cell>
          <cell r="E1762" t="str">
            <v>Las Reinas</v>
          </cell>
          <cell r="H1762" t="str">
            <v>consulta_externa</v>
          </cell>
          <cell r="J1762" t="str">
            <v>malo</v>
          </cell>
          <cell r="K1762" t="str">
            <v>probno</v>
          </cell>
        </row>
        <row r="1763">
          <cell r="B1763" t="b">
            <v>0</v>
          </cell>
          <cell r="E1763" t="str">
            <v>Las Reinas</v>
          </cell>
          <cell r="H1763" t="str">
            <v>salud_oral</v>
          </cell>
          <cell r="J1763" t="str">
            <v>regular</v>
          </cell>
          <cell r="K1763" t="str">
            <v>probno</v>
          </cell>
        </row>
        <row r="1764">
          <cell r="B1764" t="b">
            <v>1</v>
          </cell>
          <cell r="E1764" t="str">
            <v>Las Reinas</v>
          </cell>
          <cell r="H1764" t="str">
            <v>laboratorio</v>
          </cell>
          <cell r="J1764" t="str">
            <v>bueno</v>
          </cell>
          <cell r="K1764" t="str">
            <v>probsi</v>
          </cell>
        </row>
        <row r="1765">
          <cell r="B1765" t="b">
            <v>1</v>
          </cell>
          <cell r="E1765" t="str">
            <v>Bayunca</v>
          </cell>
          <cell r="H1765" t="str">
            <v>salud_oral</v>
          </cell>
          <cell r="J1765" t="str">
            <v>bueno</v>
          </cell>
          <cell r="K1765" t="str">
            <v>defsi</v>
          </cell>
        </row>
        <row r="1766">
          <cell r="B1766" t="b">
            <v>1</v>
          </cell>
          <cell r="E1766" t="str">
            <v>Bayunca</v>
          </cell>
          <cell r="H1766" t="str">
            <v>laboratorio</v>
          </cell>
          <cell r="J1766" t="str">
            <v>bueno</v>
          </cell>
          <cell r="K1766" t="str">
            <v>defsi</v>
          </cell>
        </row>
        <row r="1767">
          <cell r="B1767" t="b">
            <v>1</v>
          </cell>
          <cell r="E1767" t="str">
            <v>Bayunca</v>
          </cell>
          <cell r="H1767" t="str">
            <v>urgencia</v>
          </cell>
          <cell r="J1767" t="str">
            <v>bueno</v>
          </cell>
          <cell r="K1767" t="str">
            <v>defsi</v>
          </cell>
        </row>
        <row r="1768">
          <cell r="B1768" t="b">
            <v>1</v>
          </cell>
          <cell r="E1768" t="str">
            <v>Bayunca</v>
          </cell>
          <cell r="H1768" t="str">
            <v>consulta_externa</v>
          </cell>
          <cell r="J1768" t="str">
            <v>bueno</v>
          </cell>
          <cell r="K1768" t="str">
            <v>defsi</v>
          </cell>
        </row>
        <row r="1769">
          <cell r="B1769" t="b">
            <v>1</v>
          </cell>
          <cell r="E1769" t="str">
            <v>Santa Ana</v>
          </cell>
          <cell r="H1769" t="str">
            <v>consulta_externa</v>
          </cell>
          <cell r="J1769" t="str">
            <v>muybueno</v>
          </cell>
          <cell r="K1769" t="str">
            <v>defsi</v>
          </cell>
        </row>
        <row r="1770">
          <cell r="B1770" t="b">
            <v>1</v>
          </cell>
          <cell r="E1770" t="str">
            <v>Las Reinas</v>
          </cell>
          <cell r="H1770" t="str">
            <v>consulta_externa</v>
          </cell>
          <cell r="J1770" t="str">
            <v>bueno</v>
          </cell>
          <cell r="K1770" t="str">
            <v>probsi</v>
          </cell>
        </row>
        <row r="1771">
          <cell r="B1771" t="b">
            <v>1</v>
          </cell>
          <cell r="E1771" t="str">
            <v>Las Reinas</v>
          </cell>
          <cell r="H1771" t="str">
            <v>salud_oral</v>
          </cell>
          <cell r="J1771" t="str">
            <v>bueno</v>
          </cell>
          <cell r="K1771" t="str">
            <v>probsi</v>
          </cell>
        </row>
        <row r="1772">
          <cell r="B1772" t="b">
            <v>1</v>
          </cell>
          <cell r="E1772" t="str">
            <v>Santa Ana</v>
          </cell>
          <cell r="H1772" t="str">
            <v>laboratorio</v>
          </cell>
          <cell r="J1772" t="str">
            <v>muybueno</v>
          </cell>
          <cell r="K1772" t="str">
            <v>defsi</v>
          </cell>
        </row>
        <row r="1773">
          <cell r="B1773" t="b">
            <v>1</v>
          </cell>
          <cell r="E1773" t="str">
            <v>Las Reinas</v>
          </cell>
          <cell r="H1773" t="str">
            <v>laboratorio</v>
          </cell>
          <cell r="J1773" t="str">
            <v>bueno</v>
          </cell>
          <cell r="K1773" t="str">
            <v>probsi</v>
          </cell>
        </row>
        <row r="1774">
          <cell r="B1774" t="b">
            <v>0</v>
          </cell>
          <cell r="E1774" t="str">
            <v>Las Reinas</v>
          </cell>
          <cell r="H1774" t="str">
            <v>laboratorio</v>
          </cell>
          <cell r="J1774" t="str">
            <v>regular</v>
          </cell>
          <cell r="K1774" t="str">
            <v>probsi</v>
          </cell>
        </row>
        <row r="1775">
          <cell r="B1775" t="b">
            <v>1</v>
          </cell>
          <cell r="E1775" t="str">
            <v>Bayunca</v>
          </cell>
          <cell r="H1775" t="str">
            <v>salud_oral</v>
          </cell>
          <cell r="J1775" t="str">
            <v>bueno</v>
          </cell>
          <cell r="K1775" t="str">
            <v>defsi</v>
          </cell>
        </row>
        <row r="1776">
          <cell r="B1776" t="b">
            <v>1</v>
          </cell>
          <cell r="E1776" t="str">
            <v>Las Reinas</v>
          </cell>
          <cell r="H1776" t="str">
            <v>laboratorio</v>
          </cell>
          <cell r="J1776" t="str">
            <v>bueno</v>
          </cell>
          <cell r="K1776" t="str">
            <v>probsi</v>
          </cell>
        </row>
        <row r="1777">
          <cell r="B1777" t="b">
            <v>1</v>
          </cell>
          <cell r="E1777" t="str">
            <v>Bayunca</v>
          </cell>
          <cell r="H1777" t="str">
            <v>laboratorio</v>
          </cell>
          <cell r="J1777" t="str">
            <v>bueno</v>
          </cell>
          <cell r="K1777" t="str">
            <v>defsi</v>
          </cell>
        </row>
        <row r="1778">
          <cell r="B1778" t="b">
            <v>1</v>
          </cell>
          <cell r="E1778" t="str">
            <v>Bayunca</v>
          </cell>
          <cell r="H1778" t="str">
            <v>urgencia</v>
          </cell>
          <cell r="J1778" t="str">
            <v>bueno</v>
          </cell>
          <cell r="K1778" t="str">
            <v>defsi</v>
          </cell>
        </row>
        <row r="1779">
          <cell r="B1779" t="b">
            <v>1</v>
          </cell>
          <cell r="E1779" t="str">
            <v>Santa Ana</v>
          </cell>
          <cell r="H1779" t="str">
            <v>urgencia</v>
          </cell>
          <cell r="J1779" t="str">
            <v>muybueno</v>
          </cell>
          <cell r="K1779" t="str">
            <v>defsi</v>
          </cell>
        </row>
        <row r="1780">
          <cell r="B1780" t="b">
            <v>0</v>
          </cell>
          <cell r="E1780" t="str">
            <v>Las Reinas</v>
          </cell>
          <cell r="H1780" t="str">
            <v>consulta_externa</v>
          </cell>
          <cell r="J1780" t="str">
            <v>regular</v>
          </cell>
          <cell r="K1780" t="str">
            <v>probsi</v>
          </cell>
        </row>
        <row r="1781">
          <cell r="B1781" t="b">
            <v>0</v>
          </cell>
          <cell r="E1781" t="str">
            <v>Las Reinas</v>
          </cell>
          <cell r="H1781" t="str">
            <v>consulta_externa</v>
          </cell>
          <cell r="J1781" t="str">
            <v>regular</v>
          </cell>
          <cell r="K1781" t="str">
            <v>probsi</v>
          </cell>
        </row>
        <row r="1782">
          <cell r="B1782" t="b">
            <v>1</v>
          </cell>
          <cell r="E1782" t="str">
            <v>Bayunca</v>
          </cell>
          <cell r="H1782" t="str">
            <v>consulta_externa</v>
          </cell>
          <cell r="J1782" t="str">
            <v>bueno</v>
          </cell>
          <cell r="K1782" t="str">
            <v>defsi</v>
          </cell>
        </row>
        <row r="1783">
          <cell r="B1783" t="b">
            <v>0</v>
          </cell>
          <cell r="E1783" t="str">
            <v>Las Reinas</v>
          </cell>
          <cell r="H1783" t="str">
            <v>salud_oral</v>
          </cell>
          <cell r="J1783" t="str">
            <v>regular</v>
          </cell>
          <cell r="K1783" t="str">
            <v>probsi</v>
          </cell>
        </row>
        <row r="1784">
          <cell r="B1784" t="b">
            <v>1</v>
          </cell>
          <cell r="E1784" t="str">
            <v>Bayunca</v>
          </cell>
          <cell r="H1784" t="str">
            <v>salud_oral</v>
          </cell>
          <cell r="J1784" t="str">
            <v>bueno</v>
          </cell>
          <cell r="K1784" t="str">
            <v>defsi</v>
          </cell>
        </row>
        <row r="1785">
          <cell r="B1785" t="b">
            <v>1</v>
          </cell>
          <cell r="E1785" t="str">
            <v>Bayunca</v>
          </cell>
          <cell r="H1785" t="str">
            <v>laboratorio</v>
          </cell>
          <cell r="J1785" t="str">
            <v>bueno</v>
          </cell>
          <cell r="K1785" t="str">
            <v>defsi</v>
          </cell>
        </row>
        <row r="1786">
          <cell r="B1786" t="b">
            <v>1</v>
          </cell>
          <cell r="E1786" t="str">
            <v>Bayunca</v>
          </cell>
          <cell r="H1786" t="str">
            <v>urgencia</v>
          </cell>
          <cell r="J1786" t="str">
            <v>bueno</v>
          </cell>
          <cell r="K1786" t="str">
            <v>defsi</v>
          </cell>
        </row>
        <row r="1787">
          <cell r="B1787" t="b">
            <v>1</v>
          </cell>
          <cell r="E1787" t="str">
            <v>Santa Ana</v>
          </cell>
          <cell r="H1787" t="str">
            <v>consulta_externa</v>
          </cell>
          <cell r="J1787" t="str">
            <v>muybueno</v>
          </cell>
          <cell r="K1787" t="str">
            <v>defsi</v>
          </cell>
        </row>
        <row r="1788">
          <cell r="B1788" t="b">
            <v>1</v>
          </cell>
          <cell r="E1788" t="str">
            <v>Las Reinas</v>
          </cell>
          <cell r="H1788" t="str">
            <v>consulta_externa</v>
          </cell>
          <cell r="J1788" t="str">
            <v>bueno</v>
          </cell>
          <cell r="K1788" t="str">
            <v>probsi</v>
          </cell>
        </row>
        <row r="1789">
          <cell r="B1789" t="b">
            <v>1</v>
          </cell>
          <cell r="E1789" t="str">
            <v>Las Reinas</v>
          </cell>
          <cell r="H1789" t="str">
            <v>salud_oral</v>
          </cell>
          <cell r="J1789" t="str">
            <v>bueno</v>
          </cell>
          <cell r="K1789" t="str">
            <v>probsi</v>
          </cell>
        </row>
        <row r="1790">
          <cell r="B1790" t="b">
            <v>1</v>
          </cell>
          <cell r="E1790" t="str">
            <v>Las Reinas</v>
          </cell>
          <cell r="H1790" t="str">
            <v>laboratorio</v>
          </cell>
          <cell r="J1790" t="str">
            <v>bueno</v>
          </cell>
          <cell r="K1790" t="str">
            <v>probsi</v>
          </cell>
        </row>
        <row r="1791">
          <cell r="B1791" t="b">
            <v>1</v>
          </cell>
          <cell r="E1791" t="str">
            <v>Boquilla</v>
          </cell>
          <cell r="H1791" t="str">
            <v>consulta_externa</v>
          </cell>
          <cell r="J1791" t="str">
            <v>bueno</v>
          </cell>
          <cell r="K1791" t="str">
            <v>defsi</v>
          </cell>
        </row>
        <row r="1792">
          <cell r="B1792" t="b">
            <v>1</v>
          </cell>
          <cell r="E1792" t="str">
            <v>Boquilla</v>
          </cell>
          <cell r="H1792" t="str">
            <v>laboratorio</v>
          </cell>
          <cell r="J1792" t="str">
            <v>bueno</v>
          </cell>
          <cell r="K1792" t="str">
            <v>probsi</v>
          </cell>
        </row>
        <row r="1793">
          <cell r="B1793" t="b">
            <v>1</v>
          </cell>
          <cell r="E1793" t="str">
            <v>Bayunca</v>
          </cell>
          <cell r="H1793" t="str">
            <v>consulta_externa</v>
          </cell>
          <cell r="J1793" t="str">
            <v>bueno</v>
          </cell>
          <cell r="K1793" t="str">
            <v>defsi</v>
          </cell>
        </row>
        <row r="1794">
          <cell r="B1794" t="b">
            <v>0</v>
          </cell>
          <cell r="E1794" t="str">
            <v>Boquilla</v>
          </cell>
          <cell r="H1794" t="str">
            <v>urgencia</v>
          </cell>
          <cell r="J1794" t="str">
            <v>regular</v>
          </cell>
          <cell r="K1794" t="str">
            <v>probsi</v>
          </cell>
        </row>
        <row r="1795">
          <cell r="B1795" t="b">
            <v>1</v>
          </cell>
          <cell r="E1795" t="str">
            <v>Bayunca</v>
          </cell>
          <cell r="H1795" t="str">
            <v>salud_oral</v>
          </cell>
          <cell r="J1795" t="str">
            <v>bueno</v>
          </cell>
          <cell r="K1795" t="str">
            <v>defsi</v>
          </cell>
        </row>
        <row r="1796">
          <cell r="B1796" t="b">
            <v>1</v>
          </cell>
          <cell r="E1796" t="str">
            <v>Santa Ana</v>
          </cell>
          <cell r="H1796" t="str">
            <v>consulta_externa</v>
          </cell>
          <cell r="J1796" t="str">
            <v>muybueno</v>
          </cell>
          <cell r="K1796" t="str">
            <v>defsi</v>
          </cell>
        </row>
        <row r="1797">
          <cell r="B1797" t="b">
            <v>1</v>
          </cell>
          <cell r="E1797" t="str">
            <v>Santa Ana</v>
          </cell>
          <cell r="H1797" t="str">
            <v>laboratorio</v>
          </cell>
          <cell r="J1797" t="str">
            <v>muybueno</v>
          </cell>
          <cell r="K1797" t="str">
            <v>defsi</v>
          </cell>
        </row>
        <row r="1798">
          <cell r="B1798" t="b">
            <v>1</v>
          </cell>
          <cell r="E1798" t="str">
            <v>Bayunca</v>
          </cell>
          <cell r="H1798" t="str">
            <v>laboratorio</v>
          </cell>
          <cell r="J1798" t="str">
            <v>bueno</v>
          </cell>
          <cell r="K1798" t="str">
            <v>defsi</v>
          </cell>
        </row>
        <row r="1799">
          <cell r="B1799" t="b">
            <v>1</v>
          </cell>
          <cell r="E1799" t="str">
            <v>Bayunca</v>
          </cell>
          <cell r="H1799" t="str">
            <v>urgencia</v>
          </cell>
          <cell r="J1799" t="str">
            <v>bueno</v>
          </cell>
          <cell r="K1799" t="str">
            <v>defsi</v>
          </cell>
        </row>
        <row r="1800">
          <cell r="B1800" t="b">
            <v>1</v>
          </cell>
          <cell r="E1800" t="str">
            <v>Boquilla</v>
          </cell>
          <cell r="H1800" t="str">
            <v>consulta_externa</v>
          </cell>
          <cell r="J1800" t="str">
            <v>bueno</v>
          </cell>
          <cell r="K1800" t="str">
            <v>defsi</v>
          </cell>
        </row>
        <row r="1801">
          <cell r="B1801" t="b">
            <v>1</v>
          </cell>
          <cell r="E1801" t="str">
            <v>Boquilla</v>
          </cell>
          <cell r="H1801" t="str">
            <v>salud_oral</v>
          </cell>
          <cell r="J1801" t="str">
            <v>bueno</v>
          </cell>
          <cell r="K1801" t="str">
            <v>defsi</v>
          </cell>
        </row>
        <row r="1802">
          <cell r="B1802" t="b">
            <v>1</v>
          </cell>
          <cell r="E1802" t="str">
            <v>Boquilla</v>
          </cell>
          <cell r="H1802" t="str">
            <v>consulta_externa</v>
          </cell>
          <cell r="J1802" t="str">
            <v>bueno</v>
          </cell>
          <cell r="K1802" t="str">
            <v>defsi</v>
          </cell>
        </row>
        <row r="1803">
          <cell r="B1803" t="b">
            <v>1</v>
          </cell>
          <cell r="E1803" t="str">
            <v>Boquilla</v>
          </cell>
          <cell r="H1803" t="str">
            <v>salud_oral</v>
          </cell>
          <cell r="J1803" t="str">
            <v>bueno</v>
          </cell>
          <cell r="K1803" t="str">
            <v>defsi</v>
          </cell>
        </row>
        <row r="1804">
          <cell r="B1804" t="b">
            <v>1</v>
          </cell>
          <cell r="E1804" t="str">
            <v>Boquilla</v>
          </cell>
          <cell r="H1804" t="str">
            <v>consulta_externa</v>
          </cell>
          <cell r="J1804" t="str">
            <v>bueno</v>
          </cell>
          <cell r="K1804" t="str">
            <v>defsi</v>
          </cell>
        </row>
        <row r="1805">
          <cell r="B1805" t="b">
            <v>0</v>
          </cell>
          <cell r="E1805" t="str">
            <v>Boquilla</v>
          </cell>
          <cell r="H1805" t="str">
            <v>urgencia</v>
          </cell>
          <cell r="J1805" t="str">
            <v>regular</v>
          </cell>
          <cell r="K1805" t="str">
            <v>probno</v>
          </cell>
        </row>
        <row r="1806">
          <cell r="B1806" t="b">
            <v>1</v>
          </cell>
          <cell r="E1806" t="str">
            <v>Las Reinas</v>
          </cell>
          <cell r="H1806" t="str">
            <v>laboratorio</v>
          </cell>
          <cell r="J1806" t="str">
            <v>bueno</v>
          </cell>
          <cell r="K1806" t="str">
            <v>probsi</v>
          </cell>
        </row>
        <row r="1807">
          <cell r="B1807" t="b">
            <v>1</v>
          </cell>
          <cell r="E1807" t="str">
            <v>Las Reinas</v>
          </cell>
          <cell r="H1807" t="str">
            <v>consulta_externa</v>
          </cell>
          <cell r="J1807" t="str">
            <v>bueno</v>
          </cell>
          <cell r="K1807" t="str">
            <v>probsi</v>
          </cell>
        </row>
        <row r="1808">
          <cell r="B1808" t="b">
            <v>0</v>
          </cell>
          <cell r="E1808" t="str">
            <v>Las Reinas</v>
          </cell>
          <cell r="H1808" t="str">
            <v>consulta_externa</v>
          </cell>
          <cell r="J1808" t="str">
            <v>regular</v>
          </cell>
          <cell r="K1808" t="str">
            <v>probsi</v>
          </cell>
        </row>
        <row r="1809">
          <cell r="B1809" t="b">
            <v>0</v>
          </cell>
          <cell r="E1809" t="str">
            <v>Las Reinas</v>
          </cell>
          <cell r="H1809" t="str">
            <v>consulta_externa</v>
          </cell>
          <cell r="J1809" t="str">
            <v>regular</v>
          </cell>
          <cell r="K1809" t="str">
            <v>probsi</v>
          </cell>
        </row>
        <row r="1810">
          <cell r="B1810" t="b">
            <v>0</v>
          </cell>
          <cell r="E1810" t="str">
            <v>Las Reinas</v>
          </cell>
          <cell r="H1810" t="str">
            <v>consulta_externa</v>
          </cell>
          <cell r="J1810" t="str">
            <v>regular</v>
          </cell>
          <cell r="K1810" t="str">
            <v>probsi</v>
          </cell>
        </row>
        <row r="1811">
          <cell r="B1811" t="b">
            <v>0</v>
          </cell>
          <cell r="E1811" t="str">
            <v>Las Reinas</v>
          </cell>
          <cell r="H1811" t="str">
            <v>laboratorio</v>
          </cell>
          <cell r="J1811" t="str">
            <v>regular</v>
          </cell>
          <cell r="K1811" t="str">
            <v>probsi</v>
          </cell>
        </row>
        <row r="1812">
          <cell r="B1812" t="b">
            <v>1</v>
          </cell>
          <cell r="E1812" t="str">
            <v>Las Reinas</v>
          </cell>
          <cell r="H1812" t="str">
            <v>salud_oral</v>
          </cell>
          <cell r="J1812" t="str">
            <v>bueno</v>
          </cell>
          <cell r="K1812" t="str">
            <v>probsi</v>
          </cell>
        </row>
        <row r="1813">
          <cell r="B1813" t="b">
            <v>1</v>
          </cell>
          <cell r="E1813" t="str">
            <v>Las Reinas</v>
          </cell>
          <cell r="H1813" t="str">
            <v>salud_oral</v>
          </cell>
          <cell r="J1813" t="str">
            <v>bueno</v>
          </cell>
          <cell r="K1813" t="str">
            <v>probsi</v>
          </cell>
        </row>
        <row r="1814">
          <cell r="B1814" t="b">
            <v>1</v>
          </cell>
          <cell r="E1814" t="str">
            <v>Las Reinas</v>
          </cell>
          <cell r="H1814" t="str">
            <v>salud_oral</v>
          </cell>
          <cell r="J1814" t="str">
            <v>bueno</v>
          </cell>
          <cell r="K1814" t="str">
            <v>probsi</v>
          </cell>
        </row>
        <row r="1815">
          <cell r="B1815" t="b">
            <v>1</v>
          </cell>
          <cell r="E1815" t="str">
            <v>Las Reinas</v>
          </cell>
          <cell r="H1815" t="str">
            <v>salud_oral</v>
          </cell>
          <cell r="J1815" t="str">
            <v>bueno</v>
          </cell>
          <cell r="K1815" t="str">
            <v>probsi</v>
          </cell>
        </row>
        <row r="1816">
          <cell r="B1816" t="b">
            <v>1</v>
          </cell>
          <cell r="E1816" t="str">
            <v>Las Reinas</v>
          </cell>
          <cell r="H1816" t="str">
            <v>consulta_externa</v>
          </cell>
          <cell r="J1816" t="str">
            <v>bueno</v>
          </cell>
          <cell r="K1816" t="str">
            <v>probsi</v>
          </cell>
        </row>
        <row r="1817">
          <cell r="B1817" t="b">
            <v>1</v>
          </cell>
          <cell r="E1817" t="str">
            <v>Las Reinas</v>
          </cell>
          <cell r="H1817" t="str">
            <v>laboratorio</v>
          </cell>
          <cell r="J1817" t="str">
            <v>bueno</v>
          </cell>
          <cell r="K1817" t="str">
            <v>probsi</v>
          </cell>
        </row>
        <row r="1818">
          <cell r="B1818" t="b">
            <v>1</v>
          </cell>
          <cell r="E1818" t="str">
            <v>Santa Ana</v>
          </cell>
          <cell r="H1818" t="str">
            <v>laboratorio</v>
          </cell>
          <cell r="J1818" t="str">
            <v>muybueno</v>
          </cell>
          <cell r="K1818" t="str">
            <v>defsi</v>
          </cell>
        </row>
        <row r="1819">
          <cell r="B1819" t="b">
            <v>1</v>
          </cell>
          <cell r="E1819" t="str">
            <v>Boquilla</v>
          </cell>
          <cell r="H1819" t="str">
            <v>consulta_externa</v>
          </cell>
          <cell r="J1819" t="str">
            <v>bueno</v>
          </cell>
          <cell r="K1819" t="str">
            <v>defsi</v>
          </cell>
        </row>
        <row r="1820">
          <cell r="B1820" t="b">
            <v>1</v>
          </cell>
          <cell r="E1820" t="str">
            <v>Boquilla</v>
          </cell>
          <cell r="H1820" t="str">
            <v>laboratorio</v>
          </cell>
          <cell r="J1820" t="str">
            <v>bueno</v>
          </cell>
          <cell r="K1820" t="str">
            <v>defsi</v>
          </cell>
        </row>
        <row r="1821">
          <cell r="B1821" t="b">
            <v>1</v>
          </cell>
          <cell r="E1821" t="str">
            <v>Boquilla</v>
          </cell>
          <cell r="H1821" t="str">
            <v>laboratorio</v>
          </cell>
          <cell r="J1821" t="str">
            <v>bueno</v>
          </cell>
          <cell r="K1821" t="str">
            <v>defsi</v>
          </cell>
        </row>
        <row r="1822">
          <cell r="B1822" t="b">
            <v>0</v>
          </cell>
          <cell r="E1822" t="str">
            <v>Boquilla</v>
          </cell>
          <cell r="H1822" t="str">
            <v>consulta_externa</v>
          </cell>
          <cell r="J1822" t="str">
            <v>regular</v>
          </cell>
          <cell r="K1822" t="str">
            <v>probsi</v>
          </cell>
        </row>
        <row r="1823">
          <cell r="B1823" t="b">
            <v>0</v>
          </cell>
          <cell r="E1823" t="str">
            <v>Boquilla</v>
          </cell>
          <cell r="H1823" t="str">
            <v>salud_oral</v>
          </cell>
          <cell r="J1823" t="str">
            <v>regular</v>
          </cell>
          <cell r="K1823" t="str">
            <v>probsi</v>
          </cell>
        </row>
        <row r="1824">
          <cell r="B1824" t="b">
            <v>1</v>
          </cell>
          <cell r="E1824" t="str">
            <v>Boquilla</v>
          </cell>
          <cell r="H1824" t="str">
            <v>urgencia</v>
          </cell>
          <cell r="J1824" t="str">
            <v>bueno</v>
          </cell>
          <cell r="K1824" t="str">
            <v>probsi</v>
          </cell>
        </row>
        <row r="1825">
          <cell r="B1825" t="b">
            <v>1</v>
          </cell>
          <cell r="E1825" t="str">
            <v>Boquilla</v>
          </cell>
          <cell r="H1825" t="str">
            <v>consulta_externa</v>
          </cell>
          <cell r="J1825" t="str">
            <v>bueno</v>
          </cell>
          <cell r="K1825" t="str">
            <v>probsi</v>
          </cell>
        </row>
        <row r="1826">
          <cell r="B1826" t="b">
            <v>1</v>
          </cell>
          <cell r="E1826" t="str">
            <v>Boquilla</v>
          </cell>
          <cell r="H1826" t="str">
            <v>salud_oral</v>
          </cell>
          <cell r="J1826" t="str">
            <v>bueno</v>
          </cell>
          <cell r="K1826" t="str">
            <v>probsi</v>
          </cell>
        </row>
        <row r="1827">
          <cell r="B1827" t="b">
            <v>1</v>
          </cell>
          <cell r="E1827" t="str">
            <v>Boquilla</v>
          </cell>
          <cell r="H1827" t="str">
            <v>consulta_externa</v>
          </cell>
          <cell r="J1827" t="str">
            <v>bueno</v>
          </cell>
          <cell r="K1827" t="str">
            <v>probsi</v>
          </cell>
        </row>
        <row r="1828">
          <cell r="B1828" t="b">
            <v>0</v>
          </cell>
          <cell r="E1828" t="str">
            <v>Boquilla</v>
          </cell>
          <cell r="H1828" t="str">
            <v>urgencia</v>
          </cell>
          <cell r="J1828" t="str">
            <v>regular</v>
          </cell>
          <cell r="K1828" t="str">
            <v>probsi</v>
          </cell>
        </row>
        <row r="1829">
          <cell r="B1829" t="b">
            <v>1</v>
          </cell>
          <cell r="E1829" t="str">
            <v>Santa Ana</v>
          </cell>
          <cell r="H1829" t="str">
            <v>consulta_externa</v>
          </cell>
          <cell r="J1829" t="str">
            <v>muybueno</v>
          </cell>
          <cell r="K1829" t="str">
            <v>defsi</v>
          </cell>
        </row>
        <row r="1830">
          <cell r="B1830" t="b">
            <v>1</v>
          </cell>
          <cell r="E1830" t="str">
            <v>Nuevo Bosque</v>
          </cell>
          <cell r="H1830" t="str">
            <v>consulta_externa</v>
          </cell>
          <cell r="J1830" t="str">
            <v>bueno</v>
          </cell>
          <cell r="K1830" t="str">
            <v>defsi</v>
          </cell>
        </row>
        <row r="1831">
          <cell r="B1831" t="b">
            <v>1</v>
          </cell>
          <cell r="E1831" t="str">
            <v>Nuevo Bosque</v>
          </cell>
          <cell r="H1831" t="str">
            <v>laboratorio</v>
          </cell>
          <cell r="J1831" t="str">
            <v>bueno</v>
          </cell>
          <cell r="K1831" t="str">
            <v>defsi</v>
          </cell>
        </row>
        <row r="1832">
          <cell r="B1832" t="b">
            <v>1</v>
          </cell>
          <cell r="E1832" t="str">
            <v>Nuevo Bosque</v>
          </cell>
          <cell r="H1832" t="str">
            <v>laboratorio</v>
          </cell>
          <cell r="J1832" t="str">
            <v>bueno</v>
          </cell>
          <cell r="K1832" t="str">
            <v>defsi</v>
          </cell>
        </row>
        <row r="1833">
          <cell r="B1833" t="b">
            <v>1</v>
          </cell>
          <cell r="E1833" t="str">
            <v>Nuevo Bosque</v>
          </cell>
          <cell r="H1833" t="str">
            <v>laboratorio</v>
          </cell>
          <cell r="J1833" t="str">
            <v>bueno</v>
          </cell>
          <cell r="K1833" t="str">
            <v>defsi</v>
          </cell>
        </row>
        <row r="1834">
          <cell r="B1834" t="b">
            <v>1</v>
          </cell>
          <cell r="E1834" t="str">
            <v>Nuevo Bosque</v>
          </cell>
          <cell r="H1834" t="str">
            <v>laboratorio</v>
          </cell>
          <cell r="J1834" t="str">
            <v>muybueno</v>
          </cell>
          <cell r="K1834" t="str">
            <v>defsi</v>
          </cell>
        </row>
        <row r="1835">
          <cell r="B1835" t="b">
            <v>0</v>
          </cell>
          <cell r="E1835" t="str">
            <v>Boquilla</v>
          </cell>
          <cell r="H1835" t="str">
            <v>consulta_externa</v>
          </cell>
          <cell r="J1835" t="str">
            <v>regular</v>
          </cell>
          <cell r="K1835" t="str">
            <v>probsi</v>
          </cell>
        </row>
        <row r="1836">
          <cell r="B1836" t="b">
            <v>1</v>
          </cell>
          <cell r="E1836" t="str">
            <v>Nuevo Bosque</v>
          </cell>
          <cell r="H1836" t="str">
            <v>laboratorio</v>
          </cell>
          <cell r="J1836" t="str">
            <v>bueno</v>
          </cell>
          <cell r="K1836" t="str">
            <v>defsi</v>
          </cell>
        </row>
        <row r="1837">
          <cell r="B1837" t="b">
            <v>0</v>
          </cell>
          <cell r="E1837" t="str">
            <v>Boquilla</v>
          </cell>
          <cell r="H1837" t="str">
            <v>consulta_externa</v>
          </cell>
          <cell r="J1837" t="str">
            <v>regular</v>
          </cell>
          <cell r="K1837" t="str">
            <v>probsi</v>
          </cell>
        </row>
        <row r="1838">
          <cell r="B1838" t="b">
            <v>1</v>
          </cell>
          <cell r="E1838" t="str">
            <v>Nuevo Bosque</v>
          </cell>
          <cell r="H1838" t="str">
            <v>consulta_externa</v>
          </cell>
          <cell r="J1838" t="str">
            <v>bueno</v>
          </cell>
          <cell r="K1838" t="str">
            <v>defsi</v>
          </cell>
        </row>
        <row r="1839">
          <cell r="B1839" t="b">
            <v>1</v>
          </cell>
          <cell r="E1839" t="str">
            <v>Nuevo Bosque</v>
          </cell>
          <cell r="H1839" t="str">
            <v>consulta_externa</v>
          </cell>
          <cell r="J1839" t="str">
            <v>bueno</v>
          </cell>
          <cell r="K1839" t="str">
            <v>defsi</v>
          </cell>
        </row>
        <row r="1840">
          <cell r="B1840" t="b">
            <v>0</v>
          </cell>
          <cell r="E1840" t="str">
            <v>Boquilla</v>
          </cell>
          <cell r="H1840" t="str">
            <v>consulta_externa</v>
          </cell>
          <cell r="J1840" t="str">
            <v>regular</v>
          </cell>
          <cell r="K1840" t="str">
            <v>probsi</v>
          </cell>
        </row>
        <row r="1841">
          <cell r="B1841" t="b">
            <v>0</v>
          </cell>
          <cell r="E1841" t="str">
            <v>Boquilla</v>
          </cell>
          <cell r="H1841" t="str">
            <v>consulta_externa</v>
          </cell>
          <cell r="J1841" t="str">
            <v>regular</v>
          </cell>
          <cell r="K1841" t="str">
            <v>probsi</v>
          </cell>
        </row>
        <row r="1842">
          <cell r="B1842" t="b">
            <v>1</v>
          </cell>
          <cell r="E1842" t="str">
            <v>Boquilla</v>
          </cell>
          <cell r="H1842" t="str">
            <v>urgencia</v>
          </cell>
          <cell r="J1842" t="str">
            <v>bueno</v>
          </cell>
          <cell r="K1842" t="str">
            <v>probsi</v>
          </cell>
        </row>
        <row r="1843">
          <cell r="B1843" t="b">
            <v>1</v>
          </cell>
          <cell r="E1843" t="str">
            <v>Nuevo Bosque</v>
          </cell>
          <cell r="H1843" t="str">
            <v>consulta_externa</v>
          </cell>
          <cell r="J1843" t="str">
            <v>bueno</v>
          </cell>
          <cell r="K1843" t="str">
            <v>defsi</v>
          </cell>
        </row>
        <row r="1844">
          <cell r="B1844" t="b">
            <v>1</v>
          </cell>
          <cell r="E1844" t="str">
            <v>Santa Ana</v>
          </cell>
          <cell r="H1844" t="str">
            <v>salud_oral</v>
          </cell>
          <cell r="J1844" t="str">
            <v>muybueno</v>
          </cell>
          <cell r="K1844" t="str">
            <v>defsi</v>
          </cell>
        </row>
        <row r="1845">
          <cell r="B1845" t="b">
            <v>1</v>
          </cell>
          <cell r="E1845" t="str">
            <v>Nuevo Bosque</v>
          </cell>
          <cell r="H1845" t="str">
            <v>consulta_externa</v>
          </cell>
          <cell r="J1845" t="str">
            <v>muybueno</v>
          </cell>
          <cell r="K1845" t="str">
            <v>defsi</v>
          </cell>
        </row>
        <row r="1846">
          <cell r="B1846" t="b">
            <v>1</v>
          </cell>
          <cell r="E1846" t="str">
            <v>Nuevo Bosque</v>
          </cell>
          <cell r="H1846" t="str">
            <v>consulta_externa</v>
          </cell>
          <cell r="J1846" t="str">
            <v>bueno</v>
          </cell>
          <cell r="K1846" t="str">
            <v>defsi</v>
          </cell>
        </row>
        <row r="1847">
          <cell r="B1847" t="b">
            <v>1</v>
          </cell>
          <cell r="E1847" t="str">
            <v>Boquilla</v>
          </cell>
          <cell r="H1847" t="str">
            <v>laboratorio</v>
          </cell>
          <cell r="J1847" t="str">
            <v>bueno</v>
          </cell>
          <cell r="K1847" t="str">
            <v>probsi</v>
          </cell>
        </row>
        <row r="1848">
          <cell r="B1848" t="b">
            <v>1</v>
          </cell>
          <cell r="E1848" t="str">
            <v>Boquilla</v>
          </cell>
          <cell r="H1848" t="str">
            <v>laboratorio</v>
          </cell>
          <cell r="J1848" t="str">
            <v>bueno</v>
          </cell>
          <cell r="K1848" t="str">
            <v>probsi</v>
          </cell>
        </row>
        <row r="1849">
          <cell r="B1849" t="b">
            <v>0</v>
          </cell>
          <cell r="E1849" t="str">
            <v>Boquilla</v>
          </cell>
          <cell r="H1849" t="str">
            <v>salud_oral</v>
          </cell>
          <cell r="J1849" t="str">
            <v>regular</v>
          </cell>
          <cell r="K1849" t="str">
            <v>probsi</v>
          </cell>
        </row>
        <row r="1850">
          <cell r="B1850" t="b">
            <v>1</v>
          </cell>
          <cell r="E1850" t="str">
            <v>Santa Ana</v>
          </cell>
          <cell r="H1850" t="str">
            <v>salud_oral</v>
          </cell>
          <cell r="J1850" t="str">
            <v>muybueno</v>
          </cell>
          <cell r="K1850" t="str">
            <v>defsi</v>
          </cell>
        </row>
        <row r="1851">
          <cell r="B1851" t="b">
            <v>0</v>
          </cell>
          <cell r="E1851" t="str">
            <v>Boquilla</v>
          </cell>
          <cell r="H1851" t="str">
            <v>laboratorio</v>
          </cell>
          <cell r="J1851" t="str">
            <v>regular</v>
          </cell>
          <cell r="K1851" t="str">
            <v>probsi</v>
          </cell>
        </row>
        <row r="1852">
          <cell r="B1852" t="b">
            <v>0</v>
          </cell>
          <cell r="E1852" t="str">
            <v>Boquilla</v>
          </cell>
          <cell r="H1852" t="str">
            <v>laboratorio</v>
          </cell>
          <cell r="J1852" t="str">
            <v>regular</v>
          </cell>
          <cell r="K1852" t="str">
            <v>probsi</v>
          </cell>
        </row>
        <row r="1853">
          <cell r="B1853" t="b">
            <v>1</v>
          </cell>
          <cell r="E1853" t="str">
            <v>Boquilla</v>
          </cell>
          <cell r="H1853" t="str">
            <v>consulta_externa</v>
          </cell>
          <cell r="J1853" t="str">
            <v>bueno</v>
          </cell>
          <cell r="K1853" t="str">
            <v>probsi</v>
          </cell>
        </row>
        <row r="1854">
          <cell r="B1854" t="b">
            <v>0</v>
          </cell>
          <cell r="E1854" t="str">
            <v>Nuevo Bosque</v>
          </cell>
          <cell r="H1854" t="str">
            <v>consulta_externa</v>
          </cell>
          <cell r="J1854" t="str">
            <v>regular</v>
          </cell>
          <cell r="K1854" t="str">
            <v>defsi</v>
          </cell>
        </row>
        <row r="1855">
          <cell r="B1855" t="b">
            <v>1</v>
          </cell>
          <cell r="E1855" t="str">
            <v>Nuevo Bosque</v>
          </cell>
          <cell r="H1855" t="str">
            <v>laboratorio</v>
          </cell>
          <cell r="J1855" t="str">
            <v>bueno</v>
          </cell>
          <cell r="K1855" t="str">
            <v>defsi</v>
          </cell>
        </row>
        <row r="1856">
          <cell r="B1856" t="b">
            <v>1</v>
          </cell>
          <cell r="E1856" t="str">
            <v>Nuevo Bosque</v>
          </cell>
          <cell r="H1856" t="str">
            <v>salud_oral</v>
          </cell>
          <cell r="J1856" t="str">
            <v>bueno</v>
          </cell>
          <cell r="K1856" t="str">
            <v>defsi</v>
          </cell>
        </row>
        <row r="1857">
          <cell r="B1857" t="b">
            <v>1</v>
          </cell>
          <cell r="E1857" t="str">
            <v>Nuevo Bosque</v>
          </cell>
          <cell r="H1857" t="str">
            <v>consulta_externa</v>
          </cell>
          <cell r="J1857" t="str">
            <v>bueno</v>
          </cell>
          <cell r="K1857" t="str">
            <v>defsi</v>
          </cell>
        </row>
        <row r="1858">
          <cell r="B1858" t="b">
            <v>1</v>
          </cell>
          <cell r="E1858" t="str">
            <v>Nuevo Bosque</v>
          </cell>
          <cell r="H1858" t="str">
            <v>laboratorio</v>
          </cell>
          <cell r="J1858" t="str">
            <v>bueno</v>
          </cell>
          <cell r="K1858" t="str">
            <v>defsi</v>
          </cell>
        </row>
        <row r="1859">
          <cell r="B1859" t="b">
            <v>1</v>
          </cell>
          <cell r="E1859" t="str">
            <v>Nuevo Bosque</v>
          </cell>
          <cell r="H1859" t="str">
            <v>salud_oral</v>
          </cell>
          <cell r="J1859" t="str">
            <v>bueno</v>
          </cell>
          <cell r="K1859" t="str">
            <v>defsi</v>
          </cell>
        </row>
        <row r="1860">
          <cell r="B1860" t="b">
            <v>0</v>
          </cell>
          <cell r="E1860" t="str">
            <v>Nelson Mandela UPA</v>
          </cell>
          <cell r="H1860" t="str">
            <v>consulta_externa</v>
          </cell>
          <cell r="J1860" t="str">
            <v>regular</v>
          </cell>
          <cell r="K1860" t="str">
            <v>probsi</v>
          </cell>
        </row>
        <row r="1861">
          <cell r="B1861" t="b">
            <v>1</v>
          </cell>
          <cell r="E1861" t="str">
            <v>Nelson Mandela UPA</v>
          </cell>
          <cell r="H1861" t="str">
            <v>consulta_externa</v>
          </cell>
          <cell r="J1861" t="str">
            <v>bueno</v>
          </cell>
          <cell r="K1861" t="str">
            <v>probsi</v>
          </cell>
        </row>
        <row r="1862">
          <cell r="B1862" t="b">
            <v>1</v>
          </cell>
          <cell r="E1862" t="str">
            <v>Nuevo Bosque</v>
          </cell>
          <cell r="H1862" t="str">
            <v>consulta_externa</v>
          </cell>
          <cell r="J1862" t="str">
            <v>bueno</v>
          </cell>
          <cell r="K1862" t="str">
            <v>defsi</v>
          </cell>
        </row>
        <row r="1863">
          <cell r="B1863" t="b">
            <v>1</v>
          </cell>
          <cell r="E1863" t="str">
            <v>Nuevo Bosque</v>
          </cell>
          <cell r="H1863" t="str">
            <v>laboratorio</v>
          </cell>
          <cell r="J1863" t="str">
            <v>bueno</v>
          </cell>
          <cell r="K1863" t="str">
            <v>defsi</v>
          </cell>
        </row>
        <row r="1864">
          <cell r="B1864" t="b">
            <v>0</v>
          </cell>
          <cell r="E1864" t="str">
            <v>Nelson Mandela UPA</v>
          </cell>
          <cell r="H1864" t="str">
            <v>laboratorio</v>
          </cell>
          <cell r="J1864" t="str">
            <v>regular</v>
          </cell>
          <cell r="K1864" t="str">
            <v>probsi</v>
          </cell>
        </row>
        <row r="1865">
          <cell r="B1865" t="b">
            <v>0</v>
          </cell>
          <cell r="E1865" t="str">
            <v>Nelson Mandela UPA</v>
          </cell>
          <cell r="H1865" t="str">
            <v>laboratorio</v>
          </cell>
          <cell r="J1865" t="str">
            <v>regular</v>
          </cell>
          <cell r="K1865" t="str">
            <v>probsi</v>
          </cell>
        </row>
        <row r="1866">
          <cell r="B1866" t="b">
            <v>1</v>
          </cell>
          <cell r="E1866" t="str">
            <v>Nelson Mandela UPA</v>
          </cell>
          <cell r="H1866" t="str">
            <v>laboratorio</v>
          </cell>
          <cell r="J1866" t="str">
            <v>bueno</v>
          </cell>
          <cell r="K1866" t="str">
            <v>probsi</v>
          </cell>
        </row>
        <row r="1867">
          <cell r="B1867" t="b">
            <v>1</v>
          </cell>
          <cell r="E1867" t="str">
            <v>Nelson Mandela UPA</v>
          </cell>
          <cell r="H1867" t="str">
            <v>consulta_externa</v>
          </cell>
          <cell r="J1867" t="str">
            <v>bueno</v>
          </cell>
          <cell r="K1867" t="str">
            <v>probsi</v>
          </cell>
        </row>
        <row r="1868">
          <cell r="B1868" t="b">
            <v>1</v>
          </cell>
          <cell r="E1868" t="str">
            <v>Nelson Mandela UPA</v>
          </cell>
          <cell r="H1868" t="str">
            <v>urgencia</v>
          </cell>
          <cell r="J1868" t="str">
            <v>bueno</v>
          </cell>
          <cell r="K1868" t="str">
            <v>probsi</v>
          </cell>
        </row>
        <row r="1869">
          <cell r="B1869" t="b">
            <v>1</v>
          </cell>
          <cell r="E1869" t="str">
            <v>Santa Ana</v>
          </cell>
          <cell r="H1869" t="str">
            <v>consulta_externa</v>
          </cell>
          <cell r="J1869" t="str">
            <v>muybueno</v>
          </cell>
          <cell r="K1869" t="str">
            <v>defsi</v>
          </cell>
        </row>
        <row r="1870">
          <cell r="B1870" t="b">
            <v>1</v>
          </cell>
          <cell r="E1870" t="str">
            <v>Santa Ana</v>
          </cell>
          <cell r="H1870" t="str">
            <v>laboratorio</v>
          </cell>
          <cell r="J1870" t="str">
            <v>muybueno</v>
          </cell>
          <cell r="K1870" t="str">
            <v>defsi</v>
          </cell>
        </row>
        <row r="1871">
          <cell r="B1871" t="b">
            <v>1</v>
          </cell>
          <cell r="E1871" t="str">
            <v>Nuevo Bosque</v>
          </cell>
          <cell r="H1871" t="str">
            <v>consulta_externa</v>
          </cell>
          <cell r="J1871" t="str">
            <v>muybueno</v>
          </cell>
          <cell r="K1871" t="str">
            <v>defsi</v>
          </cell>
        </row>
        <row r="1872">
          <cell r="B1872" t="b">
            <v>0</v>
          </cell>
          <cell r="E1872" t="str">
            <v>Nelson Mandela UPA</v>
          </cell>
          <cell r="H1872" t="str">
            <v>consulta_externa</v>
          </cell>
          <cell r="J1872" t="str">
            <v>regular</v>
          </cell>
          <cell r="K1872" t="str">
            <v>probsi</v>
          </cell>
        </row>
        <row r="1873">
          <cell r="B1873" t="b">
            <v>1</v>
          </cell>
          <cell r="E1873" t="str">
            <v>Nuevo Bosque</v>
          </cell>
          <cell r="H1873" t="str">
            <v>laboratorio</v>
          </cell>
          <cell r="J1873" t="str">
            <v>muybueno</v>
          </cell>
          <cell r="K1873" t="str">
            <v>defsi</v>
          </cell>
        </row>
        <row r="1874">
          <cell r="B1874" t="b">
            <v>1</v>
          </cell>
          <cell r="E1874" t="str">
            <v>Nelson Mandela UPA</v>
          </cell>
          <cell r="H1874" t="str">
            <v>salud_oral</v>
          </cell>
          <cell r="J1874" t="str">
            <v>bueno</v>
          </cell>
          <cell r="K1874" t="str">
            <v>probsi</v>
          </cell>
        </row>
        <row r="1875">
          <cell r="B1875" t="b">
            <v>1</v>
          </cell>
          <cell r="E1875" t="str">
            <v>Nuevo Bosque</v>
          </cell>
          <cell r="H1875" t="str">
            <v>laboratorio</v>
          </cell>
          <cell r="J1875" t="str">
            <v>muybueno</v>
          </cell>
          <cell r="K1875" t="str">
            <v>defsi</v>
          </cell>
        </row>
        <row r="1876">
          <cell r="B1876" t="b">
            <v>1</v>
          </cell>
          <cell r="E1876" t="str">
            <v>Nuevo Bosque</v>
          </cell>
          <cell r="H1876" t="str">
            <v>consulta_externa</v>
          </cell>
          <cell r="J1876" t="str">
            <v>bueno</v>
          </cell>
          <cell r="K1876" t="str">
            <v>defsi</v>
          </cell>
        </row>
        <row r="1877">
          <cell r="B1877" t="b">
            <v>1</v>
          </cell>
          <cell r="E1877" t="str">
            <v>Nelson Mandela UPA</v>
          </cell>
          <cell r="H1877" t="str">
            <v>consulta_externa</v>
          </cell>
          <cell r="J1877" t="str">
            <v>bueno</v>
          </cell>
          <cell r="K1877" t="str">
            <v>probsi</v>
          </cell>
        </row>
        <row r="1878">
          <cell r="B1878" t="b">
            <v>1</v>
          </cell>
          <cell r="E1878" t="str">
            <v>Nelson Mandela UPA</v>
          </cell>
          <cell r="H1878" t="str">
            <v>salud_oral</v>
          </cell>
          <cell r="J1878" t="str">
            <v>bueno</v>
          </cell>
          <cell r="K1878" t="str">
            <v>probsi</v>
          </cell>
        </row>
        <row r="1879">
          <cell r="B1879" t="b">
            <v>0</v>
          </cell>
          <cell r="E1879" t="str">
            <v>Nelson Mandela UPA</v>
          </cell>
          <cell r="H1879" t="str">
            <v>laboratorio</v>
          </cell>
          <cell r="J1879" t="str">
            <v>regular</v>
          </cell>
          <cell r="K1879" t="str">
            <v>probsi</v>
          </cell>
        </row>
        <row r="1880">
          <cell r="B1880" t="b">
            <v>1</v>
          </cell>
          <cell r="E1880" t="str">
            <v>Nelson Mandela UPA</v>
          </cell>
          <cell r="H1880" t="str">
            <v>urgencia</v>
          </cell>
          <cell r="J1880" t="str">
            <v>bueno</v>
          </cell>
          <cell r="K1880" t="str">
            <v>probsi</v>
          </cell>
        </row>
        <row r="1881">
          <cell r="B1881" t="b">
            <v>1</v>
          </cell>
          <cell r="E1881" t="str">
            <v>Nuevo Bosque</v>
          </cell>
          <cell r="H1881" t="str">
            <v>consulta_externa</v>
          </cell>
          <cell r="J1881" t="str">
            <v>bueno</v>
          </cell>
          <cell r="K1881" t="str">
            <v>defsi</v>
          </cell>
        </row>
        <row r="1882">
          <cell r="B1882" t="b">
            <v>1</v>
          </cell>
          <cell r="E1882" t="str">
            <v>Nuevo Bosque</v>
          </cell>
          <cell r="H1882" t="str">
            <v>salud_oral</v>
          </cell>
          <cell r="J1882" t="str">
            <v>bueno</v>
          </cell>
          <cell r="K1882" t="str">
            <v>defsi</v>
          </cell>
        </row>
        <row r="1883">
          <cell r="B1883" t="b">
            <v>1</v>
          </cell>
          <cell r="E1883" t="str">
            <v>Nuevo Bosque</v>
          </cell>
          <cell r="H1883" t="str">
            <v>laboratorio</v>
          </cell>
          <cell r="J1883" t="str">
            <v>bueno</v>
          </cell>
          <cell r="K1883" t="str">
            <v>defsi</v>
          </cell>
        </row>
        <row r="1884">
          <cell r="B1884" t="b">
            <v>0</v>
          </cell>
          <cell r="E1884" t="str">
            <v>Boquilla</v>
          </cell>
          <cell r="H1884" t="str">
            <v>consulta_externa</v>
          </cell>
          <cell r="J1884" t="str">
            <v>regular</v>
          </cell>
          <cell r="K1884" t="str">
            <v>probsi</v>
          </cell>
        </row>
        <row r="1885">
          <cell r="B1885" t="b">
            <v>0</v>
          </cell>
          <cell r="E1885" t="str">
            <v>Nelson Mandela UPA</v>
          </cell>
          <cell r="H1885" t="str">
            <v>consulta_externa</v>
          </cell>
          <cell r="J1885" t="str">
            <v>regular</v>
          </cell>
          <cell r="K1885" t="str">
            <v>probsi</v>
          </cell>
        </row>
        <row r="1886">
          <cell r="B1886" t="b">
            <v>0</v>
          </cell>
          <cell r="E1886" t="str">
            <v>Nelson Mandela UPA</v>
          </cell>
          <cell r="H1886" t="str">
            <v>consulta_externa</v>
          </cell>
          <cell r="J1886" t="str">
            <v>regular</v>
          </cell>
          <cell r="K1886" t="str">
            <v>probsi</v>
          </cell>
        </row>
        <row r="1887">
          <cell r="B1887" t="b">
            <v>1</v>
          </cell>
          <cell r="E1887" t="str">
            <v>Nelson Mandela UPA</v>
          </cell>
          <cell r="H1887" t="str">
            <v>salud_oral</v>
          </cell>
          <cell r="J1887" t="str">
            <v>bueno</v>
          </cell>
          <cell r="K1887" t="str">
            <v>probsi</v>
          </cell>
        </row>
        <row r="1888">
          <cell r="B1888" t="b">
            <v>0</v>
          </cell>
          <cell r="E1888" t="str">
            <v>Nelson Mandela UPA</v>
          </cell>
          <cell r="H1888" t="str">
            <v>laboratorio</v>
          </cell>
          <cell r="J1888" t="str">
            <v>regular</v>
          </cell>
          <cell r="K1888" t="str">
            <v>probsi</v>
          </cell>
        </row>
        <row r="1889">
          <cell r="B1889" t="b">
            <v>1</v>
          </cell>
          <cell r="E1889" t="str">
            <v>Nelson Mandela UPA</v>
          </cell>
          <cell r="H1889" t="str">
            <v>consulta_externa</v>
          </cell>
          <cell r="J1889" t="str">
            <v>bueno</v>
          </cell>
          <cell r="K1889" t="str">
            <v>probsi</v>
          </cell>
        </row>
        <row r="1890">
          <cell r="B1890" t="b">
            <v>0</v>
          </cell>
          <cell r="E1890" t="str">
            <v>Nelson Mandela UPA</v>
          </cell>
          <cell r="H1890" t="str">
            <v>laboratorio</v>
          </cell>
          <cell r="J1890" t="str">
            <v>regular</v>
          </cell>
          <cell r="K1890" t="str">
            <v>probsi</v>
          </cell>
        </row>
        <row r="1891">
          <cell r="B1891" t="b">
            <v>1</v>
          </cell>
          <cell r="E1891" t="str">
            <v>Nelson Mandela UPA</v>
          </cell>
          <cell r="H1891" t="str">
            <v>laboratorio</v>
          </cell>
          <cell r="J1891" t="str">
            <v>bueno</v>
          </cell>
          <cell r="K1891" t="str">
            <v>probsi</v>
          </cell>
        </row>
        <row r="1892">
          <cell r="B1892" t="b">
            <v>1</v>
          </cell>
          <cell r="E1892" t="str">
            <v>Nelson Mandela UPA</v>
          </cell>
          <cell r="H1892" t="str">
            <v>consulta_externa</v>
          </cell>
          <cell r="J1892" t="str">
            <v>bueno</v>
          </cell>
          <cell r="K1892" t="str">
            <v>probsi</v>
          </cell>
        </row>
        <row r="1893">
          <cell r="B1893" t="b">
            <v>1</v>
          </cell>
          <cell r="E1893" t="str">
            <v>Nelson Mandela UPA</v>
          </cell>
          <cell r="H1893" t="str">
            <v>laboratorio</v>
          </cell>
          <cell r="J1893" t="str">
            <v>bueno</v>
          </cell>
          <cell r="K1893" t="str">
            <v>probsi</v>
          </cell>
        </row>
        <row r="1894">
          <cell r="B1894" t="b">
            <v>1</v>
          </cell>
          <cell r="E1894" t="str">
            <v>Santa Ana</v>
          </cell>
          <cell r="H1894" t="str">
            <v>consulta_externa</v>
          </cell>
          <cell r="J1894" t="str">
            <v>muybueno</v>
          </cell>
          <cell r="K1894" t="str">
            <v>defsi</v>
          </cell>
        </row>
        <row r="1895">
          <cell r="B1895" t="b">
            <v>1</v>
          </cell>
          <cell r="E1895" t="str">
            <v>Santa Ana</v>
          </cell>
          <cell r="H1895" t="str">
            <v>laboratorio</v>
          </cell>
          <cell r="J1895" t="str">
            <v>muybueno</v>
          </cell>
          <cell r="K1895" t="str">
            <v>defsi</v>
          </cell>
        </row>
        <row r="1896">
          <cell r="B1896" t="b">
            <v>1</v>
          </cell>
          <cell r="E1896" t="str">
            <v>Bayunca</v>
          </cell>
          <cell r="H1896" t="str">
            <v>consulta_externa</v>
          </cell>
          <cell r="J1896" t="str">
            <v>bueno</v>
          </cell>
          <cell r="K1896" t="str">
            <v>defsi</v>
          </cell>
        </row>
        <row r="1897">
          <cell r="B1897" t="b">
            <v>1</v>
          </cell>
          <cell r="E1897" t="str">
            <v>Bayunca</v>
          </cell>
          <cell r="H1897" t="str">
            <v>salud_oral</v>
          </cell>
          <cell r="J1897" t="str">
            <v>bueno</v>
          </cell>
          <cell r="K1897" t="str">
            <v>defsi</v>
          </cell>
        </row>
        <row r="1898">
          <cell r="B1898" t="b">
            <v>1</v>
          </cell>
          <cell r="E1898" t="str">
            <v>Santa Ana</v>
          </cell>
          <cell r="H1898" t="str">
            <v>salud_oral</v>
          </cell>
          <cell r="J1898" t="str">
            <v>muybueno</v>
          </cell>
          <cell r="K1898" t="str">
            <v>defsi</v>
          </cell>
        </row>
        <row r="1899">
          <cell r="B1899" t="b">
            <v>1</v>
          </cell>
          <cell r="E1899" t="str">
            <v>Bayunca</v>
          </cell>
          <cell r="H1899" t="str">
            <v>laboratorio</v>
          </cell>
          <cell r="J1899" t="str">
            <v>bueno</v>
          </cell>
          <cell r="K1899" t="str">
            <v>defsi</v>
          </cell>
        </row>
        <row r="1900">
          <cell r="B1900" t="b">
            <v>1</v>
          </cell>
          <cell r="E1900" t="str">
            <v>Bayunca</v>
          </cell>
          <cell r="H1900" t="str">
            <v>urgencia</v>
          </cell>
          <cell r="J1900" t="str">
            <v>bueno</v>
          </cell>
          <cell r="K1900" t="str">
            <v>defsi</v>
          </cell>
        </row>
        <row r="1901">
          <cell r="B1901" t="b">
            <v>1</v>
          </cell>
          <cell r="E1901" t="str">
            <v>Santa Ana</v>
          </cell>
          <cell r="H1901" t="str">
            <v>consulta_externa</v>
          </cell>
          <cell r="J1901" t="str">
            <v>muybueno</v>
          </cell>
          <cell r="K1901" t="str">
            <v>defsi</v>
          </cell>
        </row>
        <row r="1902">
          <cell r="B1902" t="b">
            <v>1</v>
          </cell>
          <cell r="E1902" t="str">
            <v>Santa Ana</v>
          </cell>
          <cell r="H1902" t="str">
            <v>laboratorio</v>
          </cell>
          <cell r="J1902" t="str">
            <v>muybueno</v>
          </cell>
          <cell r="K1902" t="str">
            <v>defsi</v>
          </cell>
        </row>
        <row r="1903">
          <cell r="B1903" t="b">
            <v>1</v>
          </cell>
          <cell r="E1903" t="str">
            <v>Nelson Mandela UPA</v>
          </cell>
          <cell r="H1903" t="str">
            <v>salud_oral</v>
          </cell>
          <cell r="J1903" t="str">
            <v>bueno</v>
          </cell>
          <cell r="K1903" t="str">
            <v>probsi</v>
          </cell>
        </row>
        <row r="1904">
          <cell r="B1904" t="b">
            <v>1</v>
          </cell>
          <cell r="E1904" t="str">
            <v>Nelson Mandela UPA</v>
          </cell>
          <cell r="H1904" t="str">
            <v>salud_oral</v>
          </cell>
          <cell r="J1904" t="str">
            <v>bueno</v>
          </cell>
          <cell r="K1904" t="str">
            <v>probsi</v>
          </cell>
        </row>
        <row r="1905">
          <cell r="B1905" t="b">
            <v>1</v>
          </cell>
          <cell r="E1905" t="str">
            <v>Nelson Mandela UPA</v>
          </cell>
          <cell r="H1905" t="str">
            <v>salud_oral</v>
          </cell>
          <cell r="J1905" t="str">
            <v>bueno</v>
          </cell>
          <cell r="K1905" t="str">
            <v>probsi</v>
          </cell>
        </row>
        <row r="1906">
          <cell r="B1906" t="b">
            <v>1</v>
          </cell>
          <cell r="E1906" t="str">
            <v>Nelson Mandela UPA</v>
          </cell>
          <cell r="H1906" t="str">
            <v>salud_oral</v>
          </cell>
          <cell r="J1906" t="str">
            <v>bueno</v>
          </cell>
          <cell r="K1906" t="str">
            <v>probsi</v>
          </cell>
        </row>
        <row r="1907">
          <cell r="B1907" t="b">
            <v>1</v>
          </cell>
          <cell r="E1907" t="str">
            <v>Nelson Mandela UPA</v>
          </cell>
          <cell r="H1907" t="str">
            <v>salud_oral</v>
          </cell>
          <cell r="J1907" t="str">
            <v>bueno</v>
          </cell>
          <cell r="K1907" t="str">
            <v>probsi</v>
          </cell>
        </row>
        <row r="1908">
          <cell r="B1908" t="b">
            <v>1</v>
          </cell>
          <cell r="E1908" t="str">
            <v>Nelson Mandela UPA</v>
          </cell>
          <cell r="H1908" t="str">
            <v>salud_oral</v>
          </cell>
          <cell r="J1908" t="str">
            <v>bueno</v>
          </cell>
          <cell r="K1908" t="str">
            <v>probsi</v>
          </cell>
        </row>
        <row r="1909">
          <cell r="B1909" t="b">
            <v>1</v>
          </cell>
          <cell r="E1909" t="str">
            <v>Nelson Mandela UPA</v>
          </cell>
          <cell r="H1909" t="str">
            <v>salud_oral</v>
          </cell>
          <cell r="J1909" t="str">
            <v>bueno</v>
          </cell>
          <cell r="K1909" t="str">
            <v>probsi</v>
          </cell>
        </row>
        <row r="1910">
          <cell r="B1910" t="b">
            <v>0</v>
          </cell>
          <cell r="E1910" t="str">
            <v>Nelson Mandela UPA</v>
          </cell>
          <cell r="H1910" t="str">
            <v>laboratorio</v>
          </cell>
          <cell r="J1910" t="str">
            <v>regular</v>
          </cell>
          <cell r="K1910" t="str">
            <v>probsi</v>
          </cell>
        </row>
        <row r="1911">
          <cell r="B1911" t="b">
            <v>0</v>
          </cell>
          <cell r="E1911" t="str">
            <v>Nelson Mandela UPA</v>
          </cell>
          <cell r="H1911" t="str">
            <v>laboratorio</v>
          </cell>
          <cell r="J1911" t="str">
            <v>regular</v>
          </cell>
          <cell r="K1911" t="str">
            <v>probsi</v>
          </cell>
        </row>
        <row r="1912">
          <cell r="B1912" t="b">
            <v>0</v>
          </cell>
          <cell r="E1912" t="str">
            <v>Nelson Mandela UPA</v>
          </cell>
          <cell r="H1912" t="str">
            <v>urgencia</v>
          </cell>
          <cell r="J1912" t="str">
            <v>regular</v>
          </cell>
          <cell r="K1912" t="str">
            <v>probsi</v>
          </cell>
        </row>
        <row r="1913">
          <cell r="B1913" t="b">
            <v>0</v>
          </cell>
          <cell r="E1913" t="str">
            <v>Nelson Mandela UPA</v>
          </cell>
          <cell r="H1913" t="str">
            <v>urgencia</v>
          </cell>
          <cell r="J1913" t="str">
            <v>regular</v>
          </cell>
          <cell r="K1913" t="str">
            <v>probsi</v>
          </cell>
        </row>
        <row r="1914">
          <cell r="B1914" t="b">
            <v>1</v>
          </cell>
          <cell r="E1914" t="str">
            <v>Nelson Mandela UPA</v>
          </cell>
          <cell r="H1914" t="str">
            <v>urgencia</v>
          </cell>
          <cell r="J1914" t="str">
            <v>bueno</v>
          </cell>
          <cell r="K1914" t="str">
            <v>probsi</v>
          </cell>
        </row>
        <row r="1915">
          <cell r="B1915" t="b">
            <v>1</v>
          </cell>
          <cell r="E1915" t="str">
            <v>Nelson Mandela UPA</v>
          </cell>
          <cell r="H1915" t="str">
            <v>urgencia</v>
          </cell>
          <cell r="J1915" t="str">
            <v>bueno</v>
          </cell>
          <cell r="K1915" t="str">
            <v>probsi</v>
          </cell>
        </row>
        <row r="1916">
          <cell r="B1916" t="b">
            <v>1</v>
          </cell>
          <cell r="E1916" t="str">
            <v>Santa Ana</v>
          </cell>
          <cell r="H1916" t="str">
            <v>consulta_externa</v>
          </cell>
          <cell r="J1916" t="str">
            <v>muybueno</v>
          </cell>
          <cell r="K1916" t="str">
            <v>defsi</v>
          </cell>
        </row>
        <row r="1917">
          <cell r="B1917" t="b">
            <v>1</v>
          </cell>
          <cell r="E1917" t="str">
            <v>Bayunca</v>
          </cell>
          <cell r="H1917" t="str">
            <v>consulta_externa</v>
          </cell>
          <cell r="J1917" t="str">
            <v>bueno</v>
          </cell>
          <cell r="K1917" t="str">
            <v>defsi</v>
          </cell>
        </row>
        <row r="1918">
          <cell r="B1918" t="b">
            <v>1</v>
          </cell>
          <cell r="E1918" t="str">
            <v>Bayunca</v>
          </cell>
          <cell r="H1918" t="str">
            <v>salud_oral</v>
          </cell>
          <cell r="J1918" t="str">
            <v>bueno</v>
          </cell>
          <cell r="K1918" t="str">
            <v>defsi</v>
          </cell>
        </row>
        <row r="1919">
          <cell r="B1919" t="b">
            <v>1</v>
          </cell>
          <cell r="E1919" t="str">
            <v>Bayunca</v>
          </cell>
          <cell r="H1919" t="str">
            <v>laboratorio</v>
          </cell>
          <cell r="J1919" t="str">
            <v>bueno</v>
          </cell>
          <cell r="K1919" t="str">
            <v>defsi</v>
          </cell>
        </row>
        <row r="1920">
          <cell r="B1920" t="b">
            <v>1</v>
          </cell>
          <cell r="E1920" t="str">
            <v>Bayunca</v>
          </cell>
          <cell r="H1920" t="str">
            <v>urgencia</v>
          </cell>
          <cell r="J1920" t="str">
            <v>bueno</v>
          </cell>
          <cell r="K1920" t="str">
            <v>defsi</v>
          </cell>
        </row>
        <row r="1921">
          <cell r="B1921" t="b">
            <v>1</v>
          </cell>
          <cell r="E1921" t="str">
            <v>Bayunca</v>
          </cell>
          <cell r="H1921" t="str">
            <v>consulta_externa</v>
          </cell>
          <cell r="J1921" t="str">
            <v>bueno</v>
          </cell>
          <cell r="K1921" t="str">
            <v>defsi</v>
          </cell>
        </row>
        <row r="1922">
          <cell r="B1922" t="b">
            <v>1</v>
          </cell>
          <cell r="E1922" t="str">
            <v>Bayunca</v>
          </cell>
          <cell r="H1922" t="str">
            <v>salud_oral</v>
          </cell>
          <cell r="J1922" t="str">
            <v>bueno</v>
          </cell>
          <cell r="K1922" t="str">
            <v>defsi</v>
          </cell>
        </row>
        <row r="1923">
          <cell r="B1923" t="b">
            <v>1</v>
          </cell>
          <cell r="E1923" t="str">
            <v>Bayunca</v>
          </cell>
          <cell r="H1923" t="str">
            <v>laboratorio</v>
          </cell>
          <cell r="J1923" t="str">
            <v>bueno</v>
          </cell>
          <cell r="K1923" t="str">
            <v>defsi</v>
          </cell>
        </row>
        <row r="1924">
          <cell r="B1924" t="b">
            <v>1</v>
          </cell>
          <cell r="E1924" t="str">
            <v>Bayunca</v>
          </cell>
          <cell r="H1924" t="str">
            <v>urgencia</v>
          </cell>
          <cell r="J1924" t="str">
            <v>bueno</v>
          </cell>
          <cell r="K1924" t="str">
            <v>defsi</v>
          </cell>
        </row>
        <row r="1925">
          <cell r="B1925" t="b">
            <v>1</v>
          </cell>
          <cell r="E1925" t="str">
            <v>Bayunca</v>
          </cell>
          <cell r="H1925" t="str">
            <v>consulta_externa</v>
          </cell>
          <cell r="J1925" t="str">
            <v>bueno</v>
          </cell>
          <cell r="K1925" t="str">
            <v>defsi</v>
          </cell>
        </row>
        <row r="1926">
          <cell r="B1926" t="b">
            <v>1</v>
          </cell>
          <cell r="E1926" t="str">
            <v>Bayunca</v>
          </cell>
          <cell r="H1926" t="str">
            <v>salud_oral</v>
          </cell>
          <cell r="J1926" t="str">
            <v>bueno</v>
          </cell>
          <cell r="K1926" t="str">
            <v>defsi</v>
          </cell>
        </row>
        <row r="1927">
          <cell r="B1927" t="b">
            <v>1</v>
          </cell>
          <cell r="E1927" t="str">
            <v>Bayunca</v>
          </cell>
          <cell r="H1927" t="str">
            <v>laboratorio</v>
          </cell>
          <cell r="J1927" t="str">
            <v>bueno</v>
          </cell>
          <cell r="K1927" t="str">
            <v>defsi</v>
          </cell>
        </row>
        <row r="1928">
          <cell r="B1928" t="b">
            <v>1</v>
          </cell>
          <cell r="E1928" t="str">
            <v>Bayunca</v>
          </cell>
          <cell r="H1928" t="str">
            <v>urgencia</v>
          </cell>
          <cell r="J1928" t="str">
            <v>bueno</v>
          </cell>
          <cell r="K1928" t="str">
            <v>defsi</v>
          </cell>
        </row>
        <row r="1929">
          <cell r="B1929" t="b">
            <v>1</v>
          </cell>
          <cell r="E1929" t="str">
            <v>Bayunca</v>
          </cell>
          <cell r="H1929" t="str">
            <v>consulta_externa</v>
          </cell>
          <cell r="J1929" t="str">
            <v>bueno</v>
          </cell>
          <cell r="K1929" t="str">
            <v>defsi</v>
          </cell>
        </row>
        <row r="1930">
          <cell r="B1930" t="b">
            <v>1</v>
          </cell>
          <cell r="E1930" t="str">
            <v>Bayunca</v>
          </cell>
          <cell r="H1930" t="str">
            <v>salud_oral</v>
          </cell>
          <cell r="J1930" t="str">
            <v>bueno</v>
          </cell>
          <cell r="K1930" t="str">
            <v>defsi</v>
          </cell>
        </row>
        <row r="1931">
          <cell r="B1931" t="b">
            <v>1</v>
          </cell>
          <cell r="E1931" t="str">
            <v>Bayunca</v>
          </cell>
          <cell r="H1931" t="str">
            <v>laboratorio</v>
          </cell>
          <cell r="J1931" t="str">
            <v>bueno</v>
          </cell>
          <cell r="K1931" t="str">
            <v>defsi</v>
          </cell>
        </row>
        <row r="1932">
          <cell r="B1932" t="b">
            <v>1</v>
          </cell>
          <cell r="E1932" t="str">
            <v>Bayunca</v>
          </cell>
          <cell r="H1932" t="str">
            <v>urgencia</v>
          </cell>
          <cell r="J1932" t="str">
            <v>bueno</v>
          </cell>
          <cell r="K1932" t="str">
            <v>defsi</v>
          </cell>
        </row>
        <row r="1933">
          <cell r="B1933" t="b">
            <v>1</v>
          </cell>
          <cell r="E1933" t="str">
            <v>Punta Arena</v>
          </cell>
          <cell r="H1933" t="str">
            <v>laboratorio</v>
          </cell>
          <cell r="J1933" t="str">
            <v>bueno</v>
          </cell>
          <cell r="K1933" t="str">
            <v>defsi</v>
          </cell>
        </row>
        <row r="1934">
          <cell r="B1934" t="b">
            <v>1</v>
          </cell>
          <cell r="E1934" t="str">
            <v>Punta Arena</v>
          </cell>
          <cell r="H1934" t="str">
            <v>laboratorio</v>
          </cell>
          <cell r="J1934" t="str">
            <v>bueno</v>
          </cell>
          <cell r="K1934" t="str">
            <v>defsi</v>
          </cell>
        </row>
        <row r="1935">
          <cell r="B1935" t="b">
            <v>1</v>
          </cell>
          <cell r="E1935" t="str">
            <v>Punta Arena</v>
          </cell>
          <cell r="H1935" t="str">
            <v>laboratorio</v>
          </cell>
          <cell r="J1935" t="str">
            <v>bueno</v>
          </cell>
          <cell r="K1935" t="str">
            <v>defsi</v>
          </cell>
        </row>
        <row r="1936">
          <cell r="B1936" t="b">
            <v>1</v>
          </cell>
          <cell r="E1936" t="str">
            <v>Punta Arena</v>
          </cell>
          <cell r="H1936" t="str">
            <v>salud_oral</v>
          </cell>
          <cell r="J1936" t="str">
            <v>bueno</v>
          </cell>
          <cell r="K1936" t="str">
            <v>defsi</v>
          </cell>
        </row>
        <row r="1937">
          <cell r="B1937" t="b">
            <v>1</v>
          </cell>
          <cell r="E1937" t="str">
            <v>Punta Arena</v>
          </cell>
          <cell r="H1937" t="str">
            <v>consulta_externa</v>
          </cell>
          <cell r="J1937" t="str">
            <v>bueno</v>
          </cell>
          <cell r="K1937" t="str">
            <v>defsi</v>
          </cell>
        </row>
        <row r="1938">
          <cell r="B1938" t="b">
            <v>1</v>
          </cell>
          <cell r="E1938" t="str">
            <v>Foco Rojo</v>
          </cell>
          <cell r="H1938" t="str">
            <v>consulta_externa</v>
          </cell>
          <cell r="J1938" t="str">
            <v>bueno</v>
          </cell>
          <cell r="K1938" t="str">
            <v>probsi</v>
          </cell>
        </row>
        <row r="1939">
          <cell r="B1939" t="b">
            <v>1</v>
          </cell>
          <cell r="E1939" t="str">
            <v>Foco Rojo</v>
          </cell>
          <cell r="H1939" t="str">
            <v>salud_oral</v>
          </cell>
          <cell r="J1939" t="str">
            <v>bueno</v>
          </cell>
          <cell r="K1939" t="str">
            <v>probsi</v>
          </cell>
        </row>
        <row r="1940">
          <cell r="B1940" t="b">
            <v>1</v>
          </cell>
          <cell r="E1940" t="str">
            <v>San Pedro y Libertad</v>
          </cell>
          <cell r="H1940" t="str">
            <v>salud_oral</v>
          </cell>
          <cell r="J1940" t="str">
            <v>bueno</v>
          </cell>
          <cell r="K1940" t="str">
            <v>defsi</v>
          </cell>
        </row>
        <row r="1941">
          <cell r="B1941" t="b">
            <v>1</v>
          </cell>
          <cell r="E1941" t="str">
            <v>San Pedro y Libertad</v>
          </cell>
          <cell r="H1941" t="str">
            <v>consulta_externa</v>
          </cell>
          <cell r="J1941" t="str">
            <v>bueno</v>
          </cell>
          <cell r="K1941" t="str">
            <v>defsi</v>
          </cell>
        </row>
        <row r="1942">
          <cell r="B1942" t="b">
            <v>1</v>
          </cell>
          <cell r="E1942" t="str">
            <v>Foco Rojo</v>
          </cell>
          <cell r="H1942" t="str">
            <v>consulta_externa</v>
          </cell>
          <cell r="J1942" t="str">
            <v>muybueno</v>
          </cell>
          <cell r="K1942" t="str">
            <v>probsi</v>
          </cell>
        </row>
        <row r="1943">
          <cell r="B1943" t="b">
            <v>1</v>
          </cell>
          <cell r="E1943" t="str">
            <v>San Pedro y Libertad</v>
          </cell>
          <cell r="H1943" t="str">
            <v>laboratorio</v>
          </cell>
          <cell r="J1943" t="str">
            <v>bueno</v>
          </cell>
          <cell r="K1943" t="str">
            <v>defsi</v>
          </cell>
        </row>
        <row r="1944">
          <cell r="B1944" t="b">
            <v>1</v>
          </cell>
          <cell r="E1944" t="str">
            <v>Foco Rojo</v>
          </cell>
          <cell r="H1944" t="str">
            <v>salud_oral</v>
          </cell>
          <cell r="J1944" t="str">
            <v>muybueno</v>
          </cell>
          <cell r="K1944" t="str">
            <v>probsi</v>
          </cell>
        </row>
        <row r="1945">
          <cell r="B1945" t="b">
            <v>1</v>
          </cell>
          <cell r="E1945" t="str">
            <v>Foco Rojo</v>
          </cell>
          <cell r="H1945" t="str">
            <v>laboratorio</v>
          </cell>
          <cell r="J1945" t="str">
            <v>bueno</v>
          </cell>
          <cell r="K1945" t="str">
            <v>probsi</v>
          </cell>
        </row>
        <row r="1946">
          <cell r="B1946" t="b">
            <v>1</v>
          </cell>
          <cell r="E1946" t="str">
            <v>San Pedro y Libertad</v>
          </cell>
          <cell r="H1946" t="str">
            <v>consulta_externa</v>
          </cell>
          <cell r="J1946" t="str">
            <v>bueno</v>
          </cell>
          <cell r="K1946" t="str">
            <v>defsi</v>
          </cell>
        </row>
        <row r="1947">
          <cell r="B1947" t="b">
            <v>1</v>
          </cell>
          <cell r="E1947" t="str">
            <v>San Pedro y Libertad</v>
          </cell>
          <cell r="H1947" t="str">
            <v>salud_oral</v>
          </cell>
          <cell r="J1947" t="str">
            <v>bueno</v>
          </cell>
          <cell r="K1947" t="str">
            <v>defsi</v>
          </cell>
        </row>
        <row r="1948">
          <cell r="B1948" t="b">
            <v>1</v>
          </cell>
          <cell r="E1948" t="str">
            <v>San Pedro y Libertad</v>
          </cell>
          <cell r="H1948" t="str">
            <v>laboratorio</v>
          </cell>
          <cell r="J1948" t="str">
            <v>bueno</v>
          </cell>
          <cell r="K1948" t="str">
            <v>defsi</v>
          </cell>
        </row>
        <row r="1949">
          <cell r="B1949" t="b">
            <v>1</v>
          </cell>
          <cell r="E1949" t="str">
            <v>Baru</v>
          </cell>
          <cell r="H1949" t="str">
            <v>consulta_externa</v>
          </cell>
          <cell r="J1949" t="str">
            <v>muybueno</v>
          </cell>
          <cell r="K1949" t="str">
            <v>defsi</v>
          </cell>
        </row>
        <row r="1950">
          <cell r="B1950" t="b">
            <v>1</v>
          </cell>
          <cell r="E1950" t="str">
            <v>Baru</v>
          </cell>
          <cell r="H1950" t="str">
            <v>laboratorio</v>
          </cell>
          <cell r="J1950" t="str">
            <v>muybueno</v>
          </cell>
          <cell r="K1950" t="str">
            <v>defsi</v>
          </cell>
        </row>
        <row r="1951">
          <cell r="B1951" t="b">
            <v>1</v>
          </cell>
          <cell r="E1951" t="str">
            <v>Punta Arena</v>
          </cell>
          <cell r="H1951" t="str">
            <v>laboratorio</v>
          </cell>
          <cell r="J1951" t="str">
            <v>bueno</v>
          </cell>
          <cell r="K1951" t="str">
            <v>defsi</v>
          </cell>
        </row>
        <row r="1952">
          <cell r="B1952" t="b">
            <v>1</v>
          </cell>
          <cell r="E1952" t="str">
            <v>Punta Arena</v>
          </cell>
          <cell r="H1952" t="str">
            <v>laboratorio</v>
          </cell>
          <cell r="J1952" t="str">
            <v>bueno</v>
          </cell>
          <cell r="K1952" t="str">
            <v>defsi</v>
          </cell>
        </row>
        <row r="1953">
          <cell r="B1953" t="b">
            <v>1</v>
          </cell>
          <cell r="E1953" t="str">
            <v>Punta Arena</v>
          </cell>
          <cell r="H1953" t="str">
            <v>salud_oral</v>
          </cell>
          <cell r="J1953" t="str">
            <v>bueno</v>
          </cell>
          <cell r="K1953" t="str">
            <v>defsi</v>
          </cell>
        </row>
        <row r="1954">
          <cell r="B1954" t="b">
            <v>1</v>
          </cell>
          <cell r="E1954" t="str">
            <v>Punta Arena</v>
          </cell>
          <cell r="H1954" t="str">
            <v>salud_oral</v>
          </cell>
          <cell r="J1954" t="str">
            <v>bueno</v>
          </cell>
          <cell r="K1954" t="str">
            <v>defsi</v>
          </cell>
        </row>
        <row r="1955">
          <cell r="B1955" t="b">
            <v>1</v>
          </cell>
          <cell r="E1955" t="str">
            <v>Baru</v>
          </cell>
          <cell r="H1955" t="str">
            <v>salud_oral</v>
          </cell>
          <cell r="J1955" t="str">
            <v>muybueno</v>
          </cell>
          <cell r="K1955" t="str">
            <v>defsi</v>
          </cell>
        </row>
        <row r="1956">
          <cell r="B1956" t="b">
            <v>1</v>
          </cell>
          <cell r="E1956" t="str">
            <v>Punta Arena</v>
          </cell>
          <cell r="H1956" t="str">
            <v>consulta_externa</v>
          </cell>
          <cell r="J1956" t="str">
            <v>bueno</v>
          </cell>
          <cell r="K1956" t="str">
            <v>defsi</v>
          </cell>
        </row>
        <row r="1957">
          <cell r="B1957" t="b">
            <v>1</v>
          </cell>
          <cell r="E1957" t="str">
            <v>Punta Arena</v>
          </cell>
          <cell r="H1957" t="str">
            <v>salud_oral</v>
          </cell>
          <cell r="J1957" t="str">
            <v>bueno</v>
          </cell>
          <cell r="K1957" t="str">
            <v>defsi</v>
          </cell>
        </row>
        <row r="1958">
          <cell r="B1958" t="b">
            <v>1</v>
          </cell>
          <cell r="E1958" t="str">
            <v>Punta Arena</v>
          </cell>
          <cell r="H1958" t="str">
            <v>laboratorio</v>
          </cell>
          <cell r="J1958" t="str">
            <v>bueno</v>
          </cell>
          <cell r="K1958" t="str">
            <v>defsi</v>
          </cell>
        </row>
        <row r="1959">
          <cell r="B1959" t="b">
            <v>1</v>
          </cell>
          <cell r="E1959" t="str">
            <v>Punta Arena</v>
          </cell>
          <cell r="H1959" t="str">
            <v>laboratorio</v>
          </cell>
          <cell r="J1959" t="str">
            <v>bueno</v>
          </cell>
          <cell r="K1959" t="str">
            <v>defsi</v>
          </cell>
        </row>
        <row r="1960">
          <cell r="B1960" t="b">
            <v>1</v>
          </cell>
          <cell r="E1960" t="str">
            <v>Baru</v>
          </cell>
          <cell r="H1960" t="str">
            <v>consulta_externa</v>
          </cell>
          <cell r="J1960" t="str">
            <v>muybueno</v>
          </cell>
          <cell r="K1960" t="str">
            <v>defsi</v>
          </cell>
        </row>
        <row r="1961">
          <cell r="B1961" t="b">
            <v>1</v>
          </cell>
          <cell r="E1961" t="str">
            <v>Baru</v>
          </cell>
          <cell r="H1961" t="str">
            <v>laboratorio</v>
          </cell>
          <cell r="J1961" t="str">
            <v>muybueno</v>
          </cell>
          <cell r="K1961" t="str">
            <v>defsi</v>
          </cell>
        </row>
        <row r="1962">
          <cell r="B1962" t="b">
            <v>1</v>
          </cell>
          <cell r="E1962" t="str">
            <v>Punta Arena</v>
          </cell>
          <cell r="H1962" t="str">
            <v>salud_oral</v>
          </cell>
          <cell r="J1962" t="str">
            <v>bueno</v>
          </cell>
          <cell r="K1962" t="str">
            <v>defsi</v>
          </cell>
        </row>
        <row r="1963">
          <cell r="B1963" t="b">
            <v>1</v>
          </cell>
          <cell r="E1963" t="str">
            <v>San Pedro y Libertad</v>
          </cell>
          <cell r="H1963" t="str">
            <v>consulta_externa</v>
          </cell>
          <cell r="J1963" t="str">
            <v>bueno</v>
          </cell>
          <cell r="K1963" t="str">
            <v>defsi</v>
          </cell>
        </row>
        <row r="1964">
          <cell r="B1964" t="b">
            <v>1</v>
          </cell>
          <cell r="E1964" t="str">
            <v>San Pedro y Libertad</v>
          </cell>
          <cell r="H1964" t="str">
            <v>salud_oral</v>
          </cell>
          <cell r="J1964" t="str">
            <v>bueno</v>
          </cell>
          <cell r="K1964" t="str">
            <v>defsi</v>
          </cell>
        </row>
        <row r="1965">
          <cell r="B1965" t="b">
            <v>1</v>
          </cell>
          <cell r="E1965" t="str">
            <v>San Pedro y Libertad</v>
          </cell>
          <cell r="H1965" t="str">
            <v>laboratorio</v>
          </cell>
          <cell r="J1965" t="str">
            <v>bueno</v>
          </cell>
          <cell r="K1965" t="str">
            <v>defsi</v>
          </cell>
        </row>
        <row r="1966">
          <cell r="B1966" t="b">
            <v>1</v>
          </cell>
          <cell r="E1966" t="str">
            <v>Foco Rojo</v>
          </cell>
          <cell r="H1966" t="str">
            <v>salud_oral</v>
          </cell>
          <cell r="J1966" t="str">
            <v>bueno</v>
          </cell>
          <cell r="K1966" t="str">
            <v>probsi</v>
          </cell>
        </row>
        <row r="1967">
          <cell r="B1967" t="b">
            <v>1</v>
          </cell>
          <cell r="E1967" t="str">
            <v>Baru</v>
          </cell>
          <cell r="H1967" t="str">
            <v>consulta_externa</v>
          </cell>
          <cell r="J1967" t="str">
            <v>muybueno</v>
          </cell>
          <cell r="K1967" t="str">
            <v>defsi</v>
          </cell>
        </row>
        <row r="1968">
          <cell r="B1968" t="b">
            <v>1</v>
          </cell>
          <cell r="E1968" t="str">
            <v>Foco Rojo</v>
          </cell>
          <cell r="H1968" t="str">
            <v>consulta_externa</v>
          </cell>
          <cell r="J1968" t="str">
            <v>bueno</v>
          </cell>
          <cell r="K1968" t="str">
            <v>probsi</v>
          </cell>
        </row>
        <row r="1969">
          <cell r="B1969" t="b">
            <v>1</v>
          </cell>
          <cell r="E1969" t="str">
            <v>Foco Rojo</v>
          </cell>
          <cell r="H1969" t="str">
            <v>laboratorio</v>
          </cell>
          <cell r="J1969" t="str">
            <v>bueno</v>
          </cell>
          <cell r="K1969" t="str">
            <v>probsi</v>
          </cell>
        </row>
        <row r="1970">
          <cell r="B1970" t="b">
            <v>1</v>
          </cell>
          <cell r="E1970" t="str">
            <v>San Pedro y Libertad</v>
          </cell>
          <cell r="H1970" t="str">
            <v>consulta_externa</v>
          </cell>
          <cell r="J1970" t="str">
            <v>bueno</v>
          </cell>
          <cell r="K1970" t="str">
            <v>defsi</v>
          </cell>
        </row>
        <row r="1971">
          <cell r="B1971" t="b">
            <v>1</v>
          </cell>
          <cell r="E1971" t="str">
            <v>Baru</v>
          </cell>
          <cell r="H1971" t="str">
            <v>consulta_externa</v>
          </cell>
          <cell r="J1971" t="str">
            <v>muybueno</v>
          </cell>
          <cell r="K1971" t="str">
            <v>defsi</v>
          </cell>
        </row>
        <row r="1972">
          <cell r="B1972" t="b">
            <v>1</v>
          </cell>
          <cell r="E1972" t="str">
            <v>Baru</v>
          </cell>
          <cell r="H1972" t="str">
            <v>laboratorio</v>
          </cell>
          <cell r="J1972" t="str">
            <v>muybueno</v>
          </cell>
          <cell r="K1972" t="str">
            <v>defsi</v>
          </cell>
        </row>
        <row r="1973">
          <cell r="B1973" t="b">
            <v>1</v>
          </cell>
          <cell r="E1973" t="str">
            <v>San Pedro y Libertad</v>
          </cell>
          <cell r="H1973" t="str">
            <v>laboratorio</v>
          </cell>
          <cell r="J1973" t="str">
            <v>bueno</v>
          </cell>
          <cell r="K1973" t="str">
            <v>defsi</v>
          </cell>
        </row>
        <row r="1974">
          <cell r="B1974" t="b">
            <v>1</v>
          </cell>
          <cell r="E1974" t="str">
            <v>San Pedro y Libertad</v>
          </cell>
          <cell r="H1974" t="str">
            <v>salud_oral</v>
          </cell>
          <cell r="J1974" t="str">
            <v>bueno</v>
          </cell>
          <cell r="K1974" t="str">
            <v>defsi</v>
          </cell>
        </row>
        <row r="1975">
          <cell r="B1975" t="b">
            <v>1</v>
          </cell>
          <cell r="E1975" t="str">
            <v>San Pedro y Libertad</v>
          </cell>
          <cell r="H1975" t="str">
            <v>consulta_externa</v>
          </cell>
          <cell r="J1975" t="str">
            <v>bueno</v>
          </cell>
          <cell r="K1975" t="str">
            <v>defsi</v>
          </cell>
        </row>
        <row r="1976">
          <cell r="B1976" t="b">
            <v>1</v>
          </cell>
          <cell r="E1976" t="str">
            <v>San Pedro y Libertad</v>
          </cell>
          <cell r="H1976" t="str">
            <v>salud_oral</v>
          </cell>
          <cell r="J1976" t="str">
            <v>bueno</v>
          </cell>
          <cell r="K1976" t="str">
            <v>defsi</v>
          </cell>
        </row>
        <row r="1977">
          <cell r="B1977" t="b">
            <v>1</v>
          </cell>
          <cell r="E1977" t="str">
            <v>San Pedro y Libertad</v>
          </cell>
          <cell r="H1977" t="str">
            <v>laboratorio</v>
          </cell>
          <cell r="J1977" t="str">
            <v>bueno</v>
          </cell>
          <cell r="K1977" t="str">
            <v>defsi</v>
          </cell>
        </row>
        <row r="1978">
          <cell r="B1978" t="b">
            <v>1</v>
          </cell>
          <cell r="E1978" t="str">
            <v>Foco Rojo</v>
          </cell>
          <cell r="H1978" t="str">
            <v>consulta_externa</v>
          </cell>
          <cell r="J1978" t="str">
            <v>bueno</v>
          </cell>
          <cell r="K1978" t="str">
            <v>probsi</v>
          </cell>
        </row>
        <row r="1979">
          <cell r="B1979" t="b">
            <v>1</v>
          </cell>
          <cell r="E1979" t="str">
            <v>Foco Rojo</v>
          </cell>
          <cell r="H1979" t="str">
            <v>consulta_externa</v>
          </cell>
          <cell r="J1979" t="str">
            <v>bueno</v>
          </cell>
          <cell r="K1979" t="str">
            <v>probsi</v>
          </cell>
        </row>
        <row r="1980">
          <cell r="B1980" t="b">
            <v>1</v>
          </cell>
          <cell r="E1980" t="str">
            <v>Foco Rojo</v>
          </cell>
          <cell r="H1980" t="str">
            <v>salud_oral</v>
          </cell>
          <cell r="J1980" t="str">
            <v>bueno</v>
          </cell>
          <cell r="K1980" t="str">
            <v>probsi</v>
          </cell>
        </row>
        <row r="1981">
          <cell r="B1981" t="b">
            <v>1</v>
          </cell>
          <cell r="E1981" t="str">
            <v>San Pedro y Libertad</v>
          </cell>
          <cell r="H1981" t="str">
            <v>consulta_externa</v>
          </cell>
          <cell r="J1981" t="str">
            <v>bueno</v>
          </cell>
          <cell r="K1981" t="str">
            <v>defsi</v>
          </cell>
        </row>
        <row r="1982">
          <cell r="B1982" t="b">
            <v>1</v>
          </cell>
          <cell r="E1982" t="str">
            <v>San Pedro y Libertad</v>
          </cell>
          <cell r="H1982" t="str">
            <v>salud_oral</v>
          </cell>
          <cell r="J1982" t="str">
            <v>bueno</v>
          </cell>
          <cell r="K1982" t="str">
            <v>defsi</v>
          </cell>
        </row>
        <row r="1983">
          <cell r="B1983" t="b">
            <v>1</v>
          </cell>
          <cell r="E1983" t="str">
            <v>Punta Arena</v>
          </cell>
          <cell r="H1983" t="str">
            <v>salud_oral</v>
          </cell>
          <cell r="J1983" t="str">
            <v>bueno</v>
          </cell>
          <cell r="K1983" t="str">
            <v>defsi</v>
          </cell>
        </row>
        <row r="1984">
          <cell r="B1984" t="b">
            <v>1</v>
          </cell>
          <cell r="E1984" t="str">
            <v>Punta Arena</v>
          </cell>
          <cell r="H1984" t="str">
            <v>consulta_externa</v>
          </cell>
          <cell r="J1984" t="str">
            <v>bueno</v>
          </cell>
          <cell r="K1984" t="str">
            <v>defsi</v>
          </cell>
        </row>
        <row r="1985">
          <cell r="B1985" t="b">
            <v>1</v>
          </cell>
          <cell r="E1985" t="str">
            <v>San Pedro y Libertad</v>
          </cell>
          <cell r="H1985" t="str">
            <v>consulta_externa</v>
          </cell>
          <cell r="J1985" t="str">
            <v>bueno</v>
          </cell>
          <cell r="K1985" t="str">
            <v>defsi</v>
          </cell>
        </row>
        <row r="1986">
          <cell r="B1986" t="b">
            <v>1</v>
          </cell>
          <cell r="E1986" t="str">
            <v>Baru</v>
          </cell>
          <cell r="H1986" t="str">
            <v>consulta_externa</v>
          </cell>
          <cell r="J1986" t="str">
            <v>muybueno</v>
          </cell>
          <cell r="K1986" t="str">
            <v>defsi</v>
          </cell>
        </row>
        <row r="1987">
          <cell r="B1987" t="b">
            <v>1</v>
          </cell>
          <cell r="E1987" t="str">
            <v>Punta Arena</v>
          </cell>
          <cell r="H1987" t="str">
            <v>laboratorio</v>
          </cell>
          <cell r="J1987" t="str">
            <v>bueno</v>
          </cell>
          <cell r="K1987" t="str">
            <v>defsi</v>
          </cell>
        </row>
        <row r="1988">
          <cell r="B1988" t="b">
            <v>1</v>
          </cell>
          <cell r="E1988" t="str">
            <v>Baru</v>
          </cell>
          <cell r="H1988" t="str">
            <v>laboratorio</v>
          </cell>
          <cell r="J1988" t="str">
            <v>muybueno</v>
          </cell>
          <cell r="K1988" t="str">
            <v>defsi</v>
          </cell>
        </row>
        <row r="1989">
          <cell r="B1989" t="b">
            <v>1</v>
          </cell>
          <cell r="E1989" t="str">
            <v>Baru</v>
          </cell>
          <cell r="H1989" t="str">
            <v>salud_oral</v>
          </cell>
          <cell r="J1989" t="str">
            <v>muybueno</v>
          </cell>
          <cell r="K1989" t="str">
            <v>defsi</v>
          </cell>
        </row>
        <row r="1990">
          <cell r="B1990" t="b">
            <v>1</v>
          </cell>
          <cell r="E1990" t="str">
            <v>San Vicente de Paul</v>
          </cell>
          <cell r="H1990" t="str">
            <v>consulta_externa</v>
          </cell>
          <cell r="J1990" t="str">
            <v>bueno</v>
          </cell>
          <cell r="K1990" t="str">
            <v>defsi</v>
          </cell>
        </row>
        <row r="1991">
          <cell r="B1991" t="b">
            <v>1</v>
          </cell>
          <cell r="E1991" t="str">
            <v>San Vicente de Paul</v>
          </cell>
          <cell r="H1991" t="str">
            <v>laboratorio</v>
          </cell>
          <cell r="J1991" t="str">
            <v>bueno</v>
          </cell>
          <cell r="K1991" t="str">
            <v>defsi</v>
          </cell>
        </row>
        <row r="1992">
          <cell r="B1992" t="b">
            <v>1</v>
          </cell>
          <cell r="E1992" t="str">
            <v>San Vicente de Paul</v>
          </cell>
          <cell r="H1992" t="str">
            <v>laboratorio</v>
          </cell>
          <cell r="J1992" t="str">
            <v>bueno</v>
          </cell>
          <cell r="K1992" t="str">
            <v>defsi</v>
          </cell>
        </row>
        <row r="1993">
          <cell r="B1993" t="b">
            <v>1</v>
          </cell>
          <cell r="E1993" t="str">
            <v>San Vicente de Paul</v>
          </cell>
          <cell r="H1993" t="str">
            <v>laboratorio</v>
          </cell>
          <cell r="J1993" t="str">
            <v>bueno</v>
          </cell>
          <cell r="K1993" t="str">
            <v>defsi</v>
          </cell>
        </row>
        <row r="1994">
          <cell r="B1994" t="b">
            <v>1</v>
          </cell>
          <cell r="E1994" t="str">
            <v>San Vicente de Paul</v>
          </cell>
          <cell r="H1994" t="str">
            <v>consulta_externa</v>
          </cell>
          <cell r="J1994" t="str">
            <v>bueno</v>
          </cell>
          <cell r="K1994" t="str">
            <v>defsi</v>
          </cell>
        </row>
        <row r="1995">
          <cell r="B1995" t="b">
            <v>1</v>
          </cell>
          <cell r="E1995" t="str">
            <v>San Vicente de Paul</v>
          </cell>
          <cell r="H1995" t="str">
            <v>consulta_externa</v>
          </cell>
          <cell r="J1995" t="str">
            <v>bueno</v>
          </cell>
          <cell r="K1995" t="str">
            <v>defsi</v>
          </cell>
        </row>
        <row r="1996">
          <cell r="B1996" t="b">
            <v>1</v>
          </cell>
          <cell r="E1996" t="str">
            <v>San Vicente de Paul</v>
          </cell>
          <cell r="H1996" t="str">
            <v>consulta_externa</v>
          </cell>
          <cell r="J1996" t="str">
            <v>muybueno</v>
          </cell>
          <cell r="K1996" t="str">
            <v>defsi</v>
          </cell>
        </row>
        <row r="1997">
          <cell r="B1997" t="b">
            <v>1</v>
          </cell>
          <cell r="E1997" t="str">
            <v>San Vicente de Paul</v>
          </cell>
          <cell r="H1997" t="str">
            <v>laboratorio</v>
          </cell>
          <cell r="J1997" t="str">
            <v>muybueno</v>
          </cell>
          <cell r="K1997" t="str">
            <v>defsi</v>
          </cell>
        </row>
        <row r="1998">
          <cell r="B1998" t="b">
            <v>1</v>
          </cell>
          <cell r="E1998" t="str">
            <v>Foco Rojo</v>
          </cell>
          <cell r="H1998" t="str">
            <v>laboratorio</v>
          </cell>
          <cell r="J1998" t="str">
            <v>bueno</v>
          </cell>
          <cell r="K1998" t="str">
            <v>probsi</v>
          </cell>
        </row>
        <row r="1999">
          <cell r="B1999" t="b">
            <v>1</v>
          </cell>
          <cell r="E1999" t="str">
            <v>Foco Rojo</v>
          </cell>
          <cell r="H1999" t="str">
            <v>laboratorio</v>
          </cell>
          <cell r="J1999" t="str">
            <v>bueno</v>
          </cell>
          <cell r="K1999" t="str">
            <v>probsi</v>
          </cell>
        </row>
        <row r="2000">
          <cell r="B2000" t="b">
            <v>1</v>
          </cell>
          <cell r="E2000" t="str">
            <v>Foco Rojo</v>
          </cell>
          <cell r="H2000" t="str">
            <v>laboratorio</v>
          </cell>
          <cell r="J2000" t="str">
            <v>bueno</v>
          </cell>
          <cell r="K2000" t="str">
            <v>probsi</v>
          </cell>
        </row>
        <row r="2001">
          <cell r="B2001" t="b">
            <v>1</v>
          </cell>
          <cell r="E2001" t="str">
            <v>Foco Rojo</v>
          </cell>
          <cell r="H2001" t="str">
            <v>laboratorio</v>
          </cell>
          <cell r="J2001" t="str">
            <v>bueno</v>
          </cell>
          <cell r="K2001" t="str">
            <v>probsi</v>
          </cell>
        </row>
        <row r="2002">
          <cell r="B2002" t="b">
            <v>1</v>
          </cell>
          <cell r="E2002" t="str">
            <v>San Vicente de Paul</v>
          </cell>
          <cell r="H2002" t="str">
            <v>laboratorio</v>
          </cell>
          <cell r="J2002" t="str">
            <v>bueno</v>
          </cell>
          <cell r="K2002" t="str">
            <v>defsi</v>
          </cell>
        </row>
        <row r="2003">
          <cell r="B2003" t="b">
            <v>1</v>
          </cell>
          <cell r="E2003" t="str">
            <v>Foco Rojo</v>
          </cell>
          <cell r="H2003" t="str">
            <v>laboratorio</v>
          </cell>
          <cell r="J2003" t="str">
            <v>bueno</v>
          </cell>
          <cell r="K2003" t="str">
            <v>probsi</v>
          </cell>
        </row>
        <row r="2004">
          <cell r="B2004" t="b">
            <v>1</v>
          </cell>
          <cell r="E2004" t="str">
            <v>Foco Rojo</v>
          </cell>
          <cell r="H2004" t="str">
            <v>laboratorio</v>
          </cell>
          <cell r="J2004" t="str">
            <v>bueno</v>
          </cell>
          <cell r="K2004" t="str">
            <v>probsi</v>
          </cell>
        </row>
        <row r="2005">
          <cell r="B2005" t="b">
            <v>1</v>
          </cell>
          <cell r="E2005" t="str">
            <v>Foco Rojo</v>
          </cell>
          <cell r="H2005" t="str">
            <v>salud_oral</v>
          </cell>
          <cell r="J2005" t="str">
            <v>bueno</v>
          </cell>
          <cell r="K2005" t="str">
            <v>probsi</v>
          </cell>
        </row>
        <row r="2006">
          <cell r="B2006" t="b">
            <v>1</v>
          </cell>
          <cell r="E2006" t="str">
            <v>Foco Rojo</v>
          </cell>
          <cell r="H2006" t="str">
            <v>salud_oral</v>
          </cell>
          <cell r="J2006" t="str">
            <v>bueno</v>
          </cell>
          <cell r="K2006" t="str">
            <v>probsi</v>
          </cell>
        </row>
        <row r="2007">
          <cell r="B2007" t="b">
            <v>1</v>
          </cell>
          <cell r="E2007" t="str">
            <v>Foco Rojo</v>
          </cell>
          <cell r="H2007" t="str">
            <v>salud_oral</v>
          </cell>
          <cell r="J2007" t="str">
            <v>bueno</v>
          </cell>
          <cell r="K2007" t="str">
            <v>probsi</v>
          </cell>
        </row>
        <row r="2008">
          <cell r="B2008" t="b">
            <v>1</v>
          </cell>
          <cell r="E2008" t="str">
            <v>Foco Rojo</v>
          </cell>
          <cell r="H2008" t="str">
            <v>salud_oral</v>
          </cell>
          <cell r="J2008" t="str">
            <v>bueno</v>
          </cell>
          <cell r="K2008" t="str">
            <v>probsi</v>
          </cell>
        </row>
        <row r="2009">
          <cell r="B2009" t="b">
            <v>1</v>
          </cell>
          <cell r="E2009" t="str">
            <v>Punta Arena</v>
          </cell>
          <cell r="H2009" t="str">
            <v>consulta_externa</v>
          </cell>
          <cell r="J2009" t="str">
            <v>bueno</v>
          </cell>
          <cell r="K2009" t="str">
            <v>defsi</v>
          </cell>
        </row>
        <row r="2010">
          <cell r="B2010" t="b">
            <v>1</v>
          </cell>
          <cell r="E2010" t="str">
            <v>Foco Rojo</v>
          </cell>
          <cell r="H2010" t="str">
            <v>salud_oral</v>
          </cell>
          <cell r="J2010" t="str">
            <v>bueno</v>
          </cell>
          <cell r="K2010" t="str">
            <v>probsi</v>
          </cell>
        </row>
        <row r="2011">
          <cell r="B2011" t="b">
            <v>1</v>
          </cell>
          <cell r="E2011" t="str">
            <v>Foco Rojo</v>
          </cell>
          <cell r="H2011" t="str">
            <v>salud_oral</v>
          </cell>
          <cell r="J2011" t="str">
            <v>bueno</v>
          </cell>
          <cell r="K2011" t="str">
            <v>probsi</v>
          </cell>
        </row>
        <row r="2012">
          <cell r="B2012" t="b">
            <v>1</v>
          </cell>
          <cell r="E2012" t="str">
            <v>Foco Rojo</v>
          </cell>
          <cell r="H2012" t="str">
            <v>consulta_externa</v>
          </cell>
          <cell r="J2012" t="str">
            <v>bueno</v>
          </cell>
          <cell r="K2012" t="str">
            <v>probsi</v>
          </cell>
        </row>
        <row r="2013">
          <cell r="B2013" t="b">
            <v>1</v>
          </cell>
          <cell r="E2013" t="str">
            <v>Foco Rojo</v>
          </cell>
          <cell r="H2013" t="str">
            <v>consulta_externa</v>
          </cell>
          <cell r="J2013" t="str">
            <v>bueno</v>
          </cell>
          <cell r="K2013" t="str">
            <v>probsi</v>
          </cell>
        </row>
        <row r="2014">
          <cell r="B2014" t="b">
            <v>1</v>
          </cell>
          <cell r="E2014" t="str">
            <v>Punta Arena</v>
          </cell>
          <cell r="H2014" t="str">
            <v>salud_oral</v>
          </cell>
          <cell r="J2014" t="str">
            <v>bueno</v>
          </cell>
          <cell r="K2014" t="str">
            <v>defsi</v>
          </cell>
        </row>
        <row r="2015">
          <cell r="B2015" t="b">
            <v>1</v>
          </cell>
          <cell r="E2015" t="str">
            <v>Foco Rojo</v>
          </cell>
          <cell r="H2015" t="str">
            <v>consulta_externa</v>
          </cell>
          <cell r="J2015" t="str">
            <v>bueno</v>
          </cell>
          <cell r="K2015" t="str">
            <v>probsi</v>
          </cell>
        </row>
        <row r="2016">
          <cell r="B2016" t="b">
            <v>1</v>
          </cell>
          <cell r="E2016" t="str">
            <v>Foco Rojo</v>
          </cell>
          <cell r="H2016" t="str">
            <v>consulta_externa</v>
          </cell>
          <cell r="J2016" t="str">
            <v>bueno</v>
          </cell>
          <cell r="K2016" t="str">
            <v>probsi</v>
          </cell>
        </row>
        <row r="2017">
          <cell r="B2017" t="b">
            <v>1</v>
          </cell>
          <cell r="E2017" t="str">
            <v>Foco Rojo</v>
          </cell>
          <cell r="H2017" t="str">
            <v>consulta_externa</v>
          </cell>
          <cell r="J2017" t="str">
            <v>bueno</v>
          </cell>
          <cell r="K2017" t="str">
            <v>probsi</v>
          </cell>
        </row>
        <row r="2018">
          <cell r="B2018" t="b">
            <v>1</v>
          </cell>
          <cell r="E2018" t="str">
            <v>Foco Rojo</v>
          </cell>
          <cell r="H2018" t="str">
            <v>consulta_externa</v>
          </cell>
          <cell r="J2018" t="str">
            <v>bueno</v>
          </cell>
          <cell r="K2018" t="str">
            <v>probsi</v>
          </cell>
        </row>
        <row r="2019">
          <cell r="B2019" t="b">
            <v>1</v>
          </cell>
          <cell r="E2019" t="str">
            <v>Punta Arena</v>
          </cell>
          <cell r="H2019" t="str">
            <v>laboratorio</v>
          </cell>
          <cell r="J2019" t="str">
            <v>bueno</v>
          </cell>
          <cell r="K2019" t="str">
            <v>defsi</v>
          </cell>
        </row>
        <row r="2020">
          <cell r="B2020" t="b">
            <v>1</v>
          </cell>
          <cell r="E2020" t="str">
            <v>San Vicente de Paul</v>
          </cell>
          <cell r="H2020" t="str">
            <v>salud_oral</v>
          </cell>
          <cell r="J2020" t="str">
            <v>bueno</v>
          </cell>
          <cell r="K2020" t="str">
            <v>defsi</v>
          </cell>
        </row>
        <row r="2021">
          <cell r="B2021" t="b">
            <v>1</v>
          </cell>
          <cell r="E2021" t="str">
            <v>Baru</v>
          </cell>
          <cell r="H2021" t="str">
            <v>consulta_externa</v>
          </cell>
          <cell r="J2021" t="str">
            <v>muybueno</v>
          </cell>
          <cell r="K2021" t="str">
            <v>defsi</v>
          </cell>
        </row>
        <row r="2022">
          <cell r="B2022" t="b">
            <v>1</v>
          </cell>
          <cell r="E2022" t="str">
            <v>San Vicente de Paul</v>
          </cell>
          <cell r="H2022" t="str">
            <v>salud_oral</v>
          </cell>
          <cell r="J2022" t="str">
            <v>bueno</v>
          </cell>
          <cell r="K2022" t="str">
            <v>defsi</v>
          </cell>
        </row>
        <row r="2023">
          <cell r="B2023" t="b">
            <v>1</v>
          </cell>
          <cell r="E2023" t="str">
            <v>San Vicente de Paul</v>
          </cell>
          <cell r="H2023" t="str">
            <v>consulta_externa</v>
          </cell>
          <cell r="J2023" t="str">
            <v>bueno</v>
          </cell>
          <cell r="K2023" t="str">
            <v>defsi</v>
          </cell>
        </row>
        <row r="2024">
          <cell r="B2024" t="b">
            <v>1</v>
          </cell>
          <cell r="E2024" t="str">
            <v>Baru</v>
          </cell>
          <cell r="H2024" t="str">
            <v>laboratorio</v>
          </cell>
          <cell r="J2024" t="str">
            <v>muybueno</v>
          </cell>
          <cell r="K2024" t="str">
            <v>defsi</v>
          </cell>
        </row>
        <row r="2025">
          <cell r="B2025" t="b">
            <v>1</v>
          </cell>
          <cell r="E2025" t="str">
            <v>Foco Rojo</v>
          </cell>
          <cell r="H2025" t="str">
            <v>salud_oral</v>
          </cell>
          <cell r="J2025" t="str">
            <v>bueno</v>
          </cell>
          <cell r="K2025" t="str">
            <v>probsi</v>
          </cell>
        </row>
        <row r="2026">
          <cell r="B2026" t="b">
            <v>1</v>
          </cell>
          <cell r="E2026" t="str">
            <v>San Vicente de Paul</v>
          </cell>
          <cell r="H2026" t="str">
            <v>salud_oral</v>
          </cell>
          <cell r="J2026" t="str">
            <v>muybueno</v>
          </cell>
          <cell r="K2026" t="str">
            <v>defsi</v>
          </cell>
        </row>
        <row r="2027">
          <cell r="B2027" t="b">
            <v>1</v>
          </cell>
          <cell r="E2027" t="str">
            <v>San Vicente de Paul</v>
          </cell>
          <cell r="H2027" t="str">
            <v>consulta_externa</v>
          </cell>
          <cell r="J2027" t="str">
            <v>bueno</v>
          </cell>
          <cell r="K2027" t="str">
            <v>defsi</v>
          </cell>
        </row>
        <row r="2028">
          <cell r="B2028" t="b">
            <v>1</v>
          </cell>
          <cell r="E2028" t="str">
            <v>San Vicente de Paul</v>
          </cell>
          <cell r="H2028" t="str">
            <v>consulta_externa</v>
          </cell>
          <cell r="J2028" t="str">
            <v>bueno</v>
          </cell>
          <cell r="K2028" t="str">
            <v>defsi</v>
          </cell>
        </row>
        <row r="2029">
          <cell r="B2029" t="b">
            <v>1</v>
          </cell>
          <cell r="E2029" t="str">
            <v>San Vicente de Paul</v>
          </cell>
          <cell r="H2029" t="str">
            <v>laboratorio</v>
          </cell>
          <cell r="J2029" t="str">
            <v>bueno</v>
          </cell>
          <cell r="K2029" t="str">
            <v>defsi</v>
          </cell>
        </row>
        <row r="2030">
          <cell r="B2030" t="b">
            <v>1</v>
          </cell>
          <cell r="E2030" t="str">
            <v>San Vicente de Paul</v>
          </cell>
          <cell r="H2030" t="str">
            <v>laboratorio</v>
          </cell>
          <cell r="J2030" t="str">
            <v>bueno</v>
          </cell>
          <cell r="K2030" t="str">
            <v>defsi</v>
          </cell>
        </row>
        <row r="2031">
          <cell r="B2031" t="b">
            <v>1</v>
          </cell>
          <cell r="E2031" t="str">
            <v>San Vicente de Paul</v>
          </cell>
          <cell r="H2031" t="str">
            <v>consulta_externa</v>
          </cell>
          <cell r="J2031" t="str">
            <v>bueno</v>
          </cell>
          <cell r="K2031" t="str">
            <v>defsi</v>
          </cell>
        </row>
        <row r="2032">
          <cell r="B2032" t="b">
            <v>1</v>
          </cell>
          <cell r="E2032" t="str">
            <v>Foco Rojo</v>
          </cell>
          <cell r="H2032" t="str">
            <v>salud_oral</v>
          </cell>
          <cell r="J2032" t="str">
            <v>bueno</v>
          </cell>
          <cell r="K2032" t="str">
            <v>probsi</v>
          </cell>
        </row>
        <row r="2033">
          <cell r="B2033" t="b">
            <v>1</v>
          </cell>
          <cell r="E2033" t="str">
            <v>Foco Rojo</v>
          </cell>
          <cell r="H2033" t="str">
            <v>consulta_externa</v>
          </cell>
          <cell r="J2033" t="str">
            <v>bueno</v>
          </cell>
          <cell r="K2033" t="str">
            <v>probsi</v>
          </cell>
        </row>
        <row r="2034">
          <cell r="B2034" t="b">
            <v>1</v>
          </cell>
          <cell r="E2034" t="str">
            <v>Foco Rojo</v>
          </cell>
          <cell r="H2034" t="str">
            <v>salud_oral</v>
          </cell>
          <cell r="J2034" t="str">
            <v>bueno</v>
          </cell>
          <cell r="K2034" t="str">
            <v>probsi</v>
          </cell>
        </row>
        <row r="2035">
          <cell r="B2035" t="b">
            <v>1</v>
          </cell>
          <cell r="E2035" t="str">
            <v>Foco Rojo</v>
          </cell>
          <cell r="H2035" t="str">
            <v>laboratorio</v>
          </cell>
          <cell r="J2035" t="str">
            <v>bueno</v>
          </cell>
          <cell r="K2035" t="str">
            <v>probsi</v>
          </cell>
        </row>
        <row r="2036">
          <cell r="B2036" t="b">
            <v>1</v>
          </cell>
          <cell r="E2036" t="str">
            <v>Foco Rojo</v>
          </cell>
          <cell r="H2036" t="str">
            <v>consulta_externa</v>
          </cell>
          <cell r="J2036" t="str">
            <v>bueno</v>
          </cell>
          <cell r="K2036" t="str">
            <v>probsi</v>
          </cell>
        </row>
        <row r="2037">
          <cell r="B2037" t="b">
            <v>1</v>
          </cell>
          <cell r="E2037" t="str">
            <v>Foco Rojo</v>
          </cell>
          <cell r="H2037" t="str">
            <v>salud_oral</v>
          </cell>
          <cell r="J2037" t="str">
            <v>bueno</v>
          </cell>
          <cell r="K2037" t="str">
            <v>probsi</v>
          </cell>
        </row>
        <row r="2038">
          <cell r="B2038" t="b">
            <v>1</v>
          </cell>
          <cell r="E2038" t="str">
            <v>Baru</v>
          </cell>
          <cell r="H2038" t="str">
            <v>consulta_externa</v>
          </cell>
          <cell r="J2038" t="str">
            <v>muybueno</v>
          </cell>
          <cell r="K2038" t="str">
            <v>defsi</v>
          </cell>
        </row>
        <row r="2039">
          <cell r="B2039" t="b">
            <v>1</v>
          </cell>
          <cell r="E2039" t="str">
            <v>Baru</v>
          </cell>
          <cell r="H2039" t="str">
            <v>laboratorio</v>
          </cell>
          <cell r="J2039" t="str">
            <v>muybueno</v>
          </cell>
          <cell r="K2039" t="str">
            <v>defsi</v>
          </cell>
        </row>
        <row r="2040">
          <cell r="B2040" t="b">
            <v>1</v>
          </cell>
          <cell r="E2040" t="str">
            <v>San Pedro y Libertad</v>
          </cell>
          <cell r="H2040" t="str">
            <v>consulta_externa</v>
          </cell>
          <cell r="J2040" t="str">
            <v>bueno</v>
          </cell>
          <cell r="K2040" t="str">
            <v>defsi</v>
          </cell>
        </row>
        <row r="2041">
          <cell r="B2041" t="b">
            <v>1</v>
          </cell>
          <cell r="E2041" t="str">
            <v>Libano</v>
          </cell>
          <cell r="H2041" t="str">
            <v>consulta_externa</v>
          </cell>
          <cell r="J2041" t="str">
            <v>bueno</v>
          </cell>
          <cell r="K2041" t="str">
            <v>defsi</v>
          </cell>
        </row>
        <row r="2042">
          <cell r="B2042" t="b">
            <v>1</v>
          </cell>
          <cell r="E2042" t="str">
            <v>San Vicente de Paul</v>
          </cell>
          <cell r="H2042" t="str">
            <v>consulta_externa</v>
          </cell>
          <cell r="J2042" t="str">
            <v>bueno</v>
          </cell>
          <cell r="K2042" t="str">
            <v>defsi</v>
          </cell>
        </row>
        <row r="2043">
          <cell r="B2043" t="b">
            <v>1</v>
          </cell>
          <cell r="E2043" t="str">
            <v>San Pedro y Libertad</v>
          </cell>
          <cell r="H2043" t="str">
            <v>salud_oral</v>
          </cell>
          <cell r="J2043" t="str">
            <v>bueno</v>
          </cell>
          <cell r="K2043" t="str">
            <v>defsi</v>
          </cell>
        </row>
        <row r="2044">
          <cell r="B2044" t="b">
            <v>1</v>
          </cell>
          <cell r="E2044" t="str">
            <v>San Vicente de Paul</v>
          </cell>
          <cell r="H2044" t="str">
            <v>salud_oral</v>
          </cell>
          <cell r="J2044" t="str">
            <v>muybueno</v>
          </cell>
          <cell r="K2044" t="str">
            <v>defsi</v>
          </cell>
        </row>
        <row r="2045">
          <cell r="B2045" t="b">
            <v>1</v>
          </cell>
          <cell r="E2045" t="str">
            <v>San Pedro y Libertad</v>
          </cell>
          <cell r="H2045" t="str">
            <v>laboratorio</v>
          </cell>
          <cell r="J2045" t="str">
            <v>bueno</v>
          </cell>
          <cell r="K2045" t="str">
            <v>defsi</v>
          </cell>
        </row>
        <row r="2046">
          <cell r="B2046" t="b">
            <v>1</v>
          </cell>
          <cell r="E2046" t="str">
            <v>San Vicente de Paul</v>
          </cell>
          <cell r="H2046" t="str">
            <v>laboratorio</v>
          </cell>
          <cell r="J2046" t="str">
            <v>bueno</v>
          </cell>
          <cell r="K2046" t="str">
            <v>defsi</v>
          </cell>
        </row>
        <row r="2047">
          <cell r="B2047" t="b">
            <v>1</v>
          </cell>
          <cell r="E2047" t="str">
            <v>Libano</v>
          </cell>
          <cell r="H2047" t="str">
            <v>consulta_externa</v>
          </cell>
          <cell r="J2047" t="str">
            <v>bueno</v>
          </cell>
          <cell r="K2047" t="str">
            <v>defsi</v>
          </cell>
        </row>
        <row r="2048">
          <cell r="B2048" t="b">
            <v>1</v>
          </cell>
          <cell r="E2048" t="str">
            <v>Libano</v>
          </cell>
          <cell r="H2048" t="str">
            <v>consulta_externa</v>
          </cell>
          <cell r="J2048" t="str">
            <v>bueno</v>
          </cell>
          <cell r="K2048" t="str">
            <v>defsi</v>
          </cell>
        </row>
        <row r="2049">
          <cell r="B2049" t="b">
            <v>1</v>
          </cell>
          <cell r="E2049" t="str">
            <v>Libano</v>
          </cell>
          <cell r="H2049" t="str">
            <v>salud_oral</v>
          </cell>
          <cell r="J2049" t="str">
            <v>muybueno</v>
          </cell>
          <cell r="K2049" t="str">
            <v>defsi</v>
          </cell>
        </row>
        <row r="2050">
          <cell r="B2050" t="b">
            <v>1</v>
          </cell>
          <cell r="E2050" t="str">
            <v>Libano</v>
          </cell>
          <cell r="H2050" t="str">
            <v>laboratorio</v>
          </cell>
          <cell r="J2050" t="str">
            <v>muybueno</v>
          </cell>
          <cell r="K2050" t="str">
            <v>defsi</v>
          </cell>
        </row>
        <row r="2051">
          <cell r="B2051" t="b">
            <v>1</v>
          </cell>
          <cell r="E2051" t="str">
            <v>Libano</v>
          </cell>
          <cell r="H2051" t="str">
            <v>laboratorio</v>
          </cell>
          <cell r="J2051" t="str">
            <v>bueno</v>
          </cell>
          <cell r="K2051" t="str">
            <v>defsi</v>
          </cell>
        </row>
        <row r="2052">
          <cell r="B2052" t="b">
            <v>1</v>
          </cell>
          <cell r="E2052" t="str">
            <v>Libano</v>
          </cell>
          <cell r="H2052" t="str">
            <v>consulta_externa</v>
          </cell>
          <cell r="J2052" t="str">
            <v>bueno</v>
          </cell>
          <cell r="K2052" t="str">
            <v>defsi</v>
          </cell>
        </row>
        <row r="2053">
          <cell r="B2053" t="b">
            <v>1</v>
          </cell>
          <cell r="E2053" t="str">
            <v>San Pedro y Libertad</v>
          </cell>
          <cell r="H2053" t="str">
            <v>consulta_externa</v>
          </cell>
          <cell r="J2053" t="str">
            <v>bueno</v>
          </cell>
          <cell r="K2053" t="str">
            <v>defsi</v>
          </cell>
        </row>
        <row r="2054">
          <cell r="B2054" t="b">
            <v>1</v>
          </cell>
          <cell r="E2054" t="str">
            <v>Libano</v>
          </cell>
          <cell r="H2054" t="str">
            <v>consulta_externa</v>
          </cell>
          <cell r="J2054" t="str">
            <v>muybueno</v>
          </cell>
          <cell r="K2054" t="str">
            <v>defsi</v>
          </cell>
        </row>
        <row r="2055">
          <cell r="B2055" t="b">
            <v>1</v>
          </cell>
          <cell r="E2055" t="str">
            <v>San Pedro y Libertad</v>
          </cell>
          <cell r="H2055" t="str">
            <v>salud_oral</v>
          </cell>
          <cell r="J2055" t="str">
            <v>bueno</v>
          </cell>
          <cell r="K2055" t="str">
            <v>defsi</v>
          </cell>
        </row>
        <row r="2056">
          <cell r="B2056" t="b">
            <v>1</v>
          </cell>
          <cell r="E2056" t="str">
            <v>San Pedro y Libertad</v>
          </cell>
          <cell r="H2056" t="str">
            <v>laboratorio</v>
          </cell>
          <cell r="J2056" t="str">
            <v>bueno</v>
          </cell>
          <cell r="K2056" t="str">
            <v>defsi</v>
          </cell>
        </row>
        <row r="2057">
          <cell r="B2057" t="b">
            <v>1</v>
          </cell>
          <cell r="E2057" t="str">
            <v>San Pedro y Libertad</v>
          </cell>
          <cell r="H2057" t="str">
            <v>consulta_externa</v>
          </cell>
          <cell r="J2057" t="str">
            <v>bueno</v>
          </cell>
          <cell r="K2057" t="str">
            <v>defsi</v>
          </cell>
        </row>
        <row r="2058">
          <cell r="B2058" t="b">
            <v>1</v>
          </cell>
          <cell r="E2058" t="str">
            <v>San Pedro y Libertad</v>
          </cell>
          <cell r="H2058" t="str">
            <v>salud_oral</v>
          </cell>
          <cell r="J2058" t="str">
            <v>bueno</v>
          </cell>
          <cell r="K2058" t="str">
            <v>defsi</v>
          </cell>
        </row>
        <row r="2059">
          <cell r="B2059" t="b">
            <v>1</v>
          </cell>
          <cell r="E2059" t="str">
            <v>San Pedro y Libertad</v>
          </cell>
          <cell r="H2059" t="str">
            <v>laboratorio</v>
          </cell>
          <cell r="J2059" t="str">
            <v>bueno</v>
          </cell>
          <cell r="K2059" t="str">
            <v>defsi</v>
          </cell>
        </row>
        <row r="2060">
          <cell r="B2060" t="b">
            <v>1</v>
          </cell>
          <cell r="E2060" t="str">
            <v>San Pedro y Libertad</v>
          </cell>
          <cell r="H2060" t="str">
            <v>consulta_externa</v>
          </cell>
          <cell r="J2060" t="str">
            <v>bueno</v>
          </cell>
          <cell r="K2060" t="str">
            <v>defsi</v>
          </cell>
        </row>
        <row r="2061">
          <cell r="B2061" t="b">
            <v>1</v>
          </cell>
          <cell r="E2061" t="str">
            <v>San Pedro y Libertad</v>
          </cell>
          <cell r="H2061" t="str">
            <v>salud_oral</v>
          </cell>
          <cell r="J2061" t="str">
            <v>bueno</v>
          </cell>
          <cell r="K2061" t="str">
            <v>defsi</v>
          </cell>
        </row>
        <row r="2062">
          <cell r="B2062" t="b">
            <v>1</v>
          </cell>
          <cell r="E2062" t="str">
            <v>San Pedro y Libertad</v>
          </cell>
          <cell r="H2062" t="str">
            <v>laboratorio</v>
          </cell>
          <cell r="J2062" t="str">
            <v>bueno</v>
          </cell>
          <cell r="K2062" t="str">
            <v>defsi</v>
          </cell>
        </row>
        <row r="2063">
          <cell r="B2063" t="b">
            <v>1</v>
          </cell>
          <cell r="E2063" t="str">
            <v>Libano</v>
          </cell>
          <cell r="H2063" t="str">
            <v>laboratorio</v>
          </cell>
          <cell r="J2063" t="str">
            <v>bueno</v>
          </cell>
          <cell r="K2063" t="str">
            <v>defsi</v>
          </cell>
        </row>
        <row r="2064">
          <cell r="B2064" t="b">
            <v>1</v>
          </cell>
          <cell r="E2064" t="str">
            <v>Libano</v>
          </cell>
          <cell r="H2064" t="str">
            <v>consulta_externa</v>
          </cell>
          <cell r="J2064" t="str">
            <v>bueno</v>
          </cell>
          <cell r="K2064" t="str">
            <v>defsi</v>
          </cell>
        </row>
        <row r="2065">
          <cell r="B2065" t="b">
            <v>1</v>
          </cell>
          <cell r="E2065" t="str">
            <v>Libano</v>
          </cell>
          <cell r="H2065" t="str">
            <v>laboratorio</v>
          </cell>
          <cell r="J2065" t="str">
            <v>bueno</v>
          </cell>
          <cell r="K2065" t="str">
            <v>defsi</v>
          </cell>
        </row>
        <row r="2066">
          <cell r="B2066" t="b">
            <v>1</v>
          </cell>
          <cell r="E2066" t="str">
            <v>Libano</v>
          </cell>
          <cell r="H2066" t="str">
            <v>laboratorio</v>
          </cell>
          <cell r="J2066" t="str">
            <v>bueno</v>
          </cell>
          <cell r="K2066" t="str">
            <v>defsi</v>
          </cell>
        </row>
        <row r="2067">
          <cell r="B2067" t="b">
            <v>1</v>
          </cell>
          <cell r="E2067" t="str">
            <v>Libano</v>
          </cell>
          <cell r="H2067" t="str">
            <v>laboratorio</v>
          </cell>
          <cell r="J2067" t="str">
            <v>bueno</v>
          </cell>
          <cell r="K2067" t="str">
            <v>defsi</v>
          </cell>
        </row>
        <row r="2068">
          <cell r="B2068" t="b">
            <v>1</v>
          </cell>
          <cell r="E2068" t="str">
            <v>Libano</v>
          </cell>
          <cell r="H2068" t="str">
            <v>laboratorio</v>
          </cell>
          <cell r="J2068" t="str">
            <v>bueno</v>
          </cell>
          <cell r="K2068" t="str">
            <v>defsi</v>
          </cell>
        </row>
        <row r="2069">
          <cell r="B2069" t="b">
            <v>0</v>
          </cell>
          <cell r="E2069" t="str">
            <v>Libano</v>
          </cell>
          <cell r="H2069" t="str">
            <v>laboratorio</v>
          </cell>
          <cell r="J2069" t="str">
            <v>regular</v>
          </cell>
          <cell r="K2069" t="str">
            <v>defsi</v>
          </cell>
        </row>
        <row r="2070">
          <cell r="B2070" t="b">
            <v>1</v>
          </cell>
          <cell r="E2070" t="str">
            <v>Libano</v>
          </cell>
          <cell r="H2070" t="str">
            <v>consulta_externa</v>
          </cell>
          <cell r="J2070" t="str">
            <v>bueno</v>
          </cell>
          <cell r="K2070" t="str">
            <v>defsi</v>
          </cell>
        </row>
        <row r="2071">
          <cell r="B2071" t="b">
            <v>1</v>
          </cell>
          <cell r="E2071" t="str">
            <v>Libano</v>
          </cell>
          <cell r="H2071" t="str">
            <v>consulta_externa</v>
          </cell>
          <cell r="J2071" t="str">
            <v>bueno</v>
          </cell>
          <cell r="K2071" t="str">
            <v>defsi</v>
          </cell>
        </row>
        <row r="2072">
          <cell r="B2072" t="b">
            <v>1</v>
          </cell>
          <cell r="E2072" t="str">
            <v>Libano</v>
          </cell>
          <cell r="H2072" t="str">
            <v>salud_oral</v>
          </cell>
          <cell r="J2072" t="str">
            <v>bueno</v>
          </cell>
          <cell r="K2072" t="str">
            <v>defsi</v>
          </cell>
        </row>
        <row r="2073">
          <cell r="B2073" t="b">
            <v>1</v>
          </cell>
          <cell r="E2073" t="str">
            <v>Libano</v>
          </cell>
          <cell r="H2073" t="str">
            <v>salud_oral</v>
          </cell>
          <cell r="J2073" t="str">
            <v>bueno</v>
          </cell>
          <cell r="K2073" t="str">
            <v>defsi</v>
          </cell>
        </row>
        <row r="2074">
          <cell r="B2074" t="b">
            <v>1</v>
          </cell>
          <cell r="E2074" t="str">
            <v>Libano</v>
          </cell>
          <cell r="H2074" t="str">
            <v>laboratorio</v>
          </cell>
          <cell r="J2074" t="str">
            <v>bueno</v>
          </cell>
          <cell r="K2074" t="str">
            <v>defsi</v>
          </cell>
        </row>
        <row r="2075">
          <cell r="B2075" t="b">
            <v>1</v>
          </cell>
          <cell r="E2075" t="str">
            <v>Libano</v>
          </cell>
          <cell r="H2075" t="str">
            <v>salud_oral</v>
          </cell>
          <cell r="J2075" t="str">
            <v>bueno</v>
          </cell>
          <cell r="K2075" t="str">
            <v>defsi</v>
          </cell>
        </row>
        <row r="2076">
          <cell r="B2076" t="b">
            <v>1</v>
          </cell>
          <cell r="E2076" t="str">
            <v>San Pedro y Libertad</v>
          </cell>
          <cell r="H2076" t="str">
            <v>consulta_externa</v>
          </cell>
          <cell r="J2076" t="str">
            <v>bueno</v>
          </cell>
          <cell r="K2076" t="str">
            <v>defsi</v>
          </cell>
        </row>
        <row r="2077">
          <cell r="B2077" t="b">
            <v>1</v>
          </cell>
          <cell r="E2077" t="str">
            <v>San Pedro y Libertad</v>
          </cell>
          <cell r="H2077" t="str">
            <v>salud_oral</v>
          </cell>
          <cell r="J2077" t="str">
            <v>bueno</v>
          </cell>
          <cell r="K2077" t="str">
            <v>defsi</v>
          </cell>
        </row>
        <row r="2078">
          <cell r="B2078" t="b">
            <v>1</v>
          </cell>
          <cell r="E2078" t="str">
            <v>San Pedro y Libertad</v>
          </cell>
          <cell r="H2078" t="str">
            <v>laboratorio</v>
          </cell>
          <cell r="J2078" t="str">
            <v>bueno</v>
          </cell>
          <cell r="K2078" t="str">
            <v>defsi</v>
          </cell>
        </row>
        <row r="2079">
          <cell r="B2079" t="b">
            <v>1</v>
          </cell>
          <cell r="E2079" t="str">
            <v>San Pedro y Libertad</v>
          </cell>
          <cell r="H2079" t="str">
            <v>consulta_externa</v>
          </cell>
          <cell r="J2079" t="str">
            <v>bueno</v>
          </cell>
          <cell r="K2079" t="str">
            <v>defsi</v>
          </cell>
        </row>
        <row r="2080">
          <cell r="B2080" t="b">
            <v>1</v>
          </cell>
          <cell r="E2080" t="str">
            <v>Libano</v>
          </cell>
          <cell r="H2080" t="str">
            <v>salud_oral</v>
          </cell>
          <cell r="J2080" t="str">
            <v>bueno</v>
          </cell>
          <cell r="K2080" t="str">
            <v>defsi</v>
          </cell>
        </row>
        <row r="2081">
          <cell r="B2081" t="b">
            <v>1</v>
          </cell>
          <cell r="E2081" t="str">
            <v>Libano</v>
          </cell>
          <cell r="H2081" t="str">
            <v>consulta_externa</v>
          </cell>
          <cell r="J2081" t="str">
            <v>bueno</v>
          </cell>
          <cell r="K2081" t="str">
            <v>defsi</v>
          </cell>
        </row>
        <row r="2082">
          <cell r="B2082" t="b">
            <v>1</v>
          </cell>
          <cell r="E2082" t="str">
            <v>Libano</v>
          </cell>
          <cell r="H2082" t="str">
            <v>salud_oral</v>
          </cell>
          <cell r="J2082" t="str">
            <v>muybueno</v>
          </cell>
          <cell r="K2082" t="str">
            <v>defsi</v>
          </cell>
        </row>
        <row r="2083">
          <cell r="B2083" t="b">
            <v>1</v>
          </cell>
          <cell r="E2083" t="str">
            <v>Libano</v>
          </cell>
          <cell r="H2083" t="str">
            <v>salud_oral</v>
          </cell>
          <cell r="J2083" t="str">
            <v>bueno</v>
          </cell>
          <cell r="K2083" t="str">
            <v>probsi</v>
          </cell>
        </row>
        <row r="2084">
          <cell r="B2084" t="b">
            <v>1</v>
          </cell>
          <cell r="E2084" t="str">
            <v>Libano</v>
          </cell>
          <cell r="H2084" t="str">
            <v>laboratorio</v>
          </cell>
          <cell r="J2084" t="str">
            <v>bueno</v>
          </cell>
          <cell r="K2084" t="str">
            <v>defsi</v>
          </cell>
        </row>
        <row r="2085">
          <cell r="B2085" t="b">
            <v>1</v>
          </cell>
          <cell r="E2085" t="str">
            <v>Libano</v>
          </cell>
          <cell r="H2085" t="str">
            <v>laboratorio</v>
          </cell>
          <cell r="J2085" t="str">
            <v>bueno</v>
          </cell>
          <cell r="K2085" t="str">
            <v>defsi</v>
          </cell>
        </row>
        <row r="2086">
          <cell r="B2086" t="b">
            <v>1</v>
          </cell>
          <cell r="E2086" t="str">
            <v>Punta Arena</v>
          </cell>
          <cell r="H2086" t="str">
            <v>consulta_externa</v>
          </cell>
          <cell r="J2086" t="str">
            <v>bueno</v>
          </cell>
          <cell r="K2086" t="str">
            <v>probsi</v>
          </cell>
        </row>
        <row r="2087">
          <cell r="B2087" t="b">
            <v>1</v>
          </cell>
          <cell r="E2087" t="str">
            <v>Punta Arena</v>
          </cell>
          <cell r="H2087" t="str">
            <v>consulta_externa</v>
          </cell>
          <cell r="J2087" t="str">
            <v>bueno</v>
          </cell>
          <cell r="K2087" t="str">
            <v>probsi</v>
          </cell>
        </row>
        <row r="2088">
          <cell r="B2088" t="b">
            <v>1</v>
          </cell>
          <cell r="E2088" t="str">
            <v>San Pedro y Libertad</v>
          </cell>
          <cell r="H2088" t="str">
            <v>consulta_externa</v>
          </cell>
          <cell r="J2088" t="str">
            <v>bueno</v>
          </cell>
          <cell r="K2088" t="str">
            <v>defsi</v>
          </cell>
        </row>
        <row r="2089">
          <cell r="B2089" t="b">
            <v>1</v>
          </cell>
          <cell r="E2089" t="str">
            <v>San Pedro y Libertad</v>
          </cell>
          <cell r="H2089" t="str">
            <v>salud_oral</v>
          </cell>
          <cell r="J2089" t="str">
            <v>bueno</v>
          </cell>
          <cell r="K2089" t="str">
            <v>defsi</v>
          </cell>
        </row>
        <row r="2090">
          <cell r="B2090" t="b">
            <v>1</v>
          </cell>
          <cell r="E2090" t="str">
            <v>San Pedro y Libertad</v>
          </cell>
          <cell r="H2090" t="str">
            <v>laboratorio</v>
          </cell>
          <cell r="J2090" t="str">
            <v>bueno</v>
          </cell>
          <cell r="K2090" t="str">
            <v>defsi</v>
          </cell>
        </row>
        <row r="2091">
          <cell r="B2091" t="b">
            <v>1</v>
          </cell>
          <cell r="E2091" t="str">
            <v>Baru</v>
          </cell>
          <cell r="H2091" t="str">
            <v>urgencia</v>
          </cell>
          <cell r="J2091" t="str">
            <v>muybueno</v>
          </cell>
          <cell r="K2091" t="str">
            <v>defsi</v>
          </cell>
        </row>
        <row r="2092">
          <cell r="B2092" t="b">
            <v>1</v>
          </cell>
          <cell r="E2092" t="str">
            <v>San Pedro y Libertad</v>
          </cell>
          <cell r="H2092" t="str">
            <v>consulta_externa</v>
          </cell>
          <cell r="J2092" t="str">
            <v>bueno</v>
          </cell>
          <cell r="K2092" t="str">
            <v>defsi</v>
          </cell>
        </row>
        <row r="2093">
          <cell r="B2093" t="b">
            <v>1</v>
          </cell>
          <cell r="E2093" t="str">
            <v>San Pedro y Libertad</v>
          </cell>
          <cell r="H2093" t="str">
            <v>salud_oral</v>
          </cell>
          <cell r="J2093" t="str">
            <v>bueno</v>
          </cell>
          <cell r="K2093" t="str">
            <v>defsi</v>
          </cell>
        </row>
        <row r="2094">
          <cell r="B2094" t="b">
            <v>1</v>
          </cell>
          <cell r="E2094" t="str">
            <v>San Pedro y Libertad</v>
          </cell>
          <cell r="H2094" t="str">
            <v>laboratorio</v>
          </cell>
          <cell r="J2094" t="str">
            <v>bueno</v>
          </cell>
          <cell r="K2094" t="str">
            <v>defsi</v>
          </cell>
        </row>
        <row r="2095">
          <cell r="B2095" t="b">
            <v>1</v>
          </cell>
          <cell r="E2095" t="str">
            <v>San Pedro y Libertad</v>
          </cell>
          <cell r="H2095" t="str">
            <v>consulta_externa</v>
          </cell>
          <cell r="J2095" t="str">
            <v>bueno</v>
          </cell>
          <cell r="K2095" t="str">
            <v>defsi</v>
          </cell>
        </row>
        <row r="2096">
          <cell r="B2096" t="b">
            <v>1</v>
          </cell>
          <cell r="E2096" t="str">
            <v>San Pedro y Libertad</v>
          </cell>
          <cell r="H2096" t="str">
            <v>consulta_externa</v>
          </cell>
          <cell r="J2096" t="str">
            <v>bueno</v>
          </cell>
          <cell r="K2096" t="str">
            <v>defsi</v>
          </cell>
        </row>
        <row r="2097">
          <cell r="B2097" t="b">
            <v>1</v>
          </cell>
          <cell r="E2097" t="str">
            <v>San Pedro y Libertad</v>
          </cell>
          <cell r="H2097" t="str">
            <v>salud_oral</v>
          </cell>
          <cell r="J2097" t="str">
            <v>bueno</v>
          </cell>
          <cell r="K2097" t="str">
            <v>defsi</v>
          </cell>
        </row>
        <row r="2098">
          <cell r="B2098" t="b">
            <v>1</v>
          </cell>
          <cell r="E2098" t="str">
            <v>San Pedro y Libertad</v>
          </cell>
          <cell r="H2098" t="str">
            <v>laboratorio</v>
          </cell>
          <cell r="J2098" t="str">
            <v>bueno</v>
          </cell>
          <cell r="K2098" t="str">
            <v>defsi</v>
          </cell>
        </row>
        <row r="2099">
          <cell r="B2099" t="b">
            <v>1</v>
          </cell>
          <cell r="E2099" t="str">
            <v>San Pedro y Libertad</v>
          </cell>
          <cell r="H2099" t="str">
            <v>consulta_externa</v>
          </cell>
          <cell r="J2099" t="str">
            <v>bueno</v>
          </cell>
          <cell r="K2099" t="str">
            <v>defsi</v>
          </cell>
        </row>
        <row r="2100">
          <cell r="B2100" t="b">
            <v>1</v>
          </cell>
          <cell r="E2100" t="str">
            <v>San Pedro y Libertad</v>
          </cell>
          <cell r="H2100" t="str">
            <v>laboratorio</v>
          </cell>
          <cell r="J2100" t="str">
            <v>bueno</v>
          </cell>
          <cell r="K2100" t="str">
            <v>defsi</v>
          </cell>
        </row>
        <row r="2101">
          <cell r="B2101" t="b">
            <v>1</v>
          </cell>
          <cell r="E2101" t="str">
            <v>San Pedro y Libertad</v>
          </cell>
          <cell r="H2101" t="str">
            <v>consulta_externa</v>
          </cell>
          <cell r="J2101" t="str">
            <v>bueno</v>
          </cell>
          <cell r="K2101" t="str">
            <v>defsi</v>
          </cell>
        </row>
        <row r="2102">
          <cell r="B2102" t="b">
            <v>1</v>
          </cell>
          <cell r="E2102" t="str">
            <v>San Pedro y Libertad</v>
          </cell>
          <cell r="H2102" t="str">
            <v>salud_oral</v>
          </cell>
          <cell r="J2102" t="str">
            <v>bueno</v>
          </cell>
          <cell r="K2102" t="str">
            <v>defsi</v>
          </cell>
        </row>
        <row r="2103">
          <cell r="B2103" t="b">
            <v>1</v>
          </cell>
          <cell r="E2103" t="str">
            <v>San Pedro y Libertad</v>
          </cell>
          <cell r="H2103" t="str">
            <v>laboratorio</v>
          </cell>
          <cell r="J2103" t="str">
            <v>bueno</v>
          </cell>
          <cell r="K2103" t="str">
            <v>defsi</v>
          </cell>
        </row>
        <row r="2104">
          <cell r="B2104" t="b">
            <v>1</v>
          </cell>
          <cell r="E2104" t="str">
            <v>Libano</v>
          </cell>
          <cell r="H2104" t="str">
            <v>pediatria</v>
          </cell>
          <cell r="J2104" t="str">
            <v>bueno</v>
          </cell>
          <cell r="K2104" t="str">
            <v>defsi</v>
          </cell>
        </row>
        <row r="2105">
          <cell r="B2105" t="b">
            <v>1</v>
          </cell>
          <cell r="E2105" t="str">
            <v>Libano</v>
          </cell>
          <cell r="H2105" t="str">
            <v>pediatria</v>
          </cell>
          <cell r="J2105" t="str">
            <v>bueno</v>
          </cell>
          <cell r="K2105" t="str">
            <v>defsi</v>
          </cell>
        </row>
        <row r="2106">
          <cell r="B2106" t="b">
            <v>1</v>
          </cell>
          <cell r="E2106" t="str">
            <v>Libano</v>
          </cell>
          <cell r="H2106" t="str">
            <v>pediatria</v>
          </cell>
          <cell r="J2106" t="str">
            <v>bueno</v>
          </cell>
          <cell r="K2106" t="str">
            <v>defsi</v>
          </cell>
        </row>
        <row r="2107">
          <cell r="B2107" t="b">
            <v>0</v>
          </cell>
          <cell r="E2107" t="str">
            <v>Libano</v>
          </cell>
          <cell r="H2107" t="str">
            <v>pediatria</v>
          </cell>
          <cell r="J2107" t="str">
            <v>regular</v>
          </cell>
          <cell r="K2107" t="str">
            <v>defsi</v>
          </cell>
        </row>
        <row r="2108">
          <cell r="B2108" t="b">
            <v>1</v>
          </cell>
          <cell r="E2108" t="str">
            <v>Libano</v>
          </cell>
          <cell r="H2108" t="str">
            <v>ecografias</v>
          </cell>
          <cell r="J2108" t="str">
            <v>muybueno</v>
          </cell>
          <cell r="K2108" t="str">
            <v>defsi</v>
          </cell>
        </row>
        <row r="2109">
          <cell r="B2109" t="b">
            <v>1</v>
          </cell>
          <cell r="E2109" t="str">
            <v>Libano</v>
          </cell>
          <cell r="H2109" t="str">
            <v>laboratorio</v>
          </cell>
          <cell r="J2109" t="str">
            <v>bueno</v>
          </cell>
          <cell r="K2109" t="str">
            <v>defsi</v>
          </cell>
        </row>
        <row r="2110">
          <cell r="B2110" t="b">
            <v>0</v>
          </cell>
          <cell r="E2110" t="str">
            <v>Libano</v>
          </cell>
          <cell r="H2110" t="str">
            <v>laboratorio</v>
          </cell>
          <cell r="J2110" t="str">
            <v>regular</v>
          </cell>
          <cell r="K2110" t="str">
            <v>defsi</v>
          </cell>
        </row>
        <row r="2111">
          <cell r="B2111" t="b">
            <v>1</v>
          </cell>
          <cell r="E2111" t="str">
            <v>Libano</v>
          </cell>
          <cell r="H2111" t="str">
            <v>consulta_externa</v>
          </cell>
          <cell r="J2111" t="str">
            <v>bueno</v>
          </cell>
          <cell r="K2111" t="str">
            <v>defsi</v>
          </cell>
        </row>
        <row r="2112">
          <cell r="B2112" t="b">
            <v>1</v>
          </cell>
          <cell r="E2112" t="str">
            <v>Libano</v>
          </cell>
          <cell r="H2112" t="str">
            <v>salud_oral</v>
          </cell>
          <cell r="J2112" t="str">
            <v>bueno</v>
          </cell>
          <cell r="K2112" t="str">
            <v>defsi</v>
          </cell>
        </row>
        <row r="2113">
          <cell r="B2113" t="b">
            <v>1</v>
          </cell>
          <cell r="E2113" t="str">
            <v>Libano</v>
          </cell>
          <cell r="H2113" t="str">
            <v>salud_oral</v>
          </cell>
          <cell r="J2113" t="str">
            <v>bueno</v>
          </cell>
          <cell r="K2113" t="str">
            <v>defsi</v>
          </cell>
        </row>
        <row r="2114">
          <cell r="B2114" t="b">
            <v>1</v>
          </cell>
          <cell r="E2114" t="str">
            <v>Libano</v>
          </cell>
          <cell r="H2114" t="str">
            <v>consulta_externa</v>
          </cell>
          <cell r="J2114" t="str">
            <v>bueno</v>
          </cell>
          <cell r="K2114" t="str">
            <v>defsi</v>
          </cell>
        </row>
        <row r="2115">
          <cell r="B2115" t="b">
            <v>1</v>
          </cell>
          <cell r="E2115" t="str">
            <v>Libano</v>
          </cell>
          <cell r="H2115" t="str">
            <v>laboratorio</v>
          </cell>
          <cell r="J2115" t="str">
            <v>bueno</v>
          </cell>
          <cell r="K2115" t="str">
            <v>defsi</v>
          </cell>
        </row>
        <row r="2116">
          <cell r="B2116" t="b">
            <v>1</v>
          </cell>
          <cell r="E2116" t="str">
            <v>Libano</v>
          </cell>
          <cell r="H2116" t="str">
            <v>laboratorio</v>
          </cell>
          <cell r="J2116" t="str">
            <v>bueno</v>
          </cell>
          <cell r="K2116" t="str">
            <v>defsi</v>
          </cell>
        </row>
        <row r="2117">
          <cell r="B2117" t="b">
            <v>1</v>
          </cell>
          <cell r="E2117" t="str">
            <v>Libano</v>
          </cell>
          <cell r="H2117" t="str">
            <v>consulta_externa</v>
          </cell>
          <cell r="J2117" t="str">
            <v>bueno</v>
          </cell>
          <cell r="K2117" t="str">
            <v>defsi</v>
          </cell>
        </row>
        <row r="2118">
          <cell r="B2118" t="b">
            <v>1</v>
          </cell>
          <cell r="E2118" t="str">
            <v>San Pedro y Libertad</v>
          </cell>
          <cell r="H2118" t="str">
            <v>consulta_externa</v>
          </cell>
          <cell r="J2118" t="str">
            <v>bueno</v>
          </cell>
          <cell r="K2118" t="str">
            <v>defsi</v>
          </cell>
        </row>
        <row r="2119">
          <cell r="B2119" t="b">
            <v>1</v>
          </cell>
          <cell r="E2119" t="str">
            <v>San Pedro y Libertad</v>
          </cell>
          <cell r="H2119" t="str">
            <v>consulta_externa</v>
          </cell>
          <cell r="J2119" t="str">
            <v>bueno</v>
          </cell>
          <cell r="K2119" t="str">
            <v>defsi</v>
          </cell>
        </row>
        <row r="2120">
          <cell r="B2120" t="b">
            <v>1</v>
          </cell>
          <cell r="E2120" t="str">
            <v>San Pedro y Libertad</v>
          </cell>
          <cell r="H2120" t="str">
            <v>consulta_externa</v>
          </cell>
          <cell r="J2120" t="str">
            <v>bueno</v>
          </cell>
          <cell r="K2120" t="str">
            <v>defsi</v>
          </cell>
        </row>
        <row r="2121">
          <cell r="B2121" t="b">
            <v>1</v>
          </cell>
          <cell r="E2121" t="str">
            <v>Libano</v>
          </cell>
          <cell r="H2121" t="str">
            <v>pediatria</v>
          </cell>
          <cell r="J2121" t="str">
            <v>bueno</v>
          </cell>
          <cell r="K2121" t="str">
            <v>defsi</v>
          </cell>
        </row>
        <row r="2122">
          <cell r="B2122" t="b">
            <v>1</v>
          </cell>
          <cell r="E2122" t="str">
            <v>San Pedro y Libertad</v>
          </cell>
          <cell r="H2122" t="str">
            <v>salud_oral</v>
          </cell>
          <cell r="J2122" t="str">
            <v>bueno</v>
          </cell>
          <cell r="K2122" t="str">
            <v>defsi</v>
          </cell>
        </row>
        <row r="2123">
          <cell r="B2123" t="b">
            <v>1</v>
          </cell>
          <cell r="E2123" t="str">
            <v>Libano</v>
          </cell>
          <cell r="H2123" t="str">
            <v>pediatria</v>
          </cell>
          <cell r="J2123" t="str">
            <v>bueno</v>
          </cell>
          <cell r="K2123" t="str">
            <v>defsi</v>
          </cell>
        </row>
        <row r="2124">
          <cell r="B2124" t="b">
            <v>1</v>
          </cell>
          <cell r="E2124" t="str">
            <v>San Pedro y Libertad</v>
          </cell>
          <cell r="H2124" t="str">
            <v>laboratorio</v>
          </cell>
          <cell r="J2124" t="str">
            <v>bueno</v>
          </cell>
          <cell r="K2124" t="str">
            <v>defsi</v>
          </cell>
        </row>
        <row r="2125">
          <cell r="B2125" t="b">
            <v>1</v>
          </cell>
          <cell r="E2125" t="str">
            <v>Libano</v>
          </cell>
          <cell r="H2125" t="str">
            <v>consulta_externa</v>
          </cell>
          <cell r="J2125" t="str">
            <v>bueno</v>
          </cell>
          <cell r="K2125" t="str">
            <v>defsi</v>
          </cell>
        </row>
        <row r="2126">
          <cell r="B2126" t="b">
            <v>1</v>
          </cell>
          <cell r="E2126" t="str">
            <v>Libano</v>
          </cell>
          <cell r="H2126" t="str">
            <v>salud_oral</v>
          </cell>
          <cell r="J2126" t="str">
            <v>bueno</v>
          </cell>
          <cell r="K2126" t="str">
            <v>defsi</v>
          </cell>
        </row>
        <row r="2127">
          <cell r="B2127" t="b">
            <v>1</v>
          </cell>
          <cell r="E2127" t="str">
            <v>Libano</v>
          </cell>
          <cell r="H2127" t="str">
            <v>pediatria</v>
          </cell>
          <cell r="J2127" t="str">
            <v>bueno</v>
          </cell>
          <cell r="K2127" t="str">
            <v>defsi</v>
          </cell>
        </row>
        <row r="2128">
          <cell r="B2128" t="b">
            <v>1</v>
          </cell>
          <cell r="E2128" t="str">
            <v>Libano</v>
          </cell>
          <cell r="H2128" t="str">
            <v>ginecologia</v>
          </cell>
          <cell r="J2128" t="str">
            <v>bueno</v>
          </cell>
          <cell r="K2128" t="str">
            <v>defsi</v>
          </cell>
        </row>
        <row r="2129">
          <cell r="B2129" t="b">
            <v>1</v>
          </cell>
          <cell r="E2129" t="str">
            <v>Libano</v>
          </cell>
          <cell r="H2129" t="str">
            <v>salud_oral</v>
          </cell>
          <cell r="J2129" t="str">
            <v>bueno</v>
          </cell>
          <cell r="K2129" t="str">
            <v>defsi</v>
          </cell>
        </row>
        <row r="2130">
          <cell r="B2130" t="b">
            <v>1</v>
          </cell>
          <cell r="E2130" t="str">
            <v>Libano</v>
          </cell>
          <cell r="H2130" t="str">
            <v>salud_oral</v>
          </cell>
          <cell r="J2130" t="str">
            <v>bueno</v>
          </cell>
          <cell r="K2130" t="str">
            <v>defsi</v>
          </cell>
        </row>
        <row r="2131">
          <cell r="B2131" t="b">
            <v>1</v>
          </cell>
          <cell r="E2131" t="str">
            <v>Libano</v>
          </cell>
          <cell r="H2131" t="str">
            <v>salud_oral</v>
          </cell>
          <cell r="J2131" t="str">
            <v>bueno</v>
          </cell>
          <cell r="K2131" t="str">
            <v>defsi</v>
          </cell>
        </row>
        <row r="2132">
          <cell r="B2132" t="b">
            <v>1</v>
          </cell>
          <cell r="E2132" t="str">
            <v>Libano</v>
          </cell>
          <cell r="H2132" t="str">
            <v>pediatria</v>
          </cell>
          <cell r="J2132" t="str">
            <v>bueno</v>
          </cell>
          <cell r="K2132" t="str">
            <v>defsi</v>
          </cell>
        </row>
        <row r="2133">
          <cell r="B2133" t="b">
            <v>1</v>
          </cell>
          <cell r="E2133" t="str">
            <v>Libano</v>
          </cell>
          <cell r="H2133" t="str">
            <v>pediatria</v>
          </cell>
          <cell r="J2133" t="str">
            <v>muybueno</v>
          </cell>
          <cell r="K2133" t="str">
            <v>defsi</v>
          </cell>
        </row>
        <row r="2134">
          <cell r="B2134" t="b">
            <v>1</v>
          </cell>
          <cell r="E2134" t="str">
            <v>Baru</v>
          </cell>
          <cell r="H2134" t="str">
            <v>consulta_externa</v>
          </cell>
          <cell r="J2134" t="str">
            <v>muybueno</v>
          </cell>
          <cell r="K2134" t="str">
            <v>defsi</v>
          </cell>
        </row>
        <row r="2135">
          <cell r="B2135" t="b">
            <v>1</v>
          </cell>
          <cell r="E2135" t="str">
            <v>Baru</v>
          </cell>
          <cell r="H2135" t="str">
            <v>laboratorio</v>
          </cell>
          <cell r="J2135" t="str">
            <v>muybueno</v>
          </cell>
          <cell r="K2135" t="str">
            <v>defsi</v>
          </cell>
        </row>
        <row r="2136">
          <cell r="B2136" t="b">
            <v>1</v>
          </cell>
          <cell r="E2136" t="str">
            <v>Baru</v>
          </cell>
          <cell r="H2136" t="str">
            <v>salud_oral</v>
          </cell>
          <cell r="J2136" t="str">
            <v>muybueno</v>
          </cell>
          <cell r="K2136" t="str">
            <v>defsi</v>
          </cell>
        </row>
        <row r="2137">
          <cell r="B2137" t="b">
            <v>1</v>
          </cell>
          <cell r="E2137" t="str">
            <v>Baru</v>
          </cell>
          <cell r="H2137" t="str">
            <v>consulta_externa</v>
          </cell>
          <cell r="J2137" t="str">
            <v>muybueno</v>
          </cell>
          <cell r="K2137" t="str">
            <v>defsi</v>
          </cell>
        </row>
        <row r="2138">
          <cell r="B2138" t="b">
            <v>1</v>
          </cell>
          <cell r="E2138" t="str">
            <v>Baru</v>
          </cell>
          <cell r="H2138" t="str">
            <v>laboratorio</v>
          </cell>
          <cell r="J2138" t="str">
            <v>muybueno</v>
          </cell>
          <cell r="K2138" t="str">
            <v>defsi</v>
          </cell>
        </row>
        <row r="2139">
          <cell r="B2139" t="b">
            <v>1</v>
          </cell>
          <cell r="E2139" t="str">
            <v>Baru</v>
          </cell>
          <cell r="H2139" t="str">
            <v>consulta_externa</v>
          </cell>
          <cell r="J2139" t="str">
            <v>muybueno</v>
          </cell>
          <cell r="K2139" t="str">
            <v>defsi</v>
          </cell>
        </row>
        <row r="2140">
          <cell r="B2140" t="b">
            <v>1</v>
          </cell>
          <cell r="E2140" t="str">
            <v>Baru</v>
          </cell>
          <cell r="H2140" t="str">
            <v>laboratorio</v>
          </cell>
          <cell r="J2140" t="str">
            <v>muybueno</v>
          </cell>
          <cell r="K2140" t="str">
            <v>defsi</v>
          </cell>
        </row>
        <row r="2141">
          <cell r="B2141" t="b">
            <v>1</v>
          </cell>
          <cell r="E2141" t="str">
            <v>Baru</v>
          </cell>
          <cell r="H2141" t="str">
            <v>consulta_externa</v>
          </cell>
          <cell r="J2141" t="str">
            <v>muybueno</v>
          </cell>
          <cell r="K2141" t="str">
            <v>defsi</v>
          </cell>
        </row>
        <row r="2142">
          <cell r="B2142" t="b">
            <v>1</v>
          </cell>
          <cell r="E2142" t="str">
            <v>San Pedro y Libertad</v>
          </cell>
          <cell r="H2142" t="str">
            <v>consulta_externa</v>
          </cell>
          <cell r="J2142" t="str">
            <v>bueno</v>
          </cell>
          <cell r="K2142" t="str">
            <v>defsi</v>
          </cell>
        </row>
        <row r="2143">
          <cell r="B2143" t="b">
            <v>1</v>
          </cell>
          <cell r="E2143" t="str">
            <v>San Pedro y Libertad</v>
          </cell>
          <cell r="H2143" t="str">
            <v>salud_oral</v>
          </cell>
          <cell r="J2143" t="str">
            <v>bueno</v>
          </cell>
          <cell r="K2143" t="str">
            <v>defsi</v>
          </cell>
        </row>
        <row r="2144">
          <cell r="B2144" t="b">
            <v>1</v>
          </cell>
          <cell r="E2144" t="str">
            <v>San Pedro y Libertad</v>
          </cell>
          <cell r="H2144" t="str">
            <v>laboratorio</v>
          </cell>
          <cell r="J2144" t="str">
            <v>bueno</v>
          </cell>
          <cell r="K2144" t="str">
            <v>defsi</v>
          </cell>
        </row>
        <row r="2145">
          <cell r="B2145" t="b">
            <v>1</v>
          </cell>
          <cell r="E2145" t="str">
            <v>San Pedro y Libertad</v>
          </cell>
          <cell r="H2145" t="str">
            <v>consulta_externa</v>
          </cell>
          <cell r="J2145" t="str">
            <v>bueno</v>
          </cell>
          <cell r="K2145" t="str">
            <v>defsi</v>
          </cell>
        </row>
        <row r="2146">
          <cell r="B2146" t="b">
            <v>1</v>
          </cell>
          <cell r="E2146" t="str">
            <v>San Pedro y Libertad</v>
          </cell>
          <cell r="H2146" t="str">
            <v>salud_oral</v>
          </cell>
          <cell r="J2146" t="str">
            <v>bueno</v>
          </cell>
          <cell r="K2146" t="str">
            <v>defsi</v>
          </cell>
        </row>
        <row r="2147">
          <cell r="B2147" t="b">
            <v>1</v>
          </cell>
          <cell r="E2147" t="str">
            <v>San Pedro y Libertad</v>
          </cell>
          <cell r="H2147" t="str">
            <v>laboratorio</v>
          </cell>
          <cell r="J2147" t="str">
            <v>bueno</v>
          </cell>
          <cell r="K2147" t="str">
            <v>defsi</v>
          </cell>
        </row>
        <row r="2148">
          <cell r="B2148" t="b">
            <v>1</v>
          </cell>
          <cell r="E2148" t="str">
            <v>San Pedro y Libertad</v>
          </cell>
          <cell r="H2148" t="str">
            <v>consulta_externa</v>
          </cell>
          <cell r="J2148" t="str">
            <v>bueno</v>
          </cell>
          <cell r="K2148" t="str">
            <v>defsi</v>
          </cell>
        </row>
        <row r="2149">
          <cell r="B2149" t="b">
            <v>1</v>
          </cell>
          <cell r="E2149" t="str">
            <v>San Pedro y Libertad</v>
          </cell>
          <cell r="H2149" t="str">
            <v>salud_oral</v>
          </cell>
          <cell r="J2149" t="str">
            <v>bueno</v>
          </cell>
          <cell r="K2149" t="str">
            <v>defsi</v>
          </cell>
        </row>
        <row r="2150">
          <cell r="B2150" t="b">
            <v>1</v>
          </cell>
          <cell r="E2150" t="str">
            <v>San Pedro y Libertad</v>
          </cell>
          <cell r="H2150" t="str">
            <v>laboratorio</v>
          </cell>
          <cell r="J2150" t="str">
            <v>bueno</v>
          </cell>
          <cell r="K2150" t="str">
            <v>defsi</v>
          </cell>
        </row>
        <row r="2151">
          <cell r="B2151" t="b">
            <v>1</v>
          </cell>
          <cell r="E2151" t="str">
            <v>San Pedro y Libertad</v>
          </cell>
          <cell r="H2151" t="str">
            <v>consulta_externa</v>
          </cell>
          <cell r="J2151" t="str">
            <v>bueno</v>
          </cell>
          <cell r="K2151" t="str">
            <v>defsi</v>
          </cell>
        </row>
        <row r="2152">
          <cell r="B2152" t="b">
            <v>1</v>
          </cell>
          <cell r="E2152" t="str">
            <v>San Pedro y Libertad</v>
          </cell>
          <cell r="H2152" t="str">
            <v>salud_oral</v>
          </cell>
          <cell r="J2152" t="str">
            <v>bueno</v>
          </cell>
          <cell r="K2152" t="str">
            <v>defsi</v>
          </cell>
        </row>
        <row r="2153">
          <cell r="B2153" t="b">
            <v>1</v>
          </cell>
          <cell r="E2153" t="str">
            <v>San Pedro y Libertad</v>
          </cell>
          <cell r="H2153" t="str">
            <v>laboratorio</v>
          </cell>
          <cell r="J2153" t="str">
            <v>bueno</v>
          </cell>
          <cell r="K2153" t="str">
            <v>defsi</v>
          </cell>
        </row>
        <row r="2154">
          <cell r="B2154" t="b">
            <v>1</v>
          </cell>
          <cell r="E2154" t="str">
            <v>San Pedro y Libertad</v>
          </cell>
          <cell r="H2154" t="str">
            <v>consulta_externa</v>
          </cell>
          <cell r="J2154" t="str">
            <v>bueno</v>
          </cell>
          <cell r="K2154" t="str">
            <v>defsi</v>
          </cell>
        </row>
        <row r="2155">
          <cell r="B2155" t="b">
            <v>1</v>
          </cell>
          <cell r="E2155" t="str">
            <v>San Pedro y Libertad</v>
          </cell>
          <cell r="H2155" t="str">
            <v>salud_oral</v>
          </cell>
          <cell r="J2155" t="str">
            <v>bueno</v>
          </cell>
          <cell r="K2155" t="str">
            <v>defsi</v>
          </cell>
        </row>
        <row r="2156">
          <cell r="B2156" t="b">
            <v>1</v>
          </cell>
          <cell r="E2156" t="str">
            <v>San Pedro y Libertad</v>
          </cell>
          <cell r="H2156" t="str">
            <v>consulta_externa</v>
          </cell>
          <cell r="J2156" t="str">
            <v>bueno</v>
          </cell>
          <cell r="K2156" t="str">
            <v>defsi</v>
          </cell>
        </row>
        <row r="2157">
          <cell r="B2157" t="b">
            <v>1</v>
          </cell>
          <cell r="E2157" t="str">
            <v>San Pedro y Libertad</v>
          </cell>
          <cell r="H2157" t="str">
            <v>salud_oral</v>
          </cell>
          <cell r="J2157" t="str">
            <v>bueno</v>
          </cell>
          <cell r="K2157" t="str">
            <v>defsi</v>
          </cell>
        </row>
        <row r="2158">
          <cell r="B2158" t="b">
            <v>1</v>
          </cell>
          <cell r="E2158" t="str">
            <v>Esperanza</v>
          </cell>
          <cell r="H2158" t="str">
            <v>consulta_externa</v>
          </cell>
          <cell r="J2158" t="str">
            <v>bueno</v>
          </cell>
          <cell r="K2158" t="str">
            <v>defsi</v>
          </cell>
        </row>
        <row r="2159">
          <cell r="B2159" t="b">
            <v>1</v>
          </cell>
          <cell r="E2159" t="str">
            <v>Esperanza</v>
          </cell>
          <cell r="H2159" t="str">
            <v>salud_oral</v>
          </cell>
          <cell r="J2159" t="str">
            <v>bueno</v>
          </cell>
          <cell r="K2159" t="str">
            <v>defsi</v>
          </cell>
        </row>
        <row r="2160">
          <cell r="B2160" t="b">
            <v>1</v>
          </cell>
          <cell r="E2160" t="str">
            <v>Esperanza</v>
          </cell>
          <cell r="H2160" t="str">
            <v>laboratorio</v>
          </cell>
          <cell r="J2160" t="str">
            <v>bueno</v>
          </cell>
          <cell r="K2160" t="str">
            <v>defsi</v>
          </cell>
        </row>
        <row r="2161">
          <cell r="B2161" t="b">
            <v>1</v>
          </cell>
          <cell r="E2161" t="str">
            <v>Esperanza</v>
          </cell>
          <cell r="H2161" t="str">
            <v>urgencia</v>
          </cell>
          <cell r="J2161" t="str">
            <v>bueno</v>
          </cell>
          <cell r="K2161" t="str">
            <v>defsi</v>
          </cell>
        </row>
        <row r="2162">
          <cell r="B2162" t="b">
            <v>1</v>
          </cell>
          <cell r="E2162" t="str">
            <v>Esperanza</v>
          </cell>
          <cell r="H2162" t="str">
            <v>electros</v>
          </cell>
          <cell r="J2162" t="str">
            <v>bueno</v>
          </cell>
          <cell r="K2162" t="str">
            <v>defsi</v>
          </cell>
        </row>
        <row r="2163">
          <cell r="B2163" t="b">
            <v>1</v>
          </cell>
          <cell r="E2163" t="str">
            <v>Esperanza</v>
          </cell>
          <cell r="H2163" t="str">
            <v>consulta_externa</v>
          </cell>
          <cell r="J2163" t="str">
            <v>bueno</v>
          </cell>
          <cell r="K2163" t="str">
            <v>defsi</v>
          </cell>
        </row>
        <row r="2164">
          <cell r="B2164" t="b">
            <v>1</v>
          </cell>
          <cell r="E2164" t="str">
            <v>Esperanza</v>
          </cell>
          <cell r="H2164" t="str">
            <v>salud_oral</v>
          </cell>
          <cell r="J2164" t="str">
            <v>bueno</v>
          </cell>
          <cell r="K2164" t="str">
            <v>defsi</v>
          </cell>
        </row>
        <row r="2165">
          <cell r="B2165" t="b">
            <v>1</v>
          </cell>
          <cell r="E2165" t="str">
            <v>Esperanza</v>
          </cell>
          <cell r="H2165" t="str">
            <v>laboratorio</v>
          </cell>
          <cell r="J2165" t="str">
            <v>bueno</v>
          </cell>
          <cell r="K2165" t="str">
            <v>defsi</v>
          </cell>
        </row>
        <row r="2166">
          <cell r="B2166" t="b">
            <v>1</v>
          </cell>
          <cell r="E2166" t="str">
            <v>Esperanza</v>
          </cell>
          <cell r="H2166" t="str">
            <v>urgencia</v>
          </cell>
          <cell r="J2166" t="str">
            <v>bueno</v>
          </cell>
          <cell r="K2166" t="str">
            <v>defsi</v>
          </cell>
        </row>
        <row r="2167">
          <cell r="B2167" t="b">
            <v>1</v>
          </cell>
          <cell r="E2167" t="str">
            <v>Esperanza</v>
          </cell>
          <cell r="H2167" t="str">
            <v>electros</v>
          </cell>
          <cell r="J2167" t="str">
            <v>bueno</v>
          </cell>
          <cell r="K2167" t="str">
            <v>defsi</v>
          </cell>
        </row>
        <row r="2168">
          <cell r="B2168" t="b">
            <v>1</v>
          </cell>
          <cell r="E2168" t="str">
            <v>Esperanza</v>
          </cell>
          <cell r="H2168" t="str">
            <v>consulta_externa</v>
          </cell>
          <cell r="J2168" t="str">
            <v>bueno</v>
          </cell>
          <cell r="K2168" t="str">
            <v>defsi</v>
          </cell>
        </row>
        <row r="2169">
          <cell r="B2169" t="b">
            <v>1</v>
          </cell>
          <cell r="E2169" t="str">
            <v>Esperanza</v>
          </cell>
          <cell r="H2169" t="str">
            <v>salud_oral</v>
          </cell>
          <cell r="J2169" t="str">
            <v>bueno</v>
          </cell>
          <cell r="K2169" t="str">
            <v>defsi</v>
          </cell>
        </row>
        <row r="2170">
          <cell r="B2170" t="b">
            <v>1</v>
          </cell>
          <cell r="E2170" t="str">
            <v>Esperanza</v>
          </cell>
          <cell r="H2170" t="str">
            <v>laboratorio</v>
          </cell>
          <cell r="J2170" t="str">
            <v>bueno</v>
          </cell>
          <cell r="K2170" t="str">
            <v>defsi</v>
          </cell>
        </row>
        <row r="2171">
          <cell r="B2171" t="b">
            <v>1</v>
          </cell>
          <cell r="E2171" t="str">
            <v>Esperanza</v>
          </cell>
          <cell r="H2171" t="str">
            <v>urgencia</v>
          </cell>
          <cell r="J2171" t="str">
            <v>bueno</v>
          </cell>
          <cell r="K2171" t="str">
            <v>defsi</v>
          </cell>
        </row>
        <row r="2172">
          <cell r="B2172" t="b">
            <v>1</v>
          </cell>
          <cell r="E2172" t="str">
            <v>Esperanza</v>
          </cell>
          <cell r="H2172" t="str">
            <v>electros</v>
          </cell>
          <cell r="J2172" t="str">
            <v>bueno</v>
          </cell>
          <cell r="K2172" t="str">
            <v>defsi</v>
          </cell>
        </row>
        <row r="2173">
          <cell r="B2173" t="b">
            <v>1</v>
          </cell>
          <cell r="E2173" t="str">
            <v>Esperanza</v>
          </cell>
          <cell r="H2173" t="str">
            <v>consulta_externa</v>
          </cell>
          <cell r="J2173" t="str">
            <v>bueno</v>
          </cell>
          <cell r="K2173" t="str">
            <v>defsi</v>
          </cell>
        </row>
        <row r="2174">
          <cell r="B2174" t="b">
            <v>1</v>
          </cell>
          <cell r="E2174" t="str">
            <v>Esperanza</v>
          </cell>
          <cell r="H2174" t="str">
            <v>salud_oral</v>
          </cell>
          <cell r="J2174" t="str">
            <v>bueno</v>
          </cell>
          <cell r="K2174" t="str">
            <v>defsi</v>
          </cell>
        </row>
        <row r="2175">
          <cell r="B2175" t="b">
            <v>1</v>
          </cell>
          <cell r="E2175" t="str">
            <v>Esperanza</v>
          </cell>
          <cell r="H2175" t="str">
            <v>laboratorio</v>
          </cell>
          <cell r="J2175" t="str">
            <v>bueno</v>
          </cell>
          <cell r="K2175" t="str">
            <v>defsi</v>
          </cell>
        </row>
        <row r="2176">
          <cell r="B2176" t="b">
            <v>1</v>
          </cell>
          <cell r="E2176" t="str">
            <v>Esperanza</v>
          </cell>
          <cell r="H2176" t="str">
            <v>urgencia</v>
          </cell>
          <cell r="J2176" t="str">
            <v>bueno</v>
          </cell>
          <cell r="K2176" t="str">
            <v>defsi</v>
          </cell>
        </row>
        <row r="2177">
          <cell r="B2177" t="b">
            <v>1</v>
          </cell>
          <cell r="E2177" t="str">
            <v>Esperanza</v>
          </cell>
          <cell r="H2177" t="str">
            <v>electros</v>
          </cell>
          <cell r="J2177" t="str">
            <v>bueno</v>
          </cell>
          <cell r="K2177" t="str">
            <v>defsi</v>
          </cell>
        </row>
        <row r="2178">
          <cell r="B2178" t="b">
            <v>1</v>
          </cell>
          <cell r="E2178" t="str">
            <v>Esperanza</v>
          </cell>
          <cell r="H2178" t="str">
            <v>consulta_externa</v>
          </cell>
          <cell r="J2178" t="str">
            <v>bueno</v>
          </cell>
          <cell r="K2178" t="str">
            <v>defsi</v>
          </cell>
        </row>
        <row r="2179">
          <cell r="B2179" t="b">
            <v>1</v>
          </cell>
          <cell r="E2179" t="str">
            <v>Esperanza</v>
          </cell>
          <cell r="H2179" t="str">
            <v>salud_oral</v>
          </cell>
          <cell r="J2179" t="str">
            <v>bueno</v>
          </cell>
          <cell r="K2179" t="str">
            <v>defsi</v>
          </cell>
        </row>
        <row r="2180">
          <cell r="B2180" t="b">
            <v>1</v>
          </cell>
          <cell r="E2180" t="str">
            <v>Esperanza</v>
          </cell>
          <cell r="H2180" t="str">
            <v>laboratorio</v>
          </cell>
          <cell r="J2180" t="str">
            <v>bueno</v>
          </cell>
          <cell r="K2180" t="str">
            <v>defsi</v>
          </cell>
        </row>
        <row r="2181">
          <cell r="B2181" t="b">
            <v>1</v>
          </cell>
          <cell r="E2181" t="str">
            <v>Esperanza</v>
          </cell>
          <cell r="H2181" t="str">
            <v>urgencia</v>
          </cell>
          <cell r="J2181" t="str">
            <v>bueno</v>
          </cell>
          <cell r="K2181" t="str">
            <v>defsi</v>
          </cell>
        </row>
        <row r="2182">
          <cell r="B2182" t="b">
            <v>1</v>
          </cell>
          <cell r="E2182" t="str">
            <v>Esperanza</v>
          </cell>
          <cell r="H2182" t="str">
            <v>electros</v>
          </cell>
          <cell r="J2182" t="str">
            <v>bueno</v>
          </cell>
          <cell r="K2182" t="str">
            <v>defsi</v>
          </cell>
        </row>
        <row r="2183">
          <cell r="B2183" t="b">
            <v>1</v>
          </cell>
          <cell r="E2183" t="str">
            <v>Esperanza</v>
          </cell>
          <cell r="H2183" t="str">
            <v>consulta_externa</v>
          </cell>
          <cell r="J2183" t="str">
            <v>bueno</v>
          </cell>
          <cell r="K2183" t="str">
            <v>defsi</v>
          </cell>
        </row>
        <row r="2184">
          <cell r="B2184" t="b">
            <v>1</v>
          </cell>
          <cell r="E2184" t="str">
            <v>Esperanza</v>
          </cell>
          <cell r="H2184" t="str">
            <v>salud_oral</v>
          </cell>
          <cell r="J2184" t="str">
            <v>bueno</v>
          </cell>
          <cell r="K2184" t="str">
            <v>defsi</v>
          </cell>
        </row>
        <row r="2185">
          <cell r="B2185" t="b">
            <v>1</v>
          </cell>
          <cell r="E2185" t="str">
            <v>Esperanza</v>
          </cell>
          <cell r="H2185" t="str">
            <v>laboratorio</v>
          </cell>
          <cell r="J2185" t="str">
            <v>bueno</v>
          </cell>
          <cell r="K2185" t="str">
            <v>defsi</v>
          </cell>
        </row>
        <row r="2186">
          <cell r="B2186" t="b">
            <v>1</v>
          </cell>
          <cell r="E2186" t="str">
            <v>Esperanza</v>
          </cell>
          <cell r="H2186" t="str">
            <v>urgencia</v>
          </cell>
          <cell r="J2186" t="str">
            <v>bueno</v>
          </cell>
          <cell r="K2186" t="str">
            <v>defsi</v>
          </cell>
        </row>
        <row r="2187">
          <cell r="B2187" t="b">
            <v>1</v>
          </cell>
          <cell r="E2187" t="str">
            <v>Esperanza</v>
          </cell>
          <cell r="H2187" t="str">
            <v>electros</v>
          </cell>
          <cell r="J2187" t="str">
            <v>bueno</v>
          </cell>
          <cell r="K2187" t="str">
            <v>defsi</v>
          </cell>
        </row>
        <row r="2188">
          <cell r="B2188" t="b">
            <v>1</v>
          </cell>
          <cell r="E2188" t="str">
            <v>Esperanza</v>
          </cell>
          <cell r="H2188" t="str">
            <v>consulta_externa</v>
          </cell>
          <cell r="J2188" t="str">
            <v>bueno</v>
          </cell>
          <cell r="K2188" t="str">
            <v>defsi</v>
          </cell>
        </row>
        <row r="2189">
          <cell r="B2189" t="b">
            <v>1</v>
          </cell>
          <cell r="E2189" t="str">
            <v>Esperanza</v>
          </cell>
          <cell r="H2189" t="str">
            <v>salud_oral</v>
          </cell>
          <cell r="J2189" t="str">
            <v>bueno</v>
          </cell>
          <cell r="K2189" t="str">
            <v>defsi</v>
          </cell>
        </row>
        <row r="2190">
          <cell r="B2190" t="b">
            <v>1</v>
          </cell>
          <cell r="E2190" t="str">
            <v>Esperanza</v>
          </cell>
          <cell r="H2190" t="str">
            <v>laboratorio</v>
          </cell>
          <cell r="J2190" t="str">
            <v>bueno</v>
          </cell>
          <cell r="K2190" t="str">
            <v>defsi</v>
          </cell>
        </row>
        <row r="2191">
          <cell r="B2191" t="b">
            <v>1</v>
          </cell>
          <cell r="E2191" t="str">
            <v>Esperanza</v>
          </cell>
          <cell r="H2191" t="str">
            <v>urgencia</v>
          </cell>
          <cell r="J2191" t="str">
            <v>bueno</v>
          </cell>
          <cell r="K2191" t="str">
            <v>defsi</v>
          </cell>
        </row>
        <row r="2192">
          <cell r="B2192" t="b">
            <v>1</v>
          </cell>
          <cell r="E2192" t="str">
            <v>Esperanza</v>
          </cell>
          <cell r="H2192" t="str">
            <v>electros</v>
          </cell>
          <cell r="J2192" t="str">
            <v>bueno</v>
          </cell>
          <cell r="K2192" t="str">
            <v>defsi</v>
          </cell>
        </row>
        <row r="2193">
          <cell r="B2193" t="b">
            <v>1</v>
          </cell>
          <cell r="E2193" t="str">
            <v>Esperanza</v>
          </cell>
          <cell r="H2193" t="str">
            <v>consulta_externa</v>
          </cell>
          <cell r="J2193" t="str">
            <v>bueno</v>
          </cell>
          <cell r="K2193" t="str">
            <v>defsi</v>
          </cell>
        </row>
        <row r="2194">
          <cell r="B2194" t="b">
            <v>1</v>
          </cell>
          <cell r="E2194" t="str">
            <v>Esperanza</v>
          </cell>
          <cell r="H2194" t="str">
            <v>salud_oral</v>
          </cell>
          <cell r="J2194" t="str">
            <v>bueno</v>
          </cell>
          <cell r="K2194" t="str">
            <v>defsi</v>
          </cell>
        </row>
        <row r="2195">
          <cell r="B2195" t="b">
            <v>1</v>
          </cell>
          <cell r="E2195" t="str">
            <v>Esperanza</v>
          </cell>
          <cell r="H2195" t="str">
            <v>laboratorio</v>
          </cell>
          <cell r="J2195" t="str">
            <v>bueno</v>
          </cell>
          <cell r="K2195" t="str">
            <v>defsi</v>
          </cell>
        </row>
        <row r="2196">
          <cell r="B2196" t="b">
            <v>1</v>
          </cell>
          <cell r="E2196" t="str">
            <v>Esperanza</v>
          </cell>
          <cell r="H2196" t="str">
            <v>urgencia</v>
          </cell>
          <cell r="J2196" t="str">
            <v>bueno</v>
          </cell>
          <cell r="K2196" t="str">
            <v>defsi</v>
          </cell>
        </row>
        <row r="2197">
          <cell r="B2197" t="b">
            <v>1</v>
          </cell>
          <cell r="E2197" t="str">
            <v>Esperanza</v>
          </cell>
          <cell r="H2197" t="str">
            <v>electros</v>
          </cell>
          <cell r="J2197" t="str">
            <v>bueno</v>
          </cell>
          <cell r="K2197" t="str">
            <v>defsi</v>
          </cell>
        </row>
        <row r="2198">
          <cell r="B2198" t="b">
            <v>1</v>
          </cell>
          <cell r="E2198" t="str">
            <v>Esperanza</v>
          </cell>
          <cell r="H2198" t="str">
            <v>consulta_externa</v>
          </cell>
          <cell r="J2198" t="str">
            <v>bueno</v>
          </cell>
          <cell r="K2198" t="str">
            <v>defsi</v>
          </cell>
        </row>
        <row r="2199">
          <cell r="B2199" t="b">
            <v>1</v>
          </cell>
          <cell r="E2199" t="str">
            <v>Esperanza</v>
          </cell>
          <cell r="H2199" t="str">
            <v>salud_oral</v>
          </cell>
          <cell r="J2199" t="str">
            <v>bueno</v>
          </cell>
          <cell r="K2199" t="str">
            <v>defsi</v>
          </cell>
        </row>
        <row r="2200">
          <cell r="B2200" t="b">
            <v>1</v>
          </cell>
          <cell r="E2200" t="str">
            <v>Esperanza</v>
          </cell>
          <cell r="H2200" t="str">
            <v>laboratorio</v>
          </cell>
          <cell r="J2200" t="str">
            <v>bueno</v>
          </cell>
          <cell r="K2200" t="str">
            <v>defsi</v>
          </cell>
        </row>
        <row r="2201">
          <cell r="B2201" t="b">
            <v>1</v>
          </cell>
          <cell r="E2201" t="str">
            <v>Esperanza</v>
          </cell>
          <cell r="H2201" t="str">
            <v>urgencia</v>
          </cell>
          <cell r="J2201" t="str">
            <v>bueno</v>
          </cell>
          <cell r="K2201" t="str">
            <v>defsi</v>
          </cell>
        </row>
        <row r="2202">
          <cell r="B2202" t="b">
            <v>1</v>
          </cell>
          <cell r="E2202" t="str">
            <v>Esperanza</v>
          </cell>
          <cell r="H2202" t="str">
            <v>electros</v>
          </cell>
          <cell r="J2202" t="str">
            <v>bueno</v>
          </cell>
          <cell r="K2202" t="str">
            <v>defsi</v>
          </cell>
        </row>
        <row r="2203">
          <cell r="B2203" t="b">
            <v>1</v>
          </cell>
          <cell r="E2203" t="str">
            <v>Esperanza</v>
          </cell>
          <cell r="H2203" t="str">
            <v>consulta_externa</v>
          </cell>
          <cell r="J2203" t="str">
            <v>bueno</v>
          </cell>
          <cell r="K2203" t="str">
            <v>defsi</v>
          </cell>
        </row>
        <row r="2204">
          <cell r="B2204" t="b">
            <v>1</v>
          </cell>
          <cell r="E2204" t="str">
            <v>Esperanza</v>
          </cell>
          <cell r="H2204" t="str">
            <v>salud_oral</v>
          </cell>
          <cell r="J2204" t="str">
            <v>bueno</v>
          </cell>
          <cell r="K2204" t="str">
            <v>defsi</v>
          </cell>
        </row>
        <row r="2205">
          <cell r="B2205" t="b">
            <v>1</v>
          </cell>
          <cell r="E2205" t="str">
            <v>Esperanza</v>
          </cell>
          <cell r="H2205" t="str">
            <v>laboratorio</v>
          </cell>
          <cell r="J2205" t="str">
            <v>bueno</v>
          </cell>
          <cell r="K2205" t="str">
            <v>defsi</v>
          </cell>
        </row>
        <row r="2206">
          <cell r="B2206" t="b">
            <v>1</v>
          </cell>
          <cell r="E2206" t="str">
            <v>Esperanza</v>
          </cell>
          <cell r="H2206" t="str">
            <v>urgencia</v>
          </cell>
          <cell r="J2206" t="str">
            <v>bueno</v>
          </cell>
          <cell r="K2206" t="str">
            <v>defsi</v>
          </cell>
        </row>
        <row r="2207">
          <cell r="B2207" t="b">
            <v>1</v>
          </cell>
          <cell r="E2207" t="str">
            <v>Esperanza</v>
          </cell>
          <cell r="H2207" t="str">
            <v>electros</v>
          </cell>
          <cell r="J2207" t="str">
            <v>bueno</v>
          </cell>
          <cell r="K2207" t="str">
            <v>defsi</v>
          </cell>
        </row>
        <row r="2208">
          <cell r="B2208" t="b">
            <v>1</v>
          </cell>
          <cell r="E2208" t="str">
            <v>Puerto Rey</v>
          </cell>
          <cell r="H2208" t="str">
            <v>consulta_externa</v>
          </cell>
          <cell r="J2208" t="str">
            <v>bueno</v>
          </cell>
          <cell r="K2208" t="str">
            <v>defsi</v>
          </cell>
        </row>
        <row r="2209">
          <cell r="B2209" t="b">
            <v>1</v>
          </cell>
          <cell r="E2209" t="str">
            <v>Puerto Rey</v>
          </cell>
          <cell r="H2209" t="str">
            <v>laboratorio</v>
          </cell>
          <cell r="J2209" t="str">
            <v>bueno</v>
          </cell>
          <cell r="K2209" t="str">
            <v>defsi</v>
          </cell>
        </row>
        <row r="2210">
          <cell r="B2210" t="b">
            <v>1</v>
          </cell>
          <cell r="E2210" t="str">
            <v>Puerto Rey</v>
          </cell>
          <cell r="H2210" t="str">
            <v>consulta_externa</v>
          </cell>
          <cell r="J2210" t="str">
            <v>bueno</v>
          </cell>
          <cell r="K2210" t="str">
            <v>defsi</v>
          </cell>
        </row>
        <row r="2211">
          <cell r="B2211" t="b">
            <v>1</v>
          </cell>
          <cell r="E2211" t="str">
            <v>Puerto Rey</v>
          </cell>
          <cell r="H2211" t="str">
            <v>salud_oral</v>
          </cell>
          <cell r="J2211" t="str">
            <v>bueno</v>
          </cell>
          <cell r="K2211" t="str">
            <v>defsi</v>
          </cell>
        </row>
        <row r="2212">
          <cell r="B2212" t="b">
            <v>1</v>
          </cell>
          <cell r="E2212" t="str">
            <v>Nuevo Porvenir</v>
          </cell>
          <cell r="H2212" t="str">
            <v>consulta_externa</v>
          </cell>
          <cell r="J2212" t="str">
            <v>bueno</v>
          </cell>
          <cell r="K2212" t="str">
            <v>probsi</v>
          </cell>
        </row>
        <row r="2213">
          <cell r="B2213" t="b">
            <v>1</v>
          </cell>
          <cell r="E2213" t="str">
            <v>Nuevo Porvenir</v>
          </cell>
          <cell r="H2213" t="str">
            <v>laboratorio</v>
          </cell>
          <cell r="J2213" t="str">
            <v>bueno</v>
          </cell>
          <cell r="K2213" t="str">
            <v>probsi</v>
          </cell>
        </row>
        <row r="2214">
          <cell r="B2214" t="b">
            <v>1</v>
          </cell>
          <cell r="E2214" t="str">
            <v>Santa Ana</v>
          </cell>
          <cell r="H2214" t="str">
            <v>consulta_externa</v>
          </cell>
          <cell r="J2214" t="str">
            <v>muybueno</v>
          </cell>
          <cell r="K2214" t="str">
            <v>defsi</v>
          </cell>
        </row>
        <row r="2215">
          <cell r="B2215" t="b">
            <v>1</v>
          </cell>
          <cell r="E2215" t="str">
            <v>Nuevo Porvenir</v>
          </cell>
          <cell r="H2215" t="str">
            <v>consulta_externa</v>
          </cell>
          <cell r="J2215" t="str">
            <v>muybueno</v>
          </cell>
          <cell r="K2215" t="str">
            <v>probsi</v>
          </cell>
        </row>
        <row r="2216">
          <cell r="B2216" t="b">
            <v>1</v>
          </cell>
          <cell r="E2216" t="str">
            <v>Santa Ana</v>
          </cell>
          <cell r="H2216" t="str">
            <v>laboratorio</v>
          </cell>
          <cell r="J2216" t="str">
            <v>muybueno</v>
          </cell>
          <cell r="K2216" t="str">
            <v>defsi</v>
          </cell>
        </row>
        <row r="2217">
          <cell r="B2217" t="b">
            <v>1</v>
          </cell>
          <cell r="E2217" t="str">
            <v>Nuevo Porvenir</v>
          </cell>
          <cell r="H2217" t="str">
            <v>consulta_externa</v>
          </cell>
          <cell r="J2217" t="str">
            <v>bueno</v>
          </cell>
          <cell r="K2217" t="str">
            <v>probsi</v>
          </cell>
        </row>
        <row r="2218">
          <cell r="B2218" t="b">
            <v>1</v>
          </cell>
          <cell r="E2218" t="str">
            <v>Nuevo Porvenir</v>
          </cell>
          <cell r="H2218" t="str">
            <v>laboratorio</v>
          </cell>
          <cell r="J2218" t="str">
            <v>bueno</v>
          </cell>
          <cell r="K2218" t="str">
            <v>probsi</v>
          </cell>
        </row>
        <row r="2219">
          <cell r="B2219" t="b">
            <v>1</v>
          </cell>
          <cell r="E2219" t="str">
            <v>Nuevo Porvenir</v>
          </cell>
          <cell r="H2219" t="str">
            <v>laboratorio</v>
          </cell>
          <cell r="J2219" t="str">
            <v>bueno</v>
          </cell>
          <cell r="K2219" t="str">
            <v>probsi</v>
          </cell>
        </row>
        <row r="2220">
          <cell r="B2220" t="b">
            <v>1</v>
          </cell>
          <cell r="E2220" t="str">
            <v>Nuevo Porvenir</v>
          </cell>
          <cell r="H2220" t="str">
            <v>salud_oral</v>
          </cell>
          <cell r="J2220" t="str">
            <v>bueno</v>
          </cell>
          <cell r="K2220" t="str">
            <v>probsi</v>
          </cell>
        </row>
        <row r="2221">
          <cell r="B2221" t="b">
            <v>1</v>
          </cell>
          <cell r="E2221" t="str">
            <v>Nuevo Porvenir</v>
          </cell>
          <cell r="H2221" t="str">
            <v>consulta_externa</v>
          </cell>
          <cell r="J2221" t="str">
            <v>bueno</v>
          </cell>
          <cell r="K2221" t="str">
            <v>probsi</v>
          </cell>
        </row>
        <row r="2222">
          <cell r="B2222" t="b">
            <v>1</v>
          </cell>
          <cell r="E2222" t="str">
            <v>Nuevo Porvenir</v>
          </cell>
          <cell r="H2222" t="str">
            <v>laboratorio</v>
          </cell>
          <cell r="J2222" t="str">
            <v>bueno</v>
          </cell>
          <cell r="K2222" t="str">
            <v>probsi</v>
          </cell>
        </row>
        <row r="2223">
          <cell r="B2223" t="b">
            <v>1</v>
          </cell>
          <cell r="E2223" t="str">
            <v>Santa Ana</v>
          </cell>
          <cell r="H2223" t="str">
            <v>laboratorio</v>
          </cell>
          <cell r="J2223" t="str">
            <v>muybueno</v>
          </cell>
          <cell r="K2223" t="str">
            <v>defsi</v>
          </cell>
        </row>
        <row r="2224">
          <cell r="B2224" t="b">
            <v>1</v>
          </cell>
          <cell r="E2224" t="str">
            <v>Nuevo Porvenir</v>
          </cell>
          <cell r="H2224" t="str">
            <v>consulta_externa</v>
          </cell>
          <cell r="J2224" t="str">
            <v>bueno</v>
          </cell>
          <cell r="K2224" t="str">
            <v>probsi</v>
          </cell>
        </row>
        <row r="2225">
          <cell r="B2225" t="b">
            <v>1</v>
          </cell>
          <cell r="E2225" t="str">
            <v>Nuevo Porvenir</v>
          </cell>
          <cell r="H2225" t="str">
            <v>salud_oral</v>
          </cell>
          <cell r="J2225" t="str">
            <v>bueno</v>
          </cell>
          <cell r="K2225" t="str">
            <v>probsi</v>
          </cell>
        </row>
        <row r="2226">
          <cell r="B2226" t="b">
            <v>1</v>
          </cell>
          <cell r="E2226" t="str">
            <v>Nuevo Porvenir</v>
          </cell>
          <cell r="H2226" t="str">
            <v>laboratorio</v>
          </cell>
          <cell r="J2226" t="str">
            <v>bueno</v>
          </cell>
          <cell r="K2226" t="str">
            <v>probsi</v>
          </cell>
        </row>
        <row r="2227">
          <cell r="B2227" t="b">
            <v>1</v>
          </cell>
          <cell r="E2227" t="str">
            <v>Santa Ana</v>
          </cell>
          <cell r="H2227" t="str">
            <v>consulta_externa</v>
          </cell>
          <cell r="J2227" t="str">
            <v>muybueno</v>
          </cell>
          <cell r="K2227" t="str">
            <v>defsi</v>
          </cell>
        </row>
        <row r="2228">
          <cell r="B2228" t="b">
            <v>1</v>
          </cell>
          <cell r="E2228" t="str">
            <v>Santa Ana</v>
          </cell>
          <cell r="H2228" t="str">
            <v>laboratorio</v>
          </cell>
          <cell r="J2228" t="str">
            <v>muybueno</v>
          </cell>
          <cell r="K2228" t="str">
            <v>defsi</v>
          </cell>
        </row>
        <row r="2229">
          <cell r="B2229" t="b">
            <v>1</v>
          </cell>
          <cell r="E2229" t="str">
            <v>Santa Ana</v>
          </cell>
          <cell r="H2229" t="str">
            <v>salud_oral</v>
          </cell>
          <cell r="J2229" t="str">
            <v>muybueno</v>
          </cell>
          <cell r="K2229" t="str">
            <v>defsi</v>
          </cell>
        </row>
        <row r="2230">
          <cell r="B2230" t="b">
            <v>1</v>
          </cell>
          <cell r="E2230" t="str">
            <v>Nuevo Porvenir</v>
          </cell>
          <cell r="H2230" t="str">
            <v>consulta_externa</v>
          </cell>
          <cell r="J2230" t="str">
            <v>muybueno</v>
          </cell>
          <cell r="K2230" t="str">
            <v>probsi</v>
          </cell>
        </row>
        <row r="2231">
          <cell r="B2231" t="b">
            <v>1</v>
          </cell>
          <cell r="E2231" t="str">
            <v>Puerto Rey</v>
          </cell>
          <cell r="H2231" t="str">
            <v>consulta_externa</v>
          </cell>
          <cell r="J2231" t="str">
            <v>bueno</v>
          </cell>
          <cell r="K2231" t="str">
            <v>defsi</v>
          </cell>
        </row>
        <row r="2232">
          <cell r="B2232" t="b">
            <v>1</v>
          </cell>
          <cell r="E2232" t="str">
            <v>Nuevo Porvenir</v>
          </cell>
          <cell r="H2232" t="str">
            <v>salud_oral</v>
          </cell>
          <cell r="J2232" t="str">
            <v>muybueno</v>
          </cell>
          <cell r="K2232" t="str">
            <v>probsi</v>
          </cell>
        </row>
        <row r="2233">
          <cell r="B2233" t="b">
            <v>1</v>
          </cell>
          <cell r="E2233" t="str">
            <v>Nuevo Porvenir</v>
          </cell>
          <cell r="H2233" t="str">
            <v>laboratorio</v>
          </cell>
          <cell r="J2233" t="str">
            <v>bueno</v>
          </cell>
          <cell r="K2233" t="str">
            <v>probsi</v>
          </cell>
        </row>
        <row r="2234">
          <cell r="B2234" t="b">
            <v>1</v>
          </cell>
          <cell r="E2234" t="str">
            <v>Puerto Rey</v>
          </cell>
          <cell r="H2234" t="str">
            <v>consulta_externa</v>
          </cell>
          <cell r="J2234" t="str">
            <v>bueno</v>
          </cell>
          <cell r="K2234" t="str">
            <v>defsi</v>
          </cell>
        </row>
        <row r="2235">
          <cell r="B2235" t="b">
            <v>1</v>
          </cell>
          <cell r="E2235" t="str">
            <v>Nuevo Porvenir</v>
          </cell>
          <cell r="H2235" t="str">
            <v>consulta_externa</v>
          </cell>
          <cell r="J2235" t="str">
            <v>bueno</v>
          </cell>
          <cell r="K2235" t="str">
            <v>probsi</v>
          </cell>
        </row>
        <row r="2236">
          <cell r="B2236" t="b">
            <v>1</v>
          </cell>
          <cell r="E2236" t="str">
            <v>Nuevo Porvenir</v>
          </cell>
          <cell r="H2236" t="str">
            <v>laboratorio</v>
          </cell>
          <cell r="J2236" t="str">
            <v>bueno</v>
          </cell>
          <cell r="K2236" t="str">
            <v>probsi</v>
          </cell>
        </row>
        <row r="2237">
          <cell r="B2237" t="b">
            <v>1</v>
          </cell>
          <cell r="E2237" t="str">
            <v>Nuevo Porvenir</v>
          </cell>
          <cell r="H2237" t="str">
            <v>salud_oral</v>
          </cell>
          <cell r="J2237" t="str">
            <v>bueno</v>
          </cell>
          <cell r="K2237" t="str">
            <v>probsi</v>
          </cell>
        </row>
        <row r="2238">
          <cell r="B2238" t="b">
            <v>1</v>
          </cell>
          <cell r="E2238" t="str">
            <v>Nuevo Porvenir</v>
          </cell>
          <cell r="H2238" t="str">
            <v>salud_oral</v>
          </cell>
          <cell r="J2238" t="str">
            <v>bueno</v>
          </cell>
          <cell r="K2238" t="str">
            <v>probsi</v>
          </cell>
        </row>
        <row r="2239">
          <cell r="B2239" t="b">
            <v>1</v>
          </cell>
          <cell r="E2239" t="str">
            <v>Nuevo Porvenir</v>
          </cell>
          <cell r="H2239" t="str">
            <v>consulta_externa</v>
          </cell>
          <cell r="J2239" t="str">
            <v>bueno</v>
          </cell>
          <cell r="K2239" t="str">
            <v>probsi</v>
          </cell>
        </row>
        <row r="2240">
          <cell r="B2240" t="b">
            <v>1</v>
          </cell>
          <cell r="E2240" t="str">
            <v>Nuevo Porvenir</v>
          </cell>
          <cell r="H2240" t="str">
            <v>laboratorio</v>
          </cell>
          <cell r="J2240" t="str">
            <v>bueno</v>
          </cell>
          <cell r="K2240" t="str">
            <v>probsi</v>
          </cell>
        </row>
        <row r="2241">
          <cell r="B2241" t="b">
            <v>1</v>
          </cell>
          <cell r="E2241" t="str">
            <v>Santa Ana</v>
          </cell>
          <cell r="H2241" t="str">
            <v>consulta_externa</v>
          </cell>
          <cell r="J2241" t="str">
            <v>muybueno</v>
          </cell>
          <cell r="K2241" t="str">
            <v>defsi</v>
          </cell>
        </row>
        <row r="2242">
          <cell r="B2242" t="b">
            <v>1</v>
          </cell>
          <cell r="E2242" t="str">
            <v>Santa Ana</v>
          </cell>
          <cell r="H2242" t="str">
            <v>laboratorio</v>
          </cell>
          <cell r="J2242" t="str">
            <v>muybueno</v>
          </cell>
          <cell r="K2242" t="str">
            <v>defsi</v>
          </cell>
        </row>
        <row r="2243">
          <cell r="B2243" t="b">
            <v>1</v>
          </cell>
          <cell r="E2243" t="str">
            <v>Nuevo Porvenir</v>
          </cell>
          <cell r="H2243" t="str">
            <v>consulta_externa</v>
          </cell>
          <cell r="J2243" t="str">
            <v>bueno</v>
          </cell>
          <cell r="K2243" t="str">
            <v>probsi</v>
          </cell>
        </row>
        <row r="2244">
          <cell r="B2244" t="b">
            <v>1</v>
          </cell>
          <cell r="E2244" t="str">
            <v>Nuevo Porvenir</v>
          </cell>
          <cell r="H2244" t="str">
            <v>laboratorio</v>
          </cell>
          <cell r="J2244" t="str">
            <v>bueno</v>
          </cell>
          <cell r="K2244" t="str">
            <v>probsi</v>
          </cell>
        </row>
        <row r="2245">
          <cell r="B2245" t="b">
            <v>1</v>
          </cell>
          <cell r="E2245" t="str">
            <v>Nuevo Porvenir</v>
          </cell>
          <cell r="H2245" t="str">
            <v>salud_oral</v>
          </cell>
          <cell r="J2245" t="str">
            <v>bueno</v>
          </cell>
          <cell r="K2245" t="str">
            <v>probsi</v>
          </cell>
        </row>
        <row r="2246">
          <cell r="B2246" t="b">
            <v>1</v>
          </cell>
          <cell r="E2246" t="str">
            <v>Puerto Rey</v>
          </cell>
          <cell r="H2246" t="str">
            <v>consulta_externa</v>
          </cell>
          <cell r="J2246" t="str">
            <v>bueno</v>
          </cell>
          <cell r="K2246" t="str">
            <v>defsi</v>
          </cell>
        </row>
        <row r="2247">
          <cell r="B2247" t="b">
            <v>1</v>
          </cell>
          <cell r="E2247" t="str">
            <v>Puerto Rey</v>
          </cell>
          <cell r="H2247" t="str">
            <v>consulta_externa</v>
          </cell>
          <cell r="J2247" t="str">
            <v>bueno</v>
          </cell>
          <cell r="K2247" t="str">
            <v>defsi</v>
          </cell>
        </row>
        <row r="2248">
          <cell r="B2248" t="b">
            <v>1</v>
          </cell>
          <cell r="E2248" t="str">
            <v>Puerto Rey</v>
          </cell>
          <cell r="H2248" t="str">
            <v>salud_oral</v>
          </cell>
          <cell r="J2248" t="str">
            <v>bueno</v>
          </cell>
          <cell r="K2248" t="str">
            <v>defsi</v>
          </cell>
        </row>
        <row r="2249">
          <cell r="B2249" t="b">
            <v>1</v>
          </cell>
          <cell r="E2249" t="str">
            <v>Nuevo Porvenir</v>
          </cell>
          <cell r="H2249" t="str">
            <v>consulta_externa</v>
          </cell>
          <cell r="J2249" t="str">
            <v>bueno</v>
          </cell>
          <cell r="K2249" t="str">
            <v>probsi</v>
          </cell>
        </row>
        <row r="2250">
          <cell r="B2250" t="b">
            <v>1</v>
          </cell>
          <cell r="E2250" t="str">
            <v>San Francisco I</v>
          </cell>
          <cell r="H2250" t="str">
            <v>consulta_externa</v>
          </cell>
          <cell r="J2250" t="str">
            <v>bueno</v>
          </cell>
          <cell r="K2250" t="str">
            <v>defsi</v>
          </cell>
        </row>
        <row r="2251">
          <cell r="B2251" t="b">
            <v>1</v>
          </cell>
          <cell r="E2251" t="str">
            <v>Nuevo Porvenir</v>
          </cell>
          <cell r="H2251" t="str">
            <v>salud_oral</v>
          </cell>
          <cell r="J2251" t="str">
            <v>bueno</v>
          </cell>
          <cell r="K2251" t="str">
            <v>probsi</v>
          </cell>
        </row>
        <row r="2252">
          <cell r="B2252" t="b">
            <v>1</v>
          </cell>
          <cell r="E2252" t="str">
            <v>Nuevo Porvenir</v>
          </cell>
          <cell r="H2252" t="str">
            <v>laboratorio</v>
          </cell>
          <cell r="J2252" t="str">
            <v>bueno</v>
          </cell>
          <cell r="K2252" t="str">
            <v>probsi</v>
          </cell>
        </row>
        <row r="2253">
          <cell r="B2253" t="b">
            <v>1</v>
          </cell>
          <cell r="E2253" t="str">
            <v>San Francisco I</v>
          </cell>
          <cell r="H2253" t="str">
            <v>salud_oral</v>
          </cell>
          <cell r="J2253" t="str">
            <v>bueno</v>
          </cell>
          <cell r="K2253" t="str">
            <v>defsi</v>
          </cell>
        </row>
        <row r="2254">
          <cell r="B2254" t="b">
            <v>1</v>
          </cell>
          <cell r="E2254" t="str">
            <v>San Francisco I</v>
          </cell>
          <cell r="H2254" t="str">
            <v>laboratorio</v>
          </cell>
          <cell r="J2254" t="str">
            <v>bueno</v>
          </cell>
          <cell r="K2254" t="str">
            <v>defsi</v>
          </cell>
        </row>
        <row r="2255">
          <cell r="B2255" t="b">
            <v>1</v>
          </cell>
          <cell r="E2255" t="str">
            <v>Puerto Rey</v>
          </cell>
          <cell r="H2255" t="str">
            <v>consulta_externa</v>
          </cell>
          <cell r="J2255" t="str">
            <v>bueno</v>
          </cell>
          <cell r="K2255" t="str">
            <v>probsi</v>
          </cell>
        </row>
        <row r="2256">
          <cell r="B2256" t="b">
            <v>1</v>
          </cell>
          <cell r="E2256" t="str">
            <v>San Francisco I</v>
          </cell>
          <cell r="H2256" t="str">
            <v>consulta_externa</v>
          </cell>
          <cell r="J2256" t="str">
            <v>bueno</v>
          </cell>
          <cell r="K2256" t="str">
            <v>defsi</v>
          </cell>
        </row>
        <row r="2257">
          <cell r="B2257" t="b">
            <v>1</v>
          </cell>
          <cell r="E2257" t="str">
            <v>San Francisco I</v>
          </cell>
          <cell r="H2257" t="str">
            <v>salud_oral</v>
          </cell>
          <cell r="J2257" t="str">
            <v>bueno</v>
          </cell>
          <cell r="K2257" t="str">
            <v>defsi</v>
          </cell>
        </row>
        <row r="2258">
          <cell r="B2258" t="b">
            <v>1</v>
          </cell>
          <cell r="E2258" t="str">
            <v>Santa Ana</v>
          </cell>
          <cell r="H2258" t="str">
            <v>consulta_externa</v>
          </cell>
          <cell r="J2258" t="str">
            <v>muybueno</v>
          </cell>
          <cell r="K2258" t="str">
            <v>defsi</v>
          </cell>
        </row>
        <row r="2259">
          <cell r="B2259" t="b">
            <v>1</v>
          </cell>
          <cell r="E2259" t="str">
            <v>Santa Ana</v>
          </cell>
          <cell r="H2259" t="str">
            <v>laboratorio</v>
          </cell>
          <cell r="J2259" t="str">
            <v>muybueno</v>
          </cell>
          <cell r="K2259" t="str">
            <v>defsi</v>
          </cell>
        </row>
        <row r="2260">
          <cell r="B2260" t="b">
            <v>1</v>
          </cell>
          <cell r="E2260" t="str">
            <v>Puerto Rey</v>
          </cell>
          <cell r="H2260" t="str">
            <v>consulta_externa</v>
          </cell>
          <cell r="J2260" t="str">
            <v>bueno</v>
          </cell>
          <cell r="K2260" t="str">
            <v>probsi</v>
          </cell>
        </row>
        <row r="2261">
          <cell r="B2261" t="b">
            <v>1</v>
          </cell>
          <cell r="E2261" t="str">
            <v>San Francisco I</v>
          </cell>
          <cell r="H2261" t="str">
            <v>laboratorio</v>
          </cell>
          <cell r="J2261" t="str">
            <v>bueno</v>
          </cell>
          <cell r="K2261" t="str">
            <v>defsi</v>
          </cell>
        </row>
        <row r="2262">
          <cell r="B2262" t="b">
            <v>1</v>
          </cell>
          <cell r="E2262" t="str">
            <v>Puerto Rey</v>
          </cell>
          <cell r="H2262" t="str">
            <v>consulta_externa</v>
          </cell>
          <cell r="J2262" t="str">
            <v>bueno</v>
          </cell>
          <cell r="K2262" t="str">
            <v>probsi</v>
          </cell>
        </row>
        <row r="2263">
          <cell r="B2263" t="b">
            <v>1</v>
          </cell>
          <cell r="E2263" t="str">
            <v>Puerto Rey</v>
          </cell>
          <cell r="H2263" t="str">
            <v>salud_oral</v>
          </cell>
          <cell r="J2263" t="str">
            <v>bueno</v>
          </cell>
          <cell r="K2263" t="str">
            <v>probsi</v>
          </cell>
        </row>
        <row r="2264">
          <cell r="B2264" t="b">
            <v>1</v>
          </cell>
          <cell r="E2264" t="str">
            <v>San Francisco I</v>
          </cell>
          <cell r="H2264" t="str">
            <v>consulta_externa</v>
          </cell>
          <cell r="J2264" t="str">
            <v>bueno</v>
          </cell>
          <cell r="K2264" t="str">
            <v>defsi</v>
          </cell>
        </row>
        <row r="2265">
          <cell r="B2265" t="b">
            <v>1</v>
          </cell>
          <cell r="E2265" t="str">
            <v>Puerto Rey</v>
          </cell>
          <cell r="H2265" t="str">
            <v>consulta_externa</v>
          </cell>
          <cell r="J2265" t="str">
            <v>bueno</v>
          </cell>
          <cell r="K2265" t="str">
            <v>probsi</v>
          </cell>
        </row>
        <row r="2266">
          <cell r="B2266" t="b">
            <v>1</v>
          </cell>
          <cell r="E2266" t="str">
            <v>Los Cerros</v>
          </cell>
          <cell r="H2266" t="str">
            <v>laboratorio</v>
          </cell>
          <cell r="J2266" t="str">
            <v>bueno</v>
          </cell>
          <cell r="K2266" t="str">
            <v>defsi</v>
          </cell>
        </row>
        <row r="2267">
          <cell r="B2267" t="b">
            <v>1</v>
          </cell>
          <cell r="E2267" t="str">
            <v>Nuevo Porvenir</v>
          </cell>
          <cell r="H2267" t="str">
            <v>consulta_externa</v>
          </cell>
          <cell r="J2267" t="str">
            <v>bueno</v>
          </cell>
          <cell r="K2267" t="str">
            <v>probsi</v>
          </cell>
        </row>
        <row r="2268">
          <cell r="B2268" t="b">
            <v>1</v>
          </cell>
          <cell r="E2268" t="str">
            <v>Los Cerros</v>
          </cell>
          <cell r="H2268" t="str">
            <v>consulta_externa</v>
          </cell>
          <cell r="J2268" t="str">
            <v>bueno</v>
          </cell>
          <cell r="K2268" t="str">
            <v>defsi</v>
          </cell>
        </row>
        <row r="2269">
          <cell r="B2269" t="b">
            <v>1</v>
          </cell>
          <cell r="E2269" t="str">
            <v>Nuevo Porvenir</v>
          </cell>
          <cell r="H2269" t="str">
            <v>salud_oral</v>
          </cell>
          <cell r="J2269" t="str">
            <v>bueno</v>
          </cell>
          <cell r="K2269" t="str">
            <v>probsi</v>
          </cell>
        </row>
        <row r="2270">
          <cell r="B2270" t="b">
            <v>1</v>
          </cell>
          <cell r="E2270" t="str">
            <v>Nuevo Porvenir</v>
          </cell>
          <cell r="H2270" t="str">
            <v>laboratorio</v>
          </cell>
          <cell r="J2270" t="str">
            <v>bueno</v>
          </cell>
          <cell r="K2270" t="str">
            <v>probsi</v>
          </cell>
        </row>
        <row r="2271">
          <cell r="B2271" t="b">
            <v>1</v>
          </cell>
          <cell r="E2271" t="str">
            <v>San Francisco I</v>
          </cell>
          <cell r="H2271" t="str">
            <v>salud_oral</v>
          </cell>
          <cell r="J2271" t="str">
            <v>bueno</v>
          </cell>
          <cell r="K2271" t="str">
            <v>defsi</v>
          </cell>
        </row>
        <row r="2272">
          <cell r="B2272" t="b">
            <v>1</v>
          </cell>
          <cell r="E2272" t="str">
            <v>Nuevo Porvenir</v>
          </cell>
          <cell r="H2272" t="str">
            <v>consulta_externa</v>
          </cell>
          <cell r="J2272" t="str">
            <v>bueno</v>
          </cell>
          <cell r="K2272" t="str">
            <v>probsi</v>
          </cell>
        </row>
        <row r="2273">
          <cell r="B2273" t="b">
            <v>1</v>
          </cell>
          <cell r="E2273" t="str">
            <v>Nuevo Porvenir</v>
          </cell>
          <cell r="H2273" t="str">
            <v>laboratorio</v>
          </cell>
          <cell r="J2273" t="str">
            <v>bueno</v>
          </cell>
          <cell r="K2273" t="str">
            <v>probsi</v>
          </cell>
        </row>
        <row r="2274">
          <cell r="B2274" t="b">
            <v>1</v>
          </cell>
          <cell r="E2274" t="str">
            <v>Puerto Rey</v>
          </cell>
          <cell r="H2274" t="str">
            <v>salud_oral</v>
          </cell>
          <cell r="J2274" t="str">
            <v>bueno</v>
          </cell>
          <cell r="K2274" t="str">
            <v>probsi</v>
          </cell>
        </row>
        <row r="2275">
          <cell r="B2275" t="b">
            <v>1</v>
          </cell>
          <cell r="E2275" t="str">
            <v>Los Cerros</v>
          </cell>
          <cell r="H2275" t="str">
            <v>pediatria</v>
          </cell>
          <cell r="J2275" t="str">
            <v>muybueno</v>
          </cell>
          <cell r="K2275" t="str">
            <v>defsi</v>
          </cell>
        </row>
        <row r="2276">
          <cell r="B2276" t="b">
            <v>1</v>
          </cell>
          <cell r="E2276" t="str">
            <v>San Francisco I</v>
          </cell>
          <cell r="H2276" t="str">
            <v>laboratorio</v>
          </cell>
          <cell r="J2276" t="str">
            <v>bueno</v>
          </cell>
          <cell r="K2276" t="str">
            <v>defsi</v>
          </cell>
        </row>
        <row r="2277">
          <cell r="B2277" t="b">
            <v>1</v>
          </cell>
          <cell r="E2277" t="str">
            <v>San Francisco I</v>
          </cell>
          <cell r="H2277" t="str">
            <v>consulta_externa</v>
          </cell>
          <cell r="J2277" t="str">
            <v>bueno</v>
          </cell>
          <cell r="K2277" t="str">
            <v>defsi</v>
          </cell>
        </row>
        <row r="2278">
          <cell r="B2278" t="b">
            <v>1</v>
          </cell>
          <cell r="E2278" t="str">
            <v>Nuevo Porvenir</v>
          </cell>
          <cell r="H2278" t="str">
            <v>salud_oral</v>
          </cell>
          <cell r="J2278" t="str">
            <v>bueno</v>
          </cell>
          <cell r="K2278" t="str">
            <v>probsi</v>
          </cell>
        </row>
        <row r="2279">
          <cell r="B2279" t="b">
            <v>1</v>
          </cell>
          <cell r="E2279" t="str">
            <v>San Francisco I</v>
          </cell>
          <cell r="H2279" t="str">
            <v>salud_oral</v>
          </cell>
          <cell r="J2279" t="str">
            <v>bueno</v>
          </cell>
          <cell r="K2279" t="str">
            <v>defsi</v>
          </cell>
        </row>
        <row r="2280">
          <cell r="B2280" t="b">
            <v>1</v>
          </cell>
          <cell r="E2280" t="str">
            <v>San Francisco I</v>
          </cell>
          <cell r="H2280" t="str">
            <v>laboratorio</v>
          </cell>
          <cell r="J2280" t="str">
            <v>bueno</v>
          </cell>
          <cell r="K2280" t="str">
            <v>defsi</v>
          </cell>
        </row>
        <row r="2281">
          <cell r="B2281" t="b">
            <v>1</v>
          </cell>
          <cell r="E2281" t="str">
            <v>San Francisco I</v>
          </cell>
          <cell r="H2281" t="str">
            <v>consulta_externa</v>
          </cell>
          <cell r="J2281" t="str">
            <v>bueno</v>
          </cell>
          <cell r="K2281" t="str">
            <v>defsi</v>
          </cell>
        </row>
        <row r="2282">
          <cell r="B2282" t="b">
            <v>1</v>
          </cell>
          <cell r="E2282" t="str">
            <v>Puerto Rey</v>
          </cell>
          <cell r="H2282" t="str">
            <v>consulta_externa</v>
          </cell>
          <cell r="J2282" t="str">
            <v>bueno</v>
          </cell>
          <cell r="K2282" t="str">
            <v>defsi</v>
          </cell>
        </row>
        <row r="2283">
          <cell r="B2283" t="b">
            <v>1</v>
          </cell>
          <cell r="E2283" t="str">
            <v>Santa Ana</v>
          </cell>
          <cell r="H2283" t="str">
            <v>consulta_externa</v>
          </cell>
          <cell r="J2283" t="str">
            <v>muybueno</v>
          </cell>
          <cell r="K2283" t="str">
            <v>defsi</v>
          </cell>
        </row>
        <row r="2284">
          <cell r="B2284" t="b">
            <v>1</v>
          </cell>
          <cell r="E2284" t="str">
            <v>Los Cerros</v>
          </cell>
          <cell r="H2284" t="str">
            <v>consulta_externa</v>
          </cell>
          <cell r="J2284" t="str">
            <v>muybueno</v>
          </cell>
          <cell r="K2284" t="str">
            <v>defsi</v>
          </cell>
        </row>
        <row r="2285">
          <cell r="B2285" t="b">
            <v>1</v>
          </cell>
          <cell r="E2285" t="str">
            <v>Los Cerros</v>
          </cell>
          <cell r="H2285" t="str">
            <v>pediatria</v>
          </cell>
          <cell r="J2285" t="str">
            <v>bueno</v>
          </cell>
          <cell r="K2285" t="str">
            <v>defsi</v>
          </cell>
        </row>
        <row r="2286">
          <cell r="B2286" t="b">
            <v>1</v>
          </cell>
          <cell r="E2286" t="str">
            <v>Los Cerros</v>
          </cell>
          <cell r="H2286" t="str">
            <v>pediatria</v>
          </cell>
          <cell r="J2286" t="str">
            <v>bueno</v>
          </cell>
          <cell r="K2286" t="str">
            <v>defsi</v>
          </cell>
        </row>
        <row r="2287">
          <cell r="B2287" t="b">
            <v>1</v>
          </cell>
          <cell r="E2287" t="str">
            <v>Los Cerros</v>
          </cell>
          <cell r="H2287" t="str">
            <v>consulta_externa</v>
          </cell>
          <cell r="J2287" t="str">
            <v>bueno</v>
          </cell>
          <cell r="K2287" t="str">
            <v>defsi</v>
          </cell>
        </row>
        <row r="2288">
          <cell r="B2288" t="b">
            <v>1</v>
          </cell>
          <cell r="E2288" t="str">
            <v>Los Cerros</v>
          </cell>
          <cell r="H2288" t="str">
            <v>medicina_interna</v>
          </cell>
          <cell r="J2288" t="str">
            <v>bueno</v>
          </cell>
          <cell r="K2288" t="str">
            <v>defsi</v>
          </cell>
        </row>
        <row r="2289">
          <cell r="B2289" t="b">
            <v>0</v>
          </cell>
          <cell r="E2289" t="str">
            <v>Los Cerros</v>
          </cell>
          <cell r="H2289" t="str">
            <v>laboratorio</v>
          </cell>
          <cell r="J2289" t="str">
            <v>regular</v>
          </cell>
          <cell r="K2289" t="str">
            <v>defsi</v>
          </cell>
        </row>
        <row r="2290">
          <cell r="B2290" t="b">
            <v>1</v>
          </cell>
          <cell r="E2290" t="str">
            <v>Los Cerros</v>
          </cell>
          <cell r="H2290" t="str">
            <v>pediatria</v>
          </cell>
          <cell r="J2290" t="str">
            <v>bueno</v>
          </cell>
          <cell r="K2290" t="str">
            <v>defsi</v>
          </cell>
        </row>
        <row r="2291">
          <cell r="B2291" t="b">
            <v>1</v>
          </cell>
          <cell r="E2291" t="str">
            <v>Los Cerros</v>
          </cell>
          <cell r="H2291" t="str">
            <v>medicina_interna</v>
          </cell>
          <cell r="J2291" t="str">
            <v>bueno</v>
          </cell>
          <cell r="K2291" t="str">
            <v>defsi</v>
          </cell>
        </row>
        <row r="2292">
          <cell r="B2292" t="b">
            <v>1</v>
          </cell>
          <cell r="E2292" t="str">
            <v>Los Cerros</v>
          </cell>
          <cell r="H2292" t="str">
            <v>ecografias</v>
          </cell>
          <cell r="J2292" t="str">
            <v>bueno</v>
          </cell>
          <cell r="K2292" t="str">
            <v>defsi</v>
          </cell>
        </row>
        <row r="2293">
          <cell r="B2293" t="b">
            <v>1</v>
          </cell>
          <cell r="E2293" t="str">
            <v>Los Cerros</v>
          </cell>
          <cell r="H2293" t="str">
            <v>consulta_externa</v>
          </cell>
          <cell r="J2293" t="str">
            <v>bueno</v>
          </cell>
          <cell r="K2293" t="str">
            <v>defsi</v>
          </cell>
        </row>
        <row r="2294">
          <cell r="B2294" t="b">
            <v>1</v>
          </cell>
          <cell r="E2294" t="str">
            <v>Los Cerros</v>
          </cell>
          <cell r="H2294" t="str">
            <v>pediatria</v>
          </cell>
          <cell r="J2294" t="str">
            <v>bueno</v>
          </cell>
          <cell r="K2294" t="str">
            <v>defsi</v>
          </cell>
        </row>
        <row r="2295">
          <cell r="B2295" t="b">
            <v>1</v>
          </cell>
          <cell r="E2295" t="str">
            <v>Santa Ana</v>
          </cell>
          <cell r="H2295" t="str">
            <v>consulta_externa</v>
          </cell>
          <cell r="J2295" t="str">
            <v>muybueno</v>
          </cell>
          <cell r="K2295" t="str">
            <v>defsi</v>
          </cell>
        </row>
        <row r="2296">
          <cell r="B2296" t="b">
            <v>1</v>
          </cell>
          <cell r="E2296" t="str">
            <v>Santa Ana</v>
          </cell>
          <cell r="H2296" t="str">
            <v>laboratorio</v>
          </cell>
          <cell r="J2296" t="str">
            <v>muybueno</v>
          </cell>
          <cell r="K2296" t="str">
            <v>defsi</v>
          </cell>
        </row>
        <row r="2297">
          <cell r="B2297" t="b">
            <v>1</v>
          </cell>
          <cell r="E2297" t="str">
            <v>Los Cerros</v>
          </cell>
          <cell r="H2297" t="str">
            <v>salud_oral</v>
          </cell>
          <cell r="J2297" t="str">
            <v>muybueno</v>
          </cell>
          <cell r="K2297" t="str">
            <v>defsi</v>
          </cell>
        </row>
        <row r="2298">
          <cell r="B2298" t="b">
            <v>1</v>
          </cell>
          <cell r="E2298" t="str">
            <v>Fredonia</v>
          </cell>
          <cell r="H2298" t="str">
            <v>consulta_externa</v>
          </cell>
          <cell r="J2298" t="str">
            <v>bueno</v>
          </cell>
          <cell r="K2298" t="str">
            <v>probsi</v>
          </cell>
        </row>
        <row r="2299">
          <cell r="B2299" t="b">
            <v>1</v>
          </cell>
          <cell r="E2299" t="str">
            <v>Fredonia</v>
          </cell>
          <cell r="H2299" t="str">
            <v>laboratorio</v>
          </cell>
          <cell r="J2299" t="str">
            <v>bueno</v>
          </cell>
          <cell r="K2299" t="str">
            <v>probsi</v>
          </cell>
        </row>
        <row r="2300">
          <cell r="B2300" t="b">
            <v>1</v>
          </cell>
          <cell r="E2300" t="str">
            <v>Fredonia</v>
          </cell>
          <cell r="H2300" t="str">
            <v>consulta_externa</v>
          </cell>
          <cell r="J2300" t="str">
            <v>bueno</v>
          </cell>
          <cell r="K2300" t="str">
            <v>probsi</v>
          </cell>
        </row>
        <row r="2301">
          <cell r="B2301" t="b">
            <v>1</v>
          </cell>
          <cell r="E2301" t="str">
            <v>Fredonia</v>
          </cell>
          <cell r="H2301" t="str">
            <v>salud_oral</v>
          </cell>
          <cell r="J2301" t="str">
            <v>bueno</v>
          </cell>
          <cell r="K2301" t="str">
            <v>probsi</v>
          </cell>
        </row>
        <row r="2302">
          <cell r="B2302" t="b">
            <v>1</v>
          </cell>
          <cell r="E2302" t="str">
            <v>Los Cerros</v>
          </cell>
          <cell r="H2302" t="str">
            <v>salud_oral</v>
          </cell>
          <cell r="J2302" t="str">
            <v>bueno</v>
          </cell>
          <cell r="K2302" t="str">
            <v>defsi</v>
          </cell>
        </row>
        <row r="2303">
          <cell r="B2303" t="b">
            <v>1</v>
          </cell>
          <cell r="E2303" t="str">
            <v>Fredonia</v>
          </cell>
          <cell r="H2303" t="str">
            <v>consulta_externa</v>
          </cell>
          <cell r="J2303" t="str">
            <v>bueno</v>
          </cell>
          <cell r="K2303" t="str">
            <v>probsi</v>
          </cell>
        </row>
        <row r="2304">
          <cell r="B2304" t="b">
            <v>1</v>
          </cell>
          <cell r="E2304" t="str">
            <v>Fredonia</v>
          </cell>
          <cell r="H2304" t="str">
            <v>laboratorio</v>
          </cell>
          <cell r="J2304" t="str">
            <v>bueno</v>
          </cell>
          <cell r="K2304" t="str">
            <v>probsi</v>
          </cell>
        </row>
        <row r="2305">
          <cell r="B2305" t="b">
            <v>1</v>
          </cell>
          <cell r="E2305" t="str">
            <v>Los Cerros</v>
          </cell>
          <cell r="H2305" t="str">
            <v>consulta_externa</v>
          </cell>
          <cell r="J2305" t="str">
            <v>bueno</v>
          </cell>
          <cell r="K2305" t="str">
            <v>defsi</v>
          </cell>
        </row>
        <row r="2306">
          <cell r="B2306" t="b">
            <v>1</v>
          </cell>
          <cell r="E2306" t="str">
            <v>Fredonia</v>
          </cell>
          <cell r="H2306" t="str">
            <v>consulta_externa</v>
          </cell>
          <cell r="J2306" t="str">
            <v>bueno</v>
          </cell>
          <cell r="K2306" t="str">
            <v>probsi</v>
          </cell>
        </row>
        <row r="2307">
          <cell r="B2307" t="b">
            <v>1</v>
          </cell>
          <cell r="E2307" t="str">
            <v>Santa Ana</v>
          </cell>
          <cell r="H2307" t="str">
            <v>salud_oral</v>
          </cell>
          <cell r="J2307" t="str">
            <v>muybueno</v>
          </cell>
          <cell r="K2307" t="str">
            <v>defsi</v>
          </cell>
        </row>
        <row r="2308">
          <cell r="B2308" t="b">
            <v>1</v>
          </cell>
          <cell r="E2308" t="str">
            <v>Los Cerros</v>
          </cell>
          <cell r="H2308" t="str">
            <v>laboratorio</v>
          </cell>
          <cell r="J2308" t="str">
            <v>bueno</v>
          </cell>
          <cell r="K2308" t="str">
            <v>defsi</v>
          </cell>
        </row>
        <row r="2309">
          <cell r="B2309" t="b">
            <v>1</v>
          </cell>
          <cell r="E2309" t="str">
            <v>Fredonia</v>
          </cell>
          <cell r="H2309" t="str">
            <v>salud_oral</v>
          </cell>
          <cell r="J2309" t="str">
            <v>bueno</v>
          </cell>
          <cell r="K2309" t="str">
            <v>probsi</v>
          </cell>
        </row>
        <row r="2310">
          <cell r="B2310" t="b">
            <v>1</v>
          </cell>
          <cell r="E2310" t="str">
            <v>Los Cerros</v>
          </cell>
          <cell r="H2310" t="str">
            <v>consulta_externa</v>
          </cell>
          <cell r="J2310" t="str">
            <v>bueno</v>
          </cell>
          <cell r="K2310" t="str">
            <v>defsi</v>
          </cell>
        </row>
        <row r="2311">
          <cell r="B2311" t="b">
            <v>1</v>
          </cell>
          <cell r="E2311" t="str">
            <v>Los Cerros</v>
          </cell>
          <cell r="H2311" t="str">
            <v>consulta_externa</v>
          </cell>
          <cell r="J2311" t="str">
            <v>bueno</v>
          </cell>
          <cell r="K2311" t="str">
            <v>defsi</v>
          </cell>
        </row>
        <row r="2312">
          <cell r="B2312" t="b">
            <v>1</v>
          </cell>
          <cell r="E2312" t="str">
            <v>Los Cerros</v>
          </cell>
          <cell r="H2312" t="str">
            <v>laboratorio</v>
          </cell>
          <cell r="J2312" t="str">
            <v>bueno</v>
          </cell>
          <cell r="K2312" t="str">
            <v>defsi</v>
          </cell>
        </row>
        <row r="2313">
          <cell r="B2313" t="b">
            <v>1</v>
          </cell>
          <cell r="E2313" t="str">
            <v>Los Cerros</v>
          </cell>
          <cell r="H2313" t="str">
            <v>medicina_interna</v>
          </cell>
          <cell r="J2313" t="str">
            <v>bueno</v>
          </cell>
          <cell r="K2313" t="str">
            <v>defsi</v>
          </cell>
        </row>
        <row r="2314">
          <cell r="B2314" t="b">
            <v>1</v>
          </cell>
          <cell r="E2314" t="str">
            <v>Los Cerros</v>
          </cell>
          <cell r="H2314" t="str">
            <v>laboratorio</v>
          </cell>
          <cell r="J2314" t="str">
            <v>bueno</v>
          </cell>
          <cell r="K2314" t="str">
            <v>defsi</v>
          </cell>
        </row>
        <row r="2315">
          <cell r="B2315" t="b">
            <v>1</v>
          </cell>
          <cell r="E2315" t="str">
            <v>Los Cerros</v>
          </cell>
          <cell r="H2315" t="str">
            <v>laboratorio</v>
          </cell>
          <cell r="J2315" t="str">
            <v>bueno</v>
          </cell>
          <cell r="K2315" t="str">
            <v>defsi</v>
          </cell>
        </row>
        <row r="2316">
          <cell r="B2316" t="b">
            <v>1</v>
          </cell>
          <cell r="E2316" t="str">
            <v>Los Cerros</v>
          </cell>
          <cell r="H2316" t="str">
            <v>laboratorio</v>
          </cell>
          <cell r="J2316" t="str">
            <v>bueno</v>
          </cell>
          <cell r="K2316" t="str">
            <v>defsi</v>
          </cell>
        </row>
        <row r="2317">
          <cell r="B2317" t="b">
            <v>1</v>
          </cell>
          <cell r="E2317" t="str">
            <v>Los Cerros</v>
          </cell>
          <cell r="H2317" t="str">
            <v>pediatria</v>
          </cell>
          <cell r="J2317" t="str">
            <v>bueno</v>
          </cell>
          <cell r="K2317" t="str">
            <v>defsi</v>
          </cell>
        </row>
        <row r="2318">
          <cell r="B2318" t="b">
            <v>1</v>
          </cell>
          <cell r="E2318" t="str">
            <v>Los Cerros</v>
          </cell>
          <cell r="H2318" t="str">
            <v>pediatria</v>
          </cell>
          <cell r="J2318" t="str">
            <v>bueno</v>
          </cell>
          <cell r="K2318" t="str">
            <v>defsi</v>
          </cell>
        </row>
        <row r="2319">
          <cell r="B2319" t="b">
            <v>1</v>
          </cell>
          <cell r="E2319" t="str">
            <v>Fredonia</v>
          </cell>
          <cell r="H2319" t="str">
            <v>salud_oral</v>
          </cell>
          <cell r="J2319" t="str">
            <v>bueno</v>
          </cell>
          <cell r="K2319" t="str">
            <v>probsi</v>
          </cell>
        </row>
        <row r="2320">
          <cell r="B2320" t="b">
            <v>1</v>
          </cell>
          <cell r="E2320" t="str">
            <v>Fredonia</v>
          </cell>
          <cell r="H2320" t="str">
            <v>consulta_externa</v>
          </cell>
          <cell r="J2320" t="str">
            <v>bueno</v>
          </cell>
          <cell r="K2320" t="str">
            <v>probsi</v>
          </cell>
        </row>
        <row r="2321">
          <cell r="B2321" t="b">
            <v>1</v>
          </cell>
          <cell r="E2321" t="str">
            <v>Fredonia</v>
          </cell>
          <cell r="H2321" t="str">
            <v>salud_oral</v>
          </cell>
          <cell r="J2321" t="str">
            <v>bueno</v>
          </cell>
          <cell r="K2321" t="str">
            <v>probsi</v>
          </cell>
        </row>
        <row r="2322">
          <cell r="B2322" t="b">
            <v>1</v>
          </cell>
          <cell r="E2322" t="str">
            <v>Fredonia</v>
          </cell>
          <cell r="H2322" t="str">
            <v>consulta_externa</v>
          </cell>
          <cell r="J2322" t="str">
            <v>bueno</v>
          </cell>
          <cell r="K2322" t="str">
            <v>probsi</v>
          </cell>
        </row>
        <row r="2323">
          <cell r="B2323" t="b">
            <v>1</v>
          </cell>
          <cell r="E2323" t="str">
            <v>Fredonia</v>
          </cell>
          <cell r="H2323" t="str">
            <v>laboratorio</v>
          </cell>
          <cell r="J2323" t="str">
            <v>bueno</v>
          </cell>
          <cell r="K2323" t="str">
            <v>probsi</v>
          </cell>
        </row>
        <row r="2324">
          <cell r="B2324" t="b">
            <v>1</v>
          </cell>
          <cell r="E2324" t="str">
            <v>Santa Ana</v>
          </cell>
          <cell r="H2324" t="str">
            <v>consulta_externa</v>
          </cell>
          <cell r="J2324" t="str">
            <v>muybueno</v>
          </cell>
          <cell r="K2324" t="str">
            <v>defsi</v>
          </cell>
        </row>
        <row r="2325">
          <cell r="B2325" t="b">
            <v>0</v>
          </cell>
          <cell r="E2325" t="str">
            <v>Fredonia</v>
          </cell>
          <cell r="H2325" t="str">
            <v>consulta_externa</v>
          </cell>
          <cell r="J2325" t="str">
            <v>regular</v>
          </cell>
          <cell r="K2325" t="str">
            <v>probsi</v>
          </cell>
        </row>
        <row r="2326">
          <cell r="B2326" t="b">
            <v>0</v>
          </cell>
          <cell r="E2326" t="str">
            <v>Fredonia</v>
          </cell>
          <cell r="H2326" t="str">
            <v>salud_oral</v>
          </cell>
          <cell r="J2326" t="str">
            <v>regular</v>
          </cell>
          <cell r="K2326" t="str">
            <v>probsi</v>
          </cell>
        </row>
        <row r="2327">
          <cell r="B2327" t="b">
            <v>1</v>
          </cell>
          <cell r="E2327" t="str">
            <v>Tierra Baja</v>
          </cell>
          <cell r="H2327" t="str">
            <v>consulta_externa</v>
          </cell>
          <cell r="J2327" t="str">
            <v>bueno</v>
          </cell>
          <cell r="K2327" t="str">
            <v>defsi</v>
          </cell>
        </row>
        <row r="2328">
          <cell r="B2328" t="b">
            <v>1</v>
          </cell>
          <cell r="E2328" t="str">
            <v>Tierra Baja</v>
          </cell>
          <cell r="H2328" t="str">
            <v>consulta_externa</v>
          </cell>
          <cell r="J2328" t="str">
            <v>bueno</v>
          </cell>
          <cell r="K2328" t="str">
            <v>defsi</v>
          </cell>
        </row>
        <row r="2329">
          <cell r="B2329" t="b">
            <v>1</v>
          </cell>
          <cell r="E2329" t="str">
            <v>Fredonia</v>
          </cell>
          <cell r="H2329" t="str">
            <v>consulta_externa</v>
          </cell>
          <cell r="J2329" t="str">
            <v>bueno</v>
          </cell>
          <cell r="K2329" t="str">
            <v>probsi</v>
          </cell>
        </row>
        <row r="2330">
          <cell r="B2330" t="b">
            <v>1</v>
          </cell>
          <cell r="E2330" t="str">
            <v>Fredonia</v>
          </cell>
          <cell r="H2330" t="str">
            <v>laboratorio</v>
          </cell>
          <cell r="J2330" t="str">
            <v>bueno</v>
          </cell>
          <cell r="K2330" t="str">
            <v>probsi</v>
          </cell>
        </row>
        <row r="2331">
          <cell r="B2331" t="b">
            <v>1</v>
          </cell>
          <cell r="E2331" t="str">
            <v>Tierra Baja</v>
          </cell>
          <cell r="H2331" t="str">
            <v>laboratorio</v>
          </cell>
          <cell r="J2331" t="str">
            <v>bueno</v>
          </cell>
          <cell r="K2331" t="str">
            <v>defsi</v>
          </cell>
        </row>
        <row r="2332">
          <cell r="B2332" t="b">
            <v>1</v>
          </cell>
          <cell r="E2332" t="str">
            <v>Fredonia</v>
          </cell>
          <cell r="H2332" t="str">
            <v>consulta_externa</v>
          </cell>
          <cell r="J2332" t="str">
            <v>bueno</v>
          </cell>
          <cell r="K2332" t="str">
            <v>probsi</v>
          </cell>
        </row>
        <row r="2333">
          <cell r="B2333" t="b">
            <v>1</v>
          </cell>
          <cell r="E2333" t="str">
            <v>Fredonia</v>
          </cell>
          <cell r="H2333" t="str">
            <v>consulta_externa</v>
          </cell>
          <cell r="J2333" t="str">
            <v>bueno</v>
          </cell>
          <cell r="K2333" t="str">
            <v>probsi</v>
          </cell>
        </row>
        <row r="2334">
          <cell r="B2334" t="b">
            <v>1</v>
          </cell>
          <cell r="E2334" t="str">
            <v>Fredonia</v>
          </cell>
          <cell r="H2334" t="str">
            <v>consulta_externa</v>
          </cell>
          <cell r="J2334" t="str">
            <v>bueno</v>
          </cell>
          <cell r="K2334" t="str">
            <v>probsi</v>
          </cell>
        </row>
        <row r="2335">
          <cell r="B2335" t="b">
            <v>1</v>
          </cell>
          <cell r="E2335" t="str">
            <v>Fredonia</v>
          </cell>
          <cell r="H2335" t="str">
            <v>laboratorio</v>
          </cell>
          <cell r="J2335" t="str">
            <v>bueno</v>
          </cell>
          <cell r="K2335" t="str">
            <v>probsi</v>
          </cell>
        </row>
        <row r="2336">
          <cell r="B2336" t="b">
            <v>1</v>
          </cell>
          <cell r="E2336" t="str">
            <v>Fredonia</v>
          </cell>
          <cell r="H2336" t="str">
            <v>consulta_externa</v>
          </cell>
          <cell r="J2336" t="str">
            <v>bueno</v>
          </cell>
          <cell r="K2336" t="str">
            <v>probsi</v>
          </cell>
        </row>
        <row r="2337">
          <cell r="B2337" t="b">
            <v>1</v>
          </cell>
          <cell r="E2337" t="str">
            <v>Fredonia</v>
          </cell>
          <cell r="H2337" t="str">
            <v>salud_oral</v>
          </cell>
          <cell r="J2337" t="str">
            <v>bueno</v>
          </cell>
          <cell r="K2337" t="str">
            <v>probsi</v>
          </cell>
        </row>
        <row r="2338">
          <cell r="B2338" t="b">
            <v>1</v>
          </cell>
          <cell r="E2338" t="str">
            <v>Fredonia</v>
          </cell>
          <cell r="H2338" t="str">
            <v>consulta_externa</v>
          </cell>
          <cell r="J2338" t="str">
            <v>bueno</v>
          </cell>
          <cell r="K2338" t="str">
            <v>probsi</v>
          </cell>
        </row>
        <row r="2339">
          <cell r="B2339" t="b">
            <v>1</v>
          </cell>
          <cell r="E2339" t="str">
            <v>Fredonia</v>
          </cell>
          <cell r="H2339" t="str">
            <v>laboratorio</v>
          </cell>
          <cell r="J2339" t="str">
            <v>bueno</v>
          </cell>
          <cell r="K2339" t="str">
            <v>probsi</v>
          </cell>
        </row>
        <row r="2340">
          <cell r="B2340" t="b">
            <v>1</v>
          </cell>
          <cell r="E2340" t="str">
            <v>Los Cerros</v>
          </cell>
          <cell r="H2340" t="str">
            <v>pediatria</v>
          </cell>
          <cell r="J2340" t="str">
            <v>bueno</v>
          </cell>
          <cell r="K2340" t="str">
            <v>defsi</v>
          </cell>
        </row>
        <row r="2341">
          <cell r="B2341" t="b">
            <v>1</v>
          </cell>
          <cell r="E2341" t="str">
            <v>Los Cerros</v>
          </cell>
          <cell r="H2341" t="str">
            <v>pediatria</v>
          </cell>
          <cell r="J2341" t="str">
            <v>bueno</v>
          </cell>
          <cell r="K2341" t="str">
            <v>defsi</v>
          </cell>
        </row>
        <row r="2342">
          <cell r="B2342" t="b">
            <v>1</v>
          </cell>
          <cell r="E2342" t="str">
            <v>Los Cerros</v>
          </cell>
          <cell r="H2342" t="str">
            <v>pediatria</v>
          </cell>
          <cell r="J2342" t="str">
            <v>bueno</v>
          </cell>
          <cell r="K2342" t="str">
            <v>defsi</v>
          </cell>
        </row>
        <row r="2343">
          <cell r="B2343" t="b">
            <v>1</v>
          </cell>
          <cell r="E2343" t="str">
            <v>Los Cerros</v>
          </cell>
          <cell r="H2343" t="str">
            <v>pediatria</v>
          </cell>
          <cell r="J2343" t="str">
            <v>bueno</v>
          </cell>
          <cell r="K2343" t="str">
            <v>defsi</v>
          </cell>
        </row>
        <row r="2344">
          <cell r="B2344" t="b">
            <v>1</v>
          </cell>
          <cell r="E2344" t="str">
            <v>Los Cerros</v>
          </cell>
          <cell r="H2344" t="str">
            <v>electros</v>
          </cell>
          <cell r="J2344" t="str">
            <v>bueno</v>
          </cell>
          <cell r="K2344" t="str">
            <v>defsi</v>
          </cell>
        </row>
        <row r="2345">
          <cell r="B2345" t="b">
            <v>1</v>
          </cell>
          <cell r="E2345" t="str">
            <v>Los Cerros</v>
          </cell>
          <cell r="H2345" t="str">
            <v>electros</v>
          </cell>
          <cell r="J2345" t="str">
            <v>bueno</v>
          </cell>
          <cell r="K2345" t="str">
            <v>defsi</v>
          </cell>
        </row>
        <row r="2346">
          <cell r="B2346" t="b">
            <v>1</v>
          </cell>
          <cell r="E2346" t="str">
            <v>Los Cerros</v>
          </cell>
          <cell r="H2346" t="str">
            <v>electros</v>
          </cell>
          <cell r="J2346" t="str">
            <v>bueno</v>
          </cell>
          <cell r="K2346" t="str">
            <v>defsi</v>
          </cell>
        </row>
        <row r="2347">
          <cell r="B2347" t="b">
            <v>1</v>
          </cell>
          <cell r="E2347" t="str">
            <v>Tierra Baja</v>
          </cell>
          <cell r="H2347" t="str">
            <v>salud_oral</v>
          </cell>
          <cell r="J2347" t="str">
            <v>bueno</v>
          </cell>
          <cell r="K2347" t="str">
            <v>defsi</v>
          </cell>
        </row>
        <row r="2348">
          <cell r="B2348" t="b">
            <v>1</v>
          </cell>
          <cell r="E2348" t="str">
            <v>Fredonia</v>
          </cell>
          <cell r="H2348" t="str">
            <v>consulta_externa</v>
          </cell>
          <cell r="J2348" t="str">
            <v>bueno</v>
          </cell>
          <cell r="K2348" t="str">
            <v>probsi</v>
          </cell>
        </row>
        <row r="2349">
          <cell r="B2349" t="b">
            <v>1</v>
          </cell>
          <cell r="E2349" t="str">
            <v>Fredonia</v>
          </cell>
          <cell r="H2349" t="str">
            <v>laboratorio</v>
          </cell>
          <cell r="J2349" t="str">
            <v>bueno</v>
          </cell>
          <cell r="K2349" t="str">
            <v>probsi</v>
          </cell>
        </row>
        <row r="2350">
          <cell r="B2350" t="b">
            <v>1</v>
          </cell>
          <cell r="E2350" t="str">
            <v>Santa Ana</v>
          </cell>
          <cell r="H2350" t="str">
            <v>salud_oral</v>
          </cell>
          <cell r="J2350" t="str">
            <v>muybueno</v>
          </cell>
          <cell r="K2350" t="str">
            <v>defsi</v>
          </cell>
        </row>
        <row r="2351">
          <cell r="B2351" t="b">
            <v>1</v>
          </cell>
          <cell r="E2351" t="str">
            <v>Tierra Baja</v>
          </cell>
          <cell r="H2351" t="str">
            <v>salud_oral</v>
          </cell>
          <cell r="J2351" t="str">
            <v>bueno</v>
          </cell>
          <cell r="K2351" t="str">
            <v>defsi</v>
          </cell>
        </row>
        <row r="2352">
          <cell r="B2352" t="b">
            <v>1</v>
          </cell>
          <cell r="E2352" t="str">
            <v>Puerto Rey</v>
          </cell>
          <cell r="H2352" t="str">
            <v>salud_oral</v>
          </cell>
          <cell r="J2352" t="str">
            <v>bueno</v>
          </cell>
          <cell r="K2352" t="str">
            <v>probsi</v>
          </cell>
        </row>
        <row r="2353">
          <cell r="B2353" t="b">
            <v>1</v>
          </cell>
          <cell r="E2353" t="str">
            <v>Puerto Rey</v>
          </cell>
          <cell r="H2353" t="str">
            <v>salud_oral</v>
          </cell>
          <cell r="J2353" t="str">
            <v>bueno</v>
          </cell>
          <cell r="K2353" t="str">
            <v>probsi</v>
          </cell>
        </row>
        <row r="2354">
          <cell r="B2354" t="b">
            <v>1</v>
          </cell>
          <cell r="E2354" t="str">
            <v>Fredonia</v>
          </cell>
          <cell r="H2354" t="str">
            <v>consulta_externa</v>
          </cell>
          <cell r="J2354" t="str">
            <v>bueno</v>
          </cell>
          <cell r="K2354" t="str">
            <v>probsi</v>
          </cell>
        </row>
        <row r="2355">
          <cell r="B2355" t="b">
            <v>1</v>
          </cell>
          <cell r="E2355" t="str">
            <v>Fredonia</v>
          </cell>
          <cell r="H2355" t="str">
            <v>salud_oral</v>
          </cell>
          <cell r="J2355" t="str">
            <v>bueno</v>
          </cell>
          <cell r="K2355" t="str">
            <v>probsi</v>
          </cell>
        </row>
        <row r="2356">
          <cell r="B2356" t="b">
            <v>1</v>
          </cell>
          <cell r="E2356" t="str">
            <v>Fredonia</v>
          </cell>
          <cell r="H2356" t="str">
            <v>laboratorio</v>
          </cell>
          <cell r="J2356" t="str">
            <v>bueno</v>
          </cell>
          <cell r="K2356" t="str">
            <v>probsi</v>
          </cell>
        </row>
        <row r="2357">
          <cell r="B2357" t="b">
            <v>1</v>
          </cell>
          <cell r="E2357" t="str">
            <v>Santa Ana</v>
          </cell>
          <cell r="H2357" t="str">
            <v>consulta_externa</v>
          </cell>
          <cell r="J2357" t="str">
            <v>muybueno</v>
          </cell>
          <cell r="K2357" t="str">
            <v>defsi</v>
          </cell>
        </row>
        <row r="2358">
          <cell r="B2358" t="b">
            <v>1</v>
          </cell>
          <cell r="E2358" t="str">
            <v>Santa Ana</v>
          </cell>
          <cell r="H2358" t="str">
            <v>laboratorio</v>
          </cell>
          <cell r="J2358" t="str">
            <v>muybueno</v>
          </cell>
          <cell r="K2358" t="str">
            <v>defsi</v>
          </cell>
        </row>
        <row r="2359">
          <cell r="B2359" t="b">
            <v>1</v>
          </cell>
          <cell r="E2359" t="str">
            <v>Tierra Baja</v>
          </cell>
          <cell r="H2359" t="str">
            <v>salud_oral</v>
          </cell>
          <cell r="J2359" t="str">
            <v>muybueno</v>
          </cell>
          <cell r="K2359" t="str">
            <v>defsi</v>
          </cell>
        </row>
        <row r="2360">
          <cell r="B2360" t="b">
            <v>1</v>
          </cell>
          <cell r="E2360" t="str">
            <v>Fredonia</v>
          </cell>
          <cell r="H2360" t="str">
            <v>salud_oral</v>
          </cell>
          <cell r="J2360" t="str">
            <v>bueno</v>
          </cell>
          <cell r="K2360" t="str">
            <v>probsi</v>
          </cell>
        </row>
        <row r="2361">
          <cell r="B2361" t="b">
            <v>1</v>
          </cell>
          <cell r="E2361" t="str">
            <v>Fredonia</v>
          </cell>
          <cell r="H2361" t="str">
            <v>laboratorio</v>
          </cell>
          <cell r="J2361" t="str">
            <v>bueno</v>
          </cell>
          <cell r="K2361" t="str">
            <v>probsi</v>
          </cell>
        </row>
        <row r="2362">
          <cell r="B2362" t="b">
            <v>1</v>
          </cell>
          <cell r="E2362" t="str">
            <v>Tierra Baja</v>
          </cell>
          <cell r="H2362" t="str">
            <v>consulta_externa</v>
          </cell>
          <cell r="J2362" t="str">
            <v>muybueno</v>
          </cell>
          <cell r="K2362" t="str">
            <v>defsi</v>
          </cell>
        </row>
        <row r="2363">
          <cell r="B2363" t="b">
            <v>1</v>
          </cell>
          <cell r="E2363" t="str">
            <v>Fredonia</v>
          </cell>
          <cell r="H2363" t="str">
            <v>salud_oral</v>
          </cell>
          <cell r="J2363" t="str">
            <v>bueno</v>
          </cell>
          <cell r="K2363" t="str">
            <v>probsi</v>
          </cell>
        </row>
        <row r="2364">
          <cell r="B2364" t="b">
            <v>1</v>
          </cell>
          <cell r="E2364" t="str">
            <v>Nuevo Bosque</v>
          </cell>
          <cell r="H2364" t="str">
            <v>urgencia</v>
          </cell>
          <cell r="J2364" t="str">
            <v>bueno</v>
          </cell>
          <cell r="K2364" t="str">
            <v>defsi</v>
          </cell>
        </row>
        <row r="2365">
          <cell r="B2365" t="b">
            <v>1</v>
          </cell>
          <cell r="E2365" t="str">
            <v>Nuevo Bosque</v>
          </cell>
          <cell r="H2365" t="str">
            <v>urgencia</v>
          </cell>
          <cell r="J2365" t="str">
            <v>bueno</v>
          </cell>
          <cell r="K2365" t="str">
            <v>defsi</v>
          </cell>
        </row>
        <row r="2366">
          <cell r="B2366" t="b">
            <v>1</v>
          </cell>
          <cell r="E2366" t="str">
            <v>Nuevo Bosque</v>
          </cell>
          <cell r="H2366" t="str">
            <v>urgencia</v>
          </cell>
          <cell r="J2366" t="str">
            <v>bueno</v>
          </cell>
          <cell r="K2366" t="str">
            <v>defsi</v>
          </cell>
        </row>
        <row r="2367">
          <cell r="B2367" t="b">
            <v>0</v>
          </cell>
          <cell r="E2367" t="str">
            <v>Nuevo Bosque</v>
          </cell>
          <cell r="H2367" t="str">
            <v>urgencia</v>
          </cell>
          <cell r="J2367" t="str">
            <v>regular</v>
          </cell>
          <cell r="K2367" t="str">
            <v>defsi</v>
          </cell>
        </row>
        <row r="2368">
          <cell r="B2368" t="b">
            <v>1</v>
          </cell>
          <cell r="E2368" t="str">
            <v>Nuevo Bosque</v>
          </cell>
          <cell r="H2368" t="str">
            <v>urgencia</v>
          </cell>
          <cell r="J2368" t="str">
            <v>bueno</v>
          </cell>
          <cell r="K2368" t="str">
            <v>defsi</v>
          </cell>
        </row>
        <row r="2369">
          <cell r="B2369" t="b">
            <v>1</v>
          </cell>
          <cell r="E2369" t="str">
            <v>Santa Ana</v>
          </cell>
          <cell r="H2369" t="str">
            <v>salud_oral</v>
          </cell>
          <cell r="J2369" t="str">
            <v>muybueno</v>
          </cell>
          <cell r="K2369" t="str">
            <v>defsi</v>
          </cell>
        </row>
        <row r="2370">
          <cell r="B2370" t="b">
            <v>1</v>
          </cell>
          <cell r="E2370" t="str">
            <v>Nuevo Bosque</v>
          </cell>
          <cell r="H2370" t="str">
            <v>urgencia</v>
          </cell>
          <cell r="J2370" t="str">
            <v>bueno</v>
          </cell>
          <cell r="K2370" t="str">
            <v>defsi</v>
          </cell>
        </row>
        <row r="2371">
          <cell r="B2371" t="b">
            <v>1</v>
          </cell>
          <cell r="E2371" t="str">
            <v>Nuevo Bosque</v>
          </cell>
          <cell r="H2371" t="str">
            <v>urgencia</v>
          </cell>
          <cell r="J2371" t="str">
            <v>bueno</v>
          </cell>
          <cell r="K2371" t="str">
            <v>defsi</v>
          </cell>
        </row>
        <row r="2372">
          <cell r="B2372" t="b">
            <v>0</v>
          </cell>
          <cell r="E2372" t="str">
            <v>Nuevo Bosque</v>
          </cell>
          <cell r="H2372" t="str">
            <v>urgencia</v>
          </cell>
          <cell r="J2372" t="str">
            <v>regular</v>
          </cell>
          <cell r="K2372" t="str">
            <v>defsi</v>
          </cell>
        </row>
        <row r="2373">
          <cell r="B2373" t="b">
            <v>1</v>
          </cell>
          <cell r="E2373" t="str">
            <v>Nuevo Bosque</v>
          </cell>
          <cell r="H2373" t="str">
            <v>urgencia</v>
          </cell>
          <cell r="J2373" t="str">
            <v>muybueno</v>
          </cell>
          <cell r="K2373" t="str">
            <v>defsi</v>
          </cell>
        </row>
        <row r="2374">
          <cell r="B2374" t="b">
            <v>1</v>
          </cell>
          <cell r="E2374" t="str">
            <v>Nuevo Bosque</v>
          </cell>
          <cell r="H2374" t="str">
            <v>laboratorio</v>
          </cell>
          <cell r="J2374" t="str">
            <v>bueno</v>
          </cell>
          <cell r="K2374" t="str">
            <v>defsi</v>
          </cell>
        </row>
        <row r="2375">
          <cell r="B2375" t="b">
            <v>1</v>
          </cell>
          <cell r="E2375" t="str">
            <v>Nuevo Bosque</v>
          </cell>
          <cell r="H2375" t="str">
            <v>urgencia</v>
          </cell>
          <cell r="J2375" t="str">
            <v>bueno</v>
          </cell>
          <cell r="K2375" t="str">
            <v>defsi</v>
          </cell>
        </row>
        <row r="2376">
          <cell r="B2376" t="b">
            <v>1</v>
          </cell>
          <cell r="E2376" t="str">
            <v>Nuevo Bosque</v>
          </cell>
          <cell r="H2376" t="str">
            <v>urgencia</v>
          </cell>
          <cell r="J2376" t="str">
            <v>bueno</v>
          </cell>
          <cell r="K2376" t="str">
            <v>defsi</v>
          </cell>
        </row>
        <row r="2377">
          <cell r="B2377" t="b">
            <v>1</v>
          </cell>
          <cell r="E2377" t="str">
            <v>Daniel Lemaitre</v>
          </cell>
          <cell r="H2377" t="str">
            <v>consulta_externa</v>
          </cell>
          <cell r="J2377" t="str">
            <v>bueno</v>
          </cell>
          <cell r="K2377" t="str">
            <v>defsi</v>
          </cell>
        </row>
        <row r="2378">
          <cell r="B2378" t="b">
            <v>1</v>
          </cell>
          <cell r="E2378" t="str">
            <v>Nuevo Bosque</v>
          </cell>
          <cell r="H2378" t="str">
            <v>urgencia</v>
          </cell>
          <cell r="J2378" t="str">
            <v>bueno</v>
          </cell>
          <cell r="K2378" t="str">
            <v>defsi</v>
          </cell>
        </row>
        <row r="2379">
          <cell r="B2379" t="b">
            <v>1</v>
          </cell>
          <cell r="E2379" t="str">
            <v>Tierra Baja</v>
          </cell>
          <cell r="H2379" t="str">
            <v>consulta_externa</v>
          </cell>
          <cell r="J2379" t="str">
            <v>bueno</v>
          </cell>
          <cell r="K2379" t="str">
            <v>defsi</v>
          </cell>
        </row>
        <row r="2380">
          <cell r="B2380" t="b">
            <v>0</v>
          </cell>
          <cell r="E2380" t="str">
            <v>Nuevo Bosque</v>
          </cell>
          <cell r="H2380" t="str">
            <v>urgencia</v>
          </cell>
          <cell r="J2380" t="str">
            <v>regular</v>
          </cell>
          <cell r="K2380" t="str">
            <v>defsi</v>
          </cell>
        </row>
        <row r="2381">
          <cell r="B2381" t="b">
            <v>1</v>
          </cell>
          <cell r="E2381" t="str">
            <v>Daniel Lemaitre</v>
          </cell>
          <cell r="H2381" t="str">
            <v>salud_oral</v>
          </cell>
          <cell r="J2381" t="str">
            <v>bueno</v>
          </cell>
          <cell r="K2381" t="str">
            <v>defsi</v>
          </cell>
        </row>
        <row r="2382">
          <cell r="B2382" t="b">
            <v>1</v>
          </cell>
          <cell r="E2382" t="str">
            <v>Daniel Lemaitre</v>
          </cell>
          <cell r="H2382" t="str">
            <v>laboratorio</v>
          </cell>
          <cell r="J2382" t="str">
            <v>bueno</v>
          </cell>
          <cell r="K2382" t="str">
            <v>defsi</v>
          </cell>
        </row>
        <row r="2383">
          <cell r="B2383" t="b">
            <v>1</v>
          </cell>
          <cell r="E2383" t="str">
            <v>Nuevo Bosque</v>
          </cell>
          <cell r="H2383" t="str">
            <v>salud_oral</v>
          </cell>
          <cell r="J2383" t="str">
            <v>bueno</v>
          </cell>
          <cell r="K2383" t="str">
            <v>defsi</v>
          </cell>
        </row>
        <row r="2384">
          <cell r="B2384" t="b">
            <v>1</v>
          </cell>
          <cell r="E2384" t="str">
            <v>Nuevo Bosque</v>
          </cell>
          <cell r="H2384" t="str">
            <v>salud_oral</v>
          </cell>
          <cell r="J2384" t="str">
            <v>bueno</v>
          </cell>
          <cell r="K2384" t="str">
            <v>defsi</v>
          </cell>
        </row>
        <row r="2385">
          <cell r="B2385" t="b">
            <v>1</v>
          </cell>
          <cell r="E2385" t="str">
            <v>Daniel Lemaitre</v>
          </cell>
          <cell r="H2385" t="str">
            <v>consulta_externa</v>
          </cell>
          <cell r="J2385" t="str">
            <v>bueno</v>
          </cell>
          <cell r="K2385" t="str">
            <v>defsi</v>
          </cell>
        </row>
        <row r="2386">
          <cell r="B2386" t="b">
            <v>0</v>
          </cell>
          <cell r="E2386" t="str">
            <v>Nuevo Bosque</v>
          </cell>
          <cell r="H2386" t="str">
            <v>salud_oral</v>
          </cell>
          <cell r="J2386" t="str">
            <v>regular</v>
          </cell>
          <cell r="K2386" t="str">
            <v>defsi</v>
          </cell>
        </row>
        <row r="2387">
          <cell r="B2387" t="b">
            <v>0</v>
          </cell>
          <cell r="E2387" t="str">
            <v>Nuevo Bosque</v>
          </cell>
          <cell r="H2387" t="str">
            <v>salud_oral</v>
          </cell>
          <cell r="J2387" t="str">
            <v>regular</v>
          </cell>
          <cell r="K2387" t="str">
            <v>defsi</v>
          </cell>
        </row>
        <row r="2388">
          <cell r="B2388" t="b">
            <v>1</v>
          </cell>
          <cell r="E2388" t="str">
            <v>Daniel Lemaitre</v>
          </cell>
          <cell r="H2388" t="str">
            <v>salud_oral</v>
          </cell>
          <cell r="J2388" t="str">
            <v>bueno</v>
          </cell>
          <cell r="K2388" t="str">
            <v>defsi</v>
          </cell>
        </row>
        <row r="2389">
          <cell r="B2389" t="b">
            <v>1</v>
          </cell>
          <cell r="E2389" t="str">
            <v>Daniel Lemaitre</v>
          </cell>
          <cell r="H2389" t="str">
            <v>laboratorio</v>
          </cell>
          <cell r="J2389" t="str">
            <v>bueno</v>
          </cell>
          <cell r="K2389" t="str">
            <v>defsi</v>
          </cell>
        </row>
        <row r="2390">
          <cell r="B2390" t="b">
            <v>1</v>
          </cell>
          <cell r="E2390" t="str">
            <v>Daniel Lemaitre</v>
          </cell>
          <cell r="H2390" t="str">
            <v>consulta_externa</v>
          </cell>
          <cell r="J2390" t="str">
            <v>bueno</v>
          </cell>
          <cell r="K2390" t="str">
            <v>defsi</v>
          </cell>
        </row>
        <row r="2391">
          <cell r="B2391" t="b">
            <v>1</v>
          </cell>
          <cell r="E2391" t="str">
            <v>Daniel Lemaitre</v>
          </cell>
          <cell r="H2391" t="str">
            <v>salud_oral</v>
          </cell>
          <cell r="J2391" t="str">
            <v>bueno</v>
          </cell>
          <cell r="K2391" t="str">
            <v>defsi</v>
          </cell>
        </row>
        <row r="2392">
          <cell r="B2392" t="b">
            <v>1</v>
          </cell>
          <cell r="E2392" t="str">
            <v>Daniel Lemaitre</v>
          </cell>
          <cell r="H2392" t="str">
            <v>laboratorio</v>
          </cell>
          <cell r="J2392" t="str">
            <v>bueno</v>
          </cell>
          <cell r="K2392" t="str">
            <v>defsi</v>
          </cell>
        </row>
        <row r="2393">
          <cell r="B2393" t="b">
            <v>1</v>
          </cell>
          <cell r="E2393" t="str">
            <v>Santa Ana</v>
          </cell>
          <cell r="H2393" t="str">
            <v>consulta_externa</v>
          </cell>
          <cell r="J2393" t="str">
            <v>muybueno</v>
          </cell>
          <cell r="K2393" t="str">
            <v>defsi</v>
          </cell>
        </row>
        <row r="2394">
          <cell r="B2394" t="b">
            <v>1</v>
          </cell>
          <cell r="E2394" t="str">
            <v>Daniel Lemaitre</v>
          </cell>
          <cell r="H2394" t="str">
            <v>consulta_externa</v>
          </cell>
          <cell r="J2394" t="str">
            <v>bueno</v>
          </cell>
          <cell r="K2394" t="str">
            <v>defsi</v>
          </cell>
        </row>
        <row r="2395">
          <cell r="B2395" t="b">
            <v>1</v>
          </cell>
          <cell r="E2395" t="str">
            <v>Daniel Lemaitre</v>
          </cell>
          <cell r="H2395" t="str">
            <v>salud_oral</v>
          </cell>
          <cell r="J2395" t="str">
            <v>bueno</v>
          </cell>
          <cell r="K2395" t="str">
            <v>defsi</v>
          </cell>
        </row>
        <row r="2396">
          <cell r="B2396" t="b">
            <v>1</v>
          </cell>
          <cell r="E2396" t="str">
            <v>Daniel Lemaitre</v>
          </cell>
          <cell r="H2396" t="str">
            <v>laboratorio</v>
          </cell>
          <cell r="J2396" t="str">
            <v>bueno</v>
          </cell>
          <cell r="K2396" t="str">
            <v>defsi</v>
          </cell>
        </row>
        <row r="2397">
          <cell r="B2397" t="b">
            <v>1</v>
          </cell>
          <cell r="E2397" t="str">
            <v>Daniel Lemaitre</v>
          </cell>
          <cell r="H2397" t="str">
            <v>consulta_externa</v>
          </cell>
          <cell r="J2397" t="str">
            <v>bueno</v>
          </cell>
          <cell r="K2397" t="str">
            <v>defsi</v>
          </cell>
        </row>
        <row r="2398">
          <cell r="B2398" t="b">
            <v>1</v>
          </cell>
          <cell r="E2398" t="str">
            <v>Daniel Lemaitre</v>
          </cell>
          <cell r="H2398" t="str">
            <v>salud_oral</v>
          </cell>
          <cell r="J2398" t="str">
            <v>bueno</v>
          </cell>
          <cell r="K2398" t="str">
            <v>defsi</v>
          </cell>
        </row>
        <row r="2399">
          <cell r="B2399" t="b">
            <v>1</v>
          </cell>
          <cell r="E2399" t="str">
            <v>Daniel Lemaitre</v>
          </cell>
          <cell r="H2399" t="str">
            <v>laboratorio</v>
          </cell>
          <cell r="J2399" t="str">
            <v>bueno</v>
          </cell>
          <cell r="K2399" t="str">
            <v>defsi</v>
          </cell>
        </row>
        <row r="2400">
          <cell r="B2400" t="b">
            <v>1</v>
          </cell>
          <cell r="E2400" t="str">
            <v>Tierra Baja</v>
          </cell>
          <cell r="H2400" t="str">
            <v>consulta_externa</v>
          </cell>
          <cell r="J2400" t="str">
            <v>bueno</v>
          </cell>
          <cell r="K2400" t="str">
            <v>defsi</v>
          </cell>
        </row>
        <row r="2401">
          <cell r="B2401" t="b">
            <v>1</v>
          </cell>
          <cell r="E2401" t="str">
            <v>Tierra Baja</v>
          </cell>
          <cell r="H2401" t="str">
            <v>laboratorio</v>
          </cell>
          <cell r="J2401" t="str">
            <v>bueno</v>
          </cell>
          <cell r="K2401" t="str">
            <v>defsi</v>
          </cell>
        </row>
        <row r="2402">
          <cell r="B2402" t="b">
            <v>1</v>
          </cell>
          <cell r="E2402" t="str">
            <v>Nuevo Bosque</v>
          </cell>
          <cell r="H2402" t="str">
            <v>consulta_externa</v>
          </cell>
          <cell r="J2402" t="str">
            <v>bueno</v>
          </cell>
          <cell r="K2402" t="str">
            <v>defsi</v>
          </cell>
        </row>
        <row r="2403">
          <cell r="B2403" t="b">
            <v>1</v>
          </cell>
          <cell r="E2403" t="str">
            <v>Nuevo Bosque</v>
          </cell>
          <cell r="H2403" t="str">
            <v>salud_oral</v>
          </cell>
          <cell r="J2403" t="str">
            <v>bueno</v>
          </cell>
          <cell r="K2403" t="str">
            <v>defsi</v>
          </cell>
        </row>
        <row r="2404">
          <cell r="B2404" t="b">
            <v>1</v>
          </cell>
          <cell r="E2404" t="str">
            <v>Nuevo Bosque</v>
          </cell>
          <cell r="H2404" t="str">
            <v>salud_oral</v>
          </cell>
          <cell r="J2404" t="str">
            <v>bueno</v>
          </cell>
          <cell r="K2404" t="str">
            <v>defsi</v>
          </cell>
        </row>
        <row r="2405">
          <cell r="B2405" t="b">
            <v>1</v>
          </cell>
          <cell r="E2405" t="str">
            <v>Nuevo Bosque</v>
          </cell>
          <cell r="H2405" t="str">
            <v>salud_oral</v>
          </cell>
          <cell r="J2405" t="str">
            <v>bueno</v>
          </cell>
          <cell r="K2405" t="str">
            <v>defsi</v>
          </cell>
        </row>
        <row r="2406">
          <cell r="B2406" t="b">
            <v>1</v>
          </cell>
          <cell r="E2406" t="str">
            <v>Nuevo Bosque</v>
          </cell>
          <cell r="H2406" t="str">
            <v>consulta_externa</v>
          </cell>
          <cell r="J2406" t="str">
            <v>bueno</v>
          </cell>
          <cell r="K2406" t="str">
            <v>defsi</v>
          </cell>
        </row>
        <row r="2407">
          <cell r="B2407" t="b">
            <v>1</v>
          </cell>
          <cell r="E2407" t="str">
            <v>Nuevo Bosque</v>
          </cell>
          <cell r="H2407" t="str">
            <v>salud_oral</v>
          </cell>
          <cell r="J2407" t="str">
            <v>bueno</v>
          </cell>
          <cell r="K2407" t="str">
            <v>defsi</v>
          </cell>
        </row>
        <row r="2408">
          <cell r="B2408" t="b">
            <v>0</v>
          </cell>
          <cell r="E2408" t="str">
            <v>Nuevo Bosque</v>
          </cell>
          <cell r="H2408" t="str">
            <v>salud_oral</v>
          </cell>
          <cell r="J2408" t="str">
            <v>regular</v>
          </cell>
          <cell r="K2408" t="str">
            <v>defsi</v>
          </cell>
        </row>
        <row r="2409">
          <cell r="B2409" t="b">
            <v>1</v>
          </cell>
          <cell r="E2409" t="str">
            <v>Tierra Baja</v>
          </cell>
          <cell r="H2409" t="str">
            <v>consulta_externa</v>
          </cell>
          <cell r="J2409" t="str">
            <v>bueno</v>
          </cell>
          <cell r="K2409" t="str">
            <v>defsi</v>
          </cell>
        </row>
        <row r="2410">
          <cell r="B2410" t="b">
            <v>1</v>
          </cell>
          <cell r="E2410" t="str">
            <v>Nuevo Bosque</v>
          </cell>
          <cell r="H2410" t="str">
            <v>consulta_externa</v>
          </cell>
          <cell r="J2410" t="str">
            <v>bueno</v>
          </cell>
          <cell r="K2410" t="str">
            <v>defsi</v>
          </cell>
        </row>
        <row r="2411">
          <cell r="B2411" t="b">
            <v>1</v>
          </cell>
          <cell r="E2411" t="str">
            <v>Nuevo Bosque</v>
          </cell>
          <cell r="H2411" t="str">
            <v>consulta_externa</v>
          </cell>
          <cell r="J2411" t="str">
            <v>bueno</v>
          </cell>
          <cell r="K2411" t="str">
            <v>defsi</v>
          </cell>
        </row>
        <row r="2412">
          <cell r="B2412" t="b">
            <v>1</v>
          </cell>
          <cell r="E2412" t="str">
            <v>Nuevo Bosque</v>
          </cell>
          <cell r="H2412" t="str">
            <v>consulta_externa</v>
          </cell>
          <cell r="J2412" t="str">
            <v>bueno</v>
          </cell>
          <cell r="K2412" t="str">
            <v>defsi</v>
          </cell>
        </row>
        <row r="2413">
          <cell r="B2413" t="b">
            <v>1</v>
          </cell>
          <cell r="E2413" t="str">
            <v>Nuevo Bosque</v>
          </cell>
          <cell r="H2413" t="str">
            <v>consulta_externa</v>
          </cell>
          <cell r="J2413" t="str">
            <v>bueno</v>
          </cell>
          <cell r="K2413" t="str">
            <v>defsi</v>
          </cell>
        </row>
        <row r="2414">
          <cell r="B2414" t="b">
            <v>1</v>
          </cell>
          <cell r="E2414" t="str">
            <v>Nuevo Bosque</v>
          </cell>
          <cell r="H2414" t="str">
            <v>salud_oral</v>
          </cell>
          <cell r="J2414" t="str">
            <v>bueno</v>
          </cell>
          <cell r="K2414" t="str">
            <v>defsi</v>
          </cell>
        </row>
        <row r="2415">
          <cell r="B2415" t="b">
            <v>1</v>
          </cell>
          <cell r="E2415" t="str">
            <v>Nuevo Bosque</v>
          </cell>
          <cell r="H2415" t="str">
            <v>laboratorio</v>
          </cell>
          <cell r="J2415" t="str">
            <v>bueno</v>
          </cell>
          <cell r="K2415" t="str">
            <v>defsi</v>
          </cell>
        </row>
        <row r="2416">
          <cell r="B2416" t="b">
            <v>1</v>
          </cell>
          <cell r="E2416" t="str">
            <v>Nuevo Bosque</v>
          </cell>
          <cell r="H2416" t="str">
            <v>consulta_externa</v>
          </cell>
          <cell r="J2416" t="str">
            <v>bueno</v>
          </cell>
          <cell r="K2416" t="str">
            <v>defsi</v>
          </cell>
        </row>
        <row r="2417">
          <cell r="B2417" t="b">
            <v>1</v>
          </cell>
          <cell r="E2417" t="str">
            <v>Nuevo Bosque</v>
          </cell>
          <cell r="H2417" t="str">
            <v>laboratorio</v>
          </cell>
          <cell r="J2417" t="str">
            <v>bueno</v>
          </cell>
          <cell r="K2417" t="str">
            <v>defsi</v>
          </cell>
        </row>
        <row r="2418">
          <cell r="B2418" t="b">
            <v>1</v>
          </cell>
          <cell r="E2418" t="str">
            <v>Tierra Baja</v>
          </cell>
          <cell r="H2418" t="str">
            <v>salud_oral</v>
          </cell>
          <cell r="J2418" t="str">
            <v>bueno</v>
          </cell>
          <cell r="K2418" t="str">
            <v>defsi</v>
          </cell>
        </row>
        <row r="2419">
          <cell r="B2419" t="b">
            <v>1</v>
          </cell>
          <cell r="E2419" t="str">
            <v>Tierra Baja</v>
          </cell>
          <cell r="H2419" t="str">
            <v>consulta_externa</v>
          </cell>
          <cell r="J2419" t="str">
            <v>bueno</v>
          </cell>
          <cell r="K2419" t="str">
            <v>defsi</v>
          </cell>
        </row>
        <row r="2420">
          <cell r="B2420" t="b">
            <v>1</v>
          </cell>
          <cell r="E2420" t="str">
            <v>Nuevo Bosque</v>
          </cell>
          <cell r="H2420" t="str">
            <v>consulta_externa</v>
          </cell>
          <cell r="J2420" t="str">
            <v>bueno</v>
          </cell>
          <cell r="K2420" t="str">
            <v>defsi</v>
          </cell>
        </row>
        <row r="2421">
          <cell r="B2421" t="b">
            <v>1</v>
          </cell>
          <cell r="E2421" t="str">
            <v>Nuevo Bosque</v>
          </cell>
          <cell r="H2421" t="str">
            <v>laboratorio</v>
          </cell>
          <cell r="J2421" t="str">
            <v>bueno</v>
          </cell>
          <cell r="K2421" t="str">
            <v>defsi</v>
          </cell>
        </row>
        <row r="2422">
          <cell r="B2422" t="b">
            <v>1</v>
          </cell>
          <cell r="E2422" t="str">
            <v>Nuevo Bosque</v>
          </cell>
          <cell r="H2422" t="str">
            <v>consulta_externa</v>
          </cell>
          <cell r="J2422" t="str">
            <v>bueno</v>
          </cell>
          <cell r="K2422" t="str">
            <v>defsi</v>
          </cell>
        </row>
        <row r="2423">
          <cell r="B2423" t="b">
            <v>0</v>
          </cell>
          <cell r="E2423" t="str">
            <v>Nuevo Bosque</v>
          </cell>
          <cell r="H2423" t="str">
            <v>consulta_externa</v>
          </cell>
          <cell r="J2423" t="str">
            <v>regular</v>
          </cell>
          <cell r="K2423" t="str">
            <v>defsi</v>
          </cell>
        </row>
        <row r="2424">
          <cell r="B2424" t="b">
            <v>0</v>
          </cell>
          <cell r="E2424" t="str">
            <v>Nuevo Bosque</v>
          </cell>
          <cell r="H2424" t="str">
            <v>laboratorio</v>
          </cell>
          <cell r="J2424" t="str">
            <v>regular</v>
          </cell>
          <cell r="K2424" t="str">
            <v>defsi</v>
          </cell>
        </row>
        <row r="2425">
          <cell r="B2425" t="b">
            <v>0</v>
          </cell>
          <cell r="E2425" t="str">
            <v>Nuevo Bosque</v>
          </cell>
          <cell r="H2425" t="str">
            <v>consulta_externa</v>
          </cell>
          <cell r="J2425" t="str">
            <v>regular</v>
          </cell>
          <cell r="K2425" t="str">
            <v>probno</v>
          </cell>
        </row>
        <row r="2426">
          <cell r="B2426" t="b">
            <v>1</v>
          </cell>
          <cell r="E2426" t="str">
            <v>Nuevo Bosque</v>
          </cell>
          <cell r="H2426" t="str">
            <v>consulta_externa</v>
          </cell>
          <cell r="J2426" t="str">
            <v>muybueno</v>
          </cell>
          <cell r="K2426" t="str">
            <v>probsi</v>
          </cell>
        </row>
        <row r="2427">
          <cell r="B2427" t="b">
            <v>1</v>
          </cell>
          <cell r="E2427" t="str">
            <v>Nuevo Bosque</v>
          </cell>
          <cell r="H2427" t="str">
            <v>consulta_externa</v>
          </cell>
          <cell r="J2427" t="str">
            <v>bueno</v>
          </cell>
          <cell r="K2427" t="str">
            <v>defsi</v>
          </cell>
        </row>
        <row r="2428">
          <cell r="B2428" t="b">
            <v>1</v>
          </cell>
          <cell r="E2428" t="str">
            <v>Nuevo Bosque</v>
          </cell>
          <cell r="H2428" t="str">
            <v>salud_oral</v>
          </cell>
          <cell r="J2428" t="str">
            <v>bueno</v>
          </cell>
          <cell r="K2428" t="str">
            <v>defsi</v>
          </cell>
        </row>
        <row r="2429">
          <cell r="B2429" t="b">
            <v>1</v>
          </cell>
          <cell r="E2429" t="str">
            <v>Nuevo Bosque</v>
          </cell>
          <cell r="H2429" t="str">
            <v>salud_oral</v>
          </cell>
          <cell r="J2429" t="str">
            <v>bueno</v>
          </cell>
          <cell r="K2429" t="str">
            <v>defsi</v>
          </cell>
        </row>
        <row r="2430">
          <cell r="B2430" t="b">
            <v>1</v>
          </cell>
          <cell r="E2430" t="str">
            <v>Nuevo Bosque</v>
          </cell>
          <cell r="H2430" t="str">
            <v>salud_oral</v>
          </cell>
          <cell r="J2430" t="str">
            <v>bueno</v>
          </cell>
          <cell r="K2430" t="str">
            <v>defsi</v>
          </cell>
        </row>
        <row r="2431">
          <cell r="B2431" t="b">
            <v>1</v>
          </cell>
          <cell r="E2431" t="str">
            <v>Nuevo Bosque</v>
          </cell>
          <cell r="H2431" t="str">
            <v>salud_oral</v>
          </cell>
          <cell r="J2431" t="str">
            <v>bueno</v>
          </cell>
          <cell r="K2431" t="str">
            <v>defsi</v>
          </cell>
        </row>
        <row r="2432">
          <cell r="B2432" t="b">
            <v>1</v>
          </cell>
          <cell r="E2432" t="str">
            <v>Nuevo Bosque</v>
          </cell>
          <cell r="H2432" t="str">
            <v>salud_oral</v>
          </cell>
          <cell r="J2432" t="str">
            <v>bueno</v>
          </cell>
          <cell r="K2432" t="str">
            <v>defsi</v>
          </cell>
        </row>
        <row r="2433">
          <cell r="B2433" t="b">
            <v>1</v>
          </cell>
          <cell r="E2433" t="str">
            <v>Nuevo Bosque</v>
          </cell>
          <cell r="H2433" t="str">
            <v>salud_oral</v>
          </cell>
          <cell r="J2433" t="str">
            <v>bueno</v>
          </cell>
          <cell r="K2433" t="str">
            <v>defsi</v>
          </cell>
        </row>
        <row r="2434">
          <cell r="B2434" t="b">
            <v>1</v>
          </cell>
          <cell r="E2434" t="str">
            <v>Nuevo Bosque</v>
          </cell>
          <cell r="H2434" t="str">
            <v>salud_oral</v>
          </cell>
          <cell r="J2434" t="str">
            <v>bueno</v>
          </cell>
          <cell r="K2434" t="str">
            <v>defsi</v>
          </cell>
        </row>
        <row r="2435">
          <cell r="B2435" t="b">
            <v>1</v>
          </cell>
          <cell r="E2435" t="str">
            <v>Nuevo Bosque</v>
          </cell>
          <cell r="H2435" t="str">
            <v>salud_oral</v>
          </cell>
          <cell r="J2435" t="str">
            <v>bueno</v>
          </cell>
          <cell r="K2435" t="str">
            <v>defsi</v>
          </cell>
        </row>
        <row r="2436">
          <cell r="B2436" t="b">
            <v>1</v>
          </cell>
          <cell r="E2436" t="str">
            <v>Nuevo Bosque</v>
          </cell>
          <cell r="H2436" t="str">
            <v>salud_oral</v>
          </cell>
          <cell r="J2436" t="str">
            <v>bueno</v>
          </cell>
          <cell r="K2436" t="str">
            <v>defsi</v>
          </cell>
        </row>
        <row r="2437">
          <cell r="B2437" t="b">
            <v>1</v>
          </cell>
          <cell r="E2437" t="str">
            <v>Nuevo Bosque</v>
          </cell>
          <cell r="H2437" t="str">
            <v>salud_oral</v>
          </cell>
          <cell r="J2437" t="str">
            <v>muybueno</v>
          </cell>
          <cell r="K2437" t="str">
            <v>defsi</v>
          </cell>
        </row>
        <row r="2438">
          <cell r="B2438" t="b">
            <v>1</v>
          </cell>
          <cell r="E2438" t="str">
            <v>Nuevo Bosque</v>
          </cell>
          <cell r="H2438" t="str">
            <v>salud_oral</v>
          </cell>
          <cell r="J2438" t="str">
            <v>bueno</v>
          </cell>
          <cell r="K2438" t="str">
            <v>defsi</v>
          </cell>
        </row>
        <row r="2439">
          <cell r="B2439" t="b">
            <v>1</v>
          </cell>
          <cell r="E2439" t="str">
            <v>Nuevo Bosque</v>
          </cell>
          <cell r="H2439" t="str">
            <v>laboratorio</v>
          </cell>
          <cell r="J2439" t="str">
            <v>bueno</v>
          </cell>
          <cell r="K2439" t="str">
            <v>defsi</v>
          </cell>
        </row>
        <row r="2440">
          <cell r="B2440" t="b">
            <v>1</v>
          </cell>
          <cell r="E2440" t="str">
            <v>Nuevo Bosque</v>
          </cell>
          <cell r="H2440" t="str">
            <v>laboratorio</v>
          </cell>
          <cell r="J2440" t="str">
            <v>bueno</v>
          </cell>
          <cell r="K2440" t="str">
            <v>defsi</v>
          </cell>
        </row>
        <row r="2441">
          <cell r="B2441" t="b">
            <v>1</v>
          </cell>
          <cell r="E2441" t="str">
            <v>Tierra Baja</v>
          </cell>
          <cell r="H2441" t="str">
            <v>consulta_externa</v>
          </cell>
          <cell r="J2441" t="str">
            <v>bueno</v>
          </cell>
          <cell r="K2441" t="str">
            <v>defsi</v>
          </cell>
        </row>
        <row r="2442">
          <cell r="B2442" t="b">
            <v>1</v>
          </cell>
          <cell r="E2442" t="str">
            <v>Tierra Baja</v>
          </cell>
          <cell r="H2442" t="str">
            <v>laboratorio</v>
          </cell>
          <cell r="J2442" t="str">
            <v>bueno</v>
          </cell>
          <cell r="K2442" t="str">
            <v>defsi</v>
          </cell>
        </row>
        <row r="2443">
          <cell r="B2443" t="b">
            <v>1</v>
          </cell>
          <cell r="E2443" t="str">
            <v>Nuevo Bosque</v>
          </cell>
          <cell r="H2443" t="str">
            <v>laboratorio</v>
          </cell>
          <cell r="J2443" t="str">
            <v>bueno</v>
          </cell>
          <cell r="K2443" t="str">
            <v>defsi</v>
          </cell>
        </row>
        <row r="2444">
          <cell r="B2444" t="b">
            <v>1</v>
          </cell>
          <cell r="E2444" t="str">
            <v>Nuevo Bosque</v>
          </cell>
          <cell r="H2444" t="str">
            <v>laboratorio</v>
          </cell>
          <cell r="J2444" t="str">
            <v>bueno</v>
          </cell>
          <cell r="K2444" t="str">
            <v>defsi</v>
          </cell>
        </row>
        <row r="2445">
          <cell r="B2445" t="b">
            <v>1</v>
          </cell>
          <cell r="E2445" t="str">
            <v>Nuevo Bosque</v>
          </cell>
          <cell r="H2445" t="str">
            <v>laboratorio</v>
          </cell>
          <cell r="J2445" t="str">
            <v>bueno</v>
          </cell>
          <cell r="K2445" t="str">
            <v>defsi</v>
          </cell>
        </row>
        <row r="2446">
          <cell r="B2446" t="b">
            <v>1</v>
          </cell>
          <cell r="E2446" t="str">
            <v>Nuevo Bosque</v>
          </cell>
          <cell r="H2446" t="str">
            <v>laboratorio</v>
          </cell>
          <cell r="J2446" t="str">
            <v>bueno</v>
          </cell>
          <cell r="K2446" t="str">
            <v>defsi</v>
          </cell>
        </row>
        <row r="2447">
          <cell r="B2447" t="b">
            <v>1</v>
          </cell>
          <cell r="E2447" t="str">
            <v>Nuevo Bosque</v>
          </cell>
          <cell r="H2447" t="str">
            <v>laboratorio</v>
          </cell>
          <cell r="J2447" t="str">
            <v>bueno</v>
          </cell>
          <cell r="K2447" t="str">
            <v>defsi</v>
          </cell>
        </row>
        <row r="2448">
          <cell r="B2448" t="b">
            <v>1</v>
          </cell>
          <cell r="E2448" t="str">
            <v>Nuevo Bosque</v>
          </cell>
          <cell r="H2448" t="str">
            <v>laboratorio</v>
          </cell>
          <cell r="J2448" t="str">
            <v>bueno</v>
          </cell>
          <cell r="K2448" t="str">
            <v>defsi</v>
          </cell>
        </row>
        <row r="2449">
          <cell r="B2449" t="b">
            <v>1</v>
          </cell>
          <cell r="E2449" t="str">
            <v>Tierra Baja</v>
          </cell>
          <cell r="H2449" t="str">
            <v>consulta_externa</v>
          </cell>
          <cell r="J2449" t="str">
            <v>muybueno</v>
          </cell>
          <cell r="K2449" t="str">
            <v>defsi</v>
          </cell>
        </row>
        <row r="2450">
          <cell r="B2450" t="b">
            <v>1</v>
          </cell>
          <cell r="E2450" t="str">
            <v>Tierra Baja</v>
          </cell>
          <cell r="H2450" t="str">
            <v>salud_oral</v>
          </cell>
          <cell r="J2450" t="str">
            <v>bueno</v>
          </cell>
          <cell r="K2450" t="str">
            <v>defsi</v>
          </cell>
        </row>
        <row r="2451">
          <cell r="B2451" t="b">
            <v>1</v>
          </cell>
          <cell r="E2451" t="str">
            <v>Daniel Lemaitre</v>
          </cell>
          <cell r="H2451" t="str">
            <v>consulta_externa</v>
          </cell>
          <cell r="J2451" t="str">
            <v>bueno</v>
          </cell>
          <cell r="K2451" t="str">
            <v>defsi</v>
          </cell>
        </row>
        <row r="2452">
          <cell r="B2452" t="b">
            <v>1</v>
          </cell>
          <cell r="E2452" t="str">
            <v>Daniel Lemaitre</v>
          </cell>
          <cell r="H2452" t="str">
            <v>salud_oral</v>
          </cell>
          <cell r="J2452" t="str">
            <v>bueno</v>
          </cell>
          <cell r="K2452" t="str">
            <v>defsi</v>
          </cell>
        </row>
        <row r="2453">
          <cell r="B2453" t="b">
            <v>1</v>
          </cell>
          <cell r="E2453" t="str">
            <v>Daniel Lemaitre</v>
          </cell>
          <cell r="H2453" t="str">
            <v>laboratorio</v>
          </cell>
          <cell r="J2453" t="str">
            <v>bueno</v>
          </cell>
          <cell r="K2453" t="str">
            <v>defsi</v>
          </cell>
        </row>
        <row r="2454">
          <cell r="B2454" t="b">
            <v>1</v>
          </cell>
          <cell r="E2454" t="str">
            <v>Daniel Lemaitre</v>
          </cell>
          <cell r="H2454" t="str">
            <v>consulta_externa</v>
          </cell>
          <cell r="J2454" t="str">
            <v>bueno</v>
          </cell>
          <cell r="K2454" t="str">
            <v>defsi</v>
          </cell>
        </row>
        <row r="2455">
          <cell r="B2455" t="b">
            <v>1</v>
          </cell>
          <cell r="E2455" t="str">
            <v>Daniel Lemaitre</v>
          </cell>
          <cell r="H2455" t="str">
            <v>salud_oral</v>
          </cell>
          <cell r="J2455" t="str">
            <v>bueno</v>
          </cell>
          <cell r="K2455" t="str">
            <v>defsi</v>
          </cell>
        </row>
        <row r="2456">
          <cell r="B2456" t="b">
            <v>1</v>
          </cell>
          <cell r="E2456" t="str">
            <v>Nuevo Bosque</v>
          </cell>
          <cell r="H2456" t="str">
            <v>urgencia</v>
          </cell>
          <cell r="J2456" t="str">
            <v>bueno</v>
          </cell>
          <cell r="K2456" t="str">
            <v>defsi</v>
          </cell>
        </row>
        <row r="2457">
          <cell r="B2457" t="b">
            <v>1</v>
          </cell>
          <cell r="E2457" t="str">
            <v>Nuevo Bosque</v>
          </cell>
          <cell r="H2457" t="str">
            <v>urgencia</v>
          </cell>
          <cell r="J2457" t="str">
            <v>bueno</v>
          </cell>
          <cell r="K2457" t="str">
            <v>defsi</v>
          </cell>
        </row>
        <row r="2458">
          <cell r="B2458" t="b">
            <v>1</v>
          </cell>
          <cell r="E2458" t="str">
            <v>Daniel Lemaitre</v>
          </cell>
          <cell r="H2458" t="str">
            <v>laboratorio</v>
          </cell>
          <cell r="J2458" t="str">
            <v>bueno</v>
          </cell>
          <cell r="K2458" t="str">
            <v>defsi</v>
          </cell>
        </row>
        <row r="2459">
          <cell r="B2459" t="b">
            <v>0</v>
          </cell>
          <cell r="E2459" t="str">
            <v>Nuevo Bosque</v>
          </cell>
          <cell r="H2459" t="str">
            <v>urgencia</v>
          </cell>
          <cell r="J2459" t="str">
            <v>regular</v>
          </cell>
          <cell r="K2459" t="str">
            <v>defsi</v>
          </cell>
        </row>
        <row r="2460">
          <cell r="B2460" t="b">
            <v>1</v>
          </cell>
          <cell r="E2460" t="str">
            <v>Daniel Lemaitre</v>
          </cell>
          <cell r="H2460" t="str">
            <v>consulta_externa</v>
          </cell>
          <cell r="J2460" t="str">
            <v>bueno</v>
          </cell>
          <cell r="K2460" t="str">
            <v>defsi</v>
          </cell>
        </row>
        <row r="2461">
          <cell r="B2461" t="b">
            <v>1</v>
          </cell>
          <cell r="E2461" t="str">
            <v>Daniel Lemaitre</v>
          </cell>
          <cell r="H2461" t="str">
            <v>laboratorio</v>
          </cell>
          <cell r="J2461" t="str">
            <v>bueno</v>
          </cell>
          <cell r="K2461" t="str">
            <v>defsi</v>
          </cell>
        </row>
        <row r="2462">
          <cell r="B2462" t="b">
            <v>1</v>
          </cell>
          <cell r="E2462" t="str">
            <v>Islote de San Bernardo</v>
          </cell>
          <cell r="H2462" t="str">
            <v>consulta_externa</v>
          </cell>
          <cell r="J2462" t="str">
            <v>muybueno</v>
          </cell>
          <cell r="K2462" t="str">
            <v>defsi</v>
          </cell>
        </row>
        <row r="2463">
          <cell r="B2463" t="b">
            <v>1</v>
          </cell>
          <cell r="E2463" t="str">
            <v>Islote de San Bernardo</v>
          </cell>
          <cell r="H2463" t="str">
            <v>laboratorio</v>
          </cell>
          <cell r="J2463" t="str">
            <v>muybueno</v>
          </cell>
          <cell r="K2463" t="str">
            <v>defsi</v>
          </cell>
        </row>
        <row r="2464">
          <cell r="B2464" t="b">
            <v>1</v>
          </cell>
          <cell r="E2464" t="str">
            <v>Daniel Lemaitre</v>
          </cell>
          <cell r="H2464" t="str">
            <v>laboratorio</v>
          </cell>
          <cell r="J2464" t="str">
            <v>bueno</v>
          </cell>
          <cell r="K2464" t="str">
            <v>defsi</v>
          </cell>
        </row>
        <row r="2465">
          <cell r="B2465" t="b">
            <v>1</v>
          </cell>
          <cell r="E2465" t="str">
            <v>Daniel Lemaitre</v>
          </cell>
          <cell r="H2465" t="str">
            <v>consulta_externa</v>
          </cell>
          <cell r="J2465" t="str">
            <v>bueno</v>
          </cell>
          <cell r="K2465" t="str">
            <v>defsi</v>
          </cell>
        </row>
        <row r="2466">
          <cell r="B2466" t="b">
            <v>1</v>
          </cell>
          <cell r="E2466" t="str">
            <v>Daniel Lemaitre</v>
          </cell>
          <cell r="H2466" t="str">
            <v>salud_oral</v>
          </cell>
          <cell r="J2466" t="str">
            <v>bueno</v>
          </cell>
          <cell r="K2466" t="str">
            <v>defsi</v>
          </cell>
        </row>
        <row r="2467">
          <cell r="B2467" t="b">
            <v>1</v>
          </cell>
          <cell r="E2467" t="str">
            <v>Daniel Lemaitre</v>
          </cell>
          <cell r="H2467" t="str">
            <v>laboratorio</v>
          </cell>
          <cell r="J2467" t="str">
            <v>bueno</v>
          </cell>
          <cell r="K2467" t="str">
            <v>defsi</v>
          </cell>
        </row>
        <row r="2468">
          <cell r="B2468" t="b">
            <v>1</v>
          </cell>
          <cell r="E2468" t="str">
            <v>Daniel Lemaitre</v>
          </cell>
          <cell r="H2468" t="str">
            <v>consulta_externa</v>
          </cell>
          <cell r="J2468" t="str">
            <v>bueno</v>
          </cell>
          <cell r="K2468" t="str">
            <v>defsi</v>
          </cell>
        </row>
        <row r="2469">
          <cell r="B2469" t="b">
            <v>1</v>
          </cell>
          <cell r="E2469" t="str">
            <v>Islote de San Bernardo</v>
          </cell>
          <cell r="H2469" t="str">
            <v>consulta_externa</v>
          </cell>
          <cell r="J2469" t="str">
            <v>muybueno</v>
          </cell>
          <cell r="K2469" t="str">
            <v>defsi</v>
          </cell>
        </row>
        <row r="2470">
          <cell r="B2470" t="b">
            <v>1</v>
          </cell>
          <cell r="E2470" t="str">
            <v>Islote de San Bernardo</v>
          </cell>
          <cell r="H2470" t="str">
            <v>laboratorio</v>
          </cell>
          <cell r="J2470" t="str">
            <v>muybueno</v>
          </cell>
          <cell r="K2470" t="str">
            <v>defsi</v>
          </cell>
        </row>
        <row r="2471">
          <cell r="B2471" t="b">
            <v>1</v>
          </cell>
          <cell r="E2471" t="str">
            <v>Daniel Lemaitre</v>
          </cell>
          <cell r="H2471" t="str">
            <v>salud_oral</v>
          </cell>
          <cell r="J2471" t="str">
            <v>bueno</v>
          </cell>
          <cell r="K2471" t="str">
            <v>defsi</v>
          </cell>
        </row>
        <row r="2472">
          <cell r="B2472" t="b">
            <v>1</v>
          </cell>
          <cell r="E2472" t="str">
            <v>Daniel Lemaitre</v>
          </cell>
          <cell r="H2472" t="str">
            <v>laboratorio</v>
          </cell>
          <cell r="J2472" t="str">
            <v>bueno</v>
          </cell>
          <cell r="K2472" t="str">
            <v>defsi</v>
          </cell>
        </row>
        <row r="2473">
          <cell r="B2473" t="b">
            <v>1</v>
          </cell>
          <cell r="E2473" t="str">
            <v>Daniel Lemaitre</v>
          </cell>
          <cell r="H2473" t="str">
            <v>consulta_externa</v>
          </cell>
          <cell r="J2473" t="str">
            <v>bueno</v>
          </cell>
          <cell r="K2473" t="str">
            <v>defsi</v>
          </cell>
        </row>
        <row r="2474">
          <cell r="B2474" t="b">
            <v>1</v>
          </cell>
          <cell r="E2474" t="str">
            <v>Daniel Lemaitre</v>
          </cell>
          <cell r="H2474" t="str">
            <v>salud_oral</v>
          </cell>
          <cell r="J2474" t="str">
            <v>bueno</v>
          </cell>
          <cell r="K2474" t="str">
            <v>defsi</v>
          </cell>
        </row>
        <row r="2475">
          <cell r="B2475" t="b">
            <v>1</v>
          </cell>
          <cell r="E2475" t="str">
            <v>Daniel Lemaitre</v>
          </cell>
          <cell r="H2475" t="str">
            <v>laboratorio</v>
          </cell>
          <cell r="J2475" t="str">
            <v>bueno</v>
          </cell>
          <cell r="K2475" t="str">
            <v>defsi</v>
          </cell>
        </row>
        <row r="2476">
          <cell r="B2476" t="b">
            <v>1</v>
          </cell>
          <cell r="E2476" t="str">
            <v>Islote de San Bernardo</v>
          </cell>
          <cell r="H2476" t="str">
            <v>salud_oral</v>
          </cell>
          <cell r="J2476" t="str">
            <v>muybueno</v>
          </cell>
          <cell r="K2476" t="str">
            <v>defsi</v>
          </cell>
        </row>
        <row r="2477">
          <cell r="B2477" t="b">
            <v>1</v>
          </cell>
          <cell r="E2477" t="str">
            <v>Islote de San Bernardo</v>
          </cell>
          <cell r="H2477" t="str">
            <v>consulta_externa</v>
          </cell>
          <cell r="J2477" t="str">
            <v>muybueno</v>
          </cell>
          <cell r="K2477" t="str">
            <v>defsi</v>
          </cell>
        </row>
        <row r="2478">
          <cell r="B2478" t="b">
            <v>1</v>
          </cell>
          <cell r="E2478" t="str">
            <v>Islote de San Bernardo</v>
          </cell>
          <cell r="H2478" t="str">
            <v>laboratorio</v>
          </cell>
          <cell r="J2478" t="str">
            <v>muybueno</v>
          </cell>
          <cell r="K2478" t="str">
            <v>defsi</v>
          </cell>
        </row>
        <row r="2479">
          <cell r="B2479" t="b">
            <v>1</v>
          </cell>
          <cell r="E2479" t="str">
            <v>Daniel Lemaitre</v>
          </cell>
          <cell r="H2479" t="str">
            <v>consulta_externa</v>
          </cell>
          <cell r="J2479" t="str">
            <v>bueno</v>
          </cell>
          <cell r="K2479" t="str">
            <v>defsi</v>
          </cell>
        </row>
        <row r="2480">
          <cell r="B2480" t="b">
            <v>1</v>
          </cell>
          <cell r="E2480" t="str">
            <v>Daniel Lemaitre</v>
          </cell>
          <cell r="H2480" t="str">
            <v>salud_oral</v>
          </cell>
          <cell r="J2480" t="str">
            <v>bueno</v>
          </cell>
          <cell r="K2480" t="str">
            <v>defsi</v>
          </cell>
        </row>
        <row r="2481">
          <cell r="B2481" t="b">
            <v>1</v>
          </cell>
          <cell r="E2481" t="str">
            <v>Daniel Lemaitre</v>
          </cell>
          <cell r="H2481" t="str">
            <v>laboratorio</v>
          </cell>
          <cell r="J2481" t="str">
            <v>bueno</v>
          </cell>
          <cell r="K2481" t="str">
            <v>defsi</v>
          </cell>
        </row>
        <row r="2482">
          <cell r="B2482" t="b">
            <v>1</v>
          </cell>
          <cell r="E2482" t="str">
            <v>Candelaria</v>
          </cell>
          <cell r="H2482" t="str">
            <v>laboratorio</v>
          </cell>
          <cell r="J2482" t="str">
            <v>bueno</v>
          </cell>
          <cell r="K2482" t="str">
            <v>probsi</v>
          </cell>
        </row>
        <row r="2483">
          <cell r="B2483" t="b">
            <v>1</v>
          </cell>
          <cell r="E2483" t="str">
            <v>Candelaria</v>
          </cell>
          <cell r="H2483" t="str">
            <v>laboratorio</v>
          </cell>
          <cell r="J2483" t="str">
            <v>bueno</v>
          </cell>
          <cell r="K2483" t="str">
            <v>probsi</v>
          </cell>
        </row>
        <row r="2484">
          <cell r="B2484" t="b">
            <v>1</v>
          </cell>
          <cell r="E2484" t="str">
            <v>Daniel Lemaitre</v>
          </cell>
          <cell r="H2484" t="str">
            <v>consulta_externa</v>
          </cell>
          <cell r="J2484" t="str">
            <v>bueno</v>
          </cell>
          <cell r="K2484" t="str">
            <v>defsi</v>
          </cell>
        </row>
        <row r="2485">
          <cell r="B2485" t="b">
            <v>1</v>
          </cell>
          <cell r="E2485" t="str">
            <v>Candelaria</v>
          </cell>
          <cell r="H2485" t="str">
            <v>laboratorio</v>
          </cell>
          <cell r="J2485" t="str">
            <v>bueno</v>
          </cell>
          <cell r="K2485" t="str">
            <v>probsi</v>
          </cell>
        </row>
        <row r="2486">
          <cell r="B2486" t="b">
            <v>1</v>
          </cell>
          <cell r="E2486" t="str">
            <v>Candelaria</v>
          </cell>
          <cell r="H2486" t="str">
            <v>laboratorio</v>
          </cell>
          <cell r="J2486" t="str">
            <v>bueno</v>
          </cell>
          <cell r="K2486" t="str">
            <v>probsi</v>
          </cell>
        </row>
        <row r="2487">
          <cell r="B2487" t="b">
            <v>1</v>
          </cell>
          <cell r="E2487" t="str">
            <v>Candelaria</v>
          </cell>
          <cell r="H2487" t="str">
            <v>laboratorio</v>
          </cell>
          <cell r="J2487" t="str">
            <v>bueno</v>
          </cell>
          <cell r="K2487" t="str">
            <v>probsi</v>
          </cell>
        </row>
        <row r="2488">
          <cell r="B2488" t="b">
            <v>1</v>
          </cell>
          <cell r="E2488" t="str">
            <v>Candelaria</v>
          </cell>
          <cell r="H2488" t="str">
            <v>laboratorio</v>
          </cell>
          <cell r="J2488" t="str">
            <v>bueno</v>
          </cell>
          <cell r="K2488" t="str">
            <v>probsi</v>
          </cell>
        </row>
        <row r="2489">
          <cell r="B2489" t="b">
            <v>1</v>
          </cell>
          <cell r="E2489" t="str">
            <v>Candelaria</v>
          </cell>
          <cell r="H2489" t="str">
            <v>laboratorio</v>
          </cell>
          <cell r="J2489" t="str">
            <v>bueno</v>
          </cell>
          <cell r="K2489" t="str">
            <v>probsi</v>
          </cell>
        </row>
        <row r="2490">
          <cell r="B2490" t="b">
            <v>1</v>
          </cell>
          <cell r="E2490" t="str">
            <v>Candelaria</v>
          </cell>
          <cell r="H2490" t="str">
            <v>laboratorio</v>
          </cell>
          <cell r="J2490" t="str">
            <v>bueno</v>
          </cell>
          <cell r="K2490" t="str">
            <v>probsi</v>
          </cell>
        </row>
        <row r="2491">
          <cell r="B2491" t="b">
            <v>1</v>
          </cell>
          <cell r="E2491" t="str">
            <v>Daniel Lemaitre</v>
          </cell>
          <cell r="H2491" t="str">
            <v>salud_oral</v>
          </cell>
          <cell r="J2491" t="str">
            <v>bueno</v>
          </cell>
          <cell r="K2491" t="str">
            <v>defsi</v>
          </cell>
        </row>
        <row r="2492">
          <cell r="B2492" t="b">
            <v>1</v>
          </cell>
          <cell r="E2492" t="str">
            <v>Candelaria</v>
          </cell>
          <cell r="H2492" t="str">
            <v>urgencia</v>
          </cell>
          <cell r="J2492" t="str">
            <v>bueno</v>
          </cell>
          <cell r="K2492" t="str">
            <v>probsi</v>
          </cell>
        </row>
        <row r="2493">
          <cell r="B2493" t="b">
            <v>1</v>
          </cell>
          <cell r="E2493" t="str">
            <v>Candelaria</v>
          </cell>
          <cell r="H2493" t="str">
            <v>urgencia</v>
          </cell>
          <cell r="J2493" t="str">
            <v>bueno</v>
          </cell>
          <cell r="K2493" t="str">
            <v>probsi</v>
          </cell>
        </row>
        <row r="2494">
          <cell r="B2494" t="b">
            <v>1</v>
          </cell>
          <cell r="E2494" t="str">
            <v>Candelaria</v>
          </cell>
          <cell r="H2494" t="str">
            <v>urgencia</v>
          </cell>
          <cell r="J2494" t="str">
            <v>bueno</v>
          </cell>
          <cell r="K2494" t="str">
            <v>probsi</v>
          </cell>
        </row>
        <row r="2495">
          <cell r="B2495" t="b">
            <v>1</v>
          </cell>
          <cell r="E2495" t="str">
            <v>Candelaria</v>
          </cell>
          <cell r="H2495" t="str">
            <v>urgencia</v>
          </cell>
          <cell r="J2495" t="str">
            <v>bueno</v>
          </cell>
          <cell r="K2495" t="str">
            <v>probsi</v>
          </cell>
        </row>
        <row r="2496">
          <cell r="B2496" t="b">
            <v>1</v>
          </cell>
          <cell r="E2496" t="str">
            <v>Candelaria</v>
          </cell>
          <cell r="H2496" t="str">
            <v>urgencia</v>
          </cell>
          <cell r="J2496" t="str">
            <v>bueno</v>
          </cell>
          <cell r="K2496" t="str">
            <v>probsi</v>
          </cell>
        </row>
        <row r="2497">
          <cell r="B2497" t="b">
            <v>1</v>
          </cell>
          <cell r="E2497" t="str">
            <v>Candelaria</v>
          </cell>
          <cell r="H2497" t="str">
            <v>urgencia</v>
          </cell>
          <cell r="J2497" t="str">
            <v>bueno</v>
          </cell>
          <cell r="K2497" t="str">
            <v>probsi</v>
          </cell>
        </row>
        <row r="2498">
          <cell r="B2498" t="b">
            <v>0</v>
          </cell>
          <cell r="E2498" t="str">
            <v>Candelaria</v>
          </cell>
          <cell r="H2498" t="str">
            <v>urgencia</v>
          </cell>
          <cell r="J2498" t="str">
            <v>regular</v>
          </cell>
          <cell r="K2498" t="str">
            <v>probsi</v>
          </cell>
        </row>
        <row r="2499">
          <cell r="B2499" t="b">
            <v>1</v>
          </cell>
          <cell r="E2499" t="str">
            <v>Daniel Lemaitre</v>
          </cell>
          <cell r="H2499" t="str">
            <v>laboratorio</v>
          </cell>
          <cell r="J2499" t="str">
            <v>bueno</v>
          </cell>
          <cell r="K2499" t="str">
            <v>defsi</v>
          </cell>
        </row>
        <row r="2500">
          <cell r="B2500" t="b">
            <v>0</v>
          </cell>
          <cell r="E2500" t="str">
            <v>Candelaria</v>
          </cell>
          <cell r="H2500" t="str">
            <v>urgencia</v>
          </cell>
          <cell r="J2500" t="str">
            <v>regular</v>
          </cell>
          <cell r="K2500" t="str">
            <v>probsi</v>
          </cell>
        </row>
        <row r="2501">
          <cell r="B2501" t="b">
            <v>0</v>
          </cell>
          <cell r="E2501" t="str">
            <v>Candelaria</v>
          </cell>
          <cell r="H2501" t="str">
            <v>urgencia</v>
          </cell>
          <cell r="J2501" t="str">
            <v>regular</v>
          </cell>
          <cell r="K2501" t="str">
            <v>probno</v>
          </cell>
        </row>
        <row r="2502">
          <cell r="B2502" t="b">
            <v>1</v>
          </cell>
          <cell r="E2502" t="str">
            <v>Candelaria</v>
          </cell>
          <cell r="H2502" t="str">
            <v>salud_oral</v>
          </cell>
          <cell r="J2502" t="str">
            <v>bueno</v>
          </cell>
          <cell r="K2502" t="str">
            <v>probsi</v>
          </cell>
        </row>
        <row r="2503">
          <cell r="B2503" t="b">
            <v>1</v>
          </cell>
          <cell r="E2503" t="str">
            <v>Candelaria</v>
          </cell>
          <cell r="H2503" t="str">
            <v>salud_oral</v>
          </cell>
          <cell r="J2503" t="str">
            <v>bueno</v>
          </cell>
          <cell r="K2503" t="str">
            <v>probsi</v>
          </cell>
        </row>
        <row r="2504">
          <cell r="B2504" t="b">
            <v>1</v>
          </cell>
          <cell r="E2504" t="str">
            <v>Candelaria</v>
          </cell>
          <cell r="H2504" t="str">
            <v>salud_oral</v>
          </cell>
          <cell r="J2504" t="str">
            <v>bueno</v>
          </cell>
          <cell r="K2504" t="str">
            <v>probsi</v>
          </cell>
        </row>
        <row r="2505">
          <cell r="B2505" t="b">
            <v>1</v>
          </cell>
          <cell r="E2505" t="str">
            <v>Candelaria</v>
          </cell>
          <cell r="H2505" t="str">
            <v>salud_oral</v>
          </cell>
          <cell r="J2505" t="str">
            <v>bueno</v>
          </cell>
          <cell r="K2505" t="str">
            <v>probsi</v>
          </cell>
        </row>
        <row r="2506">
          <cell r="B2506" t="b">
            <v>1</v>
          </cell>
          <cell r="E2506" t="str">
            <v>Candelaria</v>
          </cell>
          <cell r="H2506" t="str">
            <v>salud_oral</v>
          </cell>
          <cell r="J2506" t="str">
            <v>bueno</v>
          </cell>
          <cell r="K2506" t="str">
            <v>probsi</v>
          </cell>
        </row>
        <row r="2507">
          <cell r="B2507" t="b">
            <v>1</v>
          </cell>
          <cell r="E2507" t="str">
            <v>Candelaria</v>
          </cell>
          <cell r="H2507" t="str">
            <v>salud_oral</v>
          </cell>
          <cell r="J2507" t="str">
            <v>bueno</v>
          </cell>
          <cell r="K2507" t="str">
            <v>probsi</v>
          </cell>
        </row>
        <row r="2508">
          <cell r="B2508" t="b">
            <v>1</v>
          </cell>
          <cell r="E2508" t="str">
            <v>Fredonia</v>
          </cell>
          <cell r="H2508" t="str">
            <v>salud_oral</v>
          </cell>
          <cell r="J2508" t="str">
            <v>bueno</v>
          </cell>
          <cell r="K2508" t="str">
            <v>probsi</v>
          </cell>
        </row>
        <row r="2509">
          <cell r="B2509" t="b">
            <v>1</v>
          </cell>
          <cell r="E2509" t="str">
            <v>Fredonia</v>
          </cell>
          <cell r="H2509" t="str">
            <v>laboratorio</v>
          </cell>
          <cell r="J2509" t="str">
            <v>bueno</v>
          </cell>
          <cell r="K2509" t="str">
            <v>probsi</v>
          </cell>
        </row>
        <row r="2510">
          <cell r="B2510" t="b">
            <v>1</v>
          </cell>
          <cell r="E2510" t="str">
            <v>Fredonia</v>
          </cell>
          <cell r="H2510" t="str">
            <v>laboratorio</v>
          </cell>
          <cell r="J2510" t="str">
            <v>bueno</v>
          </cell>
          <cell r="K2510" t="str">
            <v>probsi</v>
          </cell>
        </row>
        <row r="2511">
          <cell r="B2511" t="b">
            <v>1</v>
          </cell>
          <cell r="E2511" t="str">
            <v>Islote de San Bernardo</v>
          </cell>
          <cell r="H2511" t="str">
            <v>consulta_externa</v>
          </cell>
          <cell r="J2511" t="str">
            <v>muybueno</v>
          </cell>
          <cell r="K2511" t="str">
            <v>defsi</v>
          </cell>
        </row>
        <row r="2512">
          <cell r="B2512" t="b">
            <v>1</v>
          </cell>
          <cell r="E2512" t="str">
            <v>Islote de San Bernardo</v>
          </cell>
          <cell r="H2512" t="str">
            <v>laboratorio</v>
          </cell>
          <cell r="J2512" t="str">
            <v>muybueno</v>
          </cell>
          <cell r="K2512" t="str">
            <v>defsi</v>
          </cell>
        </row>
        <row r="2513">
          <cell r="B2513" t="b">
            <v>1</v>
          </cell>
          <cell r="E2513" t="str">
            <v>Islote de San Bernardo</v>
          </cell>
          <cell r="H2513" t="str">
            <v>consulta_externa</v>
          </cell>
          <cell r="J2513" t="str">
            <v>muybueno</v>
          </cell>
          <cell r="K2513" t="str">
            <v>defsi</v>
          </cell>
        </row>
        <row r="2514">
          <cell r="B2514" t="b">
            <v>1</v>
          </cell>
          <cell r="E2514" t="str">
            <v>Islote de San Bernardo</v>
          </cell>
          <cell r="H2514" t="str">
            <v>salud_oral</v>
          </cell>
          <cell r="J2514" t="str">
            <v>muybueno</v>
          </cell>
          <cell r="K2514" t="str">
            <v>defsi</v>
          </cell>
        </row>
        <row r="2515">
          <cell r="B2515" t="b">
            <v>1</v>
          </cell>
          <cell r="E2515" t="str">
            <v>Islote de San Bernardo</v>
          </cell>
          <cell r="H2515" t="str">
            <v>consulta_externa</v>
          </cell>
          <cell r="J2515" t="str">
            <v>muybueno</v>
          </cell>
          <cell r="K2515" t="str">
            <v>defsi</v>
          </cell>
        </row>
        <row r="2516">
          <cell r="B2516" t="b">
            <v>1</v>
          </cell>
          <cell r="E2516" t="str">
            <v>Islote de San Bernardo</v>
          </cell>
          <cell r="H2516" t="str">
            <v>laboratorio</v>
          </cell>
          <cell r="J2516" t="str">
            <v>muybueno</v>
          </cell>
          <cell r="K2516" t="str">
            <v>defsi</v>
          </cell>
        </row>
        <row r="2517">
          <cell r="B2517" t="b">
            <v>1</v>
          </cell>
          <cell r="E2517" t="str">
            <v>Islote de San Bernardo</v>
          </cell>
          <cell r="H2517" t="str">
            <v>consulta_externa</v>
          </cell>
          <cell r="J2517" t="str">
            <v>muybueno</v>
          </cell>
          <cell r="K2517" t="str">
            <v>defsi</v>
          </cell>
        </row>
        <row r="2518">
          <cell r="B2518" t="b">
            <v>1</v>
          </cell>
          <cell r="E2518" t="str">
            <v>Islote de San Bernardo</v>
          </cell>
          <cell r="H2518" t="str">
            <v>laboratorio</v>
          </cell>
          <cell r="J2518" t="str">
            <v>muybueno</v>
          </cell>
          <cell r="K2518" t="str">
            <v>defsi</v>
          </cell>
        </row>
        <row r="2519">
          <cell r="B2519" t="b">
            <v>1</v>
          </cell>
          <cell r="E2519" t="str">
            <v>Daniel Lemaitre</v>
          </cell>
          <cell r="H2519" t="str">
            <v>consulta_externa</v>
          </cell>
          <cell r="J2519" t="str">
            <v>bueno</v>
          </cell>
          <cell r="K2519" t="str">
            <v>defsi</v>
          </cell>
        </row>
        <row r="2520">
          <cell r="B2520" t="b">
            <v>1</v>
          </cell>
          <cell r="E2520" t="str">
            <v>Daniel Lemaitre</v>
          </cell>
          <cell r="H2520" t="str">
            <v>salud_oral</v>
          </cell>
          <cell r="J2520" t="str">
            <v>bueno</v>
          </cell>
          <cell r="K2520" t="str">
            <v>defsi</v>
          </cell>
        </row>
        <row r="2521">
          <cell r="B2521" t="b">
            <v>1</v>
          </cell>
          <cell r="E2521" t="str">
            <v>Daniel Lemaitre</v>
          </cell>
          <cell r="H2521" t="str">
            <v>laboratorio</v>
          </cell>
          <cell r="J2521" t="str">
            <v>bueno</v>
          </cell>
          <cell r="K2521" t="str">
            <v>defsi</v>
          </cell>
        </row>
        <row r="2522">
          <cell r="B2522" t="b">
            <v>1</v>
          </cell>
          <cell r="E2522" t="str">
            <v>Daniel Lemaitre</v>
          </cell>
          <cell r="H2522" t="str">
            <v>consulta_externa</v>
          </cell>
          <cell r="J2522" t="str">
            <v>bueno</v>
          </cell>
          <cell r="K2522" t="str">
            <v>defsi</v>
          </cell>
        </row>
        <row r="2523">
          <cell r="B2523" t="b">
            <v>1</v>
          </cell>
          <cell r="E2523" t="str">
            <v>Daniel Lemaitre</v>
          </cell>
          <cell r="H2523" t="str">
            <v>salud_oral</v>
          </cell>
          <cell r="J2523" t="str">
            <v>bueno</v>
          </cell>
          <cell r="K2523" t="str">
            <v>defsi</v>
          </cell>
        </row>
        <row r="2524">
          <cell r="B2524" t="b">
            <v>1</v>
          </cell>
          <cell r="E2524" t="str">
            <v>Daniel Lemaitre</v>
          </cell>
          <cell r="H2524" t="str">
            <v>laboratorio</v>
          </cell>
          <cell r="J2524" t="str">
            <v>bueno</v>
          </cell>
          <cell r="K2524" t="str">
            <v>defsi</v>
          </cell>
        </row>
        <row r="2525">
          <cell r="B2525" t="b">
            <v>1</v>
          </cell>
          <cell r="E2525" t="str">
            <v>Daniel Lemaitre</v>
          </cell>
          <cell r="H2525" t="str">
            <v>consulta_externa</v>
          </cell>
          <cell r="J2525" t="str">
            <v>bueno</v>
          </cell>
          <cell r="K2525" t="str">
            <v>defsi</v>
          </cell>
        </row>
        <row r="2526">
          <cell r="B2526" t="b">
            <v>1</v>
          </cell>
          <cell r="E2526" t="str">
            <v>Daniel Lemaitre</v>
          </cell>
          <cell r="H2526" t="str">
            <v>salud_oral</v>
          </cell>
          <cell r="J2526" t="str">
            <v>bueno</v>
          </cell>
          <cell r="K2526" t="str">
            <v>defsi</v>
          </cell>
        </row>
        <row r="2527">
          <cell r="B2527" t="b">
            <v>1</v>
          </cell>
          <cell r="E2527" t="str">
            <v>Daniel Lemaitre</v>
          </cell>
          <cell r="H2527" t="str">
            <v>laboratorio</v>
          </cell>
          <cell r="J2527" t="str">
            <v>bueno</v>
          </cell>
          <cell r="K2527" t="str">
            <v>defsi</v>
          </cell>
        </row>
        <row r="2528">
          <cell r="B2528" t="b">
            <v>1</v>
          </cell>
          <cell r="E2528" t="str">
            <v>Daniel Lemaitre</v>
          </cell>
          <cell r="H2528" t="str">
            <v>consulta_externa</v>
          </cell>
          <cell r="J2528" t="str">
            <v>bueno</v>
          </cell>
          <cell r="K2528" t="str">
            <v>defsi</v>
          </cell>
        </row>
        <row r="2529">
          <cell r="B2529" t="b">
            <v>1</v>
          </cell>
          <cell r="E2529" t="str">
            <v>Daniel Lemaitre</v>
          </cell>
          <cell r="H2529" t="str">
            <v>salud_oral</v>
          </cell>
          <cell r="J2529" t="str">
            <v>bueno</v>
          </cell>
          <cell r="K2529" t="str">
            <v>defsi</v>
          </cell>
        </row>
        <row r="2530">
          <cell r="B2530" t="b">
            <v>1</v>
          </cell>
          <cell r="E2530" t="str">
            <v>Daniel Lemaitre</v>
          </cell>
          <cell r="H2530" t="str">
            <v>laboratorio</v>
          </cell>
          <cell r="J2530" t="str">
            <v>bueno</v>
          </cell>
          <cell r="K2530" t="str">
            <v>defsi</v>
          </cell>
        </row>
        <row r="2531">
          <cell r="B2531" t="b">
            <v>1</v>
          </cell>
          <cell r="E2531" t="str">
            <v>Daniel Lemaitre</v>
          </cell>
          <cell r="H2531" t="str">
            <v>consulta_externa</v>
          </cell>
          <cell r="J2531" t="str">
            <v>bueno</v>
          </cell>
          <cell r="K2531" t="str">
            <v>defsi</v>
          </cell>
        </row>
        <row r="2532">
          <cell r="B2532" t="b">
            <v>1</v>
          </cell>
          <cell r="E2532" t="str">
            <v>Daniel Lemaitre</v>
          </cell>
          <cell r="H2532" t="str">
            <v>salud_oral</v>
          </cell>
          <cell r="J2532" t="str">
            <v>bueno</v>
          </cell>
          <cell r="K2532" t="str">
            <v>defsi</v>
          </cell>
        </row>
        <row r="2533">
          <cell r="B2533" t="b">
            <v>1</v>
          </cell>
          <cell r="E2533" t="str">
            <v>Daniel Lemaitre</v>
          </cell>
          <cell r="H2533" t="str">
            <v>laboratorio</v>
          </cell>
          <cell r="J2533" t="str">
            <v>bueno</v>
          </cell>
          <cell r="K2533" t="str">
            <v>defsi</v>
          </cell>
        </row>
        <row r="2534">
          <cell r="B2534" t="b">
            <v>1</v>
          </cell>
          <cell r="E2534" t="str">
            <v>Daniel Lemaitre</v>
          </cell>
          <cell r="H2534" t="str">
            <v>consulta_externa</v>
          </cell>
          <cell r="J2534" t="str">
            <v>bueno</v>
          </cell>
          <cell r="K2534" t="str">
            <v>defsi</v>
          </cell>
        </row>
        <row r="2535">
          <cell r="B2535" t="b">
            <v>1</v>
          </cell>
          <cell r="E2535" t="str">
            <v>Daniel Lemaitre</v>
          </cell>
          <cell r="H2535" t="str">
            <v>salud_oral</v>
          </cell>
          <cell r="J2535" t="str">
            <v>bueno</v>
          </cell>
          <cell r="K2535" t="str">
            <v>defsi</v>
          </cell>
        </row>
        <row r="2536">
          <cell r="B2536" t="b">
            <v>1</v>
          </cell>
          <cell r="E2536" t="str">
            <v>Daniel Lemaitre</v>
          </cell>
          <cell r="H2536" t="str">
            <v>laboratorio</v>
          </cell>
          <cell r="J2536" t="str">
            <v>bueno</v>
          </cell>
          <cell r="K2536" t="str">
            <v>defsi</v>
          </cell>
        </row>
        <row r="2537">
          <cell r="B2537" t="b">
            <v>1</v>
          </cell>
          <cell r="E2537" t="str">
            <v>Daniel Lemaitre</v>
          </cell>
          <cell r="H2537" t="str">
            <v>consulta_externa</v>
          </cell>
          <cell r="J2537" t="str">
            <v>bueno</v>
          </cell>
          <cell r="K2537" t="str">
            <v>defsi</v>
          </cell>
        </row>
        <row r="2538">
          <cell r="B2538" t="b">
            <v>1</v>
          </cell>
          <cell r="E2538" t="str">
            <v>Daniel Lemaitre</v>
          </cell>
          <cell r="H2538" t="str">
            <v>salud_oral</v>
          </cell>
          <cell r="J2538" t="str">
            <v>bueno</v>
          </cell>
          <cell r="K2538" t="str">
            <v>defsi</v>
          </cell>
        </row>
        <row r="2539">
          <cell r="B2539" t="b">
            <v>1</v>
          </cell>
          <cell r="E2539" t="str">
            <v>Daniel Lemaitre</v>
          </cell>
          <cell r="H2539" t="str">
            <v>laboratorio</v>
          </cell>
          <cell r="J2539" t="str">
            <v>bueno</v>
          </cell>
          <cell r="K2539" t="str">
            <v>defsi</v>
          </cell>
        </row>
        <row r="2540">
          <cell r="B2540" t="b">
            <v>1</v>
          </cell>
          <cell r="E2540" t="str">
            <v>Daniel Lemaitre</v>
          </cell>
          <cell r="H2540" t="str">
            <v>consulta_externa</v>
          </cell>
          <cell r="J2540" t="str">
            <v>bueno</v>
          </cell>
          <cell r="K2540" t="str">
            <v>defsi</v>
          </cell>
        </row>
        <row r="2541">
          <cell r="B2541" t="b">
            <v>1</v>
          </cell>
          <cell r="E2541" t="str">
            <v>Daniel Lemaitre</v>
          </cell>
          <cell r="H2541" t="str">
            <v>salud_oral</v>
          </cell>
          <cell r="J2541" t="str">
            <v>bueno</v>
          </cell>
          <cell r="K2541" t="str">
            <v>defsi</v>
          </cell>
        </row>
        <row r="2542">
          <cell r="B2542" t="b">
            <v>1</v>
          </cell>
          <cell r="E2542" t="str">
            <v>Daniel Lemaitre</v>
          </cell>
          <cell r="H2542" t="str">
            <v>laboratorio</v>
          </cell>
          <cell r="J2542" t="str">
            <v>bueno</v>
          </cell>
          <cell r="K2542" t="str">
            <v>defsi</v>
          </cell>
        </row>
        <row r="2543">
          <cell r="B2543" t="b">
            <v>1</v>
          </cell>
          <cell r="E2543" t="str">
            <v>Daniel Lemaitre</v>
          </cell>
          <cell r="H2543" t="str">
            <v>consulta_externa</v>
          </cell>
          <cell r="J2543" t="str">
            <v>bueno</v>
          </cell>
          <cell r="K2543" t="str">
            <v>defsi</v>
          </cell>
        </row>
        <row r="2544">
          <cell r="B2544" t="b">
            <v>1</v>
          </cell>
          <cell r="E2544" t="str">
            <v>Daniel Lemaitre</v>
          </cell>
          <cell r="H2544" t="str">
            <v>salud_oral</v>
          </cell>
          <cell r="J2544" t="str">
            <v>bueno</v>
          </cell>
          <cell r="K2544" t="str">
            <v>defsi</v>
          </cell>
        </row>
        <row r="2545">
          <cell r="B2545" t="b">
            <v>1</v>
          </cell>
          <cell r="E2545" t="str">
            <v>Daniel Lemaitre</v>
          </cell>
          <cell r="H2545" t="str">
            <v>laboratorio</v>
          </cell>
          <cell r="J2545" t="str">
            <v>bueno</v>
          </cell>
          <cell r="K2545" t="str">
            <v>defsi</v>
          </cell>
        </row>
        <row r="2546">
          <cell r="B2546" t="b">
            <v>1</v>
          </cell>
          <cell r="E2546" t="str">
            <v>Daniel Lemaitre</v>
          </cell>
          <cell r="H2546" t="str">
            <v>consulta_externa</v>
          </cell>
          <cell r="J2546" t="str">
            <v>bueno</v>
          </cell>
          <cell r="K2546" t="str">
            <v>defsi</v>
          </cell>
        </row>
        <row r="2547">
          <cell r="B2547" t="b">
            <v>1</v>
          </cell>
          <cell r="E2547" t="str">
            <v>Daniel Lemaitre</v>
          </cell>
          <cell r="H2547" t="str">
            <v>salud_oral</v>
          </cell>
          <cell r="J2547" t="str">
            <v>bueno</v>
          </cell>
          <cell r="K2547" t="str">
            <v>defsi</v>
          </cell>
        </row>
        <row r="2548">
          <cell r="B2548" t="b">
            <v>1</v>
          </cell>
          <cell r="E2548" t="str">
            <v>Daniel Lemaitre</v>
          </cell>
          <cell r="H2548" t="str">
            <v>laboratorio</v>
          </cell>
          <cell r="J2548" t="str">
            <v>bueno</v>
          </cell>
          <cell r="K2548" t="str">
            <v>defsi</v>
          </cell>
        </row>
        <row r="2549">
          <cell r="B2549" t="b">
            <v>1</v>
          </cell>
          <cell r="E2549" t="str">
            <v>Isla Fuerte</v>
          </cell>
          <cell r="H2549" t="str">
            <v>consulta_externa</v>
          </cell>
          <cell r="J2549" t="str">
            <v>muybueno</v>
          </cell>
          <cell r="K2549" t="str">
            <v>defsi</v>
          </cell>
        </row>
        <row r="2550">
          <cell r="B2550" t="b">
            <v>1</v>
          </cell>
          <cell r="E2550" t="str">
            <v>Isla Fuerte</v>
          </cell>
          <cell r="H2550" t="str">
            <v>laboratorio</v>
          </cell>
          <cell r="J2550" t="str">
            <v>muybueno</v>
          </cell>
          <cell r="K2550" t="str">
            <v>defsi</v>
          </cell>
        </row>
        <row r="2551">
          <cell r="B2551" t="b">
            <v>1</v>
          </cell>
          <cell r="E2551" t="str">
            <v>Isla Fuerte</v>
          </cell>
          <cell r="H2551" t="str">
            <v>laboratorio</v>
          </cell>
          <cell r="J2551" t="str">
            <v>muybueno</v>
          </cell>
          <cell r="K2551" t="str">
            <v>defsi</v>
          </cell>
        </row>
        <row r="2552">
          <cell r="B2552" t="b">
            <v>1</v>
          </cell>
          <cell r="E2552" t="str">
            <v>Bocachica</v>
          </cell>
          <cell r="H2552" t="str">
            <v>consulta_externa</v>
          </cell>
          <cell r="J2552" t="str">
            <v>bueno</v>
          </cell>
          <cell r="K2552" t="str">
            <v>defsi</v>
          </cell>
        </row>
        <row r="2553">
          <cell r="B2553" t="b">
            <v>1</v>
          </cell>
          <cell r="E2553" t="str">
            <v>Bocachica</v>
          </cell>
          <cell r="H2553" t="str">
            <v>consulta_externa</v>
          </cell>
          <cell r="J2553" t="str">
            <v>bueno</v>
          </cell>
          <cell r="K2553" t="str">
            <v>defsi</v>
          </cell>
        </row>
        <row r="2554">
          <cell r="B2554" t="b">
            <v>1</v>
          </cell>
          <cell r="E2554" t="str">
            <v>Isla Fuerte</v>
          </cell>
          <cell r="H2554" t="str">
            <v>consulta_externa</v>
          </cell>
          <cell r="J2554" t="str">
            <v>muybueno</v>
          </cell>
          <cell r="K2554" t="str">
            <v>defsi</v>
          </cell>
        </row>
        <row r="2555">
          <cell r="B2555" t="b">
            <v>1</v>
          </cell>
          <cell r="E2555" t="str">
            <v>Isla Fuerte</v>
          </cell>
          <cell r="H2555" t="str">
            <v>laboratorio</v>
          </cell>
          <cell r="J2555" t="str">
            <v>muybueno</v>
          </cell>
          <cell r="K2555" t="str">
            <v>defsi</v>
          </cell>
        </row>
        <row r="2556">
          <cell r="B2556" t="b">
            <v>1</v>
          </cell>
          <cell r="E2556" t="str">
            <v>Bocachica</v>
          </cell>
          <cell r="H2556" t="str">
            <v>consulta_externa</v>
          </cell>
          <cell r="J2556" t="str">
            <v>bueno</v>
          </cell>
          <cell r="K2556" t="str">
            <v>defsi</v>
          </cell>
        </row>
        <row r="2557">
          <cell r="B2557" t="b">
            <v>1</v>
          </cell>
          <cell r="E2557" t="str">
            <v>Bocachica</v>
          </cell>
          <cell r="H2557" t="str">
            <v>consulta_externa</v>
          </cell>
          <cell r="J2557" t="str">
            <v>bueno</v>
          </cell>
          <cell r="K2557" t="str">
            <v>defsi</v>
          </cell>
        </row>
        <row r="2558">
          <cell r="B2558" t="b">
            <v>0</v>
          </cell>
          <cell r="E2558" t="str">
            <v>Bocachica</v>
          </cell>
          <cell r="H2558" t="str">
            <v>urgencia</v>
          </cell>
          <cell r="J2558" t="str">
            <v>malo</v>
          </cell>
          <cell r="K2558" t="str">
            <v>probno</v>
          </cell>
        </row>
        <row r="2559">
          <cell r="B2559" t="b">
            <v>1</v>
          </cell>
          <cell r="E2559" t="str">
            <v>Bocachica</v>
          </cell>
          <cell r="H2559" t="str">
            <v>consulta_externa</v>
          </cell>
          <cell r="J2559" t="str">
            <v>bueno</v>
          </cell>
          <cell r="K2559" t="str">
            <v>defsi</v>
          </cell>
        </row>
        <row r="2560">
          <cell r="B2560" t="b">
            <v>1</v>
          </cell>
          <cell r="E2560" t="str">
            <v>Bocachica</v>
          </cell>
          <cell r="H2560" t="str">
            <v>laboratorio</v>
          </cell>
          <cell r="J2560" t="str">
            <v>bueno</v>
          </cell>
          <cell r="K2560" t="str">
            <v>probsi</v>
          </cell>
        </row>
        <row r="2561">
          <cell r="B2561" t="b">
            <v>0</v>
          </cell>
          <cell r="E2561" t="str">
            <v>Bicentenario</v>
          </cell>
          <cell r="H2561" t="str">
            <v>consulta_externa</v>
          </cell>
          <cell r="J2561" t="str">
            <v>regular</v>
          </cell>
          <cell r="K2561" t="str">
            <v>probsi</v>
          </cell>
        </row>
        <row r="2562">
          <cell r="B2562" t="b">
            <v>1</v>
          </cell>
          <cell r="E2562" t="str">
            <v>Isla Fuerte</v>
          </cell>
          <cell r="H2562" t="str">
            <v>consulta_externa</v>
          </cell>
          <cell r="J2562" t="str">
            <v>muybueno</v>
          </cell>
          <cell r="K2562" t="str">
            <v>defsi</v>
          </cell>
        </row>
        <row r="2563">
          <cell r="B2563" t="b">
            <v>0</v>
          </cell>
          <cell r="E2563" t="str">
            <v>Bicentenario</v>
          </cell>
          <cell r="H2563" t="str">
            <v>consulta_externa</v>
          </cell>
          <cell r="J2563" t="str">
            <v>regular</v>
          </cell>
          <cell r="K2563" t="str">
            <v>probsi</v>
          </cell>
        </row>
        <row r="2564">
          <cell r="B2564" t="b">
            <v>1</v>
          </cell>
          <cell r="E2564" t="str">
            <v>Isla Fuerte</v>
          </cell>
          <cell r="H2564" t="str">
            <v>laboratorio</v>
          </cell>
          <cell r="J2564" t="str">
            <v>muybueno</v>
          </cell>
          <cell r="K2564" t="str">
            <v>defsi</v>
          </cell>
        </row>
        <row r="2565">
          <cell r="B2565" t="b">
            <v>1</v>
          </cell>
          <cell r="E2565" t="str">
            <v>Bicentenario</v>
          </cell>
          <cell r="H2565" t="str">
            <v>consulta_externa</v>
          </cell>
          <cell r="J2565" t="str">
            <v>bueno</v>
          </cell>
          <cell r="K2565" t="str">
            <v>probsi</v>
          </cell>
        </row>
        <row r="2566">
          <cell r="B2566" t="b">
            <v>1</v>
          </cell>
          <cell r="E2566" t="str">
            <v>Bicentenario</v>
          </cell>
          <cell r="H2566" t="str">
            <v>salud_oral</v>
          </cell>
          <cell r="J2566" t="str">
            <v>bueno</v>
          </cell>
          <cell r="K2566" t="str">
            <v>probsi</v>
          </cell>
        </row>
        <row r="2567">
          <cell r="B2567" t="b">
            <v>1</v>
          </cell>
          <cell r="E2567" t="str">
            <v>Bicentenario</v>
          </cell>
          <cell r="H2567" t="str">
            <v>salud_oral</v>
          </cell>
          <cell r="J2567" t="str">
            <v>bueno</v>
          </cell>
          <cell r="K2567" t="str">
            <v>probsi</v>
          </cell>
        </row>
        <row r="2568">
          <cell r="B2568" t="b">
            <v>1</v>
          </cell>
          <cell r="E2568" t="str">
            <v>Bicentenario</v>
          </cell>
          <cell r="H2568" t="str">
            <v>laboratorio</v>
          </cell>
          <cell r="J2568" t="str">
            <v>bueno</v>
          </cell>
          <cell r="K2568" t="str">
            <v>probsi</v>
          </cell>
        </row>
        <row r="2569">
          <cell r="B2569" t="b">
            <v>1</v>
          </cell>
          <cell r="E2569" t="str">
            <v>Bicentenario</v>
          </cell>
          <cell r="H2569" t="str">
            <v>consulta_externa</v>
          </cell>
          <cell r="J2569" t="str">
            <v>bueno</v>
          </cell>
          <cell r="K2569" t="str">
            <v>probsi</v>
          </cell>
        </row>
        <row r="2570">
          <cell r="B2570" t="b">
            <v>1</v>
          </cell>
          <cell r="E2570" t="str">
            <v>Bicentenario</v>
          </cell>
          <cell r="H2570" t="str">
            <v>salud_oral</v>
          </cell>
          <cell r="J2570" t="str">
            <v>bueno</v>
          </cell>
          <cell r="K2570" t="str">
            <v>probsi</v>
          </cell>
        </row>
        <row r="2571">
          <cell r="B2571" t="b">
            <v>1</v>
          </cell>
          <cell r="E2571" t="str">
            <v>Bicentenario</v>
          </cell>
          <cell r="H2571" t="str">
            <v>laboratorio</v>
          </cell>
          <cell r="J2571" t="str">
            <v>bueno</v>
          </cell>
          <cell r="K2571" t="str">
            <v>probsi</v>
          </cell>
        </row>
        <row r="2572">
          <cell r="B2572" t="b">
            <v>1</v>
          </cell>
          <cell r="E2572" t="str">
            <v>Bicentenario</v>
          </cell>
          <cell r="H2572" t="str">
            <v>urgencia</v>
          </cell>
          <cell r="J2572" t="str">
            <v>bueno</v>
          </cell>
          <cell r="K2572" t="str">
            <v>probsi</v>
          </cell>
        </row>
        <row r="2573">
          <cell r="B2573" t="b">
            <v>1</v>
          </cell>
          <cell r="E2573" t="str">
            <v>Bicentenario</v>
          </cell>
          <cell r="H2573" t="str">
            <v>consulta_externa</v>
          </cell>
          <cell r="J2573" t="str">
            <v>bueno</v>
          </cell>
          <cell r="K2573" t="str">
            <v>probsi</v>
          </cell>
        </row>
        <row r="2574">
          <cell r="B2574" t="b">
            <v>1</v>
          </cell>
          <cell r="E2574" t="str">
            <v>Bicentenario</v>
          </cell>
          <cell r="H2574" t="str">
            <v>salud_oral</v>
          </cell>
          <cell r="J2574" t="str">
            <v>bueno</v>
          </cell>
          <cell r="K2574" t="str">
            <v>probsi</v>
          </cell>
        </row>
        <row r="2575">
          <cell r="B2575" t="b">
            <v>1</v>
          </cell>
          <cell r="E2575" t="str">
            <v>Bicentenario</v>
          </cell>
          <cell r="H2575" t="str">
            <v>laboratorio</v>
          </cell>
          <cell r="J2575" t="str">
            <v>bueno</v>
          </cell>
          <cell r="K2575" t="str">
            <v>probsi</v>
          </cell>
        </row>
        <row r="2576">
          <cell r="B2576" t="b">
            <v>1</v>
          </cell>
          <cell r="E2576" t="str">
            <v>Bicentenario</v>
          </cell>
          <cell r="H2576" t="str">
            <v>consulta_externa</v>
          </cell>
          <cell r="J2576" t="str">
            <v>bueno</v>
          </cell>
          <cell r="K2576" t="str">
            <v>probsi</v>
          </cell>
        </row>
        <row r="2577">
          <cell r="B2577" t="b">
            <v>1</v>
          </cell>
          <cell r="E2577" t="str">
            <v>Bicentenario</v>
          </cell>
          <cell r="H2577" t="str">
            <v>urgencia</v>
          </cell>
          <cell r="J2577" t="str">
            <v>bueno</v>
          </cell>
          <cell r="K2577" t="str">
            <v>probsi</v>
          </cell>
        </row>
        <row r="2578">
          <cell r="B2578" t="b">
            <v>1</v>
          </cell>
          <cell r="E2578" t="str">
            <v>Bicentenario</v>
          </cell>
          <cell r="H2578" t="str">
            <v>consulta_externa</v>
          </cell>
          <cell r="J2578" t="str">
            <v>bueno</v>
          </cell>
          <cell r="K2578" t="str">
            <v>probsi</v>
          </cell>
        </row>
        <row r="2579">
          <cell r="B2579" t="b">
            <v>1</v>
          </cell>
          <cell r="E2579" t="str">
            <v>Bicentenario</v>
          </cell>
          <cell r="H2579" t="str">
            <v>consulta_externa</v>
          </cell>
          <cell r="J2579" t="str">
            <v>bueno</v>
          </cell>
          <cell r="K2579" t="str">
            <v>probsi</v>
          </cell>
        </row>
        <row r="2580">
          <cell r="B2580" t="b">
            <v>1</v>
          </cell>
          <cell r="E2580" t="str">
            <v>Bocachica</v>
          </cell>
          <cell r="H2580" t="str">
            <v>urgencia</v>
          </cell>
          <cell r="J2580" t="str">
            <v>bueno</v>
          </cell>
          <cell r="K2580" t="str">
            <v>probsi</v>
          </cell>
        </row>
        <row r="2581">
          <cell r="B2581" t="b">
            <v>1</v>
          </cell>
          <cell r="E2581" t="str">
            <v>Bicentenario</v>
          </cell>
          <cell r="H2581" t="str">
            <v>salud_oral</v>
          </cell>
          <cell r="J2581" t="str">
            <v>bueno</v>
          </cell>
          <cell r="K2581" t="str">
            <v>probsi</v>
          </cell>
        </row>
        <row r="2582">
          <cell r="B2582" t="b">
            <v>1</v>
          </cell>
          <cell r="E2582" t="str">
            <v>Bocachica</v>
          </cell>
          <cell r="H2582" t="str">
            <v>urgencia</v>
          </cell>
          <cell r="J2582" t="str">
            <v>bueno</v>
          </cell>
          <cell r="K2582" t="str">
            <v>probsi</v>
          </cell>
        </row>
        <row r="2583">
          <cell r="B2583" t="b">
            <v>1</v>
          </cell>
          <cell r="E2583" t="str">
            <v>Bicentenario</v>
          </cell>
          <cell r="H2583" t="str">
            <v>consulta_externa</v>
          </cell>
          <cell r="J2583" t="str">
            <v>bueno</v>
          </cell>
          <cell r="K2583" t="str">
            <v>probsi</v>
          </cell>
        </row>
        <row r="2584">
          <cell r="B2584" t="b">
            <v>1</v>
          </cell>
          <cell r="E2584" t="str">
            <v>Bicentenario</v>
          </cell>
          <cell r="H2584" t="str">
            <v>laboratorio</v>
          </cell>
          <cell r="J2584" t="str">
            <v>bueno</v>
          </cell>
          <cell r="K2584" t="str">
            <v>probsi</v>
          </cell>
        </row>
        <row r="2585">
          <cell r="B2585" t="b">
            <v>1</v>
          </cell>
          <cell r="E2585" t="str">
            <v>Bicentenario</v>
          </cell>
          <cell r="H2585" t="str">
            <v>urgencia</v>
          </cell>
          <cell r="J2585" t="str">
            <v>bueno</v>
          </cell>
          <cell r="K2585" t="str">
            <v>probsi</v>
          </cell>
        </row>
        <row r="2586">
          <cell r="B2586" t="b">
            <v>1</v>
          </cell>
          <cell r="E2586" t="str">
            <v>Isla Fuerte</v>
          </cell>
          <cell r="H2586" t="str">
            <v>consulta_externa</v>
          </cell>
          <cell r="J2586" t="str">
            <v>muybueno</v>
          </cell>
          <cell r="K2586" t="str">
            <v>defsi</v>
          </cell>
        </row>
        <row r="2587">
          <cell r="B2587" t="b">
            <v>1</v>
          </cell>
          <cell r="E2587" t="str">
            <v>Isla Fuerte</v>
          </cell>
          <cell r="H2587" t="str">
            <v>laboratorio</v>
          </cell>
          <cell r="J2587" t="str">
            <v>muybueno</v>
          </cell>
          <cell r="K2587" t="str">
            <v>defsi</v>
          </cell>
        </row>
        <row r="2588">
          <cell r="B2588" t="b">
            <v>1</v>
          </cell>
          <cell r="E2588" t="str">
            <v>Bocachica</v>
          </cell>
          <cell r="H2588" t="str">
            <v>salud_oral</v>
          </cell>
          <cell r="J2588" t="str">
            <v>bueno</v>
          </cell>
          <cell r="K2588" t="str">
            <v>defsi</v>
          </cell>
        </row>
        <row r="2589">
          <cell r="B2589" t="b">
            <v>0</v>
          </cell>
          <cell r="E2589" t="str">
            <v>Bicentenario</v>
          </cell>
          <cell r="H2589" t="str">
            <v>consulta_externa</v>
          </cell>
          <cell r="J2589" t="str">
            <v>malo</v>
          </cell>
          <cell r="K2589" t="str">
            <v>probno</v>
          </cell>
        </row>
        <row r="2590">
          <cell r="B2590" t="b">
            <v>1</v>
          </cell>
          <cell r="E2590" t="str">
            <v>Isla Fuerte</v>
          </cell>
          <cell r="H2590" t="str">
            <v>consulta_externa</v>
          </cell>
          <cell r="J2590" t="str">
            <v>muybueno</v>
          </cell>
          <cell r="K2590" t="str">
            <v>defsi</v>
          </cell>
        </row>
        <row r="2591">
          <cell r="B2591" t="b">
            <v>1</v>
          </cell>
          <cell r="E2591" t="str">
            <v>Isla Fuerte</v>
          </cell>
          <cell r="H2591" t="str">
            <v>laboratorio</v>
          </cell>
          <cell r="J2591" t="str">
            <v>muybueno</v>
          </cell>
          <cell r="K2591" t="str">
            <v>defsi</v>
          </cell>
        </row>
        <row r="2592">
          <cell r="B2592" t="b">
            <v>0</v>
          </cell>
          <cell r="E2592" t="str">
            <v>Bicentenario</v>
          </cell>
          <cell r="H2592" t="str">
            <v>salud_oral</v>
          </cell>
          <cell r="J2592" t="str">
            <v>malo</v>
          </cell>
          <cell r="K2592" t="str">
            <v>probno</v>
          </cell>
        </row>
        <row r="2593">
          <cell r="B2593" t="b">
            <v>1</v>
          </cell>
          <cell r="E2593" t="str">
            <v>Bicentenario</v>
          </cell>
          <cell r="H2593" t="str">
            <v>consulta_externa</v>
          </cell>
          <cell r="J2593" t="str">
            <v>bueno</v>
          </cell>
          <cell r="K2593" t="str">
            <v>probsi</v>
          </cell>
        </row>
        <row r="2594">
          <cell r="B2594" t="b">
            <v>1</v>
          </cell>
          <cell r="E2594" t="str">
            <v>Bicentenario</v>
          </cell>
          <cell r="H2594" t="str">
            <v>urgencia</v>
          </cell>
          <cell r="J2594" t="str">
            <v>bueno</v>
          </cell>
          <cell r="K2594" t="str">
            <v>probsi</v>
          </cell>
        </row>
        <row r="2595">
          <cell r="B2595" t="b">
            <v>1</v>
          </cell>
          <cell r="E2595" t="str">
            <v>Bocachica</v>
          </cell>
          <cell r="H2595" t="str">
            <v>consulta_externa</v>
          </cell>
          <cell r="J2595" t="str">
            <v>bueno</v>
          </cell>
          <cell r="K2595" t="str">
            <v>probsi</v>
          </cell>
        </row>
        <row r="2596">
          <cell r="B2596" t="b">
            <v>1</v>
          </cell>
          <cell r="E2596" t="str">
            <v>Bosque</v>
          </cell>
          <cell r="H2596" t="str">
            <v>consulta_externa</v>
          </cell>
          <cell r="J2596" t="str">
            <v>bueno</v>
          </cell>
          <cell r="K2596" t="str">
            <v>defsi</v>
          </cell>
        </row>
        <row r="2597">
          <cell r="B2597" t="b">
            <v>1</v>
          </cell>
          <cell r="E2597" t="str">
            <v>Bosque</v>
          </cell>
          <cell r="H2597" t="str">
            <v>salud_oral</v>
          </cell>
          <cell r="J2597" t="str">
            <v>bueno</v>
          </cell>
          <cell r="K2597" t="str">
            <v>defsi</v>
          </cell>
        </row>
        <row r="2598">
          <cell r="B2598" t="b">
            <v>1</v>
          </cell>
          <cell r="E2598" t="str">
            <v>Bosque</v>
          </cell>
          <cell r="H2598" t="str">
            <v>laboratorio</v>
          </cell>
          <cell r="J2598" t="str">
            <v>bueno</v>
          </cell>
          <cell r="K2598" t="str">
            <v>defsi</v>
          </cell>
        </row>
        <row r="2599">
          <cell r="B2599" t="b">
            <v>1</v>
          </cell>
          <cell r="E2599" t="str">
            <v>Bosque</v>
          </cell>
          <cell r="H2599" t="str">
            <v>consulta_externa</v>
          </cell>
          <cell r="J2599" t="str">
            <v>bueno</v>
          </cell>
          <cell r="K2599" t="str">
            <v>defsi</v>
          </cell>
        </row>
        <row r="2600">
          <cell r="B2600" t="b">
            <v>1</v>
          </cell>
          <cell r="E2600" t="str">
            <v>Bicentenario</v>
          </cell>
          <cell r="H2600" t="str">
            <v>consulta_externa</v>
          </cell>
          <cell r="J2600" t="str">
            <v>bueno</v>
          </cell>
          <cell r="K2600" t="str">
            <v>probsi</v>
          </cell>
        </row>
        <row r="2601">
          <cell r="B2601" t="b">
            <v>1</v>
          </cell>
          <cell r="E2601" t="str">
            <v>Bosque</v>
          </cell>
          <cell r="H2601" t="str">
            <v>salud_oral</v>
          </cell>
          <cell r="J2601" t="str">
            <v>bueno</v>
          </cell>
          <cell r="K2601" t="str">
            <v>defsi</v>
          </cell>
        </row>
        <row r="2602">
          <cell r="B2602" t="b">
            <v>1</v>
          </cell>
          <cell r="E2602" t="str">
            <v>Bicentenario</v>
          </cell>
          <cell r="H2602" t="str">
            <v>salud_oral</v>
          </cell>
          <cell r="J2602" t="str">
            <v>bueno</v>
          </cell>
          <cell r="K2602" t="str">
            <v>probsi</v>
          </cell>
        </row>
        <row r="2603">
          <cell r="B2603" t="b">
            <v>1</v>
          </cell>
          <cell r="E2603" t="str">
            <v>Bosque</v>
          </cell>
          <cell r="H2603" t="str">
            <v>laboratorio</v>
          </cell>
          <cell r="J2603" t="str">
            <v>bueno</v>
          </cell>
          <cell r="K2603" t="str">
            <v>defsi</v>
          </cell>
        </row>
        <row r="2604">
          <cell r="B2604" t="b">
            <v>1</v>
          </cell>
          <cell r="E2604" t="str">
            <v>Bosque</v>
          </cell>
          <cell r="H2604" t="str">
            <v>consulta_externa</v>
          </cell>
          <cell r="J2604" t="str">
            <v>bueno</v>
          </cell>
          <cell r="K2604" t="str">
            <v>defsi</v>
          </cell>
        </row>
        <row r="2605">
          <cell r="B2605" t="b">
            <v>1</v>
          </cell>
          <cell r="E2605" t="str">
            <v>Bosque</v>
          </cell>
          <cell r="H2605" t="str">
            <v>salud_oral</v>
          </cell>
          <cell r="J2605" t="str">
            <v>bueno</v>
          </cell>
          <cell r="K2605" t="str">
            <v>defsi</v>
          </cell>
        </row>
        <row r="2606">
          <cell r="B2606" t="b">
            <v>1</v>
          </cell>
          <cell r="E2606" t="str">
            <v>Bosque</v>
          </cell>
          <cell r="H2606" t="str">
            <v>laboratorio</v>
          </cell>
          <cell r="J2606" t="str">
            <v>bueno</v>
          </cell>
          <cell r="K2606" t="str">
            <v>defsi</v>
          </cell>
        </row>
        <row r="2607">
          <cell r="B2607" t="b">
            <v>1</v>
          </cell>
          <cell r="E2607" t="str">
            <v>Isla Fuerte</v>
          </cell>
          <cell r="H2607" t="str">
            <v>laboratorio</v>
          </cell>
          <cell r="J2607" t="str">
            <v>muybueno</v>
          </cell>
          <cell r="K2607" t="str">
            <v>defsi</v>
          </cell>
        </row>
        <row r="2608">
          <cell r="B2608" t="b">
            <v>1</v>
          </cell>
          <cell r="E2608" t="str">
            <v>Bicentenario</v>
          </cell>
          <cell r="H2608" t="str">
            <v>consulta_externa</v>
          </cell>
          <cell r="J2608" t="str">
            <v>bueno</v>
          </cell>
          <cell r="K2608" t="str">
            <v>probsi</v>
          </cell>
        </row>
        <row r="2609">
          <cell r="B2609" t="b">
            <v>1</v>
          </cell>
          <cell r="E2609" t="str">
            <v>Bicentenario</v>
          </cell>
          <cell r="H2609" t="str">
            <v>salud_oral</v>
          </cell>
          <cell r="J2609" t="str">
            <v>bueno</v>
          </cell>
          <cell r="K2609" t="str">
            <v>probsi</v>
          </cell>
        </row>
        <row r="2610">
          <cell r="B2610" t="b">
            <v>1</v>
          </cell>
          <cell r="E2610" t="str">
            <v>Bocachica</v>
          </cell>
          <cell r="H2610" t="str">
            <v>consulta_externa</v>
          </cell>
          <cell r="J2610" t="str">
            <v>bueno</v>
          </cell>
          <cell r="K2610" t="str">
            <v>probsi</v>
          </cell>
        </row>
        <row r="2611">
          <cell r="B2611" t="b">
            <v>1</v>
          </cell>
          <cell r="E2611" t="str">
            <v>Bocachica</v>
          </cell>
          <cell r="H2611" t="str">
            <v>consulta_externa</v>
          </cell>
          <cell r="J2611" t="str">
            <v>bueno</v>
          </cell>
          <cell r="K2611" t="str">
            <v>probsi</v>
          </cell>
        </row>
        <row r="2612">
          <cell r="B2612" t="b">
            <v>1</v>
          </cell>
          <cell r="E2612" t="str">
            <v>Bicentenario</v>
          </cell>
          <cell r="H2612" t="str">
            <v>laboratorio</v>
          </cell>
          <cell r="J2612" t="str">
            <v>bueno</v>
          </cell>
          <cell r="K2612" t="str">
            <v>probsi</v>
          </cell>
        </row>
        <row r="2613">
          <cell r="B2613" t="b">
            <v>1</v>
          </cell>
          <cell r="E2613" t="str">
            <v>Bocachica</v>
          </cell>
          <cell r="H2613" t="str">
            <v>laboratorio</v>
          </cell>
          <cell r="J2613" t="str">
            <v>bueno</v>
          </cell>
          <cell r="K2613" t="str">
            <v>probsi</v>
          </cell>
        </row>
        <row r="2614">
          <cell r="B2614" t="b">
            <v>1</v>
          </cell>
          <cell r="E2614" t="str">
            <v>Bocachica</v>
          </cell>
          <cell r="H2614" t="str">
            <v>laboratorio</v>
          </cell>
          <cell r="J2614" t="str">
            <v>bueno</v>
          </cell>
          <cell r="K2614" t="str">
            <v>probsi</v>
          </cell>
        </row>
        <row r="2615">
          <cell r="B2615" t="b">
            <v>1</v>
          </cell>
          <cell r="E2615" t="str">
            <v>Bocachica</v>
          </cell>
          <cell r="H2615" t="str">
            <v>laboratorio</v>
          </cell>
          <cell r="J2615" t="str">
            <v>bueno</v>
          </cell>
          <cell r="K2615" t="str">
            <v>probsi</v>
          </cell>
        </row>
        <row r="2616">
          <cell r="B2616" t="b">
            <v>1</v>
          </cell>
          <cell r="E2616" t="str">
            <v>Bocachica</v>
          </cell>
          <cell r="H2616" t="str">
            <v>laboratorio</v>
          </cell>
          <cell r="J2616" t="str">
            <v>bueno</v>
          </cell>
          <cell r="K2616" t="str">
            <v>probsi</v>
          </cell>
        </row>
        <row r="2617">
          <cell r="B2617" t="b">
            <v>1</v>
          </cell>
          <cell r="E2617" t="str">
            <v>Bocachica</v>
          </cell>
          <cell r="H2617" t="str">
            <v>laboratorio</v>
          </cell>
          <cell r="J2617" t="str">
            <v>bueno</v>
          </cell>
          <cell r="K2617" t="str">
            <v>probsi</v>
          </cell>
        </row>
        <row r="2618">
          <cell r="B2618" t="b">
            <v>1</v>
          </cell>
          <cell r="E2618" t="str">
            <v>Bicentenario</v>
          </cell>
          <cell r="H2618" t="str">
            <v>consulta_externa</v>
          </cell>
          <cell r="J2618" t="str">
            <v>bueno</v>
          </cell>
          <cell r="K2618" t="str">
            <v>probsi</v>
          </cell>
        </row>
        <row r="2619">
          <cell r="B2619" t="b">
            <v>1</v>
          </cell>
          <cell r="E2619" t="str">
            <v>Bicentenario</v>
          </cell>
          <cell r="H2619" t="str">
            <v>salud_oral</v>
          </cell>
          <cell r="J2619" t="str">
            <v>bueno</v>
          </cell>
          <cell r="K2619" t="str">
            <v>probsi</v>
          </cell>
        </row>
        <row r="2620">
          <cell r="B2620" t="b">
            <v>1</v>
          </cell>
          <cell r="E2620" t="str">
            <v>Bocachica</v>
          </cell>
          <cell r="H2620" t="str">
            <v>laboratorio</v>
          </cell>
          <cell r="J2620" t="str">
            <v>bueno</v>
          </cell>
          <cell r="K2620" t="str">
            <v>probsi</v>
          </cell>
        </row>
        <row r="2621">
          <cell r="B2621" t="b">
            <v>1</v>
          </cell>
          <cell r="E2621" t="str">
            <v>Bicentenario</v>
          </cell>
          <cell r="H2621" t="str">
            <v>laboratorio</v>
          </cell>
          <cell r="J2621" t="str">
            <v>bueno</v>
          </cell>
          <cell r="K2621" t="str">
            <v>probsi</v>
          </cell>
        </row>
        <row r="2622">
          <cell r="B2622" t="b">
            <v>1</v>
          </cell>
          <cell r="E2622" t="str">
            <v>Bicentenario</v>
          </cell>
          <cell r="H2622" t="str">
            <v>urgencia</v>
          </cell>
          <cell r="J2622" t="str">
            <v>bueno</v>
          </cell>
          <cell r="K2622" t="str">
            <v>probsi</v>
          </cell>
        </row>
        <row r="2623">
          <cell r="B2623" t="b">
            <v>1</v>
          </cell>
          <cell r="E2623" t="str">
            <v>Bosque</v>
          </cell>
          <cell r="H2623" t="str">
            <v>consulta_externa</v>
          </cell>
          <cell r="J2623" t="str">
            <v>bueno</v>
          </cell>
          <cell r="K2623" t="str">
            <v>defsi</v>
          </cell>
        </row>
        <row r="2624">
          <cell r="B2624" t="b">
            <v>1</v>
          </cell>
          <cell r="E2624" t="str">
            <v>Bosque</v>
          </cell>
          <cell r="H2624" t="str">
            <v>salud_oral</v>
          </cell>
          <cell r="J2624" t="str">
            <v>bueno</v>
          </cell>
          <cell r="K2624" t="str">
            <v>defsi</v>
          </cell>
        </row>
        <row r="2625">
          <cell r="B2625" t="b">
            <v>1</v>
          </cell>
          <cell r="E2625" t="str">
            <v>Bosque</v>
          </cell>
          <cell r="H2625" t="str">
            <v>laboratorio</v>
          </cell>
          <cell r="J2625" t="str">
            <v>bueno</v>
          </cell>
          <cell r="K2625" t="str">
            <v>defsi</v>
          </cell>
        </row>
        <row r="2626">
          <cell r="B2626" t="b">
            <v>0</v>
          </cell>
          <cell r="E2626" t="str">
            <v>Bicentenario</v>
          </cell>
          <cell r="H2626" t="str">
            <v>rx</v>
          </cell>
          <cell r="J2626" t="str">
            <v>regular</v>
          </cell>
          <cell r="K2626" t="str">
            <v>probsi</v>
          </cell>
        </row>
        <row r="2627">
          <cell r="B2627" t="b">
            <v>1</v>
          </cell>
          <cell r="E2627" t="str">
            <v>Bicentenario</v>
          </cell>
          <cell r="H2627" t="str">
            <v>rx</v>
          </cell>
          <cell r="J2627" t="str">
            <v>bueno</v>
          </cell>
          <cell r="K2627" t="str">
            <v>probsi</v>
          </cell>
        </row>
        <row r="2628">
          <cell r="B2628" t="b">
            <v>1</v>
          </cell>
          <cell r="E2628" t="str">
            <v>Bicentenario</v>
          </cell>
          <cell r="H2628" t="str">
            <v>rx</v>
          </cell>
          <cell r="J2628" t="str">
            <v>bueno</v>
          </cell>
          <cell r="K2628" t="str">
            <v>probsi</v>
          </cell>
        </row>
        <row r="2629">
          <cell r="B2629" t="b">
            <v>1</v>
          </cell>
          <cell r="E2629" t="str">
            <v>Bicentenario</v>
          </cell>
          <cell r="H2629" t="str">
            <v>rx</v>
          </cell>
          <cell r="J2629" t="str">
            <v>bueno</v>
          </cell>
          <cell r="K2629" t="str">
            <v>probsi</v>
          </cell>
        </row>
        <row r="2630">
          <cell r="B2630" t="b">
            <v>1</v>
          </cell>
          <cell r="E2630" t="str">
            <v>Bosque</v>
          </cell>
          <cell r="H2630" t="str">
            <v>consulta_externa</v>
          </cell>
          <cell r="J2630" t="str">
            <v>bueno</v>
          </cell>
          <cell r="K2630" t="str">
            <v>defsi</v>
          </cell>
        </row>
        <row r="2631">
          <cell r="B2631" t="b">
            <v>1</v>
          </cell>
          <cell r="E2631" t="str">
            <v>Bosque</v>
          </cell>
          <cell r="H2631" t="str">
            <v>salud_oral</v>
          </cell>
          <cell r="J2631" t="str">
            <v>bueno</v>
          </cell>
          <cell r="K2631" t="str">
            <v>defsi</v>
          </cell>
        </row>
        <row r="2632">
          <cell r="B2632" t="b">
            <v>1</v>
          </cell>
          <cell r="E2632" t="str">
            <v>Bosque</v>
          </cell>
          <cell r="H2632" t="str">
            <v>laboratorio</v>
          </cell>
          <cell r="J2632" t="str">
            <v>bueno</v>
          </cell>
          <cell r="K2632" t="str">
            <v>defsi</v>
          </cell>
        </row>
        <row r="2633">
          <cell r="B2633" t="b">
            <v>1</v>
          </cell>
          <cell r="E2633" t="str">
            <v>Bicentenario</v>
          </cell>
          <cell r="H2633" t="str">
            <v>rx</v>
          </cell>
          <cell r="J2633" t="str">
            <v>bueno</v>
          </cell>
          <cell r="K2633" t="str">
            <v>probsi</v>
          </cell>
        </row>
        <row r="2634">
          <cell r="B2634" t="b">
            <v>1</v>
          </cell>
          <cell r="E2634" t="str">
            <v>Bicentenario</v>
          </cell>
          <cell r="H2634" t="str">
            <v>laboratorio</v>
          </cell>
          <cell r="J2634" t="str">
            <v>bueno</v>
          </cell>
          <cell r="K2634" t="str">
            <v>probsi</v>
          </cell>
        </row>
        <row r="2635">
          <cell r="B2635" t="b">
            <v>1</v>
          </cell>
          <cell r="E2635" t="str">
            <v>Bicentenario</v>
          </cell>
          <cell r="H2635" t="str">
            <v>salud_oral</v>
          </cell>
          <cell r="J2635" t="str">
            <v>bueno</v>
          </cell>
          <cell r="K2635" t="str">
            <v>probsi</v>
          </cell>
        </row>
        <row r="2636">
          <cell r="B2636" t="b">
            <v>1</v>
          </cell>
          <cell r="E2636" t="str">
            <v>Bicentenario</v>
          </cell>
          <cell r="H2636" t="str">
            <v>salud_oral</v>
          </cell>
          <cell r="J2636" t="str">
            <v>bueno</v>
          </cell>
          <cell r="K2636" t="str">
            <v>probsi</v>
          </cell>
        </row>
        <row r="2637">
          <cell r="B2637" t="b">
            <v>1</v>
          </cell>
          <cell r="E2637" t="str">
            <v>Isla Fuerte</v>
          </cell>
          <cell r="H2637" t="str">
            <v>consulta_externa</v>
          </cell>
          <cell r="J2637" t="str">
            <v>muybueno</v>
          </cell>
          <cell r="K2637" t="str">
            <v>defsi</v>
          </cell>
        </row>
        <row r="2638">
          <cell r="B2638" t="b">
            <v>1</v>
          </cell>
          <cell r="E2638" t="str">
            <v>Isla Fuerte</v>
          </cell>
          <cell r="H2638" t="str">
            <v>salud_oral</v>
          </cell>
          <cell r="J2638" t="str">
            <v>muybueno</v>
          </cell>
          <cell r="K2638" t="str">
            <v>defsi</v>
          </cell>
        </row>
        <row r="2639">
          <cell r="B2639" t="b">
            <v>1</v>
          </cell>
          <cell r="E2639" t="str">
            <v>Bicentenario</v>
          </cell>
          <cell r="H2639" t="str">
            <v>salud_oral</v>
          </cell>
          <cell r="J2639" t="str">
            <v>bueno</v>
          </cell>
          <cell r="K2639" t="str">
            <v>probsi</v>
          </cell>
        </row>
        <row r="2640">
          <cell r="B2640" t="b">
            <v>1</v>
          </cell>
          <cell r="E2640" t="str">
            <v>Bicentenario</v>
          </cell>
          <cell r="H2640" t="str">
            <v>salud_oral</v>
          </cell>
          <cell r="J2640" t="str">
            <v>bueno</v>
          </cell>
          <cell r="K2640" t="str">
            <v>probsi</v>
          </cell>
        </row>
        <row r="2641">
          <cell r="B2641" t="b">
            <v>1</v>
          </cell>
          <cell r="E2641" t="str">
            <v>Bicentenario</v>
          </cell>
          <cell r="H2641" t="str">
            <v>laboratorio</v>
          </cell>
          <cell r="J2641" t="str">
            <v>bueno</v>
          </cell>
          <cell r="K2641" t="str">
            <v>probsi</v>
          </cell>
        </row>
        <row r="2642">
          <cell r="B2642" t="b">
            <v>1</v>
          </cell>
          <cell r="E2642" t="str">
            <v>Bicentenario</v>
          </cell>
          <cell r="H2642" t="str">
            <v>urgencia</v>
          </cell>
          <cell r="J2642" t="str">
            <v>bueno</v>
          </cell>
          <cell r="K2642" t="str">
            <v>probsi</v>
          </cell>
        </row>
        <row r="2643">
          <cell r="B2643" t="b">
            <v>1</v>
          </cell>
          <cell r="E2643" t="str">
            <v>Bocachica</v>
          </cell>
          <cell r="H2643" t="str">
            <v>laboratorio</v>
          </cell>
          <cell r="J2643" t="str">
            <v>bueno</v>
          </cell>
          <cell r="K2643" t="str">
            <v>probsi</v>
          </cell>
        </row>
        <row r="2644">
          <cell r="B2644" t="b">
            <v>1</v>
          </cell>
          <cell r="E2644" t="str">
            <v>Bocachica</v>
          </cell>
          <cell r="H2644" t="str">
            <v>salud_oral</v>
          </cell>
          <cell r="J2644" t="str">
            <v>bueno</v>
          </cell>
          <cell r="K2644" t="str">
            <v>probsi</v>
          </cell>
        </row>
        <row r="2645">
          <cell r="B2645" t="b">
            <v>1</v>
          </cell>
          <cell r="E2645" t="str">
            <v>Bocachica</v>
          </cell>
          <cell r="H2645" t="str">
            <v>urgencia</v>
          </cell>
          <cell r="J2645" t="str">
            <v>bueno</v>
          </cell>
          <cell r="K2645" t="str">
            <v>probsi</v>
          </cell>
        </row>
        <row r="2646">
          <cell r="B2646" t="b">
            <v>1</v>
          </cell>
          <cell r="E2646" t="str">
            <v>Bosque</v>
          </cell>
          <cell r="H2646" t="str">
            <v>consulta_externa</v>
          </cell>
          <cell r="J2646" t="str">
            <v>bueno</v>
          </cell>
          <cell r="K2646" t="str">
            <v>defsi</v>
          </cell>
        </row>
        <row r="2647">
          <cell r="B2647" t="b">
            <v>1</v>
          </cell>
          <cell r="E2647" t="str">
            <v>Bosque</v>
          </cell>
          <cell r="H2647" t="str">
            <v>salud_oral</v>
          </cell>
          <cell r="J2647" t="str">
            <v>bueno</v>
          </cell>
          <cell r="K2647" t="str">
            <v>defsi</v>
          </cell>
        </row>
        <row r="2648">
          <cell r="B2648" t="b">
            <v>1</v>
          </cell>
          <cell r="E2648" t="str">
            <v>Bosque</v>
          </cell>
          <cell r="H2648" t="str">
            <v>laboratorio</v>
          </cell>
          <cell r="J2648" t="str">
            <v>bueno</v>
          </cell>
          <cell r="K2648" t="str">
            <v>defsi</v>
          </cell>
        </row>
        <row r="2649">
          <cell r="B2649" t="b">
            <v>1</v>
          </cell>
          <cell r="E2649" t="str">
            <v>Bosque</v>
          </cell>
          <cell r="H2649" t="str">
            <v>consulta_externa</v>
          </cell>
          <cell r="J2649" t="str">
            <v>bueno</v>
          </cell>
          <cell r="K2649" t="str">
            <v>defsi</v>
          </cell>
        </row>
        <row r="2650">
          <cell r="B2650" t="b">
            <v>1</v>
          </cell>
          <cell r="E2650" t="str">
            <v>Bosque</v>
          </cell>
          <cell r="H2650" t="str">
            <v>salud_oral</v>
          </cell>
          <cell r="J2650" t="str">
            <v>bueno</v>
          </cell>
          <cell r="K2650" t="str">
            <v>defsi</v>
          </cell>
        </row>
        <row r="2651">
          <cell r="B2651" t="b">
            <v>1</v>
          </cell>
          <cell r="E2651" t="str">
            <v>Bocachica</v>
          </cell>
          <cell r="H2651" t="str">
            <v>consulta_externa</v>
          </cell>
          <cell r="J2651" t="str">
            <v>bueno</v>
          </cell>
          <cell r="K2651" t="str">
            <v>defsi</v>
          </cell>
        </row>
        <row r="2652">
          <cell r="B2652" t="b">
            <v>1</v>
          </cell>
          <cell r="E2652" t="str">
            <v>Bocachica</v>
          </cell>
          <cell r="H2652" t="str">
            <v>urgencia</v>
          </cell>
          <cell r="J2652" t="str">
            <v>bueno</v>
          </cell>
          <cell r="K2652" t="str">
            <v>defsi</v>
          </cell>
        </row>
        <row r="2653">
          <cell r="B2653" t="b">
            <v>1</v>
          </cell>
          <cell r="E2653" t="str">
            <v>Bosque</v>
          </cell>
          <cell r="H2653" t="str">
            <v>laboratorio</v>
          </cell>
          <cell r="J2653" t="str">
            <v>bueno</v>
          </cell>
          <cell r="K2653" t="str">
            <v>defsi</v>
          </cell>
        </row>
        <row r="2654">
          <cell r="B2654" t="b">
            <v>1</v>
          </cell>
          <cell r="E2654" t="str">
            <v>Bosque</v>
          </cell>
          <cell r="H2654" t="str">
            <v>consulta_externa</v>
          </cell>
          <cell r="J2654" t="str">
            <v>bueno</v>
          </cell>
          <cell r="K2654" t="str">
            <v>defsi</v>
          </cell>
        </row>
        <row r="2655">
          <cell r="B2655" t="b">
            <v>1</v>
          </cell>
          <cell r="E2655" t="str">
            <v>Bosque</v>
          </cell>
          <cell r="H2655" t="str">
            <v>salud_oral</v>
          </cell>
          <cell r="J2655" t="str">
            <v>bueno</v>
          </cell>
          <cell r="K2655" t="str">
            <v>defsi</v>
          </cell>
        </row>
        <row r="2656">
          <cell r="B2656" t="b">
            <v>1</v>
          </cell>
          <cell r="E2656" t="str">
            <v>Bosque</v>
          </cell>
          <cell r="H2656" t="str">
            <v>laboratorio</v>
          </cell>
          <cell r="J2656" t="str">
            <v>bueno</v>
          </cell>
          <cell r="K2656" t="str">
            <v>defsi</v>
          </cell>
        </row>
        <row r="2657">
          <cell r="B2657" t="b">
            <v>1</v>
          </cell>
          <cell r="E2657" t="str">
            <v>Socorro</v>
          </cell>
          <cell r="H2657" t="str">
            <v>ecografias</v>
          </cell>
          <cell r="J2657" t="str">
            <v>bueno</v>
          </cell>
          <cell r="K2657" t="str">
            <v>defsi</v>
          </cell>
        </row>
        <row r="2658">
          <cell r="B2658" t="b">
            <v>1</v>
          </cell>
          <cell r="E2658" t="str">
            <v>Socorro</v>
          </cell>
          <cell r="H2658" t="str">
            <v>ecografias</v>
          </cell>
          <cell r="J2658" t="str">
            <v>bueno</v>
          </cell>
          <cell r="K2658" t="str">
            <v>defsi</v>
          </cell>
        </row>
        <row r="2659">
          <cell r="B2659" t="b">
            <v>1</v>
          </cell>
          <cell r="E2659" t="str">
            <v>Socorro</v>
          </cell>
          <cell r="H2659" t="str">
            <v>salud_oral</v>
          </cell>
          <cell r="J2659" t="str">
            <v>bueno</v>
          </cell>
          <cell r="K2659" t="str">
            <v>defsi</v>
          </cell>
        </row>
        <row r="2660">
          <cell r="B2660" t="b">
            <v>1</v>
          </cell>
          <cell r="E2660" t="str">
            <v>Socorro</v>
          </cell>
          <cell r="H2660" t="str">
            <v>salud_oral</v>
          </cell>
          <cell r="J2660" t="str">
            <v>bueno</v>
          </cell>
          <cell r="K2660" t="str">
            <v>defsi</v>
          </cell>
        </row>
        <row r="2661">
          <cell r="B2661" t="b">
            <v>1</v>
          </cell>
          <cell r="E2661" t="str">
            <v>Bocachica</v>
          </cell>
          <cell r="H2661" t="str">
            <v>consulta_externa</v>
          </cell>
          <cell r="J2661" t="str">
            <v>bueno</v>
          </cell>
          <cell r="K2661" t="str">
            <v>defsi</v>
          </cell>
        </row>
        <row r="2662">
          <cell r="B2662" t="b">
            <v>1</v>
          </cell>
          <cell r="E2662" t="str">
            <v>Socorro</v>
          </cell>
          <cell r="H2662" t="str">
            <v>salud_oral</v>
          </cell>
          <cell r="J2662" t="str">
            <v>bueno</v>
          </cell>
          <cell r="K2662" t="str">
            <v>defsi</v>
          </cell>
        </row>
        <row r="2663">
          <cell r="B2663" t="b">
            <v>1</v>
          </cell>
          <cell r="E2663" t="str">
            <v>Socorro</v>
          </cell>
          <cell r="H2663" t="str">
            <v>consulta_externa</v>
          </cell>
          <cell r="J2663" t="str">
            <v>bueno</v>
          </cell>
          <cell r="K2663" t="str">
            <v>defsi</v>
          </cell>
        </row>
        <row r="2664">
          <cell r="B2664" t="b">
            <v>1</v>
          </cell>
          <cell r="E2664" t="str">
            <v>Socorro</v>
          </cell>
          <cell r="H2664" t="str">
            <v>laboratorio</v>
          </cell>
          <cell r="J2664" t="str">
            <v>bueno</v>
          </cell>
          <cell r="K2664" t="str">
            <v>defsi</v>
          </cell>
        </row>
        <row r="2665">
          <cell r="B2665" t="b">
            <v>1</v>
          </cell>
          <cell r="E2665" t="str">
            <v>Socorro</v>
          </cell>
          <cell r="H2665" t="str">
            <v>consulta_externa</v>
          </cell>
          <cell r="J2665" t="str">
            <v>bueno</v>
          </cell>
          <cell r="K2665" t="str">
            <v>defsi</v>
          </cell>
        </row>
        <row r="2666">
          <cell r="B2666" t="b">
            <v>1</v>
          </cell>
          <cell r="E2666" t="str">
            <v>Socorro</v>
          </cell>
          <cell r="H2666" t="str">
            <v>salud_oral</v>
          </cell>
          <cell r="J2666" t="str">
            <v>bueno</v>
          </cell>
          <cell r="K2666" t="str">
            <v>defsi</v>
          </cell>
        </row>
        <row r="2667">
          <cell r="B2667" t="b">
            <v>1</v>
          </cell>
          <cell r="E2667" t="str">
            <v>Socorro</v>
          </cell>
          <cell r="H2667" t="str">
            <v>laboratorio</v>
          </cell>
          <cell r="J2667" t="str">
            <v>bueno</v>
          </cell>
          <cell r="K2667" t="str">
            <v>defsi</v>
          </cell>
        </row>
        <row r="2668">
          <cell r="B2668" t="b">
            <v>1</v>
          </cell>
          <cell r="E2668" t="str">
            <v>Socorro</v>
          </cell>
          <cell r="H2668" t="str">
            <v>consulta_externa</v>
          </cell>
          <cell r="J2668" t="str">
            <v>bueno</v>
          </cell>
          <cell r="K2668" t="str">
            <v>defsi</v>
          </cell>
        </row>
        <row r="2669">
          <cell r="B2669" t="b">
            <v>1</v>
          </cell>
          <cell r="E2669" t="str">
            <v>Socorro</v>
          </cell>
          <cell r="H2669" t="str">
            <v>laboratorio</v>
          </cell>
          <cell r="J2669" t="str">
            <v>bueno</v>
          </cell>
          <cell r="K2669" t="str">
            <v>defsi</v>
          </cell>
        </row>
        <row r="2670">
          <cell r="B2670" t="b">
            <v>1</v>
          </cell>
          <cell r="E2670" t="str">
            <v>Socorro</v>
          </cell>
          <cell r="H2670" t="str">
            <v>consulta_externa</v>
          </cell>
          <cell r="J2670" t="str">
            <v>bueno</v>
          </cell>
          <cell r="K2670" t="str">
            <v>defsi</v>
          </cell>
        </row>
        <row r="2671">
          <cell r="B2671" t="b">
            <v>1</v>
          </cell>
          <cell r="E2671" t="str">
            <v>Socorro</v>
          </cell>
          <cell r="H2671" t="str">
            <v>laboratorio</v>
          </cell>
          <cell r="J2671" t="str">
            <v>bueno</v>
          </cell>
          <cell r="K2671" t="str">
            <v>defsi</v>
          </cell>
        </row>
        <row r="2672">
          <cell r="B2672" t="b">
            <v>1</v>
          </cell>
          <cell r="E2672" t="str">
            <v>Bicentenario</v>
          </cell>
          <cell r="H2672" t="str">
            <v>salud_oral</v>
          </cell>
          <cell r="J2672" t="str">
            <v>bueno</v>
          </cell>
          <cell r="K2672" t="str">
            <v>probsi</v>
          </cell>
        </row>
        <row r="2673">
          <cell r="B2673" t="b">
            <v>1</v>
          </cell>
          <cell r="E2673" t="str">
            <v>Bicentenario</v>
          </cell>
          <cell r="H2673" t="str">
            <v>laboratorio</v>
          </cell>
          <cell r="J2673" t="str">
            <v>bueno</v>
          </cell>
          <cell r="K2673" t="str">
            <v>probsi</v>
          </cell>
        </row>
        <row r="2674">
          <cell r="B2674" t="b">
            <v>1</v>
          </cell>
          <cell r="E2674" t="str">
            <v>Socorro</v>
          </cell>
          <cell r="H2674" t="str">
            <v>consulta_externa</v>
          </cell>
          <cell r="J2674" t="str">
            <v>bueno</v>
          </cell>
          <cell r="K2674" t="str">
            <v>defsi</v>
          </cell>
        </row>
        <row r="2675">
          <cell r="B2675" t="b">
            <v>1</v>
          </cell>
          <cell r="E2675" t="str">
            <v>Socorro</v>
          </cell>
          <cell r="H2675" t="str">
            <v>laboratorio</v>
          </cell>
          <cell r="J2675" t="str">
            <v>bueno</v>
          </cell>
          <cell r="K2675" t="str">
            <v>defsi</v>
          </cell>
        </row>
        <row r="2676">
          <cell r="B2676" t="b">
            <v>1</v>
          </cell>
          <cell r="E2676" t="str">
            <v>Socorro</v>
          </cell>
          <cell r="H2676" t="str">
            <v>consulta_externa</v>
          </cell>
          <cell r="J2676" t="str">
            <v>bueno</v>
          </cell>
          <cell r="K2676" t="str">
            <v>defsi</v>
          </cell>
        </row>
        <row r="2677">
          <cell r="B2677" t="b">
            <v>0</v>
          </cell>
          <cell r="E2677" t="str">
            <v>Bicentenario</v>
          </cell>
          <cell r="H2677" t="str">
            <v>laboratorio</v>
          </cell>
          <cell r="J2677" t="str">
            <v>malo</v>
          </cell>
          <cell r="K2677" t="str">
            <v>probno</v>
          </cell>
        </row>
        <row r="2678">
          <cell r="B2678" t="b">
            <v>1</v>
          </cell>
          <cell r="E2678" t="str">
            <v>Socorro</v>
          </cell>
          <cell r="H2678" t="str">
            <v>laboratorio</v>
          </cell>
          <cell r="J2678" t="str">
            <v>bueno</v>
          </cell>
          <cell r="K2678" t="str">
            <v>defsi</v>
          </cell>
        </row>
        <row r="2679">
          <cell r="B2679" t="b">
            <v>1</v>
          </cell>
          <cell r="E2679" t="str">
            <v>Socorro</v>
          </cell>
          <cell r="H2679" t="str">
            <v>laboratorio</v>
          </cell>
          <cell r="J2679" t="str">
            <v>bueno</v>
          </cell>
          <cell r="K2679" t="str">
            <v>defsi</v>
          </cell>
        </row>
        <row r="2680">
          <cell r="B2680" t="b">
            <v>1</v>
          </cell>
          <cell r="E2680" t="str">
            <v>Socorro</v>
          </cell>
          <cell r="H2680" t="str">
            <v>salud_oral</v>
          </cell>
          <cell r="J2680" t="str">
            <v>bueno</v>
          </cell>
          <cell r="K2680" t="str">
            <v>defsi</v>
          </cell>
        </row>
        <row r="2681">
          <cell r="B2681" t="b">
            <v>1</v>
          </cell>
          <cell r="E2681" t="str">
            <v>Bicentenario</v>
          </cell>
          <cell r="H2681" t="str">
            <v>rx</v>
          </cell>
          <cell r="J2681" t="str">
            <v>bueno</v>
          </cell>
          <cell r="K2681" t="str">
            <v>probsi</v>
          </cell>
        </row>
        <row r="2682">
          <cell r="B2682" t="b">
            <v>1</v>
          </cell>
          <cell r="E2682" t="str">
            <v>Bocachica</v>
          </cell>
          <cell r="H2682" t="str">
            <v>consulta_externa</v>
          </cell>
          <cell r="J2682" t="str">
            <v>bueno</v>
          </cell>
          <cell r="K2682" t="str">
            <v>defsi</v>
          </cell>
        </row>
        <row r="2683">
          <cell r="B2683" t="b">
            <v>1</v>
          </cell>
          <cell r="E2683" t="str">
            <v>Bocachica</v>
          </cell>
          <cell r="H2683" t="str">
            <v>salud_oral</v>
          </cell>
          <cell r="J2683" t="str">
            <v>bueno</v>
          </cell>
          <cell r="K2683" t="str">
            <v>defsi</v>
          </cell>
        </row>
        <row r="2684">
          <cell r="B2684" t="b">
            <v>1</v>
          </cell>
          <cell r="E2684" t="str">
            <v>Bocachica</v>
          </cell>
          <cell r="H2684" t="str">
            <v>urgencia</v>
          </cell>
          <cell r="J2684" t="str">
            <v>bueno</v>
          </cell>
          <cell r="K2684" t="str">
            <v>defsi</v>
          </cell>
        </row>
        <row r="2685">
          <cell r="B2685" t="b">
            <v>1</v>
          </cell>
          <cell r="E2685" t="str">
            <v>Isla Fuerte</v>
          </cell>
          <cell r="H2685" t="str">
            <v>consulta_externa</v>
          </cell>
          <cell r="J2685" t="str">
            <v>muybueno</v>
          </cell>
          <cell r="K2685" t="str">
            <v>defsi</v>
          </cell>
        </row>
        <row r="2686">
          <cell r="B2686" t="b">
            <v>1</v>
          </cell>
          <cell r="E2686" t="str">
            <v>Isla Fuerte</v>
          </cell>
          <cell r="H2686" t="str">
            <v>laboratorio</v>
          </cell>
          <cell r="J2686" t="str">
            <v>muybueno</v>
          </cell>
          <cell r="K2686" t="str">
            <v>defsi</v>
          </cell>
        </row>
        <row r="2687">
          <cell r="B2687" t="b">
            <v>1</v>
          </cell>
          <cell r="E2687" t="str">
            <v>Isla Fuerte</v>
          </cell>
          <cell r="H2687" t="str">
            <v>salud_oral</v>
          </cell>
          <cell r="J2687" t="str">
            <v>muybueno</v>
          </cell>
          <cell r="K2687" t="str">
            <v>defsi</v>
          </cell>
        </row>
        <row r="2688">
          <cell r="B2688" t="b">
            <v>1</v>
          </cell>
          <cell r="E2688" t="str">
            <v>Bocachica</v>
          </cell>
          <cell r="H2688" t="str">
            <v>consulta_externa</v>
          </cell>
          <cell r="J2688" t="str">
            <v>bueno</v>
          </cell>
          <cell r="K2688" t="str">
            <v>defsi</v>
          </cell>
        </row>
        <row r="2689">
          <cell r="B2689" t="b">
            <v>1</v>
          </cell>
          <cell r="E2689" t="str">
            <v>Bosque</v>
          </cell>
          <cell r="H2689" t="str">
            <v>consulta_externa</v>
          </cell>
          <cell r="J2689" t="str">
            <v>bueno</v>
          </cell>
          <cell r="K2689" t="str">
            <v>defsi</v>
          </cell>
        </row>
        <row r="2690">
          <cell r="B2690" t="b">
            <v>1</v>
          </cell>
          <cell r="E2690" t="str">
            <v>Bocachica</v>
          </cell>
          <cell r="H2690" t="str">
            <v>urgencia</v>
          </cell>
          <cell r="J2690" t="str">
            <v>bueno</v>
          </cell>
          <cell r="K2690" t="str">
            <v>defsi</v>
          </cell>
        </row>
        <row r="2691">
          <cell r="B2691" t="b">
            <v>1</v>
          </cell>
          <cell r="E2691" t="str">
            <v>Bocachica</v>
          </cell>
          <cell r="H2691" t="str">
            <v>laboratorio</v>
          </cell>
          <cell r="J2691" t="str">
            <v>bueno</v>
          </cell>
          <cell r="K2691" t="str">
            <v>defsi</v>
          </cell>
        </row>
        <row r="2692">
          <cell r="B2692" t="b">
            <v>1</v>
          </cell>
          <cell r="E2692" t="str">
            <v>Bosque</v>
          </cell>
          <cell r="H2692" t="str">
            <v>salud_oral</v>
          </cell>
          <cell r="J2692" t="str">
            <v>bueno</v>
          </cell>
          <cell r="K2692" t="str">
            <v>defsi</v>
          </cell>
        </row>
        <row r="2693">
          <cell r="B2693" t="b">
            <v>1</v>
          </cell>
          <cell r="E2693" t="str">
            <v>Bocachica</v>
          </cell>
          <cell r="H2693" t="str">
            <v>consulta_externa</v>
          </cell>
          <cell r="J2693" t="str">
            <v>bueno</v>
          </cell>
          <cell r="K2693" t="str">
            <v>defsi</v>
          </cell>
        </row>
        <row r="2694">
          <cell r="B2694" t="b">
            <v>1</v>
          </cell>
          <cell r="E2694" t="str">
            <v>Bosque</v>
          </cell>
          <cell r="H2694" t="str">
            <v>laboratorio</v>
          </cell>
          <cell r="J2694" t="str">
            <v>bueno</v>
          </cell>
          <cell r="K2694" t="str">
            <v>defsi</v>
          </cell>
        </row>
        <row r="2695">
          <cell r="B2695" t="b">
            <v>1</v>
          </cell>
          <cell r="E2695" t="str">
            <v>Bosque</v>
          </cell>
          <cell r="H2695" t="str">
            <v>consulta_externa</v>
          </cell>
          <cell r="J2695" t="str">
            <v>bueno</v>
          </cell>
          <cell r="K2695" t="str">
            <v>defsi</v>
          </cell>
        </row>
        <row r="2696">
          <cell r="B2696" t="b">
            <v>1</v>
          </cell>
          <cell r="E2696" t="str">
            <v>Isla Fuerte</v>
          </cell>
          <cell r="H2696" t="str">
            <v>consulta_externa</v>
          </cell>
          <cell r="J2696" t="str">
            <v>muybueno</v>
          </cell>
          <cell r="K2696" t="str">
            <v>defsi</v>
          </cell>
        </row>
        <row r="2697">
          <cell r="B2697" t="b">
            <v>1</v>
          </cell>
          <cell r="E2697" t="str">
            <v>Bosque</v>
          </cell>
          <cell r="H2697" t="str">
            <v>salud_oral</v>
          </cell>
          <cell r="J2697" t="str">
            <v>bueno</v>
          </cell>
          <cell r="K2697" t="str">
            <v>defsi</v>
          </cell>
        </row>
        <row r="2698">
          <cell r="B2698" t="b">
            <v>1</v>
          </cell>
          <cell r="E2698" t="str">
            <v>Bosque</v>
          </cell>
          <cell r="H2698" t="str">
            <v>laboratorio</v>
          </cell>
          <cell r="J2698" t="str">
            <v>bueno</v>
          </cell>
          <cell r="K2698" t="str">
            <v>defsi</v>
          </cell>
        </row>
        <row r="2699">
          <cell r="B2699" t="b">
            <v>1</v>
          </cell>
          <cell r="E2699" t="str">
            <v>Bosque</v>
          </cell>
          <cell r="H2699" t="str">
            <v>consulta_externa</v>
          </cell>
          <cell r="J2699" t="str">
            <v>bueno</v>
          </cell>
          <cell r="K2699" t="str">
            <v>defsi</v>
          </cell>
        </row>
        <row r="2700">
          <cell r="B2700" t="b">
            <v>1</v>
          </cell>
          <cell r="E2700" t="str">
            <v>Bosque</v>
          </cell>
          <cell r="H2700" t="str">
            <v>salud_oral</v>
          </cell>
          <cell r="J2700" t="str">
            <v>bueno</v>
          </cell>
          <cell r="K2700" t="str">
            <v>defsi</v>
          </cell>
        </row>
        <row r="2701">
          <cell r="B2701" t="b">
            <v>1</v>
          </cell>
          <cell r="E2701" t="str">
            <v>Bosque</v>
          </cell>
          <cell r="H2701" t="str">
            <v>laboratorio</v>
          </cell>
          <cell r="J2701" t="str">
            <v>bueno</v>
          </cell>
          <cell r="K2701" t="str">
            <v>defsi</v>
          </cell>
        </row>
        <row r="2702">
          <cell r="B2702" t="b">
            <v>1</v>
          </cell>
          <cell r="E2702" t="str">
            <v>Bocachica</v>
          </cell>
          <cell r="H2702" t="str">
            <v>salud_oral</v>
          </cell>
          <cell r="J2702" t="str">
            <v>bueno</v>
          </cell>
          <cell r="K2702" t="str">
            <v>defsi</v>
          </cell>
        </row>
        <row r="2703">
          <cell r="B2703" t="b">
            <v>1</v>
          </cell>
          <cell r="E2703" t="str">
            <v>Bosque</v>
          </cell>
          <cell r="H2703" t="str">
            <v>consulta_externa</v>
          </cell>
          <cell r="J2703" t="str">
            <v>bueno</v>
          </cell>
          <cell r="K2703" t="str">
            <v>defsi</v>
          </cell>
        </row>
        <row r="2704">
          <cell r="B2704" t="b">
            <v>1</v>
          </cell>
          <cell r="E2704" t="str">
            <v>Bocachica</v>
          </cell>
          <cell r="H2704" t="str">
            <v>salud_oral</v>
          </cell>
          <cell r="J2704" t="str">
            <v>bueno</v>
          </cell>
          <cell r="K2704" t="str">
            <v>defsi</v>
          </cell>
        </row>
        <row r="2705">
          <cell r="B2705" t="b">
            <v>1</v>
          </cell>
          <cell r="E2705" t="str">
            <v>Isla Fuerte</v>
          </cell>
          <cell r="H2705" t="str">
            <v>consulta_externa</v>
          </cell>
          <cell r="J2705" t="str">
            <v>muybueno</v>
          </cell>
          <cell r="K2705" t="str">
            <v>defsi</v>
          </cell>
        </row>
        <row r="2706">
          <cell r="B2706" t="b">
            <v>1</v>
          </cell>
          <cell r="E2706" t="str">
            <v>Ternera</v>
          </cell>
          <cell r="H2706" t="str">
            <v>consulta_externa</v>
          </cell>
          <cell r="J2706" t="str">
            <v>bueno</v>
          </cell>
          <cell r="K2706" t="str">
            <v>defsi</v>
          </cell>
        </row>
        <row r="2707">
          <cell r="B2707" t="b">
            <v>1</v>
          </cell>
          <cell r="E2707" t="str">
            <v>Ternera</v>
          </cell>
          <cell r="H2707" t="str">
            <v>salud_oral</v>
          </cell>
          <cell r="J2707" t="str">
            <v>bueno</v>
          </cell>
          <cell r="K2707" t="str">
            <v>defsi</v>
          </cell>
        </row>
        <row r="2708">
          <cell r="B2708" t="b">
            <v>1</v>
          </cell>
          <cell r="E2708" t="str">
            <v>Ternera</v>
          </cell>
          <cell r="H2708" t="str">
            <v>salud_oral</v>
          </cell>
          <cell r="J2708" t="str">
            <v>bueno</v>
          </cell>
          <cell r="K2708" t="str">
            <v>defsi</v>
          </cell>
        </row>
        <row r="2709">
          <cell r="B2709" t="b">
            <v>1</v>
          </cell>
          <cell r="E2709" t="str">
            <v>Ternera</v>
          </cell>
          <cell r="H2709" t="str">
            <v>salud_oral</v>
          </cell>
          <cell r="J2709" t="str">
            <v>bueno</v>
          </cell>
          <cell r="K2709" t="str">
            <v>defsi</v>
          </cell>
        </row>
        <row r="2710">
          <cell r="B2710" t="b">
            <v>1</v>
          </cell>
          <cell r="E2710" t="str">
            <v>Ternera</v>
          </cell>
          <cell r="H2710" t="str">
            <v>consulta_externa</v>
          </cell>
          <cell r="J2710" t="str">
            <v>bueno</v>
          </cell>
          <cell r="K2710" t="str">
            <v>defsi</v>
          </cell>
        </row>
        <row r="2711">
          <cell r="B2711" t="b">
            <v>1</v>
          </cell>
          <cell r="E2711" t="str">
            <v>Ternera</v>
          </cell>
          <cell r="H2711" t="str">
            <v>salud_oral</v>
          </cell>
          <cell r="J2711" t="str">
            <v>bueno</v>
          </cell>
          <cell r="K2711" t="str">
            <v>defsi</v>
          </cell>
        </row>
        <row r="2712">
          <cell r="B2712" t="b">
            <v>1</v>
          </cell>
          <cell r="E2712" t="str">
            <v>Ternera</v>
          </cell>
          <cell r="H2712" t="str">
            <v>salud_oral</v>
          </cell>
          <cell r="J2712" t="str">
            <v>bueno</v>
          </cell>
          <cell r="K2712" t="str">
            <v>defsi</v>
          </cell>
        </row>
        <row r="2713">
          <cell r="B2713" t="b">
            <v>1</v>
          </cell>
          <cell r="E2713" t="str">
            <v>Ternera</v>
          </cell>
          <cell r="H2713" t="str">
            <v>consulta_externa</v>
          </cell>
          <cell r="J2713" t="str">
            <v>bueno</v>
          </cell>
          <cell r="K2713" t="str">
            <v>defsi</v>
          </cell>
        </row>
        <row r="2714">
          <cell r="B2714" t="b">
            <v>1</v>
          </cell>
          <cell r="E2714" t="str">
            <v>Ternera</v>
          </cell>
          <cell r="H2714" t="str">
            <v>consulta_externa</v>
          </cell>
          <cell r="J2714" t="str">
            <v>muybueno</v>
          </cell>
          <cell r="K2714" t="str">
            <v>defsi</v>
          </cell>
        </row>
        <row r="2715">
          <cell r="B2715" t="b">
            <v>1</v>
          </cell>
          <cell r="E2715" t="str">
            <v>Bocachica</v>
          </cell>
          <cell r="H2715" t="str">
            <v>salud_oral</v>
          </cell>
          <cell r="J2715" t="str">
            <v>bueno</v>
          </cell>
          <cell r="K2715" t="str">
            <v>defsi</v>
          </cell>
        </row>
        <row r="2716">
          <cell r="B2716" t="b">
            <v>1</v>
          </cell>
          <cell r="E2716" t="str">
            <v>Bocachica</v>
          </cell>
          <cell r="H2716" t="str">
            <v>salud_oral</v>
          </cell>
          <cell r="J2716" t="str">
            <v>bueno</v>
          </cell>
          <cell r="K2716" t="str">
            <v>defsi</v>
          </cell>
        </row>
        <row r="2717">
          <cell r="B2717" t="b">
            <v>1</v>
          </cell>
          <cell r="E2717" t="str">
            <v>Bocachica</v>
          </cell>
          <cell r="H2717" t="str">
            <v>salud_oral</v>
          </cell>
          <cell r="J2717" t="str">
            <v>bueno</v>
          </cell>
          <cell r="K2717" t="str">
            <v>defsi</v>
          </cell>
        </row>
        <row r="2718">
          <cell r="B2718" t="b">
            <v>1</v>
          </cell>
          <cell r="E2718" t="str">
            <v>Bocachica</v>
          </cell>
          <cell r="H2718" t="str">
            <v>salud_oral</v>
          </cell>
          <cell r="J2718" t="str">
            <v>bueno</v>
          </cell>
          <cell r="K2718" t="str">
            <v>defsi</v>
          </cell>
        </row>
        <row r="2719">
          <cell r="B2719" t="b">
            <v>1</v>
          </cell>
          <cell r="E2719" t="str">
            <v>Ternera</v>
          </cell>
          <cell r="H2719" t="str">
            <v>consulta_externa</v>
          </cell>
          <cell r="J2719" t="str">
            <v>muybueno</v>
          </cell>
          <cell r="K2719" t="str">
            <v>defsi</v>
          </cell>
        </row>
        <row r="2720">
          <cell r="B2720" t="b">
            <v>1</v>
          </cell>
          <cell r="E2720" t="str">
            <v>Ternera</v>
          </cell>
          <cell r="H2720" t="str">
            <v>salud_oral</v>
          </cell>
          <cell r="J2720" t="str">
            <v>muybueno</v>
          </cell>
          <cell r="K2720" t="str">
            <v>defsi</v>
          </cell>
        </row>
        <row r="2721">
          <cell r="B2721" t="b">
            <v>1</v>
          </cell>
          <cell r="E2721" t="str">
            <v>Ternera</v>
          </cell>
          <cell r="H2721" t="str">
            <v>consulta_externa</v>
          </cell>
          <cell r="J2721" t="str">
            <v>muybueno</v>
          </cell>
          <cell r="K2721" t="str">
            <v>defsi</v>
          </cell>
        </row>
        <row r="2722">
          <cell r="B2722" t="b">
            <v>1</v>
          </cell>
          <cell r="E2722" t="str">
            <v>Ternera</v>
          </cell>
          <cell r="H2722" t="str">
            <v>consulta_externa</v>
          </cell>
          <cell r="J2722" t="str">
            <v>bueno</v>
          </cell>
          <cell r="K2722" t="str">
            <v>defsi</v>
          </cell>
        </row>
        <row r="2723">
          <cell r="B2723" t="b">
            <v>1</v>
          </cell>
          <cell r="E2723" t="str">
            <v>Blasdelezo</v>
          </cell>
          <cell r="H2723" t="str">
            <v>consulta_externa</v>
          </cell>
          <cell r="J2723" t="str">
            <v>bueno</v>
          </cell>
          <cell r="K2723" t="str">
            <v>defsi</v>
          </cell>
        </row>
        <row r="2724">
          <cell r="B2724" t="b">
            <v>1</v>
          </cell>
          <cell r="E2724" t="str">
            <v>Ternera</v>
          </cell>
          <cell r="H2724" t="str">
            <v>consulta_externa</v>
          </cell>
          <cell r="J2724" t="str">
            <v>muybueno</v>
          </cell>
          <cell r="K2724" t="str">
            <v>defsi</v>
          </cell>
        </row>
        <row r="2725">
          <cell r="B2725" t="b">
            <v>1</v>
          </cell>
          <cell r="E2725" t="str">
            <v>Blasdelezo</v>
          </cell>
          <cell r="H2725" t="str">
            <v>salud_oral</v>
          </cell>
          <cell r="J2725" t="str">
            <v>bueno</v>
          </cell>
          <cell r="K2725" t="str">
            <v>defsi</v>
          </cell>
        </row>
        <row r="2726">
          <cell r="B2726" t="b">
            <v>1</v>
          </cell>
          <cell r="E2726" t="str">
            <v>Blasdelezo</v>
          </cell>
          <cell r="H2726" t="str">
            <v>laboratorio</v>
          </cell>
          <cell r="J2726" t="str">
            <v>bueno</v>
          </cell>
          <cell r="K2726" t="str">
            <v>defsi</v>
          </cell>
        </row>
        <row r="2727">
          <cell r="B2727" t="b">
            <v>1</v>
          </cell>
          <cell r="E2727" t="str">
            <v>Blasdelezo</v>
          </cell>
          <cell r="H2727" t="str">
            <v>urgencia</v>
          </cell>
          <cell r="J2727" t="str">
            <v>bueno</v>
          </cell>
          <cell r="K2727" t="str">
            <v>defsi</v>
          </cell>
        </row>
        <row r="2728">
          <cell r="B2728" t="b">
            <v>1</v>
          </cell>
          <cell r="E2728" t="str">
            <v>Blasdelezo</v>
          </cell>
          <cell r="H2728" t="str">
            <v>medicina_interna</v>
          </cell>
          <cell r="J2728" t="str">
            <v>bueno</v>
          </cell>
          <cell r="K2728" t="str">
            <v>defsi</v>
          </cell>
        </row>
        <row r="2729">
          <cell r="B2729" t="b">
            <v>1</v>
          </cell>
          <cell r="E2729" t="str">
            <v>Ternera</v>
          </cell>
          <cell r="H2729" t="str">
            <v>consulta_externa</v>
          </cell>
          <cell r="J2729" t="str">
            <v>bueno</v>
          </cell>
          <cell r="K2729" t="str">
            <v>defsi</v>
          </cell>
        </row>
        <row r="2730">
          <cell r="B2730" t="b">
            <v>1</v>
          </cell>
          <cell r="E2730" t="str">
            <v>Ternera</v>
          </cell>
          <cell r="H2730" t="str">
            <v>laboratorio</v>
          </cell>
          <cell r="J2730" t="str">
            <v>bueno</v>
          </cell>
          <cell r="K2730" t="str">
            <v>defsi</v>
          </cell>
        </row>
        <row r="2731">
          <cell r="B2731" t="b">
            <v>1</v>
          </cell>
          <cell r="E2731" t="str">
            <v>Ternera</v>
          </cell>
          <cell r="H2731" t="str">
            <v>laboratorio</v>
          </cell>
          <cell r="J2731" t="str">
            <v>bueno</v>
          </cell>
          <cell r="K2731" t="str">
            <v>defsi</v>
          </cell>
        </row>
        <row r="2732">
          <cell r="B2732" t="b">
            <v>1</v>
          </cell>
          <cell r="E2732" t="str">
            <v>Ternera</v>
          </cell>
          <cell r="H2732" t="str">
            <v>consulta_externa</v>
          </cell>
          <cell r="J2732" t="str">
            <v>bueno</v>
          </cell>
          <cell r="K2732" t="str">
            <v>defsi</v>
          </cell>
        </row>
        <row r="2733">
          <cell r="B2733" t="b">
            <v>1</v>
          </cell>
          <cell r="E2733" t="str">
            <v>Ternera</v>
          </cell>
          <cell r="H2733" t="str">
            <v>salud_oral</v>
          </cell>
          <cell r="J2733" t="str">
            <v>bueno</v>
          </cell>
          <cell r="K2733" t="str">
            <v>defsi</v>
          </cell>
        </row>
        <row r="2734">
          <cell r="B2734" t="b">
            <v>1</v>
          </cell>
          <cell r="E2734" t="str">
            <v>Ternera</v>
          </cell>
          <cell r="H2734" t="str">
            <v>salud_oral</v>
          </cell>
          <cell r="J2734" t="str">
            <v>bueno</v>
          </cell>
          <cell r="K2734" t="str">
            <v>defsi</v>
          </cell>
        </row>
        <row r="2735">
          <cell r="B2735" t="b">
            <v>1</v>
          </cell>
          <cell r="E2735" t="str">
            <v>Ternera</v>
          </cell>
          <cell r="H2735" t="str">
            <v>salud_oral</v>
          </cell>
          <cell r="J2735" t="str">
            <v>bueno</v>
          </cell>
          <cell r="K2735" t="str">
            <v>defsi</v>
          </cell>
        </row>
        <row r="2736">
          <cell r="B2736" t="b">
            <v>1</v>
          </cell>
          <cell r="E2736" t="str">
            <v>Ternera</v>
          </cell>
          <cell r="H2736" t="str">
            <v>salud_oral</v>
          </cell>
          <cell r="J2736" t="str">
            <v>bueno</v>
          </cell>
          <cell r="K2736" t="str">
            <v>defsi</v>
          </cell>
        </row>
        <row r="2737">
          <cell r="B2737" t="b">
            <v>1</v>
          </cell>
          <cell r="E2737" t="str">
            <v>Ternera</v>
          </cell>
          <cell r="H2737" t="str">
            <v>salud_oral</v>
          </cell>
          <cell r="J2737" t="str">
            <v>bueno</v>
          </cell>
          <cell r="K2737" t="str">
            <v>defsi</v>
          </cell>
        </row>
        <row r="2738">
          <cell r="B2738" t="b">
            <v>1</v>
          </cell>
          <cell r="E2738" t="str">
            <v>Ternera</v>
          </cell>
          <cell r="H2738" t="str">
            <v>salud_oral</v>
          </cell>
          <cell r="J2738" t="str">
            <v>muybueno</v>
          </cell>
          <cell r="K2738" t="str">
            <v>defsi</v>
          </cell>
        </row>
        <row r="2739">
          <cell r="B2739" t="b">
            <v>1</v>
          </cell>
          <cell r="E2739" t="str">
            <v>Bocachica</v>
          </cell>
          <cell r="H2739" t="str">
            <v>laboratorio</v>
          </cell>
          <cell r="J2739" t="str">
            <v>bueno</v>
          </cell>
          <cell r="K2739" t="str">
            <v>probsi</v>
          </cell>
        </row>
        <row r="2740">
          <cell r="B2740" t="b">
            <v>1</v>
          </cell>
          <cell r="E2740" t="str">
            <v>Ternera</v>
          </cell>
          <cell r="H2740" t="str">
            <v>salud_oral</v>
          </cell>
          <cell r="J2740" t="str">
            <v>muybueno</v>
          </cell>
          <cell r="K2740" t="str">
            <v>defsi</v>
          </cell>
        </row>
        <row r="2741">
          <cell r="B2741" t="b">
            <v>1</v>
          </cell>
          <cell r="E2741" t="str">
            <v>Bocachica</v>
          </cell>
          <cell r="H2741" t="str">
            <v>laboratorio</v>
          </cell>
          <cell r="J2741" t="str">
            <v>bueno</v>
          </cell>
          <cell r="K2741" t="str">
            <v>probsi</v>
          </cell>
        </row>
        <row r="2742">
          <cell r="B2742" t="b">
            <v>1</v>
          </cell>
          <cell r="E2742" t="str">
            <v>Bocachica</v>
          </cell>
          <cell r="H2742" t="str">
            <v>laboratorio</v>
          </cell>
          <cell r="J2742" t="str">
            <v>bueno</v>
          </cell>
          <cell r="K2742" t="str">
            <v>probsi</v>
          </cell>
        </row>
        <row r="2743">
          <cell r="B2743" t="b">
            <v>1</v>
          </cell>
          <cell r="E2743" t="str">
            <v>Ternera</v>
          </cell>
          <cell r="H2743" t="str">
            <v>consulta_externa</v>
          </cell>
          <cell r="J2743" t="str">
            <v>bueno</v>
          </cell>
          <cell r="K2743" t="str">
            <v>probno</v>
          </cell>
        </row>
        <row r="2744">
          <cell r="B2744" t="b">
            <v>1</v>
          </cell>
          <cell r="E2744" t="str">
            <v>Bocachica</v>
          </cell>
          <cell r="H2744" t="str">
            <v>laboratorio</v>
          </cell>
          <cell r="J2744" t="str">
            <v>bueno</v>
          </cell>
          <cell r="K2744" t="str">
            <v>probsi</v>
          </cell>
        </row>
        <row r="2745">
          <cell r="B2745" t="b">
            <v>1</v>
          </cell>
          <cell r="E2745" t="str">
            <v>Bocachica</v>
          </cell>
          <cell r="H2745" t="str">
            <v>laboratorio</v>
          </cell>
          <cell r="J2745" t="str">
            <v>bueno</v>
          </cell>
          <cell r="K2745" t="str">
            <v>probsi</v>
          </cell>
        </row>
        <row r="2746">
          <cell r="B2746" t="b">
            <v>1</v>
          </cell>
          <cell r="E2746" t="str">
            <v>Ternera</v>
          </cell>
          <cell r="H2746" t="str">
            <v>laboratorio</v>
          </cell>
          <cell r="J2746" t="str">
            <v>bueno</v>
          </cell>
          <cell r="K2746" t="str">
            <v>defsi</v>
          </cell>
        </row>
        <row r="2747">
          <cell r="B2747" t="b">
            <v>1</v>
          </cell>
          <cell r="E2747" t="str">
            <v>Ternera</v>
          </cell>
          <cell r="H2747" t="str">
            <v>laboratorio</v>
          </cell>
          <cell r="J2747" t="str">
            <v>bueno</v>
          </cell>
          <cell r="K2747" t="str">
            <v>defsi</v>
          </cell>
        </row>
        <row r="2748">
          <cell r="B2748" t="b">
            <v>1</v>
          </cell>
          <cell r="E2748" t="str">
            <v>Ternera</v>
          </cell>
          <cell r="H2748" t="str">
            <v>laboratorio</v>
          </cell>
          <cell r="J2748" t="str">
            <v>bueno</v>
          </cell>
          <cell r="K2748" t="str">
            <v>defsi</v>
          </cell>
        </row>
        <row r="2749">
          <cell r="B2749" t="b">
            <v>1</v>
          </cell>
          <cell r="E2749" t="str">
            <v>Ternera</v>
          </cell>
          <cell r="H2749" t="str">
            <v>consulta_externa</v>
          </cell>
          <cell r="J2749" t="str">
            <v>bueno</v>
          </cell>
          <cell r="K2749" t="str">
            <v>defsi</v>
          </cell>
        </row>
        <row r="2750">
          <cell r="B2750" t="b">
            <v>1</v>
          </cell>
          <cell r="E2750" t="str">
            <v>Ternera</v>
          </cell>
          <cell r="H2750" t="str">
            <v>consulta_externa</v>
          </cell>
          <cell r="J2750" t="str">
            <v>bueno</v>
          </cell>
          <cell r="K2750" t="str">
            <v>defsi</v>
          </cell>
        </row>
        <row r="2751">
          <cell r="B2751" t="b">
            <v>1</v>
          </cell>
          <cell r="E2751" t="str">
            <v>Ternera</v>
          </cell>
          <cell r="H2751" t="str">
            <v>consulta_externa</v>
          </cell>
          <cell r="J2751" t="str">
            <v>bueno</v>
          </cell>
          <cell r="K2751" t="str">
            <v>defsi</v>
          </cell>
        </row>
        <row r="2752">
          <cell r="B2752" t="b">
            <v>1</v>
          </cell>
          <cell r="E2752" t="str">
            <v>Ternera</v>
          </cell>
          <cell r="H2752" t="str">
            <v>laboratorio</v>
          </cell>
          <cell r="J2752" t="str">
            <v>muybueno</v>
          </cell>
          <cell r="K2752" t="str">
            <v>defsi</v>
          </cell>
        </row>
        <row r="2753">
          <cell r="B2753" t="b">
            <v>1</v>
          </cell>
          <cell r="E2753" t="str">
            <v>Bocachica</v>
          </cell>
          <cell r="H2753" t="str">
            <v>urgencia</v>
          </cell>
          <cell r="J2753" t="str">
            <v>bueno</v>
          </cell>
          <cell r="K2753" t="str">
            <v>probsi</v>
          </cell>
        </row>
        <row r="2754">
          <cell r="B2754" t="b">
            <v>1</v>
          </cell>
          <cell r="E2754" t="str">
            <v>Ternera</v>
          </cell>
          <cell r="H2754" t="str">
            <v>laboratorio</v>
          </cell>
          <cell r="J2754" t="str">
            <v>muybueno</v>
          </cell>
          <cell r="K2754" t="str">
            <v>defsi</v>
          </cell>
        </row>
        <row r="2755">
          <cell r="B2755" t="b">
            <v>1</v>
          </cell>
          <cell r="E2755" t="str">
            <v>Ternera</v>
          </cell>
          <cell r="H2755" t="str">
            <v>laboratorio</v>
          </cell>
          <cell r="J2755" t="str">
            <v>bueno</v>
          </cell>
          <cell r="K2755" t="str">
            <v>defsi</v>
          </cell>
        </row>
        <row r="2756">
          <cell r="B2756" t="b">
            <v>1</v>
          </cell>
          <cell r="E2756" t="str">
            <v>Bocachica</v>
          </cell>
          <cell r="H2756" t="str">
            <v>urgencia</v>
          </cell>
          <cell r="J2756" t="str">
            <v>bueno</v>
          </cell>
          <cell r="K2756" t="str">
            <v>probsi</v>
          </cell>
        </row>
        <row r="2757">
          <cell r="B2757" t="b">
            <v>1</v>
          </cell>
          <cell r="E2757" t="str">
            <v>Bocachica</v>
          </cell>
          <cell r="H2757" t="str">
            <v>urgencia</v>
          </cell>
          <cell r="J2757" t="str">
            <v>bueno</v>
          </cell>
          <cell r="K2757" t="str">
            <v>probsi</v>
          </cell>
        </row>
        <row r="2758">
          <cell r="B2758" t="b">
            <v>1</v>
          </cell>
          <cell r="E2758" t="str">
            <v>Isla Fuerte</v>
          </cell>
          <cell r="H2758" t="str">
            <v>consulta_externa</v>
          </cell>
          <cell r="J2758" t="str">
            <v>muybueno</v>
          </cell>
          <cell r="K2758" t="str">
            <v>defsi</v>
          </cell>
        </row>
        <row r="2759">
          <cell r="B2759" t="b">
            <v>1</v>
          </cell>
          <cell r="E2759" t="str">
            <v>Isla Fuerte</v>
          </cell>
          <cell r="H2759" t="str">
            <v>laboratorio</v>
          </cell>
          <cell r="J2759" t="str">
            <v>muybueno</v>
          </cell>
          <cell r="K2759" t="str">
            <v>defsi</v>
          </cell>
        </row>
        <row r="2760">
          <cell r="B2760" t="b">
            <v>1</v>
          </cell>
          <cell r="E2760" t="str">
            <v>Isla Fuerte</v>
          </cell>
          <cell r="H2760" t="str">
            <v>salud_oral</v>
          </cell>
          <cell r="J2760" t="str">
            <v>muybueno</v>
          </cell>
          <cell r="K2760" t="str">
            <v>defsi</v>
          </cell>
        </row>
        <row r="2761">
          <cell r="B2761" t="b">
            <v>1</v>
          </cell>
          <cell r="E2761" t="str">
            <v>Isla Fuerte</v>
          </cell>
          <cell r="H2761" t="str">
            <v>consulta_externa</v>
          </cell>
          <cell r="J2761" t="str">
            <v>muybueno</v>
          </cell>
          <cell r="K2761" t="str">
            <v>defsi</v>
          </cell>
        </row>
        <row r="2762">
          <cell r="B2762" t="b">
            <v>1</v>
          </cell>
          <cell r="E2762" t="str">
            <v>Isla Fuerte</v>
          </cell>
          <cell r="H2762" t="str">
            <v>laboratorio</v>
          </cell>
          <cell r="J2762" t="str">
            <v>muybueno</v>
          </cell>
          <cell r="K2762" t="str">
            <v>defsi</v>
          </cell>
        </row>
        <row r="2763">
          <cell r="B2763" t="b">
            <v>1</v>
          </cell>
          <cell r="E2763" t="str">
            <v>Isla Fuerte</v>
          </cell>
          <cell r="H2763" t="str">
            <v>consulta_externa</v>
          </cell>
          <cell r="J2763" t="str">
            <v>muybueno</v>
          </cell>
          <cell r="K2763" t="str">
            <v>defsi</v>
          </cell>
        </row>
        <row r="2764">
          <cell r="B2764" t="b">
            <v>1</v>
          </cell>
          <cell r="E2764" t="str">
            <v>Isla Fuerte</v>
          </cell>
          <cell r="H2764" t="str">
            <v>laboratorio</v>
          </cell>
          <cell r="J2764" t="str">
            <v>muybueno</v>
          </cell>
          <cell r="K2764" t="str">
            <v>defsi</v>
          </cell>
        </row>
        <row r="2765">
          <cell r="B2765" t="b">
            <v>1</v>
          </cell>
          <cell r="E2765" t="str">
            <v>Blasdelezo</v>
          </cell>
          <cell r="H2765" t="str">
            <v>consulta_externa</v>
          </cell>
          <cell r="J2765" t="str">
            <v>bueno</v>
          </cell>
          <cell r="K2765" t="str">
            <v>defsi</v>
          </cell>
        </row>
        <row r="2766">
          <cell r="B2766" t="b">
            <v>1</v>
          </cell>
          <cell r="E2766" t="str">
            <v>Blasdelezo</v>
          </cell>
          <cell r="H2766" t="str">
            <v>salud_oral</v>
          </cell>
          <cell r="J2766" t="str">
            <v>bueno</v>
          </cell>
          <cell r="K2766" t="str">
            <v>defsi</v>
          </cell>
        </row>
        <row r="2767">
          <cell r="B2767" t="b">
            <v>1</v>
          </cell>
          <cell r="E2767" t="str">
            <v>Blasdelezo</v>
          </cell>
          <cell r="H2767" t="str">
            <v>laboratorio</v>
          </cell>
          <cell r="J2767" t="str">
            <v>bueno</v>
          </cell>
          <cell r="K2767" t="str">
            <v>defsi</v>
          </cell>
        </row>
        <row r="2768">
          <cell r="B2768" t="b">
            <v>1</v>
          </cell>
          <cell r="E2768" t="str">
            <v>Blasdelezo</v>
          </cell>
          <cell r="H2768" t="str">
            <v>urgencia</v>
          </cell>
          <cell r="J2768" t="str">
            <v>bueno</v>
          </cell>
          <cell r="K2768" t="str">
            <v>defsi</v>
          </cell>
        </row>
        <row r="2769">
          <cell r="B2769" t="b">
            <v>1</v>
          </cell>
          <cell r="E2769" t="str">
            <v>Blasdelezo</v>
          </cell>
          <cell r="H2769" t="str">
            <v>medicina_interna</v>
          </cell>
          <cell r="J2769" t="str">
            <v>bueno</v>
          </cell>
          <cell r="K2769" t="str">
            <v>defsi</v>
          </cell>
        </row>
        <row r="2770">
          <cell r="B2770" t="b">
            <v>1</v>
          </cell>
          <cell r="E2770" t="str">
            <v>Blasdelezo</v>
          </cell>
          <cell r="H2770" t="str">
            <v>consulta_externa</v>
          </cell>
          <cell r="J2770" t="str">
            <v>bueno</v>
          </cell>
          <cell r="K2770" t="str">
            <v>defsi</v>
          </cell>
        </row>
        <row r="2771">
          <cell r="B2771" t="b">
            <v>1</v>
          </cell>
          <cell r="E2771" t="str">
            <v>Blasdelezo</v>
          </cell>
          <cell r="H2771" t="str">
            <v>salud_oral</v>
          </cell>
          <cell r="J2771" t="str">
            <v>bueno</v>
          </cell>
          <cell r="K2771" t="str">
            <v>defsi</v>
          </cell>
        </row>
        <row r="2772">
          <cell r="B2772" t="b">
            <v>1</v>
          </cell>
          <cell r="E2772" t="str">
            <v>Blasdelezo</v>
          </cell>
          <cell r="H2772" t="str">
            <v>laboratorio</v>
          </cell>
          <cell r="J2772" t="str">
            <v>bueno</v>
          </cell>
          <cell r="K2772" t="str">
            <v>defsi</v>
          </cell>
        </row>
        <row r="2773">
          <cell r="B2773" t="b">
            <v>1</v>
          </cell>
          <cell r="E2773" t="str">
            <v>Blasdelezo</v>
          </cell>
          <cell r="H2773" t="str">
            <v>urgencia</v>
          </cell>
          <cell r="J2773" t="str">
            <v>bueno</v>
          </cell>
          <cell r="K2773" t="str">
            <v>defsi</v>
          </cell>
        </row>
        <row r="2774">
          <cell r="B2774" t="b">
            <v>1</v>
          </cell>
          <cell r="E2774" t="str">
            <v>Blasdelezo</v>
          </cell>
          <cell r="H2774" t="str">
            <v>consulta_externa</v>
          </cell>
          <cell r="J2774" t="str">
            <v>bueno</v>
          </cell>
          <cell r="K2774" t="str">
            <v>defsi</v>
          </cell>
        </row>
        <row r="2775">
          <cell r="B2775" t="b">
            <v>1</v>
          </cell>
          <cell r="E2775" t="str">
            <v>Blasdelezo</v>
          </cell>
          <cell r="H2775" t="str">
            <v>salud_oral</v>
          </cell>
          <cell r="J2775" t="str">
            <v>bueno</v>
          </cell>
          <cell r="K2775" t="str">
            <v>defsi</v>
          </cell>
        </row>
        <row r="2776">
          <cell r="B2776" t="b">
            <v>1</v>
          </cell>
          <cell r="E2776" t="str">
            <v>Blasdelezo</v>
          </cell>
          <cell r="H2776" t="str">
            <v>laboratorio</v>
          </cell>
          <cell r="J2776" t="str">
            <v>bueno</v>
          </cell>
          <cell r="K2776" t="str">
            <v>defsi</v>
          </cell>
        </row>
        <row r="2777">
          <cell r="B2777" t="b">
            <v>1</v>
          </cell>
          <cell r="E2777" t="str">
            <v>Blasdelezo</v>
          </cell>
          <cell r="H2777" t="str">
            <v>urgencia</v>
          </cell>
          <cell r="J2777" t="str">
            <v>bueno</v>
          </cell>
          <cell r="K2777" t="str">
            <v>defsi</v>
          </cell>
        </row>
        <row r="2778">
          <cell r="B2778" t="b">
            <v>1</v>
          </cell>
          <cell r="E2778" t="str">
            <v>Blasdelezo</v>
          </cell>
          <cell r="H2778" t="str">
            <v>consulta_externa</v>
          </cell>
          <cell r="J2778" t="str">
            <v>bueno</v>
          </cell>
          <cell r="K2778" t="str">
            <v>defsi</v>
          </cell>
        </row>
        <row r="2779">
          <cell r="B2779" t="b">
            <v>1</v>
          </cell>
          <cell r="E2779" t="str">
            <v>Blasdelezo</v>
          </cell>
          <cell r="H2779" t="str">
            <v>salud_oral</v>
          </cell>
          <cell r="J2779" t="str">
            <v>bueno</v>
          </cell>
          <cell r="K2779" t="str">
            <v>defsi</v>
          </cell>
        </row>
        <row r="2780">
          <cell r="B2780" t="b">
            <v>1</v>
          </cell>
          <cell r="E2780" t="str">
            <v>Blasdelezo</v>
          </cell>
          <cell r="H2780" t="str">
            <v>laboratorio</v>
          </cell>
          <cell r="J2780" t="str">
            <v>bueno</v>
          </cell>
          <cell r="K2780" t="str">
            <v>defsi</v>
          </cell>
        </row>
        <row r="2781">
          <cell r="B2781" t="b">
            <v>1</v>
          </cell>
          <cell r="E2781" t="str">
            <v>Blasdelezo</v>
          </cell>
          <cell r="H2781" t="str">
            <v>urgencia</v>
          </cell>
          <cell r="J2781" t="str">
            <v>bueno</v>
          </cell>
          <cell r="K2781" t="str">
            <v>defsi</v>
          </cell>
        </row>
        <row r="2782">
          <cell r="B2782" t="b">
            <v>1</v>
          </cell>
          <cell r="E2782" t="str">
            <v>Blasdelezo</v>
          </cell>
          <cell r="H2782" t="str">
            <v>medicina_interna</v>
          </cell>
          <cell r="J2782" t="str">
            <v>bueno</v>
          </cell>
          <cell r="K2782" t="str">
            <v>defsi</v>
          </cell>
        </row>
        <row r="2783">
          <cell r="B2783" t="b">
            <v>1</v>
          </cell>
          <cell r="E2783" t="str">
            <v>Blasdelezo</v>
          </cell>
          <cell r="H2783" t="str">
            <v>consulta_externa</v>
          </cell>
          <cell r="J2783" t="str">
            <v>bueno</v>
          </cell>
          <cell r="K2783" t="str">
            <v>defsi</v>
          </cell>
        </row>
        <row r="2784">
          <cell r="B2784" t="b">
            <v>1</v>
          </cell>
          <cell r="E2784" t="str">
            <v>Blasdelezo</v>
          </cell>
          <cell r="H2784" t="str">
            <v>salud_oral</v>
          </cell>
          <cell r="J2784" t="str">
            <v>bueno</v>
          </cell>
          <cell r="K2784" t="str">
            <v>defsi</v>
          </cell>
        </row>
        <row r="2785">
          <cell r="B2785" t="b">
            <v>1</v>
          </cell>
          <cell r="E2785" t="str">
            <v>Blasdelezo</v>
          </cell>
          <cell r="H2785" t="str">
            <v>laboratorio</v>
          </cell>
          <cell r="J2785" t="str">
            <v>bueno</v>
          </cell>
          <cell r="K2785" t="str">
            <v>defsi</v>
          </cell>
        </row>
        <row r="2786">
          <cell r="B2786" t="b">
            <v>1</v>
          </cell>
          <cell r="E2786" t="str">
            <v>Blasdelezo</v>
          </cell>
          <cell r="H2786" t="str">
            <v>urgencia</v>
          </cell>
          <cell r="J2786" t="str">
            <v>bueno</v>
          </cell>
          <cell r="K2786" t="str">
            <v>defsi</v>
          </cell>
        </row>
        <row r="2787">
          <cell r="B2787" t="b">
            <v>1</v>
          </cell>
          <cell r="E2787" t="str">
            <v>Blasdelezo</v>
          </cell>
          <cell r="H2787" t="str">
            <v>consulta_externa</v>
          </cell>
          <cell r="J2787" t="str">
            <v>bueno</v>
          </cell>
          <cell r="K2787" t="str">
            <v>defsi</v>
          </cell>
        </row>
        <row r="2788">
          <cell r="B2788" t="b">
            <v>1</v>
          </cell>
          <cell r="E2788" t="str">
            <v>Blasdelezo</v>
          </cell>
          <cell r="H2788" t="str">
            <v>salud_oral</v>
          </cell>
          <cell r="J2788" t="str">
            <v>bueno</v>
          </cell>
          <cell r="K2788" t="str">
            <v>defsi</v>
          </cell>
        </row>
        <row r="2789">
          <cell r="B2789" t="b">
            <v>1</v>
          </cell>
          <cell r="E2789" t="str">
            <v>Blasdelezo</v>
          </cell>
          <cell r="H2789" t="str">
            <v>laboratorio</v>
          </cell>
          <cell r="J2789" t="str">
            <v>bueno</v>
          </cell>
          <cell r="K2789" t="str">
            <v>defsi</v>
          </cell>
        </row>
        <row r="2790">
          <cell r="B2790" t="b">
            <v>1</v>
          </cell>
          <cell r="E2790" t="str">
            <v>Blasdelezo</v>
          </cell>
          <cell r="H2790" t="str">
            <v>urgencia</v>
          </cell>
          <cell r="J2790" t="str">
            <v>bueno</v>
          </cell>
          <cell r="K2790" t="str">
            <v>defsi</v>
          </cell>
        </row>
        <row r="2791">
          <cell r="B2791" t="b">
            <v>1</v>
          </cell>
          <cell r="E2791" t="str">
            <v>Blasdelezo</v>
          </cell>
          <cell r="H2791" t="str">
            <v>consulta_externa</v>
          </cell>
          <cell r="J2791" t="str">
            <v>bueno</v>
          </cell>
          <cell r="K2791" t="str">
            <v>defsi</v>
          </cell>
        </row>
        <row r="2792">
          <cell r="B2792" t="b">
            <v>1</v>
          </cell>
          <cell r="E2792" t="str">
            <v>Blasdelezo</v>
          </cell>
          <cell r="H2792" t="str">
            <v>salud_oral</v>
          </cell>
          <cell r="J2792" t="str">
            <v>bueno</v>
          </cell>
          <cell r="K2792" t="str">
            <v>defsi</v>
          </cell>
        </row>
        <row r="2793">
          <cell r="B2793" t="b">
            <v>1</v>
          </cell>
          <cell r="E2793" t="str">
            <v>Blasdelezo</v>
          </cell>
          <cell r="H2793" t="str">
            <v>laboratorio</v>
          </cell>
          <cell r="J2793" t="str">
            <v>bueno</v>
          </cell>
          <cell r="K2793" t="str">
            <v>defsi</v>
          </cell>
        </row>
        <row r="2794">
          <cell r="B2794" t="b">
            <v>1</v>
          </cell>
          <cell r="E2794" t="str">
            <v>Blasdelezo</v>
          </cell>
          <cell r="H2794" t="str">
            <v>urgencia</v>
          </cell>
          <cell r="J2794" t="str">
            <v>bueno</v>
          </cell>
          <cell r="K2794" t="str">
            <v>defsi</v>
          </cell>
        </row>
        <row r="2795">
          <cell r="B2795" t="b">
            <v>1</v>
          </cell>
          <cell r="E2795" t="str">
            <v>Bicentenario</v>
          </cell>
          <cell r="H2795" t="str">
            <v>rx</v>
          </cell>
          <cell r="J2795" t="str">
            <v>bueno</v>
          </cell>
          <cell r="K2795" t="str">
            <v>probsi</v>
          </cell>
        </row>
        <row r="2796">
          <cell r="B2796" t="b">
            <v>1</v>
          </cell>
          <cell r="E2796" t="str">
            <v>Bicentenario</v>
          </cell>
          <cell r="H2796" t="str">
            <v>rx</v>
          </cell>
          <cell r="J2796" t="str">
            <v>bueno</v>
          </cell>
          <cell r="K2796" t="str">
            <v>probsi</v>
          </cell>
        </row>
        <row r="2797">
          <cell r="B2797" t="b">
            <v>1</v>
          </cell>
          <cell r="E2797" t="str">
            <v>Bicentenario</v>
          </cell>
          <cell r="H2797" t="str">
            <v>rx</v>
          </cell>
          <cell r="J2797" t="str">
            <v>bueno</v>
          </cell>
          <cell r="K2797" t="str">
            <v>probsi</v>
          </cell>
        </row>
        <row r="2798">
          <cell r="B2798" t="b">
            <v>1</v>
          </cell>
          <cell r="E2798" t="str">
            <v>Bicentenario</v>
          </cell>
          <cell r="H2798" t="str">
            <v>rx</v>
          </cell>
          <cell r="J2798" t="str">
            <v>bueno</v>
          </cell>
          <cell r="K2798" t="str">
            <v>probsi</v>
          </cell>
        </row>
        <row r="2799">
          <cell r="B2799" t="b">
            <v>1</v>
          </cell>
          <cell r="E2799" t="str">
            <v>Bicentenario</v>
          </cell>
          <cell r="H2799" t="str">
            <v>rx</v>
          </cell>
          <cell r="J2799" t="str">
            <v>bueno</v>
          </cell>
          <cell r="K2799" t="str">
            <v>probsi</v>
          </cell>
        </row>
        <row r="2800">
          <cell r="B2800" t="b">
            <v>1</v>
          </cell>
          <cell r="E2800" t="str">
            <v>Bicentenario</v>
          </cell>
          <cell r="H2800" t="str">
            <v>rx</v>
          </cell>
          <cell r="J2800" t="str">
            <v>bueno</v>
          </cell>
          <cell r="K2800" t="str">
            <v>probsi</v>
          </cell>
        </row>
        <row r="2801">
          <cell r="B2801" t="b">
            <v>1</v>
          </cell>
          <cell r="E2801" t="str">
            <v>Bicentenario</v>
          </cell>
          <cell r="H2801" t="str">
            <v>rx</v>
          </cell>
          <cell r="J2801" t="str">
            <v>bueno</v>
          </cell>
          <cell r="K2801" t="str">
            <v>probsi</v>
          </cell>
        </row>
        <row r="2802">
          <cell r="B2802" t="b">
            <v>1</v>
          </cell>
          <cell r="E2802" t="str">
            <v>Bicentenario</v>
          </cell>
          <cell r="H2802" t="str">
            <v>urgencia</v>
          </cell>
          <cell r="J2802" t="str">
            <v>bueno</v>
          </cell>
          <cell r="K2802" t="str">
            <v>probsi</v>
          </cell>
        </row>
        <row r="2803">
          <cell r="B2803" t="b">
            <v>1</v>
          </cell>
          <cell r="E2803" t="str">
            <v>Bicentenario</v>
          </cell>
          <cell r="H2803" t="str">
            <v>urgencia</v>
          </cell>
          <cell r="J2803" t="str">
            <v>bueno</v>
          </cell>
          <cell r="K2803" t="str">
            <v>probsi</v>
          </cell>
        </row>
        <row r="2804">
          <cell r="B2804" t="b">
            <v>0</v>
          </cell>
          <cell r="E2804" t="str">
            <v>Bicentenario</v>
          </cell>
          <cell r="H2804" t="str">
            <v>urgencia</v>
          </cell>
          <cell r="J2804" t="str">
            <v>regular</v>
          </cell>
          <cell r="K2804" t="str">
            <v>probsi</v>
          </cell>
        </row>
        <row r="2805">
          <cell r="B2805" t="b">
            <v>0</v>
          </cell>
          <cell r="E2805" t="str">
            <v>Bicentenario</v>
          </cell>
          <cell r="H2805" t="str">
            <v>urgencia</v>
          </cell>
          <cell r="J2805" t="str">
            <v>regular</v>
          </cell>
          <cell r="K2805" t="str">
            <v>probsi</v>
          </cell>
        </row>
        <row r="2806">
          <cell r="B2806" t="b">
            <v>1</v>
          </cell>
          <cell r="E2806" t="str">
            <v>Bicentenario</v>
          </cell>
          <cell r="H2806" t="str">
            <v>urgencia</v>
          </cell>
          <cell r="J2806" t="str">
            <v>bueno</v>
          </cell>
          <cell r="K2806" t="str">
            <v>probsi</v>
          </cell>
        </row>
        <row r="2807">
          <cell r="B2807" t="b">
            <v>1</v>
          </cell>
          <cell r="E2807" t="str">
            <v>Bicentenario</v>
          </cell>
          <cell r="H2807" t="str">
            <v>urgencia</v>
          </cell>
          <cell r="J2807" t="str">
            <v>bueno</v>
          </cell>
          <cell r="K2807" t="str">
            <v>probsi</v>
          </cell>
        </row>
        <row r="2808">
          <cell r="B2808" t="b">
            <v>1</v>
          </cell>
          <cell r="E2808" t="str">
            <v>Bicentenario</v>
          </cell>
          <cell r="H2808" t="str">
            <v>laboratorio</v>
          </cell>
          <cell r="J2808" t="str">
            <v>bueno</v>
          </cell>
          <cell r="K2808" t="str">
            <v>probsi</v>
          </cell>
        </row>
        <row r="2809">
          <cell r="B2809" t="b">
            <v>1</v>
          </cell>
          <cell r="E2809" t="str">
            <v>Bicentenario</v>
          </cell>
          <cell r="H2809" t="str">
            <v>laboratorio</v>
          </cell>
          <cell r="J2809" t="str">
            <v>bueno</v>
          </cell>
          <cell r="K2809" t="str">
            <v>probsi</v>
          </cell>
        </row>
        <row r="2810">
          <cell r="B2810" t="b">
            <v>0</v>
          </cell>
          <cell r="E2810" t="str">
            <v>Nelson Mandela UPA</v>
          </cell>
          <cell r="H2810" t="str">
            <v>urgencia</v>
          </cell>
          <cell r="J2810" t="str">
            <v>regular</v>
          </cell>
          <cell r="K2810" t="str">
            <v>probsi</v>
          </cell>
        </row>
        <row r="2811">
          <cell r="B2811" t="b">
            <v>0</v>
          </cell>
          <cell r="E2811" t="str">
            <v>Nelson Mandela UPA</v>
          </cell>
          <cell r="H2811" t="str">
            <v>urgencia</v>
          </cell>
          <cell r="J2811" t="str">
            <v>regular</v>
          </cell>
          <cell r="K2811" t="str">
            <v>probsi</v>
          </cell>
        </row>
        <row r="2812">
          <cell r="B2812" t="b">
            <v>1</v>
          </cell>
          <cell r="E2812" t="str">
            <v>Nelson Mandela UPA</v>
          </cell>
          <cell r="H2812" t="str">
            <v>urgencia</v>
          </cell>
          <cell r="J2812" t="str">
            <v>bueno</v>
          </cell>
          <cell r="K2812" t="str">
            <v>probsi</v>
          </cell>
        </row>
        <row r="2813">
          <cell r="B2813" t="b">
            <v>1</v>
          </cell>
          <cell r="E2813" t="str">
            <v>Nelson Mandela UPA</v>
          </cell>
          <cell r="H2813" t="str">
            <v>urgencia</v>
          </cell>
          <cell r="J2813" t="str">
            <v>bueno</v>
          </cell>
          <cell r="K2813" t="str">
            <v>probsi</v>
          </cell>
        </row>
        <row r="2814">
          <cell r="B2814" t="b">
            <v>1</v>
          </cell>
          <cell r="E2814" t="str">
            <v>Nelson Mandela UPA</v>
          </cell>
          <cell r="H2814" t="str">
            <v>urgencia</v>
          </cell>
          <cell r="J2814" t="str">
            <v>bueno</v>
          </cell>
          <cell r="K2814" t="str">
            <v>probsi</v>
          </cell>
        </row>
        <row r="2815">
          <cell r="B2815" t="b">
            <v>1</v>
          </cell>
          <cell r="E2815" t="str">
            <v>Nelson Mandela UPA</v>
          </cell>
          <cell r="H2815" t="str">
            <v>urgencia</v>
          </cell>
          <cell r="J2815" t="str">
            <v>bueno</v>
          </cell>
          <cell r="K2815" t="str">
            <v>probsi</v>
          </cell>
        </row>
        <row r="2816">
          <cell r="B2816" t="b">
            <v>1</v>
          </cell>
          <cell r="E2816" t="str">
            <v>Nelson Mandela UPA</v>
          </cell>
          <cell r="H2816" t="str">
            <v>urgencia</v>
          </cell>
          <cell r="J2816" t="str">
            <v>bueno</v>
          </cell>
          <cell r="K2816" t="str">
            <v>probsi</v>
          </cell>
        </row>
        <row r="2817">
          <cell r="B2817" t="b">
            <v>1</v>
          </cell>
          <cell r="E2817" t="str">
            <v>Nelson Mandela UPA</v>
          </cell>
          <cell r="H2817" t="str">
            <v>urgencia</v>
          </cell>
          <cell r="J2817" t="str">
            <v>bueno</v>
          </cell>
          <cell r="K2817" t="str">
            <v>probsi</v>
          </cell>
        </row>
        <row r="2818">
          <cell r="B2818" t="b">
            <v>0</v>
          </cell>
          <cell r="E2818" t="str">
            <v>Nelson Mandela UPA</v>
          </cell>
          <cell r="H2818" t="str">
            <v>urgencia</v>
          </cell>
          <cell r="J2818" t="str">
            <v>regular</v>
          </cell>
          <cell r="K2818" t="str">
            <v>probno</v>
          </cell>
        </row>
        <row r="2819">
          <cell r="B2819" t="b">
            <v>0</v>
          </cell>
          <cell r="E2819" t="str">
            <v>Nelson Mandela UPA</v>
          </cell>
          <cell r="H2819" t="str">
            <v>urgencia</v>
          </cell>
          <cell r="J2819" t="str">
            <v>regular</v>
          </cell>
          <cell r="K2819" t="str">
            <v>probsi</v>
          </cell>
        </row>
        <row r="2820">
          <cell r="B2820" t="b">
            <v>0</v>
          </cell>
          <cell r="E2820" t="str">
            <v>Bicentenario</v>
          </cell>
          <cell r="H2820" t="str">
            <v>urgencia</v>
          </cell>
          <cell r="J2820" t="str">
            <v>regular</v>
          </cell>
          <cell r="K2820" t="str">
            <v>probsi</v>
          </cell>
        </row>
        <row r="2821">
          <cell r="B2821" t="b">
            <v>0</v>
          </cell>
          <cell r="E2821" t="str">
            <v>Bicentenario</v>
          </cell>
          <cell r="H2821" t="str">
            <v>urgencia</v>
          </cell>
          <cell r="J2821" t="str">
            <v>regular</v>
          </cell>
          <cell r="K2821" t="str">
            <v>probsi</v>
          </cell>
        </row>
        <row r="2822">
          <cell r="B2822" t="b">
            <v>1</v>
          </cell>
          <cell r="E2822" t="str">
            <v>Candelaria</v>
          </cell>
          <cell r="H2822" t="str">
            <v>electros</v>
          </cell>
          <cell r="J2822" t="str">
            <v>bueno</v>
          </cell>
          <cell r="K2822" t="str">
            <v>probsi</v>
          </cell>
        </row>
        <row r="2823">
          <cell r="B2823" t="b">
            <v>1</v>
          </cell>
          <cell r="E2823" t="str">
            <v>Candelaria</v>
          </cell>
          <cell r="H2823" t="str">
            <v>electros</v>
          </cell>
          <cell r="J2823" t="str">
            <v>bueno</v>
          </cell>
          <cell r="K2823" t="str">
            <v>probsi</v>
          </cell>
        </row>
        <row r="2824">
          <cell r="B2824" t="b">
            <v>1</v>
          </cell>
          <cell r="E2824" t="str">
            <v>Candelaria</v>
          </cell>
          <cell r="H2824" t="str">
            <v>electros</v>
          </cell>
          <cell r="J2824" t="str">
            <v>bueno</v>
          </cell>
          <cell r="K2824" t="str">
            <v>probsi</v>
          </cell>
        </row>
        <row r="2825">
          <cell r="B2825" t="b">
            <v>1</v>
          </cell>
          <cell r="E2825" t="str">
            <v>Candelaria</v>
          </cell>
          <cell r="H2825" t="str">
            <v>electros</v>
          </cell>
          <cell r="J2825" t="str">
            <v>bueno</v>
          </cell>
          <cell r="K2825" t="str">
            <v>probsi</v>
          </cell>
        </row>
        <row r="2826">
          <cell r="B2826" t="b">
            <v>1</v>
          </cell>
          <cell r="E2826" t="str">
            <v>Candelaria</v>
          </cell>
          <cell r="H2826" t="str">
            <v>electros</v>
          </cell>
          <cell r="J2826" t="str">
            <v>bueno</v>
          </cell>
          <cell r="K2826" t="str">
            <v>probsi</v>
          </cell>
        </row>
        <row r="2827">
          <cell r="B2827" t="b">
            <v>1</v>
          </cell>
          <cell r="E2827" t="str">
            <v>Candelaria</v>
          </cell>
          <cell r="H2827" t="str">
            <v>electros</v>
          </cell>
          <cell r="J2827" t="str">
            <v>bueno</v>
          </cell>
          <cell r="K2827" t="str">
            <v>probsi</v>
          </cell>
        </row>
        <row r="2828">
          <cell r="B2828" t="b">
            <v>1</v>
          </cell>
          <cell r="E2828" t="str">
            <v>Candelaria</v>
          </cell>
          <cell r="H2828" t="str">
            <v>electros</v>
          </cell>
          <cell r="J2828" t="str">
            <v>bueno</v>
          </cell>
          <cell r="K2828" t="str">
            <v>probsi</v>
          </cell>
        </row>
        <row r="2829">
          <cell r="B2829" t="b">
            <v>1</v>
          </cell>
          <cell r="E2829" t="str">
            <v>Candelaria</v>
          </cell>
          <cell r="H2829" t="str">
            <v>electros</v>
          </cell>
          <cell r="J2829" t="str">
            <v>bueno</v>
          </cell>
          <cell r="K2829" t="str">
            <v>probsi</v>
          </cell>
        </row>
        <row r="2830">
          <cell r="B2830" t="b">
            <v>1</v>
          </cell>
          <cell r="E2830" t="str">
            <v>Candelaria</v>
          </cell>
          <cell r="H2830" t="str">
            <v>electros</v>
          </cell>
          <cell r="J2830" t="str">
            <v>bueno</v>
          </cell>
          <cell r="K2830" t="str">
            <v>probsi</v>
          </cell>
        </row>
        <row r="2831">
          <cell r="B2831" t="b">
            <v>1</v>
          </cell>
          <cell r="E2831" t="str">
            <v>Candelaria</v>
          </cell>
          <cell r="H2831" t="str">
            <v>electros</v>
          </cell>
          <cell r="J2831" t="str">
            <v>bueno</v>
          </cell>
          <cell r="K2831" t="str">
            <v>probsi</v>
          </cell>
        </row>
        <row r="2832">
          <cell r="B2832" t="b">
            <v>1</v>
          </cell>
          <cell r="E2832" t="str">
            <v>Bicentenario</v>
          </cell>
          <cell r="H2832" t="str">
            <v>rx</v>
          </cell>
          <cell r="J2832" t="str">
            <v>bueno</v>
          </cell>
          <cell r="K2832" t="str">
            <v>probsi</v>
          </cell>
        </row>
        <row r="2833">
          <cell r="B2833" t="b">
            <v>1</v>
          </cell>
          <cell r="E2833" t="str">
            <v>Blasdelezo</v>
          </cell>
          <cell r="H2833" t="str">
            <v>consulta_externa</v>
          </cell>
          <cell r="J2833" t="str">
            <v>bueno</v>
          </cell>
          <cell r="K2833" t="str">
            <v>defsi</v>
          </cell>
        </row>
        <row r="2834">
          <cell r="B2834" t="b">
            <v>1</v>
          </cell>
          <cell r="E2834" t="str">
            <v>Blasdelezo</v>
          </cell>
          <cell r="H2834" t="str">
            <v>salud_oral</v>
          </cell>
          <cell r="J2834" t="str">
            <v>bueno</v>
          </cell>
          <cell r="K2834" t="str">
            <v>defsi</v>
          </cell>
        </row>
        <row r="2835">
          <cell r="B2835" t="b">
            <v>1</v>
          </cell>
          <cell r="E2835" t="str">
            <v>Blasdelezo</v>
          </cell>
          <cell r="H2835" t="str">
            <v>laboratorio</v>
          </cell>
          <cell r="J2835" t="str">
            <v>bueno</v>
          </cell>
          <cell r="K2835" t="str">
            <v>defsi</v>
          </cell>
        </row>
        <row r="2836">
          <cell r="B2836" t="b">
            <v>1</v>
          </cell>
          <cell r="E2836" t="str">
            <v>Blasdelezo</v>
          </cell>
          <cell r="H2836" t="str">
            <v>urgencia</v>
          </cell>
          <cell r="J2836" t="str">
            <v>bueno</v>
          </cell>
          <cell r="K2836" t="str">
            <v>defsi</v>
          </cell>
        </row>
        <row r="2837">
          <cell r="B2837" t="b">
            <v>1</v>
          </cell>
          <cell r="E2837" t="str">
            <v>Blasdelezo</v>
          </cell>
          <cell r="H2837" t="str">
            <v>consulta_externa</v>
          </cell>
          <cell r="J2837" t="str">
            <v>bueno</v>
          </cell>
          <cell r="K2837" t="str">
            <v>defsi</v>
          </cell>
        </row>
        <row r="2838">
          <cell r="B2838" t="b">
            <v>1</v>
          </cell>
          <cell r="E2838" t="str">
            <v>Blasdelezo</v>
          </cell>
          <cell r="H2838" t="str">
            <v>salud_oral</v>
          </cell>
          <cell r="J2838" t="str">
            <v>bueno</v>
          </cell>
          <cell r="K2838" t="str">
            <v>defsi</v>
          </cell>
        </row>
        <row r="2839">
          <cell r="B2839" t="b">
            <v>1</v>
          </cell>
          <cell r="E2839" t="str">
            <v>Blasdelezo</v>
          </cell>
          <cell r="H2839" t="str">
            <v>laboratorio</v>
          </cell>
          <cell r="J2839" t="str">
            <v>bueno</v>
          </cell>
          <cell r="K2839" t="str">
            <v>defsi</v>
          </cell>
        </row>
        <row r="2840">
          <cell r="B2840" t="b">
            <v>1</v>
          </cell>
          <cell r="E2840" t="str">
            <v>Blasdelezo</v>
          </cell>
          <cell r="H2840" t="str">
            <v>urgencia</v>
          </cell>
          <cell r="J2840" t="str">
            <v>bueno</v>
          </cell>
          <cell r="K2840" t="str">
            <v>defsi</v>
          </cell>
        </row>
        <row r="2841">
          <cell r="B2841" t="b">
            <v>1</v>
          </cell>
          <cell r="E2841" t="str">
            <v>Blasdelezo</v>
          </cell>
          <cell r="H2841" t="str">
            <v>consulta_externa</v>
          </cell>
          <cell r="J2841" t="str">
            <v>bueno</v>
          </cell>
          <cell r="K2841" t="str">
            <v>defsi</v>
          </cell>
        </row>
        <row r="2842">
          <cell r="B2842" t="b">
            <v>1</v>
          </cell>
          <cell r="E2842" t="str">
            <v>Blasdelezo</v>
          </cell>
          <cell r="H2842" t="str">
            <v>salud_oral</v>
          </cell>
          <cell r="J2842" t="str">
            <v>bueno</v>
          </cell>
          <cell r="K2842" t="str">
            <v>defsi</v>
          </cell>
        </row>
        <row r="2843">
          <cell r="B2843" t="b">
            <v>1</v>
          </cell>
          <cell r="E2843" t="str">
            <v>Blasdelezo</v>
          </cell>
          <cell r="H2843" t="str">
            <v>laboratorio</v>
          </cell>
          <cell r="J2843" t="str">
            <v>bueno</v>
          </cell>
          <cell r="K2843" t="str">
            <v>defsi</v>
          </cell>
        </row>
        <row r="2844">
          <cell r="B2844" t="b">
            <v>1</v>
          </cell>
          <cell r="E2844" t="str">
            <v>Pontezuela</v>
          </cell>
          <cell r="H2844" t="str">
            <v>consulta_externa</v>
          </cell>
          <cell r="J2844" t="str">
            <v>bueno</v>
          </cell>
          <cell r="K2844" t="str">
            <v>defsi</v>
          </cell>
        </row>
        <row r="2845">
          <cell r="B2845" t="b">
            <v>1</v>
          </cell>
          <cell r="E2845" t="str">
            <v>Pontezuela</v>
          </cell>
          <cell r="H2845" t="str">
            <v>salud_oral</v>
          </cell>
          <cell r="J2845" t="str">
            <v>bueno</v>
          </cell>
          <cell r="K2845" t="str">
            <v>defsi</v>
          </cell>
        </row>
        <row r="2846">
          <cell r="B2846" t="b">
            <v>1</v>
          </cell>
          <cell r="E2846" t="str">
            <v>Pontezuela</v>
          </cell>
          <cell r="H2846" t="str">
            <v>laboratorio</v>
          </cell>
          <cell r="J2846" t="str">
            <v>bueno</v>
          </cell>
          <cell r="K2846" t="str">
            <v>defsi</v>
          </cell>
        </row>
        <row r="2847">
          <cell r="B2847" t="b">
            <v>1</v>
          </cell>
          <cell r="E2847" t="str">
            <v>Pontezuela</v>
          </cell>
          <cell r="H2847" t="str">
            <v>consulta_externa</v>
          </cell>
          <cell r="J2847" t="str">
            <v>bueno</v>
          </cell>
          <cell r="K2847" t="str">
            <v>defsi</v>
          </cell>
        </row>
        <row r="2848">
          <cell r="B2848" t="b">
            <v>1</v>
          </cell>
          <cell r="E2848" t="str">
            <v>Pontezuela</v>
          </cell>
          <cell r="H2848" t="str">
            <v>salud_oral</v>
          </cell>
          <cell r="J2848" t="str">
            <v>bueno</v>
          </cell>
          <cell r="K2848" t="str">
            <v>defsi</v>
          </cell>
        </row>
        <row r="2849">
          <cell r="B2849" t="b">
            <v>1</v>
          </cell>
          <cell r="E2849" t="str">
            <v>Pontezuela</v>
          </cell>
          <cell r="H2849" t="str">
            <v>laboratorio</v>
          </cell>
          <cell r="J2849" t="str">
            <v>bueno</v>
          </cell>
          <cell r="K2849" t="str">
            <v>defsi</v>
          </cell>
        </row>
        <row r="2850">
          <cell r="B2850" t="b">
            <v>1</v>
          </cell>
          <cell r="E2850" t="str">
            <v>Cano de Oro</v>
          </cell>
          <cell r="H2850" t="str">
            <v>laboratorio</v>
          </cell>
          <cell r="J2850" t="str">
            <v>bueno</v>
          </cell>
          <cell r="K2850" t="str">
            <v>defsi</v>
          </cell>
        </row>
        <row r="2851">
          <cell r="B2851" t="b">
            <v>1</v>
          </cell>
          <cell r="E2851" t="str">
            <v>Cano de Oro</v>
          </cell>
          <cell r="H2851" t="str">
            <v>laboratorio</v>
          </cell>
          <cell r="J2851" t="str">
            <v>bueno</v>
          </cell>
          <cell r="K2851" t="str">
            <v>defsi</v>
          </cell>
        </row>
        <row r="2852">
          <cell r="B2852" t="b">
            <v>1</v>
          </cell>
          <cell r="E2852" t="str">
            <v>Pontezuela</v>
          </cell>
          <cell r="H2852" t="str">
            <v>consulta_externa</v>
          </cell>
          <cell r="J2852" t="str">
            <v>bueno</v>
          </cell>
          <cell r="K2852" t="str">
            <v>defsi</v>
          </cell>
        </row>
        <row r="2853">
          <cell r="B2853" t="b">
            <v>1</v>
          </cell>
          <cell r="E2853" t="str">
            <v>Pontezuela</v>
          </cell>
          <cell r="H2853" t="str">
            <v>salud_oral</v>
          </cell>
          <cell r="J2853" t="str">
            <v>bueno</v>
          </cell>
          <cell r="K2853" t="str">
            <v>defsi</v>
          </cell>
        </row>
        <row r="2854">
          <cell r="B2854" t="b">
            <v>1</v>
          </cell>
          <cell r="E2854" t="str">
            <v>Isla del Rosario</v>
          </cell>
          <cell r="H2854" t="str">
            <v>consulta_externa</v>
          </cell>
          <cell r="J2854" t="str">
            <v>muybueno</v>
          </cell>
          <cell r="K2854" t="str">
            <v>defsi</v>
          </cell>
        </row>
        <row r="2855">
          <cell r="B2855" t="b">
            <v>1</v>
          </cell>
          <cell r="E2855" t="str">
            <v>Isla del Rosario</v>
          </cell>
          <cell r="H2855" t="str">
            <v>laboratorio</v>
          </cell>
          <cell r="J2855" t="str">
            <v>muybueno</v>
          </cell>
          <cell r="K2855" t="str">
            <v>defsi</v>
          </cell>
        </row>
        <row r="2856">
          <cell r="B2856" t="b">
            <v>1</v>
          </cell>
          <cell r="E2856" t="str">
            <v>Pontezuela</v>
          </cell>
          <cell r="H2856" t="str">
            <v>laboratorio</v>
          </cell>
          <cell r="J2856" t="str">
            <v>bueno</v>
          </cell>
          <cell r="K2856" t="str">
            <v>defsi</v>
          </cell>
        </row>
        <row r="2857">
          <cell r="B2857" t="b">
            <v>1</v>
          </cell>
          <cell r="E2857" t="str">
            <v>Pontezuela</v>
          </cell>
          <cell r="H2857" t="str">
            <v>consulta_externa</v>
          </cell>
          <cell r="J2857" t="str">
            <v>bueno</v>
          </cell>
          <cell r="K2857" t="str">
            <v>defsi</v>
          </cell>
        </row>
        <row r="2858">
          <cell r="B2858" t="b">
            <v>1</v>
          </cell>
          <cell r="E2858" t="str">
            <v>Pontezuela</v>
          </cell>
          <cell r="H2858" t="str">
            <v>salud_oral</v>
          </cell>
          <cell r="J2858" t="str">
            <v>bueno</v>
          </cell>
          <cell r="K2858" t="str">
            <v>defsi</v>
          </cell>
        </row>
        <row r="2859">
          <cell r="B2859" t="b">
            <v>1</v>
          </cell>
          <cell r="E2859" t="str">
            <v>Pontezuela</v>
          </cell>
          <cell r="H2859" t="str">
            <v>laboratorio</v>
          </cell>
          <cell r="J2859" t="str">
            <v>bueno</v>
          </cell>
          <cell r="K2859" t="str">
            <v>defsi</v>
          </cell>
        </row>
        <row r="2860">
          <cell r="B2860" t="b">
            <v>1</v>
          </cell>
          <cell r="E2860" t="str">
            <v>Cano de Oro</v>
          </cell>
          <cell r="H2860" t="str">
            <v>laboratorio</v>
          </cell>
          <cell r="J2860" t="str">
            <v>bueno</v>
          </cell>
          <cell r="K2860" t="str">
            <v>defsi</v>
          </cell>
        </row>
        <row r="2861">
          <cell r="B2861" t="b">
            <v>1</v>
          </cell>
          <cell r="E2861" t="str">
            <v>Isla del Rosario</v>
          </cell>
          <cell r="H2861" t="str">
            <v>laboratorio</v>
          </cell>
          <cell r="J2861" t="str">
            <v>muybueno</v>
          </cell>
          <cell r="K2861" t="str">
            <v>defsi</v>
          </cell>
        </row>
        <row r="2862">
          <cell r="B2862" t="b">
            <v>1</v>
          </cell>
          <cell r="E2862" t="str">
            <v>Pontezuela</v>
          </cell>
          <cell r="H2862" t="str">
            <v>consulta_externa</v>
          </cell>
          <cell r="J2862" t="str">
            <v>bueno</v>
          </cell>
          <cell r="K2862" t="str">
            <v>defsi</v>
          </cell>
        </row>
        <row r="2863">
          <cell r="B2863" t="b">
            <v>1</v>
          </cell>
          <cell r="E2863" t="str">
            <v>Pontezuela</v>
          </cell>
          <cell r="H2863" t="str">
            <v>salud_oral</v>
          </cell>
          <cell r="J2863" t="str">
            <v>bueno</v>
          </cell>
          <cell r="K2863" t="str">
            <v>defsi</v>
          </cell>
        </row>
        <row r="2864">
          <cell r="B2864" t="b">
            <v>1</v>
          </cell>
          <cell r="E2864" t="str">
            <v>Pontezuela</v>
          </cell>
          <cell r="H2864" t="str">
            <v>laboratorio</v>
          </cell>
          <cell r="J2864" t="str">
            <v>bueno</v>
          </cell>
          <cell r="K2864" t="str">
            <v>defsi</v>
          </cell>
        </row>
        <row r="2865">
          <cell r="B2865" t="b">
            <v>1</v>
          </cell>
          <cell r="E2865" t="str">
            <v>Cano de Oro</v>
          </cell>
          <cell r="H2865" t="str">
            <v>consulta_externa</v>
          </cell>
          <cell r="J2865" t="str">
            <v>bueno</v>
          </cell>
          <cell r="K2865" t="str">
            <v>defsi</v>
          </cell>
        </row>
        <row r="2866">
          <cell r="B2866" t="b">
            <v>1</v>
          </cell>
          <cell r="E2866" t="str">
            <v>Pontezuela</v>
          </cell>
          <cell r="H2866" t="str">
            <v>consulta_externa</v>
          </cell>
          <cell r="J2866" t="str">
            <v>bueno</v>
          </cell>
          <cell r="K2866" t="str">
            <v>defsi</v>
          </cell>
        </row>
        <row r="2867">
          <cell r="B2867" t="b">
            <v>1</v>
          </cell>
          <cell r="E2867" t="str">
            <v>Las Reinas</v>
          </cell>
          <cell r="H2867" t="str">
            <v>consulta_externa</v>
          </cell>
          <cell r="J2867" t="str">
            <v>bueno</v>
          </cell>
          <cell r="K2867" t="str">
            <v>probsi</v>
          </cell>
        </row>
        <row r="2868">
          <cell r="B2868" t="b">
            <v>1</v>
          </cell>
          <cell r="E2868" t="str">
            <v>Pontezuela</v>
          </cell>
          <cell r="H2868" t="str">
            <v>salud_oral</v>
          </cell>
          <cell r="J2868" t="str">
            <v>bueno</v>
          </cell>
          <cell r="K2868" t="str">
            <v>defsi</v>
          </cell>
        </row>
        <row r="2869">
          <cell r="B2869" t="b">
            <v>1</v>
          </cell>
          <cell r="E2869" t="str">
            <v>Las Reinas</v>
          </cell>
          <cell r="H2869" t="str">
            <v>salud_oral</v>
          </cell>
          <cell r="J2869" t="str">
            <v>bueno</v>
          </cell>
          <cell r="K2869" t="str">
            <v>probsi</v>
          </cell>
        </row>
        <row r="2870">
          <cell r="B2870" t="b">
            <v>1</v>
          </cell>
          <cell r="E2870" t="str">
            <v>Pontezuela</v>
          </cell>
          <cell r="H2870" t="str">
            <v>laboratorio</v>
          </cell>
          <cell r="J2870" t="str">
            <v>bueno</v>
          </cell>
          <cell r="K2870" t="str">
            <v>defsi</v>
          </cell>
        </row>
        <row r="2871">
          <cell r="B2871" t="b">
            <v>1</v>
          </cell>
          <cell r="E2871" t="str">
            <v>Las Reinas</v>
          </cell>
          <cell r="H2871" t="str">
            <v>consulta_externa</v>
          </cell>
          <cell r="J2871" t="str">
            <v>bueno</v>
          </cell>
          <cell r="K2871" t="str">
            <v>probsi</v>
          </cell>
        </row>
        <row r="2872">
          <cell r="B2872" t="b">
            <v>1</v>
          </cell>
          <cell r="E2872" t="str">
            <v>Pontezuela</v>
          </cell>
          <cell r="H2872" t="str">
            <v>consulta_externa</v>
          </cell>
          <cell r="J2872" t="str">
            <v>bueno</v>
          </cell>
          <cell r="K2872" t="str">
            <v>defsi</v>
          </cell>
        </row>
        <row r="2873">
          <cell r="B2873" t="b">
            <v>1</v>
          </cell>
          <cell r="E2873" t="str">
            <v>Las Reinas</v>
          </cell>
          <cell r="H2873" t="str">
            <v>salud_oral</v>
          </cell>
          <cell r="J2873" t="str">
            <v>bueno</v>
          </cell>
          <cell r="K2873" t="str">
            <v>probsi</v>
          </cell>
        </row>
        <row r="2874">
          <cell r="B2874" t="b">
            <v>1</v>
          </cell>
          <cell r="E2874" t="str">
            <v>Pontezuela</v>
          </cell>
          <cell r="H2874" t="str">
            <v>salud_oral</v>
          </cell>
          <cell r="J2874" t="str">
            <v>bueno</v>
          </cell>
          <cell r="K2874" t="str">
            <v>defsi</v>
          </cell>
        </row>
        <row r="2875">
          <cell r="B2875" t="b">
            <v>1</v>
          </cell>
          <cell r="E2875" t="str">
            <v>Las Reinas</v>
          </cell>
          <cell r="H2875" t="str">
            <v>consulta_externa</v>
          </cell>
          <cell r="J2875" t="str">
            <v>muybueno</v>
          </cell>
          <cell r="K2875" t="str">
            <v>probsi</v>
          </cell>
        </row>
        <row r="2876">
          <cell r="B2876" t="b">
            <v>1</v>
          </cell>
          <cell r="E2876" t="str">
            <v>Las Reinas</v>
          </cell>
          <cell r="H2876" t="str">
            <v>laboratorio</v>
          </cell>
          <cell r="J2876" t="str">
            <v>bueno</v>
          </cell>
          <cell r="K2876" t="str">
            <v>probsi</v>
          </cell>
        </row>
        <row r="2877">
          <cell r="B2877" t="b">
            <v>1</v>
          </cell>
          <cell r="E2877" t="str">
            <v>Pontezuela</v>
          </cell>
          <cell r="H2877" t="str">
            <v>laboratorio</v>
          </cell>
          <cell r="J2877" t="str">
            <v>bueno</v>
          </cell>
          <cell r="K2877" t="str">
            <v>defsi</v>
          </cell>
        </row>
        <row r="2878">
          <cell r="B2878" t="b">
            <v>1</v>
          </cell>
          <cell r="E2878" t="str">
            <v>Cano de Oro</v>
          </cell>
          <cell r="H2878" t="str">
            <v>consulta_externa</v>
          </cell>
          <cell r="J2878" t="str">
            <v>bueno</v>
          </cell>
          <cell r="K2878" t="str">
            <v>defsi</v>
          </cell>
        </row>
        <row r="2879">
          <cell r="B2879" t="b">
            <v>0</v>
          </cell>
          <cell r="E2879" t="str">
            <v>Las Reinas</v>
          </cell>
          <cell r="H2879" t="str">
            <v>consulta_externa</v>
          </cell>
          <cell r="J2879" t="str">
            <v>regular</v>
          </cell>
          <cell r="K2879" t="str">
            <v>probsi</v>
          </cell>
        </row>
        <row r="2880">
          <cell r="B2880" t="b">
            <v>1</v>
          </cell>
          <cell r="E2880" t="str">
            <v>Cano de Oro</v>
          </cell>
          <cell r="H2880" t="str">
            <v>salud_oral</v>
          </cell>
          <cell r="J2880" t="str">
            <v>bueno</v>
          </cell>
          <cell r="K2880" t="str">
            <v>defsi</v>
          </cell>
        </row>
        <row r="2881">
          <cell r="B2881" t="b">
            <v>1</v>
          </cell>
          <cell r="E2881" t="str">
            <v>Las Reinas</v>
          </cell>
          <cell r="H2881" t="str">
            <v>laboratorio</v>
          </cell>
          <cell r="J2881" t="str">
            <v>bueno</v>
          </cell>
          <cell r="K2881" t="str">
            <v>probsi</v>
          </cell>
        </row>
        <row r="2882">
          <cell r="B2882" t="b">
            <v>1</v>
          </cell>
          <cell r="E2882" t="str">
            <v>Isla del Rosario</v>
          </cell>
          <cell r="H2882" t="str">
            <v>consulta_externa</v>
          </cell>
          <cell r="J2882" t="str">
            <v>muybueno</v>
          </cell>
          <cell r="K2882" t="str">
            <v>defsi</v>
          </cell>
        </row>
        <row r="2883">
          <cell r="B2883" t="b">
            <v>1</v>
          </cell>
          <cell r="E2883" t="str">
            <v>Isla del Rosario</v>
          </cell>
          <cell r="H2883" t="str">
            <v>laboratorio</v>
          </cell>
          <cell r="J2883" t="str">
            <v>muybueno</v>
          </cell>
          <cell r="K2883" t="str">
            <v>defsi</v>
          </cell>
        </row>
        <row r="2884">
          <cell r="B2884" t="b">
            <v>1</v>
          </cell>
          <cell r="E2884" t="str">
            <v>Las Reinas</v>
          </cell>
          <cell r="H2884" t="str">
            <v>laboratorio</v>
          </cell>
          <cell r="J2884" t="str">
            <v>bueno</v>
          </cell>
          <cell r="K2884" t="str">
            <v>probsi</v>
          </cell>
        </row>
        <row r="2885">
          <cell r="B2885" t="b">
            <v>1</v>
          </cell>
          <cell r="E2885" t="str">
            <v>Las Reinas</v>
          </cell>
          <cell r="H2885" t="str">
            <v>consulta_externa</v>
          </cell>
          <cell r="J2885" t="str">
            <v>bueno</v>
          </cell>
          <cell r="K2885" t="str">
            <v>probsi</v>
          </cell>
        </row>
        <row r="2886">
          <cell r="B2886" t="b">
            <v>1</v>
          </cell>
          <cell r="E2886" t="str">
            <v>Las Reinas</v>
          </cell>
          <cell r="H2886" t="str">
            <v>consulta_externa</v>
          </cell>
          <cell r="J2886" t="str">
            <v>bueno</v>
          </cell>
          <cell r="K2886" t="str">
            <v>probsi</v>
          </cell>
        </row>
        <row r="2887">
          <cell r="B2887" t="b">
            <v>1</v>
          </cell>
          <cell r="E2887" t="str">
            <v>Cano de Oro</v>
          </cell>
          <cell r="H2887" t="str">
            <v>laboratorio</v>
          </cell>
          <cell r="J2887" t="str">
            <v>bueno</v>
          </cell>
          <cell r="K2887" t="str">
            <v>defsi</v>
          </cell>
        </row>
        <row r="2888">
          <cell r="B2888" t="b">
            <v>1</v>
          </cell>
          <cell r="E2888" t="str">
            <v>Cano de Oro</v>
          </cell>
          <cell r="H2888" t="str">
            <v>consulta_externa</v>
          </cell>
          <cell r="J2888" t="str">
            <v>bueno</v>
          </cell>
          <cell r="K2888" t="str">
            <v>defsi</v>
          </cell>
        </row>
        <row r="2889">
          <cell r="B2889" t="b">
            <v>1</v>
          </cell>
          <cell r="E2889" t="str">
            <v>Las Reinas</v>
          </cell>
          <cell r="H2889" t="str">
            <v>consulta_externa</v>
          </cell>
          <cell r="J2889" t="str">
            <v>bueno</v>
          </cell>
          <cell r="K2889" t="str">
            <v>probsi</v>
          </cell>
        </row>
        <row r="2890">
          <cell r="B2890" t="b">
            <v>1</v>
          </cell>
          <cell r="E2890" t="str">
            <v>Las Reinas</v>
          </cell>
          <cell r="H2890" t="str">
            <v>consulta_externa</v>
          </cell>
          <cell r="J2890" t="str">
            <v>bueno</v>
          </cell>
          <cell r="K2890" t="str">
            <v>probsi</v>
          </cell>
        </row>
        <row r="2891">
          <cell r="B2891" t="b">
            <v>1</v>
          </cell>
          <cell r="E2891" t="str">
            <v>Las Reinas</v>
          </cell>
          <cell r="H2891" t="str">
            <v>consulta_externa</v>
          </cell>
          <cell r="J2891" t="str">
            <v>bueno</v>
          </cell>
          <cell r="K2891" t="str">
            <v>probsi</v>
          </cell>
        </row>
        <row r="2892">
          <cell r="B2892" t="b">
            <v>1</v>
          </cell>
          <cell r="E2892" t="str">
            <v>Las Reinas</v>
          </cell>
          <cell r="H2892" t="str">
            <v>salud_oral</v>
          </cell>
          <cell r="J2892" t="str">
            <v>bueno</v>
          </cell>
          <cell r="K2892" t="str">
            <v>probsi</v>
          </cell>
        </row>
        <row r="2893">
          <cell r="B2893" t="b">
            <v>1</v>
          </cell>
          <cell r="E2893" t="str">
            <v>Cano de Oro</v>
          </cell>
          <cell r="H2893" t="str">
            <v>consulta_externa</v>
          </cell>
          <cell r="J2893" t="str">
            <v>bueno</v>
          </cell>
          <cell r="K2893" t="str">
            <v>defsi</v>
          </cell>
        </row>
        <row r="2894">
          <cell r="B2894" t="b">
            <v>1</v>
          </cell>
          <cell r="E2894" t="str">
            <v>Isla del Rosario</v>
          </cell>
          <cell r="H2894" t="str">
            <v>salud_oral</v>
          </cell>
          <cell r="J2894" t="str">
            <v>muybueno</v>
          </cell>
          <cell r="K2894" t="str">
            <v>defsi</v>
          </cell>
        </row>
        <row r="2895">
          <cell r="B2895" t="b">
            <v>1</v>
          </cell>
          <cell r="E2895" t="str">
            <v>Isla del Rosario</v>
          </cell>
          <cell r="H2895" t="str">
            <v>consulta_externa</v>
          </cell>
          <cell r="J2895" t="str">
            <v>muybueno</v>
          </cell>
          <cell r="K2895" t="str">
            <v>defsi</v>
          </cell>
        </row>
        <row r="2896">
          <cell r="B2896" t="b">
            <v>1</v>
          </cell>
          <cell r="E2896" t="str">
            <v>Isla del Rosario</v>
          </cell>
          <cell r="H2896" t="str">
            <v>laboratorio</v>
          </cell>
          <cell r="J2896" t="str">
            <v>muybueno</v>
          </cell>
          <cell r="K2896" t="str">
            <v>defsi</v>
          </cell>
        </row>
        <row r="2897">
          <cell r="B2897" t="b">
            <v>1</v>
          </cell>
          <cell r="E2897" t="str">
            <v>Las Reinas</v>
          </cell>
          <cell r="H2897" t="str">
            <v>consulta_externa</v>
          </cell>
          <cell r="J2897" t="str">
            <v>bueno</v>
          </cell>
          <cell r="K2897" t="str">
            <v>probsi</v>
          </cell>
        </row>
        <row r="2898">
          <cell r="B2898" t="b">
            <v>1</v>
          </cell>
          <cell r="E2898" t="str">
            <v>Cano de Oro</v>
          </cell>
          <cell r="H2898" t="str">
            <v>laboratorio</v>
          </cell>
          <cell r="J2898" t="str">
            <v>bueno</v>
          </cell>
          <cell r="K2898" t="str">
            <v>defsi</v>
          </cell>
        </row>
        <row r="2899">
          <cell r="B2899" t="b">
            <v>1</v>
          </cell>
          <cell r="E2899" t="str">
            <v>Cano de Oro</v>
          </cell>
          <cell r="H2899" t="str">
            <v>salud_oral</v>
          </cell>
          <cell r="J2899" t="str">
            <v>bueno</v>
          </cell>
          <cell r="K2899" t="str">
            <v>defsi</v>
          </cell>
        </row>
        <row r="2900">
          <cell r="B2900" t="b">
            <v>1</v>
          </cell>
          <cell r="E2900" t="str">
            <v>Pontezuela</v>
          </cell>
          <cell r="H2900" t="str">
            <v>consulta_externa</v>
          </cell>
          <cell r="J2900" t="str">
            <v>bueno</v>
          </cell>
          <cell r="K2900" t="str">
            <v>defsi</v>
          </cell>
        </row>
        <row r="2901">
          <cell r="B2901" t="b">
            <v>1</v>
          </cell>
          <cell r="E2901" t="str">
            <v>Pontezuela</v>
          </cell>
          <cell r="H2901" t="str">
            <v>salud_oral</v>
          </cell>
          <cell r="J2901" t="str">
            <v>bueno</v>
          </cell>
          <cell r="K2901" t="str">
            <v>defsi</v>
          </cell>
        </row>
        <row r="2902">
          <cell r="B2902" t="b">
            <v>1</v>
          </cell>
          <cell r="E2902" t="str">
            <v>Cano de Oro</v>
          </cell>
          <cell r="H2902" t="str">
            <v>laboratorio</v>
          </cell>
          <cell r="J2902" t="str">
            <v>bueno</v>
          </cell>
          <cell r="K2902" t="str">
            <v>defsi</v>
          </cell>
        </row>
        <row r="2903">
          <cell r="B2903" t="b">
            <v>1</v>
          </cell>
          <cell r="E2903" t="str">
            <v>Pontezuela</v>
          </cell>
          <cell r="H2903" t="str">
            <v>laboratorio</v>
          </cell>
          <cell r="J2903" t="str">
            <v>bueno</v>
          </cell>
          <cell r="K2903" t="str">
            <v>defsi</v>
          </cell>
        </row>
        <row r="2904">
          <cell r="B2904" t="b">
            <v>1</v>
          </cell>
          <cell r="E2904" t="str">
            <v>Isla del Rosario</v>
          </cell>
          <cell r="H2904" t="str">
            <v>salud_oral</v>
          </cell>
          <cell r="J2904" t="str">
            <v>muybueno</v>
          </cell>
          <cell r="K2904" t="str">
            <v>defsi</v>
          </cell>
        </row>
        <row r="2905">
          <cell r="B2905" t="b">
            <v>1</v>
          </cell>
          <cell r="E2905" t="str">
            <v>Pontezuela</v>
          </cell>
          <cell r="H2905" t="str">
            <v>consulta_externa</v>
          </cell>
          <cell r="J2905" t="str">
            <v>bueno</v>
          </cell>
          <cell r="K2905" t="str">
            <v>defsi</v>
          </cell>
        </row>
        <row r="2906">
          <cell r="B2906" t="b">
            <v>1</v>
          </cell>
          <cell r="E2906" t="str">
            <v>Pontezuela</v>
          </cell>
          <cell r="H2906" t="str">
            <v>salud_oral</v>
          </cell>
          <cell r="J2906" t="str">
            <v>bueno</v>
          </cell>
          <cell r="K2906" t="str">
            <v>defsi</v>
          </cell>
        </row>
        <row r="2907">
          <cell r="B2907" t="b">
            <v>1</v>
          </cell>
          <cell r="E2907" t="str">
            <v>Pontezuela</v>
          </cell>
          <cell r="H2907" t="str">
            <v>laboratorio</v>
          </cell>
          <cell r="J2907" t="str">
            <v>bueno</v>
          </cell>
          <cell r="K2907" t="str">
            <v>defsi</v>
          </cell>
        </row>
        <row r="2908">
          <cell r="B2908" t="b">
            <v>1</v>
          </cell>
          <cell r="E2908" t="str">
            <v>Pontezuela</v>
          </cell>
          <cell r="H2908" t="str">
            <v>consulta_externa</v>
          </cell>
          <cell r="J2908" t="str">
            <v>bueno</v>
          </cell>
          <cell r="K2908" t="str">
            <v>defsi</v>
          </cell>
        </row>
        <row r="2909">
          <cell r="B2909" t="b">
            <v>1</v>
          </cell>
          <cell r="E2909" t="str">
            <v>Cano de Oro</v>
          </cell>
          <cell r="H2909" t="str">
            <v>consulta_externa</v>
          </cell>
          <cell r="J2909" t="str">
            <v>bueno</v>
          </cell>
          <cell r="K2909" t="str">
            <v>defsi</v>
          </cell>
        </row>
        <row r="2910">
          <cell r="B2910" t="b">
            <v>1</v>
          </cell>
          <cell r="E2910" t="str">
            <v>Pontezuela</v>
          </cell>
          <cell r="H2910" t="str">
            <v>salud_oral</v>
          </cell>
          <cell r="J2910" t="str">
            <v>bueno</v>
          </cell>
          <cell r="K2910" t="str">
            <v>defsi</v>
          </cell>
        </row>
        <row r="2911">
          <cell r="B2911" t="b">
            <v>1</v>
          </cell>
          <cell r="E2911" t="str">
            <v>Pontezuela</v>
          </cell>
          <cell r="H2911" t="str">
            <v>laboratorio</v>
          </cell>
          <cell r="J2911" t="str">
            <v>bueno</v>
          </cell>
          <cell r="K2911" t="str">
            <v>defsi</v>
          </cell>
        </row>
        <row r="2912">
          <cell r="B2912" t="b">
            <v>1</v>
          </cell>
          <cell r="E2912" t="str">
            <v>Gaviotas</v>
          </cell>
          <cell r="H2912" t="str">
            <v>consulta_externa</v>
          </cell>
          <cell r="J2912" t="str">
            <v>bueno</v>
          </cell>
          <cell r="K2912" t="str">
            <v>defsi</v>
          </cell>
        </row>
        <row r="2913">
          <cell r="B2913" t="b">
            <v>1</v>
          </cell>
          <cell r="E2913" t="str">
            <v>Gaviotas</v>
          </cell>
          <cell r="H2913" t="str">
            <v>salud_oral</v>
          </cell>
          <cell r="J2913" t="str">
            <v>bueno</v>
          </cell>
          <cell r="K2913" t="str">
            <v>defsi</v>
          </cell>
        </row>
        <row r="2914">
          <cell r="B2914" t="b">
            <v>1</v>
          </cell>
          <cell r="E2914" t="str">
            <v>Gaviotas</v>
          </cell>
          <cell r="H2914" t="str">
            <v>consulta_externa</v>
          </cell>
          <cell r="J2914" t="str">
            <v>bueno</v>
          </cell>
          <cell r="K2914" t="str">
            <v>defsi</v>
          </cell>
        </row>
        <row r="2915">
          <cell r="B2915" t="b">
            <v>1</v>
          </cell>
          <cell r="E2915" t="str">
            <v>Gaviotas</v>
          </cell>
          <cell r="H2915" t="str">
            <v>salud_oral</v>
          </cell>
          <cell r="J2915" t="str">
            <v>bueno</v>
          </cell>
          <cell r="K2915" t="str">
            <v>defsi</v>
          </cell>
        </row>
        <row r="2916">
          <cell r="B2916" t="b">
            <v>1</v>
          </cell>
          <cell r="E2916" t="str">
            <v>Isla del Rosario</v>
          </cell>
          <cell r="H2916" t="str">
            <v>consulta_externa</v>
          </cell>
          <cell r="J2916" t="str">
            <v>muybueno</v>
          </cell>
          <cell r="K2916" t="str">
            <v>defsi</v>
          </cell>
        </row>
        <row r="2917">
          <cell r="B2917" t="b">
            <v>1</v>
          </cell>
          <cell r="E2917" t="str">
            <v>Isla del Rosario</v>
          </cell>
          <cell r="H2917" t="str">
            <v>laboratorio</v>
          </cell>
          <cell r="J2917" t="str">
            <v>muybueno</v>
          </cell>
          <cell r="K2917" t="str">
            <v>defsi</v>
          </cell>
        </row>
        <row r="2918">
          <cell r="B2918" t="b">
            <v>1</v>
          </cell>
          <cell r="E2918" t="str">
            <v>Isla del Rosario</v>
          </cell>
          <cell r="H2918" t="str">
            <v>consulta_externa</v>
          </cell>
          <cell r="J2918" t="str">
            <v>muybueno</v>
          </cell>
          <cell r="K2918" t="str">
            <v>defsi</v>
          </cell>
        </row>
        <row r="2919">
          <cell r="B2919" t="b">
            <v>1</v>
          </cell>
          <cell r="E2919" t="str">
            <v>Isla del Rosario</v>
          </cell>
          <cell r="H2919" t="str">
            <v>salud_oral</v>
          </cell>
          <cell r="J2919" t="str">
            <v>muybueno</v>
          </cell>
          <cell r="K2919" t="str">
            <v>defsi</v>
          </cell>
        </row>
        <row r="2920">
          <cell r="B2920" t="b">
            <v>1</v>
          </cell>
          <cell r="E2920" t="str">
            <v>Pontezuela</v>
          </cell>
          <cell r="H2920" t="str">
            <v>consulta_externa</v>
          </cell>
          <cell r="J2920" t="str">
            <v>bueno</v>
          </cell>
          <cell r="K2920" t="str">
            <v>defsi</v>
          </cell>
        </row>
        <row r="2921">
          <cell r="B2921" t="b">
            <v>1</v>
          </cell>
          <cell r="E2921" t="str">
            <v>Gaviotas</v>
          </cell>
          <cell r="H2921" t="str">
            <v>consulta_externa</v>
          </cell>
          <cell r="J2921" t="str">
            <v>bueno</v>
          </cell>
          <cell r="K2921" t="str">
            <v>defsi</v>
          </cell>
        </row>
        <row r="2922">
          <cell r="B2922" t="b">
            <v>1</v>
          </cell>
          <cell r="E2922" t="str">
            <v>Gaviotas</v>
          </cell>
          <cell r="H2922" t="str">
            <v>salud_oral</v>
          </cell>
          <cell r="J2922" t="str">
            <v>bueno</v>
          </cell>
          <cell r="K2922" t="str">
            <v>defsi</v>
          </cell>
        </row>
        <row r="2923">
          <cell r="B2923" t="b">
            <v>1</v>
          </cell>
          <cell r="E2923" t="str">
            <v>Las Reinas</v>
          </cell>
          <cell r="H2923" t="str">
            <v>consulta_externa</v>
          </cell>
          <cell r="J2923" t="str">
            <v>bueno</v>
          </cell>
          <cell r="K2923" t="str">
            <v>probsi</v>
          </cell>
        </row>
        <row r="2924">
          <cell r="B2924" t="b">
            <v>1</v>
          </cell>
          <cell r="E2924" t="str">
            <v>Las Reinas</v>
          </cell>
          <cell r="H2924" t="str">
            <v>salud_oral</v>
          </cell>
          <cell r="J2924" t="str">
            <v>bueno</v>
          </cell>
          <cell r="K2924" t="str">
            <v>probsi</v>
          </cell>
        </row>
        <row r="2925">
          <cell r="B2925" t="b">
            <v>1</v>
          </cell>
          <cell r="E2925" t="str">
            <v>Pontezuela</v>
          </cell>
          <cell r="H2925" t="str">
            <v>salud_oral</v>
          </cell>
          <cell r="J2925" t="str">
            <v>bueno</v>
          </cell>
          <cell r="K2925" t="str">
            <v>defsi</v>
          </cell>
        </row>
        <row r="2926">
          <cell r="B2926" t="b">
            <v>1</v>
          </cell>
          <cell r="E2926" t="str">
            <v>Las Reinas</v>
          </cell>
          <cell r="H2926" t="str">
            <v>salud_oral</v>
          </cell>
          <cell r="J2926" t="str">
            <v>bueno</v>
          </cell>
          <cell r="K2926" t="str">
            <v>probsi</v>
          </cell>
        </row>
        <row r="2927">
          <cell r="B2927" t="b">
            <v>1</v>
          </cell>
          <cell r="E2927" t="str">
            <v>Las Reinas</v>
          </cell>
          <cell r="H2927" t="str">
            <v>salud_oral</v>
          </cell>
          <cell r="J2927" t="str">
            <v>bueno</v>
          </cell>
          <cell r="K2927" t="str">
            <v>probsi</v>
          </cell>
        </row>
        <row r="2928">
          <cell r="B2928" t="b">
            <v>1</v>
          </cell>
          <cell r="E2928" t="str">
            <v>Pontezuela</v>
          </cell>
          <cell r="H2928" t="str">
            <v>laboratorio</v>
          </cell>
          <cell r="J2928" t="str">
            <v>bueno</v>
          </cell>
          <cell r="K2928" t="str">
            <v>defsi</v>
          </cell>
        </row>
        <row r="2929">
          <cell r="B2929" t="b">
            <v>1</v>
          </cell>
          <cell r="E2929" t="str">
            <v>Gaviotas</v>
          </cell>
          <cell r="H2929" t="str">
            <v>consulta_externa</v>
          </cell>
          <cell r="J2929" t="str">
            <v>bueno</v>
          </cell>
          <cell r="K2929" t="str">
            <v>defsi</v>
          </cell>
        </row>
        <row r="2930">
          <cell r="B2930" t="b">
            <v>1</v>
          </cell>
          <cell r="E2930" t="str">
            <v>Gaviotas</v>
          </cell>
          <cell r="H2930" t="str">
            <v>laboratorio</v>
          </cell>
          <cell r="J2930" t="str">
            <v>bueno</v>
          </cell>
          <cell r="K2930" t="str">
            <v>defsi</v>
          </cell>
        </row>
        <row r="2931">
          <cell r="B2931" t="b">
            <v>1</v>
          </cell>
          <cell r="E2931" t="str">
            <v>Cano de Oro</v>
          </cell>
          <cell r="H2931" t="str">
            <v>laboratorio</v>
          </cell>
          <cell r="J2931" t="str">
            <v>muybueno</v>
          </cell>
          <cell r="K2931" t="str">
            <v>defsi</v>
          </cell>
        </row>
        <row r="2932">
          <cell r="B2932" t="b">
            <v>1</v>
          </cell>
          <cell r="E2932" t="str">
            <v>Gaviotas</v>
          </cell>
          <cell r="H2932" t="str">
            <v>consulta_externa</v>
          </cell>
          <cell r="J2932" t="str">
            <v>bueno</v>
          </cell>
          <cell r="K2932" t="str">
            <v>defsi</v>
          </cell>
        </row>
        <row r="2933">
          <cell r="B2933" t="b">
            <v>1</v>
          </cell>
          <cell r="E2933" t="str">
            <v>Gaviotas</v>
          </cell>
          <cell r="H2933" t="str">
            <v>consulta_externa</v>
          </cell>
          <cell r="J2933" t="str">
            <v>bueno</v>
          </cell>
          <cell r="K2933" t="str">
            <v>defsi</v>
          </cell>
        </row>
        <row r="2934">
          <cell r="B2934" t="b">
            <v>1</v>
          </cell>
          <cell r="E2934" t="str">
            <v>Cano de Oro</v>
          </cell>
          <cell r="H2934" t="str">
            <v>salud_oral</v>
          </cell>
          <cell r="J2934" t="str">
            <v>muybueno</v>
          </cell>
          <cell r="K2934" t="str">
            <v>defsi</v>
          </cell>
        </row>
        <row r="2935">
          <cell r="B2935" t="b">
            <v>1</v>
          </cell>
          <cell r="E2935" t="str">
            <v>Cano de Oro</v>
          </cell>
          <cell r="H2935" t="str">
            <v>salud_oral</v>
          </cell>
          <cell r="J2935" t="str">
            <v>muybueno</v>
          </cell>
          <cell r="K2935" t="str">
            <v>defsi</v>
          </cell>
        </row>
        <row r="2936">
          <cell r="B2936" t="b">
            <v>1</v>
          </cell>
          <cell r="E2936" t="str">
            <v>Gaviotas</v>
          </cell>
          <cell r="H2936" t="str">
            <v>laboratorio</v>
          </cell>
          <cell r="J2936" t="str">
            <v>bueno</v>
          </cell>
          <cell r="K2936" t="str">
            <v>defsi</v>
          </cell>
        </row>
        <row r="2937">
          <cell r="B2937" t="b">
            <v>1</v>
          </cell>
          <cell r="E2937" t="str">
            <v>Isla del Rosario</v>
          </cell>
          <cell r="H2937" t="str">
            <v>consulta_externa</v>
          </cell>
          <cell r="J2937" t="str">
            <v>muybueno</v>
          </cell>
          <cell r="K2937" t="str">
            <v>defsi</v>
          </cell>
        </row>
        <row r="2938">
          <cell r="B2938" t="b">
            <v>1</v>
          </cell>
          <cell r="E2938" t="str">
            <v>Isla del Rosario</v>
          </cell>
          <cell r="H2938" t="str">
            <v>laboratorio</v>
          </cell>
          <cell r="J2938" t="str">
            <v>muybueno</v>
          </cell>
          <cell r="K2938" t="str">
            <v>defsi</v>
          </cell>
        </row>
        <row r="2939">
          <cell r="B2939" t="b">
            <v>1</v>
          </cell>
          <cell r="E2939" t="str">
            <v>Gaviotas</v>
          </cell>
          <cell r="H2939" t="str">
            <v>salud_oral</v>
          </cell>
          <cell r="J2939" t="str">
            <v>bueno</v>
          </cell>
          <cell r="K2939" t="str">
            <v>defsi</v>
          </cell>
        </row>
        <row r="2940">
          <cell r="B2940" t="b">
            <v>1</v>
          </cell>
          <cell r="E2940" t="str">
            <v>Pontezuela</v>
          </cell>
          <cell r="H2940" t="str">
            <v>consulta_externa</v>
          </cell>
          <cell r="J2940" t="str">
            <v>bueno</v>
          </cell>
          <cell r="K2940" t="str">
            <v>defsi</v>
          </cell>
        </row>
        <row r="2941">
          <cell r="B2941" t="b">
            <v>1</v>
          </cell>
          <cell r="E2941" t="str">
            <v>Gaviotas</v>
          </cell>
          <cell r="H2941" t="str">
            <v>laboratorio</v>
          </cell>
          <cell r="J2941" t="str">
            <v>muybueno</v>
          </cell>
          <cell r="K2941" t="str">
            <v>defsi</v>
          </cell>
        </row>
        <row r="2942">
          <cell r="B2942" t="b">
            <v>1</v>
          </cell>
          <cell r="E2942" t="str">
            <v>Gaviotas</v>
          </cell>
          <cell r="H2942" t="str">
            <v>consulta_externa</v>
          </cell>
          <cell r="J2942" t="str">
            <v>bueno</v>
          </cell>
          <cell r="K2942" t="str">
            <v>defsi</v>
          </cell>
        </row>
        <row r="2943">
          <cell r="B2943" t="b">
            <v>1</v>
          </cell>
          <cell r="E2943" t="str">
            <v>Gaviotas</v>
          </cell>
          <cell r="H2943" t="str">
            <v>laboratorio</v>
          </cell>
          <cell r="J2943" t="str">
            <v>bueno</v>
          </cell>
          <cell r="K2943" t="str">
            <v>defsi</v>
          </cell>
        </row>
        <row r="2944">
          <cell r="B2944" t="b">
            <v>1</v>
          </cell>
          <cell r="E2944" t="str">
            <v>Gaviotas</v>
          </cell>
          <cell r="H2944" t="str">
            <v>laboratorio</v>
          </cell>
          <cell r="J2944" t="str">
            <v>muybueno</v>
          </cell>
          <cell r="K2944" t="str">
            <v>defsi</v>
          </cell>
        </row>
        <row r="2945">
          <cell r="B2945" t="b">
            <v>1</v>
          </cell>
          <cell r="E2945" t="str">
            <v>Pontezuela</v>
          </cell>
          <cell r="H2945" t="str">
            <v>salud_oral</v>
          </cell>
          <cell r="J2945" t="str">
            <v>bueno</v>
          </cell>
          <cell r="K2945" t="str">
            <v>defsi</v>
          </cell>
        </row>
        <row r="2946">
          <cell r="B2946" t="b">
            <v>1</v>
          </cell>
          <cell r="E2946" t="str">
            <v>Pontezuela</v>
          </cell>
          <cell r="H2946" t="str">
            <v>laboratorio</v>
          </cell>
          <cell r="J2946" t="str">
            <v>bueno</v>
          </cell>
          <cell r="K2946" t="str">
            <v>defsi</v>
          </cell>
        </row>
        <row r="2947">
          <cell r="B2947" t="b">
            <v>0</v>
          </cell>
          <cell r="E2947" t="str">
            <v>Gaviotas</v>
          </cell>
          <cell r="H2947" t="str">
            <v>salud_oral</v>
          </cell>
          <cell r="J2947" t="str">
            <v>regular</v>
          </cell>
          <cell r="K2947" t="str">
            <v>defsi</v>
          </cell>
        </row>
        <row r="2948">
          <cell r="B2948" t="b">
            <v>0</v>
          </cell>
          <cell r="E2948" t="str">
            <v>Gaviotas</v>
          </cell>
          <cell r="H2948" t="str">
            <v>consulta_externa</v>
          </cell>
          <cell r="J2948" t="str">
            <v>regular</v>
          </cell>
          <cell r="K2948" t="str">
            <v>defsi</v>
          </cell>
        </row>
        <row r="2949">
          <cell r="B2949" t="b">
            <v>1</v>
          </cell>
          <cell r="E2949" t="str">
            <v>Gaviotas</v>
          </cell>
          <cell r="H2949" t="str">
            <v>consulta_externa</v>
          </cell>
          <cell r="J2949" t="str">
            <v>bueno</v>
          </cell>
          <cell r="K2949" t="str">
            <v>defsi</v>
          </cell>
        </row>
        <row r="2950">
          <cell r="B2950" t="b">
            <v>1</v>
          </cell>
          <cell r="E2950" t="str">
            <v>Pontezuela</v>
          </cell>
          <cell r="H2950" t="str">
            <v>consulta_externa</v>
          </cell>
          <cell r="J2950" t="str">
            <v>bueno</v>
          </cell>
          <cell r="K2950" t="str">
            <v>defsi</v>
          </cell>
        </row>
        <row r="2951">
          <cell r="B2951" t="b">
            <v>1</v>
          </cell>
          <cell r="E2951" t="str">
            <v>Pontezuela</v>
          </cell>
          <cell r="H2951" t="str">
            <v>salud_oral</v>
          </cell>
          <cell r="J2951" t="str">
            <v>bueno</v>
          </cell>
          <cell r="K2951" t="str">
            <v>defsi</v>
          </cell>
        </row>
        <row r="2952">
          <cell r="B2952" t="b">
            <v>1</v>
          </cell>
          <cell r="E2952" t="str">
            <v>Cano de Oro</v>
          </cell>
          <cell r="H2952" t="str">
            <v>salud_oral</v>
          </cell>
          <cell r="J2952" t="str">
            <v>bueno</v>
          </cell>
          <cell r="K2952" t="str">
            <v>defsi</v>
          </cell>
        </row>
        <row r="2953">
          <cell r="B2953" t="b">
            <v>1</v>
          </cell>
          <cell r="E2953" t="str">
            <v>Gaviotas</v>
          </cell>
          <cell r="H2953" t="str">
            <v>consulta_externa</v>
          </cell>
          <cell r="J2953" t="str">
            <v>bueno</v>
          </cell>
          <cell r="K2953" t="str">
            <v>defsi</v>
          </cell>
        </row>
        <row r="2954">
          <cell r="B2954" t="b">
            <v>1</v>
          </cell>
          <cell r="E2954" t="str">
            <v>Gaviotas</v>
          </cell>
          <cell r="H2954" t="str">
            <v>salud_oral</v>
          </cell>
          <cell r="J2954" t="str">
            <v>bueno</v>
          </cell>
          <cell r="K2954" t="str">
            <v>defsi</v>
          </cell>
        </row>
        <row r="2955">
          <cell r="B2955" t="b">
            <v>1</v>
          </cell>
          <cell r="E2955" t="str">
            <v>Gaviotas</v>
          </cell>
          <cell r="H2955" t="str">
            <v>salud_oral</v>
          </cell>
          <cell r="J2955" t="str">
            <v>bueno</v>
          </cell>
          <cell r="K2955" t="str">
            <v>defsi</v>
          </cell>
        </row>
        <row r="2956">
          <cell r="B2956" t="b">
            <v>1</v>
          </cell>
          <cell r="E2956" t="str">
            <v>Gaviotas</v>
          </cell>
          <cell r="H2956" t="str">
            <v>consulta_externa</v>
          </cell>
          <cell r="J2956" t="str">
            <v>bueno</v>
          </cell>
          <cell r="K2956" t="str">
            <v>defsi</v>
          </cell>
        </row>
        <row r="2957">
          <cell r="B2957" t="b">
            <v>0</v>
          </cell>
          <cell r="E2957" t="str">
            <v>Gaviotas</v>
          </cell>
          <cell r="H2957" t="str">
            <v>salud_oral</v>
          </cell>
          <cell r="J2957" t="str">
            <v>regular</v>
          </cell>
          <cell r="K2957" t="str">
            <v>defsi</v>
          </cell>
        </row>
        <row r="2958">
          <cell r="B2958" t="b">
            <v>1</v>
          </cell>
          <cell r="E2958" t="str">
            <v>Pontezuela</v>
          </cell>
          <cell r="H2958" t="str">
            <v>consulta_externa</v>
          </cell>
          <cell r="J2958" t="str">
            <v>bueno</v>
          </cell>
          <cell r="K2958" t="str">
            <v>defsi</v>
          </cell>
        </row>
        <row r="2959">
          <cell r="B2959" t="b">
            <v>1</v>
          </cell>
          <cell r="E2959" t="str">
            <v>Gaviotas</v>
          </cell>
          <cell r="H2959" t="str">
            <v>salud_oral</v>
          </cell>
          <cell r="J2959" t="str">
            <v>bueno</v>
          </cell>
          <cell r="K2959" t="str">
            <v>defsi</v>
          </cell>
        </row>
        <row r="2960">
          <cell r="B2960" t="b">
            <v>1</v>
          </cell>
          <cell r="E2960" t="str">
            <v>Gaviotas</v>
          </cell>
          <cell r="H2960" t="str">
            <v>salud_oral</v>
          </cell>
          <cell r="J2960" t="str">
            <v>bueno</v>
          </cell>
          <cell r="K2960" t="str">
            <v>defsi</v>
          </cell>
        </row>
        <row r="2961">
          <cell r="B2961" t="b">
            <v>1</v>
          </cell>
          <cell r="E2961" t="str">
            <v>Gaviotas</v>
          </cell>
          <cell r="H2961" t="str">
            <v>laboratorio</v>
          </cell>
          <cell r="J2961" t="str">
            <v>bueno</v>
          </cell>
          <cell r="K2961" t="str">
            <v>defsi</v>
          </cell>
        </row>
        <row r="2962">
          <cell r="B2962" t="b">
            <v>0</v>
          </cell>
          <cell r="E2962" t="str">
            <v>Gaviotas</v>
          </cell>
          <cell r="H2962" t="str">
            <v>laboratorio</v>
          </cell>
          <cell r="J2962" t="str">
            <v>regular</v>
          </cell>
          <cell r="K2962" t="str">
            <v>defsi</v>
          </cell>
        </row>
        <row r="2963">
          <cell r="B2963" t="b">
            <v>1</v>
          </cell>
          <cell r="E2963" t="str">
            <v>Gaviotas</v>
          </cell>
          <cell r="H2963" t="str">
            <v>laboratorio</v>
          </cell>
          <cell r="J2963" t="str">
            <v>bueno</v>
          </cell>
          <cell r="K2963" t="str">
            <v>defsi</v>
          </cell>
        </row>
        <row r="2964">
          <cell r="B2964" t="b">
            <v>1</v>
          </cell>
          <cell r="E2964" t="str">
            <v>Las Reinas</v>
          </cell>
          <cell r="H2964" t="str">
            <v>salud_oral</v>
          </cell>
          <cell r="J2964" t="str">
            <v>bueno</v>
          </cell>
          <cell r="K2964" t="str">
            <v>probsi</v>
          </cell>
        </row>
        <row r="2965">
          <cell r="B2965" t="b">
            <v>1</v>
          </cell>
          <cell r="E2965" t="str">
            <v>Las Reinas</v>
          </cell>
          <cell r="H2965" t="str">
            <v>laboratorio</v>
          </cell>
          <cell r="J2965" t="str">
            <v>bueno</v>
          </cell>
          <cell r="K2965" t="str">
            <v>probsi</v>
          </cell>
        </row>
        <row r="2966">
          <cell r="B2966" t="b">
            <v>1</v>
          </cell>
          <cell r="E2966" t="str">
            <v>Las Reinas</v>
          </cell>
          <cell r="H2966" t="str">
            <v>salud_oral</v>
          </cell>
          <cell r="J2966" t="str">
            <v>bueno</v>
          </cell>
          <cell r="K2966" t="str">
            <v>probsi</v>
          </cell>
        </row>
        <row r="2967">
          <cell r="B2967" t="b">
            <v>1</v>
          </cell>
          <cell r="E2967" t="str">
            <v>Las Reinas</v>
          </cell>
          <cell r="H2967" t="str">
            <v>laboratorio</v>
          </cell>
          <cell r="J2967" t="str">
            <v>bueno</v>
          </cell>
          <cell r="K2967" t="str">
            <v>probsi</v>
          </cell>
        </row>
        <row r="2968">
          <cell r="B2968" t="b">
            <v>1</v>
          </cell>
          <cell r="E2968" t="str">
            <v>Las Reinas</v>
          </cell>
          <cell r="H2968" t="str">
            <v>salud_oral</v>
          </cell>
          <cell r="J2968" t="str">
            <v>bueno</v>
          </cell>
          <cell r="K2968" t="str">
            <v>probsi</v>
          </cell>
        </row>
        <row r="2969">
          <cell r="B2969" t="b">
            <v>1</v>
          </cell>
          <cell r="E2969" t="str">
            <v>Las Reinas</v>
          </cell>
          <cell r="H2969" t="str">
            <v>salud_oral</v>
          </cell>
          <cell r="J2969" t="str">
            <v>bueno</v>
          </cell>
          <cell r="K2969" t="str">
            <v>probsi</v>
          </cell>
        </row>
        <row r="2970">
          <cell r="B2970" t="b">
            <v>1</v>
          </cell>
          <cell r="E2970" t="str">
            <v>Gaviotas</v>
          </cell>
          <cell r="H2970" t="str">
            <v>consulta_externa</v>
          </cell>
          <cell r="J2970" t="str">
            <v>bueno</v>
          </cell>
          <cell r="K2970" t="str">
            <v>defsi</v>
          </cell>
        </row>
        <row r="2971">
          <cell r="B2971" t="b">
            <v>1</v>
          </cell>
          <cell r="E2971" t="str">
            <v>Las Reinas</v>
          </cell>
          <cell r="H2971" t="str">
            <v>salud_oral</v>
          </cell>
          <cell r="J2971" t="str">
            <v>bueno</v>
          </cell>
          <cell r="K2971" t="str">
            <v>probsi</v>
          </cell>
        </row>
        <row r="2972">
          <cell r="B2972" t="b">
            <v>1</v>
          </cell>
          <cell r="E2972" t="str">
            <v>Las Reinas</v>
          </cell>
          <cell r="H2972" t="str">
            <v>salud_oral</v>
          </cell>
          <cell r="J2972" t="str">
            <v>bueno</v>
          </cell>
          <cell r="K2972" t="str">
            <v>probsi</v>
          </cell>
        </row>
        <row r="2973">
          <cell r="B2973" t="b">
            <v>1</v>
          </cell>
          <cell r="E2973" t="str">
            <v>Gaviotas</v>
          </cell>
          <cell r="H2973" t="str">
            <v>salud_oral</v>
          </cell>
          <cell r="J2973" t="str">
            <v>bueno</v>
          </cell>
          <cell r="K2973" t="str">
            <v>defsi</v>
          </cell>
        </row>
        <row r="2974">
          <cell r="B2974" t="b">
            <v>1</v>
          </cell>
          <cell r="E2974" t="str">
            <v>Las Reinas</v>
          </cell>
          <cell r="H2974" t="str">
            <v>laboratorio</v>
          </cell>
          <cell r="J2974" t="str">
            <v>bueno</v>
          </cell>
          <cell r="K2974" t="str">
            <v>probsi</v>
          </cell>
        </row>
        <row r="2975">
          <cell r="B2975" t="b">
            <v>0</v>
          </cell>
          <cell r="E2975" t="str">
            <v>Las Reinas</v>
          </cell>
          <cell r="H2975" t="str">
            <v>laboratorio</v>
          </cell>
          <cell r="J2975" t="str">
            <v>regular</v>
          </cell>
          <cell r="K2975" t="str">
            <v>probsi</v>
          </cell>
        </row>
        <row r="2976">
          <cell r="B2976" t="b">
            <v>1</v>
          </cell>
          <cell r="E2976" t="str">
            <v>Las Reinas</v>
          </cell>
          <cell r="H2976" t="str">
            <v>laboratorio</v>
          </cell>
          <cell r="J2976" t="str">
            <v>bueno</v>
          </cell>
          <cell r="K2976" t="str">
            <v>probsi</v>
          </cell>
        </row>
        <row r="2977">
          <cell r="B2977" t="b">
            <v>1</v>
          </cell>
          <cell r="E2977" t="str">
            <v>Las Reinas</v>
          </cell>
          <cell r="H2977" t="str">
            <v>laboratorio</v>
          </cell>
          <cell r="J2977" t="str">
            <v>bueno</v>
          </cell>
          <cell r="K2977" t="str">
            <v>probsi</v>
          </cell>
        </row>
        <row r="2978">
          <cell r="B2978" t="b">
            <v>1</v>
          </cell>
          <cell r="E2978" t="str">
            <v>Gaviotas</v>
          </cell>
          <cell r="H2978" t="str">
            <v>salud_oral</v>
          </cell>
          <cell r="J2978" t="str">
            <v>bueno</v>
          </cell>
          <cell r="K2978" t="str">
            <v>defsi</v>
          </cell>
        </row>
        <row r="2979">
          <cell r="B2979" t="b">
            <v>1</v>
          </cell>
          <cell r="E2979" t="str">
            <v>Gaviotas</v>
          </cell>
          <cell r="H2979" t="str">
            <v>consulta_externa</v>
          </cell>
          <cell r="J2979" t="str">
            <v>bueno</v>
          </cell>
          <cell r="K2979" t="str">
            <v>defsi</v>
          </cell>
        </row>
        <row r="2980">
          <cell r="B2980" t="b">
            <v>0</v>
          </cell>
          <cell r="E2980" t="str">
            <v>Gaviotas</v>
          </cell>
          <cell r="H2980" t="str">
            <v>laboratorio</v>
          </cell>
          <cell r="J2980" t="str">
            <v>malo</v>
          </cell>
          <cell r="K2980" t="str">
            <v>defno</v>
          </cell>
        </row>
        <row r="2981">
          <cell r="B2981" t="b">
            <v>1</v>
          </cell>
          <cell r="E2981" t="str">
            <v>Cano de Oro</v>
          </cell>
          <cell r="H2981" t="str">
            <v>salud_oral</v>
          </cell>
          <cell r="J2981" t="str">
            <v>bueno</v>
          </cell>
          <cell r="K2981" t="str">
            <v>defsi</v>
          </cell>
        </row>
        <row r="2982">
          <cell r="B2982" t="b">
            <v>1</v>
          </cell>
          <cell r="E2982" t="str">
            <v>Gaviotas</v>
          </cell>
          <cell r="H2982" t="str">
            <v>salud_oral</v>
          </cell>
          <cell r="J2982" t="str">
            <v>bueno</v>
          </cell>
          <cell r="K2982" t="str">
            <v>defsi</v>
          </cell>
        </row>
        <row r="2983">
          <cell r="B2983" t="b">
            <v>1</v>
          </cell>
          <cell r="E2983" t="str">
            <v>Gaviotas</v>
          </cell>
          <cell r="H2983" t="str">
            <v>salud_oral</v>
          </cell>
          <cell r="J2983" t="str">
            <v>bueno</v>
          </cell>
          <cell r="K2983" t="str">
            <v>defsi</v>
          </cell>
        </row>
        <row r="2984">
          <cell r="B2984" t="b">
            <v>1</v>
          </cell>
          <cell r="E2984" t="str">
            <v>Cano de Oro</v>
          </cell>
          <cell r="H2984" t="str">
            <v>consulta_externa</v>
          </cell>
          <cell r="J2984" t="str">
            <v>bueno</v>
          </cell>
          <cell r="K2984" t="str">
            <v>probsi</v>
          </cell>
        </row>
        <row r="2985">
          <cell r="B2985" t="b">
            <v>1</v>
          </cell>
          <cell r="E2985" t="str">
            <v>Cano de Oro</v>
          </cell>
          <cell r="H2985" t="str">
            <v>consulta_externa</v>
          </cell>
          <cell r="J2985" t="str">
            <v>bueno</v>
          </cell>
          <cell r="K2985" t="str">
            <v>probsi</v>
          </cell>
        </row>
        <row r="2986">
          <cell r="B2986" t="b">
            <v>1</v>
          </cell>
          <cell r="E2986" t="str">
            <v>Cano de Oro</v>
          </cell>
          <cell r="H2986" t="str">
            <v>laboratorio</v>
          </cell>
          <cell r="J2986" t="str">
            <v>bueno</v>
          </cell>
          <cell r="K2986" t="str">
            <v>probsi</v>
          </cell>
        </row>
        <row r="2987">
          <cell r="B2987" t="b">
            <v>1</v>
          </cell>
          <cell r="E2987" t="str">
            <v>Cano de Oro</v>
          </cell>
          <cell r="H2987" t="str">
            <v>laboratorio</v>
          </cell>
          <cell r="J2987" t="str">
            <v>bueno</v>
          </cell>
          <cell r="K2987" t="str">
            <v>probsi</v>
          </cell>
        </row>
        <row r="2988">
          <cell r="B2988" t="b">
            <v>1</v>
          </cell>
          <cell r="E2988" t="str">
            <v>Gaviotas</v>
          </cell>
          <cell r="H2988" t="str">
            <v>laboratorio</v>
          </cell>
          <cell r="J2988" t="str">
            <v>bueno</v>
          </cell>
          <cell r="K2988" t="str">
            <v>defsi</v>
          </cell>
        </row>
        <row r="2989">
          <cell r="B2989" t="b">
            <v>1</v>
          </cell>
          <cell r="E2989" t="str">
            <v>Gaviotas</v>
          </cell>
          <cell r="H2989" t="str">
            <v>laboratorio</v>
          </cell>
          <cell r="J2989" t="str">
            <v>bueno</v>
          </cell>
          <cell r="K2989" t="str">
            <v>defsi</v>
          </cell>
        </row>
        <row r="2990">
          <cell r="B2990" t="b">
            <v>0</v>
          </cell>
          <cell r="E2990" t="str">
            <v>Gaviotas</v>
          </cell>
          <cell r="H2990" t="str">
            <v>laboratorio</v>
          </cell>
          <cell r="J2990" t="str">
            <v>regular</v>
          </cell>
          <cell r="K2990" t="str">
            <v>defsi</v>
          </cell>
        </row>
        <row r="2991">
          <cell r="B2991" t="b">
            <v>1</v>
          </cell>
          <cell r="E2991" t="str">
            <v>Gaviotas</v>
          </cell>
          <cell r="H2991" t="str">
            <v>laboratorio</v>
          </cell>
          <cell r="J2991" t="str">
            <v>bueno</v>
          </cell>
          <cell r="K2991" t="str">
            <v>defsi</v>
          </cell>
        </row>
        <row r="2992">
          <cell r="B2992" t="b">
            <v>1</v>
          </cell>
          <cell r="E2992" t="str">
            <v>Gaviotas</v>
          </cell>
          <cell r="H2992" t="str">
            <v>consulta_externa</v>
          </cell>
          <cell r="J2992" t="str">
            <v>bueno</v>
          </cell>
          <cell r="K2992" t="str">
            <v>defsi</v>
          </cell>
        </row>
        <row r="2993">
          <cell r="B2993" t="b">
            <v>1</v>
          </cell>
          <cell r="E2993" t="str">
            <v>Gaviotas</v>
          </cell>
          <cell r="H2993" t="str">
            <v>laboratorio</v>
          </cell>
          <cell r="J2993" t="str">
            <v>bueno</v>
          </cell>
          <cell r="K2993" t="str">
            <v>defsi</v>
          </cell>
        </row>
        <row r="2994">
          <cell r="B2994" t="b">
            <v>1</v>
          </cell>
          <cell r="E2994" t="str">
            <v>Isla del Rosario</v>
          </cell>
          <cell r="H2994" t="str">
            <v>consulta_externa</v>
          </cell>
          <cell r="J2994" t="str">
            <v>muybueno</v>
          </cell>
          <cell r="K2994" t="str">
            <v>defsi</v>
          </cell>
        </row>
        <row r="2995">
          <cell r="B2995" t="b">
            <v>1</v>
          </cell>
          <cell r="E2995" t="str">
            <v>Isla del Rosario</v>
          </cell>
          <cell r="H2995" t="str">
            <v>laboratorio</v>
          </cell>
          <cell r="J2995" t="str">
            <v>muybueno</v>
          </cell>
          <cell r="K2995" t="str">
            <v>defsi</v>
          </cell>
        </row>
        <row r="2996">
          <cell r="B2996" t="b">
            <v>1</v>
          </cell>
          <cell r="E2996" t="str">
            <v>Gaviotas</v>
          </cell>
          <cell r="H2996" t="str">
            <v>laboratorio</v>
          </cell>
          <cell r="J2996" t="str">
            <v>bueno</v>
          </cell>
          <cell r="K2996" t="str">
            <v>defsi</v>
          </cell>
        </row>
        <row r="2997">
          <cell r="B2997" t="b">
            <v>0</v>
          </cell>
          <cell r="E2997" t="str">
            <v>Gaviotas</v>
          </cell>
          <cell r="H2997" t="str">
            <v>laboratorio</v>
          </cell>
          <cell r="J2997" t="str">
            <v>regular</v>
          </cell>
          <cell r="K2997" t="str">
            <v>defsi</v>
          </cell>
        </row>
        <row r="2998">
          <cell r="B2998" t="b">
            <v>1</v>
          </cell>
          <cell r="E2998" t="str">
            <v>Las Reinas</v>
          </cell>
          <cell r="H2998" t="str">
            <v>laboratorio</v>
          </cell>
          <cell r="J2998" t="str">
            <v>bueno</v>
          </cell>
          <cell r="K2998" t="str">
            <v>probsi</v>
          </cell>
        </row>
        <row r="2999">
          <cell r="B2999" t="b">
            <v>1</v>
          </cell>
          <cell r="E2999" t="str">
            <v>Gaviotas</v>
          </cell>
          <cell r="H2999" t="str">
            <v>laboratorio</v>
          </cell>
          <cell r="J2999" t="str">
            <v>bueno</v>
          </cell>
          <cell r="K2999" t="str">
            <v>defsi</v>
          </cell>
        </row>
        <row r="3000">
          <cell r="B3000" t="b">
            <v>1</v>
          </cell>
          <cell r="E3000" t="str">
            <v>Las Reinas</v>
          </cell>
          <cell r="H3000" t="str">
            <v>laboratorio</v>
          </cell>
          <cell r="J3000" t="str">
            <v>bueno</v>
          </cell>
          <cell r="K3000" t="str">
            <v>probsi</v>
          </cell>
        </row>
        <row r="3001">
          <cell r="B3001" t="b">
            <v>1</v>
          </cell>
          <cell r="E3001" t="str">
            <v>Las Reinas</v>
          </cell>
          <cell r="H3001" t="str">
            <v>laboratorio</v>
          </cell>
          <cell r="J3001" t="str">
            <v>bueno</v>
          </cell>
          <cell r="K3001" t="str">
            <v>probsi</v>
          </cell>
        </row>
        <row r="3002">
          <cell r="B3002" t="b">
            <v>1</v>
          </cell>
          <cell r="E3002" t="str">
            <v>Las Reinas</v>
          </cell>
          <cell r="H3002" t="str">
            <v>laboratorio</v>
          </cell>
          <cell r="J3002" t="str">
            <v>bueno</v>
          </cell>
          <cell r="K3002" t="str">
            <v>probsi</v>
          </cell>
        </row>
        <row r="3003">
          <cell r="B3003" t="b">
            <v>1</v>
          </cell>
          <cell r="E3003" t="str">
            <v>Las Reinas</v>
          </cell>
          <cell r="H3003" t="str">
            <v>laboratorio</v>
          </cell>
          <cell r="J3003" t="str">
            <v>bueno</v>
          </cell>
          <cell r="K3003" t="str">
            <v>probsi</v>
          </cell>
        </row>
        <row r="3004">
          <cell r="B3004" t="b">
            <v>1</v>
          </cell>
          <cell r="E3004" t="str">
            <v>Gaviotas</v>
          </cell>
          <cell r="H3004" t="str">
            <v>consulta_externa</v>
          </cell>
          <cell r="J3004" t="str">
            <v>bueno</v>
          </cell>
          <cell r="K3004" t="str">
            <v>defsi</v>
          </cell>
        </row>
        <row r="3005">
          <cell r="B3005" t="b">
            <v>1</v>
          </cell>
          <cell r="E3005" t="str">
            <v>Gaviotas</v>
          </cell>
          <cell r="H3005" t="str">
            <v>salud_oral</v>
          </cell>
          <cell r="J3005" t="str">
            <v>bueno</v>
          </cell>
          <cell r="K3005" t="str">
            <v>defsi</v>
          </cell>
        </row>
        <row r="3006">
          <cell r="B3006" t="b">
            <v>1</v>
          </cell>
          <cell r="E3006" t="str">
            <v>Gaviotas</v>
          </cell>
          <cell r="H3006" t="str">
            <v>salud_oral</v>
          </cell>
          <cell r="J3006" t="str">
            <v>bueno</v>
          </cell>
          <cell r="K3006" t="str">
            <v>defsi</v>
          </cell>
        </row>
        <row r="3007">
          <cell r="B3007" t="b">
            <v>1</v>
          </cell>
          <cell r="E3007" t="str">
            <v>Gaviotas</v>
          </cell>
          <cell r="H3007" t="str">
            <v>laboratorio</v>
          </cell>
          <cell r="J3007" t="str">
            <v>bueno</v>
          </cell>
          <cell r="K3007" t="str">
            <v>defsi</v>
          </cell>
        </row>
        <row r="3008">
          <cell r="B3008" t="b">
            <v>0</v>
          </cell>
          <cell r="E3008" t="str">
            <v>Gaviotas</v>
          </cell>
          <cell r="H3008" t="str">
            <v>laboratorio</v>
          </cell>
          <cell r="J3008" t="str">
            <v>regular</v>
          </cell>
          <cell r="K3008" t="str">
            <v>defsi</v>
          </cell>
        </row>
        <row r="3009">
          <cell r="B3009" t="b">
            <v>1</v>
          </cell>
          <cell r="E3009" t="str">
            <v>Gaviotas</v>
          </cell>
          <cell r="H3009" t="str">
            <v>consulta_externa</v>
          </cell>
          <cell r="J3009" t="str">
            <v>bueno</v>
          </cell>
          <cell r="K3009" t="str">
            <v>defsi</v>
          </cell>
        </row>
        <row r="3010">
          <cell r="B3010" t="b">
            <v>1</v>
          </cell>
          <cell r="E3010" t="str">
            <v>Gaviotas</v>
          </cell>
          <cell r="H3010" t="str">
            <v>consulta_externa</v>
          </cell>
          <cell r="J3010" t="str">
            <v>bueno</v>
          </cell>
          <cell r="K3010" t="str">
            <v>defsi</v>
          </cell>
        </row>
        <row r="3011">
          <cell r="B3011" t="b">
            <v>1</v>
          </cell>
          <cell r="E3011" t="str">
            <v>Gaviotas</v>
          </cell>
          <cell r="H3011" t="str">
            <v>laboratorio</v>
          </cell>
          <cell r="J3011" t="str">
            <v>bueno</v>
          </cell>
          <cell r="K3011" t="str">
            <v>defsi</v>
          </cell>
        </row>
        <row r="3012">
          <cell r="B3012" t="b">
            <v>1</v>
          </cell>
          <cell r="E3012" t="str">
            <v>Isla del Rosario</v>
          </cell>
          <cell r="H3012" t="str">
            <v>consulta_externa</v>
          </cell>
          <cell r="J3012" t="str">
            <v>muybueno</v>
          </cell>
          <cell r="K3012" t="str">
            <v>defsi</v>
          </cell>
        </row>
        <row r="3013">
          <cell r="B3013" t="b">
            <v>1</v>
          </cell>
          <cell r="E3013" t="str">
            <v>Isla del Rosario</v>
          </cell>
          <cell r="H3013" t="str">
            <v>laboratorio</v>
          </cell>
          <cell r="J3013" t="str">
            <v>muybueno</v>
          </cell>
          <cell r="K3013" t="str">
            <v>defsi</v>
          </cell>
        </row>
        <row r="3014">
          <cell r="B3014" t="b">
            <v>1</v>
          </cell>
          <cell r="E3014" t="str">
            <v>Isla del Rosario</v>
          </cell>
          <cell r="H3014" t="str">
            <v>salud_oral</v>
          </cell>
          <cell r="J3014" t="str">
            <v>muybueno</v>
          </cell>
          <cell r="K3014" t="str">
            <v>defsi</v>
          </cell>
        </row>
        <row r="3015">
          <cell r="B3015" t="b">
            <v>1</v>
          </cell>
          <cell r="E3015" t="str">
            <v>Gaviotas</v>
          </cell>
          <cell r="H3015" t="str">
            <v>consulta_externa</v>
          </cell>
          <cell r="J3015" t="str">
            <v>bueno</v>
          </cell>
          <cell r="K3015" t="str">
            <v>defsi</v>
          </cell>
        </row>
        <row r="3016">
          <cell r="B3016" t="b">
            <v>1</v>
          </cell>
          <cell r="E3016" t="str">
            <v>Gaviotas</v>
          </cell>
          <cell r="H3016" t="str">
            <v>consulta_externa</v>
          </cell>
          <cell r="J3016" t="str">
            <v>bueno</v>
          </cell>
          <cell r="K3016" t="str">
            <v>defsi</v>
          </cell>
        </row>
        <row r="3017">
          <cell r="B3017" t="b">
            <v>1</v>
          </cell>
          <cell r="E3017" t="str">
            <v>Cano de Oro</v>
          </cell>
          <cell r="H3017" t="str">
            <v>consulta_externa</v>
          </cell>
          <cell r="J3017" t="str">
            <v>bueno</v>
          </cell>
          <cell r="K3017" t="str">
            <v>defsi</v>
          </cell>
        </row>
        <row r="3018">
          <cell r="B3018" t="b">
            <v>1</v>
          </cell>
          <cell r="E3018" t="str">
            <v>Gaviotas</v>
          </cell>
          <cell r="H3018" t="str">
            <v>salud_oral</v>
          </cell>
          <cell r="J3018" t="str">
            <v>bueno</v>
          </cell>
          <cell r="K3018" t="str">
            <v>defsi</v>
          </cell>
        </row>
        <row r="3019">
          <cell r="B3019" t="b">
            <v>1</v>
          </cell>
          <cell r="E3019" t="str">
            <v>Cano de Oro</v>
          </cell>
          <cell r="H3019" t="str">
            <v>consulta_externa</v>
          </cell>
          <cell r="J3019" t="str">
            <v>bueno</v>
          </cell>
          <cell r="K3019" t="str">
            <v>defsi</v>
          </cell>
        </row>
        <row r="3020">
          <cell r="B3020" t="b">
            <v>0</v>
          </cell>
          <cell r="E3020" t="str">
            <v>Gaviotas</v>
          </cell>
          <cell r="H3020" t="str">
            <v>salud_oral</v>
          </cell>
          <cell r="J3020" t="str">
            <v>regular</v>
          </cell>
          <cell r="K3020" t="str">
            <v>defsi</v>
          </cell>
        </row>
        <row r="3021">
          <cell r="B3021" t="b">
            <v>1</v>
          </cell>
          <cell r="E3021" t="str">
            <v>Gaviotas</v>
          </cell>
          <cell r="H3021" t="str">
            <v>salud_oral</v>
          </cell>
          <cell r="J3021" t="str">
            <v>muybueno</v>
          </cell>
          <cell r="K3021" t="str">
            <v>defsi</v>
          </cell>
        </row>
        <row r="3022">
          <cell r="B3022" t="b">
            <v>1</v>
          </cell>
          <cell r="E3022" t="str">
            <v>Cano de Oro</v>
          </cell>
          <cell r="H3022" t="str">
            <v>consulta_externa</v>
          </cell>
          <cell r="J3022" t="str">
            <v>bueno</v>
          </cell>
          <cell r="K3022" t="str">
            <v>defsi</v>
          </cell>
        </row>
        <row r="3023">
          <cell r="B3023" t="b">
            <v>1</v>
          </cell>
          <cell r="E3023" t="str">
            <v>Gaviotas</v>
          </cell>
          <cell r="H3023" t="str">
            <v>consulta_externa</v>
          </cell>
          <cell r="J3023" t="str">
            <v>bueno</v>
          </cell>
          <cell r="K3023" t="str">
            <v>defsi</v>
          </cell>
        </row>
        <row r="3024">
          <cell r="B3024" t="b">
            <v>1</v>
          </cell>
          <cell r="E3024" t="str">
            <v>Gaviotas</v>
          </cell>
          <cell r="H3024" t="str">
            <v>consulta_externa</v>
          </cell>
          <cell r="J3024" t="str">
            <v>bueno</v>
          </cell>
          <cell r="K3024" t="str">
            <v>defsi</v>
          </cell>
        </row>
        <row r="3025">
          <cell r="B3025" t="b">
            <v>0</v>
          </cell>
          <cell r="E3025" t="str">
            <v>Gaviotas</v>
          </cell>
          <cell r="H3025" t="str">
            <v>consulta_externa</v>
          </cell>
          <cell r="J3025" t="str">
            <v>regular</v>
          </cell>
          <cell r="K3025" t="str">
            <v>defsi</v>
          </cell>
        </row>
        <row r="3026">
          <cell r="B3026" t="b">
            <v>1</v>
          </cell>
          <cell r="E3026" t="str">
            <v>Gaviotas</v>
          </cell>
          <cell r="H3026" t="str">
            <v>consulta_externa</v>
          </cell>
          <cell r="J3026" t="str">
            <v>bueno</v>
          </cell>
          <cell r="K3026" t="str">
            <v>defsi</v>
          </cell>
        </row>
        <row r="3027">
          <cell r="B3027" t="b">
            <v>1</v>
          </cell>
          <cell r="E3027" t="str">
            <v>Gaviotas</v>
          </cell>
          <cell r="H3027" t="str">
            <v>consulta_externa</v>
          </cell>
          <cell r="J3027" t="str">
            <v>bueno</v>
          </cell>
          <cell r="K3027" t="str">
            <v>defsi</v>
          </cell>
        </row>
        <row r="3028">
          <cell r="B3028" t="b">
            <v>1</v>
          </cell>
          <cell r="E3028" t="str">
            <v>Gaviotas</v>
          </cell>
          <cell r="H3028" t="str">
            <v>laboratorio</v>
          </cell>
          <cell r="J3028" t="str">
            <v>bueno</v>
          </cell>
          <cell r="K3028" t="str">
            <v>defsi</v>
          </cell>
        </row>
        <row r="3029">
          <cell r="B3029" t="b">
            <v>1</v>
          </cell>
          <cell r="E3029" t="str">
            <v>Gaviotas</v>
          </cell>
          <cell r="H3029" t="str">
            <v>salud_oral</v>
          </cell>
          <cell r="J3029" t="str">
            <v>bueno</v>
          </cell>
          <cell r="K3029" t="str">
            <v>defsi</v>
          </cell>
        </row>
        <row r="3030">
          <cell r="B3030" t="b">
            <v>0</v>
          </cell>
          <cell r="E3030" t="str">
            <v>Gaviotas</v>
          </cell>
          <cell r="H3030" t="str">
            <v>salud_oral</v>
          </cell>
          <cell r="J3030" t="str">
            <v>regular</v>
          </cell>
          <cell r="K3030" t="str">
            <v>defsi</v>
          </cell>
        </row>
        <row r="3031">
          <cell r="B3031" t="b">
            <v>1</v>
          </cell>
          <cell r="E3031" t="str">
            <v>Nelson Mandela UPA</v>
          </cell>
          <cell r="H3031" t="str">
            <v>salud_oral</v>
          </cell>
          <cell r="J3031" t="str">
            <v>bueno</v>
          </cell>
          <cell r="K3031" t="str">
            <v>probsi</v>
          </cell>
        </row>
        <row r="3032">
          <cell r="B3032" t="b">
            <v>1</v>
          </cell>
          <cell r="E3032" t="str">
            <v>Gaviotas</v>
          </cell>
          <cell r="H3032" t="str">
            <v>salud_oral</v>
          </cell>
          <cell r="J3032" t="str">
            <v>bueno</v>
          </cell>
          <cell r="K3032" t="str">
            <v>defsi</v>
          </cell>
        </row>
        <row r="3033">
          <cell r="B3033" t="b">
            <v>1</v>
          </cell>
          <cell r="E3033" t="str">
            <v>Nelson Mandela UPA</v>
          </cell>
          <cell r="H3033" t="str">
            <v>salud_oral</v>
          </cell>
          <cell r="J3033" t="str">
            <v>bueno</v>
          </cell>
          <cell r="K3033" t="str">
            <v>probsi</v>
          </cell>
        </row>
        <row r="3034">
          <cell r="B3034" t="b">
            <v>1</v>
          </cell>
          <cell r="E3034" t="str">
            <v>Nelson Mandela UPA</v>
          </cell>
          <cell r="H3034" t="str">
            <v>salud_oral</v>
          </cell>
          <cell r="J3034" t="str">
            <v>bueno</v>
          </cell>
          <cell r="K3034" t="str">
            <v>probsi</v>
          </cell>
        </row>
        <row r="3035">
          <cell r="B3035" t="b">
            <v>1</v>
          </cell>
          <cell r="E3035" t="str">
            <v>Nelson Mandela UPA</v>
          </cell>
          <cell r="H3035" t="str">
            <v>salud_oral</v>
          </cell>
          <cell r="J3035" t="str">
            <v>bueno</v>
          </cell>
          <cell r="K3035" t="str">
            <v>probsi</v>
          </cell>
        </row>
        <row r="3036">
          <cell r="B3036" t="b">
            <v>1</v>
          </cell>
          <cell r="E3036" t="str">
            <v>Gaviotas</v>
          </cell>
          <cell r="H3036" t="str">
            <v>salud_oral</v>
          </cell>
          <cell r="J3036" t="str">
            <v>bueno</v>
          </cell>
          <cell r="K3036" t="str">
            <v>defsi</v>
          </cell>
        </row>
        <row r="3037">
          <cell r="B3037" t="b">
            <v>1</v>
          </cell>
          <cell r="E3037" t="str">
            <v>Nelson Mandela UPA</v>
          </cell>
          <cell r="H3037" t="str">
            <v>salud_oral</v>
          </cell>
          <cell r="J3037" t="str">
            <v>bueno</v>
          </cell>
          <cell r="K3037" t="str">
            <v>probsi</v>
          </cell>
        </row>
        <row r="3038">
          <cell r="B3038" t="b">
            <v>0</v>
          </cell>
          <cell r="E3038" t="str">
            <v>Nelson Mandela UPA</v>
          </cell>
          <cell r="H3038" t="str">
            <v>laboratorio</v>
          </cell>
          <cell r="J3038" t="str">
            <v>regular</v>
          </cell>
          <cell r="K3038" t="str">
            <v>probsi</v>
          </cell>
        </row>
        <row r="3039">
          <cell r="B3039" t="b">
            <v>1</v>
          </cell>
          <cell r="E3039" t="str">
            <v>Nelson Mandela UPA</v>
          </cell>
          <cell r="H3039" t="str">
            <v>laboratorio</v>
          </cell>
          <cell r="J3039" t="str">
            <v>bueno</v>
          </cell>
          <cell r="K3039" t="str">
            <v>probsi</v>
          </cell>
        </row>
        <row r="3040">
          <cell r="B3040" t="b">
            <v>1</v>
          </cell>
          <cell r="E3040" t="str">
            <v>Nelson Mandela UPA</v>
          </cell>
          <cell r="H3040" t="str">
            <v>laboratorio</v>
          </cell>
          <cell r="J3040" t="str">
            <v>bueno</v>
          </cell>
          <cell r="K3040" t="str">
            <v>probsi</v>
          </cell>
        </row>
        <row r="3041">
          <cell r="B3041" t="b">
            <v>1</v>
          </cell>
          <cell r="E3041" t="str">
            <v>Nelson Mandela UPA</v>
          </cell>
          <cell r="H3041" t="str">
            <v>laboratorio</v>
          </cell>
          <cell r="J3041" t="str">
            <v>bueno</v>
          </cell>
          <cell r="K3041" t="str">
            <v>probsi</v>
          </cell>
        </row>
        <row r="3042">
          <cell r="B3042" t="b">
            <v>1</v>
          </cell>
          <cell r="E3042" t="str">
            <v>Nelson Mandela UPA</v>
          </cell>
          <cell r="H3042" t="str">
            <v>laboratorio</v>
          </cell>
          <cell r="J3042" t="str">
            <v>bueno</v>
          </cell>
          <cell r="K3042" t="str">
            <v>probsi</v>
          </cell>
        </row>
        <row r="3043">
          <cell r="B3043" t="b">
            <v>1</v>
          </cell>
          <cell r="E3043" t="str">
            <v>Gaviotas</v>
          </cell>
          <cell r="H3043" t="str">
            <v>salud_oral</v>
          </cell>
          <cell r="J3043" t="str">
            <v>bueno</v>
          </cell>
          <cell r="K3043" t="str">
            <v>defsi</v>
          </cell>
        </row>
        <row r="3044">
          <cell r="B3044" t="b">
            <v>0</v>
          </cell>
          <cell r="E3044" t="str">
            <v>Nelson Mandela UPA</v>
          </cell>
          <cell r="H3044" t="str">
            <v>consulta_externa</v>
          </cell>
          <cell r="J3044" t="str">
            <v>regular</v>
          </cell>
          <cell r="K3044" t="str">
            <v>probsi</v>
          </cell>
        </row>
        <row r="3045">
          <cell r="B3045" t="b">
            <v>0</v>
          </cell>
          <cell r="E3045" t="str">
            <v>Gaviotas</v>
          </cell>
          <cell r="H3045" t="str">
            <v>salud_oral</v>
          </cell>
          <cell r="J3045" t="str">
            <v>regular</v>
          </cell>
          <cell r="K3045" t="str">
            <v>defsi</v>
          </cell>
        </row>
        <row r="3046">
          <cell r="B3046" t="b">
            <v>0</v>
          </cell>
          <cell r="E3046" t="str">
            <v>Nelson Mandela UPA</v>
          </cell>
          <cell r="H3046" t="str">
            <v>consulta_externa</v>
          </cell>
          <cell r="J3046" t="str">
            <v>regular</v>
          </cell>
          <cell r="K3046" t="str">
            <v>probsi</v>
          </cell>
        </row>
        <row r="3047">
          <cell r="B3047" t="b">
            <v>0</v>
          </cell>
          <cell r="E3047" t="str">
            <v>Nelson Mandela UPA</v>
          </cell>
          <cell r="H3047" t="str">
            <v>consulta_externa</v>
          </cell>
          <cell r="J3047" t="str">
            <v>regular</v>
          </cell>
          <cell r="K3047" t="str">
            <v>probsi</v>
          </cell>
        </row>
        <row r="3048">
          <cell r="B3048" t="b">
            <v>0</v>
          </cell>
          <cell r="E3048" t="str">
            <v>Nelson Mandela UPA</v>
          </cell>
          <cell r="H3048" t="str">
            <v>consulta_externa</v>
          </cell>
          <cell r="J3048" t="str">
            <v>regular</v>
          </cell>
          <cell r="K3048" t="str">
            <v>probsi</v>
          </cell>
        </row>
        <row r="3049">
          <cell r="B3049" t="b">
            <v>1</v>
          </cell>
          <cell r="E3049" t="str">
            <v>Nelson Mandela UPA</v>
          </cell>
          <cell r="H3049" t="str">
            <v>consulta_externa</v>
          </cell>
          <cell r="J3049" t="str">
            <v>bueno</v>
          </cell>
          <cell r="K3049" t="str">
            <v>probsi</v>
          </cell>
        </row>
        <row r="3050">
          <cell r="B3050" t="b">
            <v>1</v>
          </cell>
          <cell r="E3050" t="str">
            <v>Nelson Mandela UPA</v>
          </cell>
          <cell r="H3050" t="str">
            <v>consulta_externa</v>
          </cell>
          <cell r="J3050" t="str">
            <v>bueno</v>
          </cell>
          <cell r="K3050" t="str">
            <v>probsi</v>
          </cell>
        </row>
        <row r="3051">
          <cell r="B3051" t="b">
            <v>1</v>
          </cell>
          <cell r="E3051" t="str">
            <v>Nelson Mandela UPA</v>
          </cell>
          <cell r="H3051" t="str">
            <v>consulta_externa</v>
          </cell>
          <cell r="J3051" t="str">
            <v>bueno</v>
          </cell>
          <cell r="K3051" t="str">
            <v>probsi</v>
          </cell>
        </row>
        <row r="3052">
          <cell r="B3052" t="b">
            <v>1</v>
          </cell>
          <cell r="E3052" t="str">
            <v>Nelson Mandela UPA</v>
          </cell>
          <cell r="H3052" t="str">
            <v>consulta_externa</v>
          </cell>
          <cell r="J3052" t="str">
            <v>bueno</v>
          </cell>
          <cell r="K3052" t="str">
            <v>probsi</v>
          </cell>
        </row>
        <row r="3053">
          <cell r="B3053" t="b">
            <v>1</v>
          </cell>
          <cell r="E3053" t="str">
            <v>Nelson Mandela UPA</v>
          </cell>
          <cell r="H3053" t="str">
            <v>consulta_externa</v>
          </cell>
          <cell r="J3053" t="str">
            <v>bueno</v>
          </cell>
          <cell r="K3053" t="str">
            <v>probsi</v>
          </cell>
        </row>
        <row r="3054">
          <cell r="B3054" t="b">
            <v>0</v>
          </cell>
          <cell r="E3054" t="str">
            <v>Nelson Mandela UPA</v>
          </cell>
          <cell r="H3054" t="str">
            <v>consulta_externa</v>
          </cell>
          <cell r="J3054" t="str">
            <v>regular</v>
          </cell>
          <cell r="K3054" t="str">
            <v>probsi</v>
          </cell>
        </row>
        <row r="3055">
          <cell r="B3055" t="b">
            <v>1</v>
          </cell>
          <cell r="E3055" t="str">
            <v>Nelson Mandela UPA</v>
          </cell>
          <cell r="H3055" t="str">
            <v>salud_oral</v>
          </cell>
          <cell r="J3055" t="str">
            <v>bueno</v>
          </cell>
          <cell r="K3055" t="str">
            <v>probsi</v>
          </cell>
        </row>
        <row r="3056">
          <cell r="B3056" t="b">
            <v>1</v>
          </cell>
          <cell r="E3056" t="str">
            <v>Nelson Mandela UPA</v>
          </cell>
          <cell r="H3056" t="str">
            <v>laboratorio</v>
          </cell>
          <cell r="J3056" t="str">
            <v>bueno</v>
          </cell>
          <cell r="K3056" t="str">
            <v>probsi</v>
          </cell>
        </row>
        <row r="3057">
          <cell r="B3057" t="b">
            <v>1</v>
          </cell>
          <cell r="E3057" t="str">
            <v>Pontezuela</v>
          </cell>
          <cell r="H3057" t="str">
            <v>salud_oral</v>
          </cell>
          <cell r="J3057" t="str">
            <v>bueno</v>
          </cell>
          <cell r="K3057" t="str">
            <v>defsi</v>
          </cell>
        </row>
        <row r="3058">
          <cell r="B3058" t="b">
            <v>1</v>
          </cell>
          <cell r="E3058" t="str">
            <v>Pontezuela</v>
          </cell>
          <cell r="H3058" t="str">
            <v>laboratorio</v>
          </cell>
          <cell r="J3058" t="str">
            <v>bueno</v>
          </cell>
          <cell r="K3058" t="str">
            <v>defsi</v>
          </cell>
        </row>
        <row r="3059">
          <cell r="B3059" t="b">
            <v>1</v>
          </cell>
          <cell r="E3059" t="str">
            <v>Pontezuela</v>
          </cell>
          <cell r="H3059" t="str">
            <v>consulta_externa</v>
          </cell>
          <cell r="J3059" t="str">
            <v>bueno</v>
          </cell>
          <cell r="K3059" t="str">
            <v>defsi</v>
          </cell>
        </row>
        <row r="3060">
          <cell r="B3060" t="b">
            <v>1</v>
          </cell>
          <cell r="E3060" t="str">
            <v>Pontezuela</v>
          </cell>
          <cell r="H3060" t="str">
            <v>salud_oral</v>
          </cell>
          <cell r="J3060" t="str">
            <v>bueno</v>
          </cell>
          <cell r="K3060" t="str">
            <v>defsi</v>
          </cell>
        </row>
        <row r="3061">
          <cell r="B3061" t="b">
            <v>1</v>
          </cell>
          <cell r="E3061" t="str">
            <v>Pontezuela</v>
          </cell>
          <cell r="H3061" t="str">
            <v>laboratorio</v>
          </cell>
          <cell r="J3061" t="str">
            <v>bueno</v>
          </cell>
          <cell r="K3061" t="str">
            <v>defsi</v>
          </cell>
        </row>
        <row r="3062">
          <cell r="B3062" t="b">
            <v>1</v>
          </cell>
          <cell r="E3062" t="str">
            <v>Pontezuela</v>
          </cell>
          <cell r="H3062" t="str">
            <v>consulta_externa</v>
          </cell>
          <cell r="J3062" t="str">
            <v>bueno</v>
          </cell>
          <cell r="K3062" t="str">
            <v>defsi</v>
          </cell>
        </row>
        <row r="3063">
          <cell r="B3063" t="b">
            <v>1</v>
          </cell>
          <cell r="E3063" t="str">
            <v>Pontezuela</v>
          </cell>
          <cell r="H3063" t="str">
            <v>salud_oral</v>
          </cell>
          <cell r="J3063" t="str">
            <v>bueno</v>
          </cell>
          <cell r="K3063" t="str">
            <v>defsi</v>
          </cell>
        </row>
        <row r="3064">
          <cell r="B3064" t="b">
            <v>1</v>
          </cell>
          <cell r="E3064" t="str">
            <v>Pontezuela</v>
          </cell>
          <cell r="H3064" t="str">
            <v>laboratorio</v>
          </cell>
          <cell r="J3064" t="str">
            <v>bueno</v>
          </cell>
          <cell r="K3064" t="str">
            <v>defsi</v>
          </cell>
        </row>
        <row r="3065">
          <cell r="B3065" t="b">
            <v>1</v>
          </cell>
          <cell r="E3065" t="str">
            <v>Pontezuela</v>
          </cell>
          <cell r="H3065" t="str">
            <v>consulta_externa</v>
          </cell>
          <cell r="J3065" t="str">
            <v>bueno</v>
          </cell>
          <cell r="K3065" t="str">
            <v>defsi</v>
          </cell>
        </row>
        <row r="3066">
          <cell r="B3066" t="b">
            <v>1</v>
          </cell>
          <cell r="E3066" t="str">
            <v>Pontezuela</v>
          </cell>
          <cell r="H3066" t="str">
            <v>salud_oral</v>
          </cell>
          <cell r="J3066" t="str">
            <v>bueno</v>
          </cell>
          <cell r="K3066" t="str">
            <v>defsi</v>
          </cell>
        </row>
        <row r="3067">
          <cell r="B3067" t="b">
            <v>1</v>
          </cell>
          <cell r="E3067" t="str">
            <v>Pontezuela</v>
          </cell>
          <cell r="H3067" t="str">
            <v>laboratorio</v>
          </cell>
          <cell r="J3067" t="str">
            <v>bueno</v>
          </cell>
          <cell r="K3067" t="str">
            <v>defsi</v>
          </cell>
        </row>
        <row r="3068">
          <cell r="B3068" t="b">
            <v>1</v>
          </cell>
          <cell r="E3068" t="str">
            <v>Pontezuela</v>
          </cell>
          <cell r="H3068" t="str">
            <v>consulta_externa</v>
          </cell>
          <cell r="J3068" t="str">
            <v>bueno</v>
          </cell>
          <cell r="K3068" t="str">
            <v>defsi</v>
          </cell>
        </row>
        <row r="3069">
          <cell r="B3069" t="b">
            <v>1</v>
          </cell>
          <cell r="E3069" t="str">
            <v>Pontezuela</v>
          </cell>
          <cell r="H3069" t="str">
            <v>salud_oral</v>
          </cell>
          <cell r="J3069" t="str">
            <v>bueno</v>
          </cell>
          <cell r="K3069" t="str">
            <v>defsi</v>
          </cell>
        </row>
        <row r="3070">
          <cell r="B3070" t="b">
            <v>1</v>
          </cell>
          <cell r="E3070" t="str">
            <v>Pontezuela</v>
          </cell>
          <cell r="H3070" t="str">
            <v>laboratorio</v>
          </cell>
          <cell r="J3070" t="str">
            <v>bueno</v>
          </cell>
          <cell r="K3070" t="str">
            <v>defsi</v>
          </cell>
        </row>
        <row r="3071">
          <cell r="B3071" t="b">
            <v>1</v>
          </cell>
          <cell r="E3071" t="str">
            <v>Pontezuela</v>
          </cell>
          <cell r="H3071" t="str">
            <v>consulta_externa</v>
          </cell>
          <cell r="J3071" t="str">
            <v>bueno</v>
          </cell>
          <cell r="K3071" t="str">
            <v>defsi</v>
          </cell>
        </row>
        <row r="3072">
          <cell r="B3072" t="b">
            <v>1</v>
          </cell>
          <cell r="E3072" t="str">
            <v>Pontezuela</v>
          </cell>
          <cell r="H3072" t="str">
            <v>consulta_externa</v>
          </cell>
          <cell r="J3072" t="str">
            <v>bueno</v>
          </cell>
          <cell r="K3072" t="str">
            <v>defsi</v>
          </cell>
        </row>
        <row r="3073">
          <cell r="B3073" t="b">
            <v>1</v>
          </cell>
          <cell r="E3073" t="str">
            <v>Pontezuela</v>
          </cell>
          <cell r="H3073" t="str">
            <v>salud_oral</v>
          </cell>
          <cell r="J3073" t="str">
            <v>bueno</v>
          </cell>
          <cell r="K3073" t="str">
            <v>defsi</v>
          </cell>
        </row>
        <row r="3074">
          <cell r="B3074" t="b">
            <v>1</v>
          </cell>
          <cell r="E3074" t="str">
            <v>Pontezuela</v>
          </cell>
          <cell r="H3074" t="str">
            <v>laboratorio</v>
          </cell>
          <cell r="J3074" t="str">
            <v>bueno</v>
          </cell>
          <cell r="K3074" t="str">
            <v>defsi</v>
          </cell>
        </row>
        <row r="3075">
          <cell r="B3075" t="b">
            <v>1</v>
          </cell>
          <cell r="E3075" t="str">
            <v>Libano</v>
          </cell>
          <cell r="H3075" t="str">
            <v>consulta_externa</v>
          </cell>
          <cell r="J3075" t="str">
            <v>bueno</v>
          </cell>
          <cell r="K3075" t="str">
            <v>defsi</v>
          </cell>
        </row>
        <row r="3076">
          <cell r="B3076" t="b">
            <v>1</v>
          </cell>
          <cell r="E3076" t="str">
            <v>Isla del Rosario</v>
          </cell>
          <cell r="H3076" t="str">
            <v>consulta_externa</v>
          </cell>
          <cell r="J3076" t="str">
            <v>muybueno</v>
          </cell>
          <cell r="K3076" t="str">
            <v>defsi</v>
          </cell>
        </row>
        <row r="3077">
          <cell r="B3077" t="b">
            <v>1</v>
          </cell>
          <cell r="E3077" t="str">
            <v>Isla del Rosario</v>
          </cell>
          <cell r="H3077" t="str">
            <v>laboratorio</v>
          </cell>
          <cell r="J3077" t="str">
            <v>muybueno</v>
          </cell>
          <cell r="K3077" t="str">
            <v>defsi</v>
          </cell>
        </row>
        <row r="3078">
          <cell r="B3078" t="b">
            <v>1</v>
          </cell>
          <cell r="E3078" t="str">
            <v>Libano</v>
          </cell>
          <cell r="H3078" t="str">
            <v>salud_oral</v>
          </cell>
          <cell r="J3078" t="str">
            <v>bueno</v>
          </cell>
          <cell r="K3078" t="str">
            <v>defsi</v>
          </cell>
        </row>
        <row r="3079">
          <cell r="B3079" t="b">
            <v>1</v>
          </cell>
          <cell r="E3079" t="str">
            <v>Libano</v>
          </cell>
          <cell r="H3079" t="str">
            <v>consulta_externa</v>
          </cell>
          <cell r="J3079" t="str">
            <v>bueno</v>
          </cell>
          <cell r="K3079" t="str">
            <v>defsi</v>
          </cell>
        </row>
        <row r="3080">
          <cell r="B3080" t="b">
            <v>1</v>
          </cell>
          <cell r="E3080" t="str">
            <v>Libano</v>
          </cell>
          <cell r="H3080" t="str">
            <v>salud_oral</v>
          </cell>
          <cell r="J3080" t="str">
            <v>bueno</v>
          </cell>
          <cell r="K3080" t="str">
            <v>defsi</v>
          </cell>
        </row>
        <row r="3081">
          <cell r="B3081" t="b">
            <v>1</v>
          </cell>
          <cell r="E3081" t="str">
            <v>Libano</v>
          </cell>
          <cell r="H3081" t="str">
            <v>laboratorio</v>
          </cell>
          <cell r="J3081" t="str">
            <v>bueno</v>
          </cell>
          <cell r="K3081" t="str">
            <v>defsi</v>
          </cell>
        </row>
        <row r="3082">
          <cell r="B3082" t="b">
            <v>1</v>
          </cell>
          <cell r="E3082" t="str">
            <v>Libano</v>
          </cell>
          <cell r="H3082" t="str">
            <v>laboratorio</v>
          </cell>
          <cell r="J3082" t="str">
            <v>bueno</v>
          </cell>
          <cell r="K3082" t="str">
            <v>defsi</v>
          </cell>
        </row>
        <row r="3083">
          <cell r="B3083" t="b">
            <v>1</v>
          </cell>
          <cell r="E3083" t="str">
            <v>Libano</v>
          </cell>
          <cell r="H3083" t="str">
            <v>pediatria</v>
          </cell>
          <cell r="J3083" t="str">
            <v>bueno</v>
          </cell>
          <cell r="K3083" t="str">
            <v>defsi</v>
          </cell>
        </row>
        <row r="3084">
          <cell r="B3084" t="b">
            <v>1</v>
          </cell>
          <cell r="E3084" t="str">
            <v>Libano</v>
          </cell>
          <cell r="H3084" t="str">
            <v>salud_oral</v>
          </cell>
          <cell r="J3084" t="str">
            <v>bueno</v>
          </cell>
          <cell r="K3084" t="str">
            <v>defsi</v>
          </cell>
        </row>
        <row r="3085">
          <cell r="B3085" t="b">
            <v>1</v>
          </cell>
          <cell r="E3085" t="str">
            <v>Libano</v>
          </cell>
          <cell r="H3085" t="str">
            <v>consulta_externa</v>
          </cell>
          <cell r="J3085" t="str">
            <v>bueno</v>
          </cell>
          <cell r="K3085" t="str">
            <v>defsi</v>
          </cell>
        </row>
        <row r="3086">
          <cell r="B3086" t="b">
            <v>1</v>
          </cell>
          <cell r="E3086" t="str">
            <v>Libano</v>
          </cell>
          <cell r="H3086" t="str">
            <v>laboratorio</v>
          </cell>
          <cell r="J3086" t="str">
            <v>bueno</v>
          </cell>
          <cell r="K3086" t="str">
            <v>defsi</v>
          </cell>
        </row>
        <row r="3087">
          <cell r="B3087" t="b">
            <v>1</v>
          </cell>
          <cell r="E3087" t="str">
            <v>Libano</v>
          </cell>
          <cell r="H3087" t="str">
            <v>laboratorio</v>
          </cell>
          <cell r="J3087" t="str">
            <v>bueno</v>
          </cell>
          <cell r="K3087" t="str">
            <v>defsi</v>
          </cell>
        </row>
        <row r="3088">
          <cell r="B3088" t="b">
            <v>1</v>
          </cell>
          <cell r="E3088" t="str">
            <v>Libano</v>
          </cell>
          <cell r="H3088" t="str">
            <v>salud_oral</v>
          </cell>
          <cell r="J3088" t="str">
            <v>bueno</v>
          </cell>
          <cell r="K3088" t="str">
            <v>defsi</v>
          </cell>
        </row>
        <row r="3089">
          <cell r="B3089" t="b">
            <v>1</v>
          </cell>
          <cell r="E3089" t="str">
            <v>Libano</v>
          </cell>
          <cell r="H3089" t="str">
            <v>pediatria</v>
          </cell>
          <cell r="J3089" t="str">
            <v>bueno</v>
          </cell>
          <cell r="K3089" t="str">
            <v>defsi</v>
          </cell>
        </row>
        <row r="3090">
          <cell r="B3090" t="b">
            <v>1</v>
          </cell>
          <cell r="E3090" t="str">
            <v>Libano</v>
          </cell>
          <cell r="H3090" t="str">
            <v>salud_oral</v>
          </cell>
          <cell r="J3090" t="str">
            <v>bueno</v>
          </cell>
          <cell r="K3090" t="str">
            <v>defsi</v>
          </cell>
        </row>
        <row r="3091">
          <cell r="B3091" t="b">
            <v>1</v>
          </cell>
          <cell r="E3091" t="str">
            <v>Libano</v>
          </cell>
          <cell r="H3091" t="str">
            <v>consulta_externa</v>
          </cell>
          <cell r="J3091" t="str">
            <v>bueno</v>
          </cell>
          <cell r="K3091" t="str">
            <v>defsi</v>
          </cell>
        </row>
        <row r="3092">
          <cell r="B3092" t="b">
            <v>1</v>
          </cell>
          <cell r="E3092" t="str">
            <v>Isla del Rosario</v>
          </cell>
          <cell r="H3092" t="str">
            <v>consulta_externa</v>
          </cell>
          <cell r="J3092" t="str">
            <v>muybueno</v>
          </cell>
          <cell r="K3092" t="str">
            <v>defsi</v>
          </cell>
        </row>
        <row r="3093">
          <cell r="B3093" t="b">
            <v>1</v>
          </cell>
          <cell r="E3093" t="str">
            <v>Isla del Rosario</v>
          </cell>
          <cell r="H3093" t="str">
            <v>laboratorio</v>
          </cell>
          <cell r="J3093" t="str">
            <v>muybueno</v>
          </cell>
          <cell r="K3093" t="str">
            <v>defsi</v>
          </cell>
        </row>
        <row r="3094">
          <cell r="B3094" t="b">
            <v>1</v>
          </cell>
          <cell r="E3094" t="str">
            <v>Libano</v>
          </cell>
          <cell r="H3094" t="str">
            <v>laboratorio</v>
          </cell>
          <cell r="J3094" t="str">
            <v>bueno</v>
          </cell>
          <cell r="K3094" t="str">
            <v>defsi</v>
          </cell>
        </row>
        <row r="3095">
          <cell r="B3095" t="b">
            <v>1</v>
          </cell>
          <cell r="E3095" t="str">
            <v>Libano</v>
          </cell>
          <cell r="H3095" t="str">
            <v>consulta_externa</v>
          </cell>
          <cell r="J3095" t="str">
            <v>bueno</v>
          </cell>
          <cell r="K3095" t="str">
            <v>defsi</v>
          </cell>
        </row>
        <row r="3096">
          <cell r="B3096" t="b">
            <v>0</v>
          </cell>
          <cell r="E3096" t="str">
            <v>Libano</v>
          </cell>
          <cell r="H3096" t="str">
            <v>laboratorio</v>
          </cell>
          <cell r="J3096" t="str">
            <v>regular</v>
          </cell>
          <cell r="K3096" t="str">
            <v>defsi</v>
          </cell>
        </row>
        <row r="3097">
          <cell r="B3097" t="b">
            <v>1</v>
          </cell>
          <cell r="E3097" t="str">
            <v>Libano</v>
          </cell>
          <cell r="H3097" t="str">
            <v>laboratorio</v>
          </cell>
          <cell r="J3097" t="str">
            <v>bueno</v>
          </cell>
          <cell r="K3097" t="str">
            <v>defsi</v>
          </cell>
        </row>
        <row r="3098">
          <cell r="B3098" t="b">
            <v>1</v>
          </cell>
          <cell r="E3098" t="str">
            <v>Isla del Rosario</v>
          </cell>
          <cell r="H3098" t="str">
            <v>salud_oral</v>
          </cell>
          <cell r="J3098" t="str">
            <v>muybueno</v>
          </cell>
          <cell r="K3098" t="str">
            <v>defsi</v>
          </cell>
        </row>
        <row r="3099">
          <cell r="B3099" t="b">
            <v>1</v>
          </cell>
          <cell r="E3099" t="str">
            <v>Isla del Rosario</v>
          </cell>
          <cell r="H3099" t="str">
            <v>consulta_externa</v>
          </cell>
          <cell r="J3099" t="str">
            <v>muybueno</v>
          </cell>
          <cell r="K3099" t="str">
            <v>defsi</v>
          </cell>
        </row>
        <row r="3100">
          <cell r="B3100" t="b">
            <v>1</v>
          </cell>
          <cell r="E3100" t="str">
            <v>Isla del Rosario</v>
          </cell>
          <cell r="H3100" t="str">
            <v>laboratorio</v>
          </cell>
          <cell r="J3100" t="str">
            <v>muybueno</v>
          </cell>
          <cell r="K3100" t="str">
            <v>defsi</v>
          </cell>
        </row>
        <row r="3101">
          <cell r="B3101" t="b">
            <v>1</v>
          </cell>
          <cell r="E3101" t="str">
            <v>Libano</v>
          </cell>
          <cell r="H3101" t="str">
            <v>salud_oral</v>
          </cell>
          <cell r="J3101" t="str">
            <v>bueno</v>
          </cell>
          <cell r="K3101" t="str">
            <v>defsi</v>
          </cell>
        </row>
        <row r="3102">
          <cell r="B3102" t="b">
            <v>1</v>
          </cell>
          <cell r="E3102" t="str">
            <v>Libano</v>
          </cell>
          <cell r="H3102" t="str">
            <v>consulta_externa</v>
          </cell>
          <cell r="J3102" t="str">
            <v>bueno</v>
          </cell>
          <cell r="K3102" t="str">
            <v>defsi</v>
          </cell>
        </row>
        <row r="3103">
          <cell r="B3103" t="b">
            <v>1</v>
          </cell>
          <cell r="E3103" t="str">
            <v>Libano</v>
          </cell>
          <cell r="H3103" t="str">
            <v>laboratorio</v>
          </cell>
          <cell r="J3103" t="str">
            <v>muybueno</v>
          </cell>
          <cell r="K3103" t="str">
            <v>defsi</v>
          </cell>
        </row>
        <row r="3104">
          <cell r="B3104" t="b">
            <v>1</v>
          </cell>
          <cell r="E3104" t="str">
            <v>Libano</v>
          </cell>
          <cell r="H3104" t="str">
            <v>consulta_externa</v>
          </cell>
          <cell r="J3104" t="str">
            <v>bueno</v>
          </cell>
          <cell r="K3104" t="str">
            <v>defsi</v>
          </cell>
        </row>
        <row r="3105">
          <cell r="B3105" t="b">
            <v>1</v>
          </cell>
          <cell r="E3105" t="str">
            <v>Libano</v>
          </cell>
          <cell r="H3105" t="str">
            <v>laboratorio</v>
          </cell>
          <cell r="J3105" t="str">
            <v>bueno</v>
          </cell>
          <cell r="K3105" t="str">
            <v>defsi</v>
          </cell>
        </row>
        <row r="3106">
          <cell r="B3106" t="b">
            <v>1</v>
          </cell>
          <cell r="E3106" t="str">
            <v>Libano</v>
          </cell>
          <cell r="H3106" t="str">
            <v>salud_oral</v>
          </cell>
          <cell r="J3106" t="str">
            <v>bueno</v>
          </cell>
          <cell r="K3106" t="str">
            <v>defsi</v>
          </cell>
        </row>
        <row r="3107">
          <cell r="B3107" t="b">
            <v>1</v>
          </cell>
          <cell r="E3107" t="str">
            <v>Libano</v>
          </cell>
          <cell r="H3107" t="str">
            <v>laboratorio</v>
          </cell>
          <cell r="J3107" t="str">
            <v>bueno</v>
          </cell>
          <cell r="K3107" t="str">
            <v>defsi</v>
          </cell>
        </row>
        <row r="3108">
          <cell r="B3108" t="b">
            <v>1</v>
          </cell>
          <cell r="E3108" t="str">
            <v>Libano</v>
          </cell>
          <cell r="H3108" t="str">
            <v>consulta_externa</v>
          </cell>
          <cell r="J3108" t="str">
            <v>bueno</v>
          </cell>
          <cell r="K3108" t="str">
            <v>defsi</v>
          </cell>
        </row>
        <row r="3109">
          <cell r="B3109" t="b">
            <v>1</v>
          </cell>
          <cell r="E3109" t="str">
            <v>Libano</v>
          </cell>
          <cell r="H3109" t="str">
            <v>laboratorio</v>
          </cell>
          <cell r="J3109" t="str">
            <v>bueno</v>
          </cell>
          <cell r="K3109" t="str">
            <v>defsi</v>
          </cell>
        </row>
        <row r="3110">
          <cell r="B3110" t="b">
            <v>0</v>
          </cell>
          <cell r="E3110" t="str">
            <v>Nelson Mandela UPA</v>
          </cell>
          <cell r="H3110" t="str">
            <v>consulta_externa</v>
          </cell>
          <cell r="J3110" t="str">
            <v>regular</v>
          </cell>
          <cell r="K3110" t="str">
            <v>probsi</v>
          </cell>
        </row>
        <row r="3111">
          <cell r="B3111" t="b">
            <v>0</v>
          </cell>
          <cell r="E3111" t="str">
            <v>Nelson Mandela UPA</v>
          </cell>
          <cell r="H3111" t="str">
            <v>consulta_externa</v>
          </cell>
          <cell r="J3111" t="str">
            <v>regular</v>
          </cell>
          <cell r="K3111" t="str">
            <v>probsi</v>
          </cell>
        </row>
        <row r="3112">
          <cell r="B3112" t="b">
            <v>1</v>
          </cell>
          <cell r="E3112" t="str">
            <v>Nelson Mandela UPA</v>
          </cell>
          <cell r="H3112" t="str">
            <v>consulta_externa</v>
          </cell>
          <cell r="J3112" t="str">
            <v>bueno</v>
          </cell>
          <cell r="K3112" t="str">
            <v>probsi</v>
          </cell>
        </row>
        <row r="3113">
          <cell r="B3113" t="b">
            <v>1</v>
          </cell>
          <cell r="E3113" t="str">
            <v>Nelson Mandela UPA</v>
          </cell>
          <cell r="H3113" t="str">
            <v>consulta_externa</v>
          </cell>
          <cell r="J3113" t="str">
            <v>bueno</v>
          </cell>
          <cell r="K3113" t="str">
            <v>probsi</v>
          </cell>
        </row>
        <row r="3114">
          <cell r="B3114" t="b">
            <v>1</v>
          </cell>
          <cell r="E3114" t="str">
            <v>Nelson Mandela UPA</v>
          </cell>
          <cell r="H3114" t="str">
            <v>salud_oral</v>
          </cell>
          <cell r="J3114" t="str">
            <v>bueno</v>
          </cell>
          <cell r="K3114" t="str">
            <v>probsi</v>
          </cell>
        </row>
        <row r="3115">
          <cell r="B3115" t="b">
            <v>1</v>
          </cell>
          <cell r="E3115" t="str">
            <v>Nelson Mandela UPA</v>
          </cell>
          <cell r="H3115" t="str">
            <v>salud_oral</v>
          </cell>
          <cell r="J3115" t="str">
            <v>bueno</v>
          </cell>
          <cell r="K3115" t="str">
            <v>probsi</v>
          </cell>
        </row>
        <row r="3116">
          <cell r="B3116" t="b">
            <v>1</v>
          </cell>
          <cell r="E3116" t="str">
            <v>Nelson Mandela UPA</v>
          </cell>
          <cell r="H3116" t="str">
            <v>salud_oral</v>
          </cell>
          <cell r="J3116" t="str">
            <v>bueno</v>
          </cell>
          <cell r="K3116" t="str">
            <v>probsi</v>
          </cell>
        </row>
        <row r="3117">
          <cell r="B3117" t="b">
            <v>1</v>
          </cell>
          <cell r="E3117" t="str">
            <v>Nelson Mandela UPA</v>
          </cell>
          <cell r="H3117" t="str">
            <v>salud_oral</v>
          </cell>
          <cell r="J3117" t="str">
            <v>bueno</v>
          </cell>
          <cell r="K3117" t="str">
            <v>probsi</v>
          </cell>
        </row>
        <row r="3118">
          <cell r="B3118" t="b">
            <v>1</v>
          </cell>
          <cell r="E3118" t="str">
            <v>Nelson Mandela UPA</v>
          </cell>
          <cell r="H3118" t="str">
            <v>salud_oral</v>
          </cell>
          <cell r="J3118" t="str">
            <v>bueno</v>
          </cell>
          <cell r="K3118" t="str">
            <v>probsi</v>
          </cell>
        </row>
        <row r="3119">
          <cell r="B3119" t="b">
            <v>0</v>
          </cell>
          <cell r="E3119" t="str">
            <v>Nelson Mandela UPA</v>
          </cell>
          <cell r="H3119" t="str">
            <v>laboratorio</v>
          </cell>
          <cell r="J3119" t="str">
            <v>regular</v>
          </cell>
          <cell r="K3119" t="str">
            <v>probsi</v>
          </cell>
        </row>
        <row r="3120">
          <cell r="B3120" t="b">
            <v>1</v>
          </cell>
          <cell r="E3120" t="str">
            <v>Nelson Mandela UPA</v>
          </cell>
          <cell r="H3120" t="str">
            <v>laboratorio</v>
          </cell>
          <cell r="J3120" t="str">
            <v>bueno</v>
          </cell>
          <cell r="K3120" t="str">
            <v>probsi</v>
          </cell>
        </row>
        <row r="3121">
          <cell r="B3121" t="b">
            <v>1</v>
          </cell>
          <cell r="E3121" t="str">
            <v>Nelson Mandela UPA</v>
          </cell>
          <cell r="H3121" t="str">
            <v>laboratorio</v>
          </cell>
          <cell r="J3121" t="str">
            <v>bueno</v>
          </cell>
          <cell r="K3121" t="str">
            <v>probsi</v>
          </cell>
        </row>
        <row r="3122">
          <cell r="B3122" t="b">
            <v>1</v>
          </cell>
          <cell r="E3122" t="str">
            <v>Nelson Mandela UPA</v>
          </cell>
          <cell r="H3122" t="str">
            <v>laboratorio</v>
          </cell>
          <cell r="J3122" t="str">
            <v>bueno</v>
          </cell>
          <cell r="K3122" t="str">
            <v>probsi</v>
          </cell>
        </row>
        <row r="3123">
          <cell r="B3123" t="b">
            <v>1</v>
          </cell>
          <cell r="E3123" t="str">
            <v>Nelson Mandela UPA</v>
          </cell>
          <cell r="H3123" t="str">
            <v>laboratorio</v>
          </cell>
          <cell r="J3123" t="str">
            <v>bueno</v>
          </cell>
          <cell r="K3123" t="str">
            <v>probsi</v>
          </cell>
        </row>
        <row r="3124">
          <cell r="B3124" t="b">
            <v>1</v>
          </cell>
          <cell r="E3124" t="str">
            <v>Nelson Mandela UPA</v>
          </cell>
          <cell r="H3124" t="str">
            <v>laboratorio</v>
          </cell>
          <cell r="J3124" t="str">
            <v>bueno</v>
          </cell>
          <cell r="K3124" t="str">
            <v>probsi</v>
          </cell>
        </row>
        <row r="3125">
          <cell r="B3125" t="b">
            <v>1</v>
          </cell>
          <cell r="E3125" t="str">
            <v>Nelson Mandela UPA</v>
          </cell>
          <cell r="H3125" t="str">
            <v>laboratorio</v>
          </cell>
          <cell r="J3125" t="str">
            <v>bueno</v>
          </cell>
          <cell r="K3125" t="str">
            <v>probsi</v>
          </cell>
        </row>
        <row r="3126">
          <cell r="B3126" t="b">
            <v>1</v>
          </cell>
          <cell r="E3126" t="str">
            <v>Nelson Mandela UPA</v>
          </cell>
          <cell r="H3126" t="str">
            <v>laboratorio</v>
          </cell>
          <cell r="J3126" t="str">
            <v>bueno</v>
          </cell>
          <cell r="K3126" t="str">
            <v>probsi</v>
          </cell>
        </row>
        <row r="3127">
          <cell r="B3127" t="b">
            <v>1</v>
          </cell>
          <cell r="E3127" t="str">
            <v>Nelson Mandela UPA</v>
          </cell>
          <cell r="H3127" t="str">
            <v>urgencia</v>
          </cell>
          <cell r="J3127" t="str">
            <v>bueno</v>
          </cell>
          <cell r="K3127" t="str">
            <v>probsi</v>
          </cell>
        </row>
        <row r="3128">
          <cell r="B3128" t="b">
            <v>1</v>
          </cell>
          <cell r="E3128" t="str">
            <v>Nelson Mandela UPA</v>
          </cell>
          <cell r="H3128" t="str">
            <v>urgencia</v>
          </cell>
          <cell r="J3128" t="str">
            <v>bueno</v>
          </cell>
          <cell r="K3128" t="str">
            <v>probsi</v>
          </cell>
        </row>
        <row r="3129">
          <cell r="B3129" t="b">
            <v>1</v>
          </cell>
          <cell r="E3129" t="str">
            <v>Nelson Mandela UPA</v>
          </cell>
          <cell r="H3129" t="str">
            <v>urgencia</v>
          </cell>
          <cell r="J3129" t="str">
            <v>bueno</v>
          </cell>
          <cell r="K3129" t="str">
            <v>probsi</v>
          </cell>
        </row>
        <row r="3130">
          <cell r="B3130" t="b">
            <v>1</v>
          </cell>
          <cell r="E3130" t="str">
            <v>Nelson Mandela UPA</v>
          </cell>
          <cell r="H3130" t="str">
            <v>urgencia</v>
          </cell>
          <cell r="J3130" t="str">
            <v>bueno</v>
          </cell>
          <cell r="K3130" t="str">
            <v>probsi</v>
          </cell>
        </row>
        <row r="3131">
          <cell r="B3131" t="b">
            <v>1</v>
          </cell>
          <cell r="E3131" t="str">
            <v>Nelson Mandela UPA</v>
          </cell>
          <cell r="H3131" t="str">
            <v>urgencia</v>
          </cell>
          <cell r="J3131" t="str">
            <v>bueno</v>
          </cell>
          <cell r="K3131" t="str">
            <v>probsi</v>
          </cell>
        </row>
        <row r="3132">
          <cell r="B3132" t="b">
            <v>1</v>
          </cell>
          <cell r="E3132" t="str">
            <v>Nelson Mandela UPA</v>
          </cell>
          <cell r="H3132" t="str">
            <v>urgencia</v>
          </cell>
          <cell r="J3132" t="str">
            <v>bueno</v>
          </cell>
          <cell r="K3132" t="str">
            <v>probsi</v>
          </cell>
        </row>
        <row r="3133">
          <cell r="B3133" t="b">
            <v>1</v>
          </cell>
          <cell r="E3133" t="str">
            <v>Nelson Mandela UPA</v>
          </cell>
          <cell r="H3133" t="str">
            <v>urgencia</v>
          </cell>
          <cell r="J3133" t="str">
            <v>bueno</v>
          </cell>
          <cell r="K3133" t="str">
            <v>probsi</v>
          </cell>
        </row>
        <row r="3134">
          <cell r="B3134" t="b">
            <v>1</v>
          </cell>
          <cell r="E3134" t="str">
            <v>Nelson Mandela UPA</v>
          </cell>
          <cell r="H3134" t="str">
            <v>urgencia</v>
          </cell>
          <cell r="J3134" t="str">
            <v>bueno</v>
          </cell>
          <cell r="K3134" t="str">
            <v>probsi</v>
          </cell>
        </row>
        <row r="3135">
          <cell r="B3135" t="b">
            <v>1</v>
          </cell>
          <cell r="E3135" t="str">
            <v>Nelson Mandela UPA</v>
          </cell>
          <cell r="H3135" t="str">
            <v>salud_oral</v>
          </cell>
          <cell r="J3135" t="str">
            <v>bueno</v>
          </cell>
          <cell r="K3135" t="str">
            <v>probsi</v>
          </cell>
        </row>
        <row r="3136">
          <cell r="B3136" t="b">
            <v>0</v>
          </cell>
          <cell r="E3136" t="str">
            <v>Nelson Mandela UPA</v>
          </cell>
          <cell r="H3136" t="str">
            <v>urgencia</v>
          </cell>
          <cell r="J3136" t="str">
            <v>regular</v>
          </cell>
          <cell r="K3136" t="str">
            <v>probsi</v>
          </cell>
        </row>
        <row r="3137">
          <cell r="B3137" t="b">
            <v>1</v>
          </cell>
          <cell r="E3137" t="str">
            <v>Nelson Mandela UPA</v>
          </cell>
          <cell r="H3137" t="str">
            <v>urgencia</v>
          </cell>
          <cell r="J3137" t="str">
            <v>bueno</v>
          </cell>
          <cell r="K3137" t="str">
            <v>probsi</v>
          </cell>
        </row>
        <row r="3138">
          <cell r="B3138" t="b">
            <v>1</v>
          </cell>
          <cell r="E3138" t="str">
            <v>Nelson Mandela UPA</v>
          </cell>
          <cell r="H3138" t="str">
            <v>urgencia</v>
          </cell>
          <cell r="J3138" t="str">
            <v>bueno</v>
          </cell>
          <cell r="K3138" t="str">
            <v>probsi</v>
          </cell>
        </row>
        <row r="3139">
          <cell r="B3139" t="b">
            <v>1</v>
          </cell>
          <cell r="E3139" t="str">
            <v>Nelson Mandela UPA</v>
          </cell>
          <cell r="H3139" t="str">
            <v>urgencia</v>
          </cell>
          <cell r="J3139" t="str">
            <v>bueno</v>
          </cell>
          <cell r="K3139" t="str">
            <v>probsi</v>
          </cell>
        </row>
        <row r="3140">
          <cell r="B3140" t="b">
            <v>1</v>
          </cell>
          <cell r="E3140" t="str">
            <v>Nelson Mandela UPA</v>
          </cell>
          <cell r="H3140" t="str">
            <v>urgencia</v>
          </cell>
          <cell r="J3140" t="str">
            <v>bueno</v>
          </cell>
          <cell r="K3140" t="str">
            <v>probsi</v>
          </cell>
        </row>
        <row r="3141">
          <cell r="B3141" t="b">
            <v>1</v>
          </cell>
          <cell r="E3141" t="str">
            <v>Pontezuela</v>
          </cell>
          <cell r="H3141" t="str">
            <v>consulta_externa</v>
          </cell>
          <cell r="J3141" t="str">
            <v>bueno</v>
          </cell>
          <cell r="K3141" t="str">
            <v>defsi</v>
          </cell>
        </row>
        <row r="3142">
          <cell r="B3142" t="b">
            <v>1</v>
          </cell>
          <cell r="E3142" t="str">
            <v>Pontezuela</v>
          </cell>
          <cell r="H3142" t="str">
            <v>salud_oral</v>
          </cell>
          <cell r="J3142" t="str">
            <v>bueno</v>
          </cell>
          <cell r="K3142" t="str">
            <v>defsi</v>
          </cell>
        </row>
        <row r="3143">
          <cell r="B3143" t="b">
            <v>1</v>
          </cell>
          <cell r="E3143" t="str">
            <v>Pontezuela</v>
          </cell>
          <cell r="H3143" t="str">
            <v>laboratorio</v>
          </cell>
          <cell r="J3143" t="str">
            <v>bueno</v>
          </cell>
          <cell r="K3143" t="str">
            <v>defsi</v>
          </cell>
        </row>
        <row r="3144">
          <cell r="B3144" t="b">
            <v>1</v>
          </cell>
          <cell r="E3144" t="str">
            <v>Pontezuela</v>
          </cell>
          <cell r="H3144" t="str">
            <v>consulta_externa</v>
          </cell>
          <cell r="J3144" t="str">
            <v>bueno</v>
          </cell>
          <cell r="K3144" t="str">
            <v>defsi</v>
          </cell>
        </row>
        <row r="3145">
          <cell r="B3145" t="b">
            <v>1</v>
          </cell>
          <cell r="E3145" t="str">
            <v>Pontezuela</v>
          </cell>
          <cell r="H3145" t="str">
            <v>salud_oral</v>
          </cell>
          <cell r="J3145" t="str">
            <v>bueno</v>
          </cell>
          <cell r="K3145" t="str">
            <v>defsi</v>
          </cell>
        </row>
        <row r="3146">
          <cell r="B3146" t="b">
            <v>1</v>
          </cell>
          <cell r="E3146" t="str">
            <v>Pontezuela</v>
          </cell>
          <cell r="H3146" t="str">
            <v>laboratorio</v>
          </cell>
          <cell r="J3146" t="str">
            <v>bueno</v>
          </cell>
          <cell r="K3146" t="str">
            <v>defsi</v>
          </cell>
        </row>
        <row r="3147">
          <cell r="B3147" t="b">
            <v>1</v>
          </cell>
          <cell r="E3147" t="str">
            <v>Manzanillo</v>
          </cell>
          <cell r="H3147" t="str">
            <v>consulta_externa</v>
          </cell>
          <cell r="J3147" t="str">
            <v>bueno</v>
          </cell>
          <cell r="K3147" t="str">
            <v>defsi</v>
          </cell>
        </row>
        <row r="3148">
          <cell r="B3148" t="b">
            <v>1</v>
          </cell>
          <cell r="E3148" t="str">
            <v>Manzanillo</v>
          </cell>
          <cell r="H3148" t="str">
            <v>laboratorio</v>
          </cell>
          <cell r="J3148" t="str">
            <v>bueno</v>
          </cell>
          <cell r="K3148" t="str">
            <v>defsi</v>
          </cell>
        </row>
        <row r="3149">
          <cell r="B3149" t="b">
            <v>1</v>
          </cell>
          <cell r="E3149" t="str">
            <v>Manzanillo</v>
          </cell>
          <cell r="H3149" t="str">
            <v>salud_oral</v>
          </cell>
          <cell r="J3149" t="str">
            <v>bueno</v>
          </cell>
          <cell r="K3149" t="str">
            <v>defsi</v>
          </cell>
        </row>
        <row r="3150">
          <cell r="B3150" t="b">
            <v>1</v>
          </cell>
          <cell r="E3150" t="str">
            <v>Manzanillo</v>
          </cell>
          <cell r="H3150" t="str">
            <v>salud_oral</v>
          </cell>
          <cell r="J3150" t="str">
            <v>bueno</v>
          </cell>
          <cell r="K3150" t="str">
            <v>defsi</v>
          </cell>
        </row>
        <row r="3151">
          <cell r="B3151" t="b">
            <v>1</v>
          </cell>
          <cell r="E3151" t="str">
            <v>Manzanillo</v>
          </cell>
          <cell r="H3151" t="str">
            <v>laboratorio</v>
          </cell>
          <cell r="J3151" t="str">
            <v>bueno</v>
          </cell>
          <cell r="K3151" t="str">
            <v>defsi</v>
          </cell>
        </row>
        <row r="3152">
          <cell r="B3152" t="b">
            <v>1</v>
          </cell>
          <cell r="E3152" t="str">
            <v>Manzanillo</v>
          </cell>
          <cell r="H3152" t="str">
            <v>consulta_externa</v>
          </cell>
          <cell r="J3152" t="str">
            <v>bueno</v>
          </cell>
          <cell r="K3152" t="str">
            <v>defsi</v>
          </cell>
        </row>
        <row r="3153">
          <cell r="B3153" t="b">
            <v>1</v>
          </cell>
          <cell r="E3153" t="str">
            <v>Manzanillo</v>
          </cell>
          <cell r="H3153" t="str">
            <v>laboratorio</v>
          </cell>
          <cell r="J3153" t="str">
            <v>bueno</v>
          </cell>
          <cell r="K3153" t="str">
            <v>defsi</v>
          </cell>
        </row>
        <row r="3154">
          <cell r="B3154" t="b">
            <v>1</v>
          </cell>
          <cell r="E3154" t="str">
            <v>Manzanillo</v>
          </cell>
          <cell r="H3154" t="str">
            <v>salud_oral</v>
          </cell>
          <cell r="J3154" t="str">
            <v>bueno</v>
          </cell>
          <cell r="K3154" t="str">
            <v>defsi</v>
          </cell>
        </row>
        <row r="3155">
          <cell r="B3155" t="b">
            <v>1</v>
          </cell>
          <cell r="E3155" t="str">
            <v>Manzanillo</v>
          </cell>
          <cell r="H3155" t="str">
            <v>consulta_externa</v>
          </cell>
          <cell r="J3155" t="str">
            <v>bueno</v>
          </cell>
          <cell r="K3155" t="str">
            <v>defsi</v>
          </cell>
        </row>
        <row r="3156">
          <cell r="B3156" t="b">
            <v>1</v>
          </cell>
          <cell r="E3156" t="str">
            <v>Manzanillo</v>
          </cell>
          <cell r="H3156" t="str">
            <v>consulta_externa</v>
          </cell>
          <cell r="J3156" t="str">
            <v>bueno</v>
          </cell>
          <cell r="K3156" t="str">
            <v>defsi</v>
          </cell>
        </row>
        <row r="3157">
          <cell r="B3157" t="b">
            <v>1</v>
          </cell>
          <cell r="E3157" t="str">
            <v>Manzanillo</v>
          </cell>
          <cell r="H3157" t="str">
            <v>laboratorio</v>
          </cell>
          <cell r="J3157" t="str">
            <v>bueno</v>
          </cell>
          <cell r="K3157" t="str">
            <v>defsi</v>
          </cell>
        </row>
        <row r="3158">
          <cell r="B3158" t="b">
            <v>1</v>
          </cell>
          <cell r="E3158" t="str">
            <v>Manzanillo</v>
          </cell>
          <cell r="H3158" t="str">
            <v>salud_oral</v>
          </cell>
          <cell r="J3158" t="str">
            <v>bueno</v>
          </cell>
          <cell r="K3158" t="str">
            <v>defsi</v>
          </cell>
        </row>
        <row r="3159">
          <cell r="B3159" t="b">
            <v>1</v>
          </cell>
          <cell r="E3159" t="str">
            <v>Manzanillo</v>
          </cell>
          <cell r="H3159" t="str">
            <v>laboratorio</v>
          </cell>
          <cell r="J3159" t="str">
            <v>bueno</v>
          </cell>
          <cell r="K3159" t="str">
            <v>defsi</v>
          </cell>
        </row>
        <row r="3160">
          <cell r="B3160" t="b">
            <v>1</v>
          </cell>
          <cell r="E3160" t="str">
            <v>Manzanillo</v>
          </cell>
          <cell r="H3160" t="str">
            <v>laboratorio</v>
          </cell>
          <cell r="J3160" t="str">
            <v>bueno</v>
          </cell>
          <cell r="K3160" t="str">
            <v>defsi</v>
          </cell>
        </row>
        <row r="3161">
          <cell r="B3161" t="b">
            <v>1</v>
          </cell>
          <cell r="E3161" t="str">
            <v>Manzanillo</v>
          </cell>
          <cell r="H3161" t="str">
            <v>laboratorio</v>
          </cell>
          <cell r="J3161" t="str">
            <v>bueno</v>
          </cell>
          <cell r="K3161" t="str">
            <v>defsi</v>
          </cell>
        </row>
        <row r="3162">
          <cell r="B3162" t="b">
            <v>1</v>
          </cell>
          <cell r="E3162" t="str">
            <v>Manzanillo</v>
          </cell>
          <cell r="H3162" t="str">
            <v>salud_oral</v>
          </cell>
          <cell r="J3162" t="str">
            <v>bueno</v>
          </cell>
          <cell r="K3162" t="str">
            <v>defsi</v>
          </cell>
        </row>
        <row r="3163">
          <cell r="B3163" t="b">
            <v>1</v>
          </cell>
          <cell r="E3163" t="str">
            <v>Manzanillo</v>
          </cell>
          <cell r="H3163" t="str">
            <v>consulta_externa</v>
          </cell>
          <cell r="J3163" t="str">
            <v>bueno</v>
          </cell>
          <cell r="K3163" t="str">
            <v>defsi</v>
          </cell>
        </row>
        <row r="3164">
          <cell r="B3164" t="b">
            <v>1</v>
          </cell>
          <cell r="E3164" t="str">
            <v>Baru</v>
          </cell>
          <cell r="H3164" t="str">
            <v>consulta_externa</v>
          </cell>
          <cell r="J3164" t="str">
            <v>muybueno</v>
          </cell>
          <cell r="K3164" t="str">
            <v>defsi</v>
          </cell>
        </row>
        <row r="3165">
          <cell r="B3165" t="b">
            <v>1</v>
          </cell>
          <cell r="E3165" t="str">
            <v>Baru</v>
          </cell>
          <cell r="H3165" t="str">
            <v>laboratorio</v>
          </cell>
          <cell r="J3165" t="str">
            <v>muybueno</v>
          </cell>
          <cell r="K3165" t="str">
            <v>defsi</v>
          </cell>
        </row>
        <row r="3166">
          <cell r="B3166" t="b">
            <v>1</v>
          </cell>
          <cell r="E3166" t="str">
            <v>Pozon</v>
          </cell>
          <cell r="H3166" t="str">
            <v>consulta_externa</v>
          </cell>
          <cell r="J3166" t="str">
            <v>bueno</v>
          </cell>
          <cell r="K3166" t="str">
            <v>defsi</v>
          </cell>
        </row>
        <row r="3167">
          <cell r="B3167" t="b">
            <v>1</v>
          </cell>
          <cell r="E3167" t="str">
            <v>Baru</v>
          </cell>
          <cell r="H3167" t="str">
            <v>consulta_externa</v>
          </cell>
          <cell r="J3167" t="str">
            <v>muybueno</v>
          </cell>
          <cell r="K3167" t="str">
            <v>defsi</v>
          </cell>
        </row>
        <row r="3168">
          <cell r="B3168" t="b">
            <v>1</v>
          </cell>
          <cell r="E3168" t="str">
            <v>Pozon</v>
          </cell>
          <cell r="H3168" t="str">
            <v>salud_oral</v>
          </cell>
          <cell r="J3168" t="str">
            <v>bueno</v>
          </cell>
          <cell r="K3168" t="str">
            <v>defsi</v>
          </cell>
        </row>
        <row r="3169">
          <cell r="B3169" t="b">
            <v>1</v>
          </cell>
          <cell r="E3169" t="str">
            <v>Manzanillo</v>
          </cell>
          <cell r="H3169" t="str">
            <v>laboratorio</v>
          </cell>
          <cell r="J3169" t="str">
            <v>bueno</v>
          </cell>
          <cell r="K3169" t="str">
            <v>defsi</v>
          </cell>
        </row>
        <row r="3170">
          <cell r="B3170" t="b">
            <v>1</v>
          </cell>
          <cell r="E3170" t="str">
            <v>Foco Rojo</v>
          </cell>
          <cell r="H3170" t="str">
            <v>laboratorio</v>
          </cell>
          <cell r="J3170" t="str">
            <v>bueno</v>
          </cell>
          <cell r="K3170" t="str">
            <v>probsi</v>
          </cell>
        </row>
        <row r="3171">
          <cell r="B3171" t="b">
            <v>1</v>
          </cell>
          <cell r="E3171" t="str">
            <v>Foco Rojo</v>
          </cell>
          <cell r="H3171" t="str">
            <v>laboratorio</v>
          </cell>
          <cell r="J3171" t="str">
            <v>bueno</v>
          </cell>
          <cell r="K3171" t="str">
            <v>probsi</v>
          </cell>
        </row>
        <row r="3172">
          <cell r="B3172" t="b">
            <v>1</v>
          </cell>
          <cell r="E3172" t="str">
            <v>Foco Rojo</v>
          </cell>
          <cell r="H3172" t="str">
            <v>laboratorio</v>
          </cell>
          <cell r="J3172" t="str">
            <v>bueno</v>
          </cell>
          <cell r="K3172" t="str">
            <v>probsi</v>
          </cell>
        </row>
        <row r="3173">
          <cell r="B3173" t="b">
            <v>1</v>
          </cell>
          <cell r="E3173" t="str">
            <v>Foco Rojo</v>
          </cell>
          <cell r="H3173" t="str">
            <v>laboratorio</v>
          </cell>
          <cell r="J3173" t="str">
            <v>bueno</v>
          </cell>
          <cell r="K3173" t="str">
            <v>probsi</v>
          </cell>
        </row>
        <row r="3174">
          <cell r="B3174" t="b">
            <v>1</v>
          </cell>
          <cell r="E3174" t="str">
            <v>Foco Rojo</v>
          </cell>
          <cell r="H3174" t="str">
            <v>laboratorio</v>
          </cell>
          <cell r="J3174" t="str">
            <v>bueno</v>
          </cell>
          <cell r="K3174" t="str">
            <v>probsi</v>
          </cell>
        </row>
        <row r="3175">
          <cell r="B3175" t="b">
            <v>1</v>
          </cell>
          <cell r="E3175" t="str">
            <v>Foco Rojo</v>
          </cell>
          <cell r="H3175" t="str">
            <v>laboratorio</v>
          </cell>
          <cell r="J3175" t="str">
            <v>bueno</v>
          </cell>
          <cell r="K3175" t="str">
            <v>probsi</v>
          </cell>
        </row>
        <row r="3176">
          <cell r="B3176" t="b">
            <v>1</v>
          </cell>
          <cell r="E3176" t="str">
            <v>Foco Rojo</v>
          </cell>
          <cell r="H3176" t="str">
            <v>laboratorio</v>
          </cell>
          <cell r="J3176" t="str">
            <v>bueno</v>
          </cell>
          <cell r="K3176" t="str">
            <v>probsi</v>
          </cell>
        </row>
        <row r="3177">
          <cell r="B3177" t="b">
            <v>1</v>
          </cell>
          <cell r="E3177" t="str">
            <v>Foco Rojo</v>
          </cell>
          <cell r="H3177" t="str">
            <v>laboratorio</v>
          </cell>
          <cell r="J3177" t="str">
            <v>bueno</v>
          </cell>
          <cell r="K3177" t="str">
            <v>probsi</v>
          </cell>
        </row>
        <row r="3178">
          <cell r="B3178" t="b">
            <v>1</v>
          </cell>
          <cell r="E3178" t="str">
            <v>Manzanillo</v>
          </cell>
          <cell r="H3178" t="str">
            <v>laboratorio</v>
          </cell>
          <cell r="J3178" t="str">
            <v>bueno</v>
          </cell>
          <cell r="K3178" t="str">
            <v>defsi</v>
          </cell>
        </row>
        <row r="3179">
          <cell r="B3179" t="b">
            <v>1</v>
          </cell>
          <cell r="E3179" t="str">
            <v>Pozon</v>
          </cell>
          <cell r="H3179" t="str">
            <v>laboratorio</v>
          </cell>
          <cell r="J3179" t="str">
            <v>bueno</v>
          </cell>
          <cell r="K3179" t="str">
            <v>defsi</v>
          </cell>
        </row>
        <row r="3180">
          <cell r="B3180" t="b">
            <v>1</v>
          </cell>
          <cell r="E3180" t="str">
            <v>Manzanillo</v>
          </cell>
          <cell r="H3180" t="str">
            <v>laboratorio</v>
          </cell>
          <cell r="J3180" t="str">
            <v>bueno</v>
          </cell>
          <cell r="K3180" t="str">
            <v>defsi</v>
          </cell>
        </row>
        <row r="3181">
          <cell r="B3181" t="b">
            <v>1</v>
          </cell>
          <cell r="E3181" t="str">
            <v>Foco Rojo</v>
          </cell>
          <cell r="H3181" t="str">
            <v>consulta_externa</v>
          </cell>
          <cell r="J3181" t="str">
            <v>bueno</v>
          </cell>
          <cell r="K3181" t="str">
            <v>probsi</v>
          </cell>
        </row>
        <row r="3182">
          <cell r="B3182" t="b">
            <v>1</v>
          </cell>
          <cell r="E3182" t="str">
            <v>Manzanillo</v>
          </cell>
          <cell r="H3182" t="str">
            <v>salud_oral</v>
          </cell>
          <cell r="J3182" t="str">
            <v>bueno</v>
          </cell>
          <cell r="K3182" t="str">
            <v>defsi</v>
          </cell>
        </row>
        <row r="3183">
          <cell r="B3183" t="b">
            <v>1</v>
          </cell>
          <cell r="E3183" t="str">
            <v>Foco Rojo</v>
          </cell>
          <cell r="H3183" t="str">
            <v>consulta_externa</v>
          </cell>
          <cell r="J3183" t="str">
            <v>bueno</v>
          </cell>
          <cell r="K3183" t="str">
            <v>probsi</v>
          </cell>
        </row>
        <row r="3184">
          <cell r="B3184" t="b">
            <v>1</v>
          </cell>
          <cell r="E3184" t="str">
            <v>Manzanillo</v>
          </cell>
          <cell r="H3184" t="str">
            <v>consulta_externa</v>
          </cell>
          <cell r="J3184" t="str">
            <v>bueno</v>
          </cell>
          <cell r="K3184" t="str">
            <v>defsi</v>
          </cell>
        </row>
        <row r="3185">
          <cell r="B3185" t="b">
            <v>1</v>
          </cell>
          <cell r="E3185" t="str">
            <v>Foco Rojo</v>
          </cell>
          <cell r="H3185" t="str">
            <v>salud_oral</v>
          </cell>
          <cell r="J3185" t="str">
            <v>bueno</v>
          </cell>
          <cell r="K3185" t="str">
            <v>probsi</v>
          </cell>
        </row>
        <row r="3186">
          <cell r="B3186" t="b">
            <v>1</v>
          </cell>
          <cell r="E3186" t="str">
            <v>Pozon</v>
          </cell>
          <cell r="H3186" t="str">
            <v>consulta_externa</v>
          </cell>
          <cell r="J3186" t="str">
            <v>bueno</v>
          </cell>
          <cell r="K3186" t="str">
            <v>defsi</v>
          </cell>
        </row>
        <row r="3187">
          <cell r="B3187" t="b">
            <v>1</v>
          </cell>
          <cell r="E3187" t="str">
            <v>Manzanillo</v>
          </cell>
          <cell r="H3187" t="str">
            <v>consulta_externa</v>
          </cell>
          <cell r="J3187" t="str">
            <v>bueno</v>
          </cell>
          <cell r="K3187" t="str">
            <v>defsi</v>
          </cell>
        </row>
        <row r="3188">
          <cell r="B3188" t="b">
            <v>1</v>
          </cell>
          <cell r="E3188" t="str">
            <v>Manzanillo</v>
          </cell>
          <cell r="H3188" t="str">
            <v>laboratorio</v>
          </cell>
          <cell r="J3188" t="str">
            <v>bueno</v>
          </cell>
          <cell r="K3188" t="str">
            <v>defsi</v>
          </cell>
        </row>
        <row r="3189">
          <cell r="B3189" t="b">
            <v>1</v>
          </cell>
          <cell r="E3189" t="str">
            <v>Baru</v>
          </cell>
          <cell r="H3189" t="str">
            <v>salud_oral</v>
          </cell>
          <cell r="J3189" t="str">
            <v>muybueno</v>
          </cell>
          <cell r="K3189" t="str">
            <v>defsi</v>
          </cell>
        </row>
        <row r="3190">
          <cell r="B3190" t="b">
            <v>1</v>
          </cell>
          <cell r="E3190" t="str">
            <v>Manzanillo</v>
          </cell>
          <cell r="H3190" t="str">
            <v>salud_oral</v>
          </cell>
          <cell r="J3190" t="str">
            <v>bueno</v>
          </cell>
          <cell r="K3190" t="str">
            <v>defsi</v>
          </cell>
        </row>
        <row r="3191">
          <cell r="B3191" t="b">
            <v>1</v>
          </cell>
          <cell r="E3191" t="str">
            <v>Pozon</v>
          </cell>
          <cell r="H3191" t="str">
            <v>salud_oral</v>
          </cell>
          <cell r="J3191" t="str">
            <v>bueno</v>
          </cell>
          <cell r="K3191" t="str">
            <v>defsi</v>
          </cell>
        </row>
        <row r="3192">
          <cell r="B3192" t="b">
            <v>1</v>
          </cell>
          <cell r="E3192" t="str">
            <v>Pozon</v>
          </cell>
          <cell r="H3192" t="str">
            <v>laboratorio</v>
          </cell>
          <cell r="J3192" t="str">
            <v>bueno</v>
          </cell>
          <cell r="K3192" t="str">
            <v>defsi</v>
          </cell>
        </row>
        <row r="3193">
          <cell r="B3193" t="b">
            <v>1</v>
          </cell>
          <cell r="E3193" t="str">
            <v>Pozon</v>
          </cell>
          <cell r="H3193" t="str">
            <v>consulta_externa</v>
          </cell>
          <cell r="J3193" t="str">
            <v>bueno</v>
          </cell>
          <cell r="K3193" t="str">
            <v>defsi</v>
          </cell>
        </row>
        <row r="3194">
          <cell r="B3194" t="b">
            <v>1</v>
          </cell>
          <cell r="E3194" t="str">
            <v>Pozon</v>
          </cell>
          <cell r="H3194" t="str">
            <v>salud_oral</v>
          </cell>
          <cell r="J3194" t="str">
            <v>bueno</v>
          </cell>
          <cell r="K3194" t="str">
            <v>defsi</v>
          </cell>
        </row>
        <row r="3195">
          <cell r="B3195" t="b">
            <v>1</v>
          </cell>
          <cell r="E3195" t="str">
            <v>Manzanillo</v>
          </cell>
          <cell r="H3195" t="str">
            <v>laboratorio</v>
          </cell>
          <cell r="J3195" t="str">
            <v>bueno</v>
          </cell>
          <cell r="K3195" t="str">
            <v>defsi</v>
          </cell>
        </row>
        <row r="3196">
          <cell r="B3196" t="b">
            <v>1</v>
          </cell>
          <cell r="E3196" t="str">
            <v>Pozon</v>
          </cell>
          <cell r="H3196" t="str">
            <v>laboratorio</v>
          </cell>
          <cell r="J3196" t="str">
            <v>bueno</v>
          </cell>
          <cell r="K3196" t="str">
            <v>defsi</v>
          </cell>
        </row>
        <row r="3197">
          <cell r="B3197" t="b">
            <v>1</v>
          </cell>
          <cell r="E3197" t="str">
            <v>Manzanillo</v>
          </cell>
          <cell r="H3197" t="str">
            <v>consulta_externa</v>
          </cell>
          <cell r="J3197" t="str">
            <v>bueno</v>
          </cell>
          <cell r="K3197" t="str">
            <v>defsi</v>
          </cell>
        </row>
        <row r="3198">
          <cell r="B3198" t="b">
            <v>1</v>
          </cell>
          <cell r="E3198" t="str">
            <v>Manzanillo</v>
          </cell>
          <cell r="H3198" t="str">
            <v>salud_oral</v>
          </cell>
          <cell r="J3198" t="str">
            <v>bueno</v>
          </cell>
          <cell r="K3198" t="str">
            <v>defsi</v>
          </cell>
        </row>
        <row r="3199">
          <cell r="B3199" t="b">
            <v>1</v>
          </cell>
          <cell r="E3199" t="str">
            <v>Baru</v>
          </cell>
          <cell r="H3199" t="str">
            <v>consulta_externa</v>
          </cell>
          <cell r="J3199" t="str">
            <v>muybueno</v>
          </cell>
          <cell r="K3199" t="str">
            <v>defsi</v>
          </cell>
        </row>
        <row r="3200">
          <cell r="B3200" t="b">
            <v>1</v>
          </cell>
          <cell r="E3200" t="str">
            <v>Baru</v>
          </cell>
          <cell r="H3200" t="str">
            <v>laboratorio</v>
          </cell>
          <cell r="J3200" t="str">
            <v>muybueno</v>
          </cell>
          <cell r="K3200" t="str">
            <v>defsi</v>
          </cell>
        </row>
        <row r="3201">
          <cell r="B3201" t="b">
            <v>1</v>
          </cell>
          <cell r="E3201" t="str">
            <v>Pozon</v>
          </cell>
          <cell r="H3201" t="str">
            <v>consulta_externa</v>
          </cell>
          <cell r="J3201" t="str">
            <v>bueno</v>
          </cell>
          <cell r="K3201" t="str">
            <v>defsi</v>
          </cell>
        </row>
        <row r="3202">
          <cell r="B3202" t="b">
            <v>1</v>
          </cell>
          <cell r="E3202" t="str">
            <v>Pozon</v>
          </cell>
          <cell r="H3202" t="str">
            <v>salud_oral</v>
          </cell>
          <cell r="J3202" t="str">
            <v>bueno</v>
          </cell>
          <cell r="K3202" t="str">
            <v>defsi</v>
          </cell>
        </row>
        <row r="3203">
          <cell r="B3203" t="b">
            <v>1</v>
          </cell>
          <cell r="E3203" t="str">
            <v>Pozon</v>
          </cell>
          <cell r="H3203" t="str">
            <v>laboratorio</v>
          </cell>
          <cell r="J3203" t="str">
            <v>bueno</v>
          </cell>
          <cell r="K3203" t="str">
            <v>defsi</v>
          </cell>
        </row>
        <row r="3204">
          <cell r="B3204" t="b">
            <v>1</v>
          </cell>
          <cell r="E3204" t="str">
            <v>Foco Rojo</v>
          </cell>
          <cell r="H3204" t="str">
            <v>consulta_externa</v>
          </cell>
          <cell r="J3204" t="str">
            <v>bueno</v>
          </cell>
          <cell r="K3204" t="str">
            <v>probsi</v>
          </cell>
        </row>
        <row r="3205">
          <cell r="B3205" t="b">
            <v>1</v>
          </cell>
          <cell r="E3205" t="str">
            <v>Foco Rojo</v>
          </cell>
          <cell r="H3205" t="str">
            <v>salud_oral</v>
          </cell>
          <cell r="J3205" t="str">
            <v>bueno</v>
          </cell>
          <cell r="K3205" t="str">
            <v>probsi</v>
          </cell>
        </row>
        <row r="3206">
          <cell r="B3206" t="b">
            <v>1</v>
          </cell>
          <cell r="E3206" t="str">
            <v>Foco Rojo</v>
          </cell>
          <cell r="H3206" t="str">
            <v>salud_oral</v>
          </cell>
          <cell r="J3206" t="str">
            <v>bueno</v>
          </cell>
          <cell r="K3206" t="str">
            <v>probsi</v>
          </cell>
        </row>
        <row r="3207">
          <cell r="B3207" t="b">
            <v>1</v>
          </cell>
          <cell r="E3207" t="str">
            <v>Foco Rojo</v>
          </cell>
          <cell r="H3207" t="str">
            <v>consulta_externa</v>
          </cell>
          <cell r="J3207" t="str">
            <v>muybueno</v>
          </cell>
          <cell r="K3207" t="str">
            <v>probsi</v>
          </cell>
        </row>
        <row r="3208">
          <cell r="B3208" t="b">
            <v>1</v>
          </cell>
          <cell r="E3208" t="str">
            <v>Foco Rojo</v>
          </cell>
          <cell r="H3208" t="str">
            <v>laboratorio</v>
          </cell>
          <cell r="J3208" t="str">
            <v>bueno</v>
          </cell>
          <cell r="K3208" t="str">
            <v>probsi</v>
          </cell>
        </row>
        <row r="3209">
          <cell r="B3209" t="b">
            <v>1</v>
          </cell>
          <cell r="E3209" t="str">
            <v>Foco Rojo</v>
          </cell>
          <cell r="H3209" t="str">
            <v>salud_oral</v>
          </cell>
          <cell r="J3209" t="str">
            <v>bueno</v>
          </cell>
          <cell r="K3209" t="str">
            <v>probsi</v>
          </cell>
        </row>
        <row r="3210">
          <cell r="B3210" t="b">
            <v>1</v>
          </cell>
          <cell r="E3210" t="str">
            <v>Baru</v>
          </cell>
          <cell r="H3210" t="str">
            <v>laboratorio</v>
          </cell>
          <cell r="J3210" t="str">
            <v>muybueno</v>
          </cell>
          <cell r="K3210" t="str">
            <v>defsi</v>
          </cell>
        </row>
        <row r="3211">
          <cell r="B3211" t="b">
            <v>1</v>
          </cell>
          <cell r="E3211" t="str">
            <v>Foco Rojo</v>
          </cell>
          <cell r="H3211" t="str">
            <v>salud_oral</v>
          </cell>
          <cell r="J3211" t="str">
            <v>bueno</v>
          </cell>
          <cell r="K3211" t="str">
            <v>probsi</v>
          </cell>
        </row>
        <row r="3212">
          <cell r="B3212" t="b">
            <v>1</v>
          </cell>
          <cell r="E3212" t="str">
            <v>Foco Rojo</v>
          </cell>
          <cell r="H3212" t="str">
            <v>consulta_externa</v>
          </cell>
          <cell r="J3212" t="str">
            <v>bueno</v>
          </cell>
          <cell r="K3212" t="str">
            <v>probsi</v>
          </cell>
        </row>
        <row r="3213">
          <cell r="B3213" t="b">
            <v>1</v>
          </cell>
          <cell r="E3213" t="str">
            <v>Foco Rojo</v>
          </cell>
          <cell r="H3213" t="str">
            <v>salud_oral</v>
          </cell>
          <cell r="J3213" t="str">
            <v>bueno</v>
          </cell>
          <cell r="K3213" t="str">
            <v>probsi</v>
          </cell>
        </row>
        <row r="3214">
          <cell r="B3214" t="b">
            <v>1</v>
          </cell>
          <cell r="E3214" t="str">
            <v>Foco Rojo</v>
          </cell>
          <cell r="H3214" t="str">
            <v>laboratorio</v>
          </cell>
          <cell r="J3214" t="str">
            <v>bueno</v>
          </cell>
          <cell r="K3214" t="str">
            <v>probsi</v>
          </cell>
        </row>
        <row r="3215">
          <cell r="B3215" t="b">
            <v>1</v>
          </cell>
          <cell r="E3215" t="str">
            <v>Pozon</v>
          </cell>
          <cell r="H3215" t="str">
            <v>consulta_externa</v>
          </cell>
          <cell r="J3215" t="str">
            <v>bueno</v>
          </cell>
          <cell r="K3215" t="str">
            <v>defsi</v>
          </cell>
        </row>
        <row r="3216">
          <cell r="B3216" t="b">
            <v>1</v>
          </cell>
          <cell r="E3216" t="str">
            <v>Pozon</v>
          </cell>
          <cell r="H3216" t="str">
            <v>salud_oral</v>
          </cell>
          <cell r="J3216" t="str">
            <v>bueno</v>
          </cell>
          <cell r="K3216" t="str">
            <v>defsi</v>
          </cell>
        </row>
        <row r="3217">
          <cell r="B3217" t="b">
            <v>1</v>
          </cell>
          <cell r="E3217" t="str">
            <v>Socorro</v>
          </cell>
          <cell r="H3217" t="str">
            <v>ecografias</v>
          </cell>
          <cell r="J3217" t="str">
            <v>bueno</v>
          </cell>
          <cell r="K3217" t="str">
            <v>defsi</v>
          </cell>
        </row>
        <row r="3218">
          <cell r="B3218" t="b">
            <v>1</v>
          </cell>
          <cell r="E3218" t="str">
            <v>Socorro</v>
          </cell>
          <cell r="H3218" t="str">
            <v>ecografias</v>
          </cell>
          <cell r="J3218" t="str">
            <v>bueno</v>
          </cell>
          <cell r="K3218" t="str">
            <v>defsi</v>
          </cell>
        </row>
        <row r="3219">
          <cell r="B3219" t="b">
            <v>1</v>
          </cell>
          <cell r="E3219" t="str">
            <v>Foco Rojo</v>
          </cell>
          <cell r="H3219" t="str">
            <v>consulta_externa</v>
          </cell>
          <cell r="J3219" t="str">
            <v>bueno</v>
          </cell>
          <cell r="K3219" t="str">
            <v>probsi</v>
          </cell>
        </row>
        <row r="3220">
          <cell r="B3220" t="b">
            <v>1</v>
          </cell>
          <cell r="E3220" t="str">
            <v>Socorro</v>
          </cell>
          <cell r="H3220" t="str">
            <v>ecografias</v>
          </cell>
          <cell r="J3220" t="str">
            <v>bueno</v>
          </cell>
          <cell r="K3220" t="str">
            <v>defsi</v>
          </cell>
        </row>
        <row r="3221">
          <cell r="B3221" t="b">
            <v>1</v>
          </cell>
          <cell r="E3221" t="str">
            <v>Foco Rojo</v>
          </cell>
          <cell r="H3221" t="str">
            <v>laboratorio</v>
          </cell>
          <cell r="J3221" t="str">
            <v>bueno</v>
          </cell>
          <cell r="K3221" t="str">
            <v>probsi</v>
          </cell>
        </row>
        <row r="3222">
          <cell r="B3222" t="b">
            <v>1</v>
          </cell>
          <cell r="E3222" t="str">
            <v>Socorro</v>
          </cell>
          <cell r="H3222" t="str">
            <v>ecografias</v>
          </cell>
          <cell r="J3222" t="str">
            <v>bueno</v>
          </cell>
          <cell r="K3222" t="str">
            <v>defsi</v>
          </cell>
        </row>
        <row r="3223">
          <cell r="B3223" t="b">
            <v>1</v>
          </cell>
          <cell r="E3223" t="str">
            <v>Pozon</v>
          </cell>
          <cell r="H3223" t="str">
            <v>laboratorio</v>
          </cell>
          <cell r="J3223" t="str">
            <v>bueno</v>
          </cell>
          <cell r="K3223" t="str">
            <v>defsi</v>
          </cell>
        </row>
        <row r="3224">
          <cell r="B3224" t="b">
            <v>1</v>
          </cell>
          <cell r="E3224" t="str">
            <v>Arroyo de las Canoas</v>
          </cell>
          <cell r="H3224" t="str">
            <v>consulta_externa</v>
          </cell>
          <cell r="J3224" t="str">
            <v>bueno</v>
          </cell>
          <cell r="K3224" t="str">
            <v>probsi</v>
          </cell>
        </row>
        <row r="3225">
          <cell r="B3225" t="b">
            <v>1</v>
          </cell>
          <cell r="E3225" t="str">
            <v>Arroyo de las Canoas</v>
          </cell>
          <cell r="H3225" t="str">
            <v>consulta_externa</v>
          </cell>
          <cell r="J3225" t="str">
            <v>bueno</v>
          </cell>
          <cell r="K3225" t="str">
            <v>probsi</v>
          </cell>
        </row>
        <row r="3226">
          <cell r="B3226" t="b">
            <v>1</v>
          </cell>
          <cell r="E3226" t="str">
            <v>Arroyo de las Canoas</v>
          </cell>
          <cell r="H3226" t="str">
            <v>consulta_externa</v>
          </cell>
          <cell r="J3226" t="str">
            <v>bueno</v>
          </cell>
          <cell r="K3226" t="str">
            <v>probsi</v>
          </cell>
        </row>
        <row r="3227">
          <cell r="B3227" t="b">
            <v>1</v>
          </cell>
          <cell r="E3227" t="str">
            <v>Arroyo de las Canoas</v>
          </cell>
          <cell r="H3227" t="str">
            <v>consulta_externa</v>
          </cell>
          <cell r="J3227" t="str">
            <v>bueno</v>
          </cell>
          <cell r="K3227" t="str">
            <v>probsi</v>
          </cell>
        </row>
        <row r="3228">
          <cell r="B3228" t="b">
            <v>1</v>
          </cell>
          <cell r="E3228" t="str">
            <v>Arroyo de las Canoas</v>
          </cell>
          <cell r="H3228" t="str">
            <v>consulta_externa</v>
          </cell>
          <cell r="J3228" t="str">
            <v>bueno</v>
          </cell>
          <cell r="K3228" t="str">
            <v>probsi</v>
          </cell>
        </row>
        <row r="3229">
          <cell r="B3229" t="b">
            <v>1</v>
          </cell>
          <cell r="E3229" t="str">
            <v>Arroyo de las Canoas</v>
          </cell>
          <cell r="H3229" t="str">
            <v>consulta_externa</v>
          </cell>
          <cell r="J3229" t="str">
            <v>bueno</v>
          </cell>
          <cell r="K3229" t="str">
            <v>probsi</v>
          </cell>
        </row>
        <row r="3230">
          <cell r="B3230" t="b">
            <v>1</v>
          </cell>
          <cell r="E3230" t="str">
            <v>Arroyo de las Canoas</v>
          </cell>
          <cell r="H3230" t="str">
            <v>consulta_externa</v>
          </cell>
          <cell r="J3230" t="str">
            <v>bueno</v>
          </cell>
          <cell r="K3230" t="str">
            <v>probsi</v>
          </cell>
        </row>
        <row r="3231">
          <cell r="B3231" t="b">
            <v>1</v>
          </cell>
          <cell r="E3231" t="str">
            <v>Arroyo de las Canoas</v>
          </cell>
          <cell r="H3231" t="str">
            <v>consulta_externa</v>
          </cell>
          <cell r="J3231" t="str">
            <v>bueno</v>
          </cell>
          <cell r="K3231" t="str">
            <v>probsi</v>
          </cell>
        </row>
        <row r="3232">
          <cell r="B3232" t="b">
            <v>1</v>
          </cell>
          <cell r="E3232" t="str">
            <v>Arroyo de las Canoas</v>
          </cell>
          <cell r="H3232" t="str">
            <v>consulta_externa</v>
          </cell>
          <cell r="J3232" t="str">
            <v>bueno</v>
          </cell>
          <cell r="K3232" t="str">
            <v>probsi</v>
          </cell>
        </row>
        <row r="3233">
          <cell r="B3233" t="b">
            <v>1</v>
          </cell>
          <cell r="E3233" t="str">
            <v>Arroyo de las Canoas</v>
          </cell>
          <cell r="H3233" t="str">
            <v>consulta_externa</v>
          </cell>
          <cell r="J3233" t="str">
            <v>bueno</v>
          </cell>
          <cell r="K3233" t="str">
            <v>probsi</v>
          </cell>
        </row>
        <row r="3234">
          <cell r="B3234" t="b">
            <v>1</v>
          </cell>
          <cell r="E3234" t="str">
            <v>Arroyo de las Canoas</v>
          </cell>
          <cell r="H3234" t="str">
            <v>salud_oral</v>
          </cell>
          <cell r="J3234" t="str">
            <v>bueno</v>
          </cell>
          <cell r="K3234" t="str">
            <v>probsi</v>
          </cell>
        </row>
        <row r="3235">
          <cell r="B3235" t="b">
            <v>1</v>
          </cell>
          <cell r="E3235" t="str">
            <v>Arroyo de las Canoas</v>
          </cell>
          <cell r="H3235" t="str">
            <v>salud_oral</v>
          </cell>
          <cell r="J3235" t="str">
            <v>bueno</v>
          </cell>
          <cell r="K3235" t="str">
            <v>probsi</v>
          </cell>
        </row>
        <row r="3236">
          <cell r="B3236" t="b">
            <v>1</v>
          </cell>
          <cell r="E3236" t="str">
            <v>Arroyo de las Canoas</v>
          </cell>
          <cell r="H3236" t="str">
            <v>salud_oral</v>
          </cell>
          <cell r="J3236" t="str">
            <v>bueno</v>
          </cell>
          <cell r="K3236" t="str">
            <v>probsi</v>
          </cell>
        </row>
        <row r="3237">
          <cell r="B3237" t="b">
            <v>1</v>
          </cell>
          <cell r="E3237" t="str">
            <v>Arroyo de las Canoas</v>
          </cell>
          <cell r="H3237" t="str">
            <v>salud_oral</v>
          </cell>
          <cell r="J3237" t="str">
            <v>bueno</v>
          </cell>
          <cell r="K3237" t="str">
            <v>probsi</v>
          </cell>
        </row>
        <row r="3238">
          <cell r="B3238" t="b">
            <v>1</v>
          </cell>
          <cell r="E3238" t="str">
            <v>Arroyo de las Canoas</v>
          </cell>
          <cell r="H3238" t="str">
            <v>salud_oral</v>
          </cell>
          <cell r="J3238" t="str">
            <v>bueno</v>
          </cell>
          <cell r="K3238" t="str">
            <v>probsi</v>
          </cell>
        </row>
        <row r="3239">
          <cell r="B3239" t="b">
            <v>1</v>
          </cell>
          <cell r="E3239" t="str">
            <v>Arroyo de las Canoas</v>
          </cell>
          <cell r="H3239" t="str">
            <v>salud_oral</v>
          </cell>
          <cell r="J3239" t="str">
            <v>bueno</v>
          </cell>
          <cell r="K3239" t="str">
            <v>probsi</v>
          </cell>
        </row>
        <row r="3240">
          <cell r="B3240" t="b">
            <v>1</v>
          </cell>
          <cell r="E3240" t="str">
            <v>Arroyo de las Canoas</v>
          </cell>
          <cell r="H3240" t="str">
            <v>laboratorio</v>
          </cell>
          <cell r="J3240" t="str">
            <v>bueno</v>
          </cell>
          <cell r="K3240" t="str">
            <v>probsi</v>
          </cell>
        </row>
        <row r="3241">
          <cell r="B3241" t="b">
            <v>1</v>
          </cell>
          <cell r="E3241" t="str">
            <v>Arroyo de las Canoas</v>
          </cell>
          <cell r="H3241" t="str">
            <v>laboratorio</v>
          </cell>
          <cell r="J3241" t="str">
            <v>bueno</v>
          </cell>
          <cell r="K3241" t="str">
            <v>probsi</v>
          </cell>
        </row>
        <row r="3242">
          <cell r="B3242" t="b">
            <v>1</v>
          </cell>
          <cell r="E3242" t="str">
            <v>Arroyo de las Canoas</v>
          </cell>
          <cell r="H3242" t="str">
            <v>laboratorio</v>
          </cell>
          <cell r="J3242" t="str">
            <v>bueno</v>
          </cell>
          <cell r="K3242" t="str">
            <v>probsi</v>
          </cell>
        </row>
        <row r="3243">
          <cell r="B3243" t="b">
            <v>1</v>
          </cell>
          <cell r="E3243" t="str">
            <v>Arroyo de las Canoas</v>
          </cell>
          <cell r="H3243" t="str">
            <v>laboratorio</v>
          </cell>
          <cell r="J3243" t="str">
            <v>bueno</v>
          </cell>
          <cell r="K3243" t="str">
            <v>probsi</v>
          </cell>
        </row>
        <row r="3244">
          <cell r="B3244" t="b">
            <v>1</v>
          </cell>
          <cell r="E3244" t="str">
            <v>Arroyo de las Canoas</v>
          </cell>
          <cell r="H3244" t="str">
            <v>laboratorio</v>
          </cell>
          <cell r="J3244" t="str">
            <v>bueno</v>
          </cell>
          <cell r="K3244" t="str">
            <v>probsi</v>
          </cell>
        </row>
        <row r="3245">
          <cell r="B3245" t="b">
            <v>1</v>
          </cell>
          <cell r="E3245" t="str">
            <v>Arroyo de las Canoas</v>
          </cell>
          <cell r="H3245" t="str">
            <v>laboratorio</v>
          </cell>
          <cell r="J3245" t="str">
            <v>bueno</v>
          </cell>
          <cell r="K3245" t="str">
            <v>probsi</v>
          </cell>
        </row>
        <row r="3246">
          <cell r="B3246" t="b">
            <v>1</v>
          </cell>
          <cell r="E3246" t="str">
            <v>Arroyo de las Canoas</v>
          </cell>
          <cell r="H3246" t="str">
            <v>laboratorio</v>
          </cell>
          <cell r="J3246" t="str">
            <v>bueno</v>
          </cell>
          <cell r="K3246" t="str">
            <v>probsi</v>
          </cell>
        </row>
        <row r="3247">
          <cell r="B3247" t="b">
            <v>1</v>
          </cell>
          <cell r="E3247" t="str">
            <v>Arroyo de las Canoas</v>
          </cell>
          <cell r="H3247" t="str">
            <v>laboratorio</v>
          </cell>
          <cell r="J3247" t="str">
            <v>bueno</v>
          </cell>
          <cell r="K3247" t="str">
            <v>probsi</v>
          </cell>
        </row>
        <row r="3248">
          <cell r="B3248" t="b">
            <v>1</v>
          </cell>
          <cell r="E3248" t="str">
            <v>Arroyo de las Canoas</v>
          </cell>
          <cell r="H3248" t="str">
            <v>laboratorio</v>
          </cell>
          <cell r="J3248" t="str">
            <v>bueno</v>
          </cell>
          <cell r="K3248" t="str">
            <v>probsi</v>
          </cell>
        </row>
        <row r="3249">
          <cell r="B3249" t="b">
            <v>1</v>
          </cell>
          <cell r="E3249" t="str">
            <v>Pozon</v>
          </cell>
          <cell r="H3249" t="str">
            <v>consulta_externa</v>
          </cell>
          <cell r="J3249" t="str">
            <v>bueno</v>
          </cell>
          <cell r="K3249" t="str">
            <v>defsi</v>
          </cell>
        </row>
        <row r="3250">
          <cell r="B3250" t="b">
            <v>1</v>
          </cell>
          <cell r="E3250" t="str">
            <v>Foco Rojo</v>
          </cell>
          <cell r="H3250" t="str">
            <v>consulta_externa</v>
          </cell>
          <cell r="J3250" t="str">
            <v>bueno</v>
          </cell>
          <cell r="K3250" t="str">
            <v>probsi</v>
          </cell>
        </row>
        <row r="3251">
          <cell r="B3251" t="b">
            <v>1</v>
          </cell>
          <cell r="E3251" t="str">
            <v>Baru</v>
          </cell>
          <cell r="H3251" t="str">
            <v>consulta_externa</v>
          </cell>
          <cell r="J3251" t="str">
            <v>muybueno</v>
          </cell>
          <cell r="K3251" t="str">
            <v>defsi</v>
          </cell>
        </row>
        <row r="3252">
          <cell r="B3252" t="b">
            <v>1</v>
          </cell>
          <cell r="E3252" t="str">
            <v>Baru</v>
          </cell>
          <cell r="H3252" t="str">
            <v>laboratorio</v>
          </cell>
          <cell r="J3252" t="str">
            <v>muybueno</v>
          </cell>
          <cell r="K3252" t="str">
            <v>defsi</v>
          </cell>
        </row>
        <row r="3253">
          <cell r="B3253" t="b">
            <v>1</v>
          </cell>
          <cell r="E3253" t="str">
            <v>Pozon</v>
          </cell>
          <cell r="H3253" t="str">
            <v>salud_oral</v>
          </cell>
          <cell r="J3253" t="str">
            <v>bueno</v>
          </cell>
          <cell r="K3253" t="str">
            <v>defsi</v>
          </cell>
        </row>
        <row r="3254">
          <cell r="B3254" t="b">
            <v>1</v>
          </cell>
          <cell r="E3254" t="str">
            <v>Foco Rojo</v>
          </cell>
          <cell r="H3254" t="str">
            <v>consulta_externa</v>
          </cell>
          <cell r="J3254" t="str">
            <v>bueno</v>
          </cell>
          <cell r="K3254" t="str">
            <v>probsi</v>
          </cell>
        </row>
        <row r="3255">
          <cell r="B3255" t="b">
            <v>1</v>
          </cell>
          <cell r="E3255" t="str">
            <v>Foco Rojo</v>
          </cell>
          <cell r="H3255" t="str">
            <v>salud_oral</v>
          </cell>
          <cell r="J3255" t="str">
            <v>bueno</v>
          </cell>
          <cell r="K3255" t="str">
            <v>probsi</v>
          </cell>
        </row>
        <row r="3256">
          <cell r="B3256" t="b">
            <v>1</v>
          </cell>
          <cell r="E3256" t="str">
            <v>Pozon</v>
          </cell>
          <cell r="H3256" t="str">
            <v>laboratorio</v>
          </cell>
          <cell r="J3256" t="str">
            <v>bueno</v>
          </cell>
          <cell r="K3256" t="str">
            <v>defsi</v>
          </cell>
        </row>
        <row r="3257">
          <cell r="B3257" t="b">
            <v>1</v>
          </cell>
          <cell r="E3257" t="str">
            <v>Pozon</v>
          </cell>
          <cell r="H3257" t="str">
            <v>consulta_externa</v>
          </cell>
          <cell r="J3257" t="str">
            <v>bueno</v>
          </cell>
          <cell r="K3257" t="str">
            <v>defsi</v>
          </cell>
        </row>
        <row r="3258">
          <cell r="B3258" t="b">
            <v>1</v>
          </cell>
          <cell r="E3258" t="str">
            <v>Foco Rojo</v>
          </cell>
          <cell r="H3258" t="str">
            <v>consulta_externa</v>
          </cell>
          <cell r="J3258" t="str">
            <v>muybueno</v>
          </cell>
          <cell r="K3258" t="str">
            <v>probsi</v>
          </cell>
        </row>
        <row r="3259">
          <cell r="B3259" t="b">
            <v>1</v>
          </cell>
          <cell r="E3259" t="str">
            <v>Foco Rojo</v>
          </cell>
          <cell r="H3259" t="str">
            <v>salud_oral</v>
          </cell>
          <cell r="J3259" t="str">
            <v>muybueno</v>
          </cell>
          <cell r="K3259" t="str">
            <v>probsi</v>
          </cell>
        </row>
        <row r="3260">
          <cell r="B3260" t="b">
            <v>1</v>
          </cell>
          <cell r="E3260" t="str">
            <v>Baru</v>
          </cell>
          <cell r="H3260" t="str">
            <v>consulta_externa</v>
          </cell>
          <cell r="J3260" t="str">
            <v>muybueno</v>
          </cell>
          <cell r="K3260" t="str">
            <v>defsi</v>
          </cell>
        </row>
        <row r="3261">
          <cell r="B3261" t="b">
            <v>1</v>
          </cell>
          <cell r="E3261" t="str">
            <v>Baru</v>
          </cell>
          <cell r="H3261" t="str">
            <v>laboratorio</v>
          </cell>
          <cell r="J3261" t="str">
            <v>muybueno</v>
          </cell>
          <cell r="K3261" t="str">
            <v>defsi</v>
          </cell>
        </row>
        <row r="3262">
          <cell r="B3262" t="b">
            <v>1</v>
          </cell>
          <cell r="E3262" t="str">
            <v>Pozon</v>
          </cell>
          <cell r="H3262" t="str">
            <v>salud_oral</v>
          </cell>
          <cell r="J3262" t="str">
            <v>bueno</v>
          </cell>
          <cell r="K3262" t="str">
            <v>defsi</v>
          </cell>
        </row>
        <row r="3263">
          <cell r="B3263" t="b">
            <v>1</v>
          </cell>
          <cell r="E3263" t="str">
            <v>Pozon</v>
          </cell>
          <cell r="H3263" t="str">
            <v>laboratorio</v>
          </cell>
          <cell r="J3263" t="str">
            <v>bueno</v>
          </cell>
          <cell r="K3263" t="str">
            <v>defsi</v>
          </cell>
        </row>
        <row r="3264">
          <cell r="B3264" t="b">
            <v>1</v>
          </cell>
          <cell r="E3264" t="str">
            <v>Baru</v>
          </cell>
          <cell r="H3264" t="str">
            <v>salud_oral</v>
          </cell>
          <cell r="J3264" t="str">
            <v>muybueno</v>
          </cell>
          <cell r="K3264" t="str">
            <v>defsi</v>
          </cell>
        </row>
        <row r="3265">
          <cell r="B3265" t="b">
            <v>1</v>
          </cell>
          <cell r="E3265" t="str">
            <v>Socorro</v>
          </cell>
          <cell r="H3265" t="str">
            <v>consulta_externa</v>
          </cell>
          <cell r="J3265" t="str">
            <v>bueno</v>
          </cell>
          <cell r="K3265" t="str">
            <v>defsi</v>
          </cell>
        </row>
        <row r="3266">
          <cell r="B3266" t="b">
            <v>1</v>
          </cell>
          <cell r="E3266" t="str">
            <v>Socorro</v>
          </cell>
          <cell r="H3266" t="str">
            <v>ecografias</v>
          </cell>
          <cell r="J3266" t="str">
            <v>bueno</v>
          </cell>
          <cell r="K3266" t="str">
            <v>defsi</v>
          </cell>
        </row>
        <row r="3267">
          <cell r="B3267" t="b">
            <v>1</v>
          </cell>
          <cell r="E3267" t="str">
            <v>Socorro</v>
          </cell>
          <cell r="H3267" t="str">
            <v>ecografias</v>
          </cell>
          <cell r="J3267" t="str">
            <v>bueno</v>
          </cell>
          <cell r="K3267" t="str">
            <v>defsi</v>
          </cell>
        </row>
        <row r="3268">
          <cell r="B3268" t="b">
            <v>1</v>
          </cell>
          <cell r="E3268" t="str">
            <v>Baru</v>
          </cell>
          <cell r="H3268" t="str">
            <v>consulta_externa</v>
          </cell>
          <cell r="J3268" t="str">
            <v>muybueno</v>
          </cell>
          <cell r="K3268" t="str">
            <v>defsi</v>
          </cell>
        </row>
        <row r="3269">
          <cell r="B3269" t="b">
            <v>1</v>
          </cell>
          <cell r="E3269" t="str">
            <v>Baru</v>
          </cell>
          <cell r="H3269" t="str">
            <v>salud_oral</v>
          </cell>
          <cell r="J3269" t="str">
            <v>muybueno</v>
          </cell>
          <cell r="K3269" t="str">
            <v>defsi</v>
          </cell>
        </row>
        <row r="3270">
          <cell r="B3270" t="b">
            <v>1</v>
          </cell>
          <cell r="E3270" t="str">
            <v>Socorro</v>
          </cell>
          <cell r="H3270" t="str">
            <v>ecografias</v>
          </cell>
          <cell r="J3270" t="str">
            <v>muybueno</v>
          </cell>
          <cell r="K3270" t="str">
            <v>defsi</v>
          </cell>
        </row>
        <row r="3271">
          <cell r="B3271" t="b">
            <v>1</v>
          </cell>
          <cell r="E3271" t="str">
            <v>Socorro</v>
          </cell>
          <cell r="H3271" t="str">
            <v>laboratorio</v>
          </cell>
          <cell r="J3271" t="str">
            <v>bueno</v>
          </cell>
          <cell r="K3271" t="str">
            <v>defsi</v>
          </cell>
        </row>
        <row r="3272">
          <cell r="B3272" t="b">
            <v>1</v>
          </cell>
          <cell r="E3272" t="str">
            <v>Socorro</v>
          </cell>
          <cell r="H3272" t="str">
            <v>laboratorio</v>
          </cell>
          <cell r="J3272" t="str">
            <v>bueno</v>
          </cell>
          <cell r="K3272" t="str">
            <v>defsi</v>
          </cell>
        </row>
        <row r="3273">
          <cell r="B3273" t="b">
            <v>1</v>
          </cell>
          <cell r="E3273" t="str">
            <v>Pozon</v>
          </cell>
          <cell r="H3273" t="str">
            <v>consulta_externa</v>
          </cell>
          <cell r="J3273" t="str">
            <v>bueno</v>
          </cell>
          <cell r="K3273" t="str">
            <v>defsi</v>
          </cell>
        </row>
        <row r="3274">
          <cell r="B3274" t="b">
            <v>1</v>
          </cell>
          <cell r="E3274" t="str">
            <v>Socorro</v>
          </cell>
          <cell r="H3274" t="str">
            <v>consulta_externa</v>
          </cell>
          <cell r="J3274" t="str">
            <v>bueno</v>
          </cell>
          <cell r="K3274" t="str">
            <v>defsi</v>
          </cell>
        </row>
        <row r="3275">
          <cell r="B3275" t="b">
            <v>1</v>
          </cell>
          <cell r="E3275" t="str">
            <v>Socorro</v>
          </cell>
          <cell r="H3275" t="str">
            <v>ecografias</v>
          </cell>
          <cell r="J3275" t="str">
            <v>bueno</v>
          </cell>
          <cell r="K3275" t="str">
            <v>defsi</v>
          </cell>
        </row>
        <row r="3276">
          <cell r="B3276" t="b">
            <v>1</v>
          </cell>
          <cell r="E3276" t="str">
            <v>Pozon</v>
          </cell>
          <cell r="H3276" t="str">
            <v>salud_oral</v>
          </cell>
          <cell r="J3276" t="str">
            <v>bueno</v>
          </cell>
          <cell r="K3276" t="str">
            <v>defsi</v>
          </cell>
        </row>
        <row r="3277">
          <cell r="B3277" t="b">
            <v>1</v>
          </cell>
          <cell r="E3277" t="str">
            <v>Socorro</v>
          </cell>
          <cell r="H3277" t="str">
            <v>laboratorio</v>
          </cell>
          <cell r="J3277" t="str">
            <v>bueno</v>
          </cell>
          <cell r="K3277" t="str">
            <v>defsi</v>
          </cell>
        </row>
        <row r="3278">
          <cell r="B3278" t="b">
            <v>0</v>
          </cell>
          <cell r="E3278" t="str">
            <v>Socorro</v>
          </cell>
          <cell r="H3278" t="str">
            <v>salud_oral</v>
          </cell>
          <cell r="J3278" t="str">
            <v>regular</v>
          </cell>
          <cell r="K3278" t="str">
            <v>defsi</v>
          </cell>
        </row>
        <row r="3279">
          <cell r="B3279" t="b">
            <v>1</v>
          </cell>
          <cell r="E3279" t="str">
            <v>Baru</v>
          </cell>
          <cell r="H3279" t="str">
            <v>laboratorio</v>
          </cell>
          <cell r="J3279" t="str">
            <v>muybueno</v>
          </cell>
          <cell r="K3279" t="str">
            <v>defsi</v>
          </cell>
        </row>
        <row r="3280">
          <cell r="B3280" t="b">
            <v>1</v>
          </cell>
          <cell r="E3280" t="str">
            <v>Pozon</v>
          </cell>
          <cell r="H3280" t="str">
            <v>laboratorio</v>
          </cell>
          <cell r="J3280" t="str">
            <v>bueno</v>
          </cell>
          <cell r="K3280" t="str">
            <v>defsi</v>
          </cell>
        </row>
        <row r="3281">
          <cell r="B3281" t="b">
            <v>1</v>
          </cell>
          <cell r="E3281" t="str">
            <v>Socorro</v>
          </cell>
          <cell r="H3281" t="str">
            <v>salud_oral</v>
          </cell>
          <cell r="J3281" t="str">
            <v>bueno</v>
          </cell>
          <cell r="K3281" t="str">
            <v>defsi</v>
          </cell>
        </row>
        <row r="3282">
          <cell r="B3282" t="b">
            <v>1</v>
          </cell>
          <cell r="E3282" t="str">
            <v>Socorro</v>
          </cell>
          <cell r="H3282" t="str">
            <v>salud_oral</v>
          </cell>
          <cell r="J3282" t="str">
            <v>bueno</v>
          </cell>
          <cell r="K3282" t="str">
            <v>defsi</v>
          </cell>
        </row>
        <row r="3283">
          <cell r="B3283" t="b">
            <v>1</v>
          </cell>
          <cell r="E3283" t="str">
            <v>Socorro</v>
          </cell>
          <cell r="H3283" t="str">
            <v>salud_oral</v>
          </cell>
          <cell r="J3283" t="str">
            <v>bueno</v>
          </cell>
          <cell r="K3283" t="str">
            <v>defsi</v>
          </cell>
        </row>
        <row r="3284">
          <cell r="B3284" t="b">
            <v>0</v>
          </cell>
          <cell r="E3284" t="str">
            <v>Socorro</v>
          </cell>
          <cell r="H3284" t="str">
            <v>salud_oral</v>
          </cell>
          <cell r="J3284" t="str">
            <v>regular</v>
          </cell>
          <cell r="K3284" t="str">
            <v>defsi</v>
          </cell>
        </row>
        <row r="3285">
          <cell r="B3285" t="b">
            <v>1</v>
          </cell>
          <cell r="E3285" t="str">
            <v>Socorro</v>
          </cell>
          <cell r="H3285" t="str">
            <v>salud_oral</v>
          </cell>
          <cell r="J3285" t="str">
            <v>bueno</v>
          </cell>
          <cell r="K3285" t="str">
            <v>defsi</v>
          </cell>
        </row>
        <row r="3286">
          <cell r="B3286" t="b">
            <v>1</v>
          </cell>
          <cell r="E3286" t="str">
            <v>Candelaria</v>
          </cell>
          <cell r="H3286" t="str">
            <v>consulta_externa</v>
          </cell>
          <cell r="J3286" t="str">
            <v>bueno</v>
          </cell>
          <cell r="K3286" t="str">
            <v>probsi</v>
          </cell>
        </row>
        <row r="3287">
          <cell r="B3287" t="b">
            <v>1</v>
          </cell>
          <cell r="E3287" t="str">
            <v>Candelaria</v>
          </cell>
          <cell r="H3287" t="str">
            <v>salud_oral</v>
          </cell>
          <cell r="J3287" t="str">
            <v>bueno</v>
          </cell>
          <cell r="K3287" t="str">
            <v>probsi</v>
          </cell>
        </row>
        <row r="3288">
          <cell r="B3288" t="b">
            <v>1</v>
          </cell>
          <cell r="E3288" t="str">
            <v>Candelaria</v>
          </cell>
          <cell r="H3288" t="str">
            <v>laboratorio</v>
          </cell>
          <cell r="J3288" t="str">
            <v>bueno</v>
          </cell>
          <cell r="K3288" t="str">
            <v>probsi</v>
          </cell>
        </row>
        <row r="3289">
          <cell r="B3289" t="b">
            <v>1</v>
          </cell>
          <cell r="E3289" t="str">
            <v>Candelaria</v>
          </cell>
          <cell r="H3289" t="str">
            <v>electros</v>
          </cell>
          <cell r="J3289" t="str">
            <v>bueno</v>
          </cell>
          <cell r="K3289" t="str">
            <v>probsi</v>
          </cell>
        </row>
        <row r="3290">
          <cell r="B3290" t="b">
            <v>1</v>
          </cell>
          <cell r="E3290" t="str">
            <v>Candelaria</v>
          </cell>
          <cell r="H3290" t="str">
            <v>consulta_externa</v>
          </cell>
          <cell r="J3290" t="str">
            <v>bueno</v>
          </cell>
          <cell r="K3290" t="str">
            <v>probsi</v>
          </cell>
        </row>
        <row r="3291">
          <cell r="B3291" t="b">
            <v>0</v>
          </cell>
          <cell r="E3291" t="str">
            <v>Candelaria</v>
          </cell>
          <cell r="H3291" t="str">
            <v>consulta_externa</v>
          </cell>
          <cell r="J3291" t="str">
            <v>regular</v>
          </cell>
          <cell r="K3291" t="str">
            <v>probsi</v>
          </cell>
        </row>
        <row r="3292">
          <cell r="B3292" t="b">
            <v>1</v>
          </cell>
          <cell r="E3292" t="str">
            <v>Candelaria</v>
          </cell>
          <cell r="H3292" t="str">
            <v>urgencia</v>
          </cell>
          <cell r="J3292" t="str">
            <v>bueno</v>
          </cell>
          <cell r="K3292" t="str">
            <v>probsi</v>
          </cell>
        </row>
        <row r="3293">
          <cell r="B3293" t="b">
            <v>1</v>
          </cell>
          <cell r="E3293" t="str">
            <v>Candelaria</v>
          </cell>
          <cell r="H3293" t="str">
            <v>consulta_externa</v>
          </cell>
          <cell r="J3293" t="str">
            <v>bueno</v>
          </cell>
          <cell r="K3293" t="str">
            <v>probsi</v>
          </cell>
        </row>
        <row r="3294">
          <cell r="B3294" t="b">
            <v>0</v>
          </cell>
          <cell r="E3294" t="str">
            <v>Candelaria</v>
          </cell>
          <cell r="H3294" t="str">
            <v>laboratorio</v>
          </cell>
          <cell r="J3294" t="str">
            <v>regular</v>
          </cell>
          <cell r="K3294" t="str">
            <v>probsi</v>
          </cell>
        </row>
        <row r="3295">
          <cell r="B3295" t="b">
            <v>1</v>
          </cell>
          <cell r="E3295" t="str">
            <v>Candelaria</v>
          </cell>
          <cell r="H3295" t="str">
            <v>consulta_externa</v>
          </cell>
          <cell r="J3295" t="str">
            <v>bueno</v>
          </cell>
          <cell r="K3295" t="str">
            <v>probsi</v>
          </cell>
        </row>
        <row r="3296">
          <cell r="B3296" t="b">
            <v>1</v>
          </cell>
          <cell r="E3296" t="str">
            <v>Candelaria</v>
          </cell>
          <cell r="H3296" t="str">
            <v>salud_oral</v>
          </cell>
          <cell r="J3296" t="str">
            <v>bueno</v>
          </cell>
          <cell r="K3296" t="str">
            <v>probsi</v>
          </cell>
        </row>
        <row r="3297">
          <cell r="B3297" t="b">
            <v>1</v>
          </cell>
          <cell r="E3297" t="str">
            <v>Candelaria</v>
          </cell>
          <cell r="H3297" t="str">
            <v>laboratorio</v>
          </cell>
          <cell r="J3297" t="str">
            <v>bueno</v>
          </cell>
          <cell r="K3297" t="str">
            <v>probsi</v>
          </cell>
        </row>
        <row r="3298">
          <cell r="B3298" t="b">
            <v>1</v>
          </cell>
          <cell r="E3298" t="str">
            <v>Candelaria</v>
          </cell>
          <cell r="H3298" t="str">
            <v>consulta_externa</v>
          </cell>
          <cell r="J3298" t="str">
            <v>bueno</v>
          </cell>
          <cell r="K3298" t="str">
            <v>probsi</v>
          </cell>
        </row>
        <row r="3299">
          <cell r="B3299" t="b">
            <v>1</v>
          </cell>
          <cell r="E3299" t="str">
            <v>Candelaria</v>
          </cell>
          <cell r="H3299" t="str">
            <v>laboratorio</v>
          </cell>
          <cell r="J3299" t="str">
            <v>bueno</v>
          </cell>
          <cell r="K3299" t="str">
            <v>probsi</v>
          </cell>
        </row>
        <row r="3300">
          <cell r="B3300" t="b">
            <v>1</v>
          </cell>
          <cell r="E3300" t="str">
            <v>Baru</v>
          </cell>
          <cell r="H3300" t="str">
            <v>consulta_externa</v>
          </cell>
          <cell r="J3300" t="str">
            <v>muybueno</v>
          </cell>
          <cell r="K3300" t="str">
            <v>defsi</v>
          </cell>
        </row>
        <row r="3301">
          <cell r="B3301" t="b">
            <v>1</v>
          </cell>
          <cell r="E3301" t="str">
            <v>Baru</v>
          </cell>
          <cell r="H3301" t="str">
            <v>laboratorio</v>
          </cell>
          <cell r="J3301" t="str">
            <v>muybueno</v>
          </cell>
          <cell r="K3301" t="str">
            <v>defsi</v>
          </cell>
        </row>
        <row r="3302">
          <cell r="B3302" t="b">
            <v>1</v>
          </cell>
          <cell r="E3302" t="str">
            <v>Candelaria</v>
          </cell>
          <cell r="H3302" t="str">
            <v>consulta_externa</v>
          </cell>
          <cell r="J3302" t="str">
            <v>muybueno</v>
          </cell>
          <cell r="K3302" t="str">
            <v>probsi</v>
          </cell>
        </row>
        <row r="3303">
          <cell r="B3303" t="b">
            <v>1</v>
          </cell>
          <cell r="E3303" t="str">
            <v>Candelaria</v>
          </cell>
          <cell r="H3303" t="str">
            <v>salud_oral</v>
          </cell>
          <cell r="J3303" t="str">
            <v>bueno</v>
          </cell>
          <cell r="K3303" t="str">
            <v>probsi</v>
          </cell>
        </row>
        <row r="3304">
          <cell r="B3304" t="b">
            <v>1</v>
          </cell>
          <cell r="E3304" t="str">
            <v>Boquilla</v>
          </cell>
          <cell r="H3304" t="str">
            <v>consulta_externa</v>
          </cell>
          <cell r="J3304" t="str">
            <v>bueno</v>
          </cell>
          <cell r="K3304" t="str">
            <v>probsi</v>
          </cell>
        </row>
        <row r="3305">
          <cell r="B3305" t="b">
            <v>1</v>
          </cell>
          <cell r="E3305" t="str">
            <v>Boquilla</v>
          </cell>
          <cell r="H3305" t="str">
            <v>salud_oral</v>
          </cell>
          <cell r="J3305" t="str">
            <v>bueno</v>
          </cell>
          <cell r="K3305" t="str">
            <v>probsi</v>
          </cell>
        </row>
        <row r="3306">
          <cell r="B3306" t="b">
            <v>1</v>
          </cell>
          <cell r="E3306" t="str">
            <v>Boquilla</v>
          </cell>
          <cell r="H3306" t="str">
            <v>laboratorio</v>
          </cell>
          <cell r="J3306" t="str">
            <v>bueno</v>
          </cell>
          <cell r="K3306" t="str">
            <v>probsi</v>
          </cell>
        </row>
        <row r="3307">
          <cell r="B3307" t="b">
            <v>1</v>
          </cell>
          <cell r="E3307" t="str">
            <v>Boquilla</v>
          </cell>
          <cell r="H3307" t="str">
            <v>urgencia</v>
          </cell>
          <cell r="J3307" t="str">
            <v>bueno</v>
          </cell>
          <cell r="K3307" t="str">
            <v>probsi</v>
          </cell>
        </row>
        <row r="3308">
          <cell r="B3308" t="b">
            <v>1</v>
          </cell>
          <cell r="E3308" t="str">
            <v>Candelaria</v>
          </cell>
          <cell r="H3308" t="str">
            <v>consulta_externa</v>
          </cell>
          <cell r="J3308" t="str">
            <v>bueno</v>
          </cell>
          <cell r="K3308" t="str">
            <v>probsi</v>
          </cell>
        </row>
        <row r="3309">
          <cell r="B3309" t="b">
            <v>1</v>
          </cell>
          <cell r="E3309" t="str">
            <v>Candelaria</v>
          </cell>
          <cell r="H3309" t="str">
            <v>salud_oral</v>
          </cell>
          <cell r="J3309" t="str">
            <v>bueno</v>
          </cell>
          <cell r="K3309" t="str">
            <v>probsi</v>
          </cell>
        </row>
        <row r="3310">
          <cell r="B3310" t="b">
            <v>1</v>
          </cell>
          <cell r="E3310" t="str">
            <v>Candelaria</v>
          </cell>
          <cell r="H3310" t="str">
            <v>laboratorio</v>
          </cell>
          <cell r="J3310" t="str">
            <v>bueno</v>
          </cell>
          <cell r="K3310" t="str">
            <v>probsi</v>
          </cell>
        </row>
        <row r="3311">
          <cell r="B3311" t="b">
            <v>0</v>
          </cell>
          <cell r="E3311" t="str">
            <v>Boquilla</v>
          </cell>
          <cell r="H3311" t="str">
            <v>consulta_externa</v>
          </cell>
          <cell r="J3311" t="str">
            <v>regular</v>
          </cell>
          <cell r="K3311" t="str">
            <v>probsi</v>
          </cell>
        </row>
        <row r="3312">
          <cell r="B3312" t="b">
            <v>0</v>
          </cell>
          <cell r="E3312" t="str">
            <v>Boquilla</v>
          </cell>
          <cell r="H3312" t="str">
            <v>salud_oral</v>
          </cell>
          <cell r="J3312" t="str">
            <v>regular</v>
          </cell>
          <cell r="K3312" t="str">
            <v>probsi</v>
          </cell>
        </row>
        <row r="3313">
          <cell r="B3313" t="b">
            <v>0</v>
          </cell>
          <cell r="E3313" t="str">
            <v>Boquilla</v>
          </cell>
          <cell r="H3313" t="str">
            <v>laboratorio</v>
          </cell>
          <cell r="J3313" t="str">
            <v>regular</v>
          </cell>
          <cell r="K3313" t="str">
            <v>probsi</v>
          </cell>
        </row>
        <row r="3314">
          <cell r="B3314" t="b">
            <v>0</v>
          </cell>
          <cell r="E3314" t="str">
            <v>Boquilla</v>
          </cell>
          <cell r="H3314" t="str">
            <v>urgencia</v>
          </cell>
          <cell r="J3314" t="str">
            <v>regular</v>
          </cell>
          <cell r="K3314" t="str">
            <v>probsi</v>
          </cell>
        </row>
        <row r="3315">
          <cell r="B3315" t="b">
            <v>0</v>
          </cell>
          <cell r="E3315" t="str">
            <v>Boquilla</v>
          </cell>
          <cell r="H3315" t="str">
            <v>urgencia</v>
          </cell>
          <cell r="J3315" t="str">
            <v>regular</v>
          </cell>
          <cell r="K3315" t="str">
            <v>probsi</v>
          </cell>
        </row>
        <row r="3316">
          <cell r="B3316" t="b">
            <v>1</v>
          </cell>
          <cell r="E3316" t="str">
            <v>Boquilla</v>
          </cell>
          <cell r="H3316" t="str">
            <v>consulta_externa</v>
          </cell>
          <cell r="J3316" t="str">
            <v>bueno</v>
          </cell>
          <cell r="K3316" t="str">
            <v>defsi</v>
          </cell>
        </row>
        <row r="3317">
          <cell r="B3317" t="b">
            <v>0</v>
          </cell>
          <cell r="E3317" t="str">
            <v>Boquilla</v>
          </cell>
          <cell r="H3317" t="str">
            <v>urgencia</v>
          </cell>
          <cell r="J3317" t="str">
            <v>regular</v>
          </cell>
          <cell r="K3317" t="str">
            <v>probsi</v>
          </cell>
        </row>
        <row r="3318">
          <cell r="B3318" t="b">
            <v>0</v>
          </cell>
          <cell r="E3318" t="str">
            <v>Boquilla</v>
          </cell>
          <cell r="H3318" t="str">
            <v>urgencia</v>
          </cell>
          <cell r="J3318" t="str">
            <v>regular</v>
          </cell>
          <cell r="K3318" t="str">
            <v>probsi</v>
          </cell>
        </row>
        <row r="3319">
          <cell r="B3319" t="b">
            <v>1</v>
          </cell>
          <cell r="E3319" t="str">
            <v>Pozon</v>
          </cell>
          <cell r="H3319" t="str">
            <v>consulta_externa</v>
          </cell>
          <cell r="J3319" t="str">
            <v>bueno</v>
          </cell>
          <cell r="K3319" t="str">
            <v>defsi</v>
          </cell>
        </row>
        <row r="3320">
          <cell r="B3320" t="b">
            <v>1</v>
          </cell>
          <cell r="E3320" t="str">
            <v>Pozon</v>
          </cell>
          <cell r="H3320" t="str">
            <v>salud_oral</v>
          </cell>
          <cell r="J3320" t="str">
            <v>bueno</v>
          </cell>
          <cell r="K3320" t="str">
            <v>defsi</v>
          </cell>
        </row>
        <row r="3321">
          <cell r="B3321" t="b">
            <v>1</v>
          </cell>
          <cell r="E3321" t="str">
            <v>Pozon</v>
          </cell>
          <cell r="H3321" t="str">
            <v>laboratorio</v>
          </cell>
          <cell r="J3321" t="str">
            <v>bueno</v>
          </cell>
          <cell r="K3321" t="str">
            <v>defsi</v>
          </cell>
        </row>
        <row r="3322">
          <cell r="B3322" t="b">
            <v>1</v>
          </cell>
          <cell r="E3322" t="str">
            <v>Pozon</v>
          </cell>
          <cell r="H3322" t="str">
            <v>consulta_externa</v>
          </cell>
          <cell r="J3322" t="str">
            <v>bueno</v>
          </cell>
          <cell r="K3322" t="str">
            <v>defsi</v>
          </cell>
        </row>
        <row r="3323">
          <cell r="B3323" t="b">
            <v>1</v>
          </cell>
          <cell r="E3323" t="str">
            <v>Pozon</v>
          </cell>
          <cell r="H3323" t="str">
            <v>salud_oral</v>
          </cell>
          <cell r="J3323" t="str">
            <v>bueno</v>
          </cell>
          <cell r="K3323" t="str">
            <v>defsi</v>
          </cell>
        </row>
        <row r="3324">
          <cell r="B3324" t="b">
            <v>1</v>
          </cell>
          <cell r="E3324" t="str">
            <v>Candelaria</v>
          </cell>
          <cell r="H3324" t="str">
            <v>consulta_externa</v>
          </cell>
          <cell r="J3324" t="str">
            <v>bueno</v>
          </cell>
          <cell r="K3324" t="str">
            <v>probsi</v>
          </cell>
        </row>
        <row r="3325">
          <cell r="B3325" t="b">
            <v>1</v>
          </cell>
          <cell r="E3325" t="str">
            <v>Candelaria</v>
          </cell>
          <cell r="H3325" t="str">
            <v>salud_oral</v>
          </cell>
          <cell r="J3325" t="str">
            <v>bueno</v>
          </cell>
          <cell r="K3325" t="str">
            <v>probsi</v>
          </cell>
        </row>
        <row r="3326">
          <cell r="B3326" t="b">
            <v>1</v>
          </cell>
          <cell r="E3326" t="str">
            <v>Candelaria</v>
          </cell>
          <cell r="H3326" t="str">
            <v>laboratorio</v>
          </cell>
          <cell r="J3326" t="str">
            <v>bueno</v>
          </cell>
          <cell r="K3326" t="str">
            <v>probsi</v>
          </cell>
        </row>
        <row r="3327">
          <cell r="B3327" t="b">
            <v>1</v>
          </cell>
          <cell r="E3327" t="str">
            <v>Boquilla</v>
          </cell>
          <cell r="H3327" t="str">
            <v>consulta_externa</v>
          </cell>
          <cell r="J3327" t="str">
            <v>bueno</v>
          </cell>
          <cell r="K3327" t="str">
            <v>defsi</v>
          </cell>
        </row>
        <row r="3328">
          <cell r="B3328" t="b">
            <v>1</v>
          </cell>
          <cell r="E3328" t="str">
            <v>Candelaria</v>
          </cell>
          <cell r="H3328" t="str">
            <v>electros</v>
          </cell>
          <cell r="J3328" t="str">
            <v>bueno</v>
          </cell>
          <cell r="K3328" t="str">
            <v>probsi</v>
          </cell>
        </row>
        <row r="3329">
          <cell r="B3329" t="b">
            <v>1</v>
          </cell>
          <cell r="E3329" t="str">
            <v>Candelaria</v>
          </cell>
          <cell r="H3329" t="str">
            <v>consulta_externa</v>
          </cell>
          <cell r="J3329" t="str">
            <v>muybueno</v>
          </cell>
          <cell r="K3329" t="str">
            <v>probsi</v>
          </cell>
        </row>
        <row r="3330">
          <cell r="B3330" t="b">
            <v>1</v>
          </cell>
          <cell r="E3330" t="str">
            <v>Candelaria</v>
          </cell>
          <cell r="H3330" t="str">
            <v>salud_oral</v>
          </cell>
          <cell r="J3330" t="str">
            <v>bueno</v>
          </cell>
          <cell r="K3330" t="str">
            <v>probsi</v>
          </cell>
        </row>
        <row r="3331">
          <cell r="B3331" t="b">
            <v>1</v>
          </cell>
          <cell r="E3331" t="str">
            <v>Candelaria</v>
          </cell>
          <cell r="H3331" t="str">
            <v>laboratorio</v>
          </cell>
          <cell r="J3331" t="str">
            <v>bueno</v>
          </cell>
          <cell r="K3331" t="str">
            <v>probsi</v>
          </cell>
        </row>
        <row r="3332">
          <cell r="B3332" t="b">
            <v>1</v>
          </cell>
          <cell r="E3332" t="str">
            <v>Boquilla</v>
          </cell>
          <cell r="H3332" t="str">
            <v>salud_oral</v>
          </cell>
          <cell r="J3332" t="str">
            <v>bueno</v>
          </cell>
          <cell r="K3332" t="str">
            <v>probsi</v>
          </cell>
        </row>
        <row r="3333">
          <cell r="B3333" t="b">
            <v>1</v>
          </cell>
          <cell r="E3333" t="str">
            <v>Boquilla</v>
          </cell>
          <cell r="H3333" t="str">
            <v>salud_oral</v>
          </cell>
          <cell r="J3333" t="str">
            <v>bueno</v>
          </cell>
          <cell r="K3333" t="str">
            <v>probsi</v>
          </cell>
        </row>
        <row r="3334">
          <cell r="B3334" t="b">
            <v>1</v>
          </cell>
          <cell r="E3334" t="str">
            <v>Boquilla</v>
          </cell>
          <cell r="H3334" t="str">
            <v>salud_oral</v>
          </cell>
          <cell r="J3334" t="str">
            <v>bueno</v>
          </cell>
          <cell r="K3334" t="str">
            <v>probsi</v>
          </cell>
        </row>
        <row r="3335">
          <cell r="B3335" t="b">
            <v>0</v>
          </cell>
          <cell r="E3335" t="str">
            <v>Boquilla</v>
          </cell>
          <cell r="H3335" t="str">
            <v>consulta_externa</v>
          </cell>
          <cell r="J3335" t="str">
            <v>regular</v>
          </cell>
          <cell r="K3335" t="str">
            <v>probsi</v>
          </cell>
        </row>
        <row r="3336">
          <cell r="B3336" t="b">
            <v>0</v>
          </cell>
          <cell r="E3336" t="str">
            <v>Boquilla</v>
          </cell>
          <cell r="H3336" t="str">
            <v>salud_oral</v>
          </cell>
          <cell r="J3336" t="str">
            <v>regular</v>
          </cell>
          <cell r="K3336" t="str">
            <v>probsi</v>
          </cell>
        </row>
        <row r="3337">
          <cell r="B3337" t="b">
            <v>0</v>
          </cell>
          <cell r="E3337" t="str">
            <v>Boquilla</v>
          </cell>
          <cell r="H3337" t="str">
            <v>laboratorio</v>
          </cell>
          <cell r="J3337" t="str">
            <v>regular</v>
          </cell>
          <cell r="K3337" t="str">
            <v>probsi</v>
          </cell>
        </row>
        <row r="3338">
          <cell r="B3338" t="b">
            <v>1</v>
          </cell>
          <cell r="E3338" t="str">
            <v>Boquilla</v>
          </cell>
          <cell r="H3338" t="str">
            <v>urgencia</v>
          </cell>
          <cell r="J3338" t="str">
            <v>bueno</v>
          </cell>
          <cell r="K3338" t="str">
            <v>probsi</v>
          </cell>
        </row>
        <row r="3339">
          <cell r="B3339" t="b">
            <v>1</v>
          </cell>
          <cell r="E3339" t="str">
            <v>Boquilla</v>
          </cell>
          <cell r="H3339" t="str">
            <v>salud_oral</v>
          </cell>
          <cell r="J3339" t="str">
            <v>bueno</v>
          </cell>
          <cell r="K3339" t="str">
            <v>probsi</v>
          </cell>
        </row>
        <row r="3340">
          <cell r="B3340" t="b">
            <v>1</v>
          </cell>
          <cell r="E3340" t="str">
            <v>Boquilla</v>
          </cell>
          <cell r="H3340" t="str">
            <v>laboratorio</v>
          </cell>
          <cell r="J3340" t="str">
            <v>bueno</v>
          </cell>
          <cell r="K3340" t="str">
            <v>probsi</v>
          </cell>
        </row>
        <row r="3341">
          <cell r="B3341" t="b">
            <v>1</v>
          </cell>
          <cell r="E3341" t="str">
            <v>Boquilla</v>
          </cell>
          <cell r="H3341" t="str">
            <v>urgencia</v>
          </cell>
          <cell r="J3341" t="str">
            <v>bueno</v>
          </cell>
          <cell r="K3341" t="str">
            <v>probsi</v>
          </cell>
        </row>
        <row r="3342">
          <cell r="B3342" t="b">
            <v>1</v>
          </cell>
          <cell r="E3342" t="str">
            <v>Boquilla</v>
          </cell>
          <cell r="H3342" t="str">
            <v>urgencia</v>
          </cell>
          <cell r="J3342" t="str">
            <v>bueno</v>
          </cell>
          <cell r="K3342" t="str">
            <v>probsi</v>
          </cell>
        </row>
        <row r="3343">
          <cell r="B3343" t="b">
            <v>1</v>
          </cell>
          <cell r="E3343" t="str">
            <v>Boquilla</v>
          </cell>
          <cell r="H3343" t="str">
            <v>urgencia</v>
          </cell>
          <cell r="J3343" t="str">
            <v>bueno</v>
          </cell>
          <cell r="K3343" t="str">
            <v>defsi</v>
          </cell>
        </row>
        <row r="3344">
          <cell r="B3344" t="b">
            <v>1</v>
          </cell>
          <cell r="E3344" t="str">
            <v>Boquilla</v>
          </cell>
          <cell r="H3344" t="str">
            <v>urgencia</v>
          </cell>
          <cell r="J3344" t="str">
            <v>bueno</v>
          </cell>
          <cell r="K3344" t="str">
            <v>defsi</v>
          </cell>
        </row>
        <row r="3345">
          <cell r="B3345" t="b">
            <v>1</v>
          </cell>
          <cell r="E3345" t="str">
            <v>Boquilla</v>
          </cell>
          <cell r="H3345" t="str">
            <v>urgencia</v>
          </cell>
          <cell r="J3345" t="str">
            <v>bueno</v>
          </cell>
          <cell r="K3345" t="str">
            <v>defsi</v>
          </cell>
        </row>
        <row r="3346">
          <cell r="B3346" t="b">
            <v>1</v>
          </cell>
          <cell r="E3346" t="str">
            <v>Boquilla</v>
          </cell>
          <cell r="H3346" t="str">
            <v>urgencia</v>
          </cell>
          <cell r="J3346" t="str">
            <v>bueno</v>
          </cell>
          <cell r="K3346" t="str">
            <v>probsi</v>
          </cell>
        </row>
        <row r="3347">
          <cell r="B3347" t="b">
            <v>0</v>
          </cell>
          <cell r="E3347" t="str">
            <v>Boquilla</v>
          </cell>
          <cell r="H3347" t="str">
            <v>urgencia</v>
          </cell>
          <cell r="J3347" t="str">
            <v>regular</v>
          </cell>
          <cell r="K3347" t="str">
            <v>probsi</v>
          </cell>
        </row>
        <row r="3348">
          <cell r="B3348" t="b">
            <v>1</v>
          </cell>
          <cell r="E3348" t="str">
            <v>Boquilla</v>
          </cell>
          <cell r="H3348" t="str">
            <v>salud_oral</v>
          </cell>
          <cell r="J3348" t="str">
            <v>bueno</v>
          </cell>
          <cell r="K3348" t="str">
            <v>probsi</v>
          </cell>
        </row>
        <row r="3349">
          <cell r="B3349" t="b">
            <v>1</v>
          </cell>
          <cell r="E3349" t="str">
            <v>Boquilla</v>
          </cell>
          <cell r="H3349" t="str">
            <v>salud_oral</v>
          </cell>
          <cell r="J3349" t="str">
            <v>bueno</v>
          </cell>
          <cell r="K3349" t="str">
            <v>probsi</v>
          </cell>
        </row>
        <row r="3350">
          <cell r="B3350" t="b">
            <v>1</v>
          </cell>
          <cell r="E3350" t="str">
            <v>Boquilla</v>
          </cell>
          <cell r="H3350" t="str">
            <v>laboratorio</v>
          </cell>
          <cell r="J3350" t="str">
            <v>bueno</v>
          </cell>
          <cell r="K3350" t="str">
            <v>probsi</v>
          </cell>
        </row>
        <row r="3351">
          <cell r="B3351" t="b">
            <v>1</v>
          </cell>
          <cell r="E3351" t="str">
            <v>Boquilla</v>
          </cell>
          <cell r="H3351" t="str">
            <v>laboratorio</v>
          </cell>
          <cell r="J3351" t="str">
            <v>bueno</v>
          </cell>
          <cell r="K3351" t="str">
            <v>probsi</v>
          </cell>
        </row>
        <row r="3352">
          <cell r="B3352" t="b">
            <v>1</v>
          </cell>
          <cell r="E3352" t="str">
            <v>Boquilla</v>
          </cell>
          <cell r="H3352" t="str">
            <v>laboratorio</v>
          </cell>
          <cell r="J3352" t="str">
            <v>bueno</v>
          </cell>
          <cell r="K3352" t="str">
            <v>probsi</v>
          </cell>
        </row>
        <row r="3353">
          <cell r="B3353" t="b">
            <v>1</v>
          </cell>
          <cell r="E3353" t="str">
            <v>Boquilla</v>
          </cell>
          <cell r="H3353" t="str">
            <v>laboratorio</v>
          </cell>
          <cell r="J3353" t="str">
            <v>bueno</v>
          </cell>
          <cell r="K3353" t="str">
            <v>probsi</v>
          </cell>
        </row>
        <row r="3354">
          <cell r="B3354" t="b">
            <v>1</v>
          </cell>
          <cell r="E3354" t="str">
            <v>Foco Rojo</v>
          </cell>
          <cell r="H3354" t="str">
            <v>consulta_externa</v>
          </cell>
          <cell r="J3354" t="str">
            <v>bueno</v>
          </cell>
          <cell r="K3354" t="str">
            <v>probsi</v>
          </cell>
        </row>
        <row r="3355">
          <cell r="B3355" t="b">
            <v>1</v>
          </cell>
          <cell r="E3355" t="str">
            <v>Foco Rojo</v>
          </cell>
          <cell r="H3355" t="str">
            <v>salud_oral</v>
          </cell>
          <cell r="J3355" t="str">
            <v>bueno</v>
          </cell>
          <cell r="K3355" t="str">
            <v>probsi</v>
          </cell>
        </row>
        <row r="3356">
          <cell r="B3356" t="b">
            <v>1</v>
          </cell>
          <cell r="E3356" t="str">
            <v>Foco Rojo</v>
          </cell>
          <cell r="H3356" t="str">
            <v>salud_oral</v>
          </cell>
          <cell r="J3356" t="str">
            <v>bueno</v>
          </cell>
          <cell r="K3356" t="str">
            <v>probsi</v>
          </cell>
        </row>
        <row r="3357">
          <cell r="B3357" t="b">
            <v>1</v>
          </cell>
          <cell r="E3357" t="str">
            <v>Foco Rojo</v>
          </cell>
          <cell r="H3357" t="str">
            <v>salud_oral</v>
          </cell>
          <cell r="J3357" t="str">
            <v>bueno</v>
          </cell>
          <cell r="K3357" t="str">
            <v>probsi</v>
          </cell>
        </row>
        <row r="3358">
          <cell r="B3358" t="b">
            <v>1</v>
          </cell>
          <cell r="E3358" t="str">
            <v>Foco Rojo</v>
          </cell>
          <cell r="H3358" t="str">
            <v>salud_oral</v>
          </cell>
          <cell r="J3358" t="str">
            <v>bueno</v>
          </cell>
          <cell r="K3358" t="str">
            <v>probsi</v>
          </cell>
        </row>
        <row r="3359">
          <cell r="B3359" t="b">
            <v>1</v>
          </cell>
          <cell r="E3359" t="str">
            <v>Foco Rojo</v>
          </cell>
          <cell r="H3359" t="str">
            <v>salud_oral</v>
          </cell>
          <cell r="J3359" t="str">
            <v>bueno</v>
          </cell>
          <cell r="K3359" t="str">
            <v>probsi</v>
          </cell>
        </row>
        <row r="3360">
          <cell r="B3360" t="b">
            <v>1</v>
          </cell>
          <cell r="E3360" t="str">
            <v>Foco Rojo</v>
          </cell>
          <cell r="H3360" t="str">
            <v>salud_oral</v>
          </cell>
          <cell r="J3360" t="str">
            <v>bueno</v>
          </cell>
          <cell r="K3360" t="str">
            <v>probsi</v>
          </cell>
        </row>
        <row r="3361">
          <cell r="B3361" t="b">
            <v>1</v>
          </cell>
          <cell r="E3361" t="str">
            <v>Foco Rojo</v>
          </cell>
          <cell r="H3361" t="str">
            <v>salud_oral</v>
          </cell>
          <cell r="J3361" t="str">
            <v>bueno</v>
          </cell>
          <cell r="K3361" t="str">
            <v>probsi</v>
          </cell>
        </row>
        <row r="3362">
          <cell r="B3362" t="b">
            <v>1</v>
          </cell>
          <cell r="E3362" t="str">
            <v>Foco Rojo</v>
          </cell>
          <cell r="H3362" t="str">
            <v>laboratorio</v>
          </cell>
          <cell r="J3362" t="str">
            <v>bueno</v>
          </cell>
          <cell r="K3362" t="str">
            <v>probsi</v>
          </cell>
        </row>
        <row r="3363">
          <cell r="B3363" t="b">
            <v>1</v>
          </cell>
          <cell r="E3363" t="str">
            <v>Foco Rojo</v>
          </cell>
          <cell r="H3363" t="str">
            <v>laboratorio</v>
          </cell>
          <cell r="J3363" t="str">
            <v>bueno</v>
          </cell>
          <cell r="K3363" t="str">
            <v>probsi</v>
          </cell>
        </row>
        <row r="3364">
          <cell r="B3364" t="b">
            <v>1</v>
          </cell>
          <cell r="E3364" t="str">
            <v>Foco Rojo</v>
          </cell>
          <cell r="H3364" t="str">
            <v>laboratorio</v>
          </cell>
          <cell r="J3364" t="str">
            <v>bueno</v>
          </cell>
          <cell r="K3364" t="str">
            <v>probsi</v>
          </cell>
        </row>
        <row r="3365">
          <cell r="B3365" t="b">
            <v>1</v>
          </cell>
          <cell r="E3365" t="str">
            <v>Foco Rojo</v>
          </cell>
          <cell r="H3365" t="str">
            <v>laboratorio</v>
          </cell>
          <cell r="J3365" t="str">
            <v>bueno</v>
          </cell>
          <cell r="K3365" t="str">
            <v>probsi</v>
          </cell>
        </row>
        <row r="3366">
          <cell r="B3366" t="b">
            <v>1</v>
          </cell>
          <cell r="E3366" t="str">
            <v>Candelaria</v>
          </cell>
          <cell r="H3366" t="str">
            <v>electros</v>
          </cell>
          <cell r="J3366" t="str">
            <v>bueno</v>
          </cell>
          <cell r="K3366" t="str">
            <v>probsi</v>
          </cell>
        </row>
        <row r="3367">
          <cell r="B3367" t="b">
            <v>1</v>
          </cell>
          <cell r="E3367" t="str">
            <v>Candelaria</v>
          </cell>
          <cell r="H3367" t="str">
            <v>electros</v>
          </cell>
          <cell r="J3367" t="str">
            <v>bueno</v>
          </cell>
          <cell r="K3367" t="str">
            <v>probsi</v>
          </cell>
        </row>
        <row r="3368">
          <cell r="B3368" t="b">
            <v>1</v>
          </cell>
          <cell r="E3368" t="str">
            <v>Candelaria</v>
          </cell>
          <cell r="H3368" t="str">
            <v>electros</v>
          </cell>
          <cell r="J3368" t="str">
            <v>bueno</v>
          </cell>
          <cell r="K3368" t="str">
            <v>probsi</v>
          </cell>
        </row>
        <row r="3369">
          <cell r="B3369" t="b">
            <v>1</v>
          </cell>
          <cell r="E3369" t="str">
            <v>Candelaria</v>
          </cell>
          <cell r="H3369" t="str">
            <v>electros</v>
          </cell>
          <cell r="J3369" t="str">
            <v>bueno</v>
          </cell>
          <cell r="K3369" t="str">
            <v>probsi</v>
          </cell>
        </row>
        <row r="3370">
          <cell r="B3370" t="b">
            <v>1</v>
          </cell>
          <cell r="E3370" t="str">
            <v>Candelaria</v>
          </cell>
          <cell r="H3370" t="str">
            <v>electros</v>
          </cell>
          <cell r="J3370" t="str">
            <v>bueno</v>
          </cell>
          <cell r="K3370" t="str">
            <v>probsi</v>
          </cell>
        </row>
        <row r="3371">
          <cell r="B3371" t="b">
            <v>1</v>
          </cell>
          <cell r="E3371" t="str">
            <v>Candelaria</v>
          </cell>
          <cell r="H3371" t="str">
            <v>electros</v>
          </cell>
          <cell r="J3371" t="str">
            <v>bueno</v>
          </cell>
          <cell r="K3371" t="str">
            <v>probsi</v>
          </cell>
        </row>
        <row r="3372">
          <cell r="B3372" t="b">
            <v>1</v>
          </cell>
          <cell r="E3372" t="str">
            <v>Candelaria</v>
          </cell>
          <cell r="H3372" t="str">
            <v>electros</v>
          </cell>
          <cell r="J3372" t="str">
            <v>bueno</v>
          </cell>
          <cell r="K3372" t="str">
            <v>probsi</v>
          </cell>
        </row>
        <row r="3373">
          <cell r="B3373" t="b">
            <v>1</v>
          </cell>
          <cell r="E3373" t="str">
            <v>Candelaria</v>
          </cell>
          <cell r="H3373" t="str">
            <v>electros</v>
          </cell>
          <cell r="J3373" t="str">
            <v>bueno</v>
          </cell>
          <cell r="K3373" t="str">
            <v>probsi</v>
          </cell>
        </row>
        <row r="3374">
          <cell r="B3374" t="b">
            <v>1</v>
          </cell>
          <cell r="E3374" t="str">
            <v>Candelaria</v>
          </cell>
          <cell r="H3374" t="str">
            <v>electros</v>
          </cell>
          <cell r="J3374" t="str">
            <v>bueno</v>
          </cell>
          <cell r="K3374" t="str">
            <v>probsi</v>
          </cell>
        </row>
        <row r="3375">
          <cell r="B3375" t="b">
            <v>1</v>
          </cell>
          <cell r="E3375" t="str">
            <v>Candelaria</v>
          </cell>
          <cell r="H3375" t="str">
            <v>laboratorio</v>
          </cell>
          <cell r="J3375" t="str">
            <v>bueno</v>
          </cell>
          <cell r="K3375" t="str">
            <v>probsi</v>
          </cell>
        </row>
        <row r="3376">
          <cell r="B3376" t="b">
            <v>1</v>
          </cell>
          <cell r="E3376" t="str">
            <v>Candelaria</v>
          </cell>
          <cell r="H3376" t="str">
            <v>laboratorio</v>
          </cell>
          <cell r="J3376" t="str">
            <v>bueno</v>
          </cell>
          <cell r="K3376" t="str">
            <v>probsi</v>
          </cell>
        </row>
        <row r="3377">
          <cell r="B3377" t="b">
            <v>1</v>
          </cell>
          <cell r="E3377" t="str">
            <v>Candelaria</v>
          </cell>
          <cell r="H3377" t="str">
            <v>laboratorio</v>
          </cell>
          <cell r="J3377" t="str">
            <v>bueno</v>
          </cell>
          <cell r="K3377" t="str">
            <v>probsi</v>
          </cell>
        </row>
        <row r="3378">
          <cell r="B3378" t="b">
            <v>1</v>
          </cell>
          <cell r="E3378" t="str">
            <v>Candelaria</v>
          </cell>
          <cell r="H3378" t="str">
            <v>laboratorio</v>
          </cell>
          <cell r="J3378" t="str">
            <v>bueno</v>
          </cell>
          <cell r="K3378" t="str">
            <v>probsi</v>
          </cell>
        </row>
        <row r="3379">
          <cell r="B3379" t="b">
            <v>1</v>
          </cell>
          <cell r="E3379" t="str">
            <v>Candelaria</v>
          </cell>
          <cell r="H3379" t="str">
            <v>laboratorio</v>
          </cell>
          <cell r="J3379" t="str">
            <v>bueno</v>
          </cell>
          <cell r="K3379" t="str">
            <v>probsi</v>
          </cell>
        </row>
        <row r="3380">
          <cell r="B3380" t="b">
            <v>1</v>
          </cell>
          <cell r="E3380" t="str">
            <v>Candelaria</v>
          </cell>
          <cell r="H3380" t="str">
            <v>urgencia</v>
          </cell>
          <cell r="J3380" t="str">
            <v>bueno</v>
          </cell>
          <cell r="K3380" t="str">
            <v>probsi</v>
          </cell>
        </row>
        <row r="3381">
          <cell r="B3381" t="b">
            <v>1</v>
          </cell>
          <cell r="E3381" t="str">
            <v>Candelaria</v>
          </cell>
          <cell r="H3381" t="str">
            <v>urgencia</v>
          </cell>
          <cell r="J3381" t="str">
            <v>bueno</v>
          </cell>
          <cell r="K3381" t="str">
            <v>probsi</v>
          </cell>
        </row>
        <row r="3382">
          <cell r="B3382" t="b">
            <v>0</v>
          </cell>
          <cell r="E3382" t="str">
            <v>Candelaria</v>
          </cell>
          <cell r="H3382" t="str">
            <v>urgencia</v>
          </cell>
          <cell r="J3382" t="str">
            <v>regular</v>
          </cell>
          <cell r="K3382" t="str">
            <v>probno</v>
          </cell>
        </row>
        <row r="3383">
          <cell r="B3383" t="b">
            <v>0</v>
          </cell>
          <cell r="E3383" t="str">
            <v>Candelaria</v>
          </cell>
          <cell r="H3383" t="str">
            <v>urgencia</v>
          </cell>
          <cell r="J3383" t="str">
            <v>regular</v>
          </cell>
          <cell r="K3383" t="str">
            <v>probno</v>
          </cell>
        </row>
        <row r="3384">
          <cell r="B3384" t="b">
            <v>1</v>
          </cell>
          <cell r="E3384" t="str">
            <v>Candelaria</v>
          </cell>
          <cell r="H3384" t="str">
            <v>urgencia</v>
          </cell>
          <cell r="J3384" t="str">
            <v>bueno</v>
          </cell>
          <cell r="K3384" t="str">
            <v>probsi</v>
          </cell>
        </row>
        <row r="3385">
          <cell r="B3385" t="b">
            <v>1</v>
          </cell>
          <cell r="E3385" t="str">
            <v>Candelaria</v>
          </cell>
          <cell r="H3385" t="str">
            <v>urgencia</v>
          </cell>
          <cell r="J3385" t="str">
            <v>bueno</v>
          </cell>
          <cell r="K3385" t="str">
            <v>probsi</v>
          </cell>
        </row>
        <row r="3386">
          <cell r="B3386" t="b">
            <v>1</v>
          </cell>
          <cell r="E3386" t="str">
            <v>Candelaria</v>
          </cell>
          <cell r="H3386" t="str">
            <v>urgencia</v>
          </cell>
          <cell r="J3386" t="str">
            <v>bueno</v>
          </cell>
          <cell r="K3386" t="str">
            <v>probsi</v>
          </cell>
        </row>
        <row r="3387">
          <cell r="B3387" t="b">
            <v>1</v>
          </cell>
          <cell r="E3387" t="str">
            <v>Candelaria</v>
          </cell>
          <cell r="H3387" t="str">
            <v>urgencia</v>
          </cell>
          <cell r="J3387" t="str">
            <v>bueno</v>
          </cell>
          <cell r="K3387" t="str">
            <v>probsi</v>
          </cell>
        </row>
        <row r="3388">
          <cell r="B3388" t="b">
            <v>1</v>
          </cell>
          <cell r="E3388" t="str">
            <v>Candelaria</v>
          </cell>
          <cell r="H3388" t="str">
            <v>salud_oral</v>
          </cell>
          <cell r="J3388" t="str">
            <v>bueno</v>
          </cell>
          <cell r="K3388" t="str">
            <v>probsi</v>
          </cell>
        </row>
        <row r="3389">
          <cell r="B3389" t="b">
            <v>1</v>
          </cell>
          <cell r="E3389" t="str">
            <v>Candelaria</v>
          </cell>
          <cell r="H3389" t="str">
            <v>salud_oral</v>
          </cell>
          <cell r="J3389" t="str">
            <v>bueno</v>
          </cell>
          <cell r="K3389" t="str">
            <v>probsi</v>
          </cell>
        </row>
        <row r="3390">
          <cell r="B3390" t="b">
            <v>1</v>
          </cell>
          <cell r="E3390" t="str">
            <v>Candelaria</v>
          </cell>
          <cell r="H3390" t="str">
            <v>salud_oral</v>
          </cell>
          <cell r="J3390" t="str">
            <v>bueno</v>
          </cell>
          <cell r="K3390" t="str">
            <v>probsi</v>
          </cell>
        </row>
        <row r="3391">
          <cell r="B3391" t="b">
            <v>1</v>
          </cell>
          <cell r="E3391" t="str">
            <v>Candelaria</v>
          </cell>
          <cell r="H3391" t="str">
            <v>salud_oral</v>
          </cell>
          <cell r="J3391" t="str">
            <v>bueno</v>
          </cell>
          <cell r="K3391" t="str">
            <v>probsi</v>
          </cell>
        </row>
        <row r="3392">
          <cell r="B3392" t="b">
            <v>1</v>
          </cell>
          <cell r="E3392" t="str">
            <v>Candelaria</v>
          </cell>
          <cell r="H3392" t="str">
            <v>medicina_interna</v>
          </cell>
          <cell r="J3392" t="str">
            <v>bueno</v>
          </cell>
          <cell r="K3392" t="str">
            <v>probsi</v>
          </cell>
        </row>
        <row r="3393">
          <cell r="B3393" t="b">
            <v>1</v>
          </cell>
          <cell r="E3393" t="str">
            <v>Candelaria</v>
          </cell>
          <cell r="H3393" t="str">
            <v>medicina_interna</v>
          </cell>
          <cell r="J3393" t="str">
            <v>bueno</v>
          </cell>
          <cell r="K3393" t="str">
            <v>probsi</v>
          </cell>
        </row>
        <row r="3394">
          <cell r="B3394" t="b">
            <v>1</v>
          </cell>
          <cell r="E3394" t="str">
            <v>Candelaria</v>
          </cell>
          <cell r="H3394" t="str">
            <v>medicina_interna</v>
          </cell>
          <cell r="J3394" t="str">
            <v>bueno</v>
          </cell>
          <cell r="K3394" t="str">
            <v>probsi</v>
          </cell>
        </row>
        <row r="3395">
          <cell r="B3395" t="b">
            <v>1</v>
          </cell>
          <cell r="E3395" t="str">
            <v>Candelaria</v>
          </cell>
          <cell r="H3395" t="str">
            <v>medicina_interna</v>
          </cell>
          <cell r="J3395" t="str">
            <v>bueno</v>
          </cell>
          <cell r="K3395" t="str">
            <v>probsi</v>
          </cell>
        </row>
        <row r="3396">
          <cell r="B3396" t="b">
            <v>1</v>
          </cell>
          <cell r="E3396" t="str">
            <v>Candelaria</v>
          </cell>
          <cell r="H3396" t="str">
            <v>medicina_interna</v>
          </cell>
          <cell r="J3396" t="str">
            <v>bueno</v>
          </cell>
          <cell r="K3396" t="str">
            <v>probsi</v>
          </cell>
        </row>
        <row r="3397">
          <cell r="B3397" t="b">
            <v>1</v>
          </cell>
          <cell r="E3397" t="str">
            <v>Candelaria</v>
          </cell>
          <cell r="H3397" t="str">
            <v>pediatria</v>
          </cell>
          <cell r="J3397" t="str">
            <v>bueno</v>
          </cell>
          <cell r="K3397" t="str">
            <v>probsi</v>
          </cell>
        </row>
        <row r="3398">
          <cell r="B3398" t="b">
            <v>1</v>
          </cell>
          <cell r="E3398" t="str">
            <v>Candelaria</v>
          </cell>
          <cell r="H3398" t="str">
            <v>pediatria</v>
          </cell>
          <cell r="J3398" t="str">
            <v>bueno</v>
          </cell>
          <cell r="K3398" t="str">
            <v>probsi</v>
          </cell>
        </row>
        <row r="3399">
          <cell r="B3399" t="b">
            <v>1</v>
          </cell>
          <cell r="E3399" t="str">
            <v>Candelaria</v>
          </cell>
          <cell r="H3399" t="str">
            <v>pediatria</v>
          </cell>
          <cell r="J3399" t="str">
            <v>bueno</v>
          </cell>
          <cell r="K3399" t="str">
            <v>probsi</v>
          </cell>
        </row>
        <row r="3400">
          <cell r="B3400" t="b">
            <v>1</v>
          </cell>
          <cell r="E3400" t="str">
            <v>Candelaria</v>
          </cell>
          <cell r="H3400" t="str">
            <v>pediatria</v>
          </cell>
          <cell r="J3400" t="str">
            <v>bueno</v>
          </cell>
          <cell r="K3400" t="str">
            <v>probsi</v>
          </cell>
        </row>
        <row r="3401">
          <cell r="B3401" t="b">
            <v>1</v>
          </cell>
          <cell r="E3401" t="str">
            <v>Candelaria</v>
          </cell>
          <cell r="H3401" t="str">
            <v>pediatria</v>
          </cell>
          <cell r="J3401" t="str">
            <v>bueno</v>
          </cell>
          <cell r="K3401" t="str">
            <v>probsi</v>
          </cell>
        </row>
        <row r="3402">
          <cell r="B3402" t="b">
            <v>1</v>
          </cell>
          <cell r="E3402" t="str">
            <v>Pozon</v>
          </cell>
          <cell r="H3402" t="str">
            <v>laboratorio</v>
          </cell>
          <cell r="J3402" t="str">
            <v>bueno</v>
          </cell>
          <cell r="K3402" t="str">
            <v>defsi</v>
          </cell>
        </row>
        <row r="3403">
          <cell r="B3403" t="b">
            <v>1</v>
          </cell>
          <cell r="E3403" t="str">
            <v>Pozon</v>
          </cell>
          <cell r="H3403" t="str">
            <v>consulta_externa</v>
          </cell>
          <cell r="J3403" t="str">
            <v>bueno</v>
          </cell>
          <cell r="K3403" t="str">
            <v>defsi</v>
          </cell>
        </row>
        <row r="3404">
          <cell r="B3404" t="b">
            <v>1</v>
          </cell>
          <cell r="E3404" t="str">
            <v>Pozon</v>
          </cell>
          <cell r="H3404" t="str">
            <v>salud_oral</v>
          </cell>
          <cell r="J3404" t="str">
            <v>bueno</v>
          </cell>
          <cell r="K3404" t="str">
            <v>defsi</v>
          </cell>
        </row>
        <row r="3405">
          <cell r="B3405" t="b">
            <v>1</v>
          </cell>
          <cell r="E3405" t="str">
            <v>Pozon</v>
          </cell>
          <cell r="H3405" t="str">
            <v>laboratorio</v>
          </cell>
          <cell r="J3405" t="str">
            <v>bueno</v>
          </cell>
          <cell r="K3405" t="str">
            <v>defsi</v>
          </cell>
        </row>
        <row r="3406">
          <cell r="B3406" t="b">
            <v>1</v>
          </cell>
          <cell r="E3406" t="str">
            <v>Pozon</v>
          </cell>
          <cell r="H3406" t="str">
            <v>consulta_externa</v>
          </cell>
          <cell r="J3406" t="str">
            <v>bueno</v>
          </cell>
          <cell r="K3406" t="str">
            <v>defsi</v>
          </cell>
        </row>
        <row r="3407">
          <cell r="B3407" t="b">
            <v>1</v>
          </cell>
          <cell r="E3407" t="str">
            <v>Pozon</v>
          </cell>
          <cell r="H3407" t="str">
            <v>salud_oral</v>
          </cell>
          <cell r="J3407" t="str">
            <v>bueno</v>
          </cell>
          <cell r="K3407" t="str">
            <v>defsi</v>
          </cell>
        </row>
        <row r="3408">
          <cell r="B3408" t="b">
            <v>1</v>
          </cell>
          <cell r="E3408" t="str">
            <v>Pozon</v>
          </cell>
          <cell r="H3408" t="str">
            <v>laboratorio</v>
          </cell>
          <cell r="J3408" t="str">
            <v>bueno</v>
          </cell>
          <cell r="K3408" t="str">
            <v>defsi</v>
          </cell>
        </row>
        <row r="3409">
          <cell r="B3409" t="b">
            <v>1</v>
          </cell>
          <cell r="E3409" t="str">
            <v>Pozon</v>
          </cell>
          <cell r="H3409" t="str">
            <v>consulta_externa</v>
          </cell>
          <cell r="J3409" t="str">
            <v>bueno</v>
          </cell>
          <cell r="K3409" t="str">
            <v>defsi</v>
          </cell>
        </row>
        <row r="3410">
          <cell r="B3410" t="b">
            <v>1</v>
          </cell>
          <cell r="E3410" t="str">
            <v>Pozon</v>
          </cell>
          <cell r="H3410" t="str">
            <v>salud_oral</v>
          </cell>
          <cell r="J3410" t="str">
            <v>bueno</v>
          </cell>
          <cell r="K3410" t="str">
            <v>defsi</v>
          </cell>
        </row>
        <row r="3411">
          <cell r="B3411" t="b">
            <v>1</v>
          </cell>
          <cell r="E3411" t="str">
            <v>Pozon</v>
          </cell>
          <cell r="H3411" t="str">
            <v>laboratorio</v>
          </cell>
          <cell r="J3411" t="str">
            <v>bueno</v>
          </cell>
          <cell r="K3411" t="str">
            <v>defsi</v>
          </cell>
        </row>
        <row r="3412">
          <cell r="B3412" t="b">
            <v>1</v>
          </cell>
          <cell r="E3412" t="str">
            <v>Pozon</v>
          </cell>
          <cell r="H3412" t="str">
            <v>consulta_externa</v>
          </cell>
          <cell r="J3412" t="str">
            <v>bueno</v>
          </cell>
          <cell r="K3412" t="str">
            <v>defsi</v>
          </cell>
        </row>
        <row r="3413">
          <cell r="B3413" t="b">
            <v>1</v>
          </cell>
          <cell r="E3413" t="str">
            <v>Pozon</v>
          </cell>
          <cell r="H3413" t="str">
            <v>salud_oral</v>
          </cell>
          <cell r="J3413" t="str">
            <v>bueno</v>
          </cell>
          <cell r="K3413" t="str">
            <v>defsi</v>
          </cell>
        </row>
        <row r="3414">
          <cell r="B3414" t="b">
            <v>1</v>
          </cell>
          <cell r="E3414" t="str">
            <v>Pozon</v>
          </cell>
          <cell r="H3414" t="str">
            <v>laboratorio</v>
          </cell>
          <cell r="J3414" t="str">
            <v>bueno</v>
          </cell>
          <cell r="K3414" t="str">
            <v>defsi</v>
          </cell>
        </row>
        <row r="3415">
          <cell r="B3415" t="b">
            <v>0</v>
          </cell>
          <cell r="E3415" t="str">
            <v>Pozon</v>
          </cell>
          <cell r="H3415" t="str">
            <v>consulta_externa</v>
          </cell>
          <cell r="J3415" t="str">
            <v>regular</v>
          </cell>
          <cell r="K3415" t="str">
            <v>defsi</v>
          </cell>
        </row>
        <row r="3416">
          <cell r="B3416" t="b">
            <v>1</v>
          </cell>
          <cell r="E3416" t="str">
            <v>Pozon</v>
          </cell>
          <cell r="H3416" t="str">
            <v>salud_oral</v>
          </cell>
          <cell r="J3416" t="str">
            <v>bueno</v>
          </cell>
          <cell r="K3416" t="str">
            <v>defsi</v>
          </cell>
        </row>
        <row r="3417">
          <cell r="B3417" t="b">
            <v>1</v>
          </cell>
          <cell r="E3417" t="str">
            <v>Pozon</v>
          </cell>
          <cell r="H3417" t="str">
            <v>laboratorio</v>
          </cell>
          <cell r="J3417" t="str">
            <v>bueno</v>
          </cell>
          <cell r="K3417" t="str">
            <v>defsi</v>
          </cell>
        </row>
        <row r="3418">
          <cell r="B3418" t="b">
            <v>1</v>
          </cell>
          <cell r="E3418" t="str">
            <v>Arroyo Grande</v>
          </cell>
          <cell r="H3418" t="str">
            <v>consulta_externa</v>
          </cell>
          <cell r="J3418" t="str">
            <v>bueno</v>
          </cell>
          <cell r="K3418" t="str">
            <v>probsi</v>
          </cell>
        </row>
        <row r="3419">
          <cell r="B3419" t="b">
            <v>1</v>
          </cell>
          <cell r="E3419" t="str">
            <v>Arroyo Grande</v>
          </cell>
          <cell r="H3419" t="str">
            <v>salud_oral</v>
          </cell>
          <cell r="J3419" t="str">
            <v>bueno</v>
          </cell>
          <cell r="K3419" t="str">
            <v>probsi</v>
          </cell>
        </row>
        <row r="3420">
          <cell r="B3420" t="b">
            <v>1</v>
          </cell>
          <cell r="E3420" t="str">
            <v>Arroyo Grande</v>
          </cell>
          <cell r="H3420" t="str">
            <v>laboratorio</v>
          </cell>
          <cell r="J3420" t="str">
            <v>bueno</v>
          </cell>
          <cell r="K3420" t="str">
            <v>probsi</v>
          </cell>
        </row>
        <row r="3421">
          <cell r="B3421" t="b">
            <v>1</v>
          </cell>
          <cell r="E3421" t="str">
            <v>Arroyo Grande</v>
          </cell>
          <cell r="H3421" t="str">
            <v>consulta_externa</v>
          </cell>
          <cell r="J3421" t="str">
            <v>bueno</v>
          </cell>
          <cell r="K3421" t="str">
            <v>probsi</v>
          </cell>
        </row>
        <row r="3422">
          <cell r="B3422" t="b">
            <v>1</v>
          </cell>
          <cell r="E3422" t="str">
            <v>Arroyo Grande</v>
          </cell>
          <cell r="H3422" t="str">
            <v>laboratorio</v>
          </cell>
          <cell r="J3422" t="str">
            <v>bueno</v>
          </cell>
          <cell r="K3422" t="str">
            <v>probsi</v>
          </cell>
        </row>
        <row r="3423">
          <cell r="B3423" t="b">
            <v>1</v>
          </cell>
          <cell r="E3423" t="str">
            <v>Arroyo Grande</v>
          </cell>
          <cell r="H3423" t="str">
            <v>salud_oral</v>
          </cell>
          <cell r="J3423" t="str">
            <v>bueno</v>
          </cell>
          <cell r="K3423" t="str">
            <v>probsi</v>
          </cell>
        </row>
        <row r="3424">
          <cell r="B3424" t="b">
            <v>1</v>
          </cell>
          <cell r="E3424" t="str">
            <v>Arroyo Grande</v>
          </cell>
          <cell r="H3424" t="str">
            <v>consulta_externa</v>
          </cell>
          <cell r="J3424" t="str">
            <v>bueno</v>
          </cell>
          <cell r="K3424" t="str">
            <v>probsi</v>
          </cell>
        </row>
        <row r="3425">
          <cell r="B3425" t="b">
            <v>1</v>
          </cell>
          <cell r="E3425" t="str">
            <v>Arroyo Grande</v>
          </cell>
          <cell r="H3425" t="str">
            <v>laboratorio</v>
          </cell>
          <cell r="J3425" t="str">
            <v>bueno</v>
          </cell>
          <cell r="K3425" t="str">
            <v>probsi</v>
          </cell>
        </row>
        <row r="3426">
          <cell r="B3426" t="b">
            <v>1</v>
          </cell>
          <cell r="E3426" t="str">
            <v>Arroyo Grande</v>
          </cell>
          <cell r="H3426" t="str">
            <v>salud_oral</v>
          </cell>
          <cell r="J3426" t="str">
            <v>bueno</v>
          </cell>
          <cell r="K3426" t="str">
            <v>probsi</v>
          </cell>
        </row>
        <row r="3427">
          <cell r="B3427" t="b">
            <v>1</v>
          </cell>
          <cell r="E3427" t="str">
            <v>Tierra Bomba</v>
          </cell>
          <cell r="H3427" t="str">
            <v>laboratorio</v>
          </cell>
          <cell r="J3427" t="str">
            <v>bueno</v>
          </cell>
          <cell r="K3427" t="str">
            <v>defsi</v>
          </cell>
        </row>
        <row r="3428">
          <cell r="B3428" t="b">
            <v>1</v>
          </cell>
          <cell r="E3428" t="str">
            <v>Arroyo Grande</v>
          </cell>
          <cell r="H3428" t="str">
            <v>consulta_externa</v>
          </cell>
          <cell r="J3428" t="str">
            <v>bueno</v>
          </cell>
          <cell r="K3428" t="str">
            <v>probsi</v>
          </cell>
        </row>
        <row r="3429">
          <cell r="B3429" t="b">
            <v>1</v>
          </cell>
          <cell r="E3429" t="str">
            <v>Arroyo Grande</v>
          </cell>
          <cell r="H3429" t="str">
            <v>consulta_externa</v>
          </cell>
          <cell r="J3429" t="str">
            <v>muybueno</v>
          </cell>
          <cell r="K3429" t="str">
            <v>probsi</v>
          </cell>
        </row>
        <row r="3430">
          <cell r="B3430" t="b">
            <v>1</v>
          </cell>
          <cell r="E3430" t="str">
            <v>Arroyo Grande</v>
          </cell>
          <cell r="H3430" t="str">
            <v>laboratorio</v>
          </cell>
          <cell r="J3430" t="str">
            <v>muybueno</v>
          </cell>
          <cell r="K3430" t="str">
            <v>probsi</v>
          </cell>
        </row>
        <row r="3431">
          <cell r="B3431" t="b">
            <v>1</v>
          </cell>
          <cell r="E3431" t="str">
            <v>Arroyo Grande</v>
          </cell>
          <cell r="H3431" t="str">
            <v>consulta_externa</v>
          </cell>
          <cell r="J3431" t="str">
            <v>bueno</v>
          </cell>
          <cell r="K3431" t="str">
            <v>probsi</v>
          </cell>
        </row>
        <row r="3432">
          <cell r="B3432" t="b">
            <v>1</v>
          </cell>
          <cell r="E3432" t="str">
            <v>Baru</v>
          </cell>
          <cell r="H3432" t="str">
            <v>consulta_externa</v>
          </cell>
          <cell r="J3432" t="str">
            <v>muybueno</v>
          </cell>
          <cell r="K3432" t="str">
            <v>defsi</v>
          </cell>
        </row>
        <row r="3433">
          <cell r="B3433" t="b">
            <v>1</v>
          </cell>
          <cell r="E3433" t="str">
            <v>Baru</v>
          </cell>
          <cell r="H3433" t="str">
            <v>laboratorio</v>
          </cell>
          <cell r="J3433" t="str">
            <v>muybueno</v>
          </cell>
          <cell r="K3433" t="str">
            <v>defsi</v>
          </cell>
        </row>
        <row r="3434">
          <cell r="B3434" t="b">
            <v>1</v>
          </cell>
          <cell r="E3434" t="str">
            <v>Arroyo Grande</v>
          </cell>
          <cell r="H3434" t="str">
            <v>consulta_externa</v>
          </cell>
          <cell r="J3434" t="str">
            <v>bueno</v>
          </cell>
          <cell r="K3434" t="str">
            <v>probsi</v>
          </cell>
        </row>
        <row r="3435">
          <cell r="B3435" t="b">
            <v>1</v>
          </cell>
          <cell r="E3435" t="str">
            <v>Arroyo Grande</v>
          </cell>
          <cell r="H3435" t="str">
            <v>laboratorio</v>
          </cell>
          <cell r="J3435" t="str">
            <v>muybueno</v>
          </cell>
          <cell r="K3435" t="str">
            <v>probsi</v>
          </cell>
        </row>
        <row r="3436">
          <cell r="B3436" t="b">
            <v>1</v>
          </cell>
          <cell r="E3436" t="str">
            <v>Baru</v>
          </cell>
          <cell r="H3436" t="str">
            <v>consulta_externa</v>
          </cell>
          <cell r="J3436" t="str">
            <v>muybueno</v>
          </cell>
          <cell r="K3436" t="str">
            <v>defsi</v>
          </cell>
        </row>
        <row r="3437">
          <cell r="B3437" t="b">
            <v>1</v>
          </cell>
          <cell r="E3437" t="str">
            <v>Arroyo Grande</v>
          </cell>
          <cell r="H3437" t="str">
            <v>consulta_externa</v>
          </cell>
          <cell r="J3437" t="str">
            <v>muybueno</v>
          </cell>
          <cell r="K3437" t="str">
            <v>probsi</v>
          </cell>
        </row>
        <row r="3438">
          <cell r="B3438" t="b">
            <v>1</v>
          </cell>
          <cell r="E3438" t="str">
            <v>Baru</v>
          </cell>
          <cell r="H3438" t="str">
            <v>laboratorio</v>
          </cell>
          <cell r="J3438" t="str">
            <v>muybueno</v>
          </cell>
          <cell r="K3438" t="str">
            <v>defsi</v>
          </cell>
        </row>
        <row r="3439">
          <cell r="B3439" t="b">
            <v>1</v>
          </cell>
          <cell r="E3439" t="str">
            <v>Arroyo Grande</v>
          </cell>
          <cell r="H3439" t="str">
            <v>salud_oral</v>
          </cell>
          <cell r="J3439" t="str">
            <v>muybueno</v>
          </cell>
          <cell r="K3439" t="str">
            <v>probsi</v>
          </cell>
        </row>
        <row r="3440">
          <cell r="B3440" t="b">
            <v>1</v>
          </cell>
          <cell r="E3440" t="str">
            <v>Tierra Bomba</v>
          </cell>
          <cell r="H3440" t="str">
            <v>laboratorio</v>
          </cell>
          <cell r="J3440" t="str">
            <v>bueno</v>
          </cell>
          <cell r="K3440" t="str">
            <v>defsi</v>
          </cell>
        </row>
        <row r="3441">
          <cell r="B3441" t="b">
            <v>1</v>
          </cell>
          <cell r="E3441" t="str">
            <v>Tierra Bomba</v>
          </cell>
          <cell r="H3441" t="str">
            <v>laboratorio</v>
          </cell>
          <cell r="J3441" t="str">
            <v>bueno</v>
          </cell>
          <cell r="K3441" t="str">
            <v>defsi</v>
          </cell>
        </row>
        <row r="3442">
          <cell r="B3442" t="b">
            <v>1</v>
          </cell>
          <cell r="E3442" t="str">
            <v>Tierra Bomba</v>
          </cell>
          <cell r="H3442" t="str">
            <v>consulta_externa</v>
          </cell>
          <cell r="J3442" t="str">
            <v>bueno</v>
          </cell>
          <cell r="K3442" t="str">
            <v>defsi</v>
          </cell>
        </row>
        <row r="3443">
          <cell r="B3443" t="b">
            <v>1</v>
          </cell>
          <cell r="E3443" t="str">
            <v>Tierra Bomba</v>
          </cell>
          <cell r="H3443" t="str">
            <v>consulta_externa</v>
          </cell>
          <cell r="J3443" t="str">
            <v>bueno</v>
          </cell>
          <cell r="K3443" t="str">
            <v>defsi</v>
          </cell>
        </row>
        <row r="3444">
          <cell r="B3444" t="b">
            <v>1</v>
          </cell>
          <cell r="E3444" t="str">
            <v>Tierra Bomba</v>
          </cell>
          <cell r="H3444" t="str">
            <v>salud_oral</v>
          </cell>
          <cell r="J3444" t="str">
            <v>bueno</v>
          </cell>
          <cell r="K3444" t="str">
            <v>defsi</v>
          </cell>
        </row>
        <row r="3445">
          <cell r="B3445" t="b">
            <v>1</v>
          </cell>
          <cell r="E3445" t="str">
            <v>Baru</v>
          </cell>
          <cell r="H3445" t="str">
            <v>consulta_externa</v>
          </cell>
          <cell r="J3445" t="str">
            <v>muybueno</v>
          </cell>
          <cell r="K3445" t="str">
            <v>defsi</v>
          </cell>
        </row>
        <row r="3446">
          <cell r="B3446" t="b">
            <v>1</v>
          </cell>
          <cell r="E3446" t="str">
            <v>Baru</v>
          </cell>
          <cell r="H3446" t="str">
            <v>laboratorio</v>
          </cell>
          <cell r="J3446" t="str">
            <v>muybueno</v>
          </cell>
          <cell r="K3446" t="str">
            <v>defsi</v>
          </cell>
        </row>
        <row r="3447">
          <cell r="B3447" t="b">
            <v>1</v>
          </cell>
          <cell r="E3447" t="str">
            <v>Tierra Bomba</v>
          </cell>
          <cell r="H3447" t="str">
            <v>laboratorio</v>
          </cell>
          <cell r="J3447" t="str">
            <v>bueno</v>
          </cell>
          <cell r="K3447" t="str">
            <v>defsi</v>
          </cell>
        </row>
        <row r="3448">
          <cell r="B3448" t="b">
            <v>1</v>
          </cell>
          <cell r="E3448" t="str">
            <v>Baru</v>
          </cell>
          <cell r="H3448" t="str">
            <v>salud_oral</v>
          </cell>
          <cell r="J3448" t="str">
            <v>muybueno</v>
          </cell>
          <cell r="K3448" t="str">
            <v>defsi</v>
          </cell>
        </row>
        <row r="3449">
          <cell r="B3449" t="b">
            <v>1</v>
          </cell>
          <cell r="E3449" t="str">
            <v>San Pedro y Libertad</v>
          </cell>
          <cell r="H3449" t="str">
            <v>consulta_externa</v>
          </cell>
          <cell r="J3449" t="str">
            <v>bueno</v>
          </cell>
          <cell r="K3449" t="str">
            <v>defsi</v>
          </cell>
        </row>
        <row r="3450">
          <cell r="B3450" t="b">
            <v>1</v>
          </cell>
          <cell r="E3450" t="str">
            <v>San Pedro y Libertad</v>
          </cell>
          <cell r="H3450" t="str">
            <v>salud_oral</v>
          </cell>
          <cell r="J3450" t="str">
            <v>bueno</v>
          </cell>
          <cell r="K3450" t="str">
            <v>defsi</v>
          </cell>
        </row>
        <row r="3451">
          <cell r="B3451" t="b">
            <v>1</v>
          </cell>
          <cell r="E3451" t="str">
            <v>Baru</v>
          </cell>
          <cell r="H3451" t="str">
            <v>consulta_externa</v>
          </cell>
          <cell r="J3451" t="str">
            <v>muybueno</v>
          </cell>
          <cell r="K3451" t="str">
            <v>defsi</v>
          </cell>
        </row>
        <row r="3452">
          <cell r="B3452" t="b">
            <v>1</v>
          </cell>
          <cell r="E3452" t="str">
            <v>San Pedro y Libertad</v>
          </cell>
          <cell r="H3452" t="str">
            <v>laboratorio</v>
          </cell>
          <cell r="J3452" t="str">
            <v>bueno</v>
          </cell>
          <cell r="K3452" t="str">
            <v>defsi</v>
          </cell>
        </row>
        <row r="3453">
          <cell r="B3453" t="b">
            <v>1</v>
          </cell>
          <cell r="E3453" t="str">
            <v>San Pedro y Libertad</v>
          </cell>
          <cell r="H3453" t="str">
            <v>consulta_externa</v>
          </cell>
          <cell r="J3453" t="str">
            <v>bueno</v>
          </cell>
          <cell r="K3453" t="str">
            <v>defsi</v>
          </cell>
        </row>
        <row r="3454">
          <cell r="B3454" t="b">
            <v>1</v>
          </cell>
          <cell r="E3454" t="str">
            <v>San Pedro y Libertad</v>
          </cell>
          <cell r="H3454" t="str">
            <v>salud_oral</v>
          </cell>
          <cell r="J3454" t="str">
            <v>bueno</v>
          </cell>
          <cell r="K3454" t="str">
            <v>defsi</v>
          </cell>
        </row>
        <row r="3455">
          <cell r="B3455" t="b">
            <v>1</v>
          </cell>
          <cell r="E3455" t="str">
            <v>Tierra Bomba</v>
          </cell>
          <cell r="H3455" t="str">
            <v>salud_oral</v>
          </cell>
          <cell r="J3455" t="str">
            <v>bueno</v>
          </cell>
          <cell r="K3455" t="str">
            <v>defsi</v>
          </cell>
        </row>
        <row r="3456">
          <cell r="B3456" t="b">
            <v>1</v>
          </cell>
          <cell r="E3456" t="str">
            <v>San Pedro y Libertad</v>
          </cell>
          <cell r="H3456" t="str">
            <v>laboratorio</v>
          </cell>
          <cell r="J3456" t="str">
            <v>bueno</v>
          </cell>
          <cell r="K3456" t="str">
            <v>defsi</v>
          </cell>
        </row>
        <row r="3457">
          <cell r="B3457" t="b">
            <v>1</v>
          </cell>
          <cell r="E3457" t="str">
            <v>Tierra Bomba</v>
          </cell>
          <cell r="H3457" t="str">
            <v>consulta_externa</v>
          </cell>
          <cell r="J3457" t="str">
            <v>bueno</v>
          </cell>
          <cell r="K3457" t="str">
            <v>defsi</v>
          </cell>
        </row>
        <row r="3458">
          <cell r="B3458" t="b">
            <v>1</v>
          </cell>
          <cell r="E3458" t="str">
            <v>San Pedro y Libertad</v>
          </cell>
          <cell r="H3458" t="str">
            <v>consulta_externa</v>
          </cell>
          <cell r="J3458" t="str">
            <v>bueno</v>
          </cell>
          <cell r="K3458" t="str">
            <v>defsi</v>
          </cell>
        </row>
        <row r="3459">
          <cell r="B3459" t="b">
            <v>1</v>
          </cell>
          <cell r="E3459" t="str">
            <v>San Pedro y Libertad</v>
          </cell>
          <cell r="H3459" t="str">
            <v>salud_oral</v>
          </cell>
          <cell r="J3459" t="str">
            <v>bueno</v>
          </cell>
          <cell r="K3459" t="str">
            <v>defsi</v>
          </cell>
        </row>
        <row r="3460">
          <cell r="B3460" t="b">
            <v>1</v>
          </cell>
          <cell r="E3460" t="str">
            <v>San Pedro y Libertad</v>
          </cell>
          <cell r="H3460" t="str">
            <v>laboratorio</v>
          </cell>
          <cell r="J3460" t="str">
            <v>bueno</v>
          </cell>
          <cell r="K3460" t="str">
            <v>defsi</v>
          </cell>
        </row>
        <row r="3461">
          <cell r="B3461" t="b">
            <v>1</v>
          </cell>
          <cell r="E3461" t="str">
            <v>Tierra Bomba</v>
          </cell>
          <cell r="H3461" t="str">
            <v>laboratorio</v>
          </cell>
          <cell r="J3461" t="str">
            <v>bueno</v>
          </cell>
          <cell r="K3461" t="str">
            <v>defsi</v>
          </cell>
        </row>
        <row r="3462">
          <cell r="B3462" t="b">
            <v>1</v>
          </cell>
          <cell r="E3462" t="str">
            <v>Tierra Bomba</v>
          </cell>
          <cell r="H3462" t="str">
            <v>consulta_externa</v>
          </cell>
          <cell r="J3462" t="str">
            <v>bueno</v>
          </cell>
          <cell r="K3462" t="str">
            <v>defsi</v>
          </cell>
        </row>
        <row r="3463">
          <cell r="B3463" t="b">
            <v>1</v>
          </cell>
          <cell r="E3463" t="str">
            <v>Tierra Bomba</v>
          </cell>
          <cell r="H3463" t="str">
            <v>consulta_externa</v>
          </cell>
          <cell r="J3463" t="str">
            <v>bueno</v>
          </cell>
          <cell r="K3463" t="str">
            <v>defsi</v>
          </cell>
        </row>
        <row r="3464">
          <cell r="B3464" t="b">
            <v>1</v>
          </cell>
          <cell r="E3464" t="str">
            <v>Arroyo Grande</v>
          </cell>
          <cell r="H3464" t="str">
            <v>laboratorio</v>
          </cell>
          <cell r="J3464" t="str">
            <v>bueno</v>
          </cell>
          <cell r="K3464" t="str">
            <v>probsi</v>
          </cell>
        </row>
        <row r="3465">
          <cell r="B3465" t="b">
            <v>1</v>
          </cell>
          <cell r="E3465" t="str">
            <v>Baru</v>
          </cell>
          <cell r="H3465" t="str">
            <v>laboratorio</v>
          </cell>
          <cell r="J3465" t="str">
            <v>muybueno</v>
          </cell>
          <cell r="K3465" t="str">
            <v>defsi</v>
          </cell>
        </row>
        <row r="3466">
          <cell r="B3466" t="b">
            <v>1</v>
          </cell>
          <cell r="E3466" t="str">
            <v>Arroyo Grande</v>
          </cell>
          <cell r="H3466" t="str">
            <v>laboratorio</v>
          </cell>
          <cell r="J3466" t="str">
            <v>bueno</v>
          </cell>
          <cell r="K3466" t="str">
            <v>probsi</v>
          </cell>
        </row>
        <row r="3467">
          <cell r="B3467" t="b">
            <v>1</v>
          </cell>
          <cell r="E3467" t="str">
            <v>Arroyo Grande</v>
          </cell>
          <cell r="H3467" t="str">
            <v>laboratorio</v>
          </cell>
          <cell r="J3467" t="str">
            <v>bueno</v>
          </cell>
          <cell r="K3467" t="str">
            <v>probsi</v>
          </cell>
        </row>
        <row r="3468">
          <cell r="B3468" t="b">
            <v>1</v>
          </cell>
          <cell r="E3468" t="str">
            <v>Arroyo Grande</v>
          </cell>
          <cell r="H3468" t="str">
            <v>laboratorio</v>
          </cell>
          <cell r="J3468" t="str">
            <v>bueno</v>
          </cell>
          <cell r="K3468" t="str">
            <v>probsi</v>
          </cell>
        </row>
        <row r="3469">
          <cell r="B3469" t="b">
            <v>1</v>
          </cell>
          <cell r="E3469" t="str">
            <v>Arroyo Grande</v>
          </cell>
          <cell r="H3469" t="str">
            <v>laboratorio</v>
          </cell>
          <cell r="J3469" t="str">
            <v>bueno</v>
          </cell>
          <cell r="K3469" t="str">
            <v>probsi</v>
          </cell>
        </row>
        <row r="3470">
          <cell r="B3470" t="b">
            <v>1</v>
          </cell>
          <cell r="E3470" t="str">
            <v>Arroyo Grande</v>
          </cell>
          <cell r="H3470" t="str">
            <v>salud_oral</v>
          </cell>
          <cell r="J3470" t="str">
            <v>bueno</v>
          </cell>
          <cell r="K3470" t="str">
            <v>probsi</v>
          </cell>
        </row>
        <row r="3471">
          <cell r="B3471" t="b">
            <v>1</v>
          </cell>
          <cell r="E3471" t="str">
            <v>Arroyo Grande</v>
          </cell>
          <cell r="H3471" t="str">
            <v>salud_oral</v>
          </cell>
          <cell r="J3471" t="str">
            <v>bueno</v>
          </cell>
          <cell r="K3471" t="str">
            <v>probsi</v>
          </cell>
        </row>
        <row r="3472">
          <cell r="B3472" t="b">
            <v>1</v>
          </cell>
          <cell r="E3472" t="str">
            <v>Arroyo Grande</v>
          </cell>
          <cell r="H3472" t="str">
            <v>salud_oral</v>
          </cell>
          <cell r="J3472" t="str">
            <v>bueno</v>
          </cell>
          <cell r="K3472" t="str">
            <v>probsi</v>
          </cell>
        </row>
        <row r="3473">
          <cell r="B3473" t="b">
            <v>1</v>
          </cell>
          <cell r="E3473" t="str">
            <v>Arroyo Grande</v>
          </cell>
          <cell r="H3473" t="str">
            <v>salud_oral</v>
          </cell>
          <cell r="J3473" t="str">
            <v>bueno</v>
          </cell>
          <cell r="K3473" t="str">
            <v>probsi</v>
          </cell>
        </row>
        <row r="3474">
          <cell r="B3474" t="b">
            <v>1</v>
          </cell>
          <cell r="E3474" t="str">
            <v>San Pedro y Libertad</v>
          </cell>
          <cell r="H3474" t="str">
            <v>consulta_externa</v>
          </cell>
          <cell r="J3474" t="str">
            <v>bueno</v>
          </cell>
          <cell r="K3474" t="str">
            <v>defsi</v>
          </cell>
        </row>
        <row r="3475">
          <cell r="B3475" t="b">
            <v>1</v>
          </cell>
          <cell r="E3475" t="str">
            <v>San Pedro y Libertad</v>
          </cell>
          <cell r="H3475" t="str">
            <v>salud_oral</v>
          </cell>
          <cell r="J3475" t="str">
            <v>bueno</v>
          </cell>
          <cell r="K3475" t="str">
            <v>defsi</v>
          </cell>
        </row>
        <row r="3476">
          <cell r="B3476" t="b">
            <v>1</v>
          </cell>
          <cell r="E3476" t="str">
            <v>San Pedro y Libertad</v>
          </cell>
          <cell r="H3476" t="str">
            <v>laboratorio</v>
          </cell>
          <cell r="J3476" t="str">
            <v>bueno</v>
          </cell>
          <cell r="K3476" t="str">
            <v>defsi</v>
          </cell>
        </row>
        <row r="3477">
          <cell r="B3477" t="b">
            <v>1</v>
          </cell>
          <cell r="E3477" t="str">
            <v>Tierra Bomba</v>
          </cell>
          <cell r="H3477" t="str">
            <v>laboratorio</v>
          </cell>
          <cell r="J3477" t="str">
            <v>bueno</v>
          </cell>
          <cell r="K3477" t="str">
            <v>defsi</v>
          </cell>
        </row>
        <row r="3478">
          <cell r="B3478" t="b">
            <v>1</v>
          </cell>
          <cell r="E3478" t="str">
            <v>Tierra Bomba</v>
          </cell>
          <cell r="H3478" t="str">
            <v>consulta_externa</v>
          </cell>
          <cell r="J3478" t="str">
            <v>bueno</v>
          </cell>
          <cell r="K3478" t="str">
            <v>defsi</v>
          </cell>
        </row>
        <row r="3479">
          <cell r="B3479" t="b">
            <v>1</v>
          </cell>
          <cell r="E3479" t="str">
            <v>Baru</v>
          </cell>
          <cell r="H3479" t="str">
            <v>consulta_externa</v>
          </cell>
          <cell r="J3479" t="str">
            <v>muybueno</v>
          </cell>
          <cell r="K3479" t="str">
            <v>defsi</v>
          </cell>
        </row>
        <row r="3480">
          <cell r="B3480" t="b">
            <v>1</v>
          </cell>
          <cell r="E3480" t="str">
            <v>Arroyo Grande</v>
          </cell>
          <cell r="H3480" t="str">
            <v>consulta_externa</v>
          </cell>
          <cell r="J3480" t="str">
            <v>bueno</v>
          </cell>
          <cell r="K3480" t="str">
            <v>probsi</v>
          </cell>
        </row>
        <row r="3481">
          <cell r="B3481" t="b">
            <v>1</v>
          </cell>
          <cell r="E3481" t="str">
            <v>Baru</v>
          </cell>
          <cell r="H3481" t="str">
            <v>laboratorio</v>
          </cell>
          <cell r="J3481" t="str">
            <v>muybueno</v>
          </cell>
          <cell r="K3481" t="str">
            <v>defsi</v>
          </cell>
        </row>
        <row r="3482">
          <cell r="B3482" t="b">
            <v>1</v>
          </cell>
          <cell r="E3482" t="str">
            <v>Tierra Bomba</v>
          </cell>
          <cell r="H3482" t="str">
            <v>salud_oral</v>
          </cell>
          <cell r="J3482" t="str">
            <v>muybueno</v>
          </cell>
          <cell r="K3482" t="str">
            <v>defsi</v>
          </cell>
        </row>
        <row r="3483">
          <cell r="B3483" t="b">
            <v>1</v>
          </cell>
          <cell r="E3483" t="str">
            <v>Baru</v>
          </cell>
          <cell r="H3483" t="str">
            <v>salud_oral</v>
          </cell>
          <cell r="J3483" t="str">
            <v>muybueno</v>
          </cell>
          <cell r="K3483" t="str">
            <v>defsi</v>
          </cell>
        </row>
        <row r="3484">
          <cell r="B3484" t="b">
            <v>1</v>
          </cell>
          <cell r="E3484" t="str">
            <v>San Pedro y Libertad</v>
          </cell>
          <cell r="H3484" t="str">
            <v>consulta_externa</v>
          </cell>
          <cell r="J3484" t="str">
            <v>bueno</v>
          </cell>
          <cell r="K3484" t="str">
            <v>defsi</v>
          </cell>
        </row>
        <row r="3485">
          <cell r="B3485" t="b">
            <v>1</v>
          </cell>
          <cell r="E3485" t="str">
            <v>San Pedro y Libertad</v>
          </cell>
          <cell r="H3485" t="str">
            <v>salud_oral</v>
          </cell>
          <cell r="J3485" t="str">
            <v>bueno</v>
          </cell>
          <cell r="K3485" t="str">
            <v>defsi</v>
          </cell>
        </row>
        <row r="3486">
          <cell r="B3486" t="b">
            <v>1</v>
          </cell>
          <cell r="E3486" t="str">
            <v>San Pedro y Libertad</v>
          </cell>
          <cell r="H3486" t="str">
            <v>laboratorio</v>
          </cell>
          <cell r="J3486" t="str">
            <v>bueno</v>
          </cell>
          <cell r="K3486" t="str">
            <v>defsi</v>
          </cell>
        </row>
        <row r="3487">
          <cell r="B3487" t="b">
            <v>1</v>
          </cell>
          <cell r="E3487" t="str">
            <v>Tierra Bomba</v>
          </cell>
          <cell r="H3487" t="str">
            <v>laboratorio</v>
          </cell>
          <cell r="J3487" t="str">
            <v>bueno</v>
          </cell>
          <cell r="K3487" t="str">
            <v>defsi</v>
          </cell>
        </row>
        <row r="3488">
          <cell r="B3488" t="b">
            <v>1</v>
          </cell>
          <cell r="E3488" t="str">
            <v>Tierra Bomba</v>
          </cell>
          <cell r="H3488" t="str">
            <v>consulta_externa</v>
          </cell>
          <cell r="J3488" t="str">
            <v>bueno</v>
          </cell>
          <cell r="K3488" t="str">
            <v>defsi</v>
          </cell>
        </row>
        <row r="3489">
          <cell r="B3489" t="b">
            <v>1</v>
          </cell>
          <cell r="E3489" t="str">
            <v>San Pedro y Libertad</v>
          </cell>
          <cell r="H3489" t="str">
            <v>consulta_externa</v>
          </cell>
          <cell r="J3489" t="str">
            <v>bueno</v>
          </cell>
          <cell r="K3489" t="str">
            <v>defsi</v>
          </cell>
        </row>
        <row r="3490">
          <cell r="B3490" t="b">
            <v>1</v>
          </cell>
          <cell r="E3490" t="str">
            <v>San Pedro y Libertad</v>
          </cell>
          <cell r="H3490" t="str">
            <v>salud_oral</v>
          </cell>
          <cell r="J3490" t="str">
            <v>bueno</v>
          </cell>
          <cell r="K3490" t="str">
            <v>defsi</v>
          </cell>
        </row>
        <row r="3491">
          <cell r="B3491" t="b">
            <v>1</v>
          </cell>
          <cell r="E3491" t="str">
            <v>San Pedro y Libertad</v>
          </cell>
          <cell r="H3491" t="str">
            <v>laboratorio</v>
          </cell>
          <cell r="J3491" t="str">
            <v>bueno</v>
          </cell>
          <cell r="K3491" t="str">
            <v>defsi</v>
          </cell>
        </row>
        <row r="3492">
          <cell r="B3492" t="b">
            <v>1</v>
          </cell>
          <cell r="E3492" t="str">
            <v>San Pedro y Libertad</v>
          </cell>
          <cell r="H3492" t="str">
            <v>consulta_externa</v>
          </cell>
          <cell r="J3492" t="str">
            <v>bueno</v>
          </cell>
          <cell r="K3492" t="str">
            <v>defsi</v>
          </cell>
        </row>
        <row r="3493">
          <cell r="B3493" t="b">
            <v>1</v>
          </cell>
          <cell r="E3493" t="str">
            <v>Tierra Bomba</v>
          </cell>
          <cell r="H3493" t="str">
            <v>consulta_externa</v>
          </cell>
          <cell r="J3493" t="str">
            <v>bueno</v>
          </cell>
          <cell r="K3493" t="str">
            <v>defsi</v>
          </cell>
        </row>
        <row r="3494">
          <cell r="B3494" t="b">
            <v>1</v>
          </cell>
          <cell r="E3494" t="str">
            <v>San Pedro y Libertad</v>
          </cell>
          <cell r="H3494" t="str">
            <v>salud_oral</v>
          </cell>
          <cell r="J3494" t="str">
            <v>bueno</v>
          </cell>
          <cell r="K3494" t="str">
            <v>defsi</v>
          </cell>
        </row>
        <row r="3495">
          <cell r="B3495" t="b">
            <v>1</v>
          </cell>
          <cell r="E3495" t="str">
            <v>San Pedro y Libertad</v>
          </cell>
          <cell r="H3495" t="str">
            <v>laboratorio</v>
          </cell>
          <cell r="J3495" t="str">
            <v>bueno</v>
          </cell>
          <cell r="K3495" t="str">
            <v>defsi</v>
          </cell>
        </row>
        <row r="3496">
          <cell r="B3496" t="b">
            <v>1</v>
          </cell>
          <cell r="E3496" t="str">
            <v>Tierra Bomba</v>
          </cell>
          <cell r="H3496" t="str">
            <v>laboratorio</v>
          </cell>
          <cell r="J3496" t="str">
            <v>bueno</v>
          </cell>
          <cell r="K3496" t="str">
            <v>defsi</v>
          </cell>
        </row>
        <row r="3497">
          <cell r="B3497" t="b">
            <v>1</v>
          </cell>
          <cell r="E3497" t="str">
            <v>San Pedro y Libertad</v>
          </cell>
          <cell r="H3497" t="str">
            <v>laboratorio</v>
          </cell>
          <cell r="J3497" t="str">
            <v>bueno</v>
          </cell>
          <cell r="K3497" t="str">
            <v>defsi</v>
          </cell>
        </row>
        <row r="3498">
          <cell r="B3498" t="b">
            <v>1</v>
          </cell>
          <cell r="E3498" t="str">
            <v>San Pedro y Libertad</v>
          </cell>
          <cell r="H3498" t="str">
            <v>consulta_externa</v>
          </cell>
          <cell r="J3498" t="str">
            <v>bueno</v>
          </cell>
          <cell r="K3498" t="str">
            <v>defsi</v>
          </cell>
        </row>
        <row r="3499">
          <cell r="B3499" t="b">
            <v>1</v>
          </cell>
          <cell r="E3499" t="str">
            <v>Baru</v>
          </cell>
          <cell r="H3499" t="str">
            <v>consulta_externa</v>
          </cell>
          <cell r="J3499" t="str">
            <v>muybueno</v>
          </cell>
          <cell r="K3499" t="str">
            <v>defsi</v>
          </cell>
        </row>
        <row r="3500">
          <cell r="B3500" t="b">
            <v>1</v>
          </cell>
          <cell r="E3500" t="str">
            <v>Baru</v>
          </cell>
          <cell r="H3500" t="str">
            <v>laboratorio</v>
          </cell>
          <cell r="J3500" t="str">
            <v>muybueno</v>
          </cell>
          <cell r="K3500" t="str">
            <v>defsi</v>
          </cell>
        </row>
        <row r="3501">
          <cell r="B3501" t="b">
            <v>1</v>
          </cell>
          <cell r="E3501" t="str">
            <v>San Pedro y Libertad</v>
          </cell>
          <cell r="H3501" t="str">
            <v>laboratorio</v>
          </cell>
          <cell r="J3501" t="str">
            <v>bueno</v>
          </cell>
          <cell r="K3501" t="str">
            <v>defsi</v>
          </cell>
        </row>
        <row r="3502">
          <cell r="B3502" t="b">
            <v>1</v>
          </cell>
          <cell r="E3502" t="str">
            <v>Tierra Bomba</v>
          </cell>
          <cell r="H3502" t="str">
            <v>consulta_externa</v>
          </cell>
          <cell r="J3502" t="str">
            <v>bueno</v>
          </cell>
          <cell r="K3502" t="str">
            <v>defsi</v>
          </cell>
        </row>
        <row r="3503">
          <cell r="B3503" t="b">
            <v>1</v>
          </cell>
          <cell r="E3503" t="str">
            <v>Tierra Bomba</v>
          </cell>
          <cell r="H3503" t="str">
            <v>salud_oral</v>
          </cell>
          <cell r="J3503" t="str">
            <v>bueno</v>
          </cell>
          <cell r="K3503" t="str">
            <v>defsi</v>
          </cell>
        </row>
        <row r="3504">
          <cell r="B3504" t="b">
            <v>1</v>
          </cell>
          <cell r="E3504" t="str">
            <v>San Pedro y Libertad</v>
          </cell>
          <cell r="H3504" t="str">
            <v>consulta_externa</v>
          </cell>
          <cell r="J3504" t="str">
            <v>bueno</v>
          </cell>
          <cell r="K3504" t="str">
            <v>defsi</v>
          </cell>
        </row>
        <row r="3505">
          <cell r="B3505" t="b">
            <v>1</v>
          </cell>
          <cell r="E3505" t="str">
            <v>San Pedro y Libertad</v>
          </cell>
          <cell r="H3505" t="str">
            <v>salud_oral</v>
          </cell>
          <cell r="J3505" t="str">
            <v>bueno</v>
          </cell>
          <cell r="K3505" t="str">
            <v>defsi</v>
          </cell>
        </row>
        <row r="3506">
          <cell r="B3506" t="b">
            <v>1</v>
          </cell>
          <cell r="E3506" t="str">
            <v>San Pedro y Libertad</v>
          </cell>
          <cell r="H3506" t="str">
            <v>laboratorio</v>
          </cell>
          <cell r="J3506" t="str">
            <v>bueno</v>
          </cell>
          <cell r="K3506" t="str">
            <v>defsi</v>
          </cell>
        </row>
        <row r="3507">
          <cell r="B3507" t="b">
            <v>1</v>
          </cell>
          <cell r="E3507" t="str">
            <v>Baru</v>
          </cell>
          <cell r="H3507" t="str">
            <v>consulta_externa</v>
          </cell>
          <cell r="J3507" t="str">
            <v>muybueno</v>
          </cell>
          <cell r="K3507" t="str">
            <v>defsi</v>
          </cell>
        </row>
        <row r="3508">
          <cell r="B3508" t="b">
            <v>1</v>
          </cell>
          <cell r="E3508" t="str">
            <v>Baru</v>
          </cell>
          <cell r="H3508" t="str">
            <v>laboratorio</v>
          </cell>
          <cell r="J3508" t="str">
            <v>muybueno</v>
          </cell>
          <cell r="K3508" t="str">
            <v>defsi</v>
          </cell>
        </row>
        <row r="3509">
          <cell r="B3509" t="b">
            <v>1</v>
          </cell>
          <cell r="E3509" t="str">
            <v>Tierra Bomba</v>
          </cell>
          <cell r="H3509" t="str">
            <v>laboratorio</v>
          </cell>
          <cell r="J3509" t="str">
            <v>bueno</v>
          </cell>
          <cell r="K3509" t="str">
            <v>defsi</v>
          </cell>
        </row>
        <row r="3510">
          <cell r="B3510" t="b">
            <v>1</v>
          </cell>
          <cell r="E3510" t="str">
            <v>Tierra Bomba</v>
          </cell>
          <cell r="H3510" t="str">
            <v>laboratorio</v>
          </cell>
          <cell r="J3510" t="str">
            <v>bueno</v>
          </cell>
          <cell r="K3510" t="str">
            <v>defsi</v>
          </cell>
        </row>
        <row r="3511">
          <cell r="B3511" t="b">
            <v>1</v>
          </cell>
          <cell r="E3511" t="str">
            <v>Baru</v>
          </cell>
          <cell r="H3511" t="str">
            <v>consulta_externa</v>
          </cell>
          <cell r="J3511" t="str">
            <v>muybueno</v>
          </cell>
          <cell r="K3511" t="str">
            <v>defsi</v>
          </cell>
        </row>
        <row r="3512">
          <cell r="B3512" t="b">
            <v>1</v>
          </cell>
          <cell r="E3512" t="str">
            <v>Baru</v>
          </cell>
          <cell r="H3512" t="str">
            <v>laboratorio</v>
          </cell>
          <cell r="J3512" t="str">
            <v>muybueno</v>
          </cell>
          <cell r="K3512" t="str">
            <v>defsi</v>
          </cell>
        </row>
        <row r="3513">
          <cell r="B3513" t="b">
            <v>1</v>
          </cell>
          <cell r="E3513" t="str">
            <v>Arroyo Grande</v>
          </cell>
          <cell r="H3513" t="str">
            <v>consulta_externa</v>
          </cell>
          <cell r="J3513" t="str">
            <v>bueno</v>
          </cell>
          <cell r="K3513" t="str">
            <v>probsi</v>
          </cell>
        </row>
        <row r="3514">
          <cell r="B3514" t="b">
            <v>1</v>
          </cell>
          <cell r="E3514" t="str">
            <v>Arroyo Grande</v>
          </cell>
          <cell r="H3514" t="str">
            <v>consulta_externa</v>
          </cell>
          <cell r="J3514" t="str">
            <v>bueno</v>
          </cell>
          <cell r="K3514" t="str">
            <v>probsi</v>
          </cell>
        </row>
        <row r="3515">
          <cell r="B3515" t="b">
            <v>1</v>
          </cell>
          <cell r="E3515" t="str">
            <v>Arroyo Grande</v>
          </cell>
          <cell r="H3515" t="str">
            <v>consulta_externa</v>
          </cell>
          <cell r="J3515" t="str">
            <v>bueno</v>
          </cell>
          <cell r="K3515" t="str">
            <v>probsi</v>
          </cell>
        </row>
        <row r="3516">
          <cell r="B3516" t="b">
            <v>1</v>
          </cell>
          <cell r="E3516" t="str">
            <v>Arroyo Grande</v>
          </cell>
          <cell r="H3516" t="str">
            <v>consulta_externa</v>
          </cell>
          <cell r="J3516" t="str">
            <v>bueno</v>
          </cell>
          <cell r="K3516" t="str">
            <v>probsi</v>
          </cell>
        </row>
        <row r="3517">
          <cell r="B3517" t="b">
            <v>1</v>
          </cell>
          <cell r="E3517" t="str">
            <v>Arroyo Grande</v>
          </cell>
          <cell r="H3517" t="str">
            <v>consulta_externa</v>
          </cell>
          <cell r="J3517" t="str">
            <v>bueno</v>
          </cell>
          <cell r="K3517" t="str">
            <v>probsi</v>
          </cell>
        </row>
        <row r="3518">
          <cell r="B3518" t="b">
            <v>1</v>
          </cell>
          <cell r="E3518" t="str">
            <v>Arroyo Grande</v>
          </cell>
          <cell r="H3518" t="str">
            <v>laboratorio</v>
          </cell>
          <cell r="J3518" t="str">
            <v>bueno</v>
          </cell>
          <cell r="K3518" t="str">
            <v>probsi</v>
          </cell>
        </row>
        <row r="3519">
          <cell r="B3519" t="b">
            <v>1</v>
          </cell>
          <cell r="E3519" t="str">
            <v>Arroyo Grande</v>
          </cell>
          <cell r="H3519" t="str">
            <v>laboratorio</v>
          </cell>
          <cell r="J3519" t="str">
            <v>bueno</v>
          </cell>
          <cell r="K3519" t="str">
            <v>probsi</v>
          </cell>
        </row>
        <row r="3520">
          <cell r="B3520" t="b">
            <v>1</v>
          </cell>
          <cell r="E3520" t="str">
            <v>Arroyo Grande</v>
          </cell>
          <cell r="H3520" t="str">
            <v>laboratorio</v>
          </cell>
          <cell r="J3520" t="str">
            <v>bueno</v>
          </cell>
          <cell r="K3520" t="str">
            <v>probsi</v>
          </cell>
        </row>
        <row r="3521">
          <cell r="B3521" t="b">
            <v>1</v>
          </cell>
          <cell r="E3521" t="str">
            <v>Arroyo Grande</v>
          </cell>
          <cell r="H3521" t="str">
            <v>laboratorio</v>
          </cell>
          <cell r="J3521" t="str">
            <v>bueno</v>
          </cell>
          <cell r="K3521" t="str">
            <v>probsi</v>
          </cell>
        </row>
        <row r="3522">
          <cell r="B3522" t="b">
            <v>1</v>
          </cell>
          <cell r="E3522" t="str">
            <v>Arroyo Grande</v>
          </cell>
          <cell r="H3522" t="str">
            <v>laboratorio</v>
          </cell>
          <cell r="J3522" t="str">
            <v>bueno</v>
          </cell>
          <cell r="K3522" t="str">
            <v>probsi</v>
          </cell>
        </row>
        <row r="3523">
          <cell r="B3523" t="b">
            <v>1</v>
          </cell>
          <cell r="E3523" t="str">
            <v>Arroyo Grande</v>
          </cell>
          <cell r="H3523" t="str">
            <v>laboratorio</v>
          </cell>
          <cell r="J3523" t="str">
            <v>bueno</v>
          </cell>
          <cell r="K3523" t="str">
            <v>probsi</v>
          </cell>
        </row>
        <row r="3524">
          <cell r="B3524" t="b">
            <v>1</v>
          </cell>
          <cell r="E3524" t="str">
            <v>Arroyo Grande</v>
          </cell>
          <cell r="H3524" t="str">
            <v>consulta_externa</v>
          </cell>
          <cell r="J3524" t="str">
            <v>bueno</v>
          </cell>
          <cell r="K3524" t="str">
            <v>probsi</v>
          </cell>
        </row>
        <row r="3525">
          <cell r="B3525" t="b">
            <v>1</v>
          </cell>
          <cell r="E3525" t="str">
            <v>Arroyo Grande</v>
          </cell>
          <cell r="H3525" t="str">
            <v>laboratorio</v>
          </cell>
          <cell r="J3525" t="str">
            <v>bueno</v>
          </cell>
          <cell r="K3525" t="str">
            <v>probsi</v>
          </cell>
        </row>
        <row r="3526">
          <cell r="B3526" t="b">
            <v>1</v>
          </cell>
          <cell r="E3526" t="str">
            <v>Arroyo Grande</v>
          </cell>
          <cell r="H3526" t="str">
            <v>laboratorio</v>
          </cell>
          <cell r="J3526" t="str">
            <v>bueno</v>
          </cell>
          <cell r="K3526" t="str">
            <v>probsi</v>
          </cell>
        </row>
        <row r="3527">
          <cell r="B3527" t="b">
            <v>1</v>
          </cell>
          <cell r="E3527" t="str">
            <v>Tierra Bomba</v>
          </cell>
          <cell r="H3527" t="str">
            <v>laboratorio</v>
          </cell>
          <cell r="J3527" t="str">
            <v>bueno</v>
          </cell>
          <cell r="K3527" t="str">
            <v>probsi</v>
          </cell>
        </row>
        <row r="3528">
          <cell r="B3528" t="b">
            <v>1</v>
          </cell>
          <cell r="E3528" t="str">
            <v>Tierra Bomba</v>
          </cell>
          <cell r="H3528" t="str">
            <v>laboratorio</v>
          </cell>
          <cell r="J3528" t="str">
            <v>bueno</v>
          </cell>
          <cell r="K3528" t="str">
            <v>probsi</v>
          </cell>
        </row>
        <row r="3529">
          <cell r="B3529" t="b">
            <v>1</v>
          </cell>
          <cell r="E3529" t="str">
            <v>Tierra Bomba</v>
          </cell>
          <cell r="H3529" t="str">
            <v>laboratorio</v>
          </cell>
          <cell r="J3529" t="str">
            <v>bueno</v>
          </cell>
          <cell r="K3529" t="str">
            <v>probsi</v>
          </cell>
        </row>
        <row r="3530">
          <cell r="B3530" t="b">
            <v>1</v>
          </cell>
          <cell r="E3530" t="str">
            <v>Tierra Bomba</v>
          </cell>
          <cell r="H3530" t="str">
            <v>laboratorio</v>
          </cell>
          <cell r="J3530" t="str">
            <v>bueno</v>
          </cell>
          <cell r="K3530" t="str">
            <v>probsi</v>
          </cell>
        </row>
        <row r="3531">
          <cell r="B3531" t="b">
            <v>1</v>
          </cell>
          <cell r="E3531" t="str">
            <v>Arroz Barato</v>
          </cell>
          <cell r="H3531" t="str">
            <v>consulta_externa</v>
          </cell>
          <cell r="J3531" t="str">
            <v>bueno</v>
          </cell>
          <cell r="K3531" t="str">
            <v>defsi</v>
          </cell>
        </row>
        <row r="3532">
          <cell r="B3532" t="b">
            <v>1</v>
          </cell>
          <cell r="E3532" t="str">
            <v>Tierra Bomba</v>
          </cell>
          <cell r="H3532" t="str">
            <v>salud_oral</v>
          </cell>
          <cell r="J3532" t="str">
            <v>bueno</v>
          </cell>
          <cell r="K3532" t="str">
            <v>defsi</v>
          </cell>
        </row>
        <row r="3533">
          <cell r="B3533" t="b">
            <v>1</v>
          </cell>
          <cell r="E3533" t="str">
            <v>Arroz Barato</v>
          </cell>
          <cell r="H3533" t="str">
            <v>consulta_externa</v>
          </cell>
          <cell r="J3533" t="str">
            <v>bueno</v>
          </cell>
          <cell r="K3533" t="str">
            <v>defsi</v>
          </cell>
        </row>
        <row r="3534">
          <cell r="B3534" t="b">
            <v>1</v>
          </cell>
          <cell r="E3534" t="str">
            <v>Arroz Barato</v>
          </cell>
          <cell r="H3534" t="str">
            <v>consulta_externa</v>
          </cell>
          <cell r="J3534" t="str">
            <v>bueno</v>
          </cell>
          <cell r="K3534" t="str">
            <v>defsi</v>
          </cell>
        </row>
        <row r="3535">
          <cell r="B3535" t="b">
            <v>1</v>
          </cell>
          <cell r="E3535" t="str">
            <v>Arroz Barato</v>
          </cell>
          <cell r="H3535" t="str">
            <v>consulta_externa</v>
          </cell>
          <cell r="J3535" t="str">
            <v>muybueno</v>
          </cell>
          <cell r="K3535" t="str">
            <v>defsi</v>
          </cell>
        </row>
        <row r="3536">
          <cell r="B3536" t="b">
            <v>1</v>
          </cell>
          <cell r="E3536" t="str">
            <v>Arroz Barato</v>
          </cell>
          <cell r="H3536" t="str">
            <v>laboratorio</v>
          </cell>
          <cell r="J3536" t="str">
            <v>muybueno</v>
          </cell>
          <cell r="K3536" t="str">
            <v>defsi</v>
          </cell>
        </row>
        <row r="3537">
          <cell r="B3537" t="b">
            <v>1</v>
          </cell>
          <cell r="E3537" t="str">
            <v>Arroz Barato</v>
          </cell>
          <cell r="H3537" t="str">
            <v>consulta_externa</v>
          </cell>
          <cell r="J3537" t="str">
            <v>bueno</v>
          </cell>
          <cell r="K3537" t="str">
            <v>defsi</v>
          </cell>
        </row>
        <row r="3538">
          <cell r="B3538" t="b">
            <v>1</v>
          </cell>
          <cell r="E3538" t="str">
            <v>Arroz Barato</v>
          </cell>
          <cell r="H3538" t="str">
            <v>salud_oral</v>
          </cell>
          <cell r="J3538" t="str">
            <v>bueno</v>
          </cell>
          <cell r="K3538" t="str">
            <v>defsi</v>
          </cell>
        </row>
        <row r="3539">
          <cell r="B3539" t="b">
            <v>1</v>
          </cell>
          <cell r="E3539" t="str">
            <v>Arroz Barato</v>
          </cell>
          <cell r="H3539" t="str">
            <v>salud_oral</v>
          </cell>
          <cell r="J3539" t="str">
            <v>bueno</v>
          </cell>
          <cell r="K3539" t="str">
            <v>defsi</v>
          </cell>
        </row>
        <row r="3540">
          <cell r="B3540" t="b">
            <v>0</v>
          </cell>
          <cell r="E3540" t="str">
            <v>Arroz Barato</v>
          </cell>
          <cell r="H3540" t="str">
            <v>salud_oral</v>
          </cell>
          <cell r="J3540" t="str">
            <v>regular</v>
          </cell>
          <cell r="K3540" t="str">
            <v>defsi</v>
          </cell>
        </row>
        <row r="3541">
          <cell r="B3541" t="b">
            <v>1</v>
          </cell>
          <cell r="E3541" t="str">
            <v>Tierra Bomba</v>
          </cell>
          <cell r="H3541" t="str">
            <v>consulta_externa</v>
          </cell>
          <cell r="J3541" t="str">
            <v>bueno</v>
          </cell>
          <cell r="K3541" t="str">
            <v>defsi</v>
          </cell>
        </row>
        <row r="3542">
          <cell r="B3542" t="b">
            <v>1</v>
          </cell>
          <cell r="E3542" t="str">
            <v>Arroz Barato</v>
          </cell>
          <cell r="H3542" t="str">
            <v>consulta_externa</v>
          </cell>
          <cell r="J3542" t="str">
            <v>bueno</v>
          </cell>
          <cell r="K3542" t="str">
            <v>defsi</v>
          </cell>
        </row>
        <row r="3543">
          <cell r="B3543" t="b">
            <v>1</v>
          </cell>
          <cell r="E3543" t="str">
            <v>Arroz Barato</v>
          </cell>
          <cell r="H3543" t="str">
            <v>salud_oral</v>
          </cell>
          <cell r="J3543" t="str">
            <v>bueno</v>
          </cell>
          <cell r="K3543" t="str">
            <v>defsi</v>
          </cell>
        </row>
        <row r="3544">
          <cell r="B3544" t="b">
            <v>1</v>
          </cell>
          <cell r="E3544" t="str">
            <v>Arroz Barato</v>
          </cell>
          <cell r="H3544" t="str">
            <v>laboratorio</v>
          </cell>
          <cell r="J3544" t="str">
            <v>bueno</v>
          </cell>
          <cell r="K3544" t="str">
            <v>defsi</v>
          </cell>
        </row>
        <row r="3545">
          <cell r="B3545" t="b">
            <v>1</v>
          </cell>
          <cell r="E3545" t="str">
            <v>Arroz Barato</v>
          </cell>
          <cell r="H3545" t="str">
            <v>consulta_externa</v>
          </cell>
          <cell r="J3545" t="str">
            <v>bueno</v>
          </cell>
          <cell r="K3545" t="str">
            <v>defsi</v>
          </cell>
        </row>
        <row r="3546">
          <cell r="B3546" t="b">
            <v>1</v>
          </cell>
          <cell r="E3546" t="str">
            <v>Arroz Barato</v>
          </cell>
          <cell r="H3546" t="str">
            <v>salud_oral</v>
          </cell>
          <cell r="J3546" t="str">
            <v>bueno</v>
          </cell>
          <cell r="K3546" t="str">
            <v>defsi</v>
          </cell>
        </row>
        <row r="3547">
          <cell r="B3547" t="b">
            <v>0</v>
          </cell>
          <cell r="E3547" t="str">
            <v>Arroz Barato</v>
          </cell>
          <cell r="H3547" t="str">
            <v>consulta_externa</v>
          </cell>
          <cell r="J3547" t="str">
            <v>regular</v>
          </cell>
          <cell r="K3547" t="str">
            <v>defsi</v>
          </cell>
        </row>
        <row r="3548">
          <cell r="B3548" t="b">
            <v>1</v>
          </cell>
          <cell r="E3548" t="str">
            <v>Tierra Bomba</v>
          </cell>
          <cell r="H3548" t="str">
            <v>salud_oral</v>
          </cell>
          <cell r="J3548" t="str">
            <v>bueno</v>
          </cell>
          <cell r="K3548" t="str">
            <v>probsi</v>
          </cell>
        </row>
        <row r="3549">
          <cell r="B3549" t="b">
            <v>1</v>
          </cell>
          <cell r="E3549" t="str">
            <v>Tierra Bomba</v>
          </cell>
          <cell r="H3549" t="str">
            <v>salud_oral</v>
          </cell>
          <cell r="J3549" t="str">
            <v>bueno</v>
          </cell>
          <cell r="K3549" t="str">
            <v>probsi</v>
          </cell>
        </row>
        <row r="3550">
          <cell r="B3550" t="b">
            <v>1</v>
          </cell>
          <cell r="E3550" t="str">
            <v>Tierra Bomba</v>
          </cell>
          <cell r="H3550" t="str">
            <v>salud_oral</v>
          </cell>
          <cell r="J3550" t="str">
            <v>bueno</v>
          </cell>
          <cell r="K3550" t="str">
            <v>probsi</v>
          </cell>
        </row>
        <row r="3551">
          <cell r="B3551" t="b">
            <v>1</v>
          </cell>
          <cell r="E3551" t="str">
            <v>San Pedro y Libertad</v>
          </cell>
          <cell r="H3551" t="str">
            <v>consulta_externa</v>
          </cell>
          <cell r="J3551" t="str">
            <v>bueno</v>
          </cell>
          <cell r="K3551" t="str">
            <v>defsi</v>
          </cell>
        </row>
        <row r="3552">
          <cell r="B3552" t="b">
            <v>1</v>
          </cell>
          <cell r="E3552" t="str">
            <v>San Pedro y Libertad</v>
          </cell>
          <cell r="H3552" t="str">
            <v>salud_oral</v>
          </cell>
          <cell r="J3552" t="str">
            <v>bueno</v>
          </cell>
          <cell r="K3552" t="str">
            <v>defsi</v>
          </cell>
        </row>
        <row r="3553">
          <cell r="B3553" t="b">
            <v>1</v>
          </cell>
          <cell r="E3553" t="str">
            <v>San Pedro y Libertad</v>
          </cell>
          <cell r="H3553" t="str">
            <v>laboratorio</v>
          </cell>
          <cell r="J3553" t="str">
            <v>bueno</v>
          </cell>
          <cell r="K3553" t="str">
            <v>defsi</v>
          </cell>
        </row>
        <row r="3554">
          <cell r="B3554" t="b">
            <v>1</v>
          </cell>
          <cell r="E3554" t="str">
            <v>San Pedro y Libertad</v>
          </cell>
          <cell r="H3554" t="str">
            <v>consulta_externa</v>
          </cell>
          <cell r="J3554" t="str">
            <v>bueno</v>
          </cell>
          <cell r="K3554" t="str">
            <v>defsi</v>
          </cell>
        </row>
        <row r="3555">
          <cell r="B3555" t="b">
            <v>1</v>
          </cell>
          <cell r="E3555" t="str">
            <v>San Pedro y Libertad</v>
          </cell>
          <cell r="H3555" t="str">
            <v>salud_oral</v>
          </cell>
          <cell r="J3555" t="str">
            <v>bueno</v>
          </cell>
          <cell r="K3555" t="str">
            <v>defsi</v>
          </cell>
        </row>
        <row r="3556">
          <cell r="B3556" t="b">
            <v>1</v>
          </cell>
          <cell r="E3556" t="str">
            <v>San Pedro y Libertad</v>
          </cell>
          <cell r="H3556" t="str">
            <v>laboratorio</v>
          </cell>
          <cell r="J3556" t="str">
            <v>bueno</v>
          </cell>
          <cell r="K3556" t="str">
            <v>defsi</v>
          </cell>
        </row>
        <row r="3557">
          <cell r="B3557" t="b">
            <v>1</v>
          </cell>
          <cell r="E3557" t="str">
            <v>San Pedro y Libertad</v>
          </cell>
          <cell r="H3557" t="str">
            <v>consulta_externa</v>
          </cell>
          <cell r="J3557" t="str">
            <v>bueno</v>
          </cell>
          <cell r="K3557" t="str">
            <v>defsi</v>
          </cell>
        </row>
        <row r="3558">
          <cell r="B3558" t="b">
            <v>1</v>
          </cell>
          <cell r="E3558" t="str">
            <v>San Pedro y Libertad</v>
          </cell>
          <cell r="H3558" t="str">
            <v>salud_oral</v>
          </cell>
          <cell r="J3558" t="str">
            <v>bueno</v>
          </cell>
          <cell r="K3558" t="str">
            <v>defsi</v>
          </cell>
        </row>
        <row r="3559">
          <cell r="B3559" t="b">
            <v>1</v>
          </cell>
          <cell r="E3559" t="str">
            <v>Arroyo de las Canoas</v>
          </cell>
          <cell r="H3559" t="str">
            <v>consulta_externa</v>
          </cell>
          <cell r="J3559" t="str">
            <v>bueno</v>
          </cell>
          <cell r="K3559" t="str">
            <v>probsi</v>
          </cell>
        </row>
        <row r="3560">
          <cell r="B3560" t="b">
            <v>1</v>
          </cell>
          <cell r="E3560" t="str">
            <v>Arroyo de las Canoas</v>
          </cell>
          <cell r="H3560" t="str">
            <v>consulta_externa</v>
          </cell>
          <cell r="J3560" t="str">
            <v>bueno</v>
          </cell>
          <cell r="K3560" t="str">
            <v>probsi</v>
          </cell>
        </row>
        <row r="3561">
          <cell r="B3561" t="b">
            <v>1</v>
          </cell>
          <cell r="E3561" t="str">
            <v>Arroyo de las Canoas</v>
          </cell>
          <cell r="H3561" t="str">
            <v>consulta_externa</v>
          </cell>
          <cell r="J3561" t="str">
            <v>bueno</v>
          </cell>
          <cell r="K3561" t="str">
            <v>probsi</v>
          </cell>
        </row>
        <row r="3562">
          <cell r="B3562" t="b">
            <v>1</v>
          </cell>
          <cell r="E3562" t="str">
            <v>Arroyo de las Canoas</v>
          </cell>
          <cell r="H3562" t="str">
            <v>consulta_externa</v>
          </cell>
          <cell r="J3562" t="str">
            <v>bueno</v>
          </cell>
          <cell r="K3562" t="str">
            <v>probsi</v>
          </cell>
        </row>
        <row r="3563">
          <cell r="B3563" t="b">
            <v>1</v>
          </cell>
          <cell r="E3563" t="str">
            <v>Arroyo de las Canoas</v>
          </cell>
          <cell r="H3563" t="str">
            <v>consulta_externa</v>
          </cell>
          <cell r="J3563" t="str">
            <v>bueno</v>
          </cell>
          <cell r="K3563" t="str">
            <v>probsi</v>
          </cell>
        </row>
        <row r="3564">
          <cell r="B3564" t="b">
            <v>1</v>
          </cell>
          <cell r="E3564" t="str">
            <v>Arroyo de las Canoas</v>
          </cell>
          <cell r="H3564" t="str">
            <v>consulta_externa</v>
          </cell>
          <cell r="J3564" t="str">
            <v>bueno</v>
          </cell>
          <cell r="K3564" t="str">
            <v>probsi</v>
          </cell>
        </row>
        <row r="3565">
          <cell r="B3565" t="b">
            <v>1</v>
          </cell>
          <cell r="E3565" t="str">
            <v>Arroyo de las Canoas</v>
          </cell>
          <cell r="H3565" t="str">
            <v>consulta_externa</v>
          </cell>
          <cell r="J3565" t="str">
            <v>bueno</v>
          </cell>
          <cell r="K3565" t="str">
            <v>probsi</v>
          </cell>
        </row>
        <row r="3566">
          <cell r="B3566" t="b">
            <v>1</v>
          </cell>
          <cell r="E3566" t="str">
            <v>Arroyo de las Canoas</v>
          </cell>
          <cell r="H3566" t="str">
            <v>salud_oral</v>
          </cell>
          <cell r="J3566" t="str">
            <v>bueno</v>
          </cell>
          <cell r="K3566" t="str">
            <v>probsi</v>
          </cell>
        </row>
        <row r="3567">
          <cell r="B3567" t="b">
            <v>1</v>
          </cell>
          <cell r="E3567" t="str">
            <v>Arroyo de las Canoas</v>
          </cell>
          <cell r="H3567" t="str">
            <v>salud_oral</v>
          </cell>
          <cell r="J3567" t="str">
            <v>bueno</v>
          </cell>
          <cell r="K3567" t="str">
            <v>probsi</v>
          </cell>
        </row>
        <row r="3568">
          <cell r="B3568" t="b">
            <v>1</v>
          </cell>
          <cell r="E3568" t="str">
            <v>Arroyo de las Canoas</v>
          </cell>
          <cell r="H3568" t="str">
            <v>salud_oral</v>
          </cell>
          <cell r="J3568" t="str">
            <v>bueno</v>
          </cell>
          <cell r="K3568" t="str">
            <v>probsi</v>
          </cell>
        </row>
        <row r="3569">
          <cell r="B3569" t="b">
            <v>1</v>
          </cell>
          <cell r="E3569" t="str">
            <v>Arroyo de las Canoas</v>
          </cell>
          <cell r="H3569" t="str">
            <v>salud_oral</v>
          </cell>
          <cell r="J3569" t="str">
            <v>bueno</v>
          </cell>
          <cell r="K3569" t="str">
            <v>probsi</v>
          </cell>
        </row>
        <row r="3570">
          <cell r="B3570" t="b">
            <v>1</v>
          </cell>
          <cell r="E3570" t="str">
            <v>Arroyo de las Canoas</v>
          </cell>
          <cell r="H3570" t="str">
            <v>consulta_externa</v>
          </cell>
          <cell r="J3570" t="str">
            <v>bueno</v>
          </cell>
          <cell r="K3570" t="str">
            <v>probsi</v>
          </cell>
        </row>
        <row r="3571">
          <cell r="B3571" t="b">
            <v>1</v>
          </cell>
          <cell r="E3571" t="str">
            <v>Arroyo de las Canoas</v>
          </cell>
          <cell r="H3571" t="str">
            <v>consulta_externa</v>
          </cell>
          <cell r="J3571" t="str">
            <v>bueno</v>
          </cell>
          <cell r="K3571" t="str">
            <v>probsi</v>
          </cell>
        </row>
        <row r="3572">
          <cell r="B3572" t="b">
            <v>1</v>
          </cell>
          <cell r="E3572" t="str">
            <v>Arroyo de las Canoas</v>
          </cell>
          <cell r="H3572" t="str">
            <v>consulta_externa</v>
          </cell>
          <cell r="J3572" t="str">
            <v>bueno</v>
          </cell>
          <cell r="K3572" t="str">
            <v>probsi</v>
          </cell>
        </row>
        <row r="3573">
          <cell r="B3573" t="b">
            <v>1</v>
          </cell>
          <cell r="E3573" t="str">
            <v>Arroyo de las Canoas</v>
          </cell>
          <cell r="H3573" t="str">
            <v>consulta_externa</v>
          </cell>
          <cell r="J3573" t="str">
            <v>bueno</v>
          </cell>
          <cell r="K3573" t="str">
            <v>probsi</v>
          </cell>
        </row>
        <row r="3574">
          <cell r="B3574" t="b">
            <v>1</v>
          </cell>
          <cell r="E3574" t="str">
            <v>Arroyo de las Canoas</v>
          </cell>
          <cell r="H3574" t="str">
            <v>laboratorio</v>
          </cell>
          <cell r="J3574" t="str">
            <v>bueno</v>
          </cell>
          <cell r="K3574" t="str">
            <v>probsi</v>
          </cell>
        </row>
        <row r="3575">
          <cell r="B3575" t="b">
            <v>1</v>
          </cell>
          <cell r="E3575" t="str">
            <v>Arroyo de las Canoas</v>
          </cell>
          <cell r="H3575" t="str">
            <v>laboratorio</v>
          </cell>
          <cell r="J3575" t="str">
            <v>bueno</v>
          </cell>
          <cell r="K3575" t="str">
            <v>probsi</v>
          </cell>
        </row>
        <row r="3576">
          <cell r="B3576" t="b">
            <v>1</v>
          </cell>
          <cell r="E3576" t="str">
            <v>Arroyo de las Canoas</v>
          </cell>
          <cell r="H3576" t="str">
            <v>laboratorio</v>
          </cell>
          <cell r="J3576" t="str">
            <v>bueno</v>
          </cell>
          <cell r="K3576" t="str">
            <v>probsi</v>
          </cell>
        </row>
        <row r="3577">
          <cell r="B3577" t="b">
            <v>1</v>
          </cell>
          <cell r="E3577" t="str">
            <v>Arroyo de las Canoas</v>
          </cell>
          <cell r="H3577" t="str">
            <v>laboratorio</v>
          </cell>
          <cell r="J3577" t="str">
            <v>bueno</v>
          </cell>
          <cell r="K3577" t="str">
            <v>probsi</v>
          </cell>
        </row>
        <row r="3578">
          <cell r="B3578" t="b">
            <v>1</v>
          </cell>
          <cell r="E3578" t="str">
            <v>Arroyo de las Canoas</v>
          </cell>
          <cell r="H3578" t="str">
            <v>laboratorio</v>
          </cell>
          <cell r="J3578" t="str">
            <v>bueno</v>
          </cell>
          <cell r="K3578" t="str">
            <v>probsi</v>
          </cell>
        </row>
        <row r="3579">
          <cell r="B3579" t="b">
            <v>1</v>
          </cell>
          <cell r="E3579" t="str">
            <v>Arroyo de las Canoas</v>
          </cell>
          <cell r="H3579" t="str">
            <v>laboratorio</v>
          </cell>
          <cell r="J3579" t="str">
            <v>bueno</v>
          </cell>
          <cell r="K3579" t="str">
            <v>probsi</v>
          </cell>
        </row>
        <row r="3580">
          <cell r="B3580" t="b">
            <v>1</v>
          </cell>
          <cell r="E3580" t="str">
            <v>Arroyo de las Canoas</v>
          </cell>
          <cell r="H3580" t="str">
            <v>laboratorio</v>
          </cell>
          <cell r="J3580" t="str">
            <v>bueno</v>
          </cell>
          <cell r="K3580" t="str">
            <v>probsi</v>
          </cell>
        </row>
        <row r="3581">
          <cell r="B3581" t="b">
            <v>1</v>
          </cell>
          <cell r="E3581" t="str">
            <v>Arroyo de las Canoas</v>
          </cell>
          <cell r="H3581" t="str">
            <v>laboratorio</v>
          </cell>
          <cell r="J3581" t="str">
            <v>bueno</v>
          </cell>
          <cell r="K3581" t="str">
            <v>probsi</v>
          </cell>
        </row>
        <row r="3582">
          <cell r="B3582" t="b">
            <v>1</v>
          </cell>
          <cell r="E3582" t="str">
            <v>Arroyo de las Canoas</v>
          </cell>
          <cell r="H3582" t="str">
            <v>laboratorio</v>
          </cell>
          <cell r="J3582" t="str">
            <v>bueno</v>
          </cell>
          <cell r="K3582" t="str">
            <v>probsi</v>
          </cell>
        </row>
        <row r="3583">
          <cell r="B3583" t="b">
            <v>1</v>
          </cell>
          <cell r="E3583" t="str">
            <v>Arroyo de las Canoas</v>
          </cell>
          <cell r="H3583" t="str">
            <v>laboratorio</v>
          </cell>
          <cell r="J3583" t="str">
            <v>bueno</v>
          </cell>
          <cell r="K3583" t="str">
            <v>probsi</v>
          </cell>
        </row>
        <row r="3584">
          <cell r="B3584" t="b">
            <v>1</v>
          </cell>
          <cell r="E3584" t="str">
            <v>Isla Fuerte</v>
          </cell>
          <cell r="H3584" t="str">
            <v>consulta_externa</v>
          </cell>
          <cell r="J3584" t="str">
            <v>muybueno</v>
          </cell>
          <cell r="K3584" t="str">
            <v>defsi</v>
          </cell>
        </row>
        <row r="3585">
          <cell r="B3585" t="b">
            <v>1</v>
          </cell>
          <cell r="E3585" t="str">
            <v>Isla Fuerte</v>
          </cell>
          <cell r="H3585" t="str">
            <v>laboratorio</v>
          </cell>
          <cell r="J3585" t="str">
            <v>muybueno</v>
          </cell>
          <cell r="K3585" t="str">
            <v>defsi</v>
          </cell>
        </row>
        <row r="3586">
          <cell r="B3586" t="b">
            <v>1</v>
          </cell>
          <cell r="E3586" t="str">
            <v>Isla Fuerte</v>
          </cell>
          <cell r="H3586" t="str">
            <v>salud_oral</v>
          </cell>
          <cell r="J3586" t="str">
            <v>muybueno</v>
          </cell>
          <cell r="K3586" t="str">
            <v>defsi</v>
          </cell>
        </row>
        <row r="3587">
          <cell r="B3587" t="b">
            <v>1</v>
          </cell>
          <cell r="E3587" t="str">
            <v>Isla Fuerte</v>
          </cell>
          <cell r="H3587" t="str">
            <v>consulta_externa</v>
          </cell>
          <cell r="J3587" t="str">
            <v>muybueno</v>
          </cell>
          <cell r="K3587" t="str">
            <v>defsi</v>
          </cell>
        </row>
        <row r="3588">
          <cell r="B3588" t="b">
            <v>1</v>
          </cell>
          <cell r="E3588" t="str">
            <v>Isla Fuerte</v>
          </cell>
          <cell r="H3588" t="str">
            <v>laboratorio</v>
          </cell>
          <cell r="J3588" t="str">
            <v>muybueno</v>
          </cell>
          <cell r="K3588" t="str">
            <v>defsi</v>
          </cell>
        </row>
        <row r="3589">
          <cell r="B3589" t="b">
            <v>1</v>
          </cell>
          <cell r="E3589" t="str">
            <v>Isla Fuerte</v>
          </cell>
          <cell r="H3589" t="str">
            <v>consulta_externa</v>
          </cell>
          <cell r="J3589" t="str">
            <v>muybueno</v>
          </cell>
          <cell r="K3589" t="str">
            <v>defsi</v>
          </cell>
        </row>
        <row r="3590">
          <cell r="B3590" t="b">
            <v>1</v>
          </cell>
          <cell r="E3590" t="str">
            <v>Isla Fuerte</v>
          </cell>
          <cell r="H3590" t="str">
            <v>laboratorio</v>
          </cell>
          <cell r="J3590" t="str">
            <v>muybueno</v>
          </cell>
          <cell r="K3590" t="str">
            <v>defsi</v>
          </cell>
        </row>
        <row r="3591">
          <cell r="B3591" t="b">
            <v>1</v>
          </cell>
          <cell r="E3591" t="str">
            <v>Isla Fuerte</v>
          </cell>
          <cell r="H3591" t="str">
            <v>salud_oral</v>
          </cell>
          <cell r="J3591" t="str">
            <v>muybueno</v>
          </cell>
          <cell r="K3591" t="str">
            <v>defsi</v>
          </cell>
        </row>
        <row r="3592">
          <cell r="B3592" t="b">
            <v>1</v>
          </cell>
          <cell r="E3592" t="str">
            <v>Isla Fuerte</v>
          </cell>
          <cell r="H3592" t="str">
            <v>consulta_externa</v>
          </cell>
          <cell r="J3592" t="str">
            <v>muybueno</v>
          </cell>
          <cell r="K3592" t="str">
            <v>defsi</v>
          </cell>
        </row>
        <row r="3593">
          <cell r="B3593" t="b">
            <v>1</v>
          </cell>
          <cell r="E3593" t="str">
            <v>Isla Fuerte</v>
          </cell>
          <cell r="H3593" t="str">
            <v>laboratorio</v>
          </cell>
          <cell r="J3593" t="str">
            <v>muybueno</v>
          </cell>
          <cell r="K3593" t="str">
            <v>defsi</v>
          </cell>
        </row>
        <row r="3594">
          <cell r="B3594" t="b">
            <v>1</v>
          </cell>
          <cell r="E3594" t="str">
            <v>Isla Fuerte</v>
          </cell>
          <cell r="H3594" t="str">
            <v>salud_oral</v>
          </cell>
          <cell r="J3594" t="str">
            <v>muybueno</v>
          </cell>
          <cell r="K3594" t="str">
            <v>defsi</v>
          </cell>
        </row>
        <row r="3595">
          <cell r="B3595" t="b">
            <v>1</v>
          </cell>
          <cell r="E3595" t="str">
            <v>Isla Fuerte</v>
          </cell>
          <cell r="H3595" t="str">
            <v>consulta_externa</v>
          </cell>
          <cell r="J3595" t="str">
            <v>muybueno</v>
          </cell>
          <cell r="K3595" t="str">
            <v>defsi</v>
          </cell>
        </row>
        <row r="3596">
          <cell r="B3596" t="b">
            <v>1</v>
          </cell>
          <cell r="E3596" t="str">
            <v>Isla Fuerte</v>
          </cell>
          <cell r="H3596" t="str">
            <v>laboratorio</v>
          </cell>
          <cell r="J3596" t="str">
            <v>muybueno</v>
          </cell>
          <cell r="K3596" t="str">
            <v>defsi</v>
          </cell>
        </row>
        <row r="3597">
          <cell r="B3597" t="b">
            <v>1</v>
          </cell>
          <cell r="E3597" t="str">
            <v>Arroyo de las Canoas</v>
          </cell>
          <cell r="H3597" t="str">
            <v>salud_oral</v>
          </cell>
          <cell r="J3597" t="str">
            <v>bueno</v>
          </cell>
          <cell r="K3597" t="str">
            <v>probsi</v>
          </cell>
        </row>
        <row r="3598">
          <cell r="B3598" t="b">
            <v>1</v>
          </cell>
          <cell r="E3598" t="str">
            <v>Arroyo de las Canoas</v>
          </cell>
          <cell r="H3598" t="str">
            <v>salud_oral</v>
          </cell>
          <cell r="J3598" t="str">
            <v>bueno</v>
          </cell>
          <cell r="K3598" t="str">
            <v>probsi</v>
          </cell>
        </row>
        <row r="3599">
          <cell r="B3599" t="b">
            <v>1</v>
          </cell>
          <cell r="E3599" t="str">
            <v>Arroyo de las Canoas</v>
          </cell>
          <cell r="H3599" t="str">
            <v>consulta_externa</v>
          </cell>
          <cell r="J3599" t="str">
            <v>bueno</v>
          </cell>
          <cell r="K3599" t="str">
            <v>probsi</v>
          </cell>
        </row>
        <row r="3600">
          <cell r="B3600" t="b">
            <v>1</v>
          </cell>
          <cell r="E3600" t="str">
            <v>Arroyo de las Canoas</v>
          </cell>
          <cell r="H3600" t="str">
            <v>consulta_externa</v>
          </cell>
          <cell r="J3600" t="str">
            <v>bueno</v>
          </cell>
          <cell r="K3600" t="str">
            <v>probsi</v>
          </cell>
        </row>
        <row r="3601">
          <cell r="B3601" t="b">
            <v>1</v>
          </cell>
          <cell r="E3601" t="str">
            <v>Arroyo de las Canoas</v>
          </cell>
          <cell r="H3601" t="str">
            <v>consulta_externa</v>
          </cell>
          <cell r="J3601" t="str">
            <v>bueno</v>
          </cell>
          <cell r="K3601" t="str">
            <v>probsi</v>
          </cell>
        </row>
        <row r="3602">
          <cell r="B3602" t="b">
            <v>1</v>
          </cell>
          <cell r="E3602" t="str">
            <v>Arroyo de las Canoas</v>
          </cell>
          <cell r="H3602" t="str">
            <v>consulta_externa</v>
          </cell>
          <cell r="J3602" t="str">
            <v>bueno</v>
          </cell>
          <cell r="K3602" t="str">
            <v>probsi</v>
          </cell>
        </row>
        <row r="3603">
          <cell r="B3603" t="b">
            <v>1</v>
          </cell>
          <cell r="E3603" t="str">
            <v>Arroyo de las Canoas</v>
          </cell>
          <cell r="H3603" t="str">
            <v>consulta_externa</v>
          </cell>
          <cell r="J3603" t="str">
            <v>bueno</v>
          </cell>
          <cell r="K3603" t="str">
            <v>probsi</v>
          </cell>
        </row>
        <row r="3604">
          <cell r="B3604" t="b">
            <v>1</v>
          </cell>
          <cell r="E3604" t="str">
            <v>Arroyo de las Canoas</v>
          </cell>
          <cell r="H3604" t="str">
            <v>consulta_externa</v>
          </cell>
          <cell r="J3604" t="str">
            <v>bueno</v>
          </cell>
          <cell r="K3604" t="str">
            <v>probsi</v>
          </cell>
        </row>
        <row r="3605">
          <cell r="B3605" t="b">
            <v>1</v>
          </cell>
          <cell r="E3605" t="str">
            <v>Arroyo de las Canoas</v>
          </cell>
          <cell r="H3605" t="str">
            <v>laboratorio</v>
          </cell>
          <cell r="J3605" t="str">
            <v>bueno</v>
          </cell>
          <cell r="K3605" t="str">
            <v>probsi</v>
          </cell>
        </row>
        <row r="3606">
          <cell r="B3606" t="b">
            <v>1</v>
          </cell>
          <cell r="E3606" t="str">
            <v>Arroyo de las Canoas</v>
          </cell>
          <cell r="H3606" t="str">
            <v>laboratorio</v>
          </cell>
          <cell r="J3606" t="str">
            <v>bueno</v>
          </cell>
          <cell r="K3606" t="str">
            <v>probsi</v>
          </cell>
        </row>
        <row r="3607">
          <cell r="B3607" t="b">
            <v>1</v>
          </cell>
          <cell r="E3607" t="str">
            <v>Arroyo de las Canoas</v>
          </cell>
          <cell r="H3607" t="str">
            <v>laboratorio</v>
          </cell>
          <cell r="J3607" t="str">
            <v>bueno</v>
          </cell>
          <cell r="K3607" t="str">
            <v>probsi</v>
          </cell>
        </row>
        <row r="3608">
          <cell r="B3608" t="b">
            <v>1</v>
          </cell>
          <cell r="E3608" t="str">
            <v>Arroyo de las Canoas</v>
          </cell>
          <cell r="H3608" t="str">
            <v>laboratorio</v>
          </cell>
          <cell r="J3608" t="str">
            <v>bueno</v>
          </cell>
          <cell r="K3608" t="str">
            <v>probsi</v>
          </cell>
        </row>
        <row r="3609">
          <cell r="B3609" t="b">
            <v>1</v>
          </cell>
          <cell r="E3609" t="str">
            <v>Arroyo de las Canoas</v>
          </cell>
          <cell r="H3609" t="str">
            <v>laboratorio</v>
          </cell>
          <cell r="J3609" t="str">
            <v>bueno</v>
          </cell>
          <cell r="K3609" t="str">
            <v>probsi</v>
          </cell>
        </row>
        <row r="3610">
          <cell r="B3610" t="b">
            <v>1</v>
          </cell>
          <cell r="E3610" t="str">
            <v>Arroyo de las Canoas</v>
          </cell>
          <cell r="H3610" t="str">
            <v>laboratorio</v>
          </cell>
          <cell r="J3610" t="str">
            <v>bueno</v>
          </cell>
          <cell r="K3610" t="str">
            <v>probsi</v>
          </cell>
        </row>
        <row r="3611">
          <cell r="B3611" t="b">
            <v>1</v>
          </cell>
          <cell r="E3611" t="str">
            <v>Arroyo de las Canoas</v>
          </cell>
          <cell r="H3611" t="str">
            <v>laboratorio</v>
          </cell>
          <cell r="J3611" t="str">
            <v>bueno</v>
          </cell>
          <cell r="K3611" t="str">
            <v>probsi</v>
          </cell>
        </row>
        <row r="3612">
          <cell r="B3612" t="b">
            <v>1</v>
          </cell>
          <cell r="E3612" t="str">
            <v>Isla del Rosario</v>
          </cell>
          <cell r="H3612" t="str">
            <v>consulta_externa</v>
          </cell>
          <cell r="J3612" t="str">
            <v>muybueno</v>
          </cell>
          <cell r="K3612" t="str">
            <v>defsi</v>
          </cell>
        </row>
        <row r="3613">
          <cell r="B3613" t="b">
            <v>1</v>
          </cell>
          <cell r="E3613" t="str">
            <v>Isla del Rosario</v>
          </cell>
          <cell r="H3613" t="str">
            <v>laboratorio</v>
          </cell>
          <cell r="J3613" t="str">
            <v>muybueno</v>
          </cell>
          <cell r="K3613" t="str">
            <v>defsi</v>
          </cell>
        </row>
        <row r="3614">
          <cell r="B3614" t="b">
            <v>1</v>
          </cell>
          <cell r="E3614" t="str">
            <v>Isla del Rosario</v>
          </cell>
          <cell r="H3614" t="str">
            <v>consulta_externa</v>
          </cell>
          <cell r="J3614" t="str">
            <v>muybueno</v>
          </cell>
          <cell r="K3614" t="str">
            <v>defsi</v>
          </cell>
        </row>
        <row r="3615">
          <cell r="B3615" t="b">
            <v>1</v>
          </cell>
          <cell r="E3615" t="str">
            <v>Isla del Rosario</v>
          </cell>
          <cell r="H3615" t="str">
            <v>laboratorio</v>
          </cell>
          <cell r="J3615" t="str">
            <v>muybueno</v>
          </cell>
          <cell r="K3615" t="str">
            <v>defsi</v>
          </cell>
        </row>
        <row r="3616">
          <cell r="B3616" t="b">
            <v>1</v>
          </cell>
          <cell r="E3616" t="str">
            <v>Isla del Rosario</v>
          </cell>
          <cell r="H3616" t="str">
            <v>consulta_externa</v>
          </cell>
          <cell r="J3616" t="str">
            <v>muybueno</v>
          </cell>
          <cell r="K3616" t="str">
            <v>defsi</v>
          </cell>
        </row>
        <row r="3617">
          <cell r="B3617" t="b">
            <v>1</v>
          </cell>
          <cell r="E3617" t="str">
            <v>Isla del Rosario</v>
          </cell>
          <cell r="H3617" t="str">
            <v>laboratorio</v>
          </cell>
          <cell r="J3617" t="str">
            <v>muybueno</v>
          </cell>
          <cell r="K3617" t="str">
            <v>defsi</v>
          </cell>
        </row>
        <row r="3618">
          <cell r="B3618" t="b">
            <v>1</v>
          </cell>
          <cell r="E3618" t="str">
            <v>Nuevo Porvenir</v>
          </cell>
          <cell r="H3618" t="str">
            <v>consulta_externa</v>
          </cell>
          <cell r="J3618" t="str">
            <v>bueno</v>
          </cell>
          <cell r="K3618" t="str">
            <v>probsi</v>
          </cell>
        </row>
        <row r="3619">
          <cell r="B3619" t="b">
            <v>1</v>
          </cell>
          <cell r="E3619" t="str">
            <v>Nuevo Porvenir</v>
          </cell>
          <cell r="H3619" t="str">
            <v>consulta_externa</v>
          </cell>
          <cell r="J3619" t="str">
            <v>bueno</v>
          </cell>
          <cell r="K3619" t="str">
            <v>probsi</v>
          </cell>
        </row>
        <row r="3620">
          <cell r="B3620" t="b">
            <v>1</v>
          </cell>
          <cell r="E3620" t="str">
            <v>Nuevo Porvenir</v>
          </cell>
          <cell r="H3620" t="str">
            <v>consulta_externa</v>
          </cell>
          <cell r="J3620" t="str">
            <v>bueno</v>
          </cell>
          <cell r="K3620" t="str">
            <v>probsi</v>
          </cell>
        </row>
        <row r="3621">
          <cell r="B3621" t="b">
            <v>1</v>
          </cell>
          <cell r="E3621" t="str">
            <v>Nuevo Porvenir</v>
          </cell>
          <cell r="H3621" t="str">
            <v>consulta_externa</v>
          </cell>
          <cell r="J3621" t="str">
            <v>bueno</v>
          </cell>
          <cell r="K3621" t="str">
            <v>probsi</v>
          </cell>
        </row>
        <row r="3622">
          <cell r="B3622" t="b">
            <v>1</v>
          </cell>
          <cell r="E3622" t="str">
            <v>Nuevo Porvenir</v>
          </cell>
          <cell r="H3622" t="str">
            <v>consulta_externa</v>
          </cell>
          <cell r="J3622" t="str">
            <v>bueno</v>
          </cell>
          <cell r="K3622" t="str">
            <v>probsi</v>
          </cell>
        </row>
        <row r="3623">
          <cell r="B3623" t="b">
            <v>1</v>
          </cell>
          <cell r="E3623" t="str">
            <v>Nuevo Porvenir</v>
          </cell>
          <cell r="H3623" t="str">
            <v>consulta_externa</v>
          </cell>
          <cell r="J3623" t="str">
            <v>bueno</v>
          </cell>
          <cell r="K3623" t="str">
            <v>probsi</v>
          </cell>
        </row>
        <row r="3624">
          <cell r="B3624" t="b">
            <v>1</v>
          </cell>
          <cell r="E3624" t="str">
            <v>Nuevo Porvenir</v>
          </cell>
          <cell r="H3624" t="str">
            <v>consulta_externa</v>
          </cell>
          <cell r="J3624" t="str">
            <v>bueno</v>
          </cell>
          <cell r="K3624" t="str">
            <v>probsi</v>
          </cell>
        </row>
        <row r="3625">
          <cell r="B3625" t="b">
            <v>1</v>
          </cell>
          <cell r="E3625" t="str">
            <v>Nuevo Porvenir</v>
          </cell>
          <cell r="H3625" t="str">
            <v>salud_oral</v>
          </cell>
          <cell r="J3625" t="str">
            <v>bueno</v>
          </cell>
          <cell r="K3625" t="str">
            <v>probsi</v>
          </cell>
        </row>
        <row r="3626">
          <cell r="B3626" t="b">
            <v>1</v>
          </cell>
          <cell r="E3626" t="str">
            <v>Nuevo Porvenir</v>
          </cell>
          <cell r="H3626" t="str">
            <v>consulta_externa</v>
          </cell>
          <cell r="J3626" t="str">
            <v>bueno</v>
          </cell>
          <cell r="K3626" t="str">
            <v>probsi</v>
          </cell>
        </row>
        <row r="3627">
          <cell r="B3627" t="b">
            <v>1</v>
          </cell>
          <cell r="E3627" t="str">
            <v>Puerto Rey</v>
          </cell>
          <cell r="H3627" t="str">
            <v>consulta_externa</v>
          </cell>
          <cell r="J3627" t="str">
            <v>bueno</v>
          </cell>
          <cell r="K3627" t="str">
            <v>defsi</v>
          </cell>
        </row>
        <row r="3628">
          <cell r="B3628" t="b">
            <v>1</v>
          </cell>
          <cell r="E3628" t="str">
            <v>Puerto Rey</v>
          </cell>
          <cell r="H3628" t="str">
            <v>salud_oral</v>
          </cell>
          <cell r="J3628" t="str">
            <v>bueno</v>
          </cell>
          <cell r="K3628" t="str">
            <v>defsi</v>
          </cell>
        </row>
        <row r="3629">
          <cell r="B3629" t="b">
            <v>1</v>
          </cell>
          <cell r="E3629" t="str">
            <v>Isla del Rosario</v>
          </cell>
          <cell r="H3629" t="str">
            <v>salud_oral</v>
          </cell>
          <cell r="J3629" t="str">
            <v>muybueno</v>
          </cell>
          <cell r="K3629" t="str">
            <v>defsi</v>
          </cell>
        </row>
        <row r="3630">
          <cell r="B3630" t="b">
            <v>1</v>
          </cell>
          <cell r="E3630" t="str">
            <v>Nuevo Porvenir</v>
          </cell>
          <cell r="H3630" t="str">
            <v>consulta_externa</v>
          </cell>
          <cell r="J3630" t="str">
            <v>bueno</v>
          </cell>
          <cell r="K3630" t="str">
            <v>probsi</v>
          </cell>
        </row>
        <row r="3631">
          <cell r="B3631" t="b">
            <v>1</v>
          </cell>
          <cell r="E3631" t="str">
            <v>Nuevo Porvenir</v>
          </cell>
          <cell r="H3631" t="str">
            <v>salud_oral</v>
          </cell>
          <cell r="J3631" t="str">
            <v>bueno</v>
          </cell>
          <cell r="K3631" t="str">
            <v>probsi</v>
          </cell>
        </row>
        <row r="3632">
          <cell r="B3632" t="b">
            <v>1</v>
          </cell>
          <cell r="E3632" t="str">
            <v>Nuevo Porvenir</v>
          </cell>
          <cell r="H3632" t="str">
            <v>consulta_externa</v>
          </cell>
          <cell r="J3632" t="str">
            <v>bueno</v>
          </cell>
          <cell r="K3632" t="str">
            <v>probsi</v>
          </cell>
        </row>
        <row r="3633">
          <cell r="B3633" t="b">
            <v>1</v>
          </cell>
          <cell r="E3633" t="str">
            <v>Nuevo Porvenir</v>
          </cell>
          <cell r="H3633" t="str">
            <v>laboratorio</v>
          </cell>
          <cell r="J3633" t="str">
            <v>bueno</v>
          </cell>
          <cell r="K3633" t="str">
            <v>probsi</v>
          </cell>
        </row>
        <row r="3634">
          <cell r="B3634" t="b">
            <v>1</v>
          </cell>
          <cell r="E3634" t="str">
            <v>Puerto Rey</v>
          </cell>
          <cell r="H3634" t="str">
            <v>salud_oral</v>
          </cell>
          <cell r="J3634" t="str">
            <v>bueno</v>
          </cell>
          <cell r="K3634" t="str">
            <v>defsi</v>
          </cell>
        </row>
        <row r="3635">
          <cell r="B3635" t="b">
            <v>1</v>
          </cell>
          <cell r="E3635" t="str">
            <v>Puerto Rey</v>
          </cell>
          <cell r="H3635" t="str">
            <v>consulta_externa</v>
          </cell>
          <cell r="J3635" t="str">
            <v>bueno</v>
          </cell>
          <cell r="K3635" t="str">
            <v>defsi</v>
          </cell>
        </row>
        <row r="3636">
          <cell r="B3636" t="b">
            <v>1</v>
          </cell>
          <cell r="E3636" t="str">
            <v>Nuevo Porvenir</v>
          </cell>
          <cell r="H3636" t="str">
            <v>consulta_externa</v>
          </cell>
          <cell r="J3636" t="str">
            <v>muybueno</v>
          </cell>
          <cell r="K3636" t="str">
            <v>probsi</v>
          </cell>
        </row>
        <row r="3637">
          <cell r="B3637" t="b">
            <v>1</v>
          </cell>
          <cell r="E3637" t="str">
            <v>Nuevo Porvenir</v>
          </cell>
          <cell r="H3637" t="str">
            <v>laboratorio</v>
          </cell>
          <cell r="J3637" t="str">
            <v>bueno</v>
          </cell>
          <cell r="K3637" t="str">
            <v>probsi</v>
          </cell>
        </row>
        <row r="3638">
          <cell r="B3638" t="b">
            <v>1</v>
          </cell>
          <cell r="E3638" t="str">
            <v>Puerto Rey</v>
          </cell>
          <cell r="H3638" t="str">
            <v>salud_oral</v>
          </cell>
          <cell r="J3638" t="str">
            <v>muybueno</v>
          </cell>
          <cell r="K3638" t="str">
            <v>defsi</v>
          </cell>
        </row>
        <row r="3639">
          <cell r="B3639" t="b">
            <v>1</v>
          </cell>
          <cell r="E3639" t="str">
            <v>Nuevo Porvenir</v>
          </cell>
          <cell r="H3639" t="str">
            <v>consulta_externa</v>
          </cell>
          <cell r="J3639" t="str">
            <v>bueno</v>
          </cell>
          <cell r="K3639" t="str">
            <v>probsi</v>
          </cell>
        </row>
        <row r="3640">
          <cell r="B3640" t="b">
            <v>1</v>
          </cell>
          <cell r="E3640" t="str">
            <v>Puerto Rey</v>
          </cell>
          <cell r="H3640" t="str">
            <v>consulta_externa</v>
          </cell>
          <cell r="J3640" t="str">
            <v>bueno</v>
          </cell>
          <cell r="K3640" t="str">
            <v>defsi</v>
          </cell>
        </row>
        <row r="3641">
          <cell r="B3641" t="b">
            <v>1</v>
          </cell>
          <cell r="E3641" t="str">
            <v>San Francisco I</v>
          </cell>
          <cell r="H3641" t="str">
            <v>consulta_externa</v>
          </cell>
          <cell r="J3641" t="str">
            <v>bueno</v>
          </cell>
          <cell r="K3641" t="str">
            <v>defsi</v>
          </cell>
        </row>
        <row r="3642">
          <cell r="B3642" t="b">
            <v>1</v>
          </cell>
          <cell r="E3642" t="str">
            <v>Nuevo Porvenir</v>
          </cell>
          <cell r="H3642" t="str">
            <v>consulta_externa</v>
          </cell>
          <cell r="J3642" t="str">
            <v>bueno</v>
          </cell>
          <cell r="K3642" t="str">
            <v>probsi</v>
          </cell>
        </row>
        <row r="3643">
          <cell r="B3643" t="b">
            <v>1</v>
          </cell>
          <cell r="E3643" t="str">
            <v>Nuevo Porvenir</v>
          </cell>
          <cell r="H3643" t="str">
            <v>laboratorio</v>
          </cell>
          <cell r="J3643" t="str">
            <v>bueno</v>
          </cell>
          <cell r="K3643" t="str">
            <v>probsi</v>
          </cell>
        </row>
        <row r="3644">
          <cell r="B3644" t="b">
            <v>1</v>
          </cell>
          <cell r="E3644" t="str">
            <v>San Francisco I</v>
          </cell>
          <cell r="H3644" t="str">
            <v>salud_oral</v>
          </cell>
          <cell r="J3644" t="str">
            <v>bueno</v>
          </cell>
          <cell r="K3644" t="str">
            <v>defsi</v>
          </cell>
        </row>
        <row r="3645">
          <cell r="B3645" t="b">
            <v>1</v>
          </cell>
          <cell r="E3645" t="str">
            <v>San Francisco I</v>
          </cell>
          <cell r="H3645" t="str">
            <v>laboratorio</v>
          </cell>
          <cell r="J3645" t="str">
            <v>bueno</v>
          </cell>
          <cell r="K3645" t="str">
            <v>defsi</v>
          </cell>
        </row>
        <row r="3646">
          <cell r="B3646" t="b">
            <v>1</v>
          </cell>
          <cell r="E3646" t="str">
            <v>San Francisco I</v>
          </cell>
          <cell r="H3646" t="str">
            <v>consulta_externa</v>
          </cell>
          <cell r="J3646" t="str">
            <v>bueno</v>
          </cell>
          <cell r="K3646" t="str">
            <v>defsi</v>
          </cell>
        </row>
        <row r="3647">
          <cell r="B3647" t="b">
            <v>1</v>
          </cell>
          <cell r="E3647" t="str">
            <v>San Francisco I</v>
          </cell>
          <cell r="H3647" t="str">
            <v>salud_oral</v>
          </cell>
          <cell r="J3647" t="str">
            <v>bueno</v>
          </cell>
          <cell r="K3647" t="str">
            <v>defsi</v>
          </cell>
        </row>
        <row r="3648">
          <cell r="B3648" t="b">
            <v>1</v>
          </cell>
          <cell r="E3648" t="str">
            <v>San Francisco I</v>
          </cell>
          <cell r="H3648" t="str">
            <v>laboratorio</v>
          </cell>
          <cell r="J3648" t="str">
            <v>bueno</v>
          </cell>
          <cell r="K3648" t="str">
            <v>defsi</v>
          </cell>
        </row>
        <row r="3649">
          <cell r="B3649" t="b">
            <v>1</v>
          </cell>
          <cell r="E3649" t="str">
            <v>San Francisco I</v>
          </cell>
          <cell r="H3649" t="str">
            <v>consulta_externa</v>
          </cell>
          <cell r="J3649" t="str">
            <v>bueno</v>
          </cell>
          <cell r="K3649" t="str">
            <v>defsi</v>
          </cell>
        </row>
        <row r="3650">
          <cell r="B3650" t="b">
            <v>1</v>
          </cell>
          <cell r="E3650" t="str">
            <v>San Francisco I</v>
          </cell>
          <cell r="H3650" t="str">
            <v>salud_oral</v>
          </cell>
          <cell r="J3650" t="str">
            <v>bueno</v>
          </cell>
          <cell r="K3650" t="str">
            <v>defsi</v>
          </cell>
        </row>
        <row r="3651">
          <cell r="B3651" t="b">
            <v>1</v>
          </cell>
          <cell r="E3651" t="str">
            <v>San Francisco I</v>
          </cell>
          <cell r="H3651" t="str">
            <v>laboratorio</v>
          </cell>
          <cell r="J3651" t="str">
            <v>bueno</v>
          </cell>
          <cell r="K3651" t="str">
            <v>defsi</v>
          </cell>
        </row>
        <row r="3652">
          <cell r="B3652" t="b">
            <v>1</v>
          </cell>
          <cell r="E3652" t="str">
            <v>San Francisco I</v>
          </cell>
          <cell r="H3652" t="str">
            <v>consulta_externa</v>
          </cell>
          <cell r="J3652" t="str">
            <v>bueno</v>
          </cell>
          <cell r="K3652" t="str">
            <v>defsi</v>
          </cell>
        </row>
        <row r="3653">
          <cell r="B3653" t="b">
            <v>1</v>
          </cell>
          <cell r="E3653" t="str">
            <v>San Francisco I</v>
          </cell>
          <cell r="H3653" t="str">
            <v>salud_oral</v>
          </cell>
          <cell r="J3653" t="str">
            <v>bueno</v>
          </cell>
          <cell r="K3653" t="str">
            <v>defsi</v>
          </cell>
        </row>
        <row r="3654">
          <cell r="B3654" t="b">
            <v>1</v>
          </cell>
          <cell r="E3654" t="str">
            <v>San Francisco I</v>
          </cell>
          <cell r="H3654" t="str">
            <v>laboratorio</v>
          </cell>
          <cell r="J3654" t="str">
            <v>bueno</v>
          </cell>
          <cell r="K3654" t="str">
            <v>defsi</v>
          </cell>
        </row>
        <row r="3655">
          <cell r="B3655" t="b">
            <v>1</v>
          </cell>
          <cell r="E3655" t="str">
            <v>San Francisco I</v>
          </cell>
          <cell r="H3655" t="str">
            <v>consulta_externa</v>
          </cell>
          <cell r="J3655" t="str">
            <v>bueno</v>
          </cell>
          <cell r="K3655" t="str">
            <v>defsi</v>
          </cell>
        </row>
        <row r="3656">
          <cell r="B3656" t="b">
            <v>1</v>
          </cell>
          <cell r="E3656" t="str">
            <v>San Francisco I</v>
          </cell>
          <cell r="H3656" t="str">
            <v>salud_oral</v>
          </cell>
          <cell r="J3656" t="str">
            <v>bueno</v>
          </cell>
          <cell r="K3656" t="str">
            <v>defsi</v>
          </cell>
        </row>
        <row r="3657">
          <cell r="B3657" t="b">
            <v>1</v>
          </cell>
          <cell r="E3657" t="str">
            <v>San Francisco I</v>
          </cell>
          <cell r="H3657" t="str">
            <v>laboratorio</v>
          </cell>
          <cell r="J3657" t="str">
            <v>bueno</v>
          </cell>
          <cell r="K3657" t="str">
            <v>defsi</v>
          </cell>
        </row>
        <row r="3658">
          <cell r="B3658" t="b">
            <v>1</v>
          </cell>
          <cell r="E3658" t="str">
            <v>San Francisco I</v>
          </cell>
          <cell r="H3658" t="str">
            <v>consulta_externa</v>
          </cell>
          <cell r="J3658" t="str">
            <v>bueno</v>
          </cell>
          <cell r="K3658" t="str">
            <v>defsi</v>
          </cell>
        </row>
        <row r="3659">
          <cell r="B3659" t="b">
            <v>1</v>
          </cell>
          <cell r="E3659" t="str">
            <v>San Francisco I</v>
          </cell>
          <cell r="H3659" t="str">
            <v>salud_oral</v>
          </cell>
          <cell r="J3659" t="str">
            <v>bueno</v>
          </cell>
          <cell r="K3659" t="str">
            <v>defsi</v>
          </cell>
        </row>
        <row r="3660">
          <cell r="B3660" t="b">
            <v>1</v>
          </cell>
          <cell r="E3660" t="str">
            <v>Nuevo Porvenir</v>
          </cell>
          <cell r="H3660" t="str">
            <v>salud_oral</v>
          </cell>
          <cell r="J3660" t="str">
            <v>bueno</v>
          </cell>
          <cell r="K3660" t="str">
            <v>probsi</v>
          </cell>
        </row>
        <row r="3661">
          <cell r="B3661" t="b">
            <v>1</v>
          </cell>
          <cell r="E3661" t="str">
            <v>San Francisco I</v>
          </cell>
          <cell r="H3661" t="str">
            <v>laboratorio</v>
          </cell>
          <cell r="J3661" t="str">
            <v>bueno</v>
          </cell>
          <cell r="K3661" t="str">
            <v>defsi</v>
          </cell>
        </row>
        <row r="3662">
          <cell r="B3662" t="b">
            <v>1</v>
          </cell>
          <cell r="E3662" t="str">
            <v>Nuevo Porvenir</v>
          </cell>
          <cell r="H3662" t="str">
            <v>salud_oral</v>
          </cell>
          <cell r="J3662" t="str">
            <v>bueno</v>
          </cell>
          <cell r="K3662" t="str">
            <v>probsi</v>
          </cell>
        </row>
        <row r="3663">
          <cell r="B3663" t="b">
            <v>1</v>
          </cell>
          <cell r="E3663" t="str">
            <v>Nuevo Porvenir</v>
          </cell>
          <cell r="H3663" t="str">
            <v>laboratorio</v>
          </cell>
          <cell r="J3663" t="str">
            <v>bueno</v>
          </cell>
          <cell r="K3663" t="str">
            <v>probsi</v>
          </cell>
        </row>
        <row r="3664">
          <cell r="B3664" t="b">
            <v>1</v>
          </cell>
          <cell r="E3664" t="str">
            <v>San Francisco I</v>
          </cell>
          <cell r="H3664" t="str">
            <v>consulta_externa</v>
          </cell>
          <cell r="J3664" t="str">
            <v>bueno</v>
          </cell>
          <cell r="K3664" t="str">
            <v>defsi</v>
          </cell>
        </row>
        <row r="3665">
          <cell r="B3665" t="b">
            <v>1</v>
          </cell>
          <cell r="E3665" t="str">
            <v>San Francisco I</v>
          </cell>
          <cell r="H3665" t="str">
            <v>salud_oral</v>
          </cell>
          <cell r="J3665" t="str">
            <v>bueno</v>
          </cell>
          <cell r="K3665" t="str">
            <v>defsi</v>
          </cell>
        </row>
        <row r="3666">
          <cell r="B3666" t="b">
            <v>1</v>
          </cell>
          <cell r="E3666" t="str">
            <v>San Francisco I</v>
          </cell>
          <cell r="H3666" t="str">
            <v>laboratorio</v>
          </cell>
          <cell r="J3666" t="str">
            <v>bueno</v>
          </cell>
          <cell r="K3666" t="str">
            <v>defsi</v>
          </cell>
        </row>
        <row r="3667">
          <cell r="B3667" t="b">
            <v>1</v>
          </cell>
          <cell r="E3667" t="str">
            <v>San Francisco I</v>
          </cell>
          <cell r="H3667" t="str">
            <v>consulta_externa</v>
          </cell>
          <cell r="J3667" t="str">
            <v>bueno</v>
          </cell>
          <cell r="K3667" t="str">
            <v>defsi</v>
          </cell>
        </row>
        <row r="3668">
          <cell r="B3668" t="b">
            <v>1</v>
          </cell>
          <cell r="E3668" t="str">
            <v>San Francisco I</v>
          </cell>
          <cell r="H3668" t="str">
            <v>salud_oral</v>
          </cell>
          <cell r="J3668" t="str">
            <v>bueno</v>
          </cell>
          <cell r="K3668" t="str">
            <v>defsi</v>
          </cell>
        </row>
        <row r="3669">
          <cell r="B3669" t="b">
            <v>1</v>
          </cell>
          <cell r="E3669" t="str">
            <v>San Francisco I</v>
          </cell>
          <cell r="H3669" t="str">
            <v>laboratorio</v>
          </cell>
          <cell r="J3669" t="str">
            <v>bueno</v>
          </cell>
          <cell r="K3669" t="str">
            <v>defsi</v>
          </cell>
        </row>
        <row r="3670">
          <cell r="B3670" t="b">
            <v>1</v>
          </cell>
          <cell r="E3670" t="str">
            <v>San Francisco I</v>
          </cell>
          <cell r="H3670" t="str">
            <v>consulta_externa</v>
          </cell>
          <cell r="J3670" t="str">
            <v>bueno</v>
          </cell>
          <cell r="K3670" t="str">
            <v>defsi</v>
          </cell>
        </row>
        <row r="3671">
          <cell r="B3671" t="b">
            <v>1</v>
          </cell>
          <cell r="E3671" t="str">
            <v>San Francisco I</v>
          </cell>
          <cell r="H3671" t="str">
            <v>salud_oral</v>
          </cell>
          <cell r="J3671" t="str">
            <v>bueno</v>
          </cell>
          <cell r="K3671" t="str">
            <v>defsi</v>
          </cell>
        </row>
        <row r="3672">
          <cell r="B3672" t="b">
            <v>1</v>
          </cell>
          <cell r="E3672" t="str">
            <v>Puerto Rey</v>
          </cell>
          <cell r="H3672" t="str">
            <v>salud_oral</v>
          </cell>
          <cell r="J3672" t="str">
            <v>bueno</v>
          </cell>
          <cell r="K3672" t="str">
            <v>defsi</v>
          </cell>
        </row>
        <row r="3673">
          <cell r="B3673" t="b">
            <v>1</v>
          </cell>
          <cell r="E3673" t="str">
            <v>Puerto Rey</v>
          </cell>
          <cell r="H3673" t="str">
            <v>salud_oral</v>
          </cell>
          <cell r="J3673" t="str">
            <v>bueno</v>
          </cell>
          <cell r="K3673" t="str">
            <v>defsi</v>
          </cell>
        </row>
        <row r="3674">
          <cell r="B3674" t="b">
            <v>1</v>
          </cell>
          <cell r="E3674" t="str">
            <v>San Francisco I</v>
          </cell>
          <cell r="H3674" t="str">
            <v>laboratorio</v>
          </cell>
          <cell r="J3674" t="str">
            <v>bueno</v>
          </cell>
          <cell r="K3674" t="str">
            <v>defsi</v>
          </cell>
        </row>
        <row r="3675">
          <cell r="B3675" t="b">
            <v>1</v>
          </cell>
          <cell r="E3675" t="str">
            <v>Puerto Rey</v>
          </cell>
          <cell r="H3675" t="str">
            <v>salud_oral</v>
          </cell>
          <cell r="J3675" t="str">
            <v>bueno</v>
          </cell>
          <cell r="K3675" t="str">
            <v>defsi</v>
          </cell>
        </row>
        <row r="3676">
          <cell r="B3676" t="b">
            <v>1</v>
          </cell>
          <cell r="E3676" t="str">
            <v>Puerto Rey</v>
          </cell>
          <cell r="H3676" t="str">
            <v>salud_oral</v>
          </cell>
          <cell r="J3676" t="str">
            <v>bueno</v>
          </cell>
          <cell r="K3676" t="str">
            <v>defsi</v>
          </cell>
        </row>
        <row r="3677">
          <cell r="B3677" t="b">
            <v>1</v>
          </cell>
          <cell r="E3677" t="str">
            <v>Los Cerros</v>
          </cell>
          <cell r="H3677" t="str">
            <v>consulta_externa</v>
          </cell>
          <cell r="J3677" t="str">
            <v>bueno</v>
          </cell>
          <cell r="K3677" t="str">
            <v>defsi</v>
          </cell>
        </row>
        <row r="3678">
          <cell r="B3678" t="b">
            <v>1</v>
          </cell>
          <cell r="E3678" t="str">
            <v>Los Cerros</v>
          </cell>
          <cell r="H3678" t="str">
            <v>salud_oral</v>
          </cell>
          <cell r="J3678" t="str">
            <v>bueno</v>
          </cell>
          <cell r="K3678" t="str">
            <v>defsi</v>
          </cell>
        </row>
        <row r="3679">
          <cell r="B3679" t="b">
            <v>1</v>
          </cell>
          <cell r="E3679" t="str">
            <v>San Francisco I</v>
          </cell>
          <cell r="H3679" t="str">
            <v>consulta_externa</v>
          </cell>
          <cell r="J3679" t="str">
            <v>bueno</v>
          </cell>
          <cell r="K3679" t="str">
            <v>defsi</v>
          </cell>
        </row>
        <row r="3680">
          <cell r="B3680" t="b">
            <v>1</v>
          </cell>
          <cell r="E3680" t="str">
            <v>San Francisco I</v>
          </cell>
          <cell r="H3680" t="str">
            <v>salud_oral</v>
          </cell>
          <cell r="J3680" t="str">
            <v>bueno</v>
          </cell>
          <cell r="K3680" t="str">
            <v>defsi</v>
          </cell>
        </row>
        <row r="3681">
          <cell r="B3681" t="b">
            <v>1</v>
          </cell>
          <cell r="E3681" t="str">
            <v>San Francisco I</v>
          </cell>
          <cell r="H3681" t="str">
            <v>laboratorio</v>
          </cell>
          <cell r="J3681" t="str">
            <v>bueno</v>
          </cell>
          <cell r="K3681" t="str">
            <v>defsi</v>
          </cell>
        </row>
        <row r="3682">
          <cell r="B3682" t="b">
            <v>1</v>
          </cell>
          <cell r="E3682" t="str">
            <v>Nuevo Porvenir</v>
          </cell>
          <cell r="H3682" t="str">
            <v>salud_oral</v>
          </cell>
          <cell r="J3682" t="str">
            <v>bueno</v>
          </cell>
          <cell r="K3682" t="str">
            <v>probsi</v>
          </cell>
        </row>
        <row r="3683">
          <cell r="B3683" t="b">
            <v>1</v>
          </cell>
          <cell r="E3683" t="str">
            <v>Los Cerros</v>
          </cell>
          <cell r="H3683" t="str">
            <v>laboratorio</v>
          </cell>
          <cell r="J3683" t="str">
            <v>bueno</v>
          </cell>
          <cell r="K3683" t="str">
            <v>defsi</v>
          </cell>
        </row>
        <row r="3684">
          <cell r="B3684" t="b">
            <v>0</v>
          </cell>
          <cell r="E3684" t="str">
            <v>Nuevo Porvenir</v>
          </cell>
          <cell r="H3684" t="str">
            <v>laboratorio</v>
          </cell>
          <cell r="J3684" t="str">
            <v>regular</v>
          </cell>
          <cell r="K3684" t="str">
            <v>probsi</v>
          </cell>
        </row>
        <row r="3685">
          <cell r="B3685" t="b">
            <v>1</v>
          </cell>
          <cell r="E3685" t="str">
            <v>Los Cerros</v>
          </cell>
          <cell r="H3685" t="str">
            <v>consulta_externa</v>
          </cell>
          <cell r="J3685" t="str">
            <v>bueno</v>
          </cell>
          <cell r="K3685" t="str">
            <v>defsi</v>
          </cell>
        </row>
        <row r="3686">
          <cell r="B3686" t="b">
            <v>1</v>
          </cell>
          <cell r="E3686" t="str">
            <v>Los Cerros</v>
          </cell>
          <cell r="H3686" t="str">
            <v>pediatria</v>
          </cell>
          <cell r="J3686" t="str">
            <v>bueno</v>
          </cell>
          <cell r="K3686" t="str">
            <v>defsi</v>
          </cell>
        </row>
        <row r="3687">
          <cell r="B3687" t="b">
            <v>1</v>
          </cell>
          <cell r="E3687" t="str">
            <v>Los Cerros</v>
          </cell>
          <cell r="H3687" t="str">
            <v>consulta_externa</v>
          </cell>
          <cell r="J3687" t="str">
            <v>bueno</v>
          </cell>
          <cell r="K3687" t="str">
            <v>defsi</v>
          </cell>
        </row>
        <row r="3688">
          <cell r="B3688" t="b">
            <v>1</v>
          </cell>
          <cell r="E3688" t="str">
            <v>Los Cerros</v>
          </cell>
          <cell r="H3688" t="str">
            <v>laboratorio</v>
          </cell>
          <cell r="J3688" t="str">
            <v>bueno</v>
          </cell>
          <cell r="K3688" t="str">
            <v>defsi</v>
          </cell>
        </row>
        <row r="3689">
          <cell r="B3689" t="b">
            <v>1</v>
          </cell>
          <cell r="E3689" t="str">
            <v>Los Cerros</v>
          </cell>
          <cell r="H3689" t="str">
            <v>ginecologia</v>
          </cell>
          <cell r="J3689" t="str">
            <v>muybueno</v>
          </cell>
          <cell r="K3689" t="str">
            <v>defsi</v>
          </cell>
        </row>
        <row r="3690">
          <cell r="B3690" t="b">
            <v>1</v>
          </cell>
          <cell r="E3690" t="str">
            <v>Los Cerros</v>
          </cell>
          <cell r="H3690" t="str">
            <v>laboratorio</v>
          </cell>
          <cell r="J3690" t="str">
            <v>muybueno</v>
          </cell>
          <cell r="K3690" t="str">
            <v>defsi</v>
          </cell>
        </row>
        <row r="3691">
          <cell r="B3691" t="b">
            <v>1</v>
          </cell>
          <cell r="E3691" t="str">
            <v>Los Cerros</v>
          </cell>
          <cell r="H3691" t="str">
            <v>laboratorio</v>
          </cell>
          <cell r="J3691" t="str">
            <v>bueno</v>
          </cell>
          <cell r="K3691" t="str">
            <v>defsi</v>
          </cell>
        </row>
        <row r="3692">
          <cell r="B3692" t="b">
            <v>1</v>
          </cell>
          <cell r="E3692" t="str">
            <v>Los Cerros</v>
          </cell>
          <cell r="H3692" t="str">
            <v>pediatria</v>
          </cell>
          <cell r="J3692" t="str">
            <v>bueno</v>
          </cell>
          <cell r="K3692" t="str">
            <v>defsi</v>
          </cell>
        </row>
        <row r="3693">
          <cell r="B3693" t="b">
            <v>1</v>
          </cell>
          <cell r="E3693" t="str">
            <v>Los Cerros</v>
          </cell>
          <cell r="H3693" t="str">
            <v>consulta_externa</v>
          </cell>
          <cell r="J3693" t="str">
            <v>bueno</v>
          </cell>
          <cell r="K3693" t="str">
            <v>defsi</v>
          </cell>
        </row>
        <row r="3694">
          <cell r="B3694" t="b">
            <v>1</v>
          </cell>
          <cell r="E3694" t="str">
            <v>Los Cerros</v>
          </cell>
          <cell r="H3694" t="str">
            <v>laboratorio</v>
          </cell>
          <cell r="J3694" t="str">
            <v>bueno</v>
          </cell>
          <cell r="K3694" t="str">
            <v>defsi</v>
          </cell>
        </row>
        <row r="3695">
          <cell r="B3695" t="b">
            <v>1</v>
          </cell>
          <cell r="E3695" t="str">
            <v>Los Cerros</v>
          </cell>
          <cell r="H3695" t="str">
            <v>ecografias</v>
          </cell>
          <cell r="J3695" t="str">
            <v>bueno</v>
          </cell>
          <cell r="K3695" t="str">
            <v>defsi</v>
          </cell>
        </row>
        <row r="3696">
          <cell r="B3696" t="b">
            <v>1</v>
          </cell>
          <cell r="E3696" t="str">
            <v>Los Cerros</v>
          </cell>
          <cell r="H3696" t="str">
            <v>consulta_externa</v>
          </cell>
          <cell r="J3696" t="str">
            <v>bueno</v>
          </cell>
          <cell r="K3696" t="str">
            <v>defsi</v>
          </cell>
        </row>
        <row r="3697">
          <cell r="B3697" t="b">
            <v>1</v>
          </cell>
          <cell r="E3697" t="str">
            <v>Los Cerros</v>
          </cell>
          <cell r="H3697" t="str">
            <v>consulta_externa</v>
          </cell>
          <cell r="J3697" t="str">
            <v>bueno</v>
          </cell>
          <cell r="K3697" t="str">
            <v>defsi</v>
          </cell>
        </row>
        <row r="3698">
          <cell r="B3698" t="b">
            <v>1</v>
          </cell>
          <cell r="E3698" t="str">
            <v>Los Cerros</v>
          </cell>
          <cell r="H3698" t="str">
            <v>ecografias</v>
          </cell>
          <cell r="J3698" t="str">
            <v>bueno</v>
          </cell>
          <cell r="K3698" t="str">
            <v>defsi</v>
          </cell>
        </row>
        <row r="3699">
          <cell r="B3699" t="b">
            <v>1</v>
          </cell>
          <cell r="E3699" t="str">
            <v>Isla del Rosario</v>
          </cell>
          <cell r="H3699" t="str">
            <v>consulta_externa</v>
          </cell>
          <cell r="J3699" t="str">
            <v>muybueno</v>
          </cell>
          <cell r="K3699" t="str">
            <v>defsi</v>
          </cell>
        </row>
        <row r="3700">
          <cell r="B3700" t="b">
            <v>1</v>
          </cell>
          <cell r="E3700" t="str">
            <v>Isla del Rosario</v>
          </cell>
          <cell r="H3700" t="str">
            <v>laboratorio</v>
          </cell>
          <cell r="J3700" t="str">
            <v>muybueno</v>
          </cell>
          <cell r="K3700" t="str">
            <v>defsi</v>
          </cell>
        </row>
        <row r="3701">
          <cell r="B3701" t="b">
            <v>1</v>
          </cell>
          <cell r="E3701" t="str">
            <v>Los Cerros</v>
          </cell>
          <cell r="H3701" t="str">
            <v>ecografias</v>
          </cell>
          <cell r="J3701" t="str">
            <v>bueno</v>
          </cell>
          <cell r="K3701" t="str">
            <v>defsi</v>
          </cell>
        </row>
        <row r="3702">
          <cell r="B3702" t="b">
            <v>1</v>
          </cell>
          <cell r="E3702" t="str">
            <v>Los Cerros</v>
          </cell>
          <cell r="H3702" t="str">
            <v>laboratorio</v>
          </cell>
          <cell r="J3702" t="str">
            <v>bueno</v>
          </cell>
          <cell r="K3702" t="str">
            <v>defsi</v>
          </cell>
        </row>
        <row r="3703">
          <cell r="B3703" t="b">
            <v>1</v>
          </cell>
          <cell r="E3703" t="str">
            <v>Los Cerros</v>
          </cell>
          <cell r="H3703" t="str">
            <v>laboratorio</v>
          </cell>
          <cell r="J3703" t="str">
            <v>bueno</v>
          </cell>
          <cell r="K3703" t="str">
            <v>defsi</v>
          </cell>
        </row>
        <row r="3704">
          <cell r="B3704" t="b">
            <v>1</v>
          </cell>
          <cell r="E3704" t="str">
            <v>Los Cerros</v>
          </cell>
          <cell r="H3704" t="str">
            <v>pediatria</v>
          </cell>
          <cell r="J3704" t="str">
            <v>bueno</v>
          </cell>
          <cell r="K3704" t="str">
            <v>defsi</v>
          </cell>
        </row>
        <row r="3705">
          <cell r="B3705" t="b">
            <v>1</v>
          </cell>
          <cell r="E3705" t="str">
            <v>Los Cerros</v>
          </cell>
          <cell r="H3705" t="str">
            <v>pediatria</v>
          </cell>
          <cell r="J3705" t="str">
            <v>bueno</v>
          </cell>
          <cell r="K3705" t="str">
            <v>defsi</v>
          </cell>
        </row>
        <row r="3706">
          <cell r="B3706" t="b">
            <v>1</v>
          </cell>
          <cell r="E3706" t="str">
            <v>Isla del Rosario</v>
          </cell>
          <cell r="H3706" t="str">
            <v>salud_oral</v>
          </cell>
          <cell r="J3706" t="str">
            <v>muybueno</v>
          </cell>
          <cell r="K3706" t="str">
            <v>defsi</v>
          </cell>
        </row>
        <row r="3707">
          <cell r="B3707" t="b">
            <v>1</v>
          </cell>
          <cell r="E3707" t="str">
            <v>Los Cerros</v>
          </cell>
          <cell r="H3707" t="str">
            <v>pediatria</v>
          </cell>
          <cell r="J3707" t="str">
            <v>muybueno</v>
          </cell>
          <cell r="K3707" t="str">
            <v>defsi</v>
          </cell>
        </row>
        <row r="3708">
          <cell r="B3708" t="b">
            <v>1</v>
          </cell>
          <cell r="E3708" t="str">
            <v>Tierra Baja</v>
          </cell>
          <cell r="H3708" t="str">
            <v>salud_oral</v>
          </cell>
          <cell r="J3708" t="str">
            <v>bueno</v>
          </cell>
          <cell r="K3708" t="str">
            <v>probsi</v>
          </cell>
        </row>
        <row r="3709">
          <cell r="B3709" t="b">
            <v>1</v>
          </cell>
          <cell r="E3709" t="str">
            <v>Tierra Baja</v>
          </cell>
          <cell r="H3709" t="str">
            <v>laboratorio</v>
          </cell>
          <cell r="J3709" t="str">
            <v>bueno</v>
          </cell>
          <cell r="K3709" t="str">
            <v>probsi</v>
          </cell>
        </row>
        <row r="3710">
          <cell r="B3710" t="b">
            <v>1</v>
          </cell>
          <cell r="E3710" t="str">
            <v>Los Cerros</v>
          </cell>
          <cell r="H3710" t="str">
            <v>ecografias</v>
          </cell>
          <cell r="J3710" t="str">
            <v>bueno</v>
          </cell>
          <cell r="K3710" t="str">
            <v>defsi</v>
          </cell>
        </row>
        <row r="3711">
          <cell r="B3711" t="b">
            <v>1</v>
          </cell>
          <cell r="E3711" t="str">
            <v>Tierra Baja</v>
          </cell>
          <cell r="H3711" t="str">
            <v>salud_oral</v>
          </cell>
          <cell r="J3711" t="str">
            <v>bueno</v>
          </cell>
          <cell r="K3711" t="str">
            <v>probsi</v>
          </cell>
        </row>
        <row r="3712">
          <cell r="B3712" t="b">
            <v>1</v>
          </cell>
          <cell r="E3712" t="str">
            <v>Tierra Baja</v>
          </cell>
          <cell r="H3712" t="str">
            <v>salud_oral</v>
          </cell>
          <cell r="J3712" t="str">
            <v>bueno</v>
          </cell>
          <cell r="K3712" t="str">
            <v>probsi</v>
          </cell>
        </row>
        <row r="3713">
          <cell r="B3713" t="b">
            <v>1</v>
          </cell>
          <cell r="E3713" t="str">
            <v>Los Cerros</v>
          </cell>
          <cell r="H3713" t="str">
            <v>ecografias</v>
          </cell>
          <cell r="J3713" t="str">
            <v>bueno</v>
          </cell>
          <cell r="K3713" t="str">
            <v>defsi</v>
          </cell>
        </row>
        <row r="3714">
          <cell r="B3714" t="b">
            <v>1</v>
          </cell>
          <cell r="E3714" t="str">
            <v>Tierra Baja</v>
          </cell>
          <cell r="H3714" t="str">
            <v>salud_oral</v>
          </cell>
          <cell r="J3714" t="str">
            <v>bueno</v>
          </cell>
          <cell r="K3714" t="str">
            <v>probsi</v>
          </cell>
        </row>
        <row r="3715">
          <cell r="B3715" t="b">
            <v>1</v>
          </cell>
          <cell r="E3715" t="str">
            <v>Tierra Baja</v>
          </cell>
          <cell r="H3715" t="str">
            <v>salud_oral</v>
          </cell>
          <cell r="J3715" t="str">
            <v>bueno</v>
          </cell>
          <cell r="K3715" t="str">
            <v>probsi</v>
          </cell>
        </row>
        <row r="3716">
          <cell r="B3716" t="b">
            <v>1</v>
          </cell>
          <cell r="E3716" t="str">
            <v>Tierra Baja</v>
          </cell>
          <cell r="H3716" t="str">
            <v>laboratorio</v>
          </cell>
          <cell r="J3716" t="str">
            <v>bueno</v>
          </cell>
          <cell r="K3716" t="str">
            <v>probsi</v>
          </cell>
        </row>
        <row r="3717">
          <cell r="B3717" t="b">
            <v>1</v>
          </cell>
          <cell r="E3717" t="str">
            <v>Tierra Baja</v>
          </cell>
          <cell r="H3717" t="str">
            <v>laboratorio</v>
          </cell>
          <cell r="J3717" t="str">
            <v>bueno</v>
          </cell>
          <cell r="K3717" t="str">
            <v>probsi</v>
          </cell>
        </row>
        <row r="3718">
          <cell r="B3718" t="b">
            <v>1</v>
          </cell>
          <cell r="E3718" t="str">
            <v>Tierra Baja</v>
          </cell>
          <cell r="H3718" t="str">
            <v>laboratorio</v>
          </cell>
          <cell r="J3718" t="str">
            <v>bueno</v>
          </cell>
          <cell r="K3718" t="str">
            <v>probsi</v>
          </cell>
        </row>
        <row r="3719">
          <cell r="B3719" t="b">
            <v>1</v>
          </cell>
          <cell r="E3719" t="str">
            <v>Los Cerros</v>
          </cell>
          <cell r="H3719" t="str">
            <v>laboratorio</v>
          </cell>
          <cell r="J3719" t="str">
            <v>bueno</v>
          </cell>
          <cell r="K3719" t="str">
            <v>defsi</v>
          </cell>
        </row>
        <row r="3720">
          <cell r="B3720" t="b">
            <v>1</v>
          </cell>
          <cell r="E3720" t="str">
            <v>Los Cerros</v>
          </cell>
          <cell r="H3720" t="str">
            <v>electros</v>
          </cell>
          <cell r="J3720" t="str">
            <v>muybueno</v>
          </cell>
          <cell r="K3720" t="str">
            <v>defsi</v>
          </cell>
        </row>
        <row r="3721">
          <cell r="B3721" t="b">
            <v>1</v>
          </cell>
          <cell r="E3721" t="str">
            <v>Isla del Rosario</v>
          </cell>
          <cell r="H3721" t="str">
            <v>salud_oral</v>
          </cell>
          <cell r="J3721" t="str">
            <v>muybueno</v>
          </cell>
          <cell r="K3721" t="str">
            <v>defsi</v>
          </cell>
        </row>
        <row r="3722">
          <cell r="B3722" t="b">
            <v>1</v>
          </cell>
          <cell r="E3722" t="str">
            <v>Los Cerros</v>
          </cell>
          <cell r="H3722" t="str">
            <v>electros</v>
          </cell>
          <cell r="J3722" t="str">
            <v>muybueno</v>
          </cell>
          <cell r="K3722" t="str">
            <v>defsi</v>
          </cell>
        </row>
        <row r="3723">
          <cell r="B3723" t="b">
            <v>1</v>
          </cell>
          <cell r="E3723" t="str">
            <v>Los Cerros</v>
          </cell>
          <cell r="H3723" t="str">
            <v>electros</v>
          </cell>
          <cell r="J3723" t="str">
            <v>muybueno</v>
          </cell>
          <cell r="K3723" t="str">
            <v>defsi</v>
          </cell>
        </row>
        <row r="3724">
          <cell r="B3724" t="b">
            <v>1</v>
          </cell>
          <cell r="E3724" t="str">
            <v>Los Cerros</v>
          </cell>
          <cell r="H3724" t="str">
            <v>electros</v>
          </cell>
          <cell r="J3724" t="str">
            <v>muybueno</v>
          </cell>
          <cell r="K3724" t="str">
            <v>defsi</v>
          </cell>
        </row>
        <row r="3725">
          <cell r="B3725" t="b">
            <v>1</v>
          </cell>
          <cell r="E3725" t="str">
            <v>Fredonia</v>
          </cell>
          <cell r="H3725" t="str">
            <v>consulta_externa</v>
          </cell>
          <cell r="J3725" t="str">
            <v>bueno</v>
          </cell>
          <cell r="K3725" t="str">
            <v>probsi</v>
          </cell>
        </row>
        <row r="3726">
          <cell r="B3726" t="b">
            <v>1</v>
          </cell>
          <cell r="E3726" t="str">
            <v>Fredonia</v>
          </cell>
          <cell r="H3726" t="str">
            <v>consulta_externa</v>
          </cell>
          <cell r="J3726" t="str">
            <v>bueno</v>
          </cell>
          <cell r="K3726" t="str">
            <v>probsi</v>
          </cell>
        </row>
        <row r="3727">
          <cell r="B3727" t="b">
            <v>1</v>
          </cell>
          <cell r="E3727" t="str">
            <v>Los Cerros</v>
          </cell>
          <cell r="H3727" t="str">
            <v>consulta_externa</v>
          </cell>
          <cell r="J3727" t="str">
            <v>bueno</v>
          </cell>
          <cell r="K3727" t="str">
            <v>defsi</v>
          </cell>
        </row>
        <row r="3728">
          <cell r="B3728" t="b">
            <v>1</v>
          </cell>
          <cell r="E3728" t="str">
            <v>Fredonia</v>
          </cell>
          <cell r="H3728" t="str">
            <v>consulta_externa</v>
          </cell>
          <cell r="J3728" t="str">
            <v>bueno</v>
          </cell>
          <cell r="K3728" t="str">
            <v>probsi</v>
          </cell>
        </row>
        <row r="3729">
          <cell r="B3729" t="b">
            <v>1</v>
          </cell>
          <cell r="E3729" t="str">
            <v>Fredonia</v>
          </cell>
          <cell r="H3729" t="str">
            <v>laboratorio</v>
          </cell>
          <cell r="J3729" t="str">
            <v>bueno</v>
          </cell>
          <cell r="K3729" t="str">
            <v>probsi</v>
          </cell>
        </row>
        <row r="3730">
          <cell r="B3730" t="b">
            <v>1</v>
          </cell>
          <cell r="E3730" t="str">
            <v>Los Cerros</v>
          </cell>
          <cell r="H3730" t="str">
            <v>laboratorio</v>
          </cell>
          <cell r="J3730" t="str">
            <v>bueno</v>
          </cell>
          <cell r="K3730" t="str">
            <v>defsi</v>
          </cell>
        </row>
        <row r="3731">
          <cell r="B3731" t="b">
            <v>1</v>
          </cell>
          <cell r="E3731" t="str">
            <v>Fredonia</v>
          </cell>
          <cell r="H3731" t="str">
            <v>consulta_externa</v>
          </cell>
          <cell r="J3731" t="str">
            <v>bueno</v>
          </cell>
          <cell r="K3731" t="str">
            <v>probsi</v>
          </cell>
        </row>
        <row r="3732">
          <cell r="B3732" t="b">
            <v>1</v>
          </cell>
          <cell r="E3732" t="str">
            <v>Fredonia</v>
          </cell>
          <cell r="H3732" t="str">
            <v>laboratorio</v>
          </cell>
          <cell r="J3732" t="str">
            <v>bueno</v>
          </cell>
          <cell r="K3732" t="str">
            <v>probsi</v>
          </cell>
        </row>
        <row r="3733">
          <cell r="B3733" t="b">
            <v>1</v>
          </cell>
          <cell r="E3733" t="str">
            <v>Los Cerros</v>
          </cell>
          <cell r="H3733" t="str">
            <v>laboratorio</v>
          </cell>
          <cell r="J3733" t="str">
            <v>muybueno</v>
          </cell>
          <cell r="K3733" t="str">
            <v>defsi</v>
          </cell>
        </row>
        <row r="3734">
          <cell r="B3734" t="b">
            <v>1</v>
          </cell>
          <cell r="E3734" t="str">
            <v>Los Cerros</v>
          </cell>
          <cell r="H3734" t="str">
            <v>ecografias</v>
          </cell>
          <cell r="J3734" t="str">
            <v>bueno</v>
          </cell>
          <cell r="K3734" t="str">
            <v>defsi</v>
          </cell>
        </row>
        <row r="3735">
          <cell r="B3735" t="b">
            <v>1</v>
          </cell>
          <cell r="E3735" t="str">
            <v>Isla del Rosario</v>
          </cell>
          <cell r="H3735" t="str">
            <v>consulta_externa</v>
          </cell>
          <cell r="J3735" t="str">
            <v>muybueno</v>
          </cell>
          <cell r="K3735" t="str">
            <v>defsi</v>
          </cell>
        </row>
        <row r="3736">
          <cell r="B3736" t="b">
            <v>1</v>
          </cell>
          <cell r="E3736" t="str">
            <v>Isla del Rosario</v>
          </cell>
          <cell r="H3736" t="str">
            <v>laboratorio</v>
          </cell>
          <cell r="J3736" t="str">
            <v>muybueno</v>
          </cell>
          <cell r="K3736" t="str">
            <v>defsi</v>
          </cell>
        </row>
        <row r="3737">
          <cell r="B3737" t="b">
            <v>1</v>
          </cell>
          <cell r="E3737" t="str">
            <v>Los Cerros</v>
          </cell>
          <cell r="H3737" t="str">
            <v>laboratorio</v>
          </cell>
          <cell r="J3737" t="str">
            <v>bueno</v>
          </cell>
          <cell r="K3737" t="str">
            <v>defsi</v>
          </cell>
        </row>
        <row r="3738">
          <cell r="B3738" t="b">
            <v>1</v>
          </cell>
          <cell r="E3738" t="str">
            <v>Los Cerros</v>
          </cell>
          <cell r="H3738" t="str">
            <v>consulta_externa</v>
          </cell>
          <cell r="J3738" t="str">
            <v>bueno</v>
          </cell>
          <cell r="K3738" t="str">
            <v>defsi</v>
          </cell>
        </row>
        <row r="3739">
          <cell r="B3739" t="b">
            <v>1</v>
          </cell>
          <cell r="E3739" t="str">
            <v>Fredonia</v>
          </cell>
          <cell r="H3739" t="str">
            <v>consulta_externa</v>
          </cell>
          <cell r="J3739" t="str">
            <v>bueno</v>
          </cell>
          <cell r="K3739" t="str">
            <v>probsi</v>
          </cell>
        </row>
        <row r="3740">
          <cell r="B3740" t="b">
            <v>1</v>
          </cell>
          <cell r="E3740" t="str">
            <v>Fredonia</v>
          </cell>
          <cell r="H3740" t="str">
            <v>laboratorio</v>
          </cell>
          <cell r="J3740" t="str">
            <v>bueno</v>
          </cell>
          <cell r="K3740" t="str">
            <v>probsi</v>
          </cell>
        </row>
        <row r="3741">
          <cell r="B3741" t="b">
            <v>1</v>
          </cell>
          <cell r="E3741" t="str">
            <v>Fredonia</v>
          </cell>
          <cell r="H3741" t="str">
            <v>salud_oral</v>
          </cell>
          <cell r="J3741" t="str">
            <v>bueno</v>
          </cell>
          <cell r="K3741" t="str">
            <v>probsi</v>
          </cell>
        </row>
        <row r="3742">
          <cell r="B3742" t="b">
            <v>1</v>
          </cell>
          <cell r="E3742" t="str">
            <v>Fredonia</v>
          </cell>
          <cell r="H3742" t="str">
            <v>consulta_externa</v>
          </cell>
          <cell r="J3742" t="str">
            <v>bueno</v>
          </cell>
          <cell r="K3742" t="str">
            <v>probsi</v>
          </cell>
        </row>
        <row r="3743">
          <cell r="B3743" t="b">
            <v>1</v>
          </cell>
          <cell r="E3743" t="str">
            <v>Fredonia</v>
          </cell>
          <cell r="H3743" t="str">
            <v>salud_oral</v>
          </cell>
          <cell r="J3743" t="str">
            <v>bueno</v>
          </cell>
          <cell r="K3743" t="str">
            <v>probsi</v>
          </cell>
        </row>
        <row r="3744">
          <cell r="B3744" t="b">
            <v>1</v>
          </cell>
          <cell r="E3744" t="str">
            <v>Fredonia</v>
          </cell>
          <cell r="H3744" t="str">
            <v>laboratorio</v>
          </cell>
          <cell r="J3744" t="str">
            <v>bueno</v>
          </cell>
          <cell r="K3744" t="str">
            <v>probsi</v>
          </cell>
        </row>
        <row r="3745">
          <cell r="B3745" t="b">
            <v>1</v>
          </cell>
          <cell r="E3745" t="str">
            <v>Fredonia</v>
          </cell>
          <cell r="H3745" t="str">
            <v>consulta_externa</v>
          </cell>
          <cell r="J3745" t="str">
            <v>bueno</v>
          </cell>
          <cell r="K3745" t="str">
            <v>probsi</v>
          </cell>
        </row>
        <row r="3746">
          <cell r="B3746" t="b">
            <v>1</v>
          </cell>
          <cell r="E3746" t="str">
            <v>Fredonia</v>
          </cell>
          <cell r="H3746" t="str">
            <v>consulta_externa</v>
          </cell>
          <cell r="J3746" t="str">
            <v>bueno</v>
          </cell>
          <cell r="K3746" t="str">
            <v>probsi</v>
          </cell>
        </row>
        <row r="3747">
          <cell r="B3747" t="b">
            <v>1</v>
          </cell>
          <cell r="E3747" t="str">
            <v>Fredonia</v>
          </cell>
          <cell r="H3747" t="str">
            <v>salud_oral</v>
          </cell>
          <cell r="J3747" t="str">
            <v>bueno</v>
          </cell>
          <cell r="K3747" t="str">
            <v>probsi</v>
          </cell>
        </row>
        <row r="3748">
          <cell r="B3748" t="b">
            <v>1</v>
          </cell>
          <cell r="E3748" t="str">
            <v>Fredonia</v>
          </cell>
          <cell r="H3748" t="str">
            <v>consulta_externa</v>
          </cell>
          <cell r="J3748" t="str">
            <v>bueno</v>
          </cell>
          <cell r="K3748" t="str">
            <v>probsi</v>
          </cell>
        </row>
        <row r="3749">
          <cell r="B3749" t="b">
            <v>1</v>
          </cell>
          <cell r="E3749" t="str">
            <v>Fredonia</v>
          </cell>
          <cell r="H3749" t="str">
            <v>salud_oral</v>
          </cell>
          <cell r="J3749" t="str">
            <v>bueno</v>
          </cell>
          <cell r="K3749" t="str">
            <v>probsi</v>
          </cell>
        </row>
        <row r="3750">
          <cell r="B3750" t="b">
            <v>1</v>
          </cell>
          <cell r="E3750" t="str">
            <v>Isla del Rosario</v>
          </cell>
          <cell r="H3750" t="str">
            <v>salud_oral</v>
          </cell>
          <cell r="J3750" t="str">
            <v>muybueno</v>
          </cell>
          <cell r="K3750" t="str">
            <v>defsi</v>
          </cell>
        </row>
        <row r="3751">
          <cell r="B3751" t="b">
            <v>1</v>
          </cell>
          <cell r="E3751" t="str">
            <v>Fredonia</v>
          </cell>
          <cell r="H3751" t="str">
            <v>consulta_externa</v>
          </cell>
          <cell r="J3751" t="str">
            <v>bueno</v>
          </cell>
          <cell r="K3751" t="str">
            <v>probsi</v>
          </cell>
        </row>
        <row r="3752">
          <cell r="B3752" t="b">
            <v>1</v>
          </cell>
          <cell r="E3752" t="str">
            <v>Fredonia</v>
          </cell>
          <cell r="H3752" t="str">
            <v>consulta_externa</v>
          </cell>
          <cell r="J3752" t="str">
            <v>bueno</v>
          </cell>
          <cell r="K3752" t="str">
            <v>probsi</v>
          </cell>
        </row>
        <row r="3753">
          <cell r="B3753" t="b">
            <v>1</v>
          </cell>
          <cell r="E3753" t="str">
            <v>Fredonia</v>
          </cell>
          <cell r="H3753" t="str">
            <v>consulta_externa</v>
          </cell>
          <cell r="J3753" t="str">
            <v>bueno</v>
          </cell>
          <cell r="K3753" t="str">
            <v>probsi</v>
          </cell>
        </row>
        <row r="3754">
          <cell r="B3754" t="b">
            <v>1</v>
          </cell>
          <cell r="E3754" t="str">
            <v>Tierra Baja</v>
          </cell>
          <cell r="H3754" t="str">
            <v>consulta_externa</v>
          </cell>
          <cell r="J3754" t="str">
            <v>bueno</v>
          </cell>
          <cell r="K3754" t="str">
            <v>defsi</v>
          </cell>
        </row>
        <row r="3755">
          <cell r="B3755" t="b">
            <v>1</v>
          </cell>
          <cell r="E3755" t="str">
            <v>Tierra Baja</v>
          </cell>
          <cell r="H3755" t="str">
            <v>consulta_externa</v>
          </cell>
          <cell r="J3755" t="str">
            <v>bueno</v>
          </cell>
          <cell r="K3755" t="str">
            <v>defsi</v>
          </cell>
        </row>
        <row r="3756">
          <cell r="B3756" t="b">
            <v>1</v>
          </cell>
          <cell r="E3756" t="str">
            <v>Tierra Baja</v>
          </cell>
          <cell r="H3756" t="str">
            <v>salud_oral</v>
          </cell>
          <cell r="J3756" t="str">
            <v>bueno</v>
          </cell>
          <cell r="K3756" t="str">
            <v>defsi</v>
          </cell>
        </row>
        <row r="3757">
          <cell r="B3757" t="b">
            <v>1</v>
          </cell>
          <cell r="E3757" t="str">
            <v>Fredonia</v>
          </cell>
          <cell r="H3757" t="str">
            <v>consulta_externa</v>
          </cell>
          <cell r="J3757" t="str">
            <v>bueno</v>
          </cell>
          <cell r="K3757" t="str">
            <v>probsi</v>
          </cell>
        </row>
        <row r="3758">
          <cell r="B3758" t="b">
            <v>1</v>
          </cell>
          <cell r="E3758" t="str">
            <v>Tierra Baja</v>
          </cell>
          <cell r="H3758" t="str">
            <v>laboratorio</v>
          </cell>
          <cell r="J3758" t="str">
            <v>bueno</v>
          </cell>
          <cell r="K3758" t="str">
            <v>defsi</v>
          </cell>
        </row>
        <row r="3759">
          <cell r="B3759" t="b">
            <v>1</v>
          </cell>
          <cell r="E3759" t="str">
            <v>Fredonia</v>
          </cell>
          <cell r="H3759" t="str">
            <v>salud_oral</v>
          </cell>
          <cell r="J3759" t="str">
            <v>bueno</v>
          </cell>
          <cell r="K3759" t="str">
            <v>probsi</v>
          </cell>
        </row>
        <row r="3760">
          <cell r="B3760" t="b">
            <v>1</v>
          </cell>
          <cell r="E3760" t="str">
            <v>Fredonia</v>
          </cell>
          <cell r="H3760" t="str">
            <v>laboratorio</v>
          </cell>
          <cell r="J3760" t="str">
            <v>bueno</v>
          </cell>
          <cell r="K3760" t="str">
            <v>probsi</v>
          </cell>
        </row>
        <row r="3761">
          <cell r="B3761" t="b">
            <v>1</v>
          </cell>
          <cell r="E3761" t="str">
            <v>Fredonia</v>
          </cell>
          <cell r="H3761" t="str">
            <v>consulta_externa</v>
          </cell>
          <cell r="J3761" t="str">
            <v>bueno</v>
          </cell>
          <cell r="K3761" t="str">
            <v>probsi</v>
          </cell>
        </row>
        <row r="3762">
          <cell r="B3762" t="b">
            <v>1</v>
          </cell>
          <cell r="E3762" t="str">
            <v>Fredonia</v>
          </cell>
          <cell r="H3762" t="str">
            <v>laboratorio</v>
          </cell>
          <cell r="J3762" t="str">
            <v>bueno</v>
          </cell>
          <cell r="K3762" t="str">
            <v>probsi</v>
          </cell>
        </row>
        <row r="3763">
          <cell r="B3763" t="b">
            <v>0</v>
          </cell>
          <cell r="E3763" t="str">
            <v>Fredonia</v>
          </cell>
          <cell r="H3763" t="str">
            <v>laboratorio</v>
          </cell>
          <cell r="J3763" t="str">
            <v>regular</v>
          </cell>
          <cell r="K3763" t="str">
            <v>probsi</v>
          </cell>
        </row>
        <row r="3764">
          <cell r="B3764" t="b">
            <v>1</v>
          </cell>
          <cell r="E3764" t="str">
            <v>Isla del Rosario</v>
          </cell>
          <cell r="H3764" t="str">
            <v>consulta_externa</v>
          </cell>
          <cell r="J3764" t="str">
            <v>muybueno</v>
          </cell>
          <cell r="K3764" t="str">
            <v>defsi</v>
          </cell>
        </row>
        <row r="3765">
          <cell r="B3765" t="b">
            <v>1</v>
          </cell>
          <cell r="E3765" t="str">
            <v>Isla del Rosario</v>
          </cell>
          <cell r="H3765" t="str">
            <v>laboratorio</v>
          </cell>
          <cell r="J3765" t="str">
            <v>muybueno</v>
          </cell>
          <cell r="K3765" t="str">
            <v>defsi</v>
          </cell>
        </row>
        <row r="3766">
          <cell r="B3766" t="b">
            <v>1</v>
          </cell>
          <cell r="E3766" t="str">
            <v>Los Cerros</v>
          </cell>
          <cell r="H3766" t="str">
            <v>salud_oral</v>
          </cell>
          <cell r="J3766" t="str">
            <v>bueno</v>
          </cell>
          <cell r="K3766" t="str">
            <v>defsi</v>
          </cell>
        </row>
        <row r="3767">
          <cell r="B3767" t="b">
            <v>1</v>
          </cell>
          <cell r="E3767" t="str">
            <v>Los Cerros</v>
          </cell>
          <cell r="H3767" t="str">
            <v>pediatria</v>
          </cell>
          <cell r="J3767" t="str">
            <v>bueno</v>
          </cell>
          <cell r="K3767" t="str">
            <v>defsi</v>
          </cell>
        </row>
        <row r="3768">
          <cell r="B3768" t="b">
            <v>1</v>
          </cell>
          <cell r="E3768" t="str">
            <v>Los Cerros</v>
          </cell>
          <cell r="H3768" t="str">
            <v>salud_oral</v>
          </cell>
          <cell r="J3768" t="str">
            <v>bueno</v>
          </cell>
          <cell r="K3768" t="str">
            <v>defsi</v>
          </cell>
        </row>
        <row r="3769">
          <cell r="B3769" t="b">
            <v>1</v>
          </cell>
          <cell r="E3769" t="str">
            <v>Los Cerros</v>
          </cell>
          <cell r="H3769" t="str">
            <v>electros</v>
          </cell>
          <cell r="J3769" t="str">
            <v>bueno</v>
          </cell>
          <cell r="K3769" t="str">
            <v>defsi</v>
          </cell>
        </row>
        <row r="3770">
          <cell r="B3770" t="b">
            <v>1</v>
          </cell>
          <cell r="E3770" t="str">
            <v>Los Cerros</v>
          </cell>
          <cell r="H3770" t="str">
            <v>salud_oral</v>
          </cell>
          <cell r="J3770" t="str">
            <v>bueno</v>
          </cell>
          <cell r="K3770" t="str">
            <v>defsi</v>
          </cell>
        </row>
        <row r="3771">
          <cell r="B3771" t="b">
            <v>1</v>
          </cell>
          <cell r="E3771" t="str">
            <v>Fredonia</v>
          </cell>
          <cell r="H3771" t="str">
            <v>laboratorio</v>
          </cell>
          <cell r="J3771" t="str">
            <v>bueno</v>
          </cell>
          <cell r="K3771" t="str">
            <v>probsi</v>
          </cell>
        </row>
        <row r="3772">
          <cell r="B3772" t="b">
            <v>1</v>
          </cell>
          <cell r="E3772" t="str">
            <v>Tierra Baja</v>
          </cell>
          <cell r="H3772" t="str">
            <v>salud_oral</v>
          </cell>
          <cell r="J3772" t="str">
            <v>bueno</v>
          </cell>
          <cell r="K3772" t="str">
            <v>defsi</v>
          </cell>
        </row>
        <row r="3773">
          <cell r="B3773" t="b">
            <v>1</v>
          </cell>
          <cell r="E3773" t="str">
            <v>Los Cerros</v>
          </cell>
          <cell r="H3773" t="str">
            <v>salud_oral</v>
          </cell>
          <cell r="J3773" t="str">
            <v>bueno</v>
          </cell>
          <cell r="K3773" t="str">
            <v>defsi</v>
          </cell>
        </row>
        <row r="3774">
          <cell r="B3774" t="b">
            <v>1</v>
          </cell>
          <cell r="E3774" t="str">
            <v>San Francisco I</v>
          </cell>
          <cell r="H3774" t="str">
            <v>consulta_externa</v>
          </cell>
          <cell r="J3774" t="str">
            <v>bueno</v>
          </cell>
          <cell r="K3774" t="str">
            <v>defsi</v>
          </cell>
        </row>
        <row r="3775">
          <cell r="B3775" t="b">
            <v>1</v>
          </cell>
          <cell r="E3775" t="str">
            <v>Los Cerros</v>
          </cell>
          <cell r="H3775" t="str">
            <v>salud_oral</v>
          </cell>
          <cell r="J3775" t="str">
            <v>bueno</v>
          </cell>
          <cell r="K3775" t="str">
            <v>defsi</v>
          </cell>
        </row>
        <row r="3776">
          <cell r="B3776" t="b">
            <v>1</v>
          </cell>
          <cell r="E3776" t="str">
            <v>San Francisco I</v>
          </cell>
          <cell r="H3776" t="str">
            <v>salud_oral</v>
          </cell>
          <cell r="J3776" t="str">
            <v>bueno</v>
          </cell>
          <cell r="K3776" t="str">
            <v>defsi</v>
          </cell>
        </row>
        <row r="3777">
          <cell r="B3777" t="b">
            <v>1</v>
          </cell>
          <cell r="E3777" t="str">
            <v>Los Cerros</v>
          </cell>
          <cell r="H3777" t="str">
            <v>consulta_externa</v>
          </cell>
          <cell r="J3777" t="str">
            <v>bueno</v>
          </cell>
          <cell r="K3777" t="str">
            <v>defsi</v>
          </cell>
        </row>
        <row r="3778">
          <cell r="B3778" t="b">
            <v>1</v>
          </cell>
          <cell r="E3778" t="str">
            <v>Los Cerros</v>
          </cell>
          <cell r="H3778" t="str">
            <v>laboratorio</v>
          </cell>
          <cell r="J3778" t="str">
            <v>bueno</v>
          </cell>
          <cell r="K3778" t="str">
            <v>defsi</v>
          </cell>
        </row>
        <row r="3779">
          <cell r="B3779" t="b">
            <v>1</v>
          </cell>
          <cell r="E3779" t="str">
            <v>San Francisco I</v>
          </cell>
          <cell r="H3779" t="str">
            <v>laboratorio</v>
          </cell>
          <cell r="J3779" t="str">
            <v>bueno</v>
          </cell>
          <cell r="K3779" t="str">
            <v>defsi</v>
          </cell>
        </row>
        <row r="3780">
          <cell r="B3780" t="b">
            <v>1</v>
          </cell>
          <cell r="E3780" t="str">
            <v>Los Cerros</v>
          </cell>
          <cell r="H3780" t="str">
            <v>ecografias</v>
          </cell>
          <cell r="J3780" t="str">
            <v>bueno</v>
          </cell>
          <cell r="K3780" t="str">
            <v>defsi</v>
          </cell>
        </row>
        <row r="3781">
          <cell r="B3781" t="b">
            <v>1</v>
          </cell>
          <cell r="E3781" t="str">
            <v>Los Cerros</v>
          </cell>
          <cell r="H3781" t="str">
            <v>salud_oral</v>
          </cell>
          <cell r="J3781" t="str">
            <v>bueno</v>
          </cell>
          <cell r="K3781" t="str">
            <v>defsi</v>
          </cell>
        </row>
        <row r="3782">
          <cell r="B3782" t="b">
            <v>1</v>
          </cell>
          <cell r="E3782" t="str">
            <v>Fredonia</v>
          </cell>
          <cell r="H3782" t="str">
            <v>salud_oral</v>
          </cell>
          <cell r="J3782" t="str">
            <v>bueno</v>
          </cell>
          <cell r="K3782" t="str">
            <v>probsi</v>
          </cell>
        </row>
        <row r="3783">
          <cell r="B3783" t="b">
            <v>1</v>
          </cell>
          <cell r="E3783" t="str">
            <v>San Francisco I</v>
          </cell>
          <cell r="H3783" t="str">
            <v>consulta_externa</v>
          </cell>
          <cell r="J3783" t="str">
            <v>bueno</v>
          </cell>
          <cell r="K3783" t="str">
            <v>defsi</v>
          </cell>
        </row>
        <row r="3784">
          <cell r="B3784" t="b">
            <v>0</v>
          </cell>
          <cell r="E3784" t="str">
            <v>Fredonia</v>
          </cell>
          <cell r="H3784" t="str">
            <v>laboratorio</v>
          </cell>
          <cell r="J3784" t="str">
            <v>regular</v>
          </cell>
          <cell r="K3784" t="str">
            <v>probsi</v>
          </cell>
        </row>
        <row r="3785">
          <cell r="B3785" t="b">
            <v>1</v>
          </cell>
          <cell r="E3785" t="str">
            <v>Los Cerros</v>
          </cell>
          <cell r="H3785" t="str">
            <v>salud_oral</v>
          </cell>
          <cell r="J3785" t="str">
            <v>bueno</v>
          </cell>
          <cell r="K3785" t="str">
            <v>defsi</v>
          </cell>
        </row>
        <row r="3786">
          <cell r="B3786" t="b">
            <v>1</v>
          </cell>
          <cell r="E3786" t="str">
            <v>San Francisco I</v>
          </cell>
          <cell r="H3786" t="str">
            <v>salud_oral</v>
          </cell>
          <cell r="J3786" t="str">
            <v>bueno</v>
          </cell>
          <cell r="K3786" t="str">
            <v>defsi</v>
          </cell>
        </row>
        <row r="3787">
          <cell r="B3787" t="b">
            <v>1</v>
          </cell>
          <cell r="E3787" t="str">
            <v>Tierra Baja</v>
          </cell>
          <cell r="H3787" t="str">
            <v>salud_oral</v>
          </cell>
          <cell r="J3787" t="str">
            <v>bueno</v>
          </cell>
          <cell r="K3787" t="str">
            <v>defsi</v>
          </cell>
        </row>
        <row r="3788">
          <cell r="B3788" t="b">
            <v>1</v>
          </cell>
          <cell r="E3788" t="str">
            <v>Tierra Baja</v>
          </cell>
          <cell r="H3788" t="str">
            <v>salud_oral</v>
          </cell>
          <cell r="J3788" t="str">
            <v>bueno</v>
          </cell>
          <cell r="K3788" t="str">
            <v>defsi</v>
          </cell>
        </row>
        <row r="3789">
          <cell r="B3789" t="b">
            <v>1</v>
          </cell>
          <cell r="E3789" t="str">
            <v>Tierra Baja</v>
          </cell>
          <cell r="H3789" t="str">
            <v>laboratorio</v>
          </cell>
          <cell r="J3789" t="str">
            <v>bueno</v>
          </cell>
          <cell r="K3789" t="str">
            <v>defsi</v>
          </cell>
        </row>
        <row r="3790">
          <cell r="B3790" t="b">
            <v>1</v>
          </cell>
          <cell r="E3790" t="str">
            <v>Los Cerros</v>
          </cell>
          <cell r="H3790" t="str">
            <v>salud_oral</v>
          </cell>
          <cell r="J3790" t="str">
            <v>bueno</v>
          </cell>
          <cell r="K3790" t="str">
            <v>defsi</v>
          </cell>
        </row>
        <row r="3791">
          <cell r="B3791" t="b">
            <v>1</v>
          </cell>
          <cell r="E3791" t="str">
            <v>Los Cerros</v>
          </cell>
          <cell r="H3791" t="str">
            <v>medicina_interna</v>
          </cell>
          <cell r="J3791" t="str">
            <v>bueno</v>
          </cell>
          <cell r="K3791" t="str">
            <v>defsi</v>
          </cell>
        </row>
        <row r="3792">
          <cell r="B3792" t="b">
            <v>1</v>
          </cell>
          <cell r="E3792" t="str">
            <v>Los Cerros</v>
          </cell>
          <cell r="H3792" t="str">
            <v>electros</v>
          </cell>
          <cell r="J3792" t="str">
            <v>bueno</v>
          </cell>
          <cell r="K3792" t="str">
            <v>defsi</v>
          </cell>
        </row>
        <row r="3793">
          <cell r="B3793" t="b">
            <v>1</v>
          </cell>
          <cell r="E3793" t="str">
            <v>Los Cerros</v>
          </cell>
          <cell r="H3793" t="str">
            <v>electros</v>
          </cell>
          <cell r="J3793" t="str">
            <v>bueno</v>
          </cell>
          <cell r="K3793" t="str">
            <v>defsi</v>
          </cell>
        </row>
        <row r="3794">
          <cell r="B3794" t="b">
            <v>1</v>
          </cell>
          <cell r="E3794" t="str">
            <v>Los Cerros</v>
          </cell>
          <cell r="H3794" t="str">
            <v>electros</v>
          </cell>
          <cell r="J3794" t="str">
            <v>bueno</v>
          </cell>
          <cell r="K3794" t="str">
            <v>defsi</v>
          </cell>
        </row>
        <row r="3795">
          <cell r="B3795" t="b">
            <v>1</v>
          </cell>
          <cell r="E3795" t="str">
            <v>Daniel Lemaitre</v>
          </cell>
          <cell r="H3795" t="str">
            <v>consulta_externa</v>
          </cell>
          <cell r="J3795" t="str">
            <v>bueno</v>
          </cell>
          <cell r="K3795" t="str">
            <v>defsi</v>
          </cell>
        </row>
        <row r="3796">
          <cell r="B3796" t="b">
            <v>1</v>
          </cell>
          <cell r="E3796" t="str">
            <v>Isla del Rosario</v>
          </cell>
          <cell r="H3796" t="str">
            <v>consulta_externa</v>
          </cell>
          <cell r="J3796" t="str">
            <v>muybueno</v>
          </cell>
          <cell r="K3796" t="str">
            <v>defsi</v>
          </cell>
        </row>
        <row r="3797">
          <cell r="B3797" t="b">
            <v>1</v>
          </cell>
          <cell r="E3797" t="str">
            <v>Daniel Lemaitre</v>
          </cell>
          <cell r="H3797" t="str">
            <v>salud_oral</v>
          </cell>
          <cell r="J3797" t="str">
            <v>bueno</v>
          </cell>
          <cell r="K3797" t="str">
            <v>defsi</v>
          </cell>
        </row>
        <row r="3798">
          <cell r="B3798" t="b">
            <v>1</v>
          </cell>
          <cell r="E3798" t="str">
            <v>Isla del Rosario</v>
          </cell>
          <cell r="H3798" t="str">
            <v>laboratorio</v>
          </cell>
          <cell r="J3798" t="str">
            <v>muybueno</v>
          </cell>
          <cell r="K3798" t="str">
            <v>defsi</v>
          </cell>
        </row>
        <row r="3799">
          <cell r="B3799" t="b">
            <v>1</v>
          </cell>
          <cell r="E3799" t="str">
            <v>Daniel Lemaitre</v>
          </cell>
          <cell r="H3799" t="str">
            <v>laboratorio</v>
          </cell>
          <cell r="J3799" t="str">
            <v>bueno</v>
          </cell>
          <cell r="K3799" t="str">
            <v>defsi</v>
          </cell>
        </row>
        <row r="3800">
          <cell r="B3800" t="b">
            <v>1</v>
          </cell>
          <cell r="E3800" t="str">
            <v>Daniel Lemaitre</v>
          </cell>
          <cell r="H3800" t="str">
            <v>consulta_externa</v>
          </cell>
          <cell r="J3800" t="str">
            <v>bueno</v>
          </cell>
          <cell r="K3800" t="str">
            <v>defsi</v>
          </cell>
        </row>
        <row r="3801">
          <cell r="B3801" t="b">
            <v>1</v>
          </cell>
          <cell r="E3801" t="str">
            <v>Daniel Lemaitre</v>
          </cell>
          <cell r="H3801" t="str">
            <v>salud_oral</v>
          </cell>
          <cell r="J3801" t="str">
            <v>bueno</v>
          </cell>
          <cell r="K3801" t="str">
            <v>defsi</v>
          </cell>
        </row>
        <row r="3802">
          <cell r="B3802" t="b">
            <v>1</v>
          </cell>
          <cell r="E3802" t="str">
            <v>Fredonia</v>
          </cell>
          <cell r="H3802" t="str">
            <v>laboratorio</v>
          </cell>
          <cell r="J3802" t="str">
            <v>bueno</v>
          </cell>
          <cell r="K3802" t="str">
            <v>probsi</v>
          </cell>
        </row>
        <row r="3803">
          <cell r="B3803" t="b">
            <v>1</v>
          </cell>
          <cell r="E3803" t="str">
            <v>Daniel Lemaitre</v>
          </cell>
          <cell r="H3803" t="str">
            <v>laboratorio</v>
          </cell>
          <cell r="J3803" t="str">
            <v>bueno</v>
          </cell>
          <cell r="K3803" t="str">
            <v>defsi</v>
          </cell>
        </row>
        <row r="3804">
          <cell r="B3804" t="b">
            <v>1</v>
          </cell>
          <cell r="E3804" t="str">
            <v>Daniel Lemaitre</v>
          </cell>
          <cell r="H3804" t="str">
            <v>consulta_externa</v>
          </cell>
          <cell r="J3804" t="str">
            <v>bueno</v>
          </cell>
          <cell r="K3804" t="str">
            <v>defsi</v>
          </cell>
        </row>
        <row r="3805">
          <cell r="B3805" t="b">
            <v>1</v>
          </cell>
          <cell r="E3805" t="str">
            <v>Daniel Lemaitre</v>
          </cell>
          <cell r="H3805" t="str">
            <v>salud_oral</v>
          </cell>
          <cell r="J3805" t="str">
            <v>bueno</v>
          </cell>
          <cell r="K3805" t="str">
            <v>defsi</v>
          </cell>
        </row>
        <row r="3806">
          <cell r="B3806" t="b">
            <v>1</v>
          </cell>
          <cell r="E3806" t="str">
            <v>Daniel Lemaitre</v>
          </cell>
          <cell r="H3806" t="str">
            <v>laboratorio</v>
          </cell>
          <cell r="J3806" t="str">
            <v>bueno</v>
          </cell>
          <cell r="K3806" t="str">
            <v>defsi</v>
          </cell>
        </row>
        <row r="3807">
          <cell r="B3807" t="b">
            <v>1</v>
          </cell>
          <cell r="E3807" t="str">
            <v>Daniel Lemaitre</v>
          </cell>
          <cell r="H3807" t="str">
            <v>consulta_externa</v>
          </cell>
          <cell r="J3807" t="str">
            <v>bueno</v>
          </cell>
          <cell r="K3807" t="str">
            <v>defsi</v>
          </cell>
        </row>
        <row r="3808">
          <cell r="B3808" t="b">
            <v>1</v>
          </cell>
          <cell r="E3808" t="str">
            <v>Daniel Lemaitre</v>
          </cell>
          <cell r="H3808" t="str">
            <v>salud_oral</v>
          </cell>
          <cell r="J3808" t="str">
            <v>bueno</v>
          </cell>
          <cell r="K3808" t="str">
            <v>defsi</v>
          </cell>
        </row>
        <row r="3809">
          <cell r="B3809" t="b">
            <v>1</v>
          </cell>
          <cell r="E3809" t="str">
            <v>Daniel Lemaitre</v>
          </cell>
          <cell r="H3809" t="str">
            <v>laboratorio</v>
          </cell>
          <cell r="J3809" t="str">
            <v>bueno</v>
          </cell>
          <cell r="K3809" t="str">
            <v>defsi</v>
          </cell>
        </row>
        <row r="3810">
          <cell r="B3810" t="b">
            <v>1</v>
          </cell>
          <cell r="E3810" t="str">
            <v>Daniel Lemaitre</v>
          </cell>
          <cell r="H3810" t="str">
            <v>consulta_externa</v>
          </cell>
          <cell r="J3810" t="str">
            <v>bueno</v>
          </cell>
          <cell r="K3810" t="str">
            <v>defsi</v>
          </cell>
        </row>
        <row r="3811">
          <cell r="B3811" t="b">
            <v>1</v>
          </cell>
          <cell r="E3811" t="str">
            <v>Daniel Lemaitre</v>
          </cell>
          <cell r="H3811" t="str">
            <v>salud_oral</v>
          </cell>
          <cell r="J3811" t="str">
            <v>bueno</v>
          </cell>
          <cell r="K3811" t="str">
            <v>defsi</v>
          </cell>
        </row>
        <row r="3812">
          <cell r="B3812" t="b">
            <v>1</v>
          </cell>
          <cell r="E3812" t="str">
            <v>Daniel Lemaitre</v>
          </cell>
          <cell r="H3812" t="str">
            <v>laboratorio</v>
          </cell>
          <cell r="J3812" t="str">
            <v>bueno</v>
          </cell>
          <cell r="K3812" t="str">
            <v>defsi</v>
          </cell>
        </row>
        <row r="3813">
          <cell r="B3813" t="b">
            <v>1</v>
          </cell>
          <cell r="E3813" t="str">
            <v>Daniel Lemaitre</v>
          </cell>
          <cell r="H3813" t="str">
            <v>consulta_externa</v>
          </cell>
          <cell r="J3813" t="str">
            <v>bueno</v>
          </cell>
          <cell r="K3813" t="str">
            <v>defsi</v>
          </cell>
        </row>
        <row r="3814">
          <cell r="B3814" t="b">
            <v>1</v>
          </cell>
          <cell r="E3814" t="str">
            <v>Daniel Lemaitre</v>
          </cell>
          <cell r="H3814" t="str">
            <v>salud_oral</v>
          </cell>
          <cell r="J3814" t="str">
            <v>bueno</v>
          </cell>
          <cell r="K3814" t="str">
            <v>defsi</v>
          </cell>
        </row>
        <row r="3815">
          <cell r="B3815" t="b">
            <v>1</v>
          </cell>
          <cell r="E3815" t="str">
            <v>Daniel Lemaitre</v>
          </cell>
          <cell r="H3815" t="str">
            <v>laboratorio</v>
          </cell>
          <cell r="J3815" t="str">
            <v>bueno</v>
          </cell>
          <cell r="K3815" t="str">
            <v>defsi</v>
          </cell>
        </row>
        <row r="3816">
          <cell r="B3816" t="b">
            <v>1</v>
          </cell>
          <cell r="E3816" t="str">
            <v>Los Cerros</v>
          </cell>
          <cell r="H3816" t="str">
            <v>ginecologia</v>
          </cell>
          <cell r="J3816" t="str">
            <v>bueno</v>
          </cell>
          <cell r="K3816" t="str">
            <v>defsi</v>
          </cell>
        </row>
        <row r="3817">
          <cell r="B3817" t="b">
            <v>1</v>
          </cell>
          <cell r="E3817" t="str">
            <v>Los Cerros</v>
          </cell>
          <cell r="H3817" t="str">
            <v>ginecologia</v>
          </cell>
          <cell r="J3817" t="str">
            <v>bueno</v>
          </cell>
          <cell r="K3817" t="str">
            <v>defsi</v>
          </cell>
        </row>
        <row r="3818">
          <cell r="B3818" t="b">
            <v>0</v>
          </cell>
          <cell r="E3818" t="str">
            <v>Los Cerros</v>
          </cell>
          <cell r="H3818" t="str">
            <v>ginecologia</v>
          </cell>
          <cell r="J3818" t="str">
            <v>regular</v>
          </cell>
          <cell r="K3818" t="str">
            <v>defsi</v>
          </cell>
        </row>
        <row r="3819">
          <cell r="B3819" t="b">
            <v>1</v>
          </cell>
          <cell r="E3819" t="str">
            <v>Los Cerros</v>
          </cell>
          <cell r="H3819" t="str">
            <v>ginecologia</v>
          </cell>
          <cell r="J3819" t="str">
            <v>muybueno</v>
          </cell>
          <cell r="K3819" t="str">
            <v>defsi</v>
          </cell>
        </row>
        <row r="3820">
          <cell r="B3820" t="b">
            <v>1</v>
          </cell>
          <cell r="E3820" t="str">
            <v>Los Cerros</v>
          </cell>
          <cell r="H3820" t="str">
            <v>consulta_externa</v>
          </cell>
          <cell r="J3820" t="str">
            <v>bueno</v>
          </cell>
          <cell r="K3820" t="str">
            <v>defsi</v>
          </cell>
        </row>
        <row r="3821">
          <cell r="B3821" t="b">
            <v>1</v>
          </cell>
          <cell r="E3821" t="str">
            <v>Los Cerros</v>
          </cell>
          <cell r="H3821" t="str">
            <v>salud_oral</v>
          </cell>
          <cell r="J3821" t="str">
            <v>bueno</v>
          </cell>
          <cell r="K3821" t="str">
            <v>defsi</v>
          </cell>
        </row>
        <row r="3822">
          <cell r="B3822" t="b">
            <v>1</v>
          </cell>
          <cell r="E3822" t="str">
            <v>Los Cerros</v>
          </cell>
          <cell r="H3822" t="str">
            <v>salud_oral</v>
          </cell>
          <cell r="J3822" t="str">
            <v>bueno</v>
          </cell>
          <cell r="K3822" t="str">
            <v>defsi</v>
          </cell>
        </row>
        <row r="3823">
          <cell r="B3823" t="b">
            <v>1</v>
          </cell>
          <cell r="E3823" t="str">
            <v>Los Cerros</v>
          </cell>
          <cell r="H3823" t="str">
            <v>ginecologia</v>
          </cell>
          <cell r="J3823" t="str">
            <v>bueno</v>
          </cell>
          <cell r="K3823" t="str">
            <v>defsi</v>
          </cell>
        </row>
        <row r="3824">
          <cell r="B3824" t="b">
            <v>1</v>
          </cell>
          <cell r="E3824" t="str">
            <v>Los Cerros</v>
          </cell>
          <cell r="H3824" t="str">
            <v>salud_oral</v>
          </cell>
          <cell r="J3824" t="str">
            <v>bueno</v>
          </cell>
          <cell r="K3824" t="str">
            <v>defsi</v>
          </cell>
        </row>
        <row r="3825">
          <cell r="B3825" t="b">
            <v>1</v>
          </cell>
          <cell r="E3825" t="str">
            <v>Los Cerros</v>
          </cell>
          <cell r="H3825" t="str">
            <v>consulta_externa</v>
          </cell>
          <cell r="J3825" t="str">
            <v>bueno</v>
          </cell>
          <cell r="K3825" t="str">
            <v>defsi</v>
          </cell>
        </row>
        <row r="3826">
          <cell r="B3826" t="b">
            <v>1</v>
          </cell>
          <cell r="E3826" t="str">
            <v>Los Cerros</v>
          </cell>
          <cell r="H3826" t="str">
            <v>salud_oral</v>
          </cell>
          <cell r="J3826" t="str">
            <v>bueno</v>
          </cell>
          <cell r="K3826" t="str">
            <v>defsi</v>
          </cell>
        </row>
        <row r="3827">
          <cell r="B3827" t="b">
            <v>1</v>
          </cell>
          <cell r="E3827" t="str">
            <v>Los Cerros</v>
          </cell>
          <cell r="H3827" t="str">
            <v>salud_oral</v>
          </cell>
          <cell r="J3827" t="str">
            <v>bueno</v>
          </cell>
          <cell r="K3827" t="str">
            <v>defsi</v>
          </cell>
        </row>
        <row r="3828">
          <cell r="B3828" t="b">
            <v>1</v>
          </cell>
          <cell r="E3828" t="str">
            <v>Tierra Baja</v>
          </cell>
          <cell r="H3828" t="str">
            <v>consulta_externa</v>
          </cell>
          <cell r="J3828" t="str">
            <v>bueno</v>
          </cell>
          <cell r="K3828" t="str">
            <v>defsi</v>
          </cell>
        </row>
        <row r="3829">
          <cell r="B3829" t="b">
            <v>1</v>
          </cell>
          <cell r="E3829" t="str">
            <v>Tierra Baja</v>
          </cell>
          <cell r="H3829" t="str">
            <v>laboratorio</v>
          </cell>
          <cell r="J3829" t="str">
            <v>bueno</v>
          </cell>
          <cell r="K3829" t="str">
            <v>defsi</v>
          </cell>
        </row>
        <row r="3830">
          <cell r="B3830" t="b">
            <v>1</v>
          </cell>
          <cell r="E3830" t="str">
            <v>Tierra Baja</v>
          </cell>
          <cell r="H3830" t="str">
            <v>consulta_externa</v>
          </cell>
          <cell r="J3830" t="str">
            <v>bueno</v>
          </cell>
          <cell r="K3830" t="str">
            <v>defsi</v>
          </cell>
        </row>
        <row r="3831">
          <cell r="B3831" t="b">
            <v>1</v>
          </cell>
          <cell r="E3831" t="str">
            <v>Tierra Baja</v>
          </cell>
          <cell r="H3831" t="str">
            <v>salud_oral</v>
          </cell>
          <cell r="J3831" t="str">
            <v>bueno</v>
          </cell>
          <cell r="K3831" t="str">
            <v>defsi</v>
          </cell>
        </row>
        <row r="3832">
          <cell r="B3832" t="b">
            <v>1</v>
          </cell>
          <cell r="E3832" t="str">
            <v>Tierra Baja</v>
          </cell>
          <cell r="H3832" t="str">
            <v>salud_oral</v>
          </cell>
          <cell r="J3832" t="str">
            <v>bueno</v>
          </cell>
          <cell r="K3832" t="str">
            <v>defsi</v>
          </cell>
        </row>
        <row r="3833">
          <cell r="B3833" t="b">
            <v>1</v>
          </cell>
          <cell r="E3833" t="str">
            <v>Tierra Baja</v>
          </cell>
          <cell r="H3833" t="str">
            <v>salud_oral</v>
          </cell>
          <cell r="J3833" t="str">
            <v>bueno</v>
          </cell>
          <cell r="K3833" t="str">
            <v>defsi</v>
          </cell>
        </row>
        <row r="3834">
          <cell r="B3834" t="b">
            <v>1</v>
          </cell>
          <cell r="E3834" t="str">
            <v>Tierra Baja</v>
          </cell>
          <cell r="H3834" t="str">
            <v>consulta_externa</v>
          </cell>
          <cell r="J3834" t="str">
            <v>bueno</v>
          </cell>
          <cell r="K3834" t="str">
            <v>defsi</v>
          </cell>
        </row>
        <row r="3835">
          <cell r="B3835" t="b">
            <v>1</v>
          </cell>
          <cell r="E3835" t="str">
            <v>Tierra Baja</v>
          </cell>
          <cell r="H3835" t="str">
            <v>laboratorio</v>
          </cell>
          <cell r="J3835" t="str">
            <v>bueno</v>
          </cell>
          <cell r="K3835" t="str">
            <v>defsi</v>
          </cell>
        </row>
        <row r="3836">
          <cell r="B3836" t="b">
            <v>1</v>
          </cell>
          <cell r="E3836" t="str">
            <v>Tierra Baja</v>
          </cell>
          <cell r="H3836" t="str">
            <v>consulta_externa</v>
          </cell>
          <cell r="J3836" t="str">
            <v>bueno</v>
          </cell>
          <cell r="K3836" t="str">
            <v>defsi</v>
          </cell>
        </row>
        <row r="3837">
          <cell r="B3837" t="b">
            <v>1</v>
          </cell>
          <cell r="E3837" t="str">
            <v>Tierra Baja</v>
          </cell>
          <cell r="H3837" t="str">
            <v>salud_oral</v>
          </cell>
          <cell r="J3837" t="str">
            <v>bueno</v>
          </cell>
          <cell r="K3837" t="str">
            <v>defsi</v>
          </cell>
        </row>
        <row r="3838">
          <cell r="B3838" t="b">
            <v>1</v>
          </cell>
          <cell r="E3838" t="str">
            <v>Tierra Baja</v>
          </cell>
          <cell r="H3838" t="str">
            <v>consulta_externa</v>
          </cell>
          <cell r="J3838" t="str">
            <v>bueno</v>
          </cell>
          <cell r="K3838" t="str">
            <v>defsi</v>
          </cell>
        </row>
        <row r="3839">
          <cell r="B3839" t="b">
            <v>1</v>
          </cell>
          <cell r="E3839" t="str">
            <v>Isla del Rosario</v>
          </cell>
          <cell r="H3839" t="str">
            <v>consulta_externa</v>
          </cell>
          <cell r="J3839" t="str">
            <v>muybueno</v>
          </cell>
          <cell r="K3839" t="str">
            <v>defsi</v>
          </cell>
        </row>
        <row r="3840">
          <cell r="B3840" t="b">
            <v>1</v>
          </cell>
          <cell r="E3840" t="str">
            <v>Isla del Rosario</v>
          </cell>
          <cell r="H3840" t="str">
            <v>laboratorio</v>
          </cell>
          <cell r="J3840" t="str">
            <v>muybueno</v>
          </cell>
          <cell r="K3840" t="str">
            <v>defsi</v>
          </cell>
        </row>
        <row r="3841">
          <cell r="B3841" t="b">
            <v>1</v>
          </cell>
          <cell r="E3841" t="str">
            <v>Isla del Rosario</v>
          </cell>
          <cell r="H3841" t="str">
            <v>consulta_externa</v>
          </cell>
          <cell r="J3841" t="str">
            <v>muybueno</v>
          </cell>
          <cell r="K3841" t="str">
            <v>defsi</v>
          </cell>
        </row>
        <row r="3842">
          <cell r="B3842" t="b">
            <v>1</v>
          </cell>
          <cell r="E3842" t="str">
            <v>Isla del Rosario</v>
          </cell>
          <cell r="H3842" t="str">
            <v>laboratorio</v>
          </cell>
          <cell r="J3842" t="str">
            <v>muybueno</v>
          </cell>
          <cell r="K3842" t="str">
            <v>defsi</v>
          </cell>
        </row>
        <row r="3843">
          <cell r="B3843" t="b">
            <v>1</v>
          </cell>
          <cell r="E3843" t="str">
            <v>Nuevo Bosque</v>
          </cell>
          <cell r="H3843" t="str">
            <v>consulta_externa</v>
          </cell>
          <cell r="J3843" t="str">
            <v>muybueno</v>
          </cell>
          <cell r="K3843" t="str">
            <v>defsi</v>
          </cell>
        </row>
        <row r="3844">
          <cell r="B3844" t="b">
            <v>1</v>
          </cell>
          <cell r="E3844" t="str">
            <v>Nuevo Bosque</v>
          </cell>
          <cell r="H3844" t="str">
            <v>laboratorio</v>
          </cell>
          <cell r="J3844" t="str">
            <v>muybueno</v>
          </cell>
          <cell r="K3844" t="str">
            <v>defsi</v>
          </cell>
        </row>
        <row r="3845">
          <cell r="B3845" t="b">
            <v>1</v>
          </cell>
          <cell r="E3845" t="str">
            <v>Nuevo Bosque</v>
          </cell>
          <cell r="H3845" t="str">
            <v>laboratorio</v>
          </cell>
          <cell r="J3845" t="str">
            <v>bueno</v>
          </cell>
          <cell r="K3845" t="str">
            <v>defsi</v>
          </cell>
        </row>
        <row r="3846">
          <cell r="B3846" t="b">
            <v>1</v>
          </cell>
          <cell r="E3846" t="str">
            <v>Nuevo Bosque</v>
          </cell>
          <cell r="H3846" t="str">
            <v>consulta_externa</v>
          </cell>
          <cell r="J3846" t="str">
            <v>bueno</v>
          </cell>
          <cell r="K3846" t="str">
            <v>defsi</v>
          </cell>
        </row>
        <row r="3847">
          <cell r="B3847" t="b">
            <v>1</v>
          </cell>
          <cell r="E3847" t="str">
            <v>Nuevo Bosque</v>
          </cell>
          <cell r="H3847" t="str">
            <v>consulta_externa</v>
          </cell>
          <cell r="J3847" t="str">
            <v>bueno</v>
          </cell>
          <cell r="K3847" t="str">
            <v>defsi</v>
          </cell>
        </row>
        <row r="3848">
          <cell r="B3848" t="b">
            <v>1</v>
          </cell>
          <cell r="E3848" t="str">
            <v>Los Cerros</v>
          </cell>
          <cell r="H3848" t="str">
            <v>salud_oral</v>
          </cell>
          <cell r="J3848" t="str">
            <v>bueno</v>
          </cell>
          <cell r="K3848" t="str">
            <v>defsi</v>
          </cell>
        </row>
        <row r="3849">
          <cell r="B3849" t="b">
            <v>1</v>
          </cell>
          <cell r="E3849" t="str">
            <v>Los Cerros</v>
          </cell>
          <cell r="H3849" t="str">
            <v>salud_oral</v>
          </cell>
          <cell r="J3849" t="str">
            <v>bueno</v>
          </cell>
          <cell r="K3849" t="str">
            <v>defsi</v>
          </cell>
        </row>
        <row r="3850">
          <cell r="B3850" t="b">
            <v>1</v>
          </cell>
          <cell r="E3850" t="str">
            <v>Los Cerros</v>
          </cell>
          <cell r="H3850" t="str">
            <v>laboratorio</v>
          </cell>
          <cell r="J3850" t="str">
            <v>bueno</v>
          </cell>
          <cell r="K3850" t="str">
            <v>defsi</v>
          </cell>
        </row>
        <row r="3851">
          <cell r="B3851" t="b">
            <v>1</v>
          </cell>
          <cell r="E3851" t="str">
            <v>Los Cerros</v>
          </cell>
          <cell r="H3851" t="str">
            <v>consulta_externa</v>
          </cell>
          <cell r="J3851" t="str">
            <v>bueno</v>
          </cell>
          <cell r="K3851" t="str">
            <v>defsi</v>
          </cell>
        </row>
        <row r="3852">
          <cell r="B3852" t="b">
            <v>1</v>
          </cell>
          <cell r="E3852" t="str">
            <v>Tierra Baja</v>
          </cell>
          <cell r="H3852" t="str">
            <v>laboratorio</v>
          </cell>
          <cell r="J3852" t="str">
            <v>bueno</v>
          </cell>
          <cell r="K3852" t="str">
            <v>defsi</v>
          </cell>
        </row>
        <row r="3853">
          <cell r="B3853" t="b">
            <v>1</v>
          </cell>
          <cell r="E3853" t="str">
            <v>Tierra Baja</v>
          </cell>
          <cell r="H3853" t="str">
            <v>laboratorio</v>
          </cell>
          <cell r="J3853" t="str">
            <v>bueno</v>
          </cell>
          <cell r="K3853" t="str">
            <v>defsi</v>
          </cell>
        </row>
        <row r="3854">
          <cell r="B3854" t="b">
            <v>1</v>
          </cell>
          <cell r="E3854" t="str">
            <v>Tierra Baja</v>
          </cell>
          <cell r="H3854" t="str">
            <v>laboratorio</v>
          </cell>
          <cell r="J3854" t="str">
            <v>bueno</v>
          </cell>
          <cell r="K3854" t="str">
            <v>defsi</v>
          </cell>
        </row>
        <row r="3855">
          <cell r="B3855" t="b">
            <v>1</v>
          </cell>
          <cell r="E3855" t="str">
            <v>Tierra Baja</v>
          </cell>
          <cell r="H3855" t="str">
            <v>consulta_externa</v>
          </cell>
          <cell r="J3855" t="str">
            <v>bueno</v>
          </cell>
          <cell r="K3855" t="str">
            <v>defsi</v>
          </cell>
        </row>
        <row r="3856">
          <cell r="B3856" t="b">
            <v>1</v>
          </cell>
          <cell r="E3856" t="str">
            <v>Tierra Baja</v>
          </cell>
          <cell r="H3856" t="str">
            <v>salud_oral</v>
          </cell>
          <cell r="J3856" t="str">
            <v>bueno</v>
          </cell>
          <cell r="K3856" t="str">
            <v>probsi</v>
          </cell>
        </row>
        <row r="3857">
          <cell r="B3857" t="b">
            <v>1</v>
          </cell>
          <cell r="E3857" t="str">
            <v>Tierra Baja</v>
          </cell>
          <cell r="H3857" t="str">
            <v>consulta_externa</v>
          </cell>
          <cell r="J3857" t="str">
            <v>bueno</v>
          </cell>
          <cell r="K3857" t="str">
            <v>probsi</v>
          </cell>
        </row>
        <row r="3858">
          <cell r="B3858" t="b">
            <v>1</v>
          </cell>
          <cell r="E3858" t="str">
            <v>Daniel Lemaitre</v>
          </cell>
          <cell r="H3858" t="str">
            <v>consulta_externa</v>
          </cell>
          <cell r="J3858" t="str">
            <v>bueno</v>
          </cell>
          <cell r="K3858" t="str">
            <v>defsi</v>
          </cell>
        </row>
        <row r="3859">
          <cell r="B3859" t="b">
            <v>1</v>
          </cell>
          <cell r="E3859" t="str">
            <v>Daniel Lemaitre</v>
          </cell>
          <cell r="H3859" t="str">
            <v>salud_oral</v>
          </cell>
          <cell r="J3859" t="str">
            <v>bueno</v>
          </cell>
          <cell r="K3859" t="str">
            <v>defsi</v>
          </cell>
        </row>
        <row r="3860">
          <cell r="B3860" t="b">
            <v>1</v>
          </cell>
          <cell r="E3860" t="str">
            <v>Daniel Lemaitre</v>
          </cell>
          <cell r="H3860" t="str">
            <v>laboratorio</v>
          </cell>
          <cell r="J3860" t="str">
            <v>bueno</v>
          </cell>
          <cell r="K3860" t="str">
            <v>defsi</v>
          </cell>
        </row>
        <row r="3861">
          <cell r="B3861" t="b">
            <v>1</v>
          </cell>
          <cell r="E3861" t="str">
            <v>Daniel Lemaitre</v>
          </cell>
          <cell r="H3861" t="str">
            <v>consulta_externa</v>
          </cell>
          <cell r="J3861" t="str">
            <v>bueno</v>
          </cell>
          <cell r="K3861" t="str">
            <v>defsi</v>
          </cell>
        </row>
        <row r="3862">
          <cell r="B3862" t="b">
            <v>1</v>
          </cell>
          <cell r="E3862" t="str">
            <v>Daniel Lemaitre</v>
          </cell>
          <cell r="H3862" t="str">
            <v>salud_oral</v>
          </cell>
          <cell r="J3862" t="str">
            <v>bueno</v>
          </cell>
          <cell r="K3862" t="str">
            <v>defsi</v>
          </cell>
        </row>
        <row r="3863">
          <cell r="B3863" t="b">
            <v>1</v>
          </cell>
          <cell r="E3863" t="str">
            <v>Daniel Lemaitre</v>
          </cell>
          <cell r="H3863" t="str">
            <v>laboratorio</v>
          </cell>
          <cell r="J3863" t="str">
            <v>bueno</v>
          </cell>
          <cell r="K3863" t="str">
            <v>defsi</v>
          </cell>
        </row>
        <row r="3864">
          <cell r="B3864" t="b">
            <v>1</v>
          </cell>
          <cell r="E3864" t="str">
            <v>Daniel Lemaitre</v>
          </cell>
          <cell r="H3864" t="str">
            <v>consulta_externa</v>
          </cell>
          <cell r="J3864" t="str">
            <v>bueno</v>
          </cell>
          <cell r="K3864" t="str">
            <v>defsi</v>
          </cell>
        </row>
        <row r="3865">
          <cell r="B3865" t="b">
            <v>1</v>
          </cell>
          <cell r="E3865" t="str">
            <v>Daniel Lemaitre</v>
          </cell>
          <cell r="H3865" t="str">
            <v>salud_oral</v>
          </cell>
          <cell r="J3865" t="str">
            <v>bueno</v>
          </cell>
          <cell r="K3865" t="str">
            <v>defsi</v>
          </cell>
        </row>
        <row r="3866">
          <cell r="B3866" t="b">
            <v>1</v>
          </cell>
          <cell r="E3866" t="str">
            <v>Daniel Lemaitre</v>
          </cell>
          <cell r="H3866" t="str">
            <v>laboratorio</v>
          </cell>
          <cell r="J3866" t="str">
            <v>bueno</v>
          </cell>
          <cell r="K3866" t="str">
            <v>defsi</v>
          </cell>
        </row>
        <row r="3867">
          <cell r="B3867" t="b">
            <v>1</v>
          </cell>
          <cell r="E3867" t="str">
            <v>Daniel Lemaitre</v>
          </cell>
          <cell r="H3867" t="str">
            <v>consulta_externa</v>
          </cell>
          <cell r="J3867" t="str">
            <v>bueno</v>
          </cell>
          <cell r="K3867" t="str">
            <v>defsi</v>
          </cell>
        </row>
        <row r="3868">
          <cell r="B3868" t="b">
            <v>1</v>
          </cell>
          <cell r="E3868" t="str">
            <v>Daniel Lemaitre</v>
          </cell>
          <cell r="H3868" t="str">
            <v>salud_oral</v>
          </cell>
          <cell r="J3868" t="str">
            <v>bueno</v>
          </cell>
          <cell r="K3868" t="str">
            <v>defsi</v>
          </cell>
        </row>
        <row r="3869">
          <cell r="B3869" t="b">
            <v>1</v>
          </cell>
          <cell r="E3869" t="str">
            <v>Daniel Lemaitre</v>
          </cell>
          <cell r="H3869" t="str">
            <v>laboratorio</v>
          </cell>
          <cell r="J3869" t="str">
            <v>bueno</v>
          </cell>
          <cell r="K3869" t="str">
            <v>defsi</v>
          </cell>
        </row>
        <row r="3870">
          <cell r="B3870" t="b">
            <v>1</v>
          </cell>
          <cell r="E3870" t="str">
            <v>Daniel Lemaitre</v>
          </cell>
          <cell r="H3870" t="str">
            <v>consulta_externa</v>
          </cell>
          <cell r="J3870" t="str">
            <v>bueno</v>
          </cell>
          <cell r="K3870" t="str">
            <v>defsi</v>
          </cell>
        </row>
        <row r="3871">
          <cell r="B3871" t="b">
            <v>1</v>
          </cell>
          <cell r="E3871" t="str">
            <v>Daniel Lemaitre</v>
          </cell>
          <cell r="H3871" t="str">
            <v>salud_oral</v>
          </cell>
          <cell r="J3871" t="str">
            <v>bueno</v>
          </cell>
          <cell r="K3871" t="str">
            <v>defsi</v>
          </cell>
        </row>
        <row r="3872">
          <cell r="B3872" t="b">
            <v>1</v>
          </cell>
          <cell r="E3872" t="str">
            <v>Daniel Lemaitre</v>
          </cell>
          <cell r="H3872" t="str">
            <v>laboratorio</v>
          </cell>
          <cell r="J3872" t="str">
            <v>bueno</v>
          </cell>
          <cell r="K3872" t="str">
            <v>defsi</v>
          </cell>
        </row>
        <row r="3873">
          <cell r="B3873" t="b">
            <v>1</v>
          </cell>
          <cell r="E3873" t="str">
            <v>Daniel Lemaitre</v>
          </cell>
          <cell r="H3873" t="str">
            <v>consulta_externa</v>
          </cell>
          <cell r="J3873" t="str">
            <v>bueno</v>
          </cell>
          <cell r="K3873" t="str">
            <v>defsi</v>
          </cell>
        </row>
        <row r="3874">
          <cell r="B3874" t="b">
            <v>1</v>
          </cell>
          <cell r="E3874" t="str">
            <v>Daniel Lemaitre</v>
          </cell>
          <cell r="H3874" t="str">
            <v>salud_oral</v>
          </cell>
          <cell r="J3874" t="str">
            <v>bueno</v>
          </cell>
          <cell r="K3874" t="str">
            <v>defsi</v>
          </cell>
        </row>
        <row r="3875">
          <cell r="B3875" t="b">
            <v>1</v>
          </cell>
          <cell r="E3875" t="str">
            <v>Daniel Lemaitre</v>
          </cell>
          <cell r="H3875" t="str">
            <v>laboratorio</v>
          </cell>
          <cell r="J3875" t="str">
            <v>bueno</v>
          </cell>
          <cell r="K3875" t="str">
            <v>defsi</v>
          </cell>
        </row>
        <row r="3876">
          <cell r="B3876" t="b">
            <v>1</v>
          </cell>
          <cell r="E3876" t="str">
            <v>Los Cerros</v>
          </cell>
          <cell r="H3876" t="str">
            <v>ecografias</v>
          </cell>
          <cell r="J3876" t="str">
            <v>bueno</v>
          </cell>
          <cell r="K3876" t="str">
            <v>defsi</v>
          </cell>
        </row>
        <row r="3877">
          <cell r="B3877" t="b">
            <v>1</v>
          </cell>
          <cell r="E3877" t="str">
            <v>Los Cerros</v>
          </cell>
          <cell r="H3877" t="str">
            <v>consulta_externa</v>
          </cell>
          <cell r="J3877" t="str">
            <v>bueno</v>
          </cell>
          <cell r="K3877" t="str">
            <v>defsi</v>
          </cell>
        </row>
        <row r="3878">
          <cell r="B3878" t="b">
            <v>1</v>
          </cell>
          <cell r="E3878" t="str">
            <v>Los Cerros</v>
          </cell>
          <cell r="H3878" t="str">
            <v>laboratorio</v>
          </cell>
          <cell r="J3878" t="str">
            <v>bueno</v>
          </cell>
          <cell r="K3878" t="str">
            <v>defsi</v>
          </cell>
        </row>
        <row r="3879">
          <cell r="B3879" t="b">
            <v>1</v>
          </cell>
          <cell r="E3879" t="str">
            <v>Los Cerros</v>
          </cell>
          <cell r="H3879" t="str">
            <v>laboratorio</v>
          </cell>
          <cell r="J3879" t="str">
            <v>muybueno</v>
          </cell>
          <cell r="K3879" t="str">
            <v>defsi</v>
          </cell>
        </row>
        <row r="3880">
          <cell r="B3880" t="b">
            <v>1</v>
          </cell>
          <cell r="E3880" t="str">
            <v>Los Cerros</v>
          </cell>
          <cell r="H3880" t="str">
            <v>ecografias</v>
          </cell>
          <cell r="J3880" t="str">
            <v>bueno</v>
          </cell>
          <cell r="K3880" t="str">
            <v>defsi</v>
          </cell>
        </row>
        <row r="3881">
          <cell r="B3881" t="b">
            <v>1</v>
          </cell>
          <cell r="E3881" t="str">
            <v>Bosque</v>
          </cell>
          <cell r="H3881" t="str">
            <v>consulta_externa</v>
          </cell>
          <cell r="J3881" t="str">
            <v>bueno</v>
          </cell>
          <cell r="K3881" t="str">
            <v>defsi</v>
          </cell>
        </row>
        <row r="3882">
          <cell r="B3882" t="b">
            <v>1</v>
          </cell>
          <cell r="E3882" t="str">
            <v>Bosque</v>
          </cell>
          <cell r="H3882" t="str">
            <v>salud_oral</v>
          </cell>
          <cell r="J3882" t="str">
            <v>bueno</v>
          </cell>
          <cell r="K3882" t="str">
            <v>defsi</v>
          </cell>
        </row>
        <row r="3883">
          <cell r="B3883" t="b">
            <v>1</v>
          </cell>
          <cell r="E3883" t="str">
            <v>Bosque</v>
          </cell>
          <cell r="H3883" t="str">
            <v>laboratorio</v>
          </cell>
          <cell r="J3883" t="str">
            <v>bueno</v>
          </cell>
          <cell r="K3883" t="str">
            <v>defsi</v>
          </cell>
        </row>
        <row r="3884">
          <cell r="B3884" t="b">
            <v>1</v>
          </cell>
          <cell r="E3884" t="str">
            <v>Bosque</v>
          </cell>
          <cell r="H3884" t="str">
            <v>consulta_externa</v>
          </cell>
          <cell r="J3884" t="str">
            <v>bueno</v>
          </cell>
          <cell r="K3884" t="str">
            <v>defsi</v>
          </cell>
        </row>
        <row r="3885">
          <cell r="B3885" t="b">
            <v>1</v>
          </cell>
          <cell r="E3885" t="str">
            <v>Bosque</v>
          </cell>
          <cell r="H3885" t="str">
            <v>salud_oral</v>
          </cell>
          <cell r="J3885" t="str">
            <v>bueno</v>
          </cell>
          <cell r="K3885" t="str">
            <v>defsi</v>
          </cell>
        </row>
        <row r="3886">
          <cell r="B3886" t="b">
            <v>1</v>
          </cell>
          <cell r="E3886" t="str">
            <v>Bosque</v>
          </cell>
          <cell r="H3886" t="str">
            <v>laboratorio</v>
          </cell>
          <cell r="J3886" t="str">
            <v>bueno</v>
          </cell>
          <cell r="K3886" t="str">
            <v>defsi</v>
          </cell>
        </row>
        <row r="3887">
          <cell r="B3887" t="b">
            <v>1</v>
          </cell>
          <cell r="E3887" t="str">
            <v>Punta Arena</v>
          </cell>
          <cell r="H3887" t="str">
            <v>consulta_externa</v>
          </cell>
          <cell r="J3887" t="str">
            <v>bueno</v>
          </cell>
          <cell r="K3887" t="str">
            <v>defsi</v>
          </cell>
        </row>
        <row r="3888">
          <cell r="B3888" t="b">
            <v>1</v>
          </cell>
          <cell r="E3888" t="str">
            <v>Punta Arena</v>
          </cell>
          <cell r="H3888" t="str">
            <v>consulta_externa</v>
          </cell>
          <cell r="J3888" t="str">
            <v>bueno</v>
          </cell>
          <cell r="K3888" t="str">
            <v>defsi</v>
          </cell>
        </row>
        <row r="3889">
          <cell r="B3889" t="b">
            <v>1</v>
          </cell>
          <cell r="E3889" t="str">
            <v>Punta Arena</v>
          </cell>
          <cell r="H3889" t="str">
            <v>salud_oral</v>
          </cell>
          <cell r="J3889" t="str">
            <v>bueno</v>
          </cell>
          <cell r="K3889" t="str">
            <v>defsi</v>
          </cell>
        </row>
        <row r="3890">
          <cell r="B3890" t="b">
            <v>1</v>
          </cell>
          <cell r="E3890" t="str">
            <v>Santa Ana</v>
          </cell>
          <cell r="H3890" t="str">
            <v>consulta_externa</v>
          </cell>
          <cell r="J3890" t="str">
            <v>muybueno</v>
          </cell>
          <cell r="K3890" t="str">
            <v>defsi</v>
          </cell>
        </row>
        <row r="3891">
          <cell r="B3891" t="b">
            <v>1</v>
          </cell>
          <cell r="E3891" t="str">
            <v>Santa Ana</v>
          </cell>
          <cell r="H3891" t="str">
            <v>laboratorio</v>
          </cell>
          <cell r="J3891" t="str">
            <v>muybueno</v>
          </cell>
          <cell r="K3891" t="str">
            <v>defsi</v>
          </cell>
        </row>
        <row r="3892">
          <cell r="B3892" t="b">
            <v>1</v>
          </cell>
          <cell r="E3892" t="str">
            <v>Bosque</v>
          </cell>
          <cell r="H3892" t="str">
            <v>consulta_externa</v>
          </cell>
          <cell r="J3892" t="str">
            <v>bueno</v>
          </cell>
          <cell r="K3892" t="str">
            <v>defsi</v>
          </cell>
        </row>
        <row r="3893">
          <cell r="B3893" t="b">
            <v>1</v>
          </cell>
          <cell r="E3893" t="str">
            <v>Bosque</v>
          </cell>
          <cell r="H3893" t="str">
            <v>salud_oral</v>
          </cell>
          <cell r="J3893" t="str">
            <v>bueno</v>
          </cell>
          <cell r="K3893" t="str">
            <v>defsi</v>
          </cell>
        </row>
        <row r="3894">
          <cell r="B3894" t="b">
            <v>1</v>
          </cell>
          <cell r="E3894" t="str">
            <v>Bosque</v>
          </cell>
          <cell r="H3894" t="str">
            <v>laboratorio</v>
          </cell>
          <cell r="J3894" t="str">
            <v>bueno</v>
          </cell>
          <cell r="K3894" t="str">
            <v>defsi</v>
          </cell>
        </row>
        <row r="3895">
          <cell r="B3895" t="b">
            <v>1</v>
          </cell>
          <cell r="E3895" t="str">
            <v>Bosque</v>
          </cell>
          <cell r="H3895" t="str">
            <v>consulta_externa</v>
          </cell>
          <cell r="J3895" t="str">
            <v>bueno</v>
          </cell>
          <cell r="K3895" t="str">
            <v>defsi</v>
          </cell>
        </row>
        <row r="3896">
          <cell r="B3896" t="b">
            <v>1</v>
          </cell>
          <cell r="E3896" t="str">
            <v>Punta Arena</v>
          </cell>
          <cell r="H3896" t="str">
            <v>consulta_externa</v>
          </cell>
          <cell r="J3896" t="str">
            <v>bueno</v>
          </cell>
          <cell r="K3896" t="str">
            <v>defsi</v>
          </cell>
        </row>
        <row r="3897">
          <cell r="B3897" t="b">
            <v>1</v>
          </cell>
          <cell r="E3897" t="str">
            <v>Bosque</v>
          </cell>
          <cell r="H3897" t="str">
            <v>laboratorio</v>
          </cell>
          <cell r="J3897" t="str">
            <v>bueno</v>
          </cell>
          <cell r="K3897" t="str">
            <v>defsi</v>
          </cell>
        </row>
        <row r="3898">
          <cell r="B3898" t="b">
            <v>1</v>
          </cell>
          <cell r="E3898" t="str">
            <v>Bosque</v>
          </cell>
          <cell r="H3898" t="str">
            <v>salud_oral</v>
          </cell>
          <cell r="J3898" t="str">
            <v>bueno</v>
          </cell>
          <cell r="K3898" t="str">
            <v>defsi</v>
          </cell>
        </row>
        <row r="3899">
          <cell r="B3899" t="b">
            <v>1</v>
          </cell>
          <cell r="E3899" t="str">
            <v>Bosque</v>
          </cell>
          <cell r="H3899" t="str">
            <v>consulta_externa</v>
          </cell>
          <cell r="J3899" t="str">
            <v>bueno</v>
          </cell>
          <cell r="K3899" t="str">
            <v>defsi</v>
          </cell>
        </row>
        <row r="3900">
          <cell r="B3900" t="b">
            <v>1</v>
          </cell>
          <cell r="E3900" t="str">
            <v>Bosque</v>
          </cell>
          <cell r="H3900" t="str">
            <v>salud_oral</v>
          </cell>
          <cell r="J3900" t="str">
            <v>bueno</v>
          </cell>
          <cell r="K3900" t="str">
            <v>defsi</v>
          </cell>
        </row>
        <row r="3901">
          <cell r="B3901" t="b">
            <v>1</v>
          </cell>
          <cell r="E3901" t="str">
            <v>Bosque</v>
          </cell>
          <cell r="H3901" t="str">
            <v>laboratorio</v>
          </cell>
          <cell r="J3901" t="str">
            <v>bueno</v>
          </cell>
          <cell r="K3901" t="str">
            <v>defsi</v>
          </cell>
        </row>
        <row r="3902">
          <cell r="B3902" t="b">
            <v>1</v>
          </cell>
          <cell r="E3902" t="str">
            <v>Santa Ana</v>
          </cell>
          <cell r="H3902" t="str">
            <v>consulta_externa</v>
          </cell>
          <cell r="J3902" t="str">
            <v>muybueno</v>
          </cell>
          <cell r="K3902" t="str">
            <v>defsi</v>
          </cell>
        </row>
        <row r="3903">
          <cell r="B3903" t="b">
            <v>1</v>
          </cell>
          <cell r="E3903" t="str">
            <v>Santa Ana</v>
          </cell>
          <cell r="H3903" t="str">
            <v>laboratorio</v>
          </cell>
          <cell r="J3903" t="str">
            <v>muybueno</v>
          </cell>
          <cell r="K3903" t="str">
            <v>defsi</v>
          </cell>
        </row>
        <row r="3904">
          <cell r="B3904" t="b">
            <v>1</v>
          </cell>
          <cell r="E3904" t="str">
            <v>Punta Arena</v>
          </cell>
          <cell r="H3904" t="str">
            <v>consulta_externa</v>
          </cell>
          <cell r="J3904" t="str">
            <v>bueno</v>
          </cell>
          <cell r="K3904" t="str">
            <v>probsi</v>
          </cell>
        </row>
        <row r="3905">
          <cell r="B3905" t="b">
            <v>1</v>
          </cell>
          <cell r="E3905" t="str">
            <v>Punta Arena</v>
          </cell>
          <cell r="H3905" t="str">
            <v>consulta_externa</v>
          </cell>
          <cell r="J3905" t="str">
            <v>bueno</v>
          </cell>
          <cell r="K3905" t="str">
            <v>probsi</v>
          </cell>
        </row>
        <row r="3906">
          <cell r="B3906" t="b">
            <v>1</v>
          </cell>
          <cell r="E3906" t="str">
            <v>Punta Arena</v>
          </cell>
          <cell r="H3906" t="str">
            <v>salud_oral</v>
          </cell>
          <cell r="J3906" t="str">
            <v>bueno</v>
          </cell>
          <cell r="K3906" t="str">
            <v>probsi</v>
          </cell>
        </row>
        <row r="3907">
          <cell r="B3907" t="b">
            <v>0</v>
          </cell>
          <cell r="E3907" t="str">
            <v>Punta Arena</v>
          </cell>
          <cell r="H3907" t="str">
            <v>laboratorio</v>
          </cell>
          <cell r="J3907" t="str">
            <v>regular</v>
          </cell>
          <cell r="K3907" t="str">
            <v>probsi</v>
          </cell>
        </row>
        <row r="3908">
          <cell r="B3908" t="b">
            <v>1</v>
          </cell>
          <cell r="E3908" t="str">
            <v>Bosque</v>
          </cell>
          <cell r="H3908" t="str">
            <v>consulta_externa</v>
          </cell>
          <cell r="J3908" t="str">
            <v>bueno</v>
          </cell>
          <cell r="K3908" t="str">
            <v>defsi</v>
          </cell>
        </row>
        <row r="3909">
          <cell r="B3909" t="b">
            <v>1</v>
          </cell>
          <cell r="E3909" t="str">
            <v>Bosque</v>
          </cell>
          <cell r="H3909" t="str">
            <v>salud_oral</v>
          </cell>
          <cell r="J3909" t="str">
            <v>bueno</v>
          </cell>
          <cell r="K3909" t="str">
            <v>defsi</v>
          </cell>
        </row>
        <row r="3910">
          <cell r="B3910" t="b">
            <v>1</v>
          </cell>
          <cell r="E3910" t="str">
            <v>Bosque</v>
          </cell>
          <cell r="H3910" t="str">
            <v>laboratorio</v>
          </cell>
          <cell r="J3910" t="str">
            <v>bueno</v>
          </cell>
          <cell r="K3910" t="str">
            <v>defsi</v>
          </cell>
        </row>
        <row r="3911">
          <cell r="B3911" t="b">
            <v>1</v>
          </cell>
          <cell r="E3911" t="str">
            <v>Punta Arena</v>
          </cell>
          <cell r="H3911" t="str">
            <v>consulta_externa</v>
          </cell>
          <cell r="J3911" t="str">
            <v>bueno</v>
          </cell>
          <cell r="K3911" t="str">
            <v>defsi</v>
          </cell>
        </row>
        <row r="3912">
          <cell r="B3912" t="b">
            <v>1</v>
          </cell>
          <cell r="E3912" t="str">
            <v>Punta Arena</v>
          </cell>
          <cell r="H3912" t="str">
            <v>salud_oral</v>
          </cell>
          <cell r="J3912" t="str">
            <v>bueno</v>
          </cell>
          <cell r="K3912" t="str">
            <v>defsi</v>
          </cell>
        </row>
        <row r="3913">
          <cell r="B3913" t="b">
            <v>1</v>
          </cell>
          <cell r="E3913" t="str">
            <v>Bosque</v>
          </cell>
          <cell r="H3913" t="str">
            <v>consulta_externa</v>
          </cell>
          <cell r="J3913" t="str">
            <v>bueno</v>
          </cell>
          <cell r="K3913" t="str">
            <v>defsi</v>
          </cell>
        </row>
        <row r="3914">
          <cell r="B3914" t="b">
            <v>1</v>
          </cell>
          <cell r="E3914" t="str">
            <v>Bosque</v>
          </cell>
          <cell r="H3914" t="str">
            <v>salud_oral</v>
          </cell>
          <cell r="J3914" t="str">
            <v>bueno</v>
          </cell>
          <cell r="K3914" t="str">
            <v>defsi</v>
          </cell>
        </row>
        <row r="3915">
          <cell r="B3915" t="b">
            <v>1</v>
          </cell>
          <cell r="E3915" t="str">
            <v>Bosque</v>
          </cell>
          <cell r="H3915" t="str">
            <v>laboratorio</v>
          </cell>
          <cell r="J3915" t="str">
            <v>bueno</v>
          </cell>
          <cell r="K3915" t="str">
            <v>defsi</v>
          </cell>
        </row>
        <row r="3916">
          <cell r="B3916" t="b">
            <v>1</v>
          </cell>
          <cell r="E3916" t="str">
            <v>Santa Ana</v>
          </cell>
          <cell r="H3916" t="str">
            <v>consulta_externa</v>
          </cell>
          <cell r="J3916" t="str">
            <v>muybueno</v>
          </cell>
          <cell r="K3916" t="str">
            <v>defsi</v>
          </cell>
        </row>
        <row r="3917">
          <cell r="B3917" t="b">
            <v>1</v>
          </cell>
          <cell r="E3917" t="str">
            <v>Santa Ana</v>
          </cell>
          <cell r="H3917" t="str">
            <v>laboratorio</v>
          </cell>
          <cell r="J3917" t="str">
            <v>muybueno</v>
          </cell>
          <cell r="K3917" t="str">
            <v>defsi</v>
          </cell>
        </row>
        <row r="3918">
          <cell r="B3918" t="b">
            <v>1</v>
          </cell>
          <cell r="E3918" t="str">
            <v>Santa Ana</v>
          </cell>
          <cell r="H3918" t="str">
            <v>salud_oral</v>
          </cell>
          <cell r="J3918" t="str">
            <v>muybueno</v>
          </cell>
          <cell r="K3918" t="str">
            <v>defsi</v>
          </cell>
        </row>
        <row r="3919">
          <cell r="B3919" t="b">
            <v>1</v>
          </cell>
          <cell r="E3919" t="str">
            <v>Punta Arena</v>
          </cell>
          <cell r="H3919" t="str">
            <v>consulta_externa</v>
          </cell>
          <cell r="J3919" t="str">
            <v>bueno</v>
          </cell>
          <cell r="K3919" t="str">
            <v>defsi</v>
          </cell>
        </row>
        <row r="3920">
          <cell r="B3920" t="b">
            <v>1</v>
          </cell>
          <cell r="E3920" t="str">
            <v>Punta Arena</v>
          </cell>
          <cell r="H3920" t="str">
            <v>salud_oral</v>
          </cell>
          <cell r="J3920" t="str">
            <v>bueno</v>
          </cell>
          <cell r="K3920" t="str">
            <v>defsi</v>
          </cell>
        </row>
        <row r="3921">
          <cell r="B3921" t="b">
            <v>1</v>
          </cell>
          <cell r="E3921" t="str">
            <v>Bosque</v>
          </cell>
          <cell r="H3921" t="str">
            <v>consulta_externa</v>
          </cell>
          <cell r="J3921" t="str">
            <v>bueno</v>
          </cell>
          <cell r="K3921" t="str">
            <v>defsi</v>
          </cell>
        </row>
        <row r="3922">
          <cell r="B3922" t="b">
            <v>1</v>
          </cell>
          <cell r="E3922" t="str">
            <v>Bosque</v>
          </cell>
          <cell r="H3922" t="str">
            <v>salud_oral</v>
          </cell>
          <cell r="J3922" t="str">
            <v>bueno</v>
          </cell>
          <cell r="K3922" t="str">
            <v>defsi</v>
          </cell>
        </row>
        <row r="3923">
          <cell r="B3923" t="b">
            <v>1</v>
          </cell>
          <cell r="E3923" t="str">
            <v>Bosque</v>
          </cell>
          <cell r="H3923" t="str">
            <v>laboratorio</v>
          </cell>
          <cell r="J3923" t="str">
            <v>bueno</v>
          </cell>
          <cell r="K3923" t="str">
            <v>defsi</v>
          </cell>
        </row>
        <row r="3924">
          <cell r="B3924" t="b">
            <v>1</v>
          </cell>
          <cell r="E3924" t="str">
            <v>Punta Arena</v>
          </cell>
          <cell r="H3924" t="str">
            <v>consulta_externa</v>
          </cell>
          <cell r="J3924" t="str">
            <v>bueno</v>
          </cell>
          <cell r="K3924" t="str">
            <v>defsi</v>
          </cell>
        </row>
        <row r="3925">
          <cell r="B3925" t="b">
            <v>1</v>
          </cell>
          <cell r="E3925" t="str">
            <v>Punta Arena</v>
          </cell>
          <cell r="H3925" t="str">
            <v>salud_oral</v>
          </cell>
          <cell r="J3925" t="str">
            <v>bueno</v>
          </cell>
          <cell r="K3925" t="str">
            <v>defsi</v>
          </cell>
        </row>
        <row r="3926">
          <cell r="B3926" t="b">
            <v>1</v>
          </cell>
          <cell r="E3926" t="str">
            <v>Punta Arena</v>
          </cell>
          <cell r="H3926" t="str">
            <v>consulta_externa</v>
          </cell>
          <cell r="J3926" t="str">
            <v>bueno</v>
          </cell>
          <cell r="K3926" t="str">
            <v>defsi</v>
          </cell>
        </row>
        <row r="3927">
          <cell r="B3927" t="b">
            <v>1</v>
          </cell>
          <cell r="E3927" t="str">
            <v>Punta Arena</v>
          </cell>
          <cell r="H3927" t="str">
            <v>consulta_externa</v>
          </cell>
          <cell r="J3927" t="str">
            <v>bueno</v>
          </cell>
          <cell r="K3927" t="str">
            <v>defsi</v>
          </cell>
        </row>
        <row r="3928">
          <cell r="B3928" t="b">
            <v>1</v>
          </cell>
          <cell r="E3928" t="str">
            <v>Bosque</v>
          </cell>
          <cell r="H3928" t="str">
            <v>consulta_externa</v>
          </cell>
          <cell r="J3928" t="str">
            <v>bueno</v>
          </cell>
          <cell r="K3928" t="str">
            <v>defsi</v>
          </cell>
        </row>
        <row r="3929">
          <cell r="B3929" t="b">
            <v>1</v>
          </cell>
          <cell r="E3929" t="str">
            <v>Punta Arena</v>
          </cell>
          <cell r="H3929" t="str">
            <v>consulta_externa</v>
          </cell>
          <cell r="J3929" t="str">
            <v>bueno</v>
          </cell>
          <cell r="K3929" t="str">
            <v>probsi</v>
          </cell>
        </row>
        <row r="3930">
          <cell r="B3930" t="b">
            <v>1</v>
          </cell>
          <cell r="E3930" t="str">
            <v>Punta Arena</v>
          </cell>
          <cell r="H3930" t="str">
            <v>consulta_externa</v>
          </cell>
          <cell r="J3930" t="str">
            <v>bueno</v>
          </cell>
          <cell r="K3930" t="str">
            <v>probsi</v>
          </cell>
        </row>
        <row r="3931">
          <cell r="B3931" t="b">
            <v>1</v>
          </cell>
          <cell r="E3931" t="str">
            <v>Bosque</v>
          </cell>
          <cell r="H3931" t="str">
            <v>salud_oral</v>
          </cell>
          <cell r="J3931" t="str">
            <v>bueno</v>
          </cell>
          <cell r="K3931" t="str">
            <v>defsi</v>
          </cell>
        </row>
        <row r="3932">
          <cell r="B3932" t="b">
            <v>1</v>
          </cell>
          <cell r="E3932" t="str">
            <v>Bosque</v>
          </cell>
          <cell r="H3932" t="str">
            <v>laboratorio</v>
          </cell>
          <cell r="J3932" t="str">
            <v>bueno</v>
          </cell>
          <cell r="K3932" t="str">
            <v>defsi</v>
          </cell>
        </row>
        <row r="3933">
          <cell r="B3933" t="b">
            <v>1</v>
          </cell>
          <cell r="E3933" t="str">
            <v>Bosque</v>
          </cell>
          <cell r="H3933" t="str">
            <v>consulta_externa</v>
          </cell>
          <cell r="J3933" t="str">
            <v>bueno</v>
          </cell>
          <cell r="K3933" t="str">
            <v>defsi</v>
          </cell>
        </row>
        <row r="3934">
          <cell r="B3934" t="b">
            <v>1</v>
          </cell>
          <cell r="E3934" t="str">
            <v>Santa Ana</v>
          </cell>
          <cell r="H3934" t="str">
            <v>consulta_externa</v>
          </cell>
          <cell r="J3934" t="str">
            <v>muybueno</v>
          </cell>
          <cell r="K3934" t="str">
            <v>defsi</v>
          </cell>
        </row>
        <row r="3935">
          <cell r="B3935" t="b">
            <v>1</v>
          </cell>
          <cell r="E3935" t="str">
            <v>Santa Ana</v>
          </cell>
          <cell r="H3935" t="str">
            <v>laboratorio</v>
          </cell>
          <cell r="J3935" t="str">
            <v>muybueno</v>
          </cell>
          <cell r="K3935" t="str">
            <v>defsi</v>
          </cell>
        </row>
        <row r="3936">
          <cell r="B3936" t="b">
            <v>1</v>
          </cell>
          <cell r="E3936" t="str">
            <v>Bosque</v>
          </cell>
          <cell r="H3936" t="str">
            <v>salud_oral</v>
          </cell>
          <cell r="J3936" t="str">
            <v>bueno</v>
          </cell>
          <cell r="K3936" t="str">
            <v>defsi</v>
          </cell>
        </row>
        <row r="3937">
          <cell r="B3937" t="b">
            <v>1</v>
          </cell>
          <cell r="E3937" t="str">
            <v>Bosque</v>
          </cell>
          <cell r="H3937" t="str">
            <v>laboratorio</v>
          </cell>
          <cell r="J3937" t="str">
            <v>bueno</v>
          </cell>
          <cell r="K3937" t="str">
            <v>defsi</v>
          </cell>
        </row>
        <row r="3938">
          <cell r="B3938" t="b">
            <v>1</v>
          </cell>
          <cell r="E3938" t="str">
            <v>Bosque</v>
          </cell>
          <cell r="H3938" t="str">
            <v>consulta_externa</v>
          </cell>
          <cell r="J3938" t="str">
            <v>bueno</v>
          </cell>
          <cell r="K3938" t="str">
            <v>defsi</v>
          </cell>
        </row>
        <row r="3939">
          <cell r="B3939" t="b">
            <v>1</v>
          </cell>
          <cell r="E3939" t="str">
            <v>Bosque</v>
          </cell>
          <cell r="H3939" t="str">
            <v>salud_oral</v>
          </cell>
          <cell r="J3939" t="str">
            <v>bueno</v>
          </cell>
          <cell r="K3939" t="str">
            <v>defsi</v>
          </cell>
        </row>
        <row r="3940">
          <cell r="B3940" t="b">
            <v>1</v>
          </cell>
          <cell r="E3940" t="str">
            <v>Bosque</v>
          </cell>
          <cell r="H3940" t="str">
            <v>laboratorio</v>
          </cell>
          <cell r="J3940" t="str">
            <v>bueno</v>
          </cell>
          <cell r="K3940" t="str">
            <v>defsi</v>
          </cell>
        </row>
        <row r="3941">
          <cell r="B3941" t="b">
            <v>1</v>
          </cell>
          <cell r="E3941" t="str">
            <v>Bosque</v>
          </cell>
          <cell r="H3941" t="str">
            <v>consulta_externa</v>
          </cell>
          <cell r="J3941" t="str">
            <v>bueno</v>
          </cell>
          <cell r="K3941" t="str">
            <v>defsi</v>
          </cell>
        </row>
        <row r="3942">
          <cell r="B3942" t="b">
            <v>1</v>
          </cell>
          <cell r="E3942" t="str">
            <v>Blasdelezo</v>
          </cell>
          <cell r="H3942" t="str">
            <v>consulta_externa</v>
          </cell>
          <cell r="J3942" t="str">
            <v>bueno</v>
          </cell>
          <cell r="K3942" t="str">
            <v>defsi</v>
          </cell>
        </row>
        <row r="3943">
          <cell r="B3943" t="b">
            <v>1</v>
          </cell>
          <cell r="E3943" t="str">
            <v>Blasdelezo</v>
          </cell>
          <cell r="H3943" t="str">
            <v>salud_oral</v>
          </cell>
          <cell r="J3943" t="str">
            <v>bueno</v>
          </cell>
          <cell r="K3943" t="str">
            <v>defsi</v>
          </cell>
        </row>
        <row r="3944">
          <cell r="B3944" t="b">
            <v>1</v>
          </cell>
          <cell r="E3944" t="str">
            <v>Blasdelezo</v>
          </cell>
          <cell r="H3944" t="str">
            <v>laboratorio</v>
          </cell>
          <cell r="J3944" t="str">
            <v>bueno</v>
          </cell>
          <cell r="K3944" t="str">
            <v>defsi</v>
          </cell>
        </row>
        <row r="3945">
          <cell r="B3945" t="b">
            <v>1</v>
          </cell>
          <cell r="E3945" t="str">
            <v>Blasdelezo</v>
          </cell>
          <cell r="H3945" t="str">
            <v>urgencia</v>
          </cell>
          <cell r="J3945" t="str">
            <v>bueno</v>
          </cell>
          <cell r="K3945" t="str">
            <v>defsi</v>
          </cell>
        </row>
        <row r="3946">
          <cell r="B3946" t="b">
            <v>1</v>
          </cell>
          <cell r="E3946" t="str">
            <v>Blasdelezo</v>
          </cell>
          <cell r="H3946" t="str">
            <v>consulta_externa</v>
          </cell>
          <cell r="J3946" t="str">
            <v>bueno</v>
          </cell>
          <cell r="K3946" t="str">
            <v>defsi</v>
          </cell>
        </row>
        <row r="3947">
          <cell r="B3947" t="b">
            <v>1</v>
          </cell>
          <cell r="E3947" t="str">
            <v>Blasdelezo</v>
          </cell>
          <cell r="H3947" t="str">
            <v>salud_oral</v>
          </cell>
          <cell r="J3947" t="str">
            <v>bueno</v>
          </cell>
          <cell r="K3947" t="str">
            <v>defsi</v>
          </cell>
        </row>
        <row r="3948">
          <cell r="B3948" t="b">
            <v>1</v>
          </cell>
          <cell r="E3948" t="str">
            <v>Blasdelezo</v>
          </cell>
          <cell r="H3948" t="str">
            <v>laboratorio</v>
          </cell>
          <cell r="J3948" t="str">
            <v>bueno</v>
          </cell>
          <cell r="K3948" t="str">
            <v>defsi</v>
          </cell>
        </row>
        <row r="3949">
          <cell r="B3949" t="b">
            <v>1</v>
          </cell>
          <cell r="E3949" t="str">
            <v>Blasdelezo</v>
          </cell>
          <cell r="H3949" t="str">
            <v>urgencia</v>
          </cell>
          <cell r="J3949" t="str">
            <v>bueno</v>
          </cell>
          <cell r="K3949" t="str">
            <v>defsi</v>
          </cell>
        </row>
        <row r="3950">
          <cell r="B3950" t="b">
            <v>1</v>
          </cell>
          <cell r="E3950" t="str">
            <v>Santa Ana</v>
          </cell>
          <cell r="H3950" t="str">
            <v>consulta_externa</v>
          </cell>
          <cell r="J3950" t="str">
            <v>muybueno</v>
          </cell>
          <cell r="K3950" t="str">
            <v>defsi</v>
          </cell>
        </row>
        <row r="3951">
          <cell r="B3951" t="b">
            <v>1</v>
          </cell>
          <cell r="E3951" t="str">
            <v>Santa Ana</v>
          </cell>
          <cell r="H3951" t="str">
            <v>laboratorio</v>
          </cell>
          <cell r="J3951" t="str">
            <v>muybueno</v>
          </cell>
          <cell r="K3951" t="str">
            <v>defsi</v>
          </cell>
        </row>
        <row r="3952">
          <cell r="B3952" t="b">
            <v>1</v>
          </cell>
          <cell r="E3952" t="str">
            <v>Santa Ana</v>
          </cell>
          <cell r="H3952" t="str">
            <v>salud_oral</v>
          </cell>
          <cell r="J3952" t="str">
            <v>muybueno</v>
          </cell>
          <cell r="K3952" t="str">
            <v>defsi</v>
          </cell>
        </row>
        <row r="3953">
          <cell r="B3953" t="b">
            <v>1</v>
          </cell>
          <cell r="E3953" t="str">
            <v>Santa Ana</v>
          </cell>
          <cell r="H3953" t="str">
            <v>consulta_externa</v>
          </cell>
          <cell r="J3953" t="str">
            <v>muybueno</v>
          </cell>
          <cell r="K3953" t="str">
            <v>defsi</v>
          </cell>
        </row>
        <row r="3954">
          <cell r="B3954" t="b">
            <v>1</v>
          </cell>
          <cell r="E3954" t="str">
            <v>Santa Ana</v>
          </cell>
          <cell r="H3954" t="str">
            <v>laboratorio</v>
          </cell>
          <cell r="J3954" t="str">
            <v>muybueno</v>
          </cell>
          <cell r="K3954" t="str">
            <v>defsi</v>
          </cell>
        </row>
        <row r="3955">
          <cell r="B3955" t="b">
            <v>1</v>
          </cell>
          <cell r="E3955" t="str">
            <v>Santa Ana</v>
          </cell>
          <cell r="H3955" t="str">
            <v>consulta_externa</v>
          </cell>
          <cell r="J3955" t="str">
            <v>muybueno</v>
          </cell>
          <cell r="K3955" t="str">
            <v>defsi</v>
          </cell>
        </row>
        <row r="3956">
          <cell r="B3956" t="b">
            <v>1</v>
          </cell>
          <cell r="E3956" t="str">
            <v>Santa Ana</v>
          </cell>
          <cell r="H3956" t="str">
            <v>salud_oral</v>
          </cell>
          <cell r="J3956" t="str">
            <v>muybueno</v>
          </cell>
          <cell r="K3956" t="str">
            <v>defsi</v>
          </cell>
        </row>
        <row r="3957">
          <cell r="B3957" t="b">
            <v>1</v>
          </cell>
          <cell r="E3957" t="str">
            <v>Blasdelezo</v>
          </cell>
          <cell r="H3957" t="str">
            <v>consulta_externa</v>
          </cell>
          <cell r="J3957" t="str">
            <v>bueno</v>
          </cell>
          <cell r="K3957" t="str">
            <v>defsi</v>
          </cell>
        </row>
        <row r="3958">
          <cell r="B3958" t="b">
            <v>1</v>
          </cell>
          <cell r="E3958" t="str">
            <v>Blasdelezo</v>
          </cell>
          <cell r="H3958" t="str">
            <v>salud_oral</v>
          </cell>
          <cell r="J3958" t="str">
            <v>bueno</v>
          </cell>
          <cell r="K3958" t="str">
            <v>defsi</v>
          </cell>
        </row>
        <row r="3959">
          <cell r="B3959" t="b">
            <v>1</v>
          </cell>
          <cell r="E3959" t="str">
            <v>Blasdelezo</v>
          </cell>
          <cell r="H3959" t="str">
            <v>laboratorio</v>
          </cell>
          <cell r="J3959" t="str">
            <v>bueno</v>
          </cell>
          <cell r="K3959" t="str">
            <v>defsi</v>
          </cell>
        </row>
        <row r="3960">
          <cell r="B3960" t="b">
            <v>1</v>
          </cell>
          <cell r="E3960" t="str">
            <v>Blasdelezo</v>
          </cell>
          <cell r="H3960" t="str">
            <v>urgencia</v>
          </cell>
          <cell r="J3960" t="str">
            <v>bueno</v>
          </cell>
          <cell r="K3960" t="str">
            <v>defsi</v>
          </cell>
        </row>
        <row r="3961">
          <cell r="B3961" t="b">
            <v>1</v>
          </cell>
          <cell r="E3961" t="str">
            <v>Blasdelezo</v>
          </cell>
          <cell r="H3961" t="str">
            <v>consulta_externa</v>
          </cell>
          <cell r="J3961" t="str">
            <v>bueno</v>
          </cell>
          <cell r="K3961" t="str">
            <v>defsi</v>
          </cell>
        </row>
        <row r="3962">
          <cell r="B3962" t="b">
            <v>1</v>
          </cell>
          <cell r="E3962" t="str">
            <v>Blasdelezo</v>
          </cell>
          <cell r="H3962" t="str">
            <v>salud_oral</v>
          </cell>
          <cell r="J3962" t="str">
            <v>bueno</v>
          </cell>
          <cell r="K3962" t="str">
            <v>defsi</v>
          </cell>
        </row>
        <row r="3963">
          <cell r="B3963" t="b">
            <v>1</v>
          </cell>
          <cell r="E3963" t="str">
            <v>Blasdelezo</v>
          </cell>
          <cell r="H3963" t="str">
            <v>laboratorio</v>
          </cell>
          <cell r="J3963" t="str">
            <v>bueno</v>
          </cell>
          <cell r="K3963" t="str">
            <v>defsi</v>
          </cell>
        </row>
        <row r="3964">
          <cell r="B3964" t="b">
            <v>1</v>
          </cell>
          <cell r="E3964" t="str">
            <v>Blasdelezo</v>
          </cell>
          <cell r="H3964" t="str">
            <v>urgencia</v>
          </cell>
          <cell r="J3964" t="str">
            <v>bueno</v>
          </cell>
          <cell r="K3964" t="str">
            <v>defsi</v>
          </cell>
        </row>
        <row r="3965">
          <cell r="B3965" t="b">
            <v>1</v>
          </cell>
          <cell r="E3965" t="str">
            <v>Blasdelezo</v>
          </cell>
          <cell r="H3965" t="str">
            <v>consulta_externa</v>
          </cell>
          <cell r="J3965" t="str">
            <v>bueno</v>
          </cell>
          <cell r="K3965" t="str">
            <v>defsi</v>
          </cell>
        </row>
        <row r="3966">
          <cell r="B3966" t="b">
            <v>1</v>
          </cell>
          <cell r="E3966" t="str">
            <v>Blasdelezo</v>
          </cell>
          <cell r="H3966" t="str">
            <v>salud_oral</v>
          </cell>
          <cell r="J3966" t="str">
            <v>bueno</v>
          </cell>
          <cell r="K3966" t="str">
            <v>defsi</v>
          </cell>
        </row>
        <row r="3967">
          <cell r="B3967" t="b">
            <v>1</v>
          </cell>
          <cell r="E3967" t="str">
            <v>Blasdelezo</v>
          </cell>
          <cell r="H3967" t="str">
            <v>laboratorio</v>
          </cell>
          <cell r="J3967" t="str">
            <v>bueno</v>
          </cell>
          <cell r="K3967" t="str">
            <v>defsi</v>
          </cell>
        </row>
        <row r="3968">
          <cell r="B3968" t="b">
            <v>1</v>
          </cell>
          <cell r="E3968" t="str">
            <v>Blasdelezo</v>
          </cell>
          <cell r="H3968" t="str">
            <v>consulta_externa</v>
          </cell>
          <cell r="J3968" t="str">
            <v>bueno</v>
          </cell>
          <cell r="K3968" t="str">
            <v>defsi</v>
          </cell>
        </row>
        <row r="3969">
          <cell r="B3969" t="b">
            <v>1</v>
          </cell>
          <cell r="E3969" t="str">
            <v>Blasdelezo</v>
          </cell>
          <cell r="H3969" t="str">
            <v>salud_oral</v>
          </cell>
          <cell r="J3969" t="str">
            <v>bueno</v>
          </cell>
          <cell r="K3969" t="str">
            <v>defsi</v>
          </cell>
        </row>
        <row r="3970">
          <cell r="B3970" t="b">
            <v>1</v>
          </cell>
          <cell r="E3970" t="str">
            <v>Blasdelezo</v>
          </cell>
          <cell r="H3970" t="str">
            <v>laboratorio</v>
          </cell>
          <cell r="J3970" t="str">
            <v>bueno</v>
          </cell>
          <cell r="K3970" t="str">
            <v>defsi</v>
          </cell>
        </row>
        <row r="3971">
          <cell r="B3971" t="b">
            <v>1</v>
          </cell>
          <cell r="E3971" t="str">
            <v>Blasdelezo</v>
          </cell>
          <cell r="H3971" t="str">
            <v>consulta_externa</v>
          </cell>
          <cell r="J3971" t="str">
            <v>bueno</v>
          </cell>
          <cell r="K3971" t="str">
            <v>defsi</v>
          </cell>
        </row>
        <row r="3972">
          <cell r="B3972" t="b">
            <v>1</v>
          </cell>
          <cell r="E3972" t="str">
            <v>Blasdelezo</v>
          </cell>
          <cell r="H3972" t="str">
            <v>salud_oral</v>
          </cell>
          <cell r="J3972" t="str">
            <v>bueno</v>
          </cell>
          <cell r="K3972" t="str">
            <v>defsi</v>
          </cell>
        </row>
        <row r="3973">
          <cell r="B3973" t="b">
            <v>1</v>
          </cell>
          <cell r="E3973" t="str">
            <v>Blasdelezo</v>
          </cell>
          <cell r="H3973" t="str">
            <v>laboratorio</v>
          </cell>
          <cell r="J3973" t="str">
            <v>bueno</v>
          </cell>
          <cell r="K3973" t="str">
            <v>defsi</v>
          </cell>
        </row>
        <row r="3974">
          <cell r="B3974" t="b">
            <v>1</v>
          </cell>
          <cell r="E3974" t="str">
            <v>Blasdelezo</v>
          </cell>
          <cell r="H3974" t="str">
            <v>urgencia</v>
          </cell>
          <cell r="J3974" t="str">
            <v>bueno</v>
          </cell>
          <cell r="K3974" t="str">
            <v>defsi</v>
          </cell>
        </row>
        <row r="3975">
          <cell r="B3975" t="b">
            <v>1</v>
          </cell>
          <cell r="E3975" t="str">
            <v>Blasdelezo</v>
          </cell>
          <cell r="H3975" t="str">
            <v>consulta_externa</v>
          </cell>
          <cell r="J3975" t="str">
            <v>bueno</v>
          </cell>
          <cell r="K3975" t="str">
            <v>defsi</v>
          </cell>
        </row>
        <row r="3976">
          <cell r="B3976" t="b">
            <v>1</v>
          </cell>
          <cell r="E3976" t="str">
            <v>Blasdelezo</v>
          </cell>
          <cell r="H3976" t="str">
            <v>salud_oral</v>
          </cell>
          <cell r="J3976" t="str">
            <v>bueno</v>
          </cell>
          <cell r="K3976" t="str">
            <v>defsi</v>
          </cell>
        </row>
        <row r="3977">
          <cell r="B3977" t="b">
            <v>1</v>
          </cell>
          <cell r="E3977" t="str">
            <v>Blasdelezo</v>
          </cell>
          <cell r="H3977" t="str">
            <v>laboratorio</v>
          </cell>
          <cell r="J3977" t="str">
            <v>bueno</v>
          </cell>
          <cell r="K3977" t="str">
            <v>defsi</v>
          </cell>
        </row>
        <row r="3978">
          <cell r="B3978" t="b">
            <v>1</v>
          </cell>
          <cell r="E3978" t="str">
            <v>Blasdelezo</v>
          </cell>
          <cell r="H3978" t="str">
            <v>urgencia</v>
          </cell>
          <cell r="J3978" t="str">
            <v>bueno</v>
          </cell>
          <cell r="K3978" t="str">
            <v>defsi</v>
          </cell>
        </row>
        <row r="3979">
          <cell r="B3979" t="b">
            <v>1</v>
          </cell>
          <cell r="E3979" t="str">
            <v>Blasdelezo</v>
          </cell>
          <cell r="H3979" t="str">
            <v>consulta_externa</v>
          </cell>
          <cell r="J3979" t="str">
            <v>bueno</v>
          </cell>
          <cell r="K3979" t="str">
            <v>defsi</v>
          </cell>
        </row>
        <row r="3980">
          <cell r="B3980" t="b">
            <v>1</v>
          </cell>
          <cell r="E3980" t="str">
            <v>Blasdelezo</v>
          </cell>
          <cell r="H3980" t="str">
            <v>salud_oral</v>
          </cell>
          <cell r="J3980" t="str">
            <v>bueno</v>
          </cell>
          <cell r="K3980" t="str">
            <v>defsi</v>
          </cell>
        </row>
        <row r="3981">
          <cell r="B3981" t="b">
            <v>1</v>
          </cell>
          <cell r="E3981" t="str">
            <v>Blasdelezo</v>
          </cell>
          <cell r="H3981" t="str">
            <v>salud_oral</v>
          </cell>
          <cell r="J3981" t="str">
            <v>bueno</v>
          </cell>
          <cell r="K3981" t="str">
            <v>defsi</v>
          </cell>
        </row>
        <row r="3982">
          <cell r="B3982" t="b">
            <v>1</v>
          </cell>
          <cell r="E3982" t="str">
            <v>Blasdelezo</v>
          </cell>
          <cell r="H3982" t="str">
            <v>urgencia</v>
          </cell>
          <cell r="J3982" t="str">
            <v>bueno</v>
          </cell>
          <cell r="K3982" t="str">
            <v>defsi</v>
          </cell>
        </row>
        <row r="3983">
          <cell r="B3983" t="b">
            <v>1</v>
          </cell>
          <cell r="E3983" t="str">
            <v>Blasdelezo</v>
          </cell>
          <cell r="H3983" t="str">
            <v>consulta_externa</v>
          </cell>
          <cell r="J3983" t="str">
            <v>bueno</v>
          </cell>
          <cell r="K3983" t="str">
            <v>defsi</v>
          </cell>
        </row>
        <row r="3984">
          <cell r="B3984" t="b">
            <v>1</v>
          </cell>
          <cell r="E3984" t="str">
            <v>Blasdelezo</v>
          </cell>
          <cell r="H3984" t="str">
            <v>salud_oral</v>
          </cell>
          <cell r="J3984" t="str">
            <v>bueno</v>
          </cell>
          <cell r="K3984" t="str">
            <v>defsi</v>
          </cell>
        </row>
        <row r="3985">
          <cell r="B3985" t="b">
            <v>1</v>
          </cell>
          <cell r="E3985" t="str">
            <v>Blasdelezo</v>
          </cell>
          <cell r="H3985" t="str">
            <v>laboratorio</v>
          </cell>
          <cell r="J3985" t="str">
            <v>bueno</v>
          </cell>
          <cell r="K3985" t="str">
            <v>defsi</v>
          </cell>
        </row>
        <row r="3986">
          <cell r="B3986" t="b">
            <v>1</v>
          </cell>
          <cell r="E3986" t="str">
            <v>Blasdelezo</v>
          </cell>
          <cell r="H3986" t="str">
            <v>urgencia</v>
          </cell>
          <cell r="J3986" t="str">
            <v>bueno</v>
          </cell>
          <cell r="K3986" t="str">
            <v>defsi</v>
          </cell>
        </row>
        <row r="3987">
          <cell r="B3987" t="b">
            <v>1</v>
          </cell>
          <cell r="E3987" t="str">
            <v>Blasdelezo</v>
          </cell>
          <cell r="H3987" t="str">
            <v>consulta_externa</v>
          </cell>
          <cell r="J3987" t="str">
            <v>bueno</v>
          </cell>
          <cell r="K3987" t="str">
            <v>defsi</v>
          </cell>
        </row>
        <row r="3988">
          <cell r="B3988" t="b">
            <v>1</v>
          </cell>
          <cell r="E3988" t="str">
            <v>Blasdelezo</v>
          </cell>
          <cell r="H3988" t="str">
            <v>salud_oral</v>
          </cell>
          <cell r="J3988" t="str">
            <v>bueno</v>
          </cell>
          <cell r="K3988" t="str">
            <v>defsi</v>
          </cell>
        </row>
        <row r="3989">
          <cell r="B3989" t="b">
            <v>1</v>
          </cell>
          <cell r="E3989" t="str">
            <v>Blasdelezo</v>
          </cell>
          <cell r="H3989" t="str">
            <v>laboratorio</v>
          </cell>
          <cell r="J3989" t="str">
            <v>bueno</v>
          </cell>
          <cell r="K3989" t="str">
            <v>defsi</v>
          </cell>
        </row>
        <row r="3990">
          <cell r="B3990" t="b">
            <v>1</v>
          </cell>
          <cell r="E3990" t="str">
            <v>Blasdelezo</v>
          </cell>
          <cell r="H3990" t="str">
            <v>urgencia</v>
          </cell>
          <cell r="J3990" t="str">
            <v>bueno</v>
          </cell>
          <cell r="K3990" t="str">
            <v>defsi</v>
          </cell>
        </row>
        <row r="3991">
          <cell r="B3991" t="b">
            <v>1</v>
          </cell>
          <cell r="E3991" t="str">
            <v>Blasdelezo</v>
          </cell>
          <cell r="H3991" t="str">
            <v>consulta_externa</v>
          </cell>
          <cell r="J3991" t="str">
            <v>bueno</v>
          </cell>
          <cell r="K3991" t="str">
            <v>defsi</v>
          </cell>
        </row>
        <row r="3992">
          <cell r="B3992" t="b">
            <v>1</v>
          </cell>
          <cell r="E3992" t="str">
            <v>Blasdelezo</v>
          </cell>
          <cell r="H3992" t="str">
            <v>salud_oral</v>
          </cell>
          <cell r="J3992" t="str">
            <v>bueno</v>
          </cell>
          <cell r="K3992" t="str">
            <v>defsi</v>
          </cell>
        </row>
        <row r="3993">
          <cell r="B3993" t="b">
            <v>1</v>
          </cell>
          <cell r="E3993" t="str">
            <v>Blasdelezo</v>
          </cell>
          <cell r="H3993" t="str">
            <v>laboratorio</v>
          </cell>
          <cell r="J3993" t="str">
            <v>bueno</v>
          </cell>
          <cell r="K3993" t="str">
            <v>defsi</v>
          </cell>
        </row>
        <row r="3994">
          <cell r="B3994" t="b">
            <v>1</v>
          </cell>
          <cell r="E3994" t="str">
            <v>Blasdelezo</v>
          </cell>
          <cell r="H3994" t="str">
            <v>urgencia</v>
          </cell>
          <cell r="J3994" t="str">
            <v>bueno</v>
          </cell>
          <cell r="K3994" t="str">
            <v>defsi</v>
          </cell>
        </row>
        <row r="3995">
          <cell r="B3995" t="b">
            <v>1</v>
          </cell>
          <cell r="E3995" t="str">
            <v>Blasdelezo</v>
          </cell>
          <cell r="H3995" t="str">
            <v>consulta_externa</v>
          </cell>
          <cell r="J3995" t="str">
            <v>bueno</v>
          </cell>
          <cell r="K3995" t="str">
            <v>defsi</v>
          </cell>
        </row>
        <row r="3996">
          <cell r="B3996" t="b">
            <v>1</v>
          </cell>
          <cell r="E3996" t="str">
            <v>Blasdelezo</v>
          </cell>
          <cell r="H3996" t="str">
            <v>laboratorio</v>
          </cell>
          <cell r="J3996" t="str">
            <v>bueno</v>
          </cell>
          <cell r="K3996" t="str">
            <v>defsi</v>
          </cell>
        </row>
        <row r="3997">
          <cell r="B3997" t="b">
            <v>1</v>
          </cell>
          <cell r="E3997" t="str">
            <v>Blasdelezo</v>
          </cell>
          <cell r="H3997" t="str">
            <v>urgencia</v>
          </cell>
          <cell r="J3997" t="str">
            <v>bueno</v>
          </cell>
          <cell r="K3997" t="str">
            <v>defsi</v>
          </cell>
        </row>
        <row r="3998">
          <cell r="B3998" t="b">
            <v>1</v>
          </cell>
          <cell r="E3998" t="str">
            <v>Blasdelezo</v>
          </cell>
          <cell r="H3998" t="str">
            <v>consulta_externa</v>
          </cell>
          <cell r="J3998" t="str">
            <v>bueno</v>
          </cell>
          <cell r="K3998" t="str">
            <v>defsi</v>
          </cell>
        </row>
        <row r="3999">
          <cell r="B3999" t="b">
            <v>1</v>
          </cell>
          <cell r="E3999" t="str">
            <v>Blasdelezo</v>
          </cell>
          <cell r="H3999" t="str">
            <v>laboratorio</v>
          </cell>
          <cell r="J3999" t="str">
            <v>bueno</v>
          </cell>
          <cell r="K3999" t="str">
            <v>defsi</v>
          </cell>
        </row>
        <row r="4000">
          <cell r="B4000" t="b">
            <v>1</v>
          </cell>
          <cell r="E4000" t="str">
            <v>Blasdelezo</v>
          </cell>
          <cell r="H4000" t="str">
            <v>urgencia</v>
          </cell>
          <cell r="J4000" t="str">
            <v>bueno</v>
          </cell>
          <cell r="K4000" t="str">
            <v>defsi</v>
          </cell>
        </row>
        <row r="4001">
          <cell r="B4001" t="b">
            <v>1</v>
          </cell>
          <cell r="E4001" t="str">
            <v>Blasdelezo</v>
          </cell>
          <cell r="H4001" t="str">
            <v>urgencia</v>
          </cell>
          <cell r="J4001" t="str">
            <v>bueno</v>
          </cell>
          <cell r="K4001" t="str">
            <v>defsi</v>
          </cell>
        </row>
        <row r="4002">
          <cell r="B4002" t="b">
            <v>1</v>
          </cell>
          <cell r="E4002" t="str">
            <v>Hospital Pozon</v>
          </cell>
          <cell r="H4002" t="str">
            <v>consulta_externa</v>
          </cell>
          <cell r="J4002" t="str">
            <v>bueno</v>
          </cell>
          <cell r="K4002" t="str">
            <v>defsi</v>
          </cell>
        </row>
        <row r="4003">
          <cell r="B4003" t="b">
            <v>1</v>
          </cell>
          <cell r="E4003" t="str">
            <v>Hospital Pozon</v>
          </cell>
          <cell r="H4003" t="str">
            <v>salud_oral</v>
          </cell>
          <cell r="J4003" t="str">
            <v>bueno</v>
          </cell>
          <cell r="K4003" t="str">
            <v>defsi</v>
          </cell>
        </row>
        <row r="4004">
          <cell r="B4004" t="b">
            <v>1</v>
          </cell>
          <cell r="E4004" t="str">
            <v>Hospital Pozon</v>
          </cell>
          <cell r="H4004" t="str">
            <v>laboratorio</v>
          </cell>
          <cell r="J4004" t="str">
            <v>bueno</v>
          </cell>
          <cell r="K4004" t="str">
            <v>defsi</v>
          </cell>
        </row>
        <row r="4005">
          <cell r="B4005" t="b">
            <v>1</v>
          </cell>
          <cell r="E4005" t="str">
            <v>Hospital Pozon</v>
          </cell>
          <cell r="H4005" t="str">
            <v>urgencia</v>
          </cell>
          <cell r="J4005" t="str">
            <v>bueno</v>
          </cell>
          <cell r="K4005" t="str">
            <v>defsi</v>
          </cell>
        </row>
        <row r="4006">
          <cell r="B4006" t="b">
            <v>1</v>
          </cell>
          <cell r="E4006" t="str">
            <v>Hospital Pozon</v>
          </cell>
          <cell r="H4006" t="str">
            <v>consulta_externa</v>
          </cell>
          <cell r="J4006" t="str">
            <v>bueno</v>
          </cell>
          <cell r="K4006" t="str">
            <v>defsi</v>
          </cell>
        </row>
        <row r="4007">
          <cell r="B4007" t="b">
            <v>1</v>
          </cell>
          <cell r="E4007" t="str">
            <v>Hospital Pozon</v>
          </cell>
          <cell r="H4007" t="str">
            <v>salud_oral</v>
          </cell>
          <cell r="J4007" t="str">
            <v>bueno</v>
          </cell>
          <cell r="K4007" t="str">
            <v>defsi</v>
          </cell>
        </row>
        <row r="4008">
          <cell r="B4008" t="b">
            <v>1</v>
          </cell>
          <cell r="E4008" t="str">
            <v>Hospital Pozon</v>
          </cell>
          <cell r="H4008" t="str">
            <v>laboratorio</v>
          </cell>
          <cell r="J4008" t="str">
            <v>bueno</v>
          </cell>
          <cell r="K4008" t="str">
            <v>defsi</v>
          </cell>
        </row>
        <row r="4009">
          <cell r="B4009" t="b">
            <v>1</v>
          </cell>
          <cell r="E4009" t="str">
            <v>Hospital Pozon</v>
          </cell>
          <cell r="H4009" t="str">
            <v>urgencia</v>
          </cell>
          <cell r="J4009" t="str">
            <v>bueno</v>
          </cell>
          <cell r="K4009" t="str">
            <v>defsi</v>
          </cell>
        </row>
        <row r="4010">
          <cell r="B4010" t="b">
            <v>1</v>
          </cell>
          <cell r="E4010" t="str">
            <v>Hospital Pozon</v>
          </cell>
          <cell r="H4010" t="str">
            <v>consulta_externa</v>
          </cell>
          <cell r="J4010" t="str">
            <v>bueno</v>
          </cell>
          <cell r="K4010" t="str">
            <v>defsi</v>
          </cell>
        </row>
        <row r="4011">
          <cell r="B4011" t="b">
            <v>1</v>
          </cell>
          <cell r="E4011" t="str">
            <v>Hospital Pozon</v>
          </cell>
          <cell r="H4011" t="str">
            <v>salud_oral</v>
          </cell>
          <cell r="J4011" t="str">
            <v>bueno</v>
          </cell>
          <cell r="K4011" t="str">
            <v>defsi</v>
          </cell>
        </row>
        <row r="4012">
          <cell r="B4012" t="b">
            <v>1</v>
          </cell>
          <cell r="E4012" t="str">
            <v>Hospital Pozon</v>
          </cell>
          <cell r="H4012" t="str">
            <v>laboratorio</v>
          </cell>
          <cell r="J4012" t="str">
            <v>bueno</v>
          </cell>
          <cell r="K4012" t="str">
            <v>defsi</v>
          </cell>
        </row>
        <row r="4013">
          <cell r="B4013" t="b">
            <v>1</v>
          </cell>
          <cell r="E4013" t="str">
            <v>Hospital Pozon</v>
          </cell>
          <cell r="H4013" t="str">
            <v>urgencia</v>
          </cell>
          <cell r="J4013" t="str">
            <v>bueno</v>
          </cell>
          <cell r="K4013" t="str">
            <v>defsi</v>
          </cell>
        </row>
        <row r="4014">
          <cell r="B4014" t="b">
            <v>1</v>
          </cell>
          <cell r="E4014" t="str">
            <v>Hospital Pozon</v>
          </cell>
          <cell r="H4014" t="str">
            <v>consulta_externa</v>
          </cell>
          <cell r="J4014" t="str">
            <v>bueno</v>
          </cell>
          <cell r="K4014" t="str">
            <v>defsi</v>
          </cell>
        </row>
        <row r="4015">
          <cell r="B4015" t="b">
            <v>1</v>
          </cell>
          <cell r="E4015" t="str">
            <v>Hospital Pozon</v>
          </cell>
          <cell r="H4015" t="str">
            <v>salud_oral</v>
          </cell>
          <cell r="J4015" t="str">
            <v>bueno</v>
          </cell>
          <cell r="K4015" t="str">
            <v>defsi</v>
          </cell>
        </row>
        <row r="4016">
          <cell r="B4016" t="b">
            <v>1</v>
          </cell>
          <cell r="E4016" t="str">
            <v>Hospital Pozon</v>
          </cell>
          <cell r="H4016" t="str">
            <v>laboratorio</v>
          </cell>
          <cell r="J4016" t="str">
            <v>bueno</v>
          </cell>
          <cell r="K4016" t="str">
            <v>defsi</v>
          </cell>
        </row>
        <row r="4017">
          <cell r="B4017" t="b">
            <v>1</v>
          </cell>
          <cell r="E4017" t="str">
            <v>Hospital Pozon</v>
          </cell>
          <cell r="H4017" t="str">
            <v>urgencia</v>
          </cell>
          <cell r="J4017" t="str">
            <v>bueno</v>
          </cell>
          <cell r="K4017" t="str">
            <v>defsi</v>
          </cell>
        </row>
        <row r="4018">
          <cell r="B4018" t="b">
            <v>1</v>
          </cell>
          <cell r="E4018" t="str">
            <v>Bicentenario</v>
          </cell>
          <cell r="H4018" t="str">
            <v>consulta_externa</v>
          </cell>
          <cell r="J4018" t="str">
            <v>bueno</v>
          </cell>
          <cell r="K4018" t="str">
            <v>probsi</v>
          </cell>
        </row>
        <row r="4019">
          <cell r="B4019" t="b">
            <v>1</v>
          </cell>
          <cell r="E4019" t="str">
            <v>Bicentenario</v>
          </cell>
          <cell r="H4019" t="str">
            <v>consulta_externa</v>
          </cell>
          <cell r="J4019" t="str">
            <v>bueno</v>
          </cell>
          <cell r="K4019" t="str">
            <v>probsi</v>
          </cell>
        </row>
        <row r="4020">
          <cell r="B4020" t="b">
            <v>1</v>
          </cell>
          <cell r="E4020" t="str">
            <v>Bicentenario</v>
          </cell>
          <cell r="H4020" t="str">
            <v>salud_oral</v>
          </cell>
          <cell r="J4020" t="str">
            <v>bueno</v>
          </cell>
          <cell r="K4020" t="str">
            <v>probsi</v>
          </cell>
        </row>
        <row r="4021">
          <cell r="B4021" t="b">
            <v>1</v>
          </cell>
          <cell r="E4021" t="str">
            <v>Bicentenario</v>
          </cell>
          <cell r="H4021" t="str">
            <v>laboratorio</v>
          </cell>
          <cell r="J4021" t="str">
            <v>bueno</v>
          </cell>
          <cell r="K4021" t="str">
            <v>probsi</v>
          </cell>
        </row>
        <row r="4022">
          <cell r="B4022" t="b">
            <v>1</v>
          </cell>
          <cell r="E4022" t="str">
            <v>Bicentenario</v>
          </cell>
          <cell r="H4022" t="str">
            <v>consulta_externa</v>
          </cell>
          <cell r="J4022" t="str">
            <v>bueno</v>
          </cell>
          <cell r="K4022" t="str">
            <v>probsi</v>
          </cell>
        </row>
        <row r="4023">
          <cell r="B4023" t="b">
            <v>1</v>
          </cell>
          <cell r="E4023" t="str">
            <v>Bicentenario</v>
          </cell>
          <cell r="H4023" t="str">
            <v>consulta_externa</v>
          </cell>
          <cell r="J4023" t="str">
            <v>bueno</v>
          </cell>
          <cell r="K4023" t="str">
            <v>probsi</v>
          </cell>
        </row>
        <row r="4024">
          <cell r="B4024" t="b">
            <v>1</v>
          </cell>
          <cell r="E4024" t="str">
            <v>Bicentenario</v>
          </cell>
          <cell r="H4024" t="str">
            <v>salud_oral</v>
          </cell>
          <cell r="J4024" t="str">
            <v>bueno</v>
          </cell>
          <cell r="K4024" t="str">
            <v>probsi</v>
          </cell>
        </row>
        <row r="4025">
          <cell r="B4025" t="b">
            <v>0</v>
          </cell>
          <cell r="E4025" t="str">
            <v>Bicentenario</v>
          </cell>
          <cell r="H4025" t="str">
            <v>consulta_externa</v>
          </cell>
          <cell r="J4025" t="str">
            <v>regular</v>
          </cell>
          <cell r="K4025" t="str">
            <v>probsi</v>
          </cell>
        </row>
        <row r="4026">
          <cell r="B4026" t="b">
            <v>0</v>
          </cell>
          <cell r="E4026" t="str">
            <v>Bicentenario</v>
          </cell>
          <cell r="H4026" t="str">
            <v>urgencia</v>
          </cell>
          <cell r="J4026" t="str">
            <v>malo</v>
          </cell>
          <cell r="K4026" t="str">
            <v>probno</v>
          </cell>
        </row>
        <row r="4027">
          <cell r="B4027" t="b">
            <v>1</v>
          </cell>
          <cell r="E4027" t="str">
            <v>Bicentenario</v>
          </cell>
          <cell r="H4027" t="str">
            <v>urgencia</v>
          </cell>
          <cell r="J4027" t="str">
            <v>bueno</v>
          </cell>
          <cell r="K4027" t="str">
            <v>probsi</v>
          </cell>
        </row>
        <row r="4028">
          <cell r="B4028" t="b">
            <v>1</v>
          </cell>
          <cell r="E4028" t="str">
            <v>Bicentenario</v>
          </cell>
          <cell r="H4028" t="str">
            <v>consulta_externa</v>
          </cell>
          <cell r="J4028" t="str">
            <v>bueno</v>
          </cell>
          <cell r="K4028" t="str">
            <v>probsi</v>
          </cell>
        </row>
        <row r="4029">
          <cell r="B4029" t="b">
            <v>1</v>
          </cell>
          <cell r="E4029" t="str">
            <v>Bicentenario</v>
          </cell>
          <cell r="H4029" t="str">
            <v>salud_oral</v>
          </cell>
          <cell r="J4029" t="str">
            <v>bueno</v>
          </cell>
          <cell r="K4029" t="str">
            <v>probsi</v>
          </cell>
        </row>
        <row r="4030">
          <cell r="B4030" t="b">
            <v>1</v>
          </cell>
          <cell r="E4030" t="str">
            <v>Bicentenario</v>
          </cell>
          <cell r="H4030" t="str">
            <v>laboratorio</v>
          </cell>
          <cell r="J4030" t="str">
            <v>bueno</v>
          </cell>
          <cell r="K4030" t="str">
            <v>probsi</v>
          </cell>
        </row>
        <row r="4031">
          <cell r="B4031" t="b">
            <v>1</v>
          </cell>
          <cell r="E4031" t="str">
            <v>Baru</v>
          </cell>
          <cell r="H4031" t="str">
            <v>consulta_externa</v>
          </cell>
          <cell r="J4031" t="str">
            <v>muybueno</v>
          </cell>
          <cell r="K4031" t="str">
            <v>defsi</v>
          </cell>
        </row>
        <row r="4032">
          <cell r="B4032" t="b">
            <v>1</v>
          </cell>
          <cell r="E4032" t="str">
            <v>Baru</v>
          </cell>
          <cell r="H4032" t="str">
            <v>laboratorio</v>
          </cell>
          <cell r="J4032" t="str">
            <v>muybueno</v>
          </cell>
          <cell r="K4032" t="str">
            <v>defsi</v>
          </cell>
        </row>
        <row r="4033">
          <cell r="B4033" t="b">
            <v>0</v>
          </cell>
          <cell r="E4033" t="str">
            <v>Bicentenario</v>
          </cell>
          <cell r="H4033" t="str">
            <v>consulta_externa</v>
          </cell>
          <cell r="J4033" t="str">
            <v>regular</v>
          </cell>
          <cell r="K4033" t="str">
            <v>probsi</v>
          </cell>
        </row>
        <row r="4034">
          <cell r="B4034" t="b">
            <v>1</v>
          </cell>
          <cell r="E4034" t="str">
            <v>Bicentenario</v>
          </cell>
          <cell r="H4034" t="str">
            <v>laboratorio</v>
          </cell>
          <cell r="J4034" t="str">
            <v>bueno</v>
          </cell>
          <cell r="K4034" t="str">
            <v>probsi</v>
          </cell>
        </row>
        <row r="4035">
          <cell r="B4035" t="b">
            <v>1</v>
          </cell>
          <cell r="E4035" t="str">
            <v>Baru</v>
          </cell>
          <cell r="H4035" t="str">
            <v>consulta_externa</v>
          </cell>
          <cell r="J4035" t="str">
            <v>muybueno</v>
          </cell>
          <cell r="K4035" t="str">
            <v>defsi</v>
          </cell>
        </row>
        <row r="4036">
          <cell r="B4036" t="b">
            <v>1</v>
          </cell>
          <cell r="E4036" t="str">
            <v>Baru</v>
          </cell>
          <cell r="H4036" t="str">
            <v>laboratorio</v>
          </cell>
          <cell r="J4036" t="str">
            <v>muybueno</v>
          </cell>
          <cell r="K4036" t="str">
            <v>defsi</v>
          </cell>
        </row>
        <row r="4037">
          <cell r="B4037" t="b">
            <v>1</v>
          </cell>
          <cell r="E4037" t="str">
            <v>Hospital Pozon</v>
          </cell>
          <cell r="H4037" t="str">
            <v>consulta_externa</v>
          </cell>
          <cell r="J4037" t="str">
            <v>bueno</v>
          </cell>
          <cell r="K4037" t="str">
            <v>defsi</v>
          </cell>
        </row>
        <row r="4038">
          <cell r="B4038" t="b">
            <v>1</v>
          </cell>
          <cell r="E4038" t="str">
            <v>Hospital Pozon</v>
          </cell>
          <cell r="H4038" t="str">
            <v>salud_oral</v>
          </cell>
          <cell r="J4038" t="str">
            <v>bueno</v>
          </cell>
          <cell r="K4038" t="str">
            <v>defsi</v>
          </cell>
        </row>
        <row r="4039">
          <cell r="B4039" t="b">
            <v>1</v>
          </cell>
          <cell r="E4039" t="str">
            <v>Hospital Pozon</v>
          </cell>
          <cell r="H4039" t="str">
            <v>laboratorio</v>
          </cell>
          <cell r="J4039" t="str">
            <v>bueno</v>
          </cell>
          <cell r="K4039" t="str">
            <v>defsi</v>
          </cell>
        </row>
        <row r="4040">
          <cell r="B4040" t="b">
            <v>1</v>
          </cell>
          <cell r="E4040" t="str">
            <v>Hospital Pozon</v>
          </cell>
          <cell r="H4040" t="str">
            <v>urgencia</v>
          </cell>
          <cell r="J4040" t="str">
            <v>bueno</v>
          </cell>
          <cell r="K4040" t="str">
            <v>defsi</v>
          </cell>
        </row>
        <row r="4041">
          <cell r="B4041" t="b">
            <v>1</v>
          </cell>
          <cell r="E4041" t="str">
            <v>Baru</v>
          </cell>
          <cell r="H4041" t="str">
            <v>laboratorio</v>
          </cell>
          <cell r="J4041" t="str">
            <v>muybueno</v>
          </cell>
          <cell r="K4041" t="str">
            <v>defsi</v>
          </cell>
        </row>
        <row r="4042">
          <cell r="B4042" t="b">
            <v>1</v>
          </cell>
          <cell r="E4042" t="str">
            <v>Hospital Pozon</v>
          </cell>
          <cell r="H4042" t="str">
            <v>consulta_externa</v>
          </cell>
          <cell r="J4042" t="str">
            <v>bueno</v>
          </cell>
          <cell r="K4042" t="str">
            <v>defsi</v>
          </cell>
        </row>
        <row r="4043">
          <cell r="B4043" t="b">
            <v>1</v>
          </cell>
          <cell r="E4043" t="str">
            <v>Hospital Pozon</v>
          </cell>
          <cell r="H4043" t="str">
            <v>salud_oral</v>
          </cell>
          <cell r="J4043" t="str">
            <v>bueno</v>
          </cell>
          <cell r="K4043" t="str">
            <v>defsi</v>
          </cell>
        </row>
        <row r="4044">
          <cell r="B4044" t="b">
            <v>1</v>
          </cell>
          <cell r="E4044" t="str">
            <v>Hospital Pozon</v>
          </cell>
          <cell r="H4044" t="str">
            <v>laboratorio</v>
          </cell>
          <cell r="J4044" t="str">
            <v>bueno</v>
          </cell>
          <cell r="K4044" t="str">
            <v>defsi</v>
          </cell>
        </row>
        <row r="4045">
          <cell r="B4045" t="b">
            <v>1</v>
          </cell>
          <cell r="E4045" t="str">
            <v>Hospital Pozon</v>
          </cell>
          <cell r="H4045" t="str">
            <v>urgencia</v>
          </cell>
          <cell r="J4045" t="str">
            <v>bueno</v>
          </cell>
          <cell r="K4045" t="str">
            <v>defsi</v>
          </cell>
        </row>
        <row r="4046">
          <cell r="B4046" t="b">
            <v>1</v>
          </cell>
          <cell r="E4046" t="str">
            <v>Bicentenario</v>
          </cell>
          <cell r="H4046" t="str">
            <v>salud_oral</v>
          </cell>
          <cell r="J4046" t="str">
            <v>bueno</v>
          </cell>
          <cell r="K4046" t="str">
            <v>probsi</v>
          </cell>
        </row>
        <row r="4047">
          <cell r="B4047" t="b">
            <v>1</v>
          </cell>
          <cell r="E4047" t="str">
            <v>Bicentenario</v>
          </cell>
          <cell r="H4047" t="str">
            <v>salud_oral</v>
          </cell>
          <cell r="J4047" t="str">
            <v>bueno</v>
          </cell>
          <cell r="K4047" t="str">
            <v>probsi</v>
          </cell>
        </row>
        <row r="4048">
          <cell r="B4048" t="b">
            <v>1</v>
          </cell>
          <cell r="E4048" t="str">
            <v>Bicentenario</v>
          </cell>
          <cell r="H4048" t="str">
            <v>salud_oral</v>
          </cell>
          <cell r="J4048" t="str">
            <v>bueno</v>
          </cell>
          <cell r="K4048" t="str">
            <v>probsi</v>
          </cell>
        </row>
        <row r="4049">
          <cell r="B4049" t="b">
            <v>1</v>
          </cell>
          <cell r="E4049" t="str">
            <v>Bicentenario</v>
          </cell>
          <cell r="H4049" t="str">
            <v>laboratorio</v>
          </cell>
          <cell r="J4049" t="str">
            <v>bueno</v>
          </cell>
          <cell r="K4049" t="str">
            <v>probsi</v>
          </cell>
        </row>
        <row r="4050">
          <cell r="B4050" t="b">
            <v>1</v>
          </cell>
          <cell r="E4050" t="str">
            <v>Bicentenario</v>
          </cell>
          <cell r="H4050" t="str">
            <v>salud_oral</v>
          </cell>
          <cell r="J4050" t="str">
            <v>bueno</v>
          </cell>
          <cell r="K4050" t="str">
            <v>probsi</v>
          </cell>
        </row>
        <row r="4051">
          <cell r="B4051" t="b">
            <v>1</v>
          </cell>
          <cell r="E4051" t="str">
            <v>Bicentenario</v>
          </cell>
          <cell r="H4051" t="str">
            <v>urgencia</v>
          </cell>
          <cell r="J4051" t="str">
            <v>bueno</v>
          </cell>
          <cell r="K4051" t="str">
            <v>probsi</v>
          </cell>
        </row>
        <row r="4052">
          <cell r="B4052" t="b">
            <v>1</v>
          </cell>
          <cell r="E4052" t="str">
            <v>Baru</v>
          </cell>
          <cell r="H4052" t="str">
            <v>consulta_externa</v>
          </cell>
          <cell r="J4052" t="str">
            <v>muybueno</v>
          </cell>
          <cell r="K4052" t="str">
            <v>defsi</v>
          </cell>
        </row>
        <row r="4053">
          <cell r="B4053" t="b">
            <v>1</v>
          </cell>
          <cell r="E4053" t="str">
            <v>Baru</v>
          </cell>
          <cell r="H4053" t="str">
            <v>laboratorio</v>
          </cell>
          <cell r="J4053" t="str">
            <v>muybueno</v>
          </cell>
          <cell r="K4053" t="str">
            <v>defsi</v>
          </cell>
        </row>
        <row r="4054">
          <cell r="B4054" t="b">
            <v>1</v>
          </cell>
          <cell r="E4054" t="str">
            <v>Bicentenario</v>
          </cell>
          <cell r="H4054" t="str">
            <v>laboratorio</v>
          </cell>
          <cell r="J4054" t="str">
            <v>bueno</v>
          </cell>
          <cell r="K4054" t="str">
            <v>probsi</v>
          </cell>
        </row>
        <row r="4055">
          <cell r="B4055" t="b">
            <v>1</v>
          </cell>
          <cell r="E4055" t="str">
            <v>Bicentenario</v>
          </cell>
          <cell r="H4055" t="str">
            <v>salud_oral</v>
          </cell>
          <cell r="J4055" t="str">
            <v>bueno</v>
          </cell>
          <cell r="K4055" t="str">
            <v>probsi</v>
          </cell>
        </row>
        <row r="4056">
          <cell r="B4056" t="b">
            <v>1</v>
          </cell>
          <cell r="E4056" t="str">
            <v>Bicentenario</v>
          </cell>
          <cell r="H4056" t="str">
            <v>urgencia</v>
          </cell>
          <cell r="J4056" t="str">
            <v>bueno</v>
          </cell>
          <cell r="K4056" t="str">
            <v>probsi</v>
          </cell>
        </row>
        <row r="4057">
          <cell r="B4057" t="b">
            <v>1</v>
          </cell>
          <cell r="E4057" t="str">
            <v>Bicentenario</v>
          </cell>
          <cell r="H4057" t="str">
            <v>laboratorio</v>
          </cell>
          <cell r="J4057" t="str">
            <v>bueno</v>
          </cell>
          <cell r="K4057" t="str">
            <v>probsi</v>
          </cell>
        </row>
        <row r="4058">
          <cell r="B4058" t="b">
            <v>1</v>
          </cell>
          <cell r="E4058" t="str">
            <v>Bicentenario</v>
          </cell>
          <cell r="H4058" t="str">
            <v>laboratorio</v>
          </cell>
          <cell r="J4058" t="str">
            <v>bueno</v>
          </cell>
          <cell r="K4058" t="str">
            <v>probsi</v>
          </cell>
        </row>
        <row r="4059">
          <cell r="B4059" t="b">
            <v>1</v>
          </cell>
          <cell r="E4059" t="str">
            <v>Bicentenario</v>
          </cell>
          <cell r="H4059" t="str">
            <v>salud_oral</v>
          </cell>
          <cell r="J4059" t="str">
            <v>bueno</v>
          </cell>
          <cell r="K4059" t="str">
            <v>probsi</v>
          </cell>
        </row>
        <row r="4060">
          <cell r="B4060" t="b">
            <v>0</v>
          </cell>
          <cell r="E4060" t="str">
            <v>Bicentenario</v>
          </cell>
          <cell r="H4060" t="str">
            <v>rx</v>
          </cell>
          <cell r="J4060" t="str">
            <v>regular</v>
          </cell>
          <cell r="K4060" t="str">
            <v>probsi</v>
          </cell>
        </row>
        <row r="4061">
          <cell r="B4061" t="b">
            <v>1</v>
          </cell>
          <cell r="E4061" t="str">
            <v>Bicentenario</v>
          </cell>
          <cell r="H4061" t="str">
            <v>laboratorio</v>
          </cell>
          <cell r="J4061" t="str">
            <v>bueno</v>
          </cell>
          <cell r="K4061" t="str">
            <v>probsi</v>
          </cell>
        </row>
        <row r="4062">
          <cell r="B4062" t="b">
            <v>0</v>
          </cell>
          <cell r="E4062" t="str">
            <v>Bicentenario</v>
          </cell>
          <cell r="H4062" t="str">
            <v>urgencia</v>
          </cell>
          <cell r="J4062" t="str">
            <v>regular</v>
          </cell>
          <cell r="K4062" t="str">
            <v>probno</v>
          </cell>
        </row>
        <row r="4063">
          <cell r="B4063" t="b">
            <v>1</v>
          </cell>
          <cell r="E4063" t="str">
            <v>Baru</v>
          </cell>
          <cell r="H4063" t="str">
            <v>consulta_externa</v>
          </cell>
          <cell r="J4063" t="str">
            <v>muybueno</v>
          </cell>
          <cell r="K4063" t="str">
            <v>defsi</v>
          </cell>
        </row>
        <row r="4064">
          <cell r="B4064" t="b">
            <v>1</v>
          </cell>
          <cell r="E4064" t="str">
            <v>Baru</v>
          </cell>
          <cell r="H4064" t="str">
            <v>laboratorio</v>
          </cell>
          <cell r="J4064" t="str">
            <v>muybueno</v>
          </cell>
          <cell r="K4064" t="str">
            <v>defsi</v>
          </cell>
        </row>
        <row r="4065">
          <cell r="B4065" t="b">
            <v>1</v>
          </cell>
          <cell r="E4065" t="str">
            <v>Bicentenario</v>
          </cell>
          <cell r="H4065" t="str">
            <v>urgencia</v>
          </cell>
          <cell r="J4065" t="str">
            <v>bueno</v>
          </cell>
          <cell r="K4065" t="str">
            <v>probsi</v>
          </cell>
        </row>
        <row r="4066">
          <cell r="B4066" t="b">
            <v>1</v>
          </cell>
          <cell r="E4066" t="str">
            <v>Baru</v>
          </cell>
          <cell r="H4066" t="str">
            <v>salud_oral</v>
          </cell>
          <cell r="J4066" t="str">
            <v>muybueno</v>
          </cell>
          <cell r="K4066" t="str">
            <v>defsi</v>
          </cell>
        </row>
        <row r="4067">
          <cell r="B4067" t="b">
            <v>1</v>
          </cell>
          <cell r="E4067" t="str">
            <v>Bicentenario</v>
          </cell>
          <cell r="H4067" t="str">
            <v>salud_oral</v>
          </cell>
          <cell r="J4067" t="str">
            <v>bueno</v>
          </cell>
          <cell r="K4067" t="str">
            <v>probsi</v>
          </cell>
        </row>
        <row r="4068">
          <cell r="B4068" t="b">
            <v>1</v>
          </cell>
          <cell r="E4068" t="str">
            <v>Bicentenario</v>
          </cell>
          <cell r="H4068" t="str">
            <v>laboratorio</v>
          </cell>
          <cell r="J4068" t="str">
            <v>bueno</v>
          </cell>
          <cell r="K4068" t="str">
            <v>probsi</v>
          </cell>
        </row>
        <row r="4069">
          <cell r="B4069" t="b">
            <v>1</v>
          </cell>
          <cell r="E4069" t="str">
            <v>Bicentenario</v>
          </cell>
          <cell r="H4069" t="str">
            <v>rx</v>
          </cell>
          <cell r="J4069" t="str">
            <v>bueno</v>
          </cell>
          <cell r="K4069" t="str">
            <v>probsi</v>
          </cell>
        </row>
        <row r="4070">
          <cell r="B4070" t="b">
            <v>1</v>
          </cell>
          <cell r="E4070" t="str">
            <v>Bicentenario</v>
          </cell>
          <cell r="H4070" t="str">
            <v>rx</v>
          </cell>
          <cell r="J4070" t="str">
            <v>bueno</v>
          </cell>
          <cell r="K4070" t="str">
            <v>probsi</v>
          </cell>
        </row>
        <row r="4071">
          <cell r="B4071" t="b">
            <v>1</v>
          </cell>
          <cell r="E4071" t="str">
            <v>Bicentenario</v>
          </cell>
          <cell r="H4071" t="str">
            <v>rx</v>
          </cell>
          <cell r="J4071" t="str">
            <v>bueno</v>
          </cell>
          <cell r="K4071" t="str">
            <v>probsi</v>
          </cell>
        </row>
        <row r="4072">
          <cell r="B4072" t="b">
            <v>1</v>
          </cell>
          <cell r="E4072" t="str">
            <v>Hospital Pozon</v>
          </cell>
          <cell r="H4072" t="str">
            <v>consulta_externa</v>
          </cell>
          <cell r="J4072" t="str">
            <v>bueno</v>
          </cell>
          <cell r="K4072" t="str">
            <v>defsi</v>
          </cell>
        </row>
        <row r="4073">
          <cell r="B4073" t="b">
            <v>1</v>
          </cell>
          <cell r="E4073" t="str">
            <v>Hospital Pozon</v>
          </cell>
          <cell r="H4073" t="str">
            <v>salud_oral</v>
          </cell>
          <cell r="J4073" t="str">
            <v>bueno</v>
          </cell>
          <cell r="K4073" t="str">
            <v>defsi</v>
          </cell>
        </row>
        <row r="4074">
          <cell r="B4074" t="b">
            <v>1</v>
          </cell>
          <cell r="E4074" t="str">
            <v>Hospital Pozon</v>
          </cell>
          <cell r="H4074" t="str">
            <v>laboratorio</v>
          </cell>
          <cell r="J4074" t="str">
            <v>bueno</v>
          </cell>
          <cell r="K4074" t="str">
            <v>defsi</v>
          </cell>
        </row>
        <row r="4075">
          <cell r="B4075" t="b">
            <v>1</v>
          </cell>
          <cell r="E4075" t="str">
            <v>Hospital Pozon</v>
          </cell>
          <cell r="H4075" t="str">
            <v>urgencia</v>
          </cell>
          <cell r="J4075" t="str">
            <v>bueno</v>
          </cell>
          <cell r="K4075" t="str">
            <v>defsi</v>
          </cell>
        </row>
        <row r="4076">
          <cell r="B4076" t="b">
            <v>1</v>
          </cell>
          <cell r="E4076" t="str">
            <v>Baru</v>
          </cell>
          <cell r="H4076" t="str">
            <v>consulta_externa</v>
          </cell>
          <cell r="J4076" t="str">
            <v>muybueno</v>
          </cell>
          <cell r="K4076" t="str">
            <v>defsi</v>
          </cell>
        </row>
        <row r="4077">
          <cell r="B4077" t="b">
            <v>1</v>
          </cell>
          <cell r="E4077" t="str">
            <v>Baru</v>
          </cell>
          <cell r="H4077" t="str">
            <v>laboratorio</v>
          </cell>
          <cell r="J4077" t="str">
            <v>muybueno</v>
          </cell>
          <cell r="K4077" t="str">
            <v>defsi</v>
          </cell>
        </row>
        <row r="4078">
          <cell r="B4078" t="b">
            <v>1</v>
          </cell>
          <cell r="E4078" t="str">
            <v>Hospital Pozon</v>
          </cell>
          <cell r="H4078" t="str">
            <v>consulta_externa</v>
          </cell>
          <cell r="J4078" t="str">
            <v>bueno</v>
          </cell>
          <cell r="K4078" t="str">
            <v>defsi</v>
          </cell>
        </row>
        <row r="4079">
          <cell r="B4079" t="b">
            <v>1</v>
          </cell>
          <cell r="E4079" t="str">
            <v>Hospital Pozon</v>
          </cell>
          <cell r="H4079" t="str">
            <v>salud_oral</v>
          </cell>
          <cell r="J4079" t="str">
            <v>bueno</v>
          </cell>
          <cell r="K4079" t="str">
            <v>defsi</v>
          </cell>
        </row>
        <row r="4080">
          <cell r="B4080" t="b">
            <v>1</v>
          </cell>
          <cell r="E4080" t="str">
            <v>Hospital Pozon</v>
          </cell>
          <cell r="H4080" t="str">
            <v>laboratorio</v>
          </cell>
          <cell r="J4080" t="str">
            <v>bueno</v>
          </cell>
          <cell r="K4080" t="str">
            <v>defsi</v>
          </cell>
        </row>
        <row r="4081">
          <cell r="B4081" t="b">
            <v>1</v>
          </cell>
          <cell r="E4081" t="str">
            <v>Hospital Pozon</v>
          </cell>
          <cell r="H4081" t="str">
            <v>urgencia</v>
          </cell>
          <cell r="J4081" t="str">
            <v>bueno</v>
          </cell>
          <cell r="K4081" t="str">
            <v>defsi</v>
          </cell>
        </row>
        <row r="4082">
          <cell r="B4082" t="b">
            <v>1</v>
          </cell>
          <cell r="E4082" t="str">
            <v>Hospital Pozon</v>
          </cell>
          <cell r="H4082" t="str">
            <v>rx</v>
          </cell>
          <cell r="J4082" t="str">
            <v>bueno</v>
          </cell>
          <cell r="K4082" t="str">
            <v>defsi</v>
          </cell>
        </row>
        <row r="4083">
          <cell r="B4083" t="b">
            <v>1</v>
          </cell>
          <cell r="E4083" t="str">
            <v>Hospital Pozon</v>
          </cell>
          <cell r="H4083" t="str">
            <v>consulta_externa</v>
          </cell>
          <cell r="J4083" t="str">
            <v>bueno</v>
          </cell>
          <cell r="K4083" t="str">
            <v>defsi</v>
          </cell>
        </row>
        <row r="4084">
          <cell r="B4084" t="b">
            <v>1</v>
          </cell>
          <cell r="E4084" t="str">
            <v>Hospital Pozon</v>
          </cell>
          <cell r="H4084" t="str">
            <v>salud_oral</v>
          </cell>
          <cell r="J4084" t="str">
            <v>bueno</v>
          </cell>
          <cell r="K4084" t="str">
            <v>defsi</v>
          </cell>
        </row>
        <row r="4085">
          <cell r="B4085" t="b">
            <v>1</v>
          </cell>
          <cell r="E4085" t="str">
            <v>Hospital Pozon</v>
          </cell>
          <cell r="H4085" t="str">
            <v>laboratorio</v>
          </cell>
          <cell r="J4085" t="str">
            <v>bueno</v>
          </cell>
          <cell r="K4085" t="str">
            <v>defsi</v>
          </cell>
        </row>
        <row r="4086">
          <cell r="B4086" t="b">
            <v>1</v>
          </cell>
          <cell r="E4086" t="str">
            <v>Hospital Pozon</v>
          </cell>
          <cell r="H4086" t="str">
            <v>urgencia</v>
          </cell>
          <cell r="J4086" t="str">
            <v>bueno</v>
          </cell>
          <cell r="K4086" t="str">
            <v>defsi</v>
          </cell>
        </row>
        <row r="4087">
          <cell r="B4087" t="b">
            <v>1</v>
          </cell>
          <cell r="E4087" t="str">
            <v>Hospital Pozon</v>
          </cell>
          <cell r="H4087" t="str">
            <v>rx</v>
          </cell>
          <cell r="J4087" t="str">
            <v>bueno</v>
          </cell>
          <cell r="K4087" t="str">
            <v>defsi</v>
          </cell>
        </row>
        <row r="4088">
          <cell r="B4088" t="b">
            <v>1</v>
          </cell>
          <cell r="E4088" t="str">
            <v>Hospital Pozon</v>
          </cell>
          <cell r="H4088" t="str">
            <v>salud_oral</v>
          </cell>
          <cell r="J4088" t="str">
            <v>bueno</v>
          </cell>
          <cell r="K4088" t="str">
            <v>defsi</v>
          </cell>
        </row>
        <row r="4089">
          <cell r="B4089" t="b">
            <v>1</v>
          </cell>
          <cell r="E4089" t="str">
            <v>Hospital Pozon</v>
          </cell>
          <cell r="H4089" t="str">
            <v>consulta_externa</v>
          </cell>
          <cell r="J4089" t="str">
            <v>bueno</v>
          </cell>
          <cell r="K4089" t="str">
            <v>defsi</v>
          </cell>
        </row>
        <row r="4090">
          <cell r="B4090" t="b">
            <v>1</v>
          </cell>
          <cell r="E4090" t="str">
            <v>Hospital Pozon</v>
          </cell>
          <cell r="H4090" t="str">
            <v>laboratorio</v>
          </cell>
          <cell r="J4090" t="str">
            <v>bueno</v>
          </cell>
          <cell r="K4090" t="str">
            <v>defsi</v>
          </cell>
        </row>
        <row r="4091">
          <cell r="B4091" t="b">
            <v>1</v>
          </cell>
          <cell r="E4091" t="str">
            <v>Hospital Pozon</v>
          </cell>
          <cell r="H4091" t="str">
            <v>urgencia</v>
          </cell>
          <cell r="J4091" t="str">
            <v>bueno</v>
          </cell>
          <cell r="K4091" t="str">
            <v>defsi</v>
          </cell>
        </row>
        <row r="4092">
          <cell r="B4092" t="b">
            <v>1</v>
          </cell>
          <cell r="E4092" t="str">
            <v>Hospital Pozon</v>
          </cell>
          <cell r="H4092" t="str">
            <v>rx</v>
          </cell>
          <cell r="J4092" t="str">
            <v>bueno</v>
          </cell>
          <cell r="K4092" t="str">
            <v>defsi</v>
          </cell>
        </row>
        <row r="4093">
          <cell r="B4093" t="b">
            <v>1</v>
          </cell>
          <cell r="E4093" t="str">
            <v>Hospital Pozon</v>
          </cell>
          <cell r="H4093" t="str">
            <v>consulta_externa</v>
          </cell>
          <cell r="J4093" t="str">
            <v>bueno</v>
          </cell>
          <cell r="K4093" t="str">
            <v>defsi</v>
          </cell>
        </row>
        <row r="4094">
          <cell r="B4094" t="b">
            <v>1</v>
          </cell>
          <cell r="E4094" t="str">
            <v>Hospital Pozon</v>
          </cell>
          <cell r="H4094" t="str">
            <v>salud_oral</v>
          </cell>
          <cell r="J4094" t="str">
            <v>bueno</v>
          </cell>
          <cell r="K4094" t="str">
            <v>defsi</v>
          </cell>
        </row>
        <row r="4095">
          <cell r="B4095" t="b">
            <v>1</v>
          </cell>
          <cell r="E4095" t="str">
            <v>Hospital Pozon</v>
          </cell>
          <cell r="H4095" t="str">
            <v>laboratorio</v>
          </cell>
          <cell r="J4095" t="str">
            <v>bueno</v>
          </cell>
          <cell r="K4095" t="str">
            <v>defsi</v>
          </cell>
        </row>
        <row r="4096">
          <cell r="B4096" t="b">
            <v>1</v>
          </cell>
          <cell r="E4096" t="str">
            <v>Hospital Pozon</v>
          </cell>
          <cell r="H4096" t="str">
            <v>urgencia</v>
          </cell>
          <cell r="J4096" t="str">
            <v>bueno</v>
          </cell>
          <cell r="K4096" t="str">
            <v>defsi</v>
          </cell>
        </row>
        <row r="4097">
          <cell r="B4097" t="b">
            <v>1</v>
          </cell>
          <cell r="E4097" t="str">
            <v>Hospital Pozon</v>
          </cell>
          <cell r="H4097" t="str">
            <v>rx</v>
          </cell>
          <cell r="J4097" t="str">
            <v>bueno</v>
          </cell>
          <cell r="K4097" t="str">
            <v>defsi</v>
          </cell>
        </row>
        <row r="4098">
          <cell r="B4098" t="b">
            <v>1</v>
          </cell>
          <cell r="E4098" t="str">
            <v>Hospital Pozon</v>
          </cell>
          <cell r="H4098" t="str">
            <v>consulta_externa</v>
          </cell>
          <cell r="J4098" t="str">
            <v>bueno</v>
          </cell>
          <cell r="K4098" t="str">
            <v>defsi</v>
          </cell>
        </row>
        <row r="4099">
          <cell r="B4099" t="b">
            <v>1</v>
          </cell>
          <cell r="E4099" t="str">
            <v>Hospital Pozon</v>
          </cell>
          <cell r="H4099" t="str">
            <v>salud_oral</v>
          </cell>
          <cell r="J4099" t="str">
            <v>bueno</v>
          </cell>
          <cell r="K4099" t="str">
            <v>defsi</v>
          </cell>
        </row>
        <row r="4100">
          <cell r="B4100" t="b">
            <v>1</v>
          </cell>
          <cell r="E4100" t="str">
            <v>Hospital Pozon</v>
          </cell>
          <cell r="H4100" t="str">
            <v>laboratorio</v>
          </cell>
          <cell r="J4100" t="str">
            <v>bueno</v>
          </cell>
          <cell r="K4100" t="str">
            <v>defsi</v>
          </cell>
        </row>
        <row r="4101">
          <cell r="B4101" t="b">
            <v>1</v>
          </cell>
          <cell r="E4101" t="str">
            <v>Hospital Pozon</v>
          </cell>
          <cell r="H4101" t="str">
            <v>urgencia</v>
          </cell>
          <cell r="J4101" t="str">
            <v>bueno</v>
          </cell>
          <cell r="K4101" t="str">
            <v>defsi</v>
          </cell>
        </row>
        <row r="4102">
          <cell r="B4102" t="b">
            <v>1</v>
          </cell>
          <cell r="E4102" t="str">
            <v>Hospital Pozon</v>
          </cell>
          <cell r="H4102" t="str">
            <v>rx</v>
          </cell>
          <cell r="J4102" t="str">
            <v>bueno</v>
          </cell>
          <cell r="K4102" t="str">
            <v>defsi</v>
          </cell>
        </row>
        <row r="4103">
          <cell r="B4103" t="b">
            <v>1</v>
          </cell>
          <cell r="E4103" t="str">
            <v>Hospital Pozon</v>
          </cell>
          <cell r="H4103" t="str">
            <v>urgencia</v>
          </cell>
          <cell r="J4103" t="str">
            <v>bueno</v>
          </cell>
          <cell r="K4103" t="str">
            <v>defsi</v>
          </cell>
        </row>
        <row r="4104">
          <cell r="B4104" t="b">
            <v>1</v>
          </cell>
          <cell r="E4104" t="str">
            <v>Hospital Pozon</v>
          </cell>
          <cell r="H4104" t="str">
            <v>urgencia</v>
          </cell>
          <cell r="J4104" t="str">
            <v>bueno</v>
          </cell>
          <cell r="K4104" t="str">
            <v>defsi</v>
          </cell>
        </row>
        <row r="4105">
          <cell r="B4105" t="b">
            <v>1</v>
          </cell>
          <cell r="E4105" t="str">
            <v>Hospital Pozon</v>
          </cell>
          <cell r="H4105" t="str">
            <v>rx</v>
          </cell>
          <cell r="J4105" t="str">
            <v>bueno</v>
          </cell>
          <cell r="K4105" t="str">
            <v>defsi</v>
          </cell>
        </row>
        <row r="4106">
          <cell r="B4106" t="b">
            <v>1</v>
          </cell>
          <cell r="E4106" t="str">
            <v>Hospital Pozon</v>
          </cell>
          <cell r="H4106" t="str">
            <v>rx</v>
          </cell>
          <cell r="J4106" t="str">
            <v>bueno</v>
          </cell>
          <cell r="K4106" t="str">
            <v>defsi</v>
          </cell>
        </row>
        <row r="4107">
          <cell r="B4107" t="b">
            <v>1</v>
          </cell>
          <cell r="E4107" t="str">
            <v>Hospital Pozon</v>
          </cell>
          <cell r="H4107" t="str">
            <v>rx</v>
          </cell>
          <cell r="J4107" t="str">
            <v>bueno</v>
          </cell>
          <cell r="K4107" t="str">
            <v>defsi</v>
          </cell>
        </row>
        <row r="4108">
          <cell r="B4108" t="b">
            <v>1</v>
          </cell>
          <cell r="E4108" t="str">
            <v>Hospital Pozon</v>
          </cell>
          <cell r="H4108" t="str">
            <v>rx</v>
          </cell>
          <cell r="J4108" t="str">
            <v>bueno</v>
          </cell>
          <cell r="K4108" t="str">
            <v>defsi</v>
          </cell>
        </row>
        <row r="4109">
          <cell r="B4109" t="b">
            <v>1</v>
          </cell>
          <cell r="E4109" t="str">
            <v>Hospital Pozon</v>
          </cell>
          <cell r="H4109" t="str">
            <v>rx</v>
          </cell>
          <cell r="J4109" t="str">
            <v>bueno</v>
          </cell>
          <cell r="K4109" t="str">
            <v>defsi</v>
          </cell>
        </row>
        <row r="4110">
          <cell r="B4110" t="b">
            <v>1</v>
          </cell>
          <cell r="E4110" t="str">
            <v>Hospital Pozon</v>
          </cell>
          <cell r="H4110" t="str">
            <v>ginecologia</v>
          </cell>
          <cell r="J4110" t="str">
            <v>bueno</v>
          </cell>
          <cell r="K4110" t="str">
            <v>defsi</v>
          </cell>
        </row>
        <row r="4111">
          <cell r="B4111" t="b">
            <v>1</v>
          </cell>
          <cell r="E4111" t="str">
            <v>Hospital Pozon</v>
          </cell>
          <cell r="H4111" t="str">
            <v>ginecologia</v>
          </cell>
          <cell r="J4111" t="str">
            <v>bueno</v>
          </cell>
          <cell r="K4111" t="str">
            <v>defsi</v>
          </cell>
        </row>
        <row r="4112">
          <cell r="B4112" t="b">
            <v>1</v>
          </cell>
          <cell r="E4112" t="str">
            <v>Hospital Pozon</v>
          </cell>
          <cell r="H4112" t="str">
            <v>pediatria</v>
          </cell>
          <cell r="J4112" t="str">
            <v>bueno</v>
          </cell>
          <cell r="K4112" t="str">
            <v>defsi</v>
          </cell>
        </row>
        <row r="4113">
          <cell r="B4113" t="b">
            <v>1</v>
          </cell>
          <cell r="E4113" t="str">
            <v>Hospital Pozon</v>
          </cell>
          <cell r="H4113" t="str">
            <v>pediatria</v>
          </cell>
          <cell r="J4113" t="str">
            <v>bueno</v>
          </cell>
          <cell r="K4113" t="str">
            <v>defsi</v>
          </cell>
        </row>
        <row r="4114">
          <cell r="B4114" t="b">
            <v>1</v>
          </cell>
          <cell r="E4114" t="str">
            <v>Hospital Pozon</v>
          </cell>
          <cell r="H4114" t="str">
            <v>medicina_interna</v>
          </cell>
          <cell r="J4114" t="str">
            <v>bueno</v>
          </cell>
          <cell r="K4114" t="str">
            <v>defsi</v>
          </cell>
        </row>
        <row r="4115">
          <cell r="B4115" t="b">
            <v>1</v>
          </cell>
          <cell r="E4115" t="str">
            <v>Hospital Pozon</v>
          </cell>
          <cell r="H4115" t="str">
            <v>rx</v>
          </cell>
          <cell r="J4115" t="str">
            <v>bueno</v>
          </cell>
          <cell r="K4115" t="str">
            <v>defsi</v>
          </cell>
        </row>
        <row r="4116">
          <cell r="B4116" t="b">
            <v>1</v>
          </cell>
          <cell r="E4116" t="str">
            <v>Hospital Pozon</v>
          </cell>
          <cell r="H4116" t="str">
            <v>rx</v>
          </cell>
          <cell r="J4116" t="str">
            <v>bueno</v>
          </cell>
          <cell r="K4116" t="str">
            <v>defsi</v>
          </cell>
        </row>
        <row r="4117">
          <cell r="B4117" t="b">
            <v>1</v>
          </cell>
          <cell r="E4117" t="str">
            <v>Hospital Pozon</v>
          </cell>
          <cell r="H4117" t="str">
            <v>rx</v>
          </cell>
          <cell r="J4117" t="str">
            <v>bueno</v>
          </cell>
          <cell r="K4117" t="str">
            <v>defsi</v>
          </cell>
        </row>
        <row r="4118">
          <cell r="B4118" t="b">
            <v>1</v>
          </cell>
          <cell r="E4118" t="str">
            <v>Esperanza</v>
          </cell>
          <cell r="H4118" t="str">
            <v>consulta_externa</v>
          </cell>
          <cell r="J4118" t="str">
            <v>bueno</v>
          </cell>
          <cell r="K4118" t="str">
            <v>defsi</v>
          </cell>
        </row>
        <row r="4119">
          <cell r="B4119" t="b">
            <v>1</v>
          </cell>
          <cell r="E4119" t="str">
            <v>Esperanza</v>
          </cell>
          <cell r="H4119" t="str">
            <v>salud_oral</v>
          </cell>
          <cell r="J4119" t="str">
            <v>bueno</v>
          </cell>
          <cell r="K4119" t="str">
            <v>defsi</v>
          </cell>
        </row>
        <row r="4120">
          <cell r="B4120" t="b">
            <v>1</v>
          </cell>
          <cell r="E4120" t="str">
            <v>Esperanza</v>
          </cell>
          <cell r="H4120" t="str">
            <v>laboratorio</v>
          </cell>
          <cell r="J4120" t="str">
            <v>bueno</v>
          </cell>
          <cell r="K4120" t="str">
            <v>defsi</v>
          </cell>
        </row>
        <row r="4121">
          <cell r="B4121" t="b">
            <v>1</v>
          </cell>
          <cell r="E4121" t="str">
            <v>Esperanza</v>
          </cell>
          <cell r="H4121" t="str">
            <v>urgencia</v>
          </cell>
          <cell r="J4121" t="str">
            <v>bueno</v>
          </cell>
          <cell r="K4121" t="str">
            <v>defsi</v>
          </cell>
        </row>
        <row r="4122">
          <cell r="B4122" t="b">
            <v>1</v>
          </cell>
          <cell r="E4122" t="str">
            <v>Esperanza</v>
          </cell>
          <cell r="H4122" t="str">
            <v>electros</v>
          </cell>
          <cell r="J4122" t="str">
            <v>bueno</v>
          </cell>
          <cell r="K4122" t="str">
            <v>defsi</v>
          </cell>
        </row>
        <row r="4123">
          <cell r="B4123" t="b">
            <v>1</v>
          </cell>
          <cell r="E4123" t="str">
            <v>Esperanza</v>
          </cell>
          <cell r="H4123" t="str">
            <v>consulta_externa</v>
          </cell>
          <cell r="J4123" t="str">
            <v>bueno</v>
          </cell>
          <cell r="K4123" t="str">
            <v>defsi</v>
          </cell>
        </row>
        <row r="4124">
          <cell r="B4124" t="b">
            <v>1</v>
          </cell>
          <cell r="E4124" t="str">
            <v>Esperanza</v>
          </cell>
          <cell r="H4124" t="str">
            <v>salud_oral</v>
          </cell>
          <cell r="J4124" t="str">
            <v>bueno</v>
          </cell>
          <cell r="K4124" t="str">
            <v>defsi</v>
          </cell>
        </row>
        <row r="4125">
          <cell r="B4125" t="b">
            <v>1</v>
          </cell>
          <cell r="E4125" t="str">
            <v>Esperanza</v>
          </cell>
          <cell r="H4125" t="str">
            <v>laboratorio</v>
          </cell>
          <cell r="J4125" t="str">
            <v>bueno</v>
          </cell>
          <cell r="K4125" t="str">
            <v>defsi</v>
          </cell>
        </row>
        <row r="4126">
          <cell r="B4126" t="b">
            <v>1</v>
          </cell>
          <cell r="E4126" t="str">
            <v>Esperanza</v>
          </cell>
          <cell r="H4126" t="str">
            <v>urgencia</v>
          </cell>
          <cell r="J4126" t="str">
            <v>bueno</v>
          </cell>
          <cell r="K4126" t="str">
            <v>defsi</v>
          </cell>
        </row>
        <row r="4127">
          <cell r="B4127" t="b">
            <v>1</v>
          </cell>
          <cell r="E4127" t="str">
            <v>Esperanza</v>
          </cell>
          <cell r="H4127" t="str">
            <v>electros</v>
          </cell>
          <cell r="J4127" t="str">
            <v>bueno</v>
          </cell>
          <cell r="K4127" t="str">
            <v>defsi</v>
          </cell>
        </row>
        <row r="4128">
          <cell r="B4128" t="b">
            <v>1</v>
          </cell>
          <cell r="E4128" t="str">
            <v>Esperanza</v>
          </cell>
          <cell r="H4128" t="str">
            <v>consulta_externa</v>
          </cell>
          <cell r="J4128" t="str">
            <v>bueno</v>
          </cell>
          <cell r="K4128" t="str">
            <v>defsi</v>
          </cell>
        </row>
        <row r="4129">
          <cell r="B4129" t="b">
            <v>1</v>
          </cell>
          <cell r="E4129" t="str">
            <v>Esperanza</v>
          </cell>
          <cell r="H4129" t="str">
            <v>salud_oral</v>
          </cell>
          <cell r="J4129" t="str">
            <v>bueno</v>
          </cell>
          <cell r="K4129" t="str">
            <v>defsi</v>
          </cell>
        </row>
        <row r="4130">
          <cell r="B4130" t="b">
            <v>1</v>
          </cell>
          <cell r="E4130" t="str">
            <v>Esperanza</v>
          </cell>
          <cell r="H4130" t="str">
            <v>laboratorio</v>
          </cell>
          <cell r="J4130" t="str">
            <v>bueno</v>
          </cell>
          <cell r="K4130" t="str">
            <v>defsi</v>
          </cell>
        </row>
        <row r="4131">
          <cell r="B4131" t="b">
            <v>1</v>
          </cell>
          <cell r="E4131" t="str">
            <v>Esperanza</v>
          </cell>
          <cell r="H4131" t="str">
            <v>urgencia</v>
          </cell>
          <cell r="J4131" t="str">
            <v>bueno</v>
          </cell>
          <cell r="K4131" t="str">
            <v>defsi</v>
          </cell>
        </row>
        <row r="4132">
          <cell r="B4132" t="b">
            <v>1</v>
          </cell>
          <cell r="E4132" t="str">
            <v>Esperanza</v>
          </cell>
          <cell r="H4132" t="str">
            <v>electros</v>
          </cell>
          <cell r="J4132" t="str">
            <v>bueno</v>
          </cell>
          <cell r="K4132" t="str">
            <v>defsi</v>
          </cell>
        </row>
        <row r="4133">
          <cell r="B4133" t="b">
            <v>1</v>
          </cell>
          <cell r="E4133" t="str">
            <v>Candelaria</v>
          </cell>
          <cell r="H4133" t="str">
            <v>consulta_externa</v>
          </cell>
          <cell r="J4133" t="str">
            <v>bueno</v>
          </cell>
          <cell r="K4133" t="str">
            <v>probsi</v>
          </cell>
        </row>
        <row r="4134">
          <cell r="B4134" t="b">
            <v>1</v>
          </cell>
          <cell r="E4134" t="str">
            <v>Candelaria</v>
          </cell>
          <cell r="H4134" t="str">
            <v>salud_oral</v>
          </cell>
          <cell r="J4134" t="str">
            <v>bueno</v>
          </cell>
          <cell r="K4134" t="str">
            <v>probsi</v>
          </cell>
        </row>
        <row r="4135">
          <cell r="B4135" t="b">
            <v>1</v>
          </cell>
          <cell r="E4135" t="str">
            <v>Candelaria</v>
          </cell>
          <cell r="H4135" t="str">
            <v>laboratorio</v>
          </cell>
          <cell r="J4135" t="str">
            <v>bueno</v>
          </cell>
          <cell r="K4135" t="str">
            <v>probsi</v>
          </cell>
        </row>
        <row r="4136">
          <cell r="B4136" t="b">
            <v>1</v>
          </cell>
          <cell r="E4136" t="str">
            <v>Candelaria</v>
          </cell>
          <cell r="H4136" t="str">
            <v>consulta_externa</v>
          </cell>
          <cell r="J4136" t="str">
            <v>bueno</v>
          </cell>
          <cell r="K4136" t="str">
            <v>probsi</v>
          </cell>
        </row>
        <row r="4137">
          <cell r="B4137" t="b">
            <v>1</v>
          </cell>
          <cell r="E4137" t="str">
            <v>Candelaria</v>
          </cell>
          <cell r="H4137" t="str">
            <v>consulta_externa</v>
          </cell>
          <cell r="J4137" t="str">
            <v>bueno</v>
          </cell>
          <cell r="K4137" t="str">
            <v>probsi</v>
          </cell>
        </row>
        <row r="4138">
          <cell r="B4138" t="b">
            <v>1</v>
          </cell>
          <cell r="E4138" t="str">
            <v>Candelaria</v>
          </cell>
          <cell r="H4138" t="str">
            <v>consulta_externa</v>
          </cell>
          <cell r="J4138" t="str">
            <v>bueno</v>
          </cell>
          <cell r="K4138" t="str">
            <v>probsi</v>
          </cell>
        </row>
        <row r="4139">
          <cell r="B4139" t="b">
            <v>1</v>
          </cell>
          <cell r="E4139" t="str">
            <v>Candelaria</v>
          </cell>
          <cell r="H4139" t="str">
            <v>salud_oral</v>
          </cell>
          <cell r="J4139" t="str">
            <v>bueno</v>
          </cell>
          <cell r="K4139" t="str">
            <v>probsi</v>
          </cell>
        </row>
        <row r="4140">
          <cell r="B4140" t="b">
            <v>1</v>
          </cell>
          <cell r="E4140" t="str">
            <v>Candelaria</v>
          </cell>
          <cell r="H4140" t="str">
            <v>consulta_externa</v>
          </cell>
          <cell r="J4140" t="str">
            <v>bueno</v>
          </cell>
          <cell r="K4140" t="str">
            <v>probsi</v>
          </cell>
        </row>
        <row r="4141">
          <cell r="B4141" t="b">
            <v>1</v>
          </cell>
          <cell r="E4141" t="str">
            <v>Candelaria</v>
          </cell>
          <cell r="H4141" t="str">
            <v>salud_oral</v>
          </cell>
          <cell r="J4141" t="str">
            <v>bueno</v>
          </cell>
          <cell r="K4141" t="str">
            <v>probsi</v>
          </cell>
        </row>
        <row r="4142">
          <cell r="B4142" t="b">
            <v>1</v>
          </cell>
          <cell r="E4142" t="str">
            <v>Candelaria</v>
          </cell>
          <cell r="H4142" t="str">
            <v>salud_oral</v>
          </cell>
          <cell r="J4142" t="str">
            <v>bueno</v>
          </cell>
          <cell r="K4142" t="str">
            <v>probsi</v>
          </cell>
        </row>
        <row r="4143">
          <cell r="B4143" t="b">
            <v>1</v>
          </cell>
          <cell r="E4143" t="str">
            <v>Candelaria</v>
          </cell>
          <cell r="H4143" t="str">
            <v>consulta_externa</v>
          </cell>
          <cell r="J4143" t="str">
            <v>bueno</v>
          </cell>
          <cell r="K4143" t="str">
            <v>probsi</v>
          </cell>
        </row>
        <row r="4144">
          <cell r="B4144" t="b">
            <v>1</v>
          </cell>
          <cell r="E4144" t="str">
            <v>Candelaria</v>
          </cell>
          <cell r="H4144" t="str">
            <v>salud_oral</v>
          </cell>
          <cell r="J4144" t="str">
            <v>bueno</v>
          </cell>
          <cell r="K4144" t="str">
            <v>probsi</v>
          </cell>
        </row>
        <row r="4145">
          <cell r="B4145" t="b">
            <v>1</v>
          </cell>
          <cell r="E4145" t="str">
            <v>Candelaria</v>
          </cell>
          <cell r="H4145" t="str">
            <v>consulta_externa</v>
          </cell>
          <cell r="J4145" t="str">
            <v>bueno</v>
          </cell>
          <cell r="K4145" t="str">
            <v>probsi</v>
          </cell>
        </row>
        <row r="4146">
          <cell r="B4146" t="b">
            <v>1</v>
          </cell>
          <cell r="E4146" t="str">
            <v>Candelaria</v>
          </cell>
          <cell r="H4146" t="str">
            <v>salud_oral</v>
          </cell>
          <cell r="J4146" t="str">
            <v>bueno</v>
          </cell>
          <cell r="K4146" t="str">
            <v>probsi</v>
          </cell>
        </row>
        <row r="4147">
          <cell r="B4147" t="b">
            <v>1</v>
          </cell>
          <cell r="E4147" t="str">
            <v>Candelaria</v>
          </cell>
          <cell r="H4147" t="str">
            <v>consulta_externa</v>
          </cell>
          <cell r="J4147" t="str">
            <v>bueno</v>
          </cell>
          <cell r="K4147" t="str">
            <v>probsi</v>
          </cell>
        </row>
        <row r="4148">
          <cell r="B4148" t="b">
            <v>0</v>
          </cell>
          <cell r="E4148" t="str">
            <v>Candelaria</v>
          </cell>
          <cell r="H4148" t="str">
            <v>salud_oral</v>
          </cell>
          <cell r="J4148" t="str">
            <v>regular</v>
          </cell>
          <cell r="K4148" t="str">
            <v>probsi</v>
          </cell>
        </row>
        <row r="4149">
          <cell r="B4149" t="b">
            <v>1</v>
          </cell>
          <cell r="E4149" t="str">
            <v>Candelaria</v>
          </cell>
          <cell r="H4149" t="str">
            <v>laboratorio</v>
          </cell>
          <cell r="J4149" t="str">
            <v>bueno</v>
          </cell>
          <cell r="K4149" t="str">
            <v>probsi</v>
          </cell>
        </row>
        <row r="4150">
          <cell r="B4150" t="b">
            <v>1</v>
          </cell>
          <cell r="E4150" t="str">
            <v>Candelaria</v>
          </cell>
          <cell r="H4150" t="str">
            <v>laboratorio</v>
          </cell>
          <cell r="J4150" t="str">
            <v>bueno</v>
          </cell>
          <cell r="K4150" t="str">
            <v>probsi</v>
          </cell>
        </row>
        <row r="4151">
          <cell r="B4151" t="b">
            <v>1</v>
          </cell>
          <cell r="E4151" t="str">
            <v>Candelaria</v>
          </cell>
          <cell r="H4151" t="str">
            <v>consulta_externa</v>
          </cell>
          <cell r="J4151" t="str">
            <v>bueno</v>
          </cell>
          <cell r="K4151" t="str">
            <v>probsi</v>
          </cell>
        </row>
        <row r="4152">
          <cell r="B4152" t="b">
            <v>1</v>
          </cell>
          <cell r="E4152" t="str">
            <v>Candelaria</v>
          </cell>
          <cell r="H4152" t="str">
            <v>consulta_externa</v>
          </cell>
          <cell r="J4152" t="str">
            <v>bueno</v>
          </cell>
          <cell r="K4152" t="str">
            <v>probsi</v>
          </cell>
        </row>
        <row r="4153">
          <cell r="B4153" t="b">
            <v>1</v>
          </cell>
          <cell r="E4153" t="str">
            <v>Candelaria</v>
          </cell>
          <cell r="H4153" t="str">
            <v>salud_oral</v>
          </cell>
          <cell r="J4153" t="str">
            <v>bueno</v>
          </cell>
          <cell r="K4153" t="str">
            <v>probsi</v>
          </cell>
        </row>
        <row r="4154">
          <cell r="B4154" t="b">
            <v>1</v>
          </cell>
          <cell r="E4154" t="str">
            <v>Candelaria</v>
          </cell>
          <cell r="H4154" t="str">
            <v>electros</v>
          </cell>
          <cell r="J4154" t="str">
            <v>bueno</v>
          </cell>
          <cell r="K4154" t="str">
            <v>probsi</v>
          </cell>
        </row>
        <row r="4155">
          <cell r="B4155" t="b">
            <v>1</v>
          </cell>
          <cell r="E4155" t="str">
            <v>Candelaria</v>
          </cell>
          <cell r="H4155" t="str">
            <v>electros</v>
          </cell>
          <cell r="J4155" t="str">
            <v>bueno</v>
          </cell>
          <cell r="K4155" t="str">
            <v>probsi</v>
          </cell>
        </row>
        <row r="4156">
          <cell r="B4156" t="b">
            <v>0</v>
          </cell>
          <cell r="E4156" t="str">
            <v>Candelaria</v>
          </cell>
          <cell r="H4156" t="str">
            <v>electros</v>
          </cell>
          <cell r="J4156" t="str">
            <v>regular</v>
          </cell>
          <cell r="K4156" t="str">
            <v>probsi</v>
          </cell>
        </row>
        <row r="4157">
          <cell r="B4157" t="b">
            <v>1</v>
          </cell>
          <cell r="E4157" t="str">
            <v>Candelaria</v>
          </cell>
          <cell r="H4157" t="str">
            <v>electros</v>
          </cell>
          <cell r="J4157" t="str">
            <v>bueno</v>
          </cell>
          <cell r="K4157" t="str">
            <v>probsi</v>
          </cell>
        </row>
        <row r="4158">
          <cell r="B4158" t="b">
            <v>1</v>
          </cell>
          <cell r="E4158" t="str">
            <v>Candelaria</v>
          </cell>
          <cell r="H4158" t="str">
            <v>electros</v>
          </cell>
          <cell r="J4158" t="str">
            <v>bueno</v>
          </cell>
          <cell r="K4158" t="str">
            <v>probsi</v>
          </cell>
        </row>
        <row r="4159">
          <cell r="B4159" t="b">
            <v>1</v>
          </cell>
          <cell r="E4159" t="str">
            <v>Candelaria</v>
          </cell>
          <cell r="H4159" t="str">
            <v>electros</v>
          </cell>
          <cell r="J4159" t="str">
            <v>bueno</v>
          </cell>
          <cell r="K4159" t="str">
            <v>probsi</v>
          </cell>
        </row>
        <row r="4160">
          <cell r="B4160" t="b">
            <v>1</v>
          </cell>
          <cell r="E4160" t="str">
            <v>Candelaria</v>
          </cell>
          <cell r="H4160" t="str">
            <v>electros</v>
          </cell>
          <cell r="J4160" t="str">
            <v>bueno</v>
          </cell>
          <cell r="K4160" t="str">
            <v>probsi</v>
          </cell>
        </row>
        <row r="4161">
          <cell r="B4161" t="b">
            <v>1</v>
          </cell>
          <cell r="E4161" t="str">
            <v>Candelaria</v>
          </cell>
          <cell r="H4161" t="str">
            <v>electros</v>
          </cell>
          <cell r="J4161" t="str">
            <v>bueno</v>
          </cell>
          <cell r="K4161" t="str">
            <v>probsi</v>
          </cell>
        </row>
        <row r="4162">
          <cell r="B4162" t="b">
            <v>1</v>
          </cell>
          <cell r="E4162" t="str">
            <v>Candelaria</v>
          </cell>
          <cell r="H4162" t="str">
            <v>consulta_externa</v>
          </cell>
          <cell r="J4162" t="str">
            <v>bueno</v>
          </cell>
          <cell r="K4162" t="str">
            <v>probsi</v>
          </cell>
        </row>
        <row r="4163">
          <cell r="B4163" t="b">
            <v>1</v>
          </cell>
          <cell r="E4163" t="str">
            <v>Candelaria</v>
          </cell>
          <cell r="H4163" t="str">
            <v>consulta_externa</v>
          </cell>
          <cell r="J4163" t="str">
            <v>bueno</v>
          </cell>
          <cell r="K4163" t="str">
            <v>probsi</v>
          </cell>
        </row>
        <row r="4164">
          <cell r="B4164" t="b">
            <v>1</v>
          </cell>
          <cell r="E4164" t="str">
            <v>Candelaria</v>
          </cell>
          <cell r="H4164" t="str">
            <v>laboratorio</v>
          </cell>
          <cell r="J4164" t="str">
            <v>bueno</v>
          </cell>
          <cell r="K4164" t="str">
            <v>probsi</v>
          </cell>
        </row>
        <row r="4165">
          <cell r="B4165" t="b">
            <v>1</v>
          </cell>
          <cell r="E4165" t="str">
            <v>Candelaria</v>
          </cell>
          <cell r="H4165" t="str">
            <v>salud_oral</v>
          </cell>
          <cell r="J4165" t="str">
            <v>muybueno</v>
          </cell>
          <cell r="K4165" t="str">
            <v>probsi</v>
          </cell>
        </row>
        <row r="4166">
          <cell r="B4166" t="b">
            <v>1</v>
          </cell>
          <cell r="E4166" t="str">
            <v>Candelaria</v>
          </cell>
          <cell r="H4166" t="str">
            <v>salud_oral</v>
          </cell>
          <cell r="J4166" t="str">
            <v>muybueno</v>
          </cell>
          <cell r="K4166" t="str">
            <v>probsi</v>
          </cell>
        </row>
        <row r="4167">
          <cell r="B4167" t="b">
            <v>1</v>
          </cell>
          <cell r="E4167" t="str">
            <v>Candelaria</v>
          </cell>
          <cell r="H4167" t="str">
            <v>laboratorio</v>
          </cell>
          <cell r="J4167" t="str">
            <v>bueno</v>
          </cell>
          <cell r="K4167" t="str">
            <v>probsi</v>
          </cell>
        </row>
        <row r="4168">
          <cell r="B4168" t="b">
            <v>1</v>
          </cell>
          <cell r="E4168" t="str">
            <v>Esperanza</v>
          </cell>
          <cell r="H4168" t="str">
            <v>consulta_externa</v>
          </cell>
          <cell r="J4168" t="str">
            <v>bueno</v>
          </cell>
          <cell r="K4168" t="str">
            <v>defsi</v>
          </cell>
        </row>
        <row r="4169">
          <cell r="B4169" t="b">
            <v>1</v>
          </cell>
          <cell r="E4169" t="str">
            <v>Esperanza</v>
          </cell>
          <cell r="H4169" t="str">
            <v>salud_oral</v>
          </cell>
          <cell r="J4169" t="str">
            <v>bueno</v>
          </cell>
          <cell r="K4169" t="str">
            <v>defsi</v>
          </cell>
        </row>
        <row r="4170">
          <cell r="B4170" t="b">
            <v>1</v>
          </cell>
          <cell r="E4170" t="str">
            <v>Esperanza</v>
          </cell>
          <cell r="H4170" t="str">
            <v>laboratorio</v>
          </cell>
          <cell r="J4170" t="str">
            <v>bueno</v>
          </cell>
          <cell r="K4170" t="str">
            <v>defsi</v>
          </cell>
        </row>
        <row r="4171">
          <cell r="B4171" t="b">
            <v>1</v>
          </cell>
          <cell r="E4171" t="str">
            <v>Esperanza</v>
          </cell>
          <cell r="H4171" t="str">
            <v>urgencia</v>
          </cell>
          <cell r="J4171" t="str">
            <v>bueno</v>
          </cell>
          <cell r="K4171" t="str">
            <v>defsi</v>
          </cell>
        </row>
        <row r="4172">
          <cell r="B4172" t="b">
            <v>1</v>
          </cell>
          <cell r="E4172" t="str">
            <v>Esperanza</v>
          </cell>
          <cell r="H4172" t="str">
            <v>electros</v>
          </cell>
          <cell r="J4172" t="str">
            <v>bueno</v>
          </cell>
          <cell r="K4172" t="str">
            <v>defsi</v>
          </cell>
        </row>
        <row r="4173">
          <cell r="B4173" t="b">
            <v>1</v>
          </cell>
          <cell r="E4173" t="str">
            <v>Esperanza</v>
          </cell>
          <cell r="H4173" t="str">
            <v>consulta_externa</v>
          </cell>
          <cell r="J4173" t="str">
            <v>bueno</v>
          </cell>
          <cell r="K4173" t="str">
            <v>defsi</v>
          </cell>
        </row>
        <row r="4174">
          <cell r="B4174" t="b">
            <v>1</v>
          </cell>
          <cell r="E4174" t="str">
            <v>Los Cerros</v>
          </cell>
          <cell r="H4174" t="str">
            <v>salud_oral</v>
          </cell>
          <cell r="J4174" t="str">
            <v>bueno</v>
          </cell>
          <cell r="K4174" t="str">
            <v>defsi</v>
          </cell>
        </row>
        <row r="4175">
          <cell r="B4175" t="b">
            <v>1</v>
          </cell>
          <cell r="E4175" t="str">
            <v>Esperanza</v>
          </cell>
          <cell r="H4175" t="str">
            <v>salud_oral</v>
          </cell>
          <cell r="J4175" t="str">
            <v>bueno</v>
          </cell>
          <cell r="K4175" t="str">
            <v>defsi</v>
          </cell>
        </row>
        <row r="4176">
          <cell r="B4176" t="b">
            <v>1</v>
          </cell>
          <cell r="E4176" t="str">
            <v>Esperanza</v>
          </cell>
          <cell r="H4176" t="str">
            <v>laboratorio</v>
          </cell>
          <cell r="J4176" t="str">
            <v>bueno</v>
          </cell>
          <cell r="K4176" t="str">
            <v>defsi</v>
          </cell>
        </row>
        <row r="4177">
          <cell r="B4177" t="b">
            <v>0</v>
          </cell>
          <cell r="E4177" t="str">
            <v>Candelaria</v>
          </cell>
          <cell r="H4177" t="str">
            <v>urgencia</v>
          </cell>
          <cell r="J4177" t="str">
            <v>regular</v>
          </cell>
          <cell r="K4177" t="str">
            <v>probsi</v>
          </cell>
        </row>
        <row r="4178">
          <cell r="B4178" t="b">
            <v>1</v>
          </cell>
          <cell r="E4178" t="str">
            <v>Candelaria</v>
          </cell>
          <cell r="H4178" t="str">
            <v>urgencia</v>
          </cell>
          <cell r="J4178" t="str">
            <v>bueno</v>
          </cell>
          <cell r="K4178" t="str">
            <v>probsi</v>
          </cell>
        </row>
        <row r="4179">
          <cell r="B4179" t="b">
            <v>1</v>
          </cell>
          <cell r="E4179" t="str">
            <v>Esperanza</v>
          </cell>
          <cell r="H4179" t="str">
            <v>urgencia</v>
          </cell>
          <cell r="J4179" t="str">
            <v>bueno</v>
          </cell>
          <cell r="K4179" t="str">
            <v>defsi</v>
          </cell>
        </row>
        <row r="4180">
          <cell r="B4180" t="b">
            <v>1</v>
          </cell>
          <cell r="E4180" t="str">
            <v>Esperanza</v>
          </cell>
          <cell r="H4180" t="str">
            <v>electros</v>
          </cell>
          <cell r="J4180" t="str">
            <v>bueno</v>
          </cell>
          <cell r="K4180" t="str">
            <v>defsi</v>
          </cell>
        </row>
        <row r="4181">
          <cell r="B4181" t="b">
            <v>1</v>
          </cell>
          <cell r="E4181" t="str">
            <v>Candelaria</v>
          </cell>
          <cell r="H4181" t="str">
            <v>urgencia</v>
          </cell>
          <cell r="J4181" t="str">
            <v>bueno</v>
          </cell>
          <cell r="K4181" t="str">
            <v>probsi</v>
          </cell>
        </row>
        <row r="4182">
          <cell r="B4182" t="b">
            <v>1</v>
          </cell>
          <cell r="E4182" t="str">
            <v>Candelaria</v>
          </cell>
          <cell r="H4182" t="str">
            <v>urgencia</v>
          </cell>
          <cell r="J4182" t="str">
            <v>bueno</v>
          </cell>
          <cell r="K4182" t="str">
            <v>probsi</v>
          </cell>
        </row>
        <row r="4183">
          <cell r="B4183" t="b">
            <v>1</v>
          </cell>
          <cell r="E4183" t="str">
            <v>Candelaria</v>
          </cell>
          <cell r="H4183" t="str">
            <v>urgencia</v>
          </cell>
          <cell r="J4183" t="str">
            <v>bueno</v>
          </cell>
          <cell r="K4183" t="str">
            <v>probsi</v>
          </cell>
        </row>
        <row r="4184">
          <cell r="B4184" t="b">
            <v>1</v>
          </cell>
          <cell r="E4184" t="str">
            <v>Candelaria</v>
          </cell>
          <cell r="H4184" t="str">
            <v>urgencia</v>
          </cell>
          <cell r="J4184" t="str">
            <v>bueno</v>
          </cell>
          <cell r="K4184" t="str">
            <v>probsi</v>
          </cell>
        </row>
        <row r="4185">
          <cell r="B4185" t="b">
            <v>1</v>
          </cell>
          <cell r="E4185" t="str">
            <v>Candelaria</v>
          </cell>
          <cell r="H4185" t="str">
            <v>urgencia</v>
          </cell>
          <cell r="J4185" t="str">
            <v>bueno</v>
          </cell>
          <cell r="K4185" t="str">
            <v>probsi</v>
          </cell>
        </row>
        <row r="4186">
          <cell r="B4186" t="b">
            <v>1</v>
          </cell>
          <cell r="E4186" t="str">
            <v>Candelaria</v>
          </cell>
          <cell r="H4186" t="str">
            <v>urgencia</v>
          </cell>
          <cell r="J4186" t="str">
            <v>bueno</v>
          </cell>
          <cell r="K4186" t="str">
            <v>probsi</v>
          </cell>
        </row>
        <row r="4187">
          <cell r="B4187" t="b">
            <v>1</v>
          </cell>
          <cell r="E4187" t="str">
            <v>Los Cerros</v>
          </cell>
          <cell r="H4187" t="str">
            <v>salud_oral</v>
          </cell>
          <cell r="J4187" t="str">
            <v>bueno</v>
          </cell>
          <cell r="K4187" t="str">
            <v>defsi</v>
          </cell>
        </row>
        <row r="4188">
          <cell r="B4188" t="b">
            <v>1</v>
          </cell>
          <cell r="E4188" t="str">
            <v>Los Cerros</v>
          </cell>
          <cell r="H4188" t="str">
            <v>salud_oral</v>
          </cell>
          <cell r="J4188" t="str">
            <v>bueno</v>
          </cell>
          <cell r="K4188" t="str">
            <v>defsi</v>
          </cell>
        </row>
        <row r="4189">
          <cell r="B4189" t="b">
            <v>1</v>
          </cell>
          <cell r="E4189" t="str">
            <v>Los Cerros</v>
          </cell>
          <cell r="H4189" t="str">
            <v>electros</v>
          </cell>
          <cell r="J4189" t="str">
            <v>bueno</v>
          </cell>
          <cell r="K4189" t="str">
            <v>defsi</v>
          </cell>
        </row>
        <row r="4190">
          <cell r="B4190" t="b">
            <v>1</v>
          </cell>
          <cell r="E4190" t="str">
            <v>Los Cerros</v>
          </cell>
          <cell r="H4190" t="str">
            <v>electros</v>
          </cell>
          <cell r="J4190" t="str">
            <v>bueno</v>
          </cell>
          <cell r="K4190" t="str">
            <v>defsi</v>
          </cell>
        </row>
        <row r="4191">
          <cell r="B4191" t="b">
            <v>0</v>
          </cell>
          <cell r="E4191" t="str">
            <v>Los Cerros</v>
          </cell>
          <cell r="H4191" t="str">
            <v>salud_oral</v>
          </cell>
          <cell r="J4191" t="str">
            <v>regular</v>
          </cell>
          <cell r="K4191" t="str">
            <v>defsi</v>
          </cell>
        </row>
        <row r="4192">
          <cell r="B4192" t="b">
            <v>1</v>
          </cell>
          <cell r="E4192" t="str">
            <v>Los Cerros</v>
          </cell>
          <cell r="H4192" t="str">
            <v>salud_oral</v>
          </cell>
          <cell r="J4192" t="str">
            <v>bueno</v>
          </cell>
          <cell r="K4192" t="str">
            <v>defsi</v>
          </cell>
        </row>
        <row r="4193">
          <cell r="B4193" t="b">
            <v>1</v>
          </cell>
          <cell r="E4193" t="str">
            <v>Los Cerros</v>
          </cell>
          <cell r="H4193" t="str">
            <v>salud_oral</v>
          </cell>
          <cell r="J4193" t="str">
            <v>bueno</v>
          </cell>
          <cell r="K4193" t="str">
            <v>defsi</v>
          </cell>
        </row>
        <row r="4194">
          <cell r="B4194" t="b">
            <v>1</v>
          </cell>
          <cell r="E4194" t="str">
            <v>Los Cerros</v>
          </cell>
          <cell r="H4194" t="str">
            <v>electros</v>
          </cell>
          <cell r="J4194" t="str">
            <v>bueno</v>
          </cell>
          <cell r="K4194" t="str">
            <v>defsi</v>
          </cell>
        </row>
        <row r="4195">
          <cell r="B4195" t="b">
            <v>1</v>
          </cell>
          <cell r="E4195" t="str">
            <v>Los Cerros</v>
          </cell>
          <cell r="H4195" t="str">
            <v>electros</v>
          </cell>
          <cell r="J4195" t="str">
            <v>bueno</v>
          </cell>
          <cell r="K4195" t="str">
            <v>defsi</v>
          </cell>
        </row>
        <row r="4196">
          <cell r="B4196" t="b">
            <v>0</v>
          </cell>
          <cell r="E4196" t="str">
            <v>Los Cerros</v>
          </cell>
          <cell r="H4196" t="str">
            <v>electros</v>
          </cell>
          <cell r="J4196" t="str">
            <v>regular</v>
          </cell>
          <cell r="K4196" t="str">
            <v>defsi</v>
          </cell>
        </row>
        <row r="4197">
          <cell r="B4197" t="b">
            <v>1</v>
          </cell>
          <cell r="E4197" t="str">
            <v>Esperanza</v>
          </cell>
          <cell r="H4197" t="str">
            <v>consulta_externa</v>
          </cell>
          <cell r="J4197" t="str">
            <v>bueno</v>
          </cell>
          <cell r="K4197" t="str">
            <v>defsi</v>
          </cell>
        </row>
        <row r="4198">
          <cell r="B4198" t="b">
            <v>1</v>
          </cell>
          <cell r="E4198" t="str">
            <v>Los Cerros</v>
          </cell>
          <cell r="H4198" t="str">
            <v>electros</v>
          </cell>
          <cell r="J4198" t="str">
            <v>bueno</v>
          </cell>
          <cell r="K4198" t="str">
            <v>defsi</v>
          </cell>
        </row>
        <row r="4199">
          <cell r="B4199" t="b">
            <v>1</v>
          </cell>
          <cell r="E4199" t="str">
            <v>Esperanza</v>
          </cell>
          <cell r="H4199" t="str">
            <v>salud_oral</v>
          </cell>
          <cell r="J4199" t="str">
            <v>bueno</v>
          </cell>
          <cell r="K4199" t="str">
            <v>defsi</v>
          </cell>
        </row>
        <row r="4200">
          <cell r="B4200" t="b">
            <v>1</v>
          </cell>
          <cell r="E4200" t="str">
            <v>Esperanza</v>
          </cell>
          <cell r="H4200" t="str">
            <v>laboratorio</v>
          </cell>
          <cell r="J4200" t="str">
            <v>bueno</v>
          </cell>
          <cell r="K4200" t="str">
            <v>defsi</v>
          </cell>
        </row>
        <row r="4201">
          <cell r="B4201" t="b">
            <v>1</v>
          </cell>
          <cell r="E4201" t="str">
            <v>Esperanza</v>
          </cell>
          <cell r="H4201" t="str">
            <v>electros</v>
          </cell>
          <cell r="J4201" t="str">
            <v>bueno</v>
          </cell>
          <cell r="K4201" t="str">
            <v>defsi</v>
          </cell>
        </row>
        <row r="4202">
          <cell r="B4202" t="b">
            <v>1</v>
          </cell>
          <cell r="E4202" t="str">
            <v>Esperanza</v>
          </cell>
          <cell r="H4202" t="str">
            <v>urgencia</v>
          </cell>
          <cell r="J4202" t="str">
            <v>bueno</v>
          </cell>
          <cell r="K4202" t="str">
            <v>defsi</v>
          </cell>
        </row>
        <row r="4203">
          <cell r="B4203" t="b">
            <v>0</v>
          </cell>
          <cell r="E4203" t="str">
            <v>Candelaria</v>
          </cell>
          <cell r="H4203" t="str">
            <v>urgencia</v>
          </cell>
          <cell r="J4203" t="str">
            <v>regular</v>
          </cell>
          <cell r="K4203" t="str">
            <v>probsi</v>
          </cell>
        </row>
        <row r="4204">
          <cell r="B4204" t="b">
            <v>0</v>
          </cell>
          <cell r="E4204" t="str">
            <v>Candelaria</v>
          </cell>
          <cell r="H4204" t="str">
            <v>urgencia</v>
          </cell>
          <cell r="J4204" t="str">
            <v>regular</v>
          </cell>
          <cell r="K4204" t="str">
            <v>probsi</v>
          </cell>
        </row>
        <row r="4205">
          <cell r="B4205" t="b">
            <v>1</v>
          </cell>
          <cell r="E4205" t="str">
            <v>Candelaria</v>
          </cell>
          <cell r="H4205" t="str">
            <v>urgencia</v>
          </cell>
          <cell r="J4205" t="str">
            <v>bueno</v>
          </cell>
          <cell r="K4205" t="str">
            <v>probsi</v>
          </cell>
        </row>
        <row r="4206">
          <cell r="B4206" t="b">
            <v>1</v>
          </cell>
          <cell r="E4206" t="str">
            <v>Candelaria</v>
          </cell>
          <cell r="H4206" t="str">
            <v>urgencia</v>
          </cell>
          <cell r="J4206" t="str">
            <v>bueno</v>
          </cell>
          <cell r="K4206" t="str">
            <v>probsi</v>
          </cell>
        </row>
        <row r="4207">
          <cell r="B4207" t="b">
            <v>1</v>
          </cell>
          <cell r="E4207" t="str">
            <v>Candelaria</v>
          </cell>
          <cell r="H4207" t="str">
            <v>urgencia</v>
          </cell>
          <cell r="J4207" t="str">
            <v>bueno</v>
          </cell>
          <cell r="K4207" t="str">
            <v>probsi</v>
          </cell>
        </row>
        <row r="4208">
          <cell r="B4208" t="b">
            <v>1</v>
          </cell>
          <cell r="E4208" t="str">
            <v>Candelaria</v>
          </cell>
          <cell r="H4208" t="str">
            <v>pediatria</v>
          </cell>
          <cell r="J4208" t="str">
            <v>bueno</v>
          </cell>
          <cell r="K4208" t="str">
            <v>probsi</v>
          </cell>
        </row>
        <row r="4209">
          <cell r="B4209" t="b">
            <v>1</v>
          </cell>
          <cell r="E4209" t="str">
            <v>Candelaria</v>
          </cell>
          <cell r="H4209" t="str">
            <v>pediatria</v>
          </cell>
          <cell r="J4209" t="str">
            <v>bueno</v>
          </cell>
          <cell r="K4209" t="str">
            <v>probsi</v>
          </cell>
        </row>
        <row r="4210">
          <cell r="B4210" t="b">
            <v>1</v>
          </cell>
          <cell r="E4210" t="str">
            <v>Candelaria</v>
          </cell>
          <cell r="H4210" t="str">
            <v>pediatria</v>
          </cell>
          <cell r="J4210" t="str">
            <v>muybueno</v>
          </cell>
          <cell r="K4210" t="str">
            <v>probsi</v>
          </cell>
        </row>
        <row r="4211">
          <cell r="B4211" t="b">
            <v>1</v>
          </cell>
          <cell r="E4211" t="str">
            <v>Candelaria</v>
          </cell>
          <cell r="H4211" t="str">
            <v>pediatria</v>
          </cell>
          <cell r="J4211" t="str">
            <v>bueno</v>
          </cell>
          <cell r="K4211" t="str">
            <v>probsi</v>
          </cell>
        </row>
        <row r="4212">
          <cell r="B4212" t="b">
            <v>1</v>
          </cell>
          <cell r="E4212" t="str">
            <v>Candelaria</v>
          </cell>
          <cell r="H4212" t="str">
            <v>pediatria</v>
          </cell>
          <cell r="J4212" t="str">
            <v>bueno</v>
          </cell>
          <cell r="K4212" t="str">
            <v>probsi</v>
          </cell>
        </row>
        <row r="4213">
          <cell r="B4213" t="b">
            <v>1</v>
          </cell>
          <cell r="E4213" t="str">
            <v>Candelaria</v>
          </cell>
          <cell r="H4213" t="str">
            <v>medicina_interna</v>
          </cell>
          <cell r="J4213" t="str">
            <v>bueno</v>
          </cell>
          <cell r="K4213" t="str">
            <v>probsi</v>
          </cell>
        </row>
        <row r="4214">
          <cell r="B4214" t="b">
            <v>1</v>
          </cell>
          <cell r="E4214" t="str">
            <v>Candelaria</v>
          </cell>
          <cell r="H4214" t="str">
            <v>medicina_interna</v>
          </cell>
          <cell r="J4214" t="str">
            <v>bueno</v>
          </cell>
          <cell r="K4214" t="str">
            <v>probsi</v>
          </cell>
        </row>
        <row r="4215">
          <cell r="B4215" t="b">
            <v>1</v>
          </cell>
          <cell r="E4215" t="str">
            <v>Candelaria</v>
          </cell>
          <cell r="H4215" t="str">
            <v>medicina_interna</v>
          </cell>
          <cell r="J4215" t="str">
            <v>bueno</v>
          </cell>
          <cell r="K4215" t="str">
            <v>probsi</v>
          </cell>
        </row>
        <row r="4216">
          <cell r="B4216" t="b">
            <v>1</v>
          </cell>
          <cell r="E4216" t="str">
            <v>Candelaria</v>
          </cell>
          <cell r="H4216" t="str">
            <v>medicina_interna</v>
          </cell>
          <cell r="J4216" t="str">
            <v>bueno</v>
          </cell>
          <cell r="K4216" t="str">
            <v>probsi</v>
          </cell>
        </row>
        <row r="4217">
          <cell r="B4217" t="b">
            <v>1</v>
          </cell>
          <cell r="E4217" t="str">
            <v>Candelaria</v>
          </cell>
          <cell r="H4217" t="str">
            <v>medicina_interna</v>
          </cell>
          <cell r="J4217" t="str">
            <v>bueno</v>
          </cell>
          <cell r="K4217" t="str">
            <v>probsi</v>
          </cell>
        </row>
        <row r="4218">
          <cell r="B4218" t="b">
            <v>1</v>
          </cell>
          <cell r="E4218" t="str">
            <v>Esperanza</v>
          </cell>
          <cell r="H4218" t="str">
            <v>consulta_externa</v>
          </cell>
          <cell r="J4218" t="str">
            <v>bueno</v>
          </cell>
          <cell r="K4218" t="str">
            <v>defsi</v>
          </cell>
        </row>
        <row r="4219">
          <cell r="B4219" t="b">
            <v>1</v>
          </cell>
          <cell r="E4219" t="str">
            <v>Esperanza</v>
          </cell>
          <cell r="H4219" t="str">
            <v>salud_oral</v>
          </cell>
          <cell r="J4219" t="str">
            <v>bueno</v>
          </cell>
          <cell r="K4219" t="str">
            <v>defsi</v>
          </cell>
        </row>
        <row r="4220">
          <cell r="B4220" t="b">
            <v>1</v>
          </cell>
          <cell r="E4220" t="str">
            <v>Esperanza</v>
          </cell>
          <cell r="H4220" t="str">
            <v>laboratorio</v>
          </cell>
          <cell r="J4220" t="str">
            <v>bueno</v>
          </cell>
          <cell r="K4220" t="str">
            <v>defsi</v>
          </cell>
        </row>
        <row r="4221">
          <cell r="B4221" t="b">
            <v>1</v>
          </cell>
          <cell r="E4221" t="str">
            <v>Esperanza</v>
          </cell>
          <cell r="H4221" t="str">
            <v>urgencia</v>
          </cell>
          <cell r="J4221" t="str">
            <v>bueno</v>
          </cell>
          <cell r="K4221" t="str">
            <v>defsi</v>
          </cell>
        </row>
        <row r="4222">
          <cell r="B4222" t="b">
            <v>1</v>
          </cell>
          <cell r="E4222" t="str">
            <v>Esperanza</v>
          </cell>
          <cell r="H4222" t="str">
            <v>electros</v>
          </cell>
          <cell r="J4222" t="str">
            <v>bueno</v>
          </cell>
          <cell r="K4222" t="str">
            <v>defsi</v>
          </cell>
        </row>
        <row r="4223">
          <cell r="B4223" t="b">
            <v>1</v>
          </cell>
          <cell r="E4223" t="str">
            <v>Candelaria</v>
          </cell>
          <cell r="H4223" t="str">
            <v>salud_oral</v>
          </cell>
          <cell r="J4223" t="str">
            <v>bueno</v>
          </cell>
          <cell r="K4223" t="str">
            <v>probsi</v>
          </cell>
        </row>
        <row r="4224">
          <cell r="B4224" t="b">
            <v>0</v>
          </cell>
          <cell r="E4224" t="str">
            <v>Candelaria</v>
          </cell>
          <cell r="H4224" t="str">
            <v>laboratorio</v>
          </cell>
          <cell r="J4224" t="str">
            <v>regular</v>
          </cell>
          <cell r="K4224" t="str">
            <v>probsi</v>
          </cell>
        </row>
        <row r="4225">
          <cell r="B4225" t="b">
            <v>1</v>
          </cell>
          <cell r="E4225" t="str">
            <v>Candelaria</v>
          </cell>
          <cell r="H4225" t="str">
            <v>laboratorio</v>
          </cell>
          <cell r="J4225" t="str">
            <v>bueno</v>
          </cell>
          <cell r="K4225" t="str">
            <v>probsi</v>
          </cell>
        </row>
        <row r="4226">
          <cell r="B4226" t="b">
            <v>0</v>
          </cell>
          <cell r="E4226" t="str">
            <v>Candelaria</v>
          </cell>
          <cell r="H4226" t="str">
            <v>pediatria</v>
          </cell>
          <cell r="J4226" t="str">
            <v>regular</v>
          </cell>
          <cell r="K4226" t="str">
            <v>probsi</v>
          </cell>
        </row>
        <row r="4227">
          <cell r="B4227" t="b">
            <v>1</v>
          </cell>
          <cell r="E4227" t="str">
            <v>Candelaria</v>
          </cell>
          <cell r="H4227" t="str">
            <v>pediatria</v>
          </cell>
          <cell r="J4227" t="str">
            <v>bueno</v>
          </cell>
          <cell r="K4227" t="str">
            <v>probsi</v>
          </cell>
        </row>
        <row r="4228">
          <cell r="B4228" t="b">
            <v>1</v>
          </cell>
          <cell r="E4228" t="str">
            <v>Santa Ana</v>
          </cell>
          <cell r="H4228" t="str">
            <v>consulta_externa</v>
          </cell>
          <cell r="J4228" t="str">
            <v>muybueno</v>
          </cell>
          <cell r="K4228" t="str">
            <v>defsi</v>
          </cell>
        </row>
        <row r="4229">
          <cell r="B4229" t="b">
            <v>1</v>
          </cell>
          <cell r="E4229" t="str">
            <v>Candelaria</v>
          </cell>
          <cell r="H4229" t="str">
            <v>pediatria</v>
          </cell>
          <cell r="J4229" t="str">
            <v>bueno</v>
          </cell>
          <cell r="K4229" t="str">
            <v>probsi</v>
          </cell>
        </row>
        <row r="4230">
          <cell r="B4230" t="b">
            <v>1</v>
          </cell>
          <cell r="E4230" t="str">
            <v>Santa Ana</v>
          </cell>
          <cell r="H4230" t="str">
            <v>laboratorio</v>
          </cell>
          <cell r="J4230" t="str">
            <v>muybueno</v>
          </cell>
          <cell r="K4230" t="str">
            <v>defsi</v>
          </cell>
        </row>
        <row r="4231">
          <cell r="B4231" t="b">
            <v>1</v>
          </cell>
          <cell r="E4231" t="str">
            <v>Candelaria</v>
          </cell>
          <cell r="H4231" t="str">
            <v>salud_oral</v>
          </cell>
          <cell r="J4231" t="str">
            <v>bueno</v>
          </cell>
          <cell r="K4231" t="str">
            <v>probsi</v>
          </cell>
        </row>
        <row r="4232">
          <cell r="B4232" t="b">
            <v>1</v>
          </cell>
          <cell r="E4232" t="str">
            <v>Santa Ana</v>
          </cell>
          <cell r="H4232" t="str">
            <v>consulta_externa</v>
          </cell>
          <cell r="J4232" t="str">
            <v>muybueno</v>
          </cell>
          <cell r="K4232" t="str">
            <v>defsi</v>
          </cell>
        </row>
        <row r="4233">
          <cell r="B4233" t="b">
            <v>1</v>
          </cell>
          <cell r="E4233" t="str">
            <v>Santa Ana</v>
          </cell>
          <cell r="H4233" t="str">
            <v>laboratorio</v>
          </cell>
          <cell r="J4233" t="str">
            <v>muybueno</v>
          </cell>
          <cell r="K4233" t="str">
            <v>defsi</v>
          </cell>
        </row>
        <row r="4234">
          <cell r="B4234" t="b">
            <v>1</v>
          </cell>
          <cell r="E4234" t="str">
            <v>Santa Ana</v>
          </cell>
          <cell r="H4234" t="str">
            <v>consulta_externa</v>
          </cell>
          <cell r="J4234" t="str">
            <v>muybueno</v>
          </cell>
          <cell r="K4234" t="str">
            <v>defsi</v>
          </cell>
        </row>
        <row r="4235">
          <cell r="B4235" t="b">
            <v>1</v>
          </cell>
          <cell r="E4235" t="str">
            <v>Santa Ana</v>
          </cell>
          <cell r="H4235" t="str">
            <v>laboratorio</v>
          </cell>
          <cell r="J4235" t="str">
            <v>muybueno</v>
          </cell>
          <cell r="K4235" t="str">
            <v>defsi</v>
          </cell>
        </row>
        <row r="4236">
          <cell r="B4236" t="b">
            <v>1</v>
          </cell>
          <cell r="E4236" t="str">
            <v>Esperanza</v>
          </cell>
          <cell r="H4236" t="str">
            <v>consulta_externa</v>
          </cell>
          <cell r="J4236" t="str">
            <v>bueno</v>
          </cell>
          <cell r="K4236" t="str">
            <v>defsi</v>
          </cell>
        </row>
        <row r="4237">
          <cell r="B4237" t="b">
            <v>1</v>
          </cell>
          <cell r="E4237" t="str">
            <v>Esperanza</v>
          </cell>
          <cell r="H4237" t="str">
            <v>salud_oral</v>
          </cell>
          <cell r="J4237" t="str">
            <v>bueno</v>
          </cell>
          <cell r="K4237" t="str">
            <v>defsi</v>
          </cell>
        </row>
        <row r="4238">
          <cell r="B4238" t="b">
            <v>1</v>
          </cell>
          <cell r="E4238" t="str">
            <v>Esperanza</v>
          </cell>
          <cell r="H4238" t="str">
            <v>laboratorio</v>
          </cell>
          <cell r="J4238" t="str">
            <v>bueno</v>
          </cell>
          <cell r="K4238" t="str">
            <v>defsi</v>
          </cell>
        </row>
        <row r="4239">
          <cell r="B4239" t="b">
            <v>1</v>
          </cell>
          <cell r="E4239" t="str">
            <v>Santa Ana</v>
          </cell>
          <cell r="H4239" t="str">
            <v>consulta_externa</v>
          </cell>
          <cell r="J4239" t="str">
            <v>muybueno</v>
          </cell>
          <cell r="K4239" t="str">
            <v>defsi</v>
          </cell>
        </row>
        <row r="4240">
          <cell r="B4240" t="b">
            <v>1</v>
          </cell>
          <cell r="E4240" t="str">
            <v>Santa Ana</v>
          </cell>
          <cell r="H4240" t="str">
            <v>laboratorio</v>
          </cell>
          <cell r="J4240" t="str">
            <v>muybueno</v>
          </cell>
          <cell r="K4240" t="str">
            <v>defsi</v>
          </cell>
        </row>
        <row r="4241">
          <cell r="B4241" t="b">
            <v>1</v>
          </cell>
          <cell r="E4241" t="str">
            <v>Santa Ana</v>
          </cell>
          <cell r="H4241" t="str">
            <v>urgencia</v>
          </cell>
          <cell r="J4241" t="str">
            <v>muybueno</v>
          </cell>
          <cell r="K4241" t="str">
            <v>defsi</v>
          </cell>
        </row>
        <row r="4242">
          <cell r="B4242" t="b">
            <v>1</v>
          </cell>
          <cell r="E4242" t="str">
            <v>Los Cerros</v>
          </cell>
          <cell r="H4242" t="str">
            <v>consulta_externa</v>
          </cell>
          <cell r="J4242" t="str">
            <v>bueno</v>
          </cell>
          <cell r="K4242" t="str">
            <v>defsi</v>
          </cell>
        </row>
        <row r="4243">
          <cell r="B4243" t="b">
            <v>1</v>
          </cell>
          <cell r="E4243" t="str">
            <v>Los Cerros</v>
          </cell>
          <cell r="H4243" t="str">
            <v>salud_oral</v>
          </cell>
          <cell r="J4243" t="str">
            <v>bueno</v>
          </cell>
          <cell r="K4243" t="str">
            <v>defsi</v>
          </cell>
        </row>
        <row r="4244">
          <cell r="B4244" t="b">
            <v>0</v>
          </cell>
          <cell r="E4244" t="str">
            <v>Los Cerros</v>
          </cell>
          <cell r="H4244" t="str">
            <v>laboratorio</v>
          </cell>
          <cell r="J4244" t="str">
            <v>regular</v>
          </cell>
          <cell r="K4244" t="str">
            <v>defsi</v>
          </cell>
        </row>
        <row r="4245">
          <cell r="B4245" t="b">
            <v>1</v>
          </cell>
          <cell r="E4245" t="str">
            <v>Los Cerros</v>
          </cell>
          <cell r="H4245" t="str">
            <v>salud_oral</v>
          </cell>
          <cell r="J4245" t="str">
            <v>bueno</v>
          </cell>
          <cell r="K4245" t="str">
            <v>defsi</v>
          </cell>
        </row>
        <row r="4246">
          <cell r="B4246" t="b">
            <v>1</v>
          </cell>
          <cell r="E4246" t="str">
            <v>Los Cerros</v>
          </cell>
          <cell r="H4246" t="str">
            <v>laboratorio</v>
          </cell>
          <cell r="J4246" t="str">
            <v>bueno</v>
          </cell>
          <cell r="K4246" t="str">
            <v>defsi</v>
          </cell>
        </row>
        <row r="4247">
          <cell r="B4247" t="b">
            <v>1</v>
          </cell>
          <cell r="E4247" t="str">
            <v>Los Cerros</v>
          </cell>
          <cell r="H4247" t="str">
            <v>laboratorio</v>
          </cell>
          <cell r="J4247" t="str">
            <v>bueno</v>
          </cell>
          <cell r="K4247" t="str">
            <v>defsi</v>
          </cell>
        </row>
        <row r="4248">
          <cell r="B4248" t="b">
            <v>1</v>
          </cell>
          <cell r="E4248" t="str">
            <v>Los Cerros</v>
          </cell>
          <cell r="H4248" t="str">
            <v>laboratorio</v>
          </cell>
          <cell r="J4248" t="str">
            <v>bueno</v>
          </cell>
          <cell r="K4248" t="str">
            <v>defsi</v>
          </cell>
        </row>
        <row r="4249">
          <cell r="B4249" t="b">
            <v>1</v>
          </cell>
          <cell r="E4249" t="str">
            <v>Los Cerros</v>
          </cell>
          <cell r="H4249" t="str">
            <v>consulta_externa</v>
          </cell>
          <cell r="J4249" t="str">
            <v>bueno</v>
          </cell>
          <cell r="K4249" t="str">
            <v>defsi</v>
          </cell>
        </row>
        <row r="4250">
          <cell r="B4250" t="b">
            <v>1</v>
          </cell>
          <cell r="E4250" t="str">
            <v>Los Cerros</v>
          </cell>
          <cell r="H4250" t="str">
            <v>electros</v>
          </cell>
          <cell r="J4250" t="str">
            <v>bueno</v>
          </cell>
          <cell r="K4250" t="str">
            <v>defsi</v>
          </cell>
        </row>
        <row r="4251">
          <cell r="B4251" t="b">
            <v>1</v>
          </cell>
          <cell r="E4251" t="str">
            <v>Los Cerros</v>
          </cell>
          <cell r="H4251" t="str">
            <v>electros</v>
          </cell>
          <cell r="J4251" t="str">
            <v>bueno</v>
          </cell>
          <cell r="K4251" t="str">
            <v>defsi</v>
          </cell>
        </row>
        <row r="4252">
          <cell r="B4252" t="b">
            <v>1</v>
          </cell>
          <cell r="E4252" t="str">
            <v>Los Cerros</v>
          </cell>
          <cell r="H4252" t="str">
            <v>consulta_externa</v>
          </cell>
          <cell r="J4252" t="str">
            <v>bueno</v>
          </cell>
          <cell r="K4252" t="str">
            <v>defsi</v>
          </cell>
        </row>
        <row r="4253">
          <cell r="B4253" t="b">
            <v>1</v>
          </cell>
          <cell r="E4253" t="str">
            <v>Los Cerros</v>
          </cell>
          <cell r="H4253" t="str">
            <v>medicina_interna</v>
          </cell>
          <cell r="J4253" t="str">
            <v>bueno</v>
          </cell>
          <cell r="K4253" t="str">
            <v>defsi</v>
          </cell>
        </row>
        <row r="4254">
          <cell r="B4254" t="b">
            <v>0</v>
          </cell>
          <cell r="E4254" t="str">
            <v>Los Cerros</v>
          </cell>
          <cell r="H4254" t="str">
            <v>electros</v>
          </cell>
          <cell r="J4254" t="str">
            <v>regular</v>
          </cell>
          <cell r="K4254" t="str">
            <v>defsi</v>
          </cell>
        </row>
        <row r="4255">
          <cell r="B4255" t="b">
            <v>1</v>
          </cell>
          <cell r="E4255" t="str">
            <v>Los Cerros</v>
          </cell>
          <cell r="H4255" t="str">
            <v>laboratorio</v>
          </cell>
          <cell r="J4255" t="str">
            <v>bueno</v>
          </cell>
          <cell r="K4255" t="str">
            <v>defsi</v>
          </cell>
        </row>
        <row r="4256">
          <cell r="B4256" t="b">
            <v>1</v>
          </cell>
          <cell r="E4256" t="str">
            <v>Los Cerros</v>
          </cell>
          <cell r="H4256" t="str">
            <v>laboratorio</v>
          </cell>
          <cell r="J4256" t="str">
            <v>bueno</v>
          </cell>
          <cell r="K4256" t="str">
            <v>defsi</v>
          </cell>
        </row>
        <row r="4257">
          <cell r="B4257" t="b">
            <v>1</v>
          </cell>
          <cell r="E4257" t="str">
            <v>Los Cerros</v>
          </cell>
          <cell r="H4257" t="str">
            <v>laboratorio</v>
          </cell>
          <cell r="J4257" t="str">
            <v>bueno</v>
          </cell>
          <cell r="K4257" t="str">
            <v>defsi</v>
          </cell>
        </row>
        <row r="4258">
          <cell r="B4258" t="b">
            <v>1</v>
          </cell>
          <cell r="E4258" t="str">
            <v>Santa Ana</v>
          </cell>
          <cell r="H4258" t="str">
            <v>consulta_externa</v>
          </cell>
          <cell r="J4258" t="str">
            <v>muybueno</v>
          </cell>
          <cell r="K4258" t="str">
            <v>defsi</v>
          </cell>
        </row>
        <row r="4259">
          <cell r="B4259" t="b">
            <v>1</v>
          </cell>
          <cell r="E4259" t="str">
            <v>Santa Ana</v>
          </cell>
          <cell r="H4259" t="str">
            <v>laboratorio</v>
          </cell>
          <cell r="J4259" t="str">
            <v>muybueno</v>
          </cell>
          <cell r="K4259" t="str">
            <v>defsi</v>
          </cell>
        </row>
        <row r="4260">
          <cell r="B4260" t="b">
            <v>1</v>
          </cell>
          <cell r="E4260" t="str">
            <v>Esperanza</v>
          </cell>
          <cell r="H4260" t="str">
            <v>urgencia</v>
          </cell>
          <cell r="J4260" t="str">
            <v>bueno</v>
          </cell>
          <cell r="K4260" t="str">
            <v>defsi</v>
          </cell>
        </row>
        <row r="4261">
          <cell r="B4261" t="b">
            <v>1</v>
          </cell>
          <cell r="E4261" t="str">
            <v>Esperanza</v>
          </cell>
          <cell r="H4261" t="str">
            <v>electros</v>
          </cell>
          <cell r="J4261" t="str">
            <v>bueno</v>
          </cell>
          <cell r="K4261" t="str">
            <v>defsi</v>
          </cell>
        </row>
        <row r="4262">
          <cell r="B4262" t="b">
            <v>1</v>
          </cell>
          <cell r="E4262" t="str">
            <v>Esperanza</v>
          </cell>
          <cell r="H4262" t="str">
            <v>consulta_externa</v>
          </cell>
          <cell r="J4262" t="str">
            <v>bueno</v>
          </cell>
          <cell r="K4262" t="str">
            <v>defsi</v>
          </cell>
        </row>
        <row r="4263">
          <cell r="B4263" t="b">
            <v>1</v>
          </cell>
          <cell r="E4263" t="str">
            <v>Esperanza</v>
          </cell>
          <cell r="H4263" t="str">
            <v>salud_oral</v>
          </cell>
          <cell r="J4263" t="str">
            <v>bueno</v>
          </cell>
          <cell r="K4263" t="str">
            <v>defsi</v>
          </cell>
        </row>
        <row r="4264">
          <cell r="B4264" t="b">
            <v>1</v>
          </cell>
          <cell r="E4264" t="str">
            <v>Esperanza</v>
          </cell>
          <cell r="H4264" t="str">
            <v>laboratorio</v>
          </cell>
          <cell r="J4264" t="str">
            <v>bueno</v>
          </cell>
          <cell r="K4264" t="str">
            <v>defsi</v>
          </cell>
        </row>
        <row r="4265">
          <cell r="B4265" t="b">
            <v>1</v>
          </cell>
          <cell r="E4265" t="str">
            <v>Esperanza</v>
          </cell>
          <cell r="H4265" t="str">
            <v>urgencia</v>
          </cell>
          <cell r="J4265" t="str">
            <v>bueno</v>
          </cell>
          <cell r="K4265" t="str">
            <v>defsi</v>
          </cell>
        </row>
        <row r="4266">
          <cell r="B4266" t="b">
            <v>1</v>
          </cell>
          <cell r="E4266" t="str">
            <v>Esperanza</v>
          </cell>
          <cell r="H4266" t="str">
            <v>electros</v>
          </cell>
          <cell r="J4266" t="str">
            <v>bueno</v>
          </cell>
          <cell r="K4266" t="str">
            <v>defsi</v>
          </cell>
        </row>
        <row r="4267">
          <cell r="B4267" t="b">
            <v>1</v>
          </cell>
          <cell r="E4267" t="str">
            <v>Esperanza</v>
          </cell>
          <cell r="H4267" t="str">
            <v>consulta_externa</v>
          </cell>
          <cell r="J4267" t="str">
            <v>bueno</v>
          </cell>
          <cell r="K4267" t="str">
            <v>defsi</v>
          </cell>
        </row>
        <row r="4268">
          <cell r="B4268" t="b">
            <v>1</v>
          </cell>
          <cell r="E4268" t="str">
            <v>Esperanza</v>
          </cell>
          <cell r="H4268" t="str">
            <v>salud_oral</v>
          </cell>
          <cell r="J4268" t="str">
            <v>bueno</v>
          </cell>
          <cell r="K4268" t="str">
            <v>defsi</v>
          </cell>
        </row>
        <row r="4269">
          <cell r="B4269" t="b">
            <v>1</v>
          </cell>
          <cell r="E4269" t="str">
            <v>Esperanza</v>
          </cell>
          <cell r="H4269" t="str">
            <v>laboratorio</v>
          </cell>
          <cell r="J4269" t="str">
            <v>bueno</v>
          </cell>
          <cell r="K4269" t="str">
            <v>defsi</v>
          </cell>
        </row>
        <row r="4270">
          <cell r="B4270" t="b">
            <v>1</v>
          </cell>
          <cell r="E4270" t="str">
            <v>Esperanza</v>
          </cell>
          <cell r="H4270" t="str">
            <v>urgencia</v>
          </cell>
          <cell r="J4270" t="str">
            <v>bueno</v>
          </cell>
          <cell r="K4270" t="str">
            <v>defsi</v>
          </cell>
        </row>
        <row r="4271">
          <cell r="B4271" t="b">
            <v>1</v>
          </cell>
          <cell r="E4271" t="str">
            <v>Esperanza</v>
          </cell>
          <cell r="H4271" t="str">
            <v>electros</v>
          </cell>
          <cell r="J4271" t="str">
            <v>bueno</v>
          </cell>
          <cell r="K4271" t="str">
            <v>defsi</v>
          </cell>
        </row>
        <row r="4272">
          <cell r="B4272" t="b">
            <v>1</v>
          </cell>
          <cell r="E4272" t="str">
            <v>Candelaria</v>
          </cell>
          <cell r="H4272" t="str">
            <v>electros</v>
          </cell>
          <cell r="J4272" t="str">
            <v>bueno</v>
          </cell>
          <cell r="K4272" t="str">
            <v>probsi</v>
          </cell>
        </row>
        <row r="4273">
          <cell r="B4273" t="b">
            <v>1</v>
          </cell>
          <cell r="E4273" t="str">
            <v>Candelaria</v>
          </cell>
          <cell r="H4273" t="str">
            <v>electros</v>
          </cell>
          <cell r="J4273" t="str">
            <v>bueno</v>
          </cell>
          <cell r="K4273" t="str">
            <v>probsi</v>
          </cell>
        </row>
        <row r="4274">
          <cell r="B4274" t="b">
            <v>1</v>
          </cell>
          <cell r="E4274" t="str">
            <v>Candelaria</v>
          </cell>
          <cell r="H4274" t="str">
            <v>electros</v>
          </cell>
          <cell r="J4274" t="str">
            <v>bueno</v>
          </cell>
          <cell r="K4274" t="str">
            <v>probsi</v>
          </cell>
        </row>
        <row r="4275">
          <cell r="B4275" t="b">
            <v>1</v>
          </cell>
          <cell r="E4275" t="str">
            <v>Candelaria</v>
          </cell>
          <cell r="H4275" t="str">
            <v>laboratorio</v>
          </cell>
          <cell r="J4275" t="str">
            <v>bueno</v>
          </cell>
          <cell r="K4275" t="str">
            <v>probsi</v>
          </cell>
        </row>
        <row r="4276">
          <cell r="B4276" t="b">
            <v>1</v>
          </cell>
          <cell r="E4276" t="str">
            <v>Candelaria</v>
          </cell>
          <cell r="H4276" t="str">
            <v>laboratorio</v>
          </cell>
          <cell r="J4276" t="str">
            <v>bueno</v>
          </cell>
          <cell r="K4276" t="str">
            <v>probsi</v>
          </cell>
        </row>
        <row r="4277">
          <cell r="B4277" t="b">
            <v>1</v>
          </cell>
          <cell r="E4277" t="str">
            <v>Candelaria</v>
          </cell>
          <cell r="H4277" t="str">
            <v>urgencia</v>
          </cell>
          <cell r="J4277" t="str">
            <v>bueno</v>
          </cell>
          <cell r="K4277" t="str">
            <v>probsi</v>
          </cell>
        </row>
        <row r="4278">
          <cell r="B4278" t="b">
            <v>1</v>
          </cell>
          <cell r="E4278" t="str">
            <v>Santa Ana</v>
          </cell>
          <cell r="H4278" t="str">
            <v>consulta_externa</v>
          </cell>
          <cell r="J4278" t="str">
            <v>muybueno</v>
          </cell>
          <cell r="K4278" t="str">
            <v>defsi</v>
          </cell>
        </row>
        <row r="4279">
          <cell r="B4279" t="b">
            <v>1</v>
          </cell>
          <cell r="E4279" t="str">
            <v>Candelaria</v>
          </cell>
          <cell r="H4279" t="str">
            <v>urgencia</v>
          </cell>
          <cell r="J4279" t="str">
            <v>bueno</v>
          </cell>
          <cell r="K4279" t="str">
            <v>probsi</v>
          </cell>
        </row>
        <row r="4280">
          <cell r="B4280" t="b">
            <v>1</v>
          </cell>
          <cell r="E4280" t="str">
            <v>Candelaria</v>
          </cell>
          <cell r="H4280" t="str">
            <v>urgencia</v>
          </cell>
          <cell r="J4280" t="str">
            <v>bueno</v>
          </cell>
          <cell r="K4280" t="str">
            <v>probsi</v>
          </cell>
        </row>
        <row r="4281">
          <cell r="B4281" t="b">
            <v>1</v>
          </cell>
          <cell r="E4281" t="str">
            <v>Santa Ana</v>
          </cell>
          <cell r="H4281" t="str">
            <v>laboratorio</v>
          </cell>
          <cell r="J4281" t="str">
            <v>muybueno</v>
          </cell>
          <cell r="K4281" t="str">
            <v>defsi</v>
          </cell>
        </row>
        <row r="4282">
          <cell r="B4282" t="b">
            <v>1</v>
          </cell>
          <cell r="E4282" t="str">
            <v>Santa Ana</v>
          </cell>
          <cell r="H4282" t="str">
            <v>salud_oral</v>
          </cell>
          <cell r="J4282" t="str">
            <v>muybueno</v>
          </cell>
          <cell r="K4282" t="str">
            <v>defsi</v>
          </cell>
        </row>
        <row r="4283">
          <cell r="B4283" t="b">
            <v>1</v>
          </cell>
          <cell r="E4283" t="str">
            <v>Santa Ana</v>
          </cell>
          <cell r="H4283" t="str">
            <v>consulta_externa</v>
          </cell>
          <cell r="J4283" t="str">
            <v>muybueno</v>
          </cell>
          <cell r="K4283" t="str">
            <v>defsi</v>
          </cell>
        </row>
        <row r="4284">
          <cell r="B4284" t="b">
            <v>1</v>
          </cell>
          <cell r="E4284" t="str">
            <v>Santa Ana</v>
          </cell>
          <cell r="H4284" t="str">
            <v>laboratorio</v>
          </cell>
          <cell r="J4284" t="str">
            <v>muybueno</v>
          </cell>
          <cell r="K4284" t="str">
            <v>defsi</v>
          </cell>
        </row>
        <row r="4285">
          <cell r="B4285" t="b">
            <v>1</v>
          </cell>
          <cell r="E4285" t="str">
            <v>Los Cerros</v>
          </cell>
          <cell r="H4285" t="str">
            <v>consulta_externa</v>
          </cell>
          <cell r="J4285" t="str">
            <v>bueno</v>
          </cell>
          <cell r="K4285" t="str">
            <v>defsi</v>
          </cell>
        </row>
        <row r="4286">
          <cell r="B4286" t="b">
            <v>1</v>
          </cell>
          <cell r="E4286" t="str">
            <v>Los Cerros</v>
          </cell>
          <cell r="H4286" t="str">
            <v>laboratorio</v>
          </cell>
          <cell r="J4286" t="str">
            <v>bueno</v>
          </cell>
          <cell r="K4286" t="str">
            <v>defsi</v>
          </cell>
        </row>
        <row r="4287">
          <cell r="B4287" t="b">
            <v>1</v>
          </cell>
          <cell r="E4287" t="str">
            <v>Candelaria</v>
          </cell>
          <cell r="H4287" t="str">
            <v>medicina_interna</v>
          </cell>
          <cell r="J4287" t="str">
            <v>bueno</v>
          </cell>
          <cell r="K4287" t="str">
            <v>probsi</v>
          </cell>
        </row>
        <row r="4288">
          <cell r="B4288" t="b">
            <v>1</v>
          </cell>
          <cell r="E4288" t="str">
            <v>Candelaria</v>
          </cell>
          <cell r="H4288" t="str">
            <v>medicina_interna</v>
          </cell>
          <cell r="J4288" t="str">
            <v>bueno</v>
          </cell>
          <cell r="K4288" t="str">
            <v>probsi</v>
          </cell>
        </row>
        <row r="4289">
          <cell r="B4289" t="b">
            <v>1</v>
          </cell>
          <cell r="E4289" t="str">
            <v>Los Cerros</v>
          </cell>
          <cell r="H4289" t="str">
            <v>electros</v>
          </cell>
          <cell r="J4289" t="str">
            <v>bueno</v>
          </cell>
          <cell r="K4289" t="str">
            <v>defsi</v>
          </cell>
        </row>
        <row r="4290">
          <cell r="B4290" t="b">
            <v>1</v>
          </cell>
          <cell r="E4290" t="str">
            <v>Los Cerros</v>
          </cell>
          <cell r="H4290" t="str">
            <v>electros</v>
          </cell>
          <cell r="J4290" t="str">
            <v>bueno</v>
          </cell>
          <cell r="K4290" t="str">
            <v>defsi</v>
          </cell>
        </row>
        <row r="4291">
          <cell r="B4291" t="b">
            <v>0</v>
          </cell>
          <cell r="E4291" t="str">
            <v>Candelaria</v>
          </cell>
          <cell r="H4291" t="str">
            <v>medicina_interna</v>
          </cell>
          <cell r="J4291" t="str">
            <v>regular</v>
          </cell>
          <cell r="K4291" t="str">
            <v>probsi</v>
          </cell>
        </row>
        <row r="4292">
          <cell r="B4292" t="b">
            <v>1</v>
          </cell>
          <cell r="E4292" t="str">
            <v>Los Cerros</v>
          </cell>
          <cell r="H4292" t="str">
            <v>electros</v>
          </cell>
          <cell r="J4292" t="str">
            <v>bueno</v>
          </cell>
          <cell r="K4292" t="str">
            <v>defsi</v>
          </cell>
        </row>
        <row r="4293">
          <cell r="B4293" t="b">
            <v>0</v>
          </cell>
          <cell r="E4293" t="str">
            <v>Candelaria</v>
          </cell>
          <cell r="H4293" t="str">
            <v>medicina_interna</v>
          </cell>
          <cell r="J4293" t="str">
            <v>regular</v>
          </cell>
          <cell r="K4293" t="str">
            <v>probsi</v>
          </cell>
        </row>
        <row r="4294">
          <cell r="B4294" t="b">
            <v>1</v>
          </cell>
          <cell r="E4294" t="str">
            <v>Candelaria</v>
          </cell>
          <cell r="H4294" t="str">
            <v>medicina_interna</v>
          </cell>
          <cell r="J4294" t="str">
            <v>bueno</v>
          </cell>
          <cell r="K4294" t="str">
            <v>probsi</v>
          </cell>
        </row>
        <row r="4295">
          <cell r="B4295" t="b">
            <v>1</v>
          </cell>
          <cell r="E4295" t="str">
            <v>Los Cerros</v>
          </cell>
          <cell r="H4295" t="str">
            <v>medicina_interna</v>
          </cell>
          <cell r="J4295" t="str">
            <v>bueno</v>
          </cell>
          <cell r="K4295" t="str">
            <v>defsi</v>
          </cell>
        </row>
        <row r="4296">
          <cell r="B4296" t="b">
            <v>1</v>
          </cell>
          <cell r="E4296" t="str">
            <v>Los Cerros</v>
          </cell>
          <cell r="H4296" t="str">
            <v>medicina_interna</v>
          </cell>
          <cell r="J4296" t="str">
            <v>bueno</v>
          </cell>
          <cell r="K4296" t="str">
            <v>defsi</v>
          </cell>
        </row>
        <row r="4297">
          <cell r="B4297" t="b">
            <v>1</v>
          </cell>
          <cell r="E4297" t="str">
            <v>Los Cerros</v>
          </cell>
          <cell r="H4297" t="str">
            <v>medicina_interna</v>
          </cell>
          <cell r="J4297" t="str">
            <v>muybueno</v>
          </cell>
          <cell r="K4297" t="str">
            <v>defsi</v>
          </cell>
        </row>
        <row r="4298">
          <cell r="B4298" t="b">
            <v>1</v>
          </cell>
          <cell r="E4298" t="str">
            <v>Los Cerros</v>
          </cell>
          <cell r="H4298" t="str">
            <v>medicina_interna</v>
          </cell>
          <cell r="J4298" t="str">
            <v>bueno</v>
          </cell>
          <cell r="K4298" t="str">
            <v>defsi</v>
          </cell>
        </row>
        <row r="4299">
          <cell r="B4299" t="b">
            <v>1</v>
          </cell>
          <cell r="E4299" t="str">
            <v>Los Cerros</v>
          </cell>
          <cell r="H4299" t="str">
            <v>pediatria</v>
          </cell>
          <cell r="J4299" t="str">
            <v>bueno</v>
          </cell>
          <cell r="K4299" t="str">
            <v>defsi</v>
          </cell>
        </row>
        <row r="4300">
          <cell r="B4300" t="b">
            <v>1</v>
          </cell>
          <cell r="E4300" t="str">
            <v>Los Cerros</v>
          </cell>
          <cell r="H4300" t="str">
            <v>electros</v>
          </cell>
          <cell r="J4300" t="str">
            <v>bueno</v>
          </cell>
          <cell r="K4300" t="str">
            <v>defsi</v>
          </cell>
        </row>
        <row r="4301">
          <cell r="B4301" t="b">
            <v>1</v>
          </cell>
          <cell r="E4301" t="str">
            <v>Los Cerros</v>
          </cell>
          <cell r="H4301" t="str">
            <v>electros</v>
          </cell>
          <cell r="J4301" t="str">
            <v>bueno</v>
          </cell>
          <cell r="K4301" t="str">
            <v>defsi</v>
          </cell>
        </row>
        <row r="4302">
          <cell r="B4302" t="b">
            <v>1</v>
          </cell>
          <cell r="E4302" t="str">
            <v>Los Cerros</v>
          </cell>
          <cell r="H4302" t="str">
            <v>electros</v>
          </cell>
          <cell r="J4302" t="str">
            <v>bueno</v>
          </cell>
          <cell r="K4302" t="str">
            <v>defsi</v>
          </cell>
        </row>
        <row r="4303">
          <cell r="B4303" t="b">
            <v>1</v>
          </cell>
          <cell r="E4303" t="str">
            <v>Los Cerros</v>
          </cell>
          <cell r="H4303" t="str">
            <v>ginecologia</v>
          </cell>
          <cell r="J4303" t="str">
            <v>bueno</v>
          </cell>
          <cell r="K4303" t="str">
            <v>defsi</v>
          </cell>
        </row>
        <row r="4304">
          <cell r="B4304" t="b">
            <v>1</v>
          </cell>
          <cell r="E4304" t="str">
            <v>Los Cerros</v>
          </cell>
          <cell r="H4304" t="str">
            <v>ginecologia</v>
          </cell>
          <cell r="J4304" t="str">
            <v>bueno</v>
          </cell>
          <cell r="K4304" t="str">
            <v>defsi</v>
          </cell>
        </row>
        <row r="4305">
          <cell r="B4305" t="b">
            <v>1</v>
          </cell>
          <cell r="E4305" t="str">
            <v>Libano</v>
          </cell>
          <cell r="H4305" t="str">
            <v>ecografias</v>
          </cell>
          <cell r="J4305" t="str">
            <v>bueno</v>
          </cell>
          <cell r="K4305" t="str">
            <v>defsi</v>
          </cell>
        </row>
        <row r="4306">
          <cell r="B4306" t="b">
            <v>1</v>
          </cell>
          <cell r="E4306" t="str">
            <v>Libano</v>
          </cell>
          <cell r="H4306" t="str">
            <v>ecografias</v>
          </cell>
          <cell r="J4306" t="str">
            <v>bueno</v>
          </cell>
          <cell r="K4306" t="str">
            <v>defsi</v>
          </cell>
        </row>
        <row r="4307">
          <cell r="B4307" t="b">
            <v>1</v>
          </cell>
          <cell r="E4307" t="str">
            <v>Libano</v>
          </cell>
          <cell r="H4307" t="str">
            <v>ecografias</v>
          </cell>
          <cell r="J4307" t="str">
            <v>bueno</v>
          </cell>
          <cell r="K4307" t="str">
            <v>defsi</v>
          </cell>
        </row>
        <row r="4308">
          <cell r="B4308" t="b">
            <v>1</v>
          </cell>
          <cell r="E4308" t="str">
            <v>Libano</v>
          </cell>
          <cell r="H4308" t="str">
            <v>ecografias</v>
          </cell>
          <cell r="J4308" t="str">
            <v>bueno</v>
          </cell>
          <cell r="K4308" t="str">
            <v>defsi</v>
          </cell>
        </row>
        <row r="4309">
          <cell r="B4309" t="b">
            <v>0</v>
          </cell>
          <cell r="E4309" t="str">
            <v>Libano</v>
          </cell>
          <cell r="H4309" t="str">
            <v>ecografias</v>
          </cell>
          <cell r="J4309" t="str">
            <v>regular</v>
          </cell>
          <cell r="K4309" t="str">
            <v>defsi</v>
          </cell>
        </row>
        <row r="4310">
          <cell r="B4310" t="b">
            <v>1</v>
          </cell>
          <cell r="E4310" t="str">
            <v>Libano</v>
          </cell>
          <cell r="H4310" t="str">
            <v>ecografias</v>
          </cell>
          <cell r="J4310" t="str">
            <v>bueno</v>
          </cell>
          <cell r="K4310" t="str">
            <v>defsi</v>
          </cell>
        </row>
        <row r="4311">
          <cell r="B4311" t="b">
            <v>1</v>
          </cell>
          <cell r="E4311" t="str">
            <v>Libano</v>
          </cell>
          <cell r="H4311" t="str">
            <v>ecografias</v>
          </cell>
          <cell r="J4311" t="str">
            <v>bueno</v>
          </cell>
          <cell r="K4311" t="str">
            <v>defsi</v>
          </cell>
        </row>
        <row r="4312">
          <cell r="B4312" t="b">
            <v>1</v>
          </cell>
          <cell r="E4312" t="str">
            <v>Libano</v>
          </cell>
          <cell r="H4312" t="str">
            <v>ginecologia</v>
          </cell>
          <cell r="J4312" t="str">
            <v>bueno</v>
          </cell>
          <cell r="K4312" t="str">
            <v>defsi</v>
          </cell>
        </row>
        <row r="4313">
          <cell r="B4313" t="b">
            <v>1</v>
          </cell>
          <cell r="E4313" t="str">
            <v>Libano</v>
          </cell>
          <cell r="H4313" t="str">
            <v>ginecologia</v>
          </cell>
          <cell r="J4313" t="str">
            <v>bueno</v>
          </cell>
          <cell r="K4313" t="str">
            <v>defsi</v>
          </cell>
        </row>
        <row r="4314">
          <cell r="B4314" t="b">
            <v>1</v>
          </cell>
          <cell r="E4314" t="str">
            <v>Libano</v>
          </cell>
          <cell r="H4314" t="str">
            <v>ecografias</v>
          </cell>
          <cell r="J4314" t="str">
            <v>bueno</v>
          </cell>
          <cell r="K4314" t="str">
            <v>defsi</v>
          </cell>
        </row>
        <row r="4315">
          <cell r="B4315" t="b">
            <v>1</v>
          </cell>
          <cell r="E4315" t="str">
            <v>Esperanza</v>
          </cell>
          <cell r="H4315" t="str">
            <v>consulta_externa</v>
          </cell>
          <cell r="J4315" t="str">
            <v>bueno</v>
          </cell>
          <cell r="K4315" t="str">
            <v>defsi</v>
          </cell>
        </row>
        <row r="4316">
          <cell r="B4316" t="b">
            <v>1</v>
          </cell>
          <cell r="E4316" t="str">
            <v>Esperanza</v>
          </cell>
          <cell r="H4316" t="str">
            <v>salud_oral</v>
          </cell>
          <cell r="J4316" t="str">
            <v>bueno</v>
          </cell>
          <cell r="K4316" t="str">
            <v>defsi</v>
          </cell>
        </row>
        <row r="4317">
          <cell r="B4317" t="b">
            <v>1</v>
          </cell>
          <cell r="E4317" t="str">
            <v>Esperanza</v>
          </cell>
          <cell r="H4317" t="str">
            <v>laboratorio</v>
          </cell>
          <cell r="J4317" t="str">
            <v>bueno</v>
          </cell>
          <cell r="K4317" t="str">
            <v>defsi</v>
          </cell>
        </row>
        <row r="4318">
          <cell r="B4318" t="b">
            <v>1</v>
          </cell>
          <cell r="E4318" t="str">
            <v>Esperanza</v>
          </cell>
          <cell r="H4318" t="str">
            <v>urgencia</v>
          </cell>
          <cell r="J4318" t="str">
            <v>bueno</v>
          </cell>
          <cell r="K4318" t="str">
            <v>defsi</v>
          </cell>
        </row>
        <row r="4319">
          <cell r="B4319" t="b">
            <v>1</v>
          </cell>
          <cell r="E4319" t="str">
            <v>Esperanza</v>
          </cell>
          <cell r="H4319" t="str">
            <v>electros</v>
          </cell>
          <cell r="J4319" t="str">
            <v>bueno</v>
          </cell>
          <cell r="K4319" t="str">
            <v>defsi</v>
          </cell>
        </row>
        <row r="4320">
          <cell r="B4320" t="b">
            <v>1</v>
          </cell>
          <cell r="E4320" t="str">
            <v>Candelaria</v>
          </cell>
          <cell r="H4320" t="str">
            <v>pediatria</v>
          </cell>
          <cell r="J4320" t="str">
            <v>bueno</v>
          </cell>
          <cell r="K4320" t="str">
            <v>probsi</v>
          </cell>
        </row>
        <row r="4321">
          <cell r="B4321" t="b">
            <v>1</v>
          </cell>
          <cell r="E4321" t="str">
            <v>Candelaria</v>
          </cell>
          <cell r="H4321" t="str">
            <v>pediatria</v>
          </cell>
          <cell r="J4321" t="str">
            <v>bueno</v>
          </cell>
          <cell r="K4321" t="str">
            <v>probsi</v>
          </cell>
        </row>
        <row r="4322">
          <cell r="B4322" t="b">
            <v>1</v>
          </cell>
          <cell r="E4322" t="str">
            <v>Candelaria</v>
          </cell>
          <cell r="H4322" t="str">
            <v>pediatria</v>
          </cell>
          <cell r="J4322" t="str">
            <v>bueno</v>
          </cell>
          <cell r="K4322" t="str">
            <v>probsi</v>
          </cell>
        </row>
        <row r="4323">
          <cell r="B4323" t="b">
            <v>1</v>
          </cell>
          <cell r="E4323" t="str">
            <v>Candelaria</v>
          </cell>
          <cell r="H4323" t="str">
            <v>pediatria</v>
          </cell>
          <cell r="J4323" t="str">
            <v>bueno</v>
          </cell>
          <cell r="K4323" t="str">
            <v>probsi</v>
          </cell>
        </row>
        <row r="4324">
          <cell r="B4324" t="b">
            <v>1</v>
          </cell>
          <cell r="E4324" t="str">
            <v>Candelaria</v>
          </cell>
          <cell r="H4324" t="str">
            <v>pediatria</v>
          </cell>
          <cell r="J4324" t="str">
            <v>bueno</v>
          </cell>
          <cell r="K4324" t="str">
            <v>probsi</v>
          </cell>
        </row>
        <row r="4325">
          <cell r="B4325" t="b">
            <v>1</v>
          </cell>
          <cell r="E4325" t="str">
            <v>Bicentenario</v>
          </cell>
          <cell r="H4325" t="str">
            <v>rx</v>
          </cell>
          <cell r="J4325" t="str">
            <v>bueno</v>
          </cell>
          <cell r="K4325" t="str">
            <v>probsi</v>
          </cell>
        </row>
        <row r="4326">
          <cell r="B4326" t="b">
            <v>1</v>
          </cell>
          <cell r="E4326" t="str">
            <v>Bicentenario</v>
          </cell>
          <cell r="H4326" t="str">
            <v>rx</v>
          </cell>
          <cell r="J4326" t="str">
            <v>bueno</v>
          </cell>
          <cell r="K4326" t="str">
            <v>probsi</v>
          </cell>
        </row>
        <row r="4327">
          <cell r="B4327" t="b">
            <v>1</v>
          </cell>
          <cell r="E4327" t="str">
            <v>Bicentenario</v>
          </cell>
          <cell r="H4327" t="str">
            <v>rx</v>
          </cell>
          <cell r="J4327" t="str">
            <v>bueno</v>
          </cell>
          <cell r="K4327" t="str">
            <v>probsi</v>
          </cell>
        </row>
        <row r="4328">
          <cell r="B4328" t="b">
            <v>1</v>
          </cell>
          <cell r="E4328" t="str">
            <v>Bicentenario</v>
          </cell>
          <cell r="H4328" t="str">
            <v>rx</v>
          </cell>
          <cell r="J4328" t="str">
            <v>bueno</v>
          </cell>
          <cell r="K4328" t="str">
            <v>probsi</v>
          </cell>
        </row>
        <row r="4329">
          <cell r="B4329" t="b">
            <v>1</v>
          </cell>
          <cell r="E4329" t="str">
            <v>Bicentenario</v>
          </cell>
          <cell r="H4329" t="str">
            <v>rx</v>
          </cell>
          <cell r="J4329" t="str">
            <v>bueno</v>
          </cell>
          <cell r="K4329" t="str">
            <v>probsi</v>
          </cell>
        </row>
        <row r="4330">
          <cell r="B4330" t="b">
            <v>1</v>
          </cell>
          <cell r="E4330" t="str">
            <v>Bicentenario</v>
          </cell>
          <cell r="H4330" t="str">
            <v>rx</v>
          </cell>
          <cell r="J4330" t="str">
            <v>bueno</v>
          </cell>
          <cell r="K4330" t="str">
            <v>probsi</v>
          </cell>
        </row>
        <row r="4331">
          <cell r="B4331" t="b">
            <v>1</v>
          </cell>
          <cell r="E4331" t="str">
            <v>Bicentenario</v>
          </cell>
          <cell r="H4331" t="str">
            <v>rx</v>
          </cell>
          <cell r="J4331" t="str">
            <v>bueno</v>
          </cell>
          <cell r="K4331" t="str">
            <v>probsi</v>
          </cell>
        </row>
        <row r="4332">
          <cell r="B4332" t="b">
            <v>1</v>
          </cell>
          <cell r="E4332" t="str">
            <v>Bicentenario</v>
          </cell>
          <cell r="H4332" t="str">
            <v>urgencia</v>
          </cell>
          <cell r="J4332" t="str">
            <v>bueno</v>
          </cell>
          <cell r="K4332" t="str">
            <v>probsi</v>
          </cell>
        </row>
        <row r="4333">
          <cell r="B4333" t="b">
            <v>1</v>
          </cell>
          <cell r="E4333" t="str">
            <v>Bicentenario</v>
          </cell>
          <cell r="H4333" t="str">
            <v>urgencia</v>
          </cell>
          <cell r="J4333" t="str">
            <v>bueno</v>
          </cell>
          <cell r="K4333" t="str">
            <v>probsi</v>
          </cell>
        </row>
        <row r="4334">
          <cell r="B4334" t="b">
            <v>1</v>
          </cell>
          <cell r="E4334" t="str">
            <v>Bicentenario</v>
          </cell>
          <cell r="H4334" t="str">
            <v>urgencia</v>
          </cell>
          <cell r="J4334" t="str">
            <v>bueno</v>
          </cell>
          <cell r="K4334" t="str">
            <v>probsi</v>
          </cell>
        </row>
        <row r="4335">
          <cell r="B4335" t="b">
            <v>1</v>
          </cell>
          <cell r="E4335" t="str">
            <v>Bicentenario</v>
          </cell>
          <cell r="H4335" t="str">
            <v>urgencia</v>
          </cell>
          <cell r="J4335" t="str">
            <v>bueno</v>
          </cell>
          <cell r="K4335" t="str">
            <v>probsi</v>
          </cell>
        </row>
        <row r="4336">
          <cell r="B4336" t="b">
            <v>0</v>
          </cell>
          <cell r="E4336" t="str">
            <v>Bicentenario</v>
          </cell>
          <cell r="H4336" t="str">
            <v>urgencia</v>
          </cell>
          <cell r="J4336" t="str">
            <v>regular</v>
          </cell>
          <cell r="K4336" t="str">
            <v>probsi</v>
          </cell>
        </row>
        <row r="4337">
          <cell r="B4337" t="b">
            <v>0</v>
          </cell>
          <cell r="E4337" t="str">
            <v>Bicentenario</v>
          </cell>
          <cell r="H4337" t="str">
            <v>urgencia</v>
          </cell>
          <cell r="J4337" t="str">
            <v>regular</v>
          </cell>
          <cell r="K4337" t="str">
            <v>probsi</v>
          </cell>
        </row>
        <row r="4338">
          <cell r="B4338" t="b">
            <v>1</v>
          </cell>
          <cell r="E4338" t="str">
            <v>Bicentenario</v>
          </cell>
          <cell r="H4338" t="str">
            <v>urgencia</v>
          </cell>
          <cell r="J4338" t="str">
            <v>bueno</v>
          </cell>
          <cell r="K4338" t="str">
            <v>probsi</v>
          </cell>
        </row>
        <row r="4339">
          <cell r="B4339" t="b">
            <v>1</v>
          </cell>
          <cell r="E4339" t="str">
            <v>Bicentenario</v>
          </cell>
          <cell r="H4339" t="str">
            <v>urgencia</v>
          </cell>
          <cell r="J4339" t="str">
            <v>bueno</v>
          </cell>
          <cell r="K4339" t="str">
            <v>probsi</v>
          </cell>
        </row>
        <row r="4340">
          <cell r="B4340" t="b">
            <v>1</v>
          </cell>
          <cell r="E4340" t="str">
            <v>Candelaria</v>
          </cell>
          <cell r="H4340" t="str">
            <v>laboratorio</v>
          </cell>
          <cell r="J4340" t="str">
            <v>bueno</v>
          </cell>
          <cell r="K4340" t="str">
            <v>probsi</v>
          </cell>
        </row>
        <row r="4341">
          <cell r="B4341" t="b">
            <v>1</v>
          </cell>
          <cell r="E4341" t="str">
            <v>Candelaria</v>
          </cell>
          <cell r="H4341" t="str">
            <v>laboratorio</v>
          </cell>
          <cell r="J4341" t="str">
            <v>bueno</v>
          </cell>
          <cell r="K4341" t="str">
            <v>probsi</v>
          </cell>
        </row>
        <row r="4342">
          <cell r="B4342" t="b">
            <v>1</v>
          </cell>
          <cell r="E4342" t="str">
            <v>Esperanza</v>
          </cell>
          <cell r="H4342" t="str">
            <v>consulta_externa</v>
          </cell>
          <cell r="J4342" t="str">
            <v>bueno</v>
          </cell>
          <cell r="K4342" t="str">
            <v>defsi</v>
          </cell>
        </row>
        <row r="4343">
          <cell r="B4343" t="b">
            <v>1</v>
          </cell>
          <cell r="E4343" t="str">
            <v>Esperanza</v>
          </cell>
          <cell r="H4343" t="str">
            <v>salud_oral</v>
          </cell>
          <cell r="J4343" t="str">
            <v>bueno</v>
          </cell>
          <cell r="K4343" t="str">
            <v>defsi</v>
          </cell>
        </row>
        <row r="4344">
          <cell r="B4344" t="b">
            <v>1</v>
          </cell>
          <cell r="E4344" t="str">
            <v>Esperanza</v>
          </cell>
          <cell r="H4344" t="str">
            <v>laboratorio</v>
          </cell>
          <cell r="J4344" t="str">
            <v>bueno</v>
          </cell>
          <cell r="K4344" t="str">
            <v>defsi</v>
          </cell>
        </row>
        <row r="4345">
          <cell r="B4345" t="b">
            <v>1</v>
          </cell>
          <cell r="E4345" t="str">
            <v>Esperanza</v>
          </cell>
          <cell r="H4345" t="str">
            <v>urgencia</v>
          </cell>
          <cell r="J4345" t="str">
            <v>bueno</v>
          </cell>
          <cell r="K4345" t="str">
            <v>defsi</v>
          </cell>
        </row>
        <row r="4346">
          <cell r="B4346" t="b">
            <v>1</v>
          </cell>
          <cell r="E4346" t="str">
            <v>Esperanza</v>
          </cell>
          <cell r="H4346" t="str">
            <v>electros</v>
          </cell>
          <cell r="J4346" t="str">
            <v>bueno</v>
          </cell>
          <cell r="K4346" t="str">
            <v>defsi</v>
          </cell>
        </row>
        <row r="4347">
          <cell r="B4347" t="b">
            <v>1</v>
          </cell>
          <cell r="E4347" t="str">
            <v>Esperanza</v>
          </cell>
          <cell r="H4347" t="str">
            <v>consulta_externa</v>
          </cell>
          <cell r="J4347" t="str">
            <v>bueno</v>
          </cell>
          <cell r="K4347" t="str">
            <v>defsi</v>
          </cell>
        </row>
        <row r="4348">
          <cell r="B4348" t="b">
            <v>1</v>
          </cell>
          <cell r="E4348" t="str">
            <v>Esperanza</v>
          </cell>
          <cell r="H4348" t="str">
            <v>salud_oral</v>
          </cell>
          <cell r="J4348" t="str">
            <v>bueno</v>
          </cell>
          <cell r="K4348" t="str">
            <v>defsi</v>
          </cell>
        </row>
        <row r="4349">
          <cell r="B4349" t="b">
            <v>1</v>
          </cell>
          <cell r="E4349" t="str">
            <v>Esperanza</v>
          </cell>
          <cell r="H4349" t="str">
            <v>laboratorio</v>
          </cell>
          <cell r="J4349" t="str">
            <v>bueno</v>
          </cell>
          <cell r="K4349" t="str">
            <v>defsi</v>
          </cell>
        </row>
        <row r="4350">
          <cell r="B4350" t="b">
            <v>1</v>
          </cell>
          <cell r="E4350" t="str">
            <v>Esperanza</v>
          </cell>
          <cell r="H4350" t="str">
            <v>urgencia</v>
          </cell>
          <cell r="J4350" t="str">
            <v>bueno</v>
          </cell>
          <cell r="K4350" t="str">
            <v>defsi</v>
          </cell>
        </row>
        <row r="4351">
          <cell r="B4351" t="b">
            <v>1</v>
          </cell>
          <cell r="E4351" t="str">
            <v>Esperanza</v>
          </cell>
          <cell r="H4351" t="str">
            <v>electros</v>
          </cell>
          <cell r="J4351" t="str">
            <v>bueno</v>
          </cell>
          <cell r="K4351" t="str">
            <v>defsi</v>
          </cell>
        </row>
        <row r="4352">
          <cell r="B4352" t="b">
            <v>1</v>
          </cell>
          <cell r="E4352" t="str">
            <v>Esperanza</v>
          </cell>
          <cell r="H4352" t="str">
            <v>consulta_externa</v>
          </cell>
          <cell r="J4352" t="str">
            <v>bueno</v>
          </cell>
          <cell r="K4352" t="str">
            <v>defsi</v>
          </cell>
        </row>
        <row r="4353">
          <cell r="B4353" t="b">
            <v>1</v>
          </cell>
          <cell r="E4353" t="str">
            <v>Esperanza</v>
          </cell>
          <cell r="H4353" t="str">
            <v>salud_oral</v>
          </cell>
          <cell r="J4353" t="str">
            <v>bueno</v>
          </cell>
          <cell r="K4353" t="str">
            <v>defsi</v>
          </cell>
        </row>
        <row r="4354">
          <cell r="B4354" t="b">
            <v>1</v>
          </cell>
          <cell r="E4354" t="str">
            <v>Esperanza</v>
          </cell>
          <cell r="H4354" t="str">
            <v>laboratorio</v>
          </cell>
          <cell r="J4354" t="str">
            <v>bueno</v>
          </cell>
          <cell r="K4354" t="str">
            <v>defsi</v>
          </cell>
        </row>
        <row r="4355">
          <cell r="B4355" t="b">
            <v>1</v>
          </cell>
          <cell r="E4355" t="str">
            <v>Esperanza</v>
          </cell>
          <cell r="H4355" t="str">
            <v>urgencia</v>
          </cell>
          <cell r="J4355" t="str">
            <v>bueno</v>
          </cell>
          <cell r="K4355" t="str">
            <v>defsi</v>
          </cell>
        </row>
        <row r="4356">
          <cell r="B4356" t="b">
            <v>1</v>
          </cell>
          <cell r="E4356" t="str">
            <v>Esperanza</v>
          </cell>
          <cell r="H4356" t="str">
            <v>electros</v>
          </cell>
          <cell r="J4356" t="str">
            <v>bueno</v>
          </cell>
          <cell r="K4356" t="str">
            <v>defsi</v>
          </cell>
        </row>
        <row r="4357">
          <cell r="B4357" t="b">
            <v>1</v>
          </cell>
          <cell r="E4357" t="str">
            <v>Esperanza</v>
          </cell>
          <cell r="H4357" t="str">
            <v>consulta_externa</v>
          </cell>
          <cell r="J4357" t="str">
            <v>bueno</v>
          </cell>
          <cell r="K4357" t="str">
            <v>defsi</v>
          </cell>
        </row>
        <row r="4358">
          <cell r="B4358" t="b">
            <v>1</v>
          </cell>
          <cell r="E4358" t="str">
            <v>Esperanza</v>
          </cell>
          <cell r="H4358" t="str">
            <v>salud_oral</v>
          </cell>
          <cell r="J4358" t="str">
            <v>bueno</v>
          </cell>
          <cell r="K4358" t="str">
            <v>defsi</v>
          </cell>
        </row>
        <row r="4359">
          <cell r="B4359" t="b">
            <v>1</v>
          </cell>
          <cell r="E4359" t="str">
            <v>Esperanza</v>
          </cell>
          <cell r="H4359" t="str">
            <v>laboratorio</v>
          </cell>
          <cell r="J4359" t="str">
            <v>bueno</v>
          </cell>
          <cell r="K4359" t="str">
            <v>defsi</v>
          </cell>
        </row>
        <row r="4360">
          <cell r="B4360" t="b">
            <v>1</v>
          </cell>
          <cell r="E4360" t="str">
            <v>Esperanza</v>
          </cell>
          <cell r="H4360" t="str">
            <v>urgencia</v>
          </cell>
          <cell r="J4360" t="str">
            <v>bueno</v>
          </cell>
          <cell r="K4360" t="str">
            <v>defsi</v>
          </cell>
        </row>
        <row r="4361">
          <cell r="B4361" t="b">
            <v>1</v>
          </cell>
          <cell r="E4361" t="str">
            <v>Esperanza</v>
          </cell>
          <cell r="H4361" t="str">
            <v>electros</v>
          </cell>
          <cell r="J4361" t="str">
            <v>bueno</v>
          </cell>
          <cell r="K4361" t="str">
            <v>defsi</v>
          </cell>
        </row>
        <row r="4362">
          <cell r="B4362" t="b">
            <v>1</v>
          </cell>
          <cell r="E4362" t="str">
            <v>Arroz Barato</v>
          </cell>
          <cell r="H4362" t="str">
            <v>rx</v>
          </cell>
          <cell r="J4362" t="str">
            <v>bueno</v>
          </cell>
          <cell r="K4362" t="str">
            <v>defsi</v>
          </cell>
        </row>
        <row r="4363">
          <cell r="B4363" t="b">
            <v>1</v>
          </cell>
          <cell r="E4363" t="str">
            <v>Arroz Barato</v>
          </cell>
          <cell r="H4363" t="str">
            <v>laboratorio</v>
          </cell>
          <cell r="J4363" t="str">
            <v>bueno</v>
          </cell>
          <cell r="K4363" t="str">
            <v>defsi</v>
          </cell>
        </row>
        <row r="4364">
          <cell r="B4364" t="b">
            <v>0</v>
          </cell>
          <cell r="E4364" t="str">
            <v>Arroz Barato</v>
          </cell>
          <cell r="H4364" t="str">
            <v>urgencia</v>
          </cell>
          <cell r="J4364" t="str">
            <v>regular</v>
          </cell>
          <cell r="K4364" t="str">
            <v>defno</v>
          </cell>
        </row>
        <row r="4365">
          <cell r="B4365" t="b">
            <v>1</v>
          </cell>
          <cell r="E4365" t="str">
            <v>Arroz Barato</v>
          </cell>
          <cell r="H4365" t="str">
            <v>urgencia</v>
          </cell>
          <cell r="J4365" t="str">
            <v>bueno</v>
          </cell>
          <cell r="K4365" t="str">
            <v>defsi</v>
          </cell>
        </row>
        <row r="4366">
          <cell r="B4366" t="b">
            <v>1</v>
          </cell>
          <cell r="E4366" t="str">
            <v>Arroz Barato</v>
          </cell>
          <cell r="H4366" t="str">
            <v>urgencia</v>
          </cell>
          <cell r="J4366" t="str">
            <v>bueno</v>
          </cell>
          <cell r="K4366" t="str">
            <v>defsi</v>
          </cell>
        </row>
        <row r="4367">
          <cell r="B4367" t="b">
            <v>1</v>
          </cell>
          <cell r="E4367" t="str">
            <v>Arroz Barato</v>
          </cell>
          <cell r="H4367" t="str">
            <v>urgencia</v>
          </cell>
          <cell r="J4367" t="str">
            <v>bueno</v>
          </cell>
          <cell r="K4367" t="str">
            <v>defsi</v>
          </cell>
        </row>
        <row r="4368">
          <cell r="B4368" t="b">
            <v>0</v>
          </cell>
          <cell r="E4368" t="str">
            <v>Arroz Barato</v>
          </cell>
          <cell r="H4368" t="str">
            <v>urgencia</v>
          </cell>
          <cell r="J4368" t="str">
            <v>regular</v>
          </cell>
          <cell r="K4368" t="str">
            <v>probsi</v>
          </cell>
        </row>
        <row r="4369">
          <cell r="B4369" t="b">
            <v>0</v>
          </cell>
          <cell r="E4369" t="str">
            <v>Arroz Barato</v>
          </cell>
          <cell r="H4369" t="str">
            <v>urgencia</v>
          </cell>
          <cell r="J4369" t="str">
            <v>regular</v>
          </cell>
          <cell r="K4369" t="str">
            <v>probsi</v>
          </cell>
        </row>
        <row r="4370">
          <cell r="B4370" t="b">
            <v>1</v>
          </cell>
          <cell r="E4370" t="str">
            <v>Arroz Barato</v>
          </cell>
          <cell r="H4370" t="str">
            <v>laboratorio</v>
          </cell>
          <cell r="J4370" t="str">
            <v>bueno</v>
          </cell>
          <cell r="K4370" t="str">
            <v>defsi</v>
          </cell>
        </row>
        <row r="4371">
          <cell r="B4371" t="b">
            <v>1</v>
          </cell>
          <cell r="E4371" t="str">
            <v>Arroz Barato</v>
          </cell>
          <cell r="H4371" t="str">
            <v>laboratorio</v>
          </cell>
          <cell r="J4371" t="str">
            <v>bueno</v>
          </cell>
          <cell r="K4371" t="str">
            <v>defsi</v>
          </cell>
        </row>
        <row r="4372">
          <cell r="B4372" t="b">
            <v>1</v>
          </cell>
          <cell r="E4372" t="str">
            <v>Arroz Barato</v>
          </cell>
          <cell r="H4372" t="str">
            <v>urgencia</v>
          </cell>
          <cell r="J4372" t="str">
            <v>bueno</v>
          </cell>
          <cell r="K4372" t="str">
            <v>defsi</v>
          </cell>
        </row>
        <row r="4373">
          <cell r="B4373" t="b">
            <v>1</v>
          </cell>
          <cell r="E4373" t="str">
            <v>Arroz Barato</v>
          </cell>
          <cell r="H4373" t="str">
            <v>salud_oral</v>
          </cell>
          <cell r="J4373" t="str">
            <v>bueno</v>
          </cell>
          <cell r="K4373" t="str">
            <v>defsi</v>
          </cell>
        </row>
        <row r="4374">
          <cell r="B4374" t="b">
            <v>1</v>
          </cell>
          <cell r="E4374" t="str">
            <v>Arroz Barato</v>
          </cell>
          <cell r="H4374" t="str">
            <v>salud_oral</v>
          </cell>
          <cell r="J4374" t="str">
            <v>bueno</v>
          </cell>
          <cell r="K4374" t="str">
            <v>defsi</v>
          </cell>
        </row>
        <row r="4375">
          <cell r="B4375" t="b">
            <v>1</v>
          </cell>
          <cell r="E4375" t="str">
            <v>Arroz Barato</v>
          </cell>
          <cell r="H4375" t="str">
            <v>salud_oral</v>
          </cell>
          <cell r="J4375" t="str">
            <v>bueno</v>
          </cell>
          <cell r="K4375" t="str">
            <v>defsi</v>
          </cell>
        </row>
        <row r="4376">
          <cell r="B4376" t="b">
            <v>1</v>
          </cell>
          <cell r="E4376" t="str">
            <v>Arroz Barato</v>
          </cell>
          <cell r="H4376" t="str">
            <v>salud_oral</v>
          </cell>
          <cell r="J4376" t="str">
            <v>bueno</v>
          </cell>
          <cell r="K4376" t="str">
            <v>defsi</v>
          </cell>
        </row>
        <row r="4377">
          <cell r="B4377" t="b">
            <v>0</v>
          </cell>
          <cell r="E4377" t="str">
            <v>Arroz Barato</v>
          </cell>
          <cell r="H4377" t="str">
            <v>salud_oral</v>
          </cell>
          <cell r="J4377" t="str">
            <v>regular</v>
          </cell>
          <cell r="K4377" t="str">
            <v>defsi</v>
          </cell>
        </row>
        <row r="4378">
          <cell r="B4378" t="b">
            <v>1</v>
          </cell>
          <cell r="E4378" t="str">
            <v>Arroz Barato</v>
          </cell>
          <cell r="H4378" t="str">
            <v>urgencia</v>
          </cell>
          <cell r="J4378" t="str">
            <v>bueno</v>
          </cell>
          <cell r="K4378" t="str">
            <v>defsi</v>
          </cell>
        </row>
        <row r="4379">
          <cell r="B4379" t="b">
            <v>1</v>
          </cell>
          <cell r="E4379" t="str">
            <v>Arroz Barato</v>
          </cell>
          <cell r="H4379" t="str">
            <v>urgencia</v>
          </cell>
          <cell r="J4379" t="str">
            <v>bueno</v>
          </cell>
          <cell r="K4379" t="str">
            <v>defsi</v>
          </cell>
        </row>
        <row r="4380">
          <cell r="B4380" t="b">
            <v>0</v>
          </cell>
          <cell r="E4380" t="str">
            <v>Arroz Barato</v>
          </cell>
          <cell r="H4380" t="str">
            <v>urgencia</v>
          </cell>
          <cell r="J4380" t="str">
            <v>regular</v>
          </cell>
          <cell r="K4380" t="str">
            <v>probsi</v>
          </cell>
        </row>
        <row r="4381">
          <cell r="B4381" t="b">
            <v>1</v>
          </cell>
          <cell r="E4381" t="str">
            <v>Arroz Barato</v>
          </cell>
          <cell r="H4381" t="str">
            <v>urgencia</v>
          </cell>
          <cell r="J4381" t="str">
            <v>bueno</v>
          </cell>
          <cell r="K4381" t="str">
            <v>defsi</v>
          </cell>
        </row>
        <row r="4382">
          <cell r="B4382" t="b">
            <v>1</v>
          </cell>
          <cell r="E4382" t="str">
            <v>Arroz Barato</v>
          </cell>
          <cell r="H4382" t="str">
            <v>urgencia</v>
          </cell>
          <cell r="J4382" t="str">
            <v>bueno</v>
          </cell>
          <cell r="K4382" t="str">
            <v>defsi</v>
          </cell>
        </row>
        <row r="4383">
          <cell r="B4383" t="b">
            <v>1</v>
          </cell>
          <cell r="E4383" t="str">
            <v>Arroz Barato</v>
          </cell>
          <cell r="H4383" t="str">
            <v>laboratorio</v>
          </cell>
          <cell r="J4383" t="str">
            <v>bueno</v>
          </cell>
          <cell r="K4383" t="str">
            <v>defsi</v>
          </cell>
        </row>
        <row r="4384">
          <cell r="B4384" t="b">
            <v>1</v>
          </cell>
          <cell r="E4384" t="str">
            <v>Arroz Barato</v>
          </cell>
          <cell r="H4384" t="str">
            <v>laboratorio</v>
          </cell>
          <cell r="J4384" t="str">
            <v>bueno</v>
          </cell>
          <cell r="K4384" t="str">
            <v>defsi</v>
          </cell>
        </row>
        <row r="4385">
          <cell r="B4385" t="b">
            <v>1</v>
          </cell>
          <cell r="E4385" t="str">
            <v>Arroz Barato</v>
          </cell>
          <cell r="H4385" t="str">
            <v>laboratorio</v>
          </cell>
          <cell r="J4385" t="str">
            <v>bueno</v>
          </cell>
          <cell r="K4385" t="str">
            <v>defsi</v>
          </cell>
        </row>
        <row r="4386">
          <cell r="B4386" t="b">
            <v>1</v>
          </cell>
          <cell r="E4386" t="str">
            <v>Arroz Barato</v>
          </cell>
          <cell r="H4386" t="str">
            <v>rx</v>
          </cell>
          <cell r="J4386" t="str">
            <v>bueno</v>
          </cell>
          <cell r="K4386" t="str">
            <v>defsi</v>
          </cell>
        </row>
        <row r="4387">
          <cell r="B4387" t="b">
            <v>1</v>
          </cell>
          <cell r="E4387" t="str">
            <v>Arroz Barato</v>
          </cell>
          <cell r="H4387" t="str">
            <v>rx</v>
          </cell>
          <cell r="J4387" t="str">
            <v>bueno</v>
          </cell>
          <cell r="K4387" t="str">
            <v>defsi</v>
          </cell>
        </row>
        <row r="4388">
          <cell r="B4388" t="b">
            <v>1</v>
          </cell>
          <cell r="E4388" t="str">
            <v>Arroz Barato</v>
          </cell>
          <cell r="H4388" t="str">
            <v>urgencia</v>
          </cell>
          <cell r="J4388" t="str">
            <v>bueno</v>
          </cell>
          <cell r="K4388" t="str">
            <v>defsi</v>
          </cell>
        </row>
        <row r="4389">
          <cell r="B4389" t="b">
            <v>1</v>
          </cell>
          <cell r="E4389" t="str">
            <v>Arroz Barato</v>
          </cell>
          <cell r="H4389" t="str">
            <v>urgencia</v>
          </cell>
          <cell r="J4389" t="str">
            <v>bueno</v>
          </cell>
          <cell r="K4389" t="str">
            <v>defsi</v>
          </cell>
        </row>
        <row r="4390">
          <cell r="B4390" t="b">
            <v>1</v>
          </cell>
          <cell r="E4390" t="str">
            <v>Arroz Barato</v>
          </cell>
          <cell r="H4390" t="str">
            <v>urgencia</v>
          </cell>
          <cell r="J4390" t="str">
            <v>bueno</v>
          </cell>
          <cell r="K4390" t="str">
            <v>defsi</v>
          </cell>
        </row>
        <row r="4391">
          <cell r="B4391" t="b">
            <v>1</v>
          </cell>
          <cell r="E4391" t="str">
            <v>Arroz Barato</v>
          </cell>
          <cell r="H4391" t="str">
            <v>laboratorio</v>
          </cell>
          <cell r="J4391" t="str">
            <v>bueno</v>
          </cell>
          <cell r="K4391" t="str">
            <v>defsi</v>
          </cell>
        </row>
        <row r="4392">
          <cell r="B4392" t="b">
            <v>1</v>
          </cell>
          <cell r="E4392" t="str">
            <v>Arroz Barato</v>
          </cell>
          <cell r="H4392" t="str">
            <v>urgencia</v>
          </cell>
          <cell r="J4392" t="str">
            <v>bueno</v>
          </cell>
          <cell r="K4392" t="str">
            <v>defsi</v>
          </cell>
        </row>
        <row r="4393">
          <cell r="B4393" t="b">
            <v>1</v>
          </cell>
          <cell r="E4393" t="str">
            <v>Arroz Barato</v>
          </cell>
          <cell r="H4393" t="str">
            <v>rx</v>
          </cell>
          <cell r="J4393" t="str">
            <v>bueno</v>
          </cell>
          <cell r="K4393" t="str">
            <v>defsi</v>
          </cell>
        </row>
        <row r="4394">
          <cell r="B4394" t="b">
            <v>1</v>
          </cell>
          <cell r="E4394" t="str">
            <v>Arroz Barato</v>
          </cell>
          <cell r="H4394" t="str">
            <v>rx</v>
          </cell>
          <cell r="J4394" t="str">
            <v>bueno</v>
          </cell>
          <cell r="K4394" t="str">
            <v>defsi</v>
          </cell>
        </row>
        <row r="4395">
          <cell r="B4395" t="b">
            <v>0</v>
          </cell>
          <cell r="E4395" t="str">
            <v>Arroz Barato</v>
          </cell>
          <cell r="H4395" t="str">
            <v>urgencia</v>
          </cell>
          <cell r="J4395" t="str">
            <v>regular</v>
          </cell>
          <cell r="K4395" t="str">
            <v>defsi</v>
          </cell>
        </row>
        <row r="4396">
          <cell r="B4396" t="b">
            <v>1</v>
          </cell>
          <cell r="E4396" t="str">
            <v>Arroz Barato</v>
          </cell>
          <cell r="H4396" t="str">
            <v>urgencia</v>
          </cell>
          <cell r="J4396" t="str">
            <v>bueno</v>
          </cell>
          <cell r="K4396" t="str">
            <v>defsi</v>
          </cell>
        </row>
        <row r="4397">
          <cell r="B4397" t="b">
            <v>1</v>
          </cell>
          <cell r="E4397" t="str">
            <v>Arroz Barato</v>
          </cell>
          <cell r="H4397" t="str">
            <v>urgencia</v>
          </cell>
          <cell r="J4397" t="str">
            <v>bueno</v>
          </cell>
          <cell r="K4397" t="str">
            <v>defsi</v>
          </cell>
        </row>
        <row r="4398">
          <cell r="B4398" t="b">
            <v>1</v>
          </cell>
          <cell r="E4398" t="str">
            <v>Arroz Barato</v>
          </cell>
          <cell r="H4398" t="str">
            <v>laboratorio</v>
          </cell>
          <cell r="J4398" t="str">
            <v>bueno</v>
          </cell>
          <cell r="K4398" t="str">
            <v>defsi</v>
          </cell>
        </row>
        <row r="4399">
          <cell r="B4399" t="b">
            <v>1</v>
          </cell>
          <cell r="E4399" t="str">
            <v>Arroz Barato</v>
          </cell>
          <cell r="H4399" t="str">
            <v>urgencia</v>
          </cell>
          <cell r="J4399" t="str">
            <v>bueno</v>
          </cell>
          <cell r="K4399" t="str">
            <v>defsi</v>
          </cell>
        </row>
        <row r="4400">
          <cell r="B4400" t="b">
            <v>0</v>
          </cell>
          <cell r="E4400" t="str">
            <v>Arroz Barato</v>
          </cell>
          <cell r="H4400" t="str">
            <v>urgencia</v>
          </cell>
          <cell r="J4400" t="str">
            <v>regular</v>
          </cell>
          <cell r="K4400" t="str">
            <v>defsi</v>
          </cell>
        </row>
        <row r="4401">
          <cell r="B4401" t="b">
            <v>1</v>
          </cell>
          <cell r="E4401" t="str">
            <v>Arroz Barato</v>
          </cell>
          <cell r="H4401" t="str">
            <v>laboratorio</v>
          </cell>
          <cell r="J4401" t="str">
            <v>bueno</v>
          </cell>
          <cell r="K4401" t="str">
            <v>defsi</v>
          </cell>
        </row>
        <row r="4402">
          <cell r="B4402" t="b">
            <v>1</v>
          </cell>
          <cell r="E4402" t="str">
            <v>Arroz Barato</v>
          </cell>
          <cell r="H4402" t="str">
            <v>consulta_externa</v>
          </cell>
          <cell r="J4402" t="str">
            <v>bueno</v>
          </cell>
          <cell r="K4402" t="str">
            <v>defsi</v>
          </cell>
        </row>
        <row r="4403">
          <cell r="B4403" t="b">
            <v>1</v>
          </cell>
          <cell r="E4403" t="str">
            <v>Arroz Barato</v>
          </cell>
          <cell r="H4403" t="str">
            <v>laboratorio</v>
          </cell>
          <cell r="J4403" t="str">
            <v>bueno</v>
          </cell>
          <cell r="K4403" t="str">
            <v>defsi</v>
          </cell>
        </row>
        <row r="4404">
          <cell r="B4404" t="b">
            <v>1</v>
          </cell>
          <cell r="E4404" t="str">
            <v>Arroz Barato</v>
          </cell>
          <cell r="H4404" t="str">
            <v>consulta_externa</v>
          </cell>
          <cell r="J4404" t="str">
            <v>bueno</v>
          </cell>
          <cell r="K4404" t="str">
            <v>defsi</v>
          </cell>
        </row>
        <row r="4405">
          <cell r="B4405" t="b">
            <v>1</v>
          </cell>
          <cell r="E4405" t="str">
            <v>Arroz Barato</v>
          </cell>
          <cell r="H4405" t="str">
            <v>consulta_externa</v>
          </cell>
          <cell r="J4405" t="str">
            <v>bueno</v>
          </cell>
          <cell r="K4405" t="str">
            <v>defsi</v>
          </cell>
        </row>
        <row r="4406">
          <cell r="B4406" t="b">
            <v>1</v>
          </cell>
          <cell r="E4406" t="str">
            <v>Arroz Barato</v>
          </cell>
          <cell r="H4406" t="str">
            <v>laboratorio</v>
          </cell>
          <cell r="J4406" t="str">
            <v>bueno</v>
          </cell>
          <cell r="K4406" t="str">
            <v>defsi</v>
          </cell>
        </row>
        <row r="4407">
          <cell r="B4407" t="b">
            <v>1</v>
          </cell>
          <cell r="E4407" t="str">
            <v>Arroz Barato</v>
          </cell>
          <cell r="H4407" t="str">
            <v>rx</v>
          </cell>
          <cell r="J4407" t="str">
            <v>bueno</v>
          </cell>
          <cell r="K4407" t="str">
            <v>defsi</v>
          </cell>
        </row>
        <row r="4408">
          <cell r="B4408" t="b">
            <v>1</v>
          </cell>
          <cell r="E4408" t="str">
            <v>Arroz Barato</v>
          </cell>
          <cell r="H4408" t="str">
            <v>rx</v>
          </cell>
          <cell r="J4408" t="str">
            <v>bueno</v>
          </cell>
          <cell r="K4408" t="str">
            <v>defsi</v>
          </cell>
        </row>
        <row r="4409">
          <cell r="B4409" t="b">
            <v>1</v>
          </cell>
          <cell r="E4409" t="str">
            <v>Arroz Barato</v>
          </cell>
          <cell r="H4409" t="str">
            <v>rx</v>
          </cell>
          <cell r="J4409" t="str">
            <v>bueno</v>
          </cell>
          <cell r="K4409" t="str">
            <v>defsi</v>
          </cell>
        </row>
        <row r="4410">
          <cell r="B4410" t="b">
            <v>0</v>
          </cell>
          <cell r="E4410" t="str">
            <v>Arroz Barato</v>
          </cell>
          <cell r="H4410" t="str">
            <v>urgencia</v>
          </cell>
          <cell r="J4410" t="str">
            <v>regular</v>
          </cell>
          <cell r="K4410" t="str">
            <v>defsi</v>
          </cell>
        </row>
        <row r="4411">
          <cell r="B4411" t="b">
            <v>1</v>
          </cell>
          <cell r="E4411" t="str">
            <v>Arroz Barato</v>
          </cell>
          <cell r="H4411" t="str">
            <v>urgencia</v>
          </cell>
          <cell r="J4411" t="str">
            <v>bueno</v>
          </cell>
          <cell r="K4411" t="str">
            <v>defsi</v>
          </cell>
        </row>
        <row r="4412">
          <cell r="B4412" t="b">
            <v>1</v>
          </cell>
          <cell r="E4412" t="str">
            <v>Arroyo de Piedra</v>
          </cell>
          <cell r="H4412" t="str">
            <v>salud_oral</v>
          </cell>
          <cell r="J4412" t="str">
            <v>bueno</v>
          </cell>
          <cell r="K4412" t="str">
            <v>probsi</v>
          </cell>
        </row>
        <row r="4413">
          <cell r="B4413" t="b">
            <v>1</v>
          </cell>
          <cell r="E4413" t="str">
            <v>Arroyo de Piedra</v>
          </cell>
          <cell r="H4413" t="str">
            <v>laboratorio</v>
          </cell>
          <cell r="J4413" t="str">
            <v>bueno</v>
          </cell>
          <cell r="K4413" t="str">
            <v>probsi</v>
          </cell>
        </row>
        <row r="4414">
          <cell r="B4414" t="b">
            <v>1</v>
          </cell>
          <cell r="E4414" t="str">
            <v>Arroyo de las Canoas</v>
          </cell>
          <cell r="H4414" t="str">
            <v>consulta_externa</v>
          </cell>
          <cell r="J4414" t="str">
            <v>bueno</v>
          </cell>
          <cell r="K4414" t="str">
            <v>probsi</v>
          </cell>
        </row>
        <row r="4415">
          <cell r="B4415" t="b">
            <v>1</v>
          </cell>
          <cell r="E4415" t="str">
            <v>Arroz Barato</v>
          </cell>
          <cell r="H4415" t="str">
            <v>urgencia</v>
          </cell>
          <cell r="J4415" t="str">
            <v>bueno</v>
          </cell>
          <cell r="K4415" t="str">
            <v>defsi</v>
          </cell>
        </row>
        <row r="4416">
          <cell r="B4416" t="b">
            <v>1</v>
          </cell>
          <cell r="E4416" t="str">
            <v>Arroz Barato</v>
          </cell>
          <cell r="H4416" t="str">
            <v>salud_oral</v>
          </cell>
          <cell r="J4416" t="str">
            <v>bueno</v>
          </cell>
          <cell r="K4416" t="str">
            <v>defsi</v>
          </cell>
        </row>
        <row r="4417">
          <cell r="B4417" t="b">
            <v>0</v>
          </cell>
          <cell r="E4417" t="str">
            <v>Arroz Barato</v>
          </cell>
          <cell r="H4417" t="str">
            <v>salud_oral</v>
          </cell>
          <cell r="J4417" t="str">
            <v>malo</v>
          </cell>
          <cell r="K4417" t="str">
            <v>defno</v>
          </cell>
        </row>
        <row r="4418">
          <cell r="B4418" t="b">
            <v>0</v>
          </cell>
          <cell r="E4418" t="str">
            <v>Arroz Barato</v>
          </cell>
          <cell r="H4418" t="str">
            <v>urgencia</v>
          </cell>
          <cell r="J4418" t="str">
            <v>regular</v>
          </cell>
          <cell r="K4418" t="str">
            <v>probsi</v>
          </cell>
        </row>
        <row r="4419">
          <cell r="B4419" t="b">
            <v>0</v>
          </cell>
          <cell r="E4419" t="str">
            <v>Arroz Barato</v>
          </cell>
          <cell r="H4419" t="str">
            <v>urgencia</v>
          </cell>
          <cell r="J4419" t="str">
            <v>regular</v>
          </cell>
          <cell r="K4419" t="str">
            <v>defsi</v>
          </cell>
        </row>
        <row r="4420">
          <cell r="B4420" t="b">
            <v>1</v>
          </cell>
          <cell r="E4420" t="str">
            <v>Arroz Barato</v>
          </cell>
          <cell r="H4420" t="str">
            <v>urgencia</v>
          </cell>
          <cell r="J4420" t="str">
            <v>bueno</v>
          </cell>
          <cell r="K4420" t="str">
            <v>defsi</v>
          </cell>
        </row>
        <row r="4421">
          <cell r="B4421" t="b">
            <v>1</v>
          </cell>
          <cell r="E4421" t="str">
            <v>Arroz Barato</v>
          </cell>
          <cell r="H4421" t="str">
            <v>urgencia</v>
          </cell>
          <cell r="J4421" t="str">
            <v>bueno</v>
          </cell>
          <cell r="K4421" t="str">
            <v>probsi</v>
          </cell>
        </row>
        <row r="4422">
          <cell r="B4422" t="b">
            <v>1</v>
          </cell>
          <cell r="E4422" t="str">
            <v>Arroz Barato</v>
          </cell>
          <cell r="H4422" t="str">
            <v>rx</v>
          </cell>
          <cell r="J4422" t="str">
            <v>bueno</v>
          </cell>
          <cell r="K4422" t="str">
            <v>defsi</v>
          </cell>
        </row>
        <row r="4423">
          <cell r="B4423" t="b">
            <v>1</v>
          </cell>
          <cell r="E4423" t="str">
            <v>Arroz Barato</v>
          </cell>
          <cell r="H4423" t="str">
            <v>rx</v>
          </cell>
          <cell r="J4423" t="str">
            <v>bueno</v>
          </cell>
          <cell r="K4423" t="str">
            <v>defsi</v>
          </cell>
        </row>
        <row r="4424">
          <cell r="B4424" t="b">
            <v>1</v>
          </cell>
          <cell r="E4424" t="str">
            <v>Arroz Barato</v>
          </cell>
          <cell r="H4424" t="str">
            <v>urgencia</v>
          </cell>
          <cell r="J4424" t="str">
            <v>bueno</v>
          </cell>
          <cell r="K4424" t="str">
            <v>defsi</v>
          </cell>
        </row>
        <row r="4425">
          <cell r="B4425" t="b">
            <v>1</v>
          </cell>
          <cell r="E4425" t="str">
            <v>Arroyo de las Canoas</v>
          </cell>
          <cell r="H4425" t="str">
            <v>salud_oral</v>
          </cell>
          <cell r="J4425" t="str">
            <v>bueno</v>
          </cell>
          <cell r="K4425" t="str">
            <v>probsi</v>
          </cell>
        </row>
        <row r="4426">
          <cell r="B4426" t="b">
            <v>1</v>
          </cell>
          <cell r="E4426" t="str">
            <v>Arroyo de las Canoas</v>
          </cell>
          <cell r="H4426" t="str">
            <v>salud_oral</v>
          </cell>
          <cell r="J4426" t="str">
            <v>bueno</v>
          </cell>
          <cell r="K4426" t="str">
            <v>probsi</v>
          </cell>
        </row>
        <row r="4427">
          <cell r="B4427" t="b">
            <v>1</v>
          </cell>
          <cell r="E4427" t="str">
            <v>Santa Ana</v>
          </cell>
          <cell r="H4427" t="str">
            <v>consulta_externa</v>
          </cell>
          <cell r="J4427" t="str">
            <v>muybueno</v>
          </cell>
          <cell r="K4427" t="str">
            <v>defsi</v>
          </cell>
        </row>
        <row r="4428">
          <cell r="B4428" t="b">
            <v>1</v>
          </cell>
          <cell r="E4428" t="str">
            <v>Santa Ana</v>
          </cell>
          <cell r="H4428" t="str">
            <v>laboratorio</v>
          </cell>
          <cell r="J4428" t="str">
            <v>muybueno</v>
          </cell>
          <cell r="K4428" t="str">
            <v>defsi</v>
          </cell>
        </row>
        <row r="4429">
          <cell r="B4429" t="b">
            <v>1</v>
          </cell>
          <cell r="E4429" t="str">
            <v>Santa Ana</v>
          </cell>
          <cell r="H4429" t="str">
            <v>consulta_externa</v>
          </cell>
          <cell r="J4429" t="str">
            <v>muybueno</v>
          </cell>
          <cell r="K4429" t="str">
            <v>defsi</v>
          </cell>
        </row>
        <row r="4430">
          <cell r="B4430" t="b">
            <v>1</v>
          </cell>
          <cell r="E4430" t="str">
            <v>Santa Ana</v>
          </cell>
          <cell r="H4430" t="str">
            <v>laboratorio</v>
          </cell>
          <cell r="J4430" t="str">
            <v>muybueno</v>
          </cell>
          <cell r="K4430" t="str">
            <v>defsi</v>
          </cell>
        </row>
        <row r="4431">
          <cell r="B4431" t="b">
            <v>1</v>
          </cell>
          <cell r="E4431" t="str">
            <v>Santa Ana</v>
          </cell>
          <cell r="H4431" t="str">
            <v>salud_oral</v>
          </cell>
          <cell r="J4431" t="str">
            <v>muybueno</v>
          </cell>
          <cell r="K4431" t="str">
            <v>defsi</v>
          </cell>
        </row>
        <row r="4432">
          <cell r="B4432" t="b">
            <v>1</v>
          </cell>
          <cell r="E4432" t="str">
            <v>Santa Ana</v>
          </cell>
          <cell r="H4432" t="str">
            <v>consulta_externa</v>
          </cell>
          <cell r="J4432" t="str">
            <v>muybueno</v>
          </cell>
          <cell r="K4432" t="str">
            <v>defsi</v>
          </cell>
        </row>
        <row r="4433">
          <cell r="B4433" t="b">
            <v>1</v>
          </cell>
          <cell r="E4433" t="str">
            <v>Santa Ana</v>
          </cell>
          <cell r="H4433" t="str">
            <v>laboratorio</v>
          </cell>
          <cell r="J4433" t="str">
            <v>muybueno</v>
          </cell>
          <cell r="K4433" t="str">
            <v>defsi</v>
          </cell>
        </row>
        <row r="4434">
          <cell r="B4434" t="b">
            <v>1</v>
          </cell>
          <cell r="E4434" t="str">
            <v>Pasacaballos</v>
          </cell>
          <cell r="H4434" t="str">
            <v>laboratorio</v>
          </cell>
          <cell r="J4434" t="str">
            <v>bueno</v>
          </cell>
          <cell r="K4434" t="str">
            <v>defsi</v>
          </cell>
        </row>
        <row r="4435">
          <cell r="B4435" t="b">
            <v>1</v>
          </cell>
          <cell r="E4435" t="str">
            <v>Pasacaballos</v>
          </cell>
          <cell r="H4435" t="str">
            <v>laboratorio</v>
          </cell>
          <cell r="J4435" t="str">
            <v>bueno</v>
          </cell>
          <cell r="K4435" t="str">
            <v>defsi</v>
          </cell>
        </row>
        <row r="4436">
          <cell r="B4436" t="b">
            <v>1</v>
          </cell>
          <cell r="E4436" t="str">
            <v>Pasacaballos</v>
          </cell>
          <cell r="H4436" t="str">
            <v>laboratorio</v>
          </cell>
          <cell r="J4436" t="str">
            <v>bueno</v>
          </cell>
          <cell r="K4436" t="str">
            <v>defsi</v>
          </cell>
        </row>
        <row r="4437">
          <cell r="B4437" t="b">
            <v>1</v>
          </cell>
          <cell r="E4437" t="str">
            <v>Santa Ana</v>
          </cell>
          <cell r="H4437" t="str">
            <v>salud_oral</v>
          </cell>
          <cell r="J4437" t="str">
            <v>muybueno</v>
          </cell>
          <cell r="K4437" t="str">
            <v>defsi</v>
          </cell>
        </row>
        <row r="4438">
          <cell r="B4438" t="b">
            <v>1</v>
          </cell>
          <cell r="E4438" t="str">
            <v>Pasacaballos</v>
          </cell>
          <cell r="H4438" t="str">
            <v>laboratorio</v>
          </cell>
          <cell r="J4438" t="str">
            <v>bueno</v>
          </cell>
          <cell r="K4438" t="str">
            <v>defsi</v>
          </cell>
        </row>
        <row r="4439">
          <cell r="B4439" t="b">
            <v>1</v>
          </cell>
          <cell r="E4439" t="str">
            <v>Santa Ana</v>
          </cell>
          <cell r="H4439" t="str">
            <v>laboratorio</v>
          </cell>
          <cell r="J4439" t="str">
            <v>muybueno</v>
          </cell>
          <cell r="K4439" t="str">
            <v>defsi</v>
          </cell>
        </row>
        <row r="4440">
          <cell r="B4440" t="b">
            <v>1</v>
          </cell>
          <cell r="E4440" t="str">
            <v>Pasacaballos</v>
          </cell>
          <cell r="H4440" t="str">
            <v>laboratorio</v>
          </cell>
          <cell r="J4440" t="str">
            <v>bueno</v>
          </cell>
          <cell r="K4440" t="str">
            <v>defsi</v>
          </cell>
        </row>
        <row r="4441">
          <cell r="B4441" t="b">
            <v>1</v>
          </cell>
          <cell r="E4441" t="str">
            <v>Pasacaballos</v>
          </cell>
          <cell r="H4441" t="str">
            <v>consulta_externa</v>
          </cell>
          <cell r="J4441" t="str">
            <v>bueno</v>
          </cell>
          <cell r="K4441" t="str">
            <v>defsi</v>
          </cell>
        </row>
        <row r="4442">
          <cell r="B4442" t="b">
            <v>1</v>
          </cell>
          <cell r="E4442" t="str">
            <v>Pasacaballos</v>
          </cell>
          <cell r="H4442" t="str">
            <v>consulta_externa</v>
          </cell>
          <cell r="J4442" t="str">
            <v>bueno</v>
          </cell>
          <cell r="K4442" t="str">
            <v>defsi</v>
          </cell>
        </row>
        <row r="4443">
          <cell r="B4443" t="b">
            <v>0</v>
          </cell>
          <cell r="E4443" t="str">
            <v>Pasacaballos</v>
          </cell>
          <cell r="H4443" t="str">
            <v>consulta_externa</v>
          </cell>
          <cell r="J4443" t="str">
            <v>regular</v>
          </cell>
          <cell r="K4443" t="str">
            <v>probsi</v>
          </cell>
        </row>
        <row r="4444">
          <cell r="B4444" t="b">
            <v>1</v>
          </cell>
          <cell r="E4444" t="str">
            <v>Santa Ana</v>
          </cell>
          <cell r="H4444" t="str">
            <v>consulta_externa</v>
          </cell>
          <cell r="J4444" t="str">
            <v>muybueno</v>
          </cell>
          <cell r="K4444" t="str">
            <v>defsi</v>
          </cell>
        </row>
        <row r="4445">
          <cell r="B4445" t="b">
            <v>1</v>
          </cell>
          <cell r="E4445" t="str">
            <v>Pasacaballos</v>
          </cell>
          <cell r="H4445" t="str">
            <v>laboratorio</v>
          </cell>
          <cell r="J4445" t="str">
            <v>bueno</v>
          </cell>
          <cell r="K4445" t="str">
            <v>defsi</v>
          </cell>
        </row>
        <row r="4446">
          <cell r="B4446" t="b">
            <v>1</v>
          </cell>
          <cell r="E4446" t="str">
            <v>Santa Ana</v>
          </cell>
          <cell r="H4446" t="str">
            <v>laboratorio</v>
          </cell>
          <cell r="J4446" t="str">
            <v>muybueno</v>
          </cell>
          <cell r="K4446" t="str">
            <v>defsi</v>
          </cell>
        </row>
        <row r="4447">
          <cell r="B4447" t="b">
            <v>1</v>
          </cell>
          <cell r="E4447" t="str">
            <v>Arroyo de las Canoas</v>
          </cell>
          <cell r="H4447" t="str">
            <v>salud_oral</v>
          </cell>
          <cell r="J4447" t="str">
            <v>bueno</v>
          </cell>
          <cell r="K4447" t="str">
            <v>probsi</v>
          </cell>
        </row>
        <row r="4448">
          <cell r="B4448" t="b">
            <v>1</v>
          </cell>
          <cell r="E4448" t="str">
            <v>Pasacaballos</v>
          </cell>
          <cell r="H4448" t="str">
            <v>consulta_externa</v>
          </cell>
          <cell r="J4448" t="str">
            <v>bueno</v>
          </cell>
          <cell r="K4448" t="str">
            <v>defsi</v>
          </cell>
        </row>
        <row r="4449">
          <cell r="B4449" t="b">
            <v>1</v>
          </cell>
          <cell r="E4449" t="str">
            <v>Pasacaballos</v>
          </cell>
          <cell r="H4449" t="str">
            <v>laboratorio</v>
          </cell>
          <cell r="J4449" t="str">
            <v>bueno</v>
          </cell>
          <cell r="K4449" t="str">
            <v>defsi</v>
          </cell>
        </row>
        <row r="4450">
          <cell r="B4450" t="b">
            <v>1</v>
          </cell>
          <cell r="E4450" t="str">
            <v>Pasacaballos</v>
          </cell>
          <cell r="H4450" t="str">
            <v>consulta_externa</v>
          </cell>
          <cell r="J4450" t="str">
            <v>bueno</v>
          </cell>
          <cell r="K4450" t="str">
            <v>defsi</v>
          </cell>
        </row>
        <row r="4451">
          <cell r="B4451" t="b">
            <v>1</v>
          </cell>
          <cell r="E4451" t="str">
            <v>Pasacaballos</v>
          </cell>
          <cell r="H4451" t="str">
            <v>urgencia</v>
          </cell>
          <cell r="J4451" t="str">
            <v>bueno</v>
          </cell>
          <cell r="K4451" t="str">
            <v>defsi</v>
          </cell>
        </row>
        <row r="4452">
          <cell r="B4452" t="b">
            <v>1</v>
          </cell>
          <cell r="E4452" t="str">
            <v>Santa Ana</v>
          </cell>
          <cell r="H4452" t="str">
            <v>consulta_externa</v>
          </cell>
          <cell r="J4452" t="str">
            <v>muybueno</v>
          </cell>
          <cell r="K4452" t="str">
            <v>defsi</v>
          </cell>
        </row>
        <row r="4453">
          <cell r="B4453" t="b">
            <v>1</v>
          </cell>
          <cell r="E4453" t="str">
            <v>Pasacaballos</v>
          </cell>
          <cell r="H4453" t="str">
            <v>laboratorio</v>
          </cell>
          <cell r="J4453" t="str">
            <v>bueno</v>
          </cell>
          <cell r="K4453" t="str">
            <v>defsi</v>
          </cell>
        </row>
        <row r="4454">
          <cell r="B4454" t="b">
            <v>1</v>
          </cell>
          <cell r="E4454" t="str">
            <v>Santa Ana</v>
          </cell>
          <cell r="H4454" t="str">
            <v>laboratorio</v>
          </cell>
          <cell r="J4454" t="str">
            <v>muybueno</v>
          </cell>
          <cell r="K4454" t="str">
            <v>defsi</v>
          </cell>
        </row>
        <row r="4455">
          <cell r="B4455" t="b">
            <v>0</v>
          </cell>
          <cell r="E4455" t="str">
            <v>Pasacaballos</v>
          </cell>
          <cell r="H4455" t="str">
            <v>consulta_externa</v>
          </cell>
          <cell r="J4455" t="str">
            <v>regular</v>
          </cell>
          <cell r="K4455" t="str">
            <v>probsi</v>
          </cell>
        </row>
        <row r="4456">
          <cell r="B4456" t="b">
            <v>0</v>
          </cell>
          <cell r="E4456" t="str">
            <v>Pasacaballos</v>
          </cell>
          <cell r="H4456" t="str">
            <v>salud_oral</v>
          </cell>
          <cell r="J4456" t="str">
            <v>regular</v>
          </cell>
          <cell r="K4456" t="str">
            <v>probsi</v>
          </cell>
        </row>
        <row r="4457">
          <cell r="B4457" t="b">
            <v>1</v>
          </cell>
          <cell r="E4457" t="str">
            <v>Pasacaballos</v>
          </cell>
          <cell r="H4457" t="str">
            <v>laboratorio</v>
          </cell>
          <cell r="J4457" t="str">
            <v>bueno</v>
          </cell>
          <cell r="K4457" t="str">
            <v>defsi</v>
          </cell>
        </row>
        <row r="4458">
          <cell r="B4458" t="b">
            <v>1</v>
          </cell>
          <cell r="E4458" t="str">
            <v>Pasacaballos</v>
          </cell>
          <cell r="H4458" t="str">
            <v>laboratorio</v>
          </cell>
          <cell r="J4458" t="str">
            <v>bueno</v>
          </cell>
          <cell r="K4458" t="str">
            <v>defsi</v>
          </cell>
        </row>
        <row r="4459">
          <cell r="B4459" t="b">
            <v>1</v>
          </cell>
          <cell r="E4459" t="str">
            <v>Pasacaballos</v>
          </cell>
          <cell r="H4459" t="str">
            <v>laboratorio</v>
          </cell>
          <cell r="J4459" t="str">
            <v>bueno</v>
          </cell>
          <cell r="K4459" t="str">
            <v>defsi</v>
          </cell>
        </row>
        <row r="4460">
          <cell r="B4460" t="b">
            <v>1</v>
          </cell>
          <cell r="E4460" t="str">
            <v>Santa Ana</v>
          </cell>
          <cell r="H4460" t="str">
            <v>consulta_externa</v>
          </cell>
          <cell r="J4460" t="str">
            <v>muybueno</v>
          </cell>
          <cell r="K4460" t="str">
            <v>defsi</v>
          </cell>
        </row>
        <row r="4461">
          <cell r="B4461" t="b">
            <v>1</v>
          </cell>
          <cell r="E4461" t="str">
            <v>Santa Ana</v>
          </cell>
          <cell r="H4461" t="str">
            <v>laboratorio</v>
          </cell>
          <cell r="J4461" t="str">
            <v>muybueno</v>
          </cell>
          <cell r="K4461" t="str">
            <v>defsi</v>
          </cell>
        </row>
        <row r="4462">
          <cell r="B4462" t="b">
            <v>1</v>
          </cell>
          <cell r="E4462" t="str">
            <v>Santa Ana</v>
          </cell>
          <cell r="H4462" t="str">
            <v>salud_oral</v>
          </cell>
          <cell r="J4462" t="str">
            <v>muybueno</v>
          </cell>
          <cell r="K4462" t="str">
            <v>defsi</v>
          </cell>
        </row>
        <row r="4463">
          <cell r="B4463" t="b">
            <v>1</v>
          </cell>
          <cell r="E4463" t="str">
            <v>Santa Ana</v>
          </cell>
          <cell r="H4463" t="str">
            <v>consulta_externa</v>
          </cell>
          <cell r="J4463" t="str">
            <v>muybueno</v>
          </cell>
          <cell r="K4463" t="str">
            <v>defsi</v>
          </cell>
        </row>
        <row r="4464">
          <cell r="B4464" t="b">
            <v>1</v>
          </cell>
          <cell r="E4464" t="str">
            <v>Bayunca</v>
          </cell>
          <cell r="H4464" t="str">
            <v>urgencia</v>
          </cell>
          <cell r="J4464" t="str">
            <v>bueno</v>
          </cell>
          <cell r="K4464" t="str">
            <v>defsi</v>
          </cell>
        </row>
        <row r="4465">
          <cell r="B4465" t="b">
            <v>1</v>
          </cell>
          <cell r="E4465" t="str">
            <v>Bayunca</v>
          </cell>
          <cell r="H4465" t="str">
            <v>urgencia</v>
          </cell>
          <cell r="J4465" t="str">
            <v>bueno</v>
          </cell>
          <cell r="K4465" t="str">
            <v>defsi</v>
          </cell>
        </row>
        <row r="4466">
          <cell r="B4466" t="b">
            <v>1</v>
          </cell>
          <cell r="E4466" t="str">
            <v>Arroyo de las Canoas</v>
          </cell>
          <cell r="H4466" t="str">
            <v>salud_oral</v>
          </cell>
          <cell r="J4466" t="str">
            <v>muybueno</v>
          </cell>
          <cell r="K4466" t="str">
            <v>probsi</v>
          </cell>
        </row>
        <row r="4467">
          <cell r="B4467" t="b">
            <v>1</v>
          </cell>
          <cell r="E4467" t="str">
            <v>Arroyo de las Canoas</v>
          </cell>
          <cell r="H4467" t="str">
            <v>salud_oral</v>
          </cell>
          <cell r="J4467" t="str">
            <v>bueno</v>
          </cell>
          <cell r="K4467" t="str">
            <v>probsi</v>
          </cell>
        </row>
        <row r="4468">
          <cell r="B4468" t="b">
            <v>1</v>
          </cell>
          <cell r="E4468" t="str">
            <v>Arroyo de las Canoas</v>
          </cell>
          <cell r="H4468" t="str">
            <v>salud_oral</v>
          </cell>
          <cell r="J4468" t="str">
            <v>bueno</v>
          </cell>
          <cell r="K4468" t="str">
            <v>probsi</v>
          </cell>
        </row>
        <row r="4469">
          <cell r="B4469" t="b">
            <v>1</v>
          </cell>
          <cell r="E4469" t="str">
            <v>Bayunca</v>
          </cell>
          <cell r="H4469" t="str">
            <v>urgencia</v>
          </cell>
          <cell r="J4469" t="str">
            <v>bueno</v>
          </cell>
          <cell r="K4469" t="str">
            <v>defsi</v>
          </cell>
        </row>
        <row r="4470">
          <cell r="B4470" t="b">
            <v>1</v>
          </cell>
          <cell r="E4470" t="str">
            <v>Bayunca</v>
          </cell>
          <cell r="H4470" t="str">
            <v>urgencia</v>
          </cell>
          <cell r="J4470" t="str">
            <v>bueno</v>
          </cell>
          <cell r="K4470" t="str">
            <v>defsi</v>
          </cell>
        </row>
        <row r="4471">
          <cell r="B4471" t="b">
            <v>1</v>
          </cell>
          <cell r="E4471" t="str">
            <v>Bayunca</v>
          </cell>
          <cell r="H4471" t="str">
            <v>urgencia</v>
          </cell>
          <cell r="J4471" t="str">
            <v>bueno</v>
          </cell>
          <cell r="K4471" t="str">
            <v>defsi</v>
          </cell>
        </row>
        <row r="4472">
          <cell r="B4472" t="b">
            <v>1</v>
          </cell>
          <cell r="E4472" t="str">
            <v>Bayunca</v>
          </cell>
          <cell r="H4472" t="str">
            <v>urgencia</v>
          </cell>
          <cell r="J4472" t="str">
            <v>bueno</v>
          </cell>
          <cell r="K4472" t="str">
            <v>defsi</v>
          </cell>
        </row>
        <row r="4473">
          <cell r="B4473" t="b">
            <v>1</v>
          </cell>
          <cell r="E4473" t="str">
            <v>Bayunca</v>
          </cell>
          <cell r="H4473" t="str">
            <v>urgencia</v>
          </cell>
          <cell r="J4473" t="str">
            <v>bueno</v>
          </cell>
          <cell r="K4473" t="str">
            <v>defsi</v>
          </cell>
        </row>
        <row r="4474">
          <cell r="B4474" t="b">
            <v>1</v>
          </cell>
          <cell r="E4474" t="str">
            <v>Bayunca</v>
          </cell>
          <cell r="H4474" t="str">
            <v>urgencia</v>
          </cell>
          <cell r="J4474" t="str">
            <v>bueno</v>
          </cell>
          <cell r="K4474" t="str">
            <v>defsi</v>
          </cell>
        </row>
        <row r="4475">
          <cell r="B4475" t="b">
            <v>1</v>
          </cell>
          <cell r="E4475" t="str">
            <v>Bayunca</v>
          </cell>
          <cell r="H4475" t="str">
            <v>urgencia</v>
          </cell>
          <cell r="J4475" t="str">
            <v>bueno</v>
          </cell>
          <cell r="K4475" t="str">
            <v>defsi</v>
          </cell>
        </row>
        <row r="4476">
          <cell r="B4476" t="b">
            <v>1</v>
          </cell>
          <cell r="E4476" t="str">
            <v>Bayunca</v>
          </cell>
          <cell r="H4476" t="str">
            <v>urgencia</v>
          </cell>
          <cell r="J4476" t="str">
            <v>bueno</v>
          </cell>
          <cell r="K4476" t="str">
            <v>defsi</v>
          </cell>
        </row>
        <row r="4477">
          <cell r="B4477" t="b">
            <v>1</v>
          </cell>
          <cell r="E4477" t="str">
            <v>Bayunca</v>
          </cell>
          <cell r="H4477" t="str">
            <v>urgencia</v>
          </cell>
          <cell r="J4477" t="str">
            <v>bueno</v>
          </cell>
          <cell r="K4477" t="str">
            <v>defsi</v>
          </cell>
        </row>
        <row r="4478">
          <cell r="B4478" t="b">
            <v>1</v>
          </cell>
          <cell r="E4478" t="str">
            <v>Bayunca</v>
          </cell>
          <cell r="H4478" t="str">
            <v>urgencia</v>
          </cell>
          <cell r="J4478" t="str">
            <v>bueno</v>
          </cell>
          <cell r="K4478" t="str">
            <v>defsi</v>
          </cell>
        </row>
        <row r="4479">
          <cell r="B4479" t="b">
            <v>1</v>
          </cell>
          <cell r="E4479" t="str">
            <v>Nuevo Porvenir</v>
          </cell>
          <cell r="H4479" t="str">
            <v>laboratorio</v>
          </cell>
          <cell r="J4479" t="str">
            <v>bueno</v>
          </cell>
          <cell r="K4479" t="str">
            <v>probsi</v>
          </cell>
        </row>
        <row r="4480">
          <cell r="B4480" t="b">
            <v>1</v>
          </cell>
          <cell r="E4480" t="str">
            <v>Nuevo Porvenir</v>
          </cell>
          <cell r="H4480" t="str">
            <v>laboratorio</v>
          </cell>
          <cell r="J4480" t="str">
            <v>bueno</v>
          </cell>
          <cell r="K4480" t="str">
            <v>probsi</v>
          </cell>
        </row>
        <row r="4481">
          <cell r="B4481" t="b">
            <v>1</v>
          </cell>
          <cell r="E4481" t="str">
            <v>Nuevo Porvenir</v>
          </cell>
          <cell r="H4481" t="str">
            <v>laboratorio</v>
          </cell>
          <cell r="J4481" t="str">
            <v>bueno</v>
          </cell>
          <cell r="K4481" t="str">
            <v>probsi</v>
          </cell>
        </row>
        <row r="4482">
          <cell r="B4482" t="b">
            <v>1</v>
          </cell>
          <cell r="E4482" t="str">
            <v>Nuevo Porvenir</v>
          </cell>
          <cell r="H4482" t="str">
            <v>laboratorio</v>
          </cell>
          <cell r="J4482" t="str">
            <v>bueno</v>
          </cell>
          <cell r="K4482" t="str">
            <v>probsi</v>
          </cell>
        </row>
        <row r="4483">
          <cell r="B4483" t="b">
            <v>1</v>
          </cell>
          <cell r="E4483" t="str">
            <v>Nuevo Porvenir</v>
          </cell>
          <cell r="H4483" t="str">
            <v>laboratorio</v>
          </cell>
          <cell r="J4483" t="str">
            <v>bueno</v>
          </cell>
          <cell r="K4483" t="str">
            <v>probsi</v>
          </cell>
        </row>
        <row r="4484">
          <cell r="B4484" t="b">
            <v>1</v>
          </cell>
          <cell r="E4484" t="str">
            <v>Santa Ana</v>
          </cell>
          <cell r="H4484" t="str">
            <v>consulta_externa</v>
          </cell>
          <cell r="J4484" t="str">
            <v>muybueno</v>
          </cell>
          <cell r="K4484" t="str">
            <v>defsi</v>
          </cell>
        </row>
        <row r="4485">
          <cell r="B4485" t="b">
            <v>1</v>
          </cell>
          <cell r="E4485" t="str">
            <v>Santa Ana</v>
          </cell>
          <cell r="H4485" t="str">
            <v>laboratorio</v>
          </cell>
          <cell r="J4485" t="str">
            <v>muybueno</v>
          </cell>
          <cell r="K4485" t="str">
            <v>defsi</v>
          </cell>
        </row>
        <row r="4486">
          <cell r="B4486" t="b">
            <v>1</v>
          </cell>
          <cell r="E4486" t="str">
            <v>Nuevo Porvenir</v>
          </cell>
          <cell r="H4486" t="str">
            <v>salud_oral</v>
          </cell>
          <cell r="J4486" t="str">
            <v>bueno</v>
          </cell>
          <cell r="K4486" t="str">
            <v>probsi</v>
          </cell>
        </row>
        <row r="4487">
          <cell r="B4487" t="b">
            <v>1</v>
          </cell>
          <cell r="E4487" t="str">
            <v>Nuevo Porvenir</v>
          </cell>
          <cell r="H4487" t="str">
            <v>salud_oral</v>
          </cell>
          <cell r="J4487" t="str">
            <v>bueno</v>
          </cell>
          <cell r="K4487" t="str">
            <v>probsi</v>
          </cell>
        </row>
        <row r="4488">
          <cell r="B4488" t="b">
            <v>1</v>
          </cell>
          <cell r="E4488" t="str">
            <v>Nuevo Porvenir</v>
          </cell>
          <cell r="H4488" t="str">
            <v>salud_oral</v>
          </cell>
          <cell r="J4488" t="str">
            <v>bueno</v>
          </cell>
          <cell r="K4488" t="str">
            <v>probsi</v>
          </cell>
        </row>
        <row r="4489">
          <cell r="B4489" t="b">
            <v>1</v>
          </cell>
          <cell r="E4489" t="str">
            <v>Nuevo Porvenir</v>
          </cell>
          <cell r="H4489" t="str">
            <v>salud_oral</v>
          </cell>
          <cell r="J4489" t="str">
            <v>bueno</v>
          </cell>
          <cell r="K4489" t="str">
            <v>probsi</v>
          </cell>
        </row>
        <row r="4490">
          <cell r="B4490" t="b">
            <v>1</v>
          </cell>
          <cell r="E4490" t="str">
            <v>Nuevo Porvenir</v>
          </cell>
          <cell r="H4490" t="str">
            <v>salud_oral</v>
          </cell>
          <cell r="J4490" t="str">
            <v>bueno</v>
          </cell>
          <cell r="K4490" t="str">
            <v>probsi</v>
          </cell>
        </row>
        <row r="4491">
          <cell r="B4491" t="b">
            <v>1</v>
          </cell>
          <cell r="E4491" t="str">
            <v>Arroyo Grande</v>
          </cell>
          <cell r="H4491" t="str">
            <v>consulta_externa</v>
          </cell>
          <cell r="J4491" t="str">
            <v>bueno</v>
          </cell>
          <cell r="K4491" t="str">
            <v>probsi</v>
          </cell>
        </row>
        <row r="4492">
          <cell r="B4492" t="b">
            <v>1</v>
          </cell>
          <cell r="E4492" t="str">
            <v>Santa Ana</v>
          </cell>
          <cell r="H4492" t="str">
            <v>laboratorio</v>
          </cell>
          <cell r="J4492" t="str">
            <v>muybueno</v>
          </cell>
          <cell r="K4492" t="str">
            <v>defsi</v>
          </cell>
        </row>
        <row r="4493">
          <cell r="B4493" t="b">
            <v>1</v>
          </cell>
          <cell r="E4493" t="str">
            <v>Santa Ana</v>
          </cell>
          <cell r="H4493" t="str">
            <v>salud_oral</v>
          </cell>
          <cell r="J4493" t="str">
            <v>muybueno</v>
          </cell>
          <cell r="K4493" t="str">
            <v>defsi</v>
          </cell>
        </row>
        <row r="4494">
          <cell r="B4494" t="b">
            <v>1</v>
          </cell>
          <cell r="E4494" t="str">
            <v>Santa Ana</v>
          </cell>
          <cell r="H4494" t="str">
            <v>consulta_externa</v>
          </cell>
          <cell r="J4494" t="str">
            <v>muybueno</v>
          </cell>
          <cell r="K4494" t="str">
            <v>defsi</v>
          </cell>
        </row>
        <row r="4495">
          <cell r="B4495" t="b">
            <v>1</v>
          </cell>
          <cell r="E4495" t="str">
            <v>Santa Ana</v>
          </cell>
          <cell r="H4495" t="str">
            <v>consulta_externa</v>
          </cell>
          <cell r="J4495" t="str">
            <v>muybueno</v>
          </cell>
          <cell r="K4495" t="str">
            <v>defsi</v>
          </cell>
        </row>
        <row r="4496">
          <cell r="B4496" t="b">
            <v>1</v>
          </cell>
          <cell r="E4496" t="str">
            <v>Santa Ana</v>
          </cell>
          <cell r="H4496" t="str">
            <v>laboratorio</v>
          </cell>
          <cell r="J4496" t="str">
            <v>muybueno</v>
          </cell>
          <cell r="K4496" t="str">
            <v>defsi</v>
          </cell>
        </row>
        <row r="4497">
          <cell r="B4497" t="b">
            <v>1</v>
          </cell>
          <cell r="E4497" t="str">
            <v>Pasacaballos</v>
          </cell>
          <cell r="H4497" t="str">
            <v>urgencia</v>
          </cell>
          <cell r="J4497" t="str">
            <v>bueno</v>
          </cell>
          <cell r="K4497" t="str">
            <v>defsi</v>
          </cell>
        </row>
        <row r="4498">
          <cell r="B4498" t="b">
            <v>0</v>
          </cell>
          <cell r="E4498" t="str">
            <v>Pasacaballos</v>
          </cell>
          <cell r="H4498" t="str">
            <v>urgencia</v>
          </cell>
          <cell r="J4498" t="str">
            <v>regular</v>
          </cell>
          <cell r="K4498" t="str">
            <v>defsi</v>
          </cell>
        </row>
        <row r="4499">
          <cell r="B4499" t="b">
            <v>0</v>
          </cell>
          <cell r="E4499" t="str">
            <v>Pasacaballos</v>
          </cell>
          <cell r="H4499" t="str">
            <v>urgencia</v>
          </cell>
          <cell r="J4499" t="str">
            <v>regular</v>
          </cell>
          <cell r="K4499" t="str">
            <v>defsi</v>
          </cell>
        </row>
        <row r="4500">
          <cell r="B4500" t="b">
            <v>1</v>
          </cell>
          <cell r="E4500" t="str">
            <v>Pasacaballos</v>
          </cell>
          <cell r="H4500" t="str">
            <v>laboratorio</v>
          </cell>
          <cell r="J4500" t="str">
            <v>bueno</v>
          </cell>
          <cell r="K4500" t="str">
            <v>defsi</v>
          </cell>
        </row>
        <row r="4501">
          <cell r="B4501" t="b">
            <v>1</v>
          </cell>
          <cell r="E4501" t="str">
            <v>Pasacaballos</v>
          </cell>
          <cell r="H4501" t="str">
            <v>laboratorio</v>
          </cell>
          <cell r="J4501" t="str">
            <v>bueno</v>
          </cell>
          <cell r="K4501" t="str">
            <v>defsi</v>
          </cell>
        </row>
        <row r="4502">
          <cell r="B4502" t="b">
            <v>1</v>
          </cell>
          <cell r="E4502" t="str">
            <v>Pasacaballos</v>
          </cell>
          <cell r="H4502" t="str">
            <v>consulta_externa</v>
          </cell>
          <cell r="J4502" t="str">
            <v>bueno</v>
          </cell>
          <cell r="K4502" t="str">
            <v>defsi</v>
          </cell>
        </row>
        <row r="4503">
          <cell r="B4503" t="b">
            <v>1</v>
          </cell>
          <cell r="E4503" t="str">
            <v>Pasacaballos</v>
          </cell>
          <cell r="H4503" t="str">
            <v>consulta_externa</v>
          </cell>
          <cell r="J4503" t="str">
            <v>bueno</v>
          </cell>
          <cell r="K4503" t="str">
            <v>defsi</v>
          </cell>
        </row>
        <row r="4504">
          <cell r="B4504" t="b">
            <v>1</v>
          </cell>
          <cell r="E4504" t="str">
            <v>Pasacaballos</v>
          </cell>
          <cell r="H4504" t="str">
            <v>laboratorio</v>
          </cell>
          <cell r="J4504" t="str">
            <v>bueno</v>
          </cell>
          <cell r="K4504" t="str">
            <v>defsi</v>
          </cell>
        </row>
        <row r="4505">
          <cell r="B4505" t="b">
            <v>1</v>
          </cell>
          <cell r="E4505" t="str">
            <v>Pasacaballos</v>
          </cell>
          <cell r="H4505" t="str">
            <v>laboratorio</v>
          </cell>
          <cell r="J4505" t="str">
            <v>bueno</v>
          </cell>
          <cell r="K4505" t="str">
            <v>defsi</v>
          </cell>
        </row>
        <row r="4506">
          <cell r="B4506" t="b">
            <v>1</v>
          </cell>
          <cell r="E4506" t="str">
            <v>Pasacaballos</v>
          </cell>
          <cell r="H4506" t="str">
            <v>consulta_externa</v>
          </cell>
          <cell r="J4506" t="str">
            <v>bueno</v>
          </cell>
          <cell r="K4506" t="str">
            <v>defsi</v>
          </cell>
        </row>
        <row r="4507">
          <cell r="B4507" t="b">
            <v>1</v>
          </cell>
          <cell r="E4507" t="str">
            <v>Pasacaballos</v>
          </cell>
          <cell r="H4507" t="str">
            <v>laboratorio</v>
          </cell>
          <cell r="J4507" t="str">
            <v>bueno</v>
          </cell>
          <cell r="K4507" t="str">
            <v>defsi</v>
          </cell>
        </row>
        <row r="4508">
          <cell r="B4508" t="b">
            <v>1</v>
          </cell>
          <cell r="E4508" t="str">
            <v>Pasacaballos</v>
          </cell>
          <cell r="H4508" t="str">
            <v>urgencia</v>
          </cell>
          <cell r="J4508" t="str">
            <v>bueno</v>
          </cell>
          <cell r="K4508" t="str">
            <v>defsi</v>
          </cell>
        </row>
        <row r="4509">
          <cell r="B4509" t="b">
            <v>0</v>
          </cell>
          <cell r="E4509" t="str">
            <v>Pasacaballos</v>
          </cell>
          <cell r="H4509" t="str">
            <v>urgencia</v>
          </cell>
          <cell r="J4509" t="str">
            <v>regular</v>
          </cell>
          <cell r="K4509" t="str">
            <v>defsi</v>
          </cell>
        </row>
        <row r="4510">
          <cell r="B4510" t="b">
            <v>0</v>
          </cell>
          <cell r="E4510" t="str">
            <v>Pasacaballos</v>
          </cell>
          <cell r="H4510" t="str">
            <v>laboratorio</v>
          </cell>
          <cell r="J4510" t="str">
            <v>regular</v>
          </cell>
          <cell r="K4510" t="str">
            <v>defsi</v>
          </cell>
        </row>
        <row r="4511">
          <cell r="B4511" t="b">
            <v>1</v>
          </cell>
          <cell r="E4511" t="str">
            <v>Pasacaballos</v>
          </cell>
          <cell r="H4511" t="str">
            <v>laboratorio</v>
          </cell>
          <cell r="J4511" t="str">
            <v>bueno</v>
          </cell>
          <cell r="K4511" t="str">
            <v>defsi</v>
          </cell>
        </row>
        <row r="4512">
          <cell r="B4512" t="b">
            <v>1</v>
          </cell>
          <cell r="E4512" t="str">
            <v>Pasacaballos</v>
          </cell>
          <cell r="H4512" t="str">
            <v>laboratorio</v>
          </cell>
          <cell r="J4512" t="str">
            <v>bueno</v>
          </cell>
          <cell r="K4512" t="str">
            <v>defsi</v>
          </cell>
        </row>
        <row r="4513">
          <cell r="B4513" t="b">
            <v>1</v>
          </cell>
          <cell r="E4513" t="str">
            <v>Santa Ana</v>
          </cell>
          <cell r="H4513" t="str">
            <v>consulta_externa</v>
          </cell>
          <cell r="J4513" t="str">
            <v>muybueno</v>
          </cell>
          <cell r="K4513" t="str">
            <v>defsi</v>
          </cell>
        </row>
        <row r="4514">
          <cell r="B4514" t="b">
            <v>1</v>
          </cell>
          <cell r="E4514" t="str">
            <v>Pasacaballos</v>
          </cell>
          <cell r="H4514" t="str">
            <v>urgencia</v>
          </cell>
          <cell r="J4514" t="str">
            <v>bueno</v>
          </cell>
          <cell r="K4514" t="str">
            <v>defsi</v>
          </cell>
        </row>
        <row r="4515">
          <cell r="B4515" t="b">
            <v>1</v>
          </cell>
          <cell r="E4515" t="str">
            <v>Pasacaballos</v>
          </cell>
          <cell r="H4515" t="str">
            <v>salud_oral</v>
          </cell>
          <cell r="J4515" t="str">
            <v>bueno</v>
          </cell>
          <cell r="K4515" t="str">
            <v>defsi</v>
          </cell>
        </row>
        <row r="4516">
          <cell r="B4516" t="b">
            <v>1</v>
          </cell>
          <cell r="E4516" t="str">
            <v>Pasacaballos</v>
          </cell>
          <cell r="H4516" t="str">
            <v>salud_oral</v>
          </cell>
          <cell r="J4516" t="str">
            <v>bueno</v>
          </cell>
          <cell r="K4516" t="str">
            <v>defsi</v>
          </cell>
        </row>
        <row r="4517">
          <cell r="B4517" t="b">
            <v>1</v>
          </cell>
          <cell r="E4517" t="str">
            <v>Pasacaballos</v>
          </cell>
          <cell r="H4517" t="str">
            <v>salud_oral</v>
          </cell>
          <cell r="J4517" t="str">
            <v>bueno</v>
          </cell>
          <cell r="K4517" t="str">
            <v>defsi</v>
          </cell>
        </row>
        <row r="4518">
          <cell r="B4518" t="b">
            <v>0</v>
          </cell>
          <cell r="E4518" t="str">
            <v>Pasacaballos</v>
          </cell>
          <cell r="H4518" t="str">
            <v>salud_oral</v>
          </cell>
          <cell r="J4518" t="str">
            <v>regular</v>
          </cell>
          <cell r="K4518" t="str">
            <v>defsi</v>
          </cell>
        </row>
        <row r="4519">
          <cell r="B4519" t="b">
            <v>1</v>
          </cell>
          <cell r="E4519" t="str">
            <v>Pasacaballos</v>
          </cell>
          <cell r="H4519" t="str">
            <v>salud_oral</v>
          </cell>
          <cell r="J4519" t="str">
            <v>bueno</v>
          </cell>
          <cell r="K4519" t="str">
            <v>defsi</v>
          </cell>
        </row>
        <row r="4520">
          <cell r="B4520" t="b">
            <v>1</v>
          </cell>
          <cell r="E4520" t="str">
            <v>Pasacaballos</v>
          </cell>
          <cell r="H4520" t="str">
            <v>salud_oral</v>
          </cell>
          <cell r="J4520" t="str">
            <v>bueno</v>
          </cell>
          <cell r="K4520" t="str">
            <v>defsi</v>
          </cell>
        </row>
        <row r="4521">
          <cell r="B4521" t="b">
            <v>0</v>
          </cell>
          <cell r="E4521" t="str">
            <v>Pasacaballos</v>
          </cell>
          <cell r="H4521" t="str">
            <v>urgencia</v>
          </cell>
          <cell r="J4521" t="str">
            <v>regular</v>
          </cell>
          <cell r="K4521" t="str">
            <v>defsi</v>
          </cell>
        </row>
        <row r="4522">
          <cell r="B4522" t="b">
            <v>0</v>
          </cell>
          <cell r="E4522" t="str">
            <v>Pasacaballos</v>
          </cell>
          <cell r="H4522" t="str">
            <v>urgencia</v>
          </cell>
          <cell r="J4522" t="str">
            <v>regular</v>
          </cell>
          <cell r="K4522" t="str">
            <v>defsi</v>
          </cell>
        </row>
        <row r="4523">
          <cell r="B4523" t="b">
            <v>0</v>
          </cell>
          <cell r="E4523" t="str">
            <v>Pasacaballos</v>
          </cell>
          <cell r="H4523" t="str">
            <v>urgencia</v>
          </cell>
          <cell r="J4523" t="str">
            <v>regular</v>
          </cell>
          <cell r="K4523" t="str">
            <v>defsi</v>
          </cell>
        </row>
        <row r="4524">
          <cell r="B4524" t="b">
            <v>1</v>
          </cell>
          <cell r="E4524" t="str">
            <v>Pasacaballos</v>
          </cell>
          <cell r="H4524" t="str">
            <v>urgencia</v>
          </cell>
          <cell r="J4524" t="str">
            <v>bueno</v>
          </cell>
          <cell r="K4524" t="str">
            <v>defsi</v>
          </cell>
        </row>
        <row r="4525">
          <cell r="B4525" t="b">
            <v>1</v>
          </cell>
          <cell r="E4525" t="str">
            <v>Pasacaballos</v>
          </cell>
          <cell r="H4525" t="str">
            <v>urgencia</v>
          </cell>
          <cell r="J4525" t="str">
            <v>bueno</v>
          </cell>
          <cell r="K4525" t="str">
            <v>defsi</v>
          </cell>
        </row>
        <row r="4526">
          <cell r="B4526" t="b">
            <v>1</v>
          </cell>
          <cell r="E4526" t="str">
            <v>Pasacaballos</v>
          </cell>
          <cell r="H4526" t="str">
            <v>urgencia</v>
          </cell>
          <cell r="J4526" t="str">
            <v>bueno</v>
          </cell>
          <cell r="K4526" t="str">
            <v>defsi</v>
          </cell>
        </row>
        <row r="4527">
          <cell r="B4527" t="b">
            <v>1</v>
          </cell>
          <cell r="E4527" t="str">
            <v>Pasacaballos</v>
          </cell>
          <cell r="H4527" t="str">
            <v>salud_oral</v>
          </cell>
          <cell r="J4527" t="str">
            <v>bueno</v>
          </cell>
          <cell r="K4527" t="str">
            <v>defsi</v>
          </cell>
        </row>
        <row r="4528">
          <cell r="B4528" t="b">
            <v>1</v>
          </cell>
          <cell r="E4528" t="str">
            <v>Pasacaballos</v>
          </cell>
          <cell r="H4528" t="str">
            <v>urgencia</v>
          </cell>
          <cell r="J4528" t="str">
            <v>bueno</v>
          </cell>
          <cell r="K4528" t="str">
            <v>defsi</v>
          </cell>
        </row>
        <row r="4529">
          <cell r="B4529" t="b">
            <v>1</v>
          </cell>
          <cell r="E4529" t="str">
            <v>Pasacaballos</v>
          </cell>
          <cell r="H4529" t="str">
            <v>urgencia</v>
          </cell>
          <cell r="J4529" t="str">
            <v>bueno</v>
          </cell>
          <cell r="K4529" t="str">
            <v>defsi</v>
          </cell>
        </row>
        <row r="4530">
          <cell r="B4530" t="b">
            <v>1</v>
          </cell>
          <cell r="E4530" t="str">
            <v>Pasacaballos</v>
          </cell>
          <cell r="H4530" t="str">
            <v>urgencia</v>
          </cell>
          <cell r="J4530" t="str">
            <v>bueno</v>
          </cell>
          <cell r="K4530" t="str">
            <v>defsi</v>
          </cell>
        </row>
        <row r="4531">
          <cell r="B4531" t="b">
            <v>1</v>
          </cell>
          <cell r="E4531" t="str">
            <v>Santa Ana</v>
          </cell>
          <cell r="H4531" t="str">
            <v>salud_oral</v>
          </cell>
          <cell r="J4531" t="str">
            <v>muybueno</v>
          </cell>
          <cell r="K4531" t="str">
            <v>defsi</v>
          </cell>
        </row>
        <row r="4532">
          <cell r="B4532" t="b">
            <v>1</v>
          </cell>
          <cell r="E4532" t="str">
            <v>Pasacaballos</v>
          </cell>
          <cell r="H4532" t="str">
            <v>laboratorio</v>
          </cell>
          <cell r="J4532" t="str">
            <v>bueno</v>
          </cell>
          <cell r="K4532" t="str">
            <v>defsi</v>
          </cell>
        </row>
        <row r="4533">
          <cell r="B4533" t="b">
            <v>0</v>
          </cell>
          <cell r="E4533" t="str">
            <v>Pasacaballos</v>
          </cell>
          <cell r="H4533" t="str">
            <v>urgencia</v>
          </cell>
          <cell r="J4533" t="str">
            <v>regular</v>
          </cell>
          <cell r="K4533" t="str">
            <v>defsi</v>
          </cell>
        </row>
        <row r="4534">
          <cell r="B4534" t="b">
            <v>1</v>
          </cell>
          <cell r="E4534" t="str">
            <v>Pasacaballos</v>
          </cell>
          <cell r="H4534" t="str">
            <v>urgencia</v>
          </cell>
          <cell r="J4534" t="str">
            <v>bueno</v>
          </cell>
          <cell r="K4534" t="str">
            <v>defsi</v>
          </cell>
        </row>
        <row r="4535">
          <cell r="B4535" t="b">
            <v>1</v>
          </cell>
          <cell r="E4535" t="str">
            <v>Pasacaballos</v>
          </cell>
          <cell r="H4535" t="str">
            <v>urgencia</v>
          </cell>
          <cell r="J4535" t="str">
            <v>bueno</v>
          </cell>
          <cell r="K4535" t="str">
            <v>defsi</v>
          </cell>
        </row>
        <row r="4536">
          <cell r="B4536" t="b">
            <v>1</v>
          </cell>
          <cell r="E4536" t="str">
            <v>Santa Ana</v>
          </cell>
          <cell r="H4536" t="str">
            <v>consulta_externa</v>
          </cell>
          <cell r="J4536" t="str">
            <v>muybueno</v>
          </cell>
          <cell r="K4536" t="str">
            <v>defsi</v>
          </cell>
        </row>
        <row r="4537">
          <cell r="B4537" t="b">
            <v>1</v>
          </cell>
          <cell r="E4537" t="str">
            <v>Santa Ana</v>
          </cell>
          <cell r="H4537" t="str">
            <v>laboratorio</v>
          </cell>
          <cell r="J4537" t="str">
            <v>muybueno</v>
          </cell>
          <cell r="K4537" t="str">
            <v>defsi</v>
          </cell>
        </row>
        <row r="4538">
          <cell r="B4538" t="b">
            <v>1</v>
          </cell>
          <cell r="E4538" t="str">
            <v>Pasacaballos</v>
          </cell>
          <cell r="H4538" t="str">
            <v>consulta_externa</v>
          </cell>
          <cell r="J4538" t="str">
            <v>bueno</v>
          </cell>
          <cell r="K4538" t="str">
            <v>defsi</v>
          </cell>
        </row>
        <row r="4539">
          <cell r="B4539" t="b">
            <v>1</v>
          </cell>
          <cell r="E4539" t="str">
            <v>Pasacaballos</v>
          </cell>
          <cell r="H4539" t="str">
            <v>consulta_externa</v>
          </cell>
          <cell r="J4539" t="str">
            <v>bueno</v>
          </cell>
          <cell r="K4539" t="str">
            <v>defsi</v>
          </cell>
        </row>
        <row r="4540">
          <cell r="B4540" t="b">
            <v>1</v>
          </cell>
          <cell r="E4540" t="str">
            <v>Pasacaballos</v>
          </cell>
          <cell r="H4540" t="str">
            <v>salud_oral</v>
          </cell>
          <cell r="J4540" t="str">
            <v>bueno</v>
          </cell>
          <cell r="K4540" t="str">
            <v>defsi</v>
          </cell>
        </row>
        <row r="4541">
          <cell r="B4541" t="b">
            <v>0</v>
          </cell>
          <cell r="E4541" t="str">
            <v>Pasacaballos</v>
          </cell>
          <cell r="H4541" t="str">
            <v>salud_oral</v>
          </cell>
          <cell r="J4541" t="str">
            <v>regular</v>
          </cell>
          <cell r="K4541" t="str">
            <v>defsi</v>
          </cell>
        </row>
        <row r="4542">
          <cell r="B4542" t="b">
            <v>0</v>
          </cell>
          <cell r="E4542" t="str">
            <v>Pasacaballos</v>
          </cell>
          <cell r="H4542" t="str">
            <v>consulta_externa</v>
          </cell>
          <cell r="J4542" t="str">
            <v>regular</v>
          </cell>
          <cell r="K4542" t="str">
            <v>defsi</v>
          </cell>
        </row>
        <row r="4543">
          <cell r="B4543" t="b">
            <v>1</v>
          </cell>
          <cell r="E4543" t="str">
            <v>Pasacaballos</v>
          </cell>
          <cell r="H4543" t="str">
            <v>consulta_externa</v>
          </cell>
          <cell r="J4543" t="str">
            <v>bueno</v>
          </cell>
          <cell r="K4543" t="str">
            <v>defsi</v>
          </cell>
        </row>
        <row r="4544">
          <cell r="B4544" t="b">
            <v>1</v>
          </cell>
          <cell r="E4544" t="str">
            <v>Pasacaballos</v>
          </cell>
          <cell r="H4544" t="str">
            <v>laboratorio</v>
          </cell>
          <cell r="J4544" t="str">
            <v>bueno</v>
          </cell>
          <cell r="K4544" t="str">
            <v>defsi</v>
          </cell>
        </row>
        <row r="4545">
          <cell r="B4545" t="b">
            <v>1</v>
          </cell>
          <cell r="E4545" t="str">
            <v>Pasacaballos</v>
          </cell>
          <cell r="H4545" t="str">
            <v>laboratorio</v>
          </cell>
          <cell r="J4545" t="str">
            <v>bueno</v>
          </cell>
          <cell r="K4545" t="str">
            <v>defsi</v>
          </cell>
        </row>
        <row r="4546">
          <cell r="B4546" t="b">
            <v>1</v>
          </cell>
          <cell r="E4546" t="str">
            <v>Pasacaballos</v>
          </cell>
          <cell r="H4546" t="str">
            <v>consulta_externa</v>
          </cell>
          <cell r="J4546" t="str">
            <v>bueno</v>
          </cell>
          <cell r="K4546" t="str">
            <v>defsi</v>
          </cell>
        </row>
        <row r="4547">
          <cell r="B4547" t="b">
            <v>1</v>
          </cell>
          <cell r="E4547" t="str">
            <v>Santa Ana</v>
          </cell>
          <cell r="H4547" t="str">
            <v>salud_oral</v>
          </cell>
          <cell r="J4547" t="str">
            <v>muybueno</v>
          </cell>
          <cell r="K4547" t="str">
            <v>defsi</v>
          </cell>
        </row>
        <row r="4548">
          <cell r="B4548" t="b">
            <v>1</v>
          </cell>
          <cell r="E4548" t="str">
            <v>Pasacaballos</v>
          </cell>
          <cell r="H4548" t="str">
            <v>salud_oral</v>
          </cell>
          <cell r="J4548" t="str">
            <v>bueno</v>
          </cell>
          <cell r="K4548" t="str">
            <v>defsi</v>
          </cell>
        </row>
        <row r="4549">
          <cell r="B4549" t="b">
            <v>1</v>
          </cell>
          <cell r="E4549" t="str">
            <v>Pasacaballos</v>
          </cell>
          <cell r="H4549" t="str">
            <v>salud_oral</v>
          </cell>
          <cell r="J4549" t="str">
            <v>bueno</v>
          </cell>
          <cell r="K4549" t="str">
            <v>defsi</v>
          </cell>
        </row>
        <row r="4550">
          <cell r="B4550" t="b">
            <v>1</v>
          </cell>
          <cell r="E4550" t="str">
            <v>Pasacaballos</v>
          </cell>
          <cell r="H4550" t="str">
            <v>salud_oral</v>
          </cell>
          <cell r="J4550" t="str">
            <v>bueno</v>
          </cell>
          <cell r="K4550" t="str">
            <v>defsi</v>
          </cell>
        </row>
        <row r="4551">
          <cell r="B4551" t="b">
            <v>1</v>
          </cell>
          <cell r="E4551" t="str">
            <v>Pasacaballos</v>
          </cell>
          <cell r="H4551" t="str">
            <v>consulta_externa</v>
          </cell>
          <cell r="J4551" t="str">
            <v>bueno</v>
          </cell>
          <cell r="K4551" t="str">
            <v>defsi</v>
          </cell>
        </row>
        <row r="4552">
          <cell r="B4552" t="b">
            <v>1</v>
          </cell>
          <cell r="E4552" t="str">
            <v>Pasacaballos</v>
          </cell>
          <cell r="H4552" t="str">
            <v>laboratorio</v>
          </cell>
          <cell r="J4552" t="str">
            <v>bueno</v>
          </cell>
          <cell r="K4552" t="str">
            <v>defsi</v>
          </cell>
        </row>
        <row r="4553">
          <cell r="B4553" t="b">
            <v>1</v>
          </cell>
          <cell r="E4553" t="str">
            <v>Pasacaballos</v>
          </cell>
          <cell r="H4553" t="str">
            <v>laboratorio</v>
          </cell>
          <cell r="J4553" t="str">
            <v>bueno</v>
          </cell>
          <cell r="K4553" t="str">
            <v>defsi</v>
          </cell>
        </row>
        <row r="4554">
          <cell r="B4554" t="b">
            <v>1</v>
          </cell>
          <cell r="E4554" t="str">
            <v>Pasacaballos</v>
          </cell>
          <cell r="H4554" t="str">
            <v>urgencia</v>
          </cell>
          <cell r="J4554" t="str">
            <v>bueno</v>
          </cell>
          <cell r="K4554" t="str">
            <v>defsi</v>
          </cell>
        </row>
        <row r="4555">
          <cell r="B4555" t="b">
            <v>1</v>
          </cell>
          <cell r="E4555" t="str">
            <v>Pasacaballos</v>
          </cell>
          <cell r="H4555" t="str">
            <v>urgencia</v>
          </cell>
          <cell r="J4555" t="str">
            <v>bueno</v>
          </cell>
          <cell r="K4555" t="str">
            <v>defsi</v>
          </cell>
        </row>
        <row r="4556">
          <cell r="B4556" t="b">
            <v>1</v>
          </cell>
          <cell r="E4556" t="str">
            <v>Pasacaballos</v>
          </cell>
          <cell r="H4556" t="str">
            <v>urgencia</v>
          </cell>
          <cell r="J4556" t="str">
            <v>bueno</v>
          </cell>
          <cell r="K4556" t="str">
            <v>defsi</v>
          </cell>
        </row>
        <row r="4557">
          <cell r="B4557" t="b">
            <v>1</v>
          </cell>
          <cell r="E4557" t="str">
            <v>Santa Ana</v>
          </cell>
          <cell r="H4557" t="str">
            <v>consulta_externa</v>
          </cell>
          <cell r="J4557" t="str">
            <v>muybueno</v>
          </cell>
          <cell r="K4557" t="str">
            <v>defsi</v>
          </cell>
        </row>
        <row r="4558">
          <cell r="B4558" t="b">
            <v>1</v>
          </cell>
          <cell r="E4558" t="str">
            <v>Santa Ana</v>
          </cell>
          <cell r="H4558" t="str">
            <v>laboratorio</v>
          </cell>
          <cell r="J4558" t="str">
            <v>muybueno</v>
          </cell>
          <cell r="K4558" t="str">
            <v>defsi</v>
          </cell>
        </row>
        <row r="4559">
          <cell r="B4559" t="b">
            <v>1</v>
          </cell>
          <cell r="E4559" t="str">
            <v>Santa Ana</v>
          </cell>
          <cell r="H4559" t="str">
            <v>consulta_externa</v>
          </cell>
          <cell r="J4559" t="str">
            <v>muybueno</v>
          </cell>
          <cell r="K4559" t="str">
            <v>defsi</v>
          </cell>
        </row>
        <row r="4560">
          <cell r="B4560" t="b">
            <v>1</v>
          </cell>
          <cell r="E4560" t="str">
            <v>Santa Ana</v>
          </cell>
          <cell r="H4560" t="str">
            <v>laboratorio</v>
          </cell>
          <cell r="J4560" t="str">
            <v>muybueno</v>
          </cell>
          <cell r="K4560" t="str">
            <v>defsi</v>
          </cell>
        </row>
        <row r="4561">
          <cell r="B4561" t="b">
            <v>1</v>
          </cell>
          <cell r="E4561" t="str">
            <v>Santa Ana</v>
          </cell>
          <cell r="H4561" t="str">
            <v>salud_oral</v>
          </cell>
          <cell r="J4561" t="str">
            <v>muybueno</v>
          </cell>
          <cell r="K4561" t="str">
            <v>defsi</v>
          </cell>
        </row>
        <row r="4562">
          <cell r="B4562" t="b">
            <v>1</v>
          </cell>
          <cell r="E4562" t="str">
            <v>Santa Ana</v>
          </cell>
          <cell r="H4562" t="str">
            <v>consulta_externa</v>
          </cell>
          <cell r="J4562" t="str">
            <v>muybueno</v>
          </cell>
          <cell r="K4562" t="str">
            <v>defsi</v>
          </cell>
        </row>
        <row r="4563">
          <cell r="B4563" t="b">
            <v>1</v>
          </cell>
          <cell r="E4563" t="str">
            <v>Santa Ana</v>
          </cell>
          <cell r="H4563" t="str">
            <v>laboratorio</v>
          </cell>
          <cell r="J4563" t="str">
            <v>muybueno</v>
          </cell>
          <cell r="K4563" t="str">
            <v>defsi</v>
          </cell>
        </row>
        <row r="4564">
          <cell r="B4564" t="b">
            <v>1</v>
          </cell>
          <cell r="E4564" t="str">
            <v>Santa Ana</v>
          </cell>
          <cell r="H4564" t="str">
            <v>consulta_externa</v>
          </cell>
          <cell r="J4564" t="str">
            <v>muybueno</v>
          </cell>
          <cell r="K4564" t="str">
            <v>defsi</v>
          </cell>
        </row>
        <row r="4565">
          <cell r="B4565" t="b">
            <v>1</v>
          </cell>
          <cell r="E4565" t="str">
            <v>Santa Ana</v>
          </cell>
          <cell r="H4565" t="str">
            <v>laboratorio</v>
          </cell>
          <cell r="J4565" t="str">
            <v>muybueno</v>
          </cell>
          <cell r="K4565" t="str">
            <v>defsi</v>
          </cell>
        </row>
        <row r="4566">
          <cell r="B4566" t="b">
            <v>1</v>
          </cell>
          <cell r="E4566" t="str">
            <v>Santa Ana</v>
          </cell>
          <cell r="H4566" t="str">
            <v>consulta_externa</v>
          </cell>
          <cell r="J4566" t="str">
            <v>muybueno</v>
          </cell>
          <cell r="K4566" t="str">
            <v>defsi</v>
          </cell>
        </row>
        <row r="4567">
          <cell r="B4567" t="b">
            <v>1</v>
          </cell>
          <cell r="E4567" t="str">
            <v>Santa Ana</v>
          </cell>
          <cell r="H4567" t="str">
            <v>laboratorio</v>
          </cell>
          <cell r="J4567" t="str">
            <v>muybueno</v>
          </cell>
          <cell r="K4567" t="str">
            <v>defsi</v>
          </cell>
        </row>
        <row r="4568">
          <cell r="B4568" t="b">
            <v>1</v>
          </cell>
          <cell r="E4568" t="str">
            <v>Santa Ana</v>
          </cell>
          <cell r="H4568" t="str">
            <v>salud_oral</v>
          </cell>
          <cell r="J4568" t="str">
            <v>muybueno</v>
          </cell>
          <cell r="K4568" t="str">
            <v>defsi</v>
          </cell>
        </row>
        <row r="4569">
          <cell r="B4569" t="b">
            <v>1</v>
          </cell>
          <cell r="E4569" t="str">
            <v>Santa Ana</v>
          </cell>
          <cell r="H4569" t="str">
            <v>consulta_externa</v>
          </cell>
          <cell r="J4569" t="str">
            <v>muybueno</v>
          </cell>
          <cell r="K4569" t="str">
            <v>defsi</v>
          </cell>
        </row>
        <row r="4570">
          <cell r="B4570" t="b">
            <v>1</v>
          </cell>
          <cell r="E4570" t="str">
            <v>Santa Ana</v>
          </cell>
          <cell r="H4570" t="str">
            <v>laboratorio</v>
          </cell>
          <cell r="J4570" t="str">
            <v>muybueno</v>
          </cell>
          <cell r="K4570" t="str">
            <v>defsi</v>
          </cell>
        </row>
        <row r="4571">
          <cell r="B4571" t="b">
            <v>1</v>
          </cell>
          <cell r="E4571" t="str">
            <v>Santa Ana</v>
          </cell>
          <cell r="H4571" t="str">
            <v>consulta_externa</v>
          </cell>
          <cell r="J4571" t="str">
            <v>muybueno</v>
          </cell>
          <cell r="K4571" t="str">
            <v>defsi</v>
          </cell>
        </row>
        <row r="4572">
          <cell r="B4572" t="b">
            <v>1</v>
          </cell>
          <cell r="E4572" t="str">
            <v>Santa Ana</v>
          </cell>
          <cell r="H4572" t="str">
            <v>laboratorio</v>
          </cell>
          <cell r="J4572" t="str">
            <v>muybueno</v>
          </cell>
          <cell r="K4572" t="str">
            <v>defsi</v>
          </cell>
        </row>
        <row r="4573">
          <cell r="B4573" t="b">
            <v>1</v>
          </cell>
          <cell r="E4573" t="str">
            <v>Santa Ana</v>
          </cell>
          <cell r="H4573" t="str">
            <v>salud_oral</v>
          </cell>
          <cell r="J4573" t="str">
            <v>muybueno</v>
          </cell>
          <cell r="K4573" t="str">
            <v>defsi</v>
          </cell>
        </row>
        <row r="4574">
          <cell r="B4574" t="b">
            <v>1</v>
          </cell>
          <cell r="E4574" t="str">
            <v>Santa Ana</v>
          </cell>
          <cell r="H4574" t="str">
            <v>consulta_externa</v>
          </cell>
          <cell r="J4574" t="str">
            <v>muybueno</v>
          </cell>
          <cell r="K4574" t="str">
            <v>defsi</v>
          </cell>
        </row>
        <row r="4575">
          <cell r="B4575" t="b">
            <v>1</v>
          </cell>
          <cell r="E4575" t="str">
            <v>Santa Ana</v>
          </cell>
          <cell r="H4575" t="str">
            <v>laboratorio</v>
          </cell>
          <cell r="J4575" t="str">
            <v>muybueno</v>
          </cell>
          <cell r="K4575" t="str">
            <v>defsi</v>
          </cell>
        </row>
        <row r="4576">
          <cell r="B4576" t="b">
            <v>1</v>
          </cell>
          <cell r="E4576" t="str">
            <v>Baru</v>
          </cell>
          <cell r="H4576" t="str">
            <v>consulta_externa</v>
          </cell>
          <cell r="J4576" t="str">
            <v>muybueno</v>
          </cell>
          <cell r="K4576" t="str">
            <v>defsi</v>
          </cell>
        </row>
        <row r="4577">
          <cell r="B4577" t="b">
            <v>1</v>
          </cell>
          <cell r="E4577" t="str">
            <v>Baru</v>
          </cell>
          <cell r="H4577" t="str">
            <v>laboratorio</v>
          </cell>
          <cell r="J4577" t="str">
            <v>muybueno</v>
          </cell>
          <cell r="K4577" t="str">
            <v>defsi</v>
          </cell>
        </row>
        <row r="4578">
          <cell r="B4578" t="b">
            <v>1</v>
          </cell>
          <cell r="E4578" t="str">
            <v>Baru</v>
          </cell>
          <cell r="H4578" t="str">
            <v>consulta_externa</v>
          </cell>
          <cell r="J4578" t="str">
            <v>muybueno</v>
          </cell>
          <cell r="K4578" t="str">
            <v>defsi</v>
          </cell>
        </row>
        <row r="4579">
          <cell r="B4579" t="b">
            <v>1</v>
          </cell>
          <cell r="E4579" t="str">
            <v>Baru</v>
          </cell>
          <cell r="H4579" t="str">
            <v>laboratorio</v>
          </cell>
          <cell r="J4579" t="str">
            <v>muybueno</v>
          </cell>
          <cell r="K4579" t="str">
            <v>defsi</v>
          </cell>
        </row>
        <row r="4580">
          <cell r="B4580" t="b">
            <v>1</v>
          </cell>
          <cell r="E4580" t="str">
            <v>Baru</v>
          </cell>
          <cell r="H4580" t="str">
            <v>salud_oral</v>
          </cell>
          <cell r="J4580" t="str">
            <v>muybueno</v>
          </cell>
          <cell r="K4580" t="str">
            <v>defsi</v>
          </cell>
        </row>
        <row r="4581">
          <cell r="B4581" t="b">
            <v>1</v>
          </cell>
          <cell r="E4581" t="str">
            <v>Baru</v>
          </cell>
          <cell r="H4581" t="str">
            <v>laboratorio</v>
          </cell>
          <cell r="J4581" t="str">
            <v>muybueno</v>
          </cell>
          <cell r="K4581" t="str">
            <v>defsi</v>
          </cell>
        </row>
        <row r="4582">
          <cell r="B4582" t="b">
            <v>1</v>
          </cell>
          <cell r="E4582" t="str">
            <v>Baru</v>
          </cell>
          <cell r="H4582" t="str">
            <v>consulta_externa</v>
          </cell>
          <cell r="J4582" t="str">
            <v>muybueno</v>
          </cell>
          <cell r="K4582" t="str">
            <v>defsi</v>
          </cell>
        </row>
        <row r="4583">
          <cell r="B4583" t="b">
            <v>1</v>
          </cell>
          <cell r="E4583" t="str">
            <v>Baru</v>
          </cell>
          <cell r="H4583" t="str">
            <v>laboratorio</v>
          </cell>
          <cell r="J4583" t="str">
            <v>muybueno</v>
          </cell>
          <cell r="K4583" t="str">
            <v>defsi</v>
          </cell>
        </row>
        <row r="4584">
          <cell r="B4584" t="b">
            <v>1</v>
          </cell>
          <cell r="E4584" t="str">
            <v>Baru</v>
          </cell>
          <cell r="H4584" t="str">
            <v>consulta_externa</v>
          </cell>
          <cell r="J4584" t="str">
            <v>muybueno</v>
          </cell>
          <cell r="K4584" t="str">
            <v>defsi</v>
          </cell>
        </row>
        <row r="4585">
          <cell r="B4585" t="b">
            <v>1</v>
          </cell>
          <cell r="E4585" t="str">
            <v>Baru</v>
          </cell>
          <cell r="H4585" t="str">
            <v>laboratorio</v>
          </cell>
          <cell r="J4585" t="str">
            <v>muybueno</v>
          </cell>
          <cell r="K4585" t="str">
            <v>defsi</v>
          </cell>
        </row>
        <row r="4586">
          <cell r="B4586" t="b">
            <v>1</v>
          </cell>
          <cell r="E4586" t="str">
            <v>Baru</v>
          </cell>
          <cell r="H4586" t="str">
            <v>consulta_externa</v>
          </cell>
          <cell r="J4586" t="str">
            <v>muybueno</v>
          </cell>
          <cell r="K4586" t="str">
            <v>defsi</v>
          </cell>
        </row>
        <row r="4587">
          <cell r="B4587" t="b">
            <v>1</v>
          </cell>
          <cell r="E4587" t="str">
            <v>San Vicente de Paul</v>
          </cell>
          <cell r="H4587" t="str">
            <v>consulta_externa</v>
          </cell>
          <cell r="J4587" t="str">
            <v>bueno</v>
          </cell>
          <cell r="K4587" t="str">
            <v>defsi</v>
          </cell>
        </row>
        <row r="4588">
          <cell r="B4588" t="b">
            <v>1</v>
          </cell>
          <cell r="E4588" t="str">
            <v>San Vicente de Paul</v>
          </cell>
          <cell r="H4588" t="str">
            <v>salud_oral</v>
          </cell>
          <cell r="J4588" t="str">
            <v>bueno</v>
          </cell>
          <cell r="K4588" t="str">
            <v>defsi</v>
          </cell>
        </row>
        <row r="4589">
          <cell r="B4589" t="b">
            <v>1</v>
          </cell>
          <cell r="E4589" t="str">
            <v>San Vicente de Paul</v>
          </cell>
          <cell r="H4589" t="str">
            <v>salud_oral</v>
          </cell>
          <cell r="J4589" t="str">
            <v>bueno</v>
          </cell>
          <cell r="K4589" t="str">
            <v>defsi</v>
          </cell>
        </row>
        <row r="4590">
          <cell r="B4590" t="b">
            <v>1</v>
          </cell>
          <cell r="E4590" t="str">
            <v>San Vicente de Paul</v>
          </cell>
          <cell r="H4590" t="str">
            <v>consulta_externa</v>
          </cell>
          <cell r="J4590" t="str">
            <v>bueno</v>
          </cell>
          <cell r="K4590" t="str">
            <v>defsi</v>
          </cell>
        </row>
        <row r="4591">
          <cell r="B4591" t="b">
            <v>1</v>
          </cell>
          <cell r="E4591" t="str">
            <v>Bocachica</v>
          </cell>
          <cell r="H4591" t="str">
            <v>consulta_externa</v>
          </cell>
          <cell r="J4591" t="str">
            <v>bueno</v>
          </cell>
          <cell r="K4591" t="str">
            <v>defsi</v>
          </cell>
        </row>
        <row r="4592">
          <cell r="B4592" t="b">
            <v>1</v>
          </cell>
          <cell r="E4592" t="str">
            <v>Bocachica</v>
          </cell>
          <cell r="H4592" t="str">
            <v>laboratorio</v>
          </cell>
          <cell r="J4592" t="str">
            <v>bueno</v>
          </cell>
          <cell r="K4592" t="str">
            <v>defsi</v>
          </cell>
        </row>
        <row r="4593">
          <cell r="B4593" t="b">
            <v>1</v>
          </cell>
          <cell r="E4593" t="str">
            <v>Bocachica</v>
          </cell>
          <cell r="H4593" t="str">
            <v>urgencia</v>
          </cell>
          <cell r="J4593" t="str">
            <v>bueno</v>
          </cell>
          <cell r="K4593" t="str">
            <v>defsi</v>
          </cell>
        </row>
        <row r="4594">
          <cell r="B4594" t="b">
            <v>1</v>
          </cell>
          <cell r="E4594" t="str">
            <v>San Vicente de Paul</v>
          </cell>
          <cell r="H4594" t="str">
            <v>consulta_externa</v>
          </cell>
          <cell r="J4594" t="str">
            <v>bueno</v>
          </cell>
          <cell r="K4594" t="str">
            <v>defsi</v>
          </cell>
        </row>
        <row r="4595">
          <cell r="B4595" t="b">
            <v>1</v>
          </cell>
          <cell r="E4595" t="str">
            <v>Bocachica</v>
          </cell>
          <cell r="H4595" t="str">
            <v>laboratorio</v>
          </cell>
          <cell r="J4595" t="str">
            <v>bueno</v>
          </cell>
          <cell r="K4595" t="str">
            <v>defsi</v>
          </cell>
        </row>
        <row r="4596">
          <cell r="B4596" t="b">
            <v>1</v>
          </cell>
          <cell r="E4596" t="str">
            <v>San Vicente de Paul</v>
          </cell>
          <cell r="H4596" t="str">
            <v>salud_oral</v>
          </cell>
          <cell r="J4596" t="str">
            <v>muybueno</v>
          </cell>
          <cell r="K4596" t="str">
            <v>defsi</v>
          </cell>
        </row>
        <row r="4597">
          <cell r="B4597" t="b">
            <v>1</v>
          </cell>
          <cell r="E4597" t="str">
            <v>Baru</v>
          </cell>
          <cell r="H4597" t="str">
            <v>consulta_externa</v>
          </cell>
          <cell r="J4597" t="str">
            <v>muybueno</v>
          </cell>
          <cell r="K4597" t="str">
            <v>defsi</v>
          </cell>
        </row>
        <row r="4598">
          <cell r="B4598" t="b">
            <v>1</v>
          </cell>
          <cell r="E4598" t="str">
            <v>Baru</v>
          </cell>
          <cell r="H4598" t="str">
            <v>laboratorio</v>
          </cell>
          <cell r="J4598" t="str">
            <v>muybueno</v>
          </cell>
          <cell r="K4598" t="str">
            <v>defsi</v>
          </cell>
        </row>
        <row r="4599">
          <cell r="B4599" t="b">
            <v>1</v>
          </cell>
          <cell r="E4599" t="str">
            <v>San Vicente de Paul</v>
          </cell>
          <cell r="H4599" t="str">
            <v>salud_oral</v>
          </cell>
          <cell r="J4599" t="str">
            <v>bueno</v>
          </cell>
          <cell r="K4599" t="str">
            <v>defsi</v>
          </cell>
        </row>
        <row r="4600">
          <cell r="B4600" t="b">
            <v>1</v>
          </cell>
          <cell r="E4600" t="str">
            <v>San Vicente de Paul</v>
          </cell>
          <cell r="H4600" t="str">
            <v>salud_oral</v>
          </cell>
          <cell r="J4600" t="str">
            <v>bueno</v>
          </cell>
          <cell r="K4600" t="str">
            <v>defsi</v>
          </cell>
        </row>
        <row r="4601">
          <cell r="B4601" t="b">
            <v>1</v>
          </cell>
          <cell r="E4601" t="str">
            <v>San Vicente de Paul</v>
          </cell>
          <cell r="H4601" t="str">
            <v>consulta_externa</v>
          </cell>
          <cell r="J4601" t="str">
            <v>bueno</v>
          </cell>
          <cell r="K4601" t="str">
            <v>defsi</v>
          </cell>
        </row>
        <row r="4602">
          <cell r="B4602" t="b">
            <v>1</v>
          </cell>
          <cell r="E4602" t="str">
            <v>San Vicente de Paul</v>
          </cell>
          <cell r="H4602" t="str">
            <v>consulta_externa</v>
          </cell>
          <cell r="J4602" t="str">
            <v>bueno</v>
          </cell>
          <cell r="K4602" t="str">
            <v>defsi</v>
          </cell>
        </row>
        <row r="4603">
          <cell r="B4603" t="b">
            <v>1</v>
          </cell>
          <cell r="E4603" t="str">
            <v>Baru</v>
          </cell>
          <cell r="H4603" t="str">
            <v>salud_oral</v>
          </cell>
          <cell r="J4603" t="str">
            <v>muybueno</v>
          </cell>
          <cell r="K4603" t="str">
            <v>defsi</v>
          </cell>
        </row>
        <row r="4604">
          <cell r="B4604" t="b">
            <v>1</v>
          </cell>
          <cell r="E4604" t="str">
            <v>Bocachica</v>
          </cell>
          <cell r="H4604" t="str">
            <v>consulta_externa</v>
          </cell>
          <cell r="J4604" t="str">
            <v>bueno</v>
          </cell>
          <cell r="K4604" t="str">
            <v>defsi</v>
          </cell>
        </row>
        <row r="4605">
          <cell r="B4605" t="b">
            <v>1</v>
          </cell>
          <cell r="E4605" t="str">
            <v>San Vicente de Paul</v>
          </cell>
          <cell r="H4605" t="str">
            <v>laboratorio</v>
          </cell>
          <cell r="J4605" t="str">
            <v>bueno</v>
          </cell>
          <cell r="K4605" t="str">
            <v>defsi</v>
          </cell>
        </row>
        <row r="4606">
          <cell r="B4606" t="b">
            <v>1</v>
          </cell>
          <cell r="E4606" t="str">
            <v>San Vicente de Paul</v>
          </cell>
          <cell r="H4606" t="str">
            <v>salud_oral</v>
          </cell>
          <cell r="J4606" t="str">
            <v>bueno</v>
          </cell>
          <cell r="K4606" t="str">
            <v>defsi</v>
          </cell>
        </row>
        <row r="4607">
          <cell r="B4607" t="b">
            <v>1</v>
          </cell>
          <cell r="E4607" t="str">
            <v>San Vicente de Paul</v>
          </cell>
          <cell r="H4607" t="str">
            <v>consulta_externa</v>
          </cell>
          <cell r="J4607" t="str">
            <v>bueno</v>
          </cell>
          <cell r="K4607" t="str">
            <v>defsi</v>
          </cell>
        </row>
        <row r="4608">
          <cell r="B4608" t="b">
            <v>1</v>
          </cell>
          <cell r="E4608" t="str">
            <v>Baru</v>
          </cell>
          <cell r="H4608" t="str">
            <v>consulta_externa</v>
          </cell>
          <cell r="J4608" t="str">
            <v>muybueno</v>
          </cell>
          <cell r="K4608" t="str">
            <v>defsi</v>
          </cell>
        </row>
        <row r="4609">
          <cell r="B4609" t="b">
            <v>1</v>
          </cell>
          <cell r="E4609" t="str">
            <v>Punta Canoa</v>
          </cell>
          <cell r="H4609" t="str">
            <v>consulta_externa</v>
          </cell>
          <cell r="J4609" t="str">
            <v>bueno</v>
          </cell>
          <cell r="K4609" t="str">
            <v>probsi</v>
          </cell>
        </row>
        <row r="4610">
          <cell r="B4610" t="b">
            <v>1</v>
          </cell>
          <cell r="E4610" t="str">
            <v>Baru</v>
          </cell>
          <cell r="H4610" t="str">
            <v>laboratorio</v>
          </cell>
          <cell r="J4610" t="str">
            <v>muybueno</v>
          </cell>
          <cell r="K4610" t="str">
            <v>defsi</v>
          </cell>
        </row>
        <row r="4611">
          <cell r="B4611" t="b">
            <v>1</v>
          </cell>
          <cell r="E4611" t="str">
            <v>Bocachica</v>
          </cell>
          <cell r="H4611" t="str">
            <v>urgencia</v>
          </cell>
          <cell r="J4611" t="str">
            <v>bueno</v>
          </cell>
          <cell r="K4611" t="str">
            <v>defsi</v>
          </cell>
        </row>
        <row r="4612">
          <cell r="B4612" t="b">
            <v>1</v>
          </cell>
          <cell r="E4612" t="str">
            <v>Bocachica</v>
          </cell>
          <cell r="H4612" t="str">
            <v>urgencia</v>
          </cell>
          <cell r="J4612" t="str">
            <v>bueno</v>
          </cell>
          <cell r="K4612" t="str">
            <v>defsi</v>
          </cell>
        </row>
        <row r="4613">
          <cell r="B4613" t="b">
            <v>1</v>
          </cell>
          <cell r="E4613" t="str">
            <v>San Vicente de Paul</v>
          </cell>
          <cell r="H4613" t="str">
            <v>consulta_externa</v>
          </cell>
          <cell r="J4613" t="str">
            <v>muybueno</v>
          </cell>
          <cell r="K4613" t="str">
            <v>defsi</v>
          </cell>
        </row>
        <row r="4614">
          <cell r="B4614" t="b">
            <v>1</v>
          </cell>
          <cell r="E4614" t="str">
            <v>San Vicente de Paul</v>
          </cell>
          <cell r="H4614" t="str">
            <v>salud_oral</v>
          </cell>
          <cell r="J4614" t="str">
            <v>muybueno</v>
          </cell>
          <cell r="K4614" t="str">
            <v>defsi</v>
          </cell>
        </row>
        <row r="4615">
          <cell r="B4615" t="b">
            <v>1</v>
          </cell>
          <cell r="E4615" t="str">
            <v>San Vicente de Paul</v>
          </cell>
          <cell r="H4615" t="str">
            <v>consulta_externa</v>
          </cell>
          <cell r="J4615" t="str">
            <v>bueno</v>
          </cell>
          <cell r="K4615" t="str">
            <v>defsi</v>
          </cell>
        </row>
        <row r="4616">
          <cell r="B4616" t="b">
            <v>1</v>
          </cell>
          <cell r="E4616" t="str">
            <v>San Vicente de Paul</v>
          </cell>
          <cell r="H4616" t="str">
            <v>salud_oral</v>
          </cell>
          <cell r="J4616" t="str">
            <v>bueno</v>
          </cell>
          <cell r="K4616" t="str">
            <v>defsi</v>
          </cell>
        </row>
        <row r="4617">
          <cell r="B4617" t="b">
            <v>1</v>
          </cell>
          <cell r="E4617" t="str">
            <v>Baru</v>
          </cell>
          <cell r="H4617" t="str">
            <v>consulta_externa</v>
          </cell>
          <cell r="J4617" t="str">
            <v>muybueno</v>
          </cell>
          <cell r="K4617" t="str">
            <v>defsi</v>
          </cell>
        </row>
        <row r="4618">
          <cell r="B4618" t="b">
            <v>1</v>
          </cell>
          <cell r="E4618" t="str">
            <v>Baru</v>
          </cell>
          <cell r="H4618" t="str">
            <v>laboratorio</v>
          </cell>
          <cell r="J4618" t="str">
            <v>muybueno</v>
          </cell>
          <cell r="K4618" t="str">
            <v>defsi</v>
          </cell>
        </row>
        <row r="4619">
          <cell r="B4619" t="b">
            <v>1</v>
          </cell>
          <cell r="E4619" t="str">
            <v>Bocachica</v>
          </cell>
          <cell r="H4619" t="str">
            <v>laboratorio</v>
          </cell>
          <cell r="J4619" t="str">
            <v>bueno</v>
          </cell>
          <cell r="K4619" t="str">
            <v>defsi</v>
          </cell>
        </row>
        <row r="4620">
          <cell r="B4620" t="b">
            <v>1</v>
          </cell>
          <cell r="E4620" t="str">
            <v>Bocachica</v>
          </cell>
          <cell r="H4620" t="str">
            <v>salud_oral</v>
          </cell>
          <cell r="J4620" t="str">
            <v>bueno</v>
          </cell>
          <cell r="K4620" t="str">
            <v>defsi</v>
          </cell>
        </row>
        <row r="4621">
          <cell r="B4621" t="b">
            <v>1</v>
          </cell>
          <cell r="E4621" t="str">
            <v>San Vicente de Paul</v>
          </cell>
          <cell r="H4621" t="str">
            <v>salud_oral</v>
          </cell>
          <cell r="J4621" t="str">
            <v>bueno</v>
          </cell>
          <cell r="K4621" t="str">
            <v>defsi</v>
          </cell>
        </row>
        <row r="4622">
          <cell r="B4622" t="b">
            <v>1</v>
          </cell>
          <cell r="E4622" t="str">
            <v>San Vicente de Paul</v>
          </cell>
          <cell r="H4622" t="str">
            <v>laboratorio</v>
          </cell>
          <cell r="J4622" t="str">
            <v>bueno</v>
          </cell>
          <cell r="K4622" t="str">
            <v>defsi</v>
          </cell>
        </row>
        <row r="4623">
          <cell r="B4623" t="b">
            <v>1</v>
          </cell>
          <cell r="E4623" t="str">
            <v>Baru</v>
          </cell>
          <cell r="H4623" t="str">
            <v>salud_oral</v>
          </cell>
          <cell r="J4623" t="str">
            <v>muybueno</v>
          </cell>
          <cell r="K4623" t="str">
            <v>defsi</v>
          </cell>
        </row>
        <row r="4624">
          <cell r="B4624" t="b">
            <v>1</v>
          </cell>
          <cell r="E4624" t="str">
            <v>Punta Canoa</v>
          </cell>
          <cell r="H4624" t="str">
            <v>consulta_externa</v>
          </cell>
          <cell r="J4624" t="str">
            <v>bueno</v>
          </cell>
          <cell r="K4624" t="str">
            <v>probsi</v>
          </cell>
        </row>
        <row r="4625">
          <cell r="B4625" t="b">
            <v>1</v>
          </cell>
          <cell r="E4625" t="str">
            <v>Punta Canoa</v>
          </cell>
          <cell r="H4625" t="str">
            <v>consulta_externa</v>
          </cell>
          <cell r="J4625" t="str">
            <v>bueno</v>
          </cell>
          <cell r="K4625" t="str">
            <v>probsi</v>
          </cell>
        </row>
        <row r="4626">
          <cell r="B4626" t="b">
            <v>1</v>
          </cell>
          <cell r="E4626" t="str">
            <v>Punta Canoa</v>
          </cell>
          <cell r="H4626" t="str">
            <v>consulta_externa</v>
          </cell>
          <cell r="J4626" t="str">
            <v>bueno</v>
          </cell>
          <cell r="K4626" t="str">
            <v>probsi</v>
          </cell>
        </row>
        <row r="4627">
          <cell r="B4627" t="b">
            <v>1</v>
          </cell>
          <cell r="E4627" t="str">
            <v>Bocachica</v>
          </cell>
          <cell r="H4627" t="str">
            <v>laboratorio</v>
          </cell>
          <cell r="J4627" t="str">
            <v>bueno</v>
          </cell>
          <cell r="K4627" t="str">
            <v>defsi</v>
          </cell>
        </row>
        <row r="4628">
          <cell r="B4628" t="b">
            <v>1</v>
          </cell>
          <cell r="E4628" t="str">
            <v>San Vicente de Paul</v>
          </cell>
          <cell r="H4628" t="str">
            <v>laboratorio</v>
          </cell>
          <cell r="J4628" t="str">
            <v>bueno</v>
          </cell>
          <cell r="K4628" t="str">
            <v>defsi</v>
          </cell>
        </row>
        <row r="4629">
          <cell r="B4629" t="b">
            <v>1</v>
          </cell>
          <cell r="E4629" t="str">
            <v>San Vicente de Paul</v>
          </cell>
          <cell r="H4629" t="str">
            <v>laboratorio</v>
          </cell>
          <cell r="J4629" t="str">
            <v>bueno</v>
          </cell>
          <cell r="K4629" t="str">
            <v>defsi</v>
          </cell>
        </row>
        <row r="4630">
          <cell r="B4630" t="b">
            <v>1</v>
          </cell>
          <cell r="E4630" t="str">
            <v>Baru</v>
          </cell>
          <cell r="H4630" t="str">
            <v>consulta_externa</v>
          </cell>
          <cell r="J4630" t="str">
            <v>muybueno</v>
          </cell>
          <cell r="K4630" t="str">
            <v>defsi</v>
          </cell>
        </row>
        <row r="4631">
          <cell r="B4631" t="b">
            <v>1</v>
          </cell>
          <cell r="E4631" t="str">
            <v>San Vicente de Paul</v>
          </cell>
          <cell r="H4631" t="str">
            <v>consulta_externa</v>
          </cell>
          <cell r="J4631" t="str">
            <v>bueno</v>
          </cell>
          <cell r="K4631" t="str">
            <v>defsi</v>
          </cell>
        </row>
        <row r="4632">
          <cell r="B4632" t="b">
            <v>1</v>
          </cell>
          <cell r="E4632" t="str">
            <v>Bocachica</v>
          </cell>
          <cell r="H4632" t="str">
            <v>urgencia</v>
          </cell>
          <cell r="J4632" t="str">
            <v>bueno</v>
          </cell>
          <cell r="K4632" t="str">
            <v>defsi</v>
          </cell>
        </row>
        <row r="4633">
          <cell r="B4633" t="b">
            <v>1</v>
          </cell>
          <cell r="E4633" t="str">
            <v>Baru</v>
          </cell>
          <cell r="H4633" t="str">
            <v>laboratorio</v>
          </cell>
          <cell r="J4633" t="str">
            <v>muybueno</v>
          </cell>
          <cell r="K4633" t="str">
            <v>defsi</v>
          </cell>
        </row>
        <row r="4634">
          <cell r="B4634" t="b">
            <v>1</v>
          </cell>
          <cell r="E4634" t="str">
            <v>San Vicente de Paul</v>
          </cell>
          <cell r="H4634" t="str">
            <v>consulta_externa</v>
          </cell>
          <cell r="J4634" t="str">
            <v>bueno</v>
          </cell>
          <cell r="K4634" t="str">
            <v>defsi</v>
          </cell>
        </row>
        <row r="4635">
          <cell r="B4635" t="b">
            <v>1</v>
          </cell>
          <cell r="E4635" t="str">
            <v>San Vicente de Paul</v>
          </cell>
          <cell r="H4635" t="str">
            <v>consulta_externa</v>
          </cell>
          <cell r="J4635" t="str">
            <v>bueno</v>
          </cell>
          <cell r="K4635" t="str">
            <v>defsi</v>
          </cell>
        </row>
        <row r="4636">
          <cell r="B4636" t="b">
            <v>1</v>
          </cell>
          <cell r="E4636" t="str">
            <v>San Vicente de Paul</v>
          </cell>
          <cell r="H4636" t="str">
            <v>laboratorio</v>
          </cell>
          <cell r="J4636" t="str">
            <v>bueno</v>
          </cell>
          <cell r="K4636" t="str">
            <v>defsi</v>
          </cell>
        </row>
        <row r="4637">
          <cell r="B4637" t="b">
            <v>1</v>
          </cell>
          <cell r="E4637" t="str">
            <v>San Vicente de Paul</v>
          </cell>
          <cell r="H4637" t="str">
            <v>consulta_externa</v>
          </cell>
          <cell r="J4637" t="str">
            <v>bueno</v>
          </cell>
          <cell r="K4637" t="str">
            <v>defsi</v>
          </cell>
        </row>
        <row r="4638">
          <cell r="B4638" t="b">
            <v>1</v>
          </cell>
          <cell r="E4638" t="str">
            <v>San Vicente de Paul</v>
          </cell>
          <cell r="H4638" t="str">
            <v>salud_oral</v>
          </cell>
          <cell r="J4638" t="str">
            <v>bueno</v>
          </cell>
          <cell r="K4638" t="str">
            <v>defsi</v>
          </cell>
        </row>
        <row r="4639">
          <cell r="B4639" t="b">
            <v>1</v>
          </cell>
          <cell r="E4639" t="str">
            <v>San Vicente de Paul</v>
          </cell>
          <cell r="H4639" t="str">
            <v>salud_oral</v>
          </cell>
          <cell r="J4639" t="str">
            <v>bueno</v>
          </cell>
          <cell r="K4639" t="str">
            <v>defsi</v>
          </cell>
        </row>
        <row r="4640">
          <cell r="B4640" t="b">
            <v>1</v>
          </cell>
          <cell r="E4640" t="str">
            <v>San Vicente de Paul</v>
          </cell>
          <cell r="H4640" t="str">
            <v>salud_oral</v>
          </cell>
          <cell r="J4640" t="str">
            <v>bueno</v>
          </cell>
          <cell r="K4640" t="str">
            <v>defsi</v>
          </cell>
        </row>
        <row r="4641">
          <cell r="B4641" t="b">
            <v>1</v>
          </cell>
          <cell r="E4641" t="str">
            <v>Baru</v>
          </cell>
          <cell r="H4641" t="str">
            <v>salud_oral</v>
          </cell>
          <cell r="J4641" t="str">
            <v>muybueno</v>
          </cell>
          <cell r="K4641" t="str">
            <v>defsi</v>
          </cell>
        </row>
        <row r="4642">
          <cell r="B4642" t="b">
            <v>0</v>
          </cell>
          <cell r="E4642" t="str">
            <v>Bocachica</v>
          </cell>
          <cell r="H4642" t="str">
            <v>laboratorio</v>
          </cell>
          <cell r="J4642" t="str">
            <v>regular</v>
          </cell>
          <cell r="K4642" t="str">
            <v>probsi</v>
          </cell>
        </row>
        <row r="4643">
          <cell r="B4643" t="b">
            <v>1</v>
          </cell>
          <cell r="E4643" t="str">
            <v>San Vicente de Paul</v>
          </cell>
          <cell r="H4643" t="str">
            <v>salud_oral</v>
          </cell>
          <cell r="J4643" t="str">
            <v>bueno</v>
          </cell>
          <cell r="K4643" t="str">
            <v>defsi</v>
          </cell>
        </row>
        <row r="4644">
          <cell r="B4644" t="b">
            <v>1</v>
          </cell>
          <cell r="E4644" t="str">
            <v>Arroyo de las Canoas</v>
          </cell>
          <cell r="H4644" t="str">
            <v>consulta_externa</v>
          </cell>
          <cell r="J4644" t="str">
            <v>bueno</v>
          </cell>
          <cell r="K4644" t="str">
            <v>probsi</v>
          </cell>
        </row>
        <row r="4645">
          <cell r="B4645" t="b">
            <v>1</v>
          </cell>
          <cell r="E4645" t="str">
            <v>San Vicente de Paul</v>
          </cell>
          <cell r="H4645" t="str">
            <v>consulta_externa</v>
          </cell>
          <cell r="J4645" t="str">
            <v>bueno</v>
          </cell>
          <cell r="K4645" t="str">
            <v>defsi</v>
          </cell>
        </row>
        <row r="4646">
          <cell r="B4646" t="b">
            <v>1</v>
          </cell>
          <cell r="E4646" t="str">
            <v>Bocachica</v>
          </cell>
          <cell r="H4646" t="str">
            <v>laboratorio</v>
          </cell>
          <cell r="J4646" t="str">
            <v>bueno</v>
          </cell>
          <cell r="K4646" t="str">
            <v>probsi</v>
          </cell>
        </row>
        <row r="4647">
          <cell r="B4647" t="b">
            <v>1</v>
          </cell>
          <cell r="E4647" t="str">
            <v>Bocachica</v>
          </cell>
          <cell r="H4647" t="str">
            <v>urgencia</v>
          </cell>
          <cell r="J4647" t="str">
            <v>bueno</v>
          </cell>
          <cell r="K4647" t="str">
            <v>probsi</v>
          </cell>
        </row>
        <row r="4648">
          <cell r="B4648" t="b">
            <v>1</v>
          </cell>
          <cell r="E4648" t="str">
            <v>Baru</v>
          </cell>
          <cell r="H4648" t="str">
            <v>laboratorio</v>
          </cell>
          <cell r="J4648" t="str">
            <v>muybueno</v>
          </cell>
          <cell r="K4648" t="str">
            <v>defsi</v>
          </cell>
        </row>
        <row r="4649">
          <cell r="B4649" t="b">
            <v>0</v>
          </cell>
          <cell r="E4649" t="str">
            <v>Bocachica</v>
          </cell>
          <cell r="H4649" t="str">
            <v>urgencia</v>
          </cell>
          <cell r="J4649" t="str">
            <v>regular</v>
          </cell>
          <cell r="K4649" t="str">
            <v>probsi</v>
          </cell>
        </row>
        <row r="4650">
          <cell r="B4650" t="b">
            <v>1</v>
          </cell>
          <cell r="E4650" t="str">
            <v>San Vicente de Paul</v>
          </cell>
          <cell r="H4650" t="str">
            <v>salud_oral</v>
          </cell>
          <cell r="J4650" t="str">
            <v>bueno</v>
          </cell>
          <cell r="K4650" t="str">
            <v>defsi</v>
          </cell>
        </row>
        <row r="4651">
          <cell r="B4651" t="b">
            <v>1</v>
          </cell>
          <cell r="E4651" t="str">
            <v>San Vicente de Paul</v>
          </cell>
          <cell r="H4651" t="str">
            <v>salud_oral</v>
          </cell>
          <cell r="J4651" t="str">
            <v>bueno</v>
          </cell>
          <cell r="K4651" t="str">
            <v>defsi</v>
          </cell>
        </row>
        <row r="4652">
          <cell r="B4652" t="b">
            <v>1</v>
          </cell>
          <cell r="E4652" t="str">
            <v>San Vicente de Paul</v>
          </cell>
          <cell r="H4652" t="str">
            <v>laboratorio</v>
          </cell>
          <cell r="J4652" t="str">
            <v>bueno</v>
          </cell>
          <cell r="K4652" t="str">
            <v>defsi</v>
          </cell>
        </row>
        <row r="4653">
          <cell r="B4653" t="b">
            <v>1</v>
          </cell>
          <cell r="E4653" t="str">
            <v>San Vicente de Paul</v>
          </cell>
          <cell r="H4653" t="str">
            <v>laboratorio</v>
          </cell>
          <cell r="J4653" t="str">
            <v>bueno</v>
          </cell>
          <cell r="K4653" t="str">
            <v>defsi</v>
          </cell>
        </row>
        <row r="4654">
          <cell r="B4654" t="b">
            <v>1</v>
          </cell>
          <cell r="E4654" t="str">
            <v>San Vicente de Paul</v>
          </cell>
          <cell r="H4654" t="str">
            <v>laboratorio</v>
          </cell>
          <cell r="J4654" t="str">
            <v>bueno</v>
          </cell>
          <cell r="K4654" t="str">
            <v>defsi</v>
          </cell>
        </row>
        <row r="4655">
          <cell r="B4655" t="b">
            <v>1</v>
          </cell>
          <cell r="E4655" t="str">
            <v>San Vicente de Paul</v>
          </cell>
          <cell r="H4655" t="str">
            <v>laboratorio</v>
          </cell>
          <cell r="J4655" t="str">
            <v>bueno</v>
          </cell>
          <cell r="K4655" t="str">
            <v>defsi</v>
          </cell>
        </row>
        <row r="4656">
          <cell r="B4656" t="b">
            <v>1</v>
          </cell>
          <cell r="E4656" t="str">
            <v>San Vicente de Paul</v>
          </cell>
          <cell r="H4656" t="str">
            <v>consulta_externa</v>
          </cell>
          <cell r="J4656" t="str">
            <v>bueno</v>
          </cell>
          <cell r="K4656" t="str">
            <v>defsi</v>
          </cell>
        </row>
        <row r="4657">
          <cell r="B4657" t="b">
            <v>1</v>
          </cell>
          <cell r="E4657" t="str">
            <v>San Vicente de Paul</v>
          </cell>
          <cell r="H4657" t="str">
            <v>salud_oral</v>
          </cell>
          <cell r="J4657" t="str">
            <v>bueno</v>
          </cell>
          <cell r="K4657" t="str">
            <v>defsi</v>
          </cell>
        </row>
        <row r="4658">
          <cell r="B4658" t="b">
            <v>1</v>
          </cell>
          <cell r="E4658" t="str">
            <v>San Vicente de Paul</v>
          </cell>
          <cell r="H4658" t="str">
            <v>consulta_externa</v>
          </cell>
          <cell r="J4658" t="str">
            <v>bueno</v>
          </cell>
          <cell r="K4658" t="str">
            <v>defsi</v>
          </cell>
        </row>
        <row r="4659">
          <cell r="B4659" t="b">
            <v>1</v>
          </cell>
          <cell r="E4659" t="str">
            <v>Baru</v>
          </cell>
          <cell r="H4659" t="str">
            <v>consulta_externa</v>
          </cell>
          <cell r="J4659" t="str">
            <v>muybueno</v>
          </cell>
          <cell r="K4659" t="str">
            <v>defsi</v>
          </cell>
        </row>
        <row r="4660">
          <cell r="B4660" t="b">
            <v>1</v>
          </cell>
          <cell r="E4660" t="str">
            <v>Baru</v>
          </cell>
          <cell r="H4660" t="str">
            <v>laboratorio</v>
          </cell>
          <cell r="J4660" t="str">
            <v>muybueno</v>
          </cell>
          <cell r="K4660" t="str">
            <v>defsi</v>
          </cell>
        </row>
        <row r="4661">
          <cell r="B4661" t="b">
            <v>1</v>
          </cell>
          <cell r="E4661" t="str">
            <v>Baru</v>
          </cell>
          <cell r="H4661" t="str">
            <v>consulta_externa</v>
          </cell>
          <cell r="J4661" t="str">
            <v>muybueno</v>
          </cell>
          <cell r="K4661" t="str">
            <v>defsi</v>
          </cell>
        </row>
        <row r="4662">
          <cell r="B4662" t="b">
            <v>1</v>
          </cell>
          <cell r="E4662" t="str">
            <v>Bocachica</v>
          </cell>
          <cell r="H4662" t="str">
            <v>laboratorio</v>
          </cell>
          <cell r="J4662" t="str">
            <v>muybueno</v>
          </cell>
          <cell r="K4662" t="str">
            <v>defsi</v>
          </cell>
        </row>
        <row r="4663">
          <cell r="B4663" t="b">
            <v>1</v>
          </cell>
          <cell r="E4663" t="str">
            <v>Baru</v>
          </cell>
          <cell r="H4663" t="str">
            <v>laboratorio</v>
          </cell>
          <cell r="J4663" t="str">
            <v>muybueno</v>
          </cell>
          <cell r="K4663" t="str">
            <v>defsi</v>
          </cell>
        </row>
        <row r="4664">
          <cell r="B4664" t="b">
            <v>1</v>
          </cell>
          <cell r="E4664" t="str">
            <v>Punta Canoa</v>
          </cell>
          <cell r="H4664" t="str">
            <v>consulta_externa</v>
          </cell>
          <cell r="J4664" t="str">
            <v>bueno</v>
          </cell>
          <cell r="K4664" t="str">
            <v>probsi</v>
          </cell>
        </row>
        <row r="4665">
          <cell r="B4665" t="b">
            <v>1</v>
          </cell>
          <cell r="E4665" t="str">
            <v>Punta Canoa</v>
          </cell>
          <cell r="H4665" t="str">
            <v>consulta_externa</v>
          </cell>
          <cell r="J4665" t="str">
            <v>bueno</v>
          </cell>
          <cell r="K4665" t="str">
            <v>probsi</v>
          </cell>
        </row>
        <row r="4666">
          <cell r="B4666" t="b">
            <v>1</v>
          </cell>
          <cell r="E4666" t="str">
            <v>Bocachica</v>
          </cell>
          <cell r="H4666" t="str">
            <v>salud_oral</v>
          </cell>
          <cell r="J4666" t="str">
            <v>muybueno</v>
          </cell>
          <cell r="K4666" t="str">
            <v>defsi</v>
          </cell>
        </row>
        <row r="4667">
          <cell r="B4667" t="b">
            <v>1</v>
          </cell>
          <cell r="E4667" t="str">
            <v>Baru</v>
          </cell>
          <cell r="H4667" t="str">
            <v>salud_oral</v>
          </cell>
          <cell r="J4667" t="str">
            <v>muybueno</v>
          </cell>
          <cell r="K4667" t="str">
            <v>defsi</v>
          </cell>
        </row>
        <row r="4668">
          <cell r="B4668" t="b">
            <v>1</v>
          </cell>
          <cell r="E4668" t="str">
            <v>Baru</v>
          </cell>
          <cell r="H4668" t="str">
            <v>consulta_externa</v>
          </cell>
          <cell r="J4668" t="str">
            <v>muybueno</v>
          </cell>
          <cell r="K4668" t="str">
            <v>defsi</v>
          </cell>
        </row>
        <row r="4669">
          <cell r="B4669" t="b">
            <v>1</v>
          </cell>
          <cell r="E4669" t="str">
            <v>Baru</v>
          </cell>
          <cell r="H4669" t="str">
            <v>laboratorio</v>
          </cell>
          <cell r="J4669" t="str">
            <v>muybueno</v>
          </cell>
          <cell r="K4669" t="str">
            <v>defsi</v>
          </cell>
        </row>
        <row r="4670">
          <cell r="B4670" t="b">
            <v>1</v>
          </cell>
          <cell r="E4670" t="str">
            <v>San Vicente de Paul</v>
          </cell>
          <cell r="H4670" t="str">
            <v>salud_oral</v>
          </cell>
          <cell r="J4670" t="str">
            <v>bueno</v>
          </cell>
          <cell r="K4670" t="str">
            <v>defsi</v>
          </cell>
        </row>
        <row r="4671">
          <cell r="B4671" t="b">
            <v>1</v>
          </cell>
          <cell r="E4671" t="str">
            <v>San Vicente de Paul</v>
          </cell>
          <cell r="H4671" t="str">
            <v>salud_oral</v>
          </cell>
          <cell r="J4671" t="str">
            <v>bueno</v>
          </cell>
          <cell r="K4671" t="str">
            <v>defsi</v>
          </cell>
        </row>
        <row r="4672">
          <cell r="B4672" t="b">
            <v>1</v>
          </cell>
          <cell r="E4672" t="str">
            <v>San Vicente de Paul</v>
          </cell>
          <cell r="H4672" t="str">
            <v>salud_oral</v>
          </cell>
          <cell r="J4672" t="str">
            <v>bueno</v>
          </cell>
          <cell r="K4672" t="str">
            <v>defsi</v>
          </cell>
        </row>
        <row r="4673">
          <cell r="B4673" t="b">
            <v>1</v>
          </cell>
          <cell r="E4673" t="str">
            <v>San Vicente de Paul</v>
          </cell>
          <cell r="H4673" t="str">
            <v>consulta_externa</v>
          </cell>
          <cell r="J4673" t="str">
            <v>bueno</v>
          </cell>
          <cell r="K4673" t="str">
            <v>defsi</v>
          </cell>
        </row>
        <row r="4674">
          <cell r="B4674" t="b">
            <v>1</v>
          </cell>
          <cell r="E4674" t="str">
            <v>San Vicente de Paul</v>
          </cell>
          <cell r="H4674" t="str">
            <v>laboratorio</v>
          </cell>
          <cell r="J4674" t="str">
            <v>bueno</v>
          </cell>
          <cell r="K4674" t="str">
            <v>defsi</v>
          </cell>
        </row>
        <row r="4675">
          <cell r="B4675" t="b">
            <v>1</v>
          </cell>
          <cell r="E4675" t="str">
            <v>Baru</v>
          </cell>
          <cell r="H4675" t="str">
            <v>salud_oral</v>
          </cell>
          <cell r="J4675" t="str">
            <v>muybueno</v>
          </cell>
          <cell r="K4675" t="str">
            <v>defsi</v>
          </cell>
        </row>
        <row r="4676">
          <cell r="B4676" t="b">
            <v>1</v>
          </cell>
          <cell r="E4676" t="str">
            <v>San Vicente de Paul</v>
          </cell>
          <cell r="H4676" t="str">
            <v>laboratorio</v>
          </cell>
          <cell r="J4676" t="str">
            <v>bueno</v>
          </cell>
          <cell r="K4676" t="str">
            <v>defsi</v>
          </cell>
        </row>
        <row r="4677">
          <cell r="B4677" t="b">
            <v>1</v>
          </cell>
          <cell r="E4677" t="str">
            <v>San Vicente de Paul</v>
          </cell>
          <cell r="H4677" t="str">
            <v>laboratorio</v>
          </cell>
          <cell r="J4677" t="str">
            <v>bueno</v>
          </cell>
          <cell r="K4677" t="str">
            <v>defsi</v>
          </cell>
        </row>
        <row r="4678">
          <cell r="B4678" t="b">
            <v>1</v>
          </cell>
          <cell r="E4678" t="str">
            <v>San Vicente de Paul</v>
          </cell>
          <cell r="H4678" t="str">
            <v>laboratorio</v>
          </cell>
          <cell r="J4678" t="str">
            <v>bueno</v>
          </cell>
          <cell r="K4678" t="str">
            <v>defsi</v>
          </cell>
        </row>
        <row r="4679">
          <cell r="B4679" t="b">
            <v>1</v>
          </cell>
          <cell r="E4679" t="str">
            <v>San Vicente de Paul</v>
          </cell>
          <cell r="H4679" t="str">
            <v>salud_oral</v>
          </cell>
          <cell r="J4679" t="str">
            <v>bueno</v>
          </cell>
          <cell r="K4679" t="str">
            <v>defsi</v>
          </cell>
        </row>
        <row r="4680">
          <cell r="B4680" t="b">
            <v>1</v>
          </cell>
          <cell r="E4680" t="str">
            <v>San Vicente de Paul</v>
          </cell>
          <cell r="H4680" t="str">
            <v>salud_oral</v>
          </cell>
          <cell r="J4680" t="str">
            <v>bueno</v>
          </cell>
          <cell r="K4680" t="str">
            <v>defsi</v>
          </cell>
        </row>
        <row r="4681">
          <cell r="B4681" t="b">
            <v>1</v>
          </cell>
          <cell r="E4681" t="str">
            <v>Punta Canoa</v>
          </cell>
          <cell r="H4681" t="str">
            <v>consulta_externa</v>
          </cell>
          <cell r="J4681" t="str">
            <v>bueno</v>
          </cell>
          <cell r="K4681" t="str">
            <v>probsi</v>
          </cell>
        </row>
        <row r="4682">
          <cell r="B4682" t="b">
            <v>1</v>
          </cell>
          <cell r="E4682" t="str">
            <v>Punta Canoa</v>
          </cell>
          <cell r="H4682" t="str">
            <v>consulta_externa</v>
          </cell>
          <cell r="J4682" t="str">
            <v>bueno</v>
          </cell>
          <cell r="K4682" t="str">
            <v>probsi</v>
          </cell>
        </row>
        <row r="4683">
          <cell r="B4683" t="b">
            <v>1</v>
          </cell>
          <cell r="E4683" t="str">
            <v>Punta Canoa</v>
          </cell>
          <cell r="H4683" t="str">
            <v>consulta_externa</v>
          </cell>
          <cell r="J4683" t="str">
            <v>bueno</v>
          </cell>
          <cell r="K4683" t="str">
            <v>probsi</v>
          </cell>
        </row>
        <row r="4684">
          <cell r="B4684" t="b">
            <v>1</v>
          </cell>
          <cell r="E4684" t="str">
            <v>San Vicente de Paul</v>
          </cell>
          <cell r="H4684" t="str">
            <v>salud_oral</v>
          </cell>
          <cell r="J4684" t="str">
            <v>bueno</v>
          </cell>
          <cell r="K4684" t="str">
            <v>defsi</v>
          </cell>
        </row>
        <row r="4685">
          <cell r="B4685" t="b">
            <v>1</v>
          </cell>
          <cell r="E4685" t="str">
            <v>Baru</v>
          </cell>
          <cell r="H4685" t="str">
            <v>consulta_externa</v>
          </cell>
          <cell r="J4685" t="str">
            <v>muybueno</v>
          </cell>
          <cell r="K4685" t="str">
            <v>defsi</v>
          </cell>
        </row>
        <row r="4686">
          <cell r="B4686" t="b">
            <v>1</v>
          </cell>
          <cell r="E4686" t="str">
            <v>Baru</v>
          </cell>
          <cell r="H4686" t="str">
            <v>laboratorio</v>
          </cell>
          <cell r="J4686" t="str">
            <v>muybueno</v>
          </cell>
          <cell r="K4686" t="str">
            <v>defsi</v>
          </cell>
        </row>
        <row r="4687">
          <cell r="B4687" t="b">
            <v>1</v>
          </cell>
          <cell r="E4687" t="str">
            <v>San Vicente de Paul</v>
          </cell>
          <cell r="H4687" t="str">
            <v>salud_oral</v>
          </cell>
          <cell r="J4687" t="str">
            <v>bueno</v>
          </cell>
          <cell r="K4687" t="str">
            <v>defsi</v>
          </cell>
        </row>
        <row r="4688">
          <cell r="B4688" t="b">
            <v>1</v>
          </cell>
          <cell r="E4688" t="str">
            <v>Bocachica</v>
          </cell>
          <cell r="H4688" t="str">
            <v>urgencia</v>
          </cell>
          <cell r="J4688" t="str">
            <v>bueno</v>
          </cell>
          <cell r="K4688" t="str">
            <v>defsi</v>
          </cell>
        </row>
        <row r="4689">
          <cell r="B4689" t="b">
            <v>1</v>
          </cell>
          <cell r="E4689" t="str">
            <v>San Vicente de Paul</v>
          </cell>
          <cell r="H4689" t="str">
            <v>consulta_externa</v>
          </cell>
          <cell r="J4689" t="str">
            <v>bueno</v>
          </cell>
          <cell r="K4689" t="str">
            <v>defsi</v>
          </cell>
        </row>
        <row r="4690">
          <cell r="B4690" t="b">
            <v>1</v>
          </cell>
          <cell r="E4690" t="str">
            <v>Baru</v>
          </cell>
          <cell r="H4690" t="str">
            <v>consulta_externa</v>
          </cell>
          <cell r="J4690" t="str">
            <v>muybueno</v>
          </cell>
          <cell r="K4690" t="str">
            <v>defsi</v>
          </cell>
        </row>
        <row r="4691">
          <cell r="B4691" t="b">
            <v>1</v>
          </cell>
          <cell r="E4691" t="str">
            <v>San Vicente de Paul</v>
          </cell>
          <cell r="H4691" t="str">
            <v>consulta_externa</v>
          </cell>
          <cell r="J4691" t="str">
            <v>bueno</v>
          </cell>
          <cell r="K4691" t="str">
            <v>defsi</v>
          </cell>
        </row>
        <row r="4692">
          <cell r="B4692" t="b">
            <v>1</v>
          </cell>
          <cell r="E4692" t="str">
            <v>Baru</v>
          </cell>
          <cell r="H4692" t="str">
            <v>laboratorio</v>
          </cell>
          <cell r="J4692" t="str">
            <v>muybueno</v>
          </cell>
          <cell r="K4692" t="str">
            <v>defsi</v>
          </cell>
        </row>
        <row r="4693">
          <cell r="B4693" t="b">
            <v>1</v>
          </cell>
          <cell r="E4693" t="str">
            <v>San Vicente de Paul</v>
          </cell>
          <cell r="H4693" t="str">
            <v>laboratorio</v>
          </cell>
          <cell r="J4693" t="str">
            <v>bueno</v>
          </cell>
          <cell r="K4693" t="str">
            <v>defsi</v>
          </cell>
        </row>
        <row r="4694">
          <cell r="B4694" t="b">
            <v>1</v>
          </cell>
          <cell r="E4694" t="str">
            <v>San Vicente de Paul</v>
          </cell>
          <cell r="H4694" t="str">
            <v>laboratorio</v>
          </cell>
          <cell r="J4694" t="str">
            <v>bueno</v>
          </cell>
          <cell r="K4694" t="str">
            <v>defsi</v>
          </cell>
        </row>
        <row r="4695">
          <cell r="B4695" t="b">
            <v>1</v>
          </cell>
          <cell r="E4695" t="str">
            <v>San Vicente de Paul</v>
          </cell>
          <cell r="H4695" t="str">
            <v>laboratorio</v>
          </cell>
          <cell r="J4695" t="str">
            <v>bueno</v>
          </cell>
          <cell r="K4695" t="str">
            <v>defsi</v>
          </cell>
        </row>
        <row r="4696">
          <cell r="B4696" t="b">
            <v>1</v>
          </cell>
          <cell r="E4696" t="str">
            <v>San Vicente de Paul</v>
          </cell>
          <cell r="H4696" t="str">
            <v>salud_oral</v>
          </cell>
          <cell r="J4696" t="str">
            <v>bueno</v>
          </cell>
          <cell r="K4696" t="str">
            <v>defsi</v>
          </cell>
        </row>
        <row r="4697">
          <cell r="B4697" t="b">
            <v>1</v>
          </cell>
          <cell r="E4697" t="str">
            <v>San Vicente de Paul</v>
          </cell>
          <cell r="H4697" t="str">
            <v>salud_oral</v>
          </cell>
          <cell r="J4697" t="str">
            <v>bueno</v>
          </cell>
          <cell r="K4697" t="str">
            <v>defsi</v>
          </cell>
        </row>
        <row r="4698">
          <cell r="B4698" t="b">
            <v>1</v>
          </cell>
          <cell r="E4698" t="str">
            <v>San Vicente de Paul</v>
          </cell>
          <cell r="H4698" t="str">
            <v>salud_oral</v>
          </cell>
          <cell r="J4698" t="str">
            <v>muybueno</v>
          </cell>
          <cell r="K4698" t="str">
            <v>defsi</v>
          </cell>
        </row>
        <row r="4699">
          <cell r="B4699" t="b">
            <v>1</v>
          </cell>
          <cell r="E4699" t="str">
            <v>San Vicente de Paul</v>
          </cell>
          <cell r="H4699" t="str">
            <v>salud_oral</v>
          </cell>
          <cell r="J4699" t="str">
            <v>bueno</v>
          </cell>
          <cell r="K4699" t="str">
            <v>defsi</v>
          </cell>
        </row>
        <row r="4700">
          <cell r="B4700" t="b">
            <v>1</v>
          </cell>
          <cell r="E4700" t="str">
            <v>San Vicente de Paul</v>
          </cell>
          <cell r="H4700" t="str">
            <v>consulta_externa</v>
          </cell>
          <cell r="J4700" t="str">
            <v>bueno</v>
          </cell>
          <cell r="K4700" t="str">
            <v>defsi</v>
          </cell>
        </row>
        <row r="4701">
          <cell r="B4701" t="b">
            <v>1</v>
          </cell>
          <cell r="E4701" t="str">
            <v>San Vicente de Paul</v>
          </cell>
          <cell r="H4701" t="str">
            <v>laboratorio</v>
          </cell>
          <cell r="J4701" t="str">
            <v>bueno</v>
          </cell>
          <cell r="K4701" t="str">
            <v>defsi</v>
          </cell>
        </row>
        <row r="4702">
          <cell r="B4702" t="b">
            <v>1</v>
          </cell>
          <cell r="E4702" t="str">
            <v>San Vicente de Paul</v>
          </cell>
          <cell r="H4702" t="str">
            <v>laboratorio</v>
          </cell>
          <cell r="J4702" t="str">
            <v>bueno</v>
          </cell>
          <cell r="K4702" t="str">
            <v>defsi</v>
          </cell>
        </row>
        <row r="4703">
          <cell r="B4703" t="b">
            <v>1</v>
          </cell>
          <cell r="E4703" t="str">
            <v>San Vicente de Paul</v>
          </cell>
          <cell r="H4703" t="str">
            <v>consulta_externa</v>
          </cell>
          <cell r="J4703" t="str">
            <v>bueno</v>
          </cell>
          <cell r="K4703" t="str">
            <v>defsi</v>
          </cell>
        </row>
        <row r="4704">
          <cell r="B4704" t="b">
            <v>1</v>
          </cell>
          <cell r="E4704" t="str">
            <v>San Vicente de Paul</v>
          </cell>
          <cell r="H4704" t="str">
            <v>consulta_externa</v>
          </cell>
          <cell r="J4704" t="str">
            <v>bueno</v>
          </cell>
          <cell r="K4704" t="str">
            <v>defsi</v>
          </cell>
        </row>
        <row r="4705">
          <cell r="B4705" t="b">
            <v>1</v>
          </cell>
          <cell r="E4705" t="str">
            <v>San Vicente de Paul</v>
          </cell>
          <cell r="H4705" t="str">
            <v>consulta_externa</v>
          </cell>
          <cell r="J4705" t="str">
            <v>bueno</v>
          </cell>
          <cell r="K4705" t="str">
            <v>defsi</v>
          </cell>
        </row>
        <row r="4706">
          <cell r="B4706" t="b">
            <v>1</v>
          </cell>
          <cell r="E4706" t="str">
            <v>San Vicente de Paul</v>
          </cell>
          <cell r="H4706" t="str">
            <v>consulta_externa</v>
          </cell>
          <cell r="J4706" t="str">
            <v>bueno</v>
          </cell>
          <cell r="K4706" t="str">
            <v>defsi</v>
          </cell>
        </row>
        <row r="4707">
          <cell r="B4707" t="b">
            <v>1</v>
          </cell>
          <cell r="E4707" t="str">
            <v>San Vicente de Paul</v>
          </cell>
          <cell r="H4707" t="str">
            <v>laboratorio</v>
          </cell>
          <cell r="J4707" t="str">
            <v>bueno</v>
          </cell>
          <cell r="K4707" t="str">
            <v>defsi</v>
          </cell>
        </row>
        <row r="4708">
          <cell r="B4708" t="b">
            <v>1</v>
          </cell>
          <cell r="E4708" t="str">
            <v>San Vicente de Paul</v>
          </cell>
          <cell r="H4708" t="str">
            <v>laboratorio</v>
          </cell>
          <cell r="J4708" t="str">
            <v>bueno</v>
          </cell>
          <cell r="K4708" t="str">
            <v>defsi</v>
          </cell>
        </row>
        <row r="4709">
          <cell r="B4709" t="b">
            <v>1</v>
          </cell>
          <cell r="E4709" t="str">
            <v>San Vicente de Paul</v>
          </cell>
          <cell r="H4709" t="str">
            <v>consulta_externa</v>
          </cell>
          <cell r="J4709" t="str">
            <v>bueno</v>
          </cell>
          <cell r="K4709" t="str">
            <v>defsi</v>
          </cell>
        </row>
        <row r="4710">
          <cell r="B4710" t="b">
            <v>1</v>
          </cell>
          <cell r="E4710" t="str">
            <v>Bocachica</v>
          </cell>
          <cell r="H4710" t="str">
            <v>salud_oral</v>
          </cell>
          <cell r="J4710" t="str">
            <v>bueno</v>
          </cell>
          <cell r="K4710" t="str">
            <v>defsi</v>
          </cell>
        </row>
        <row r="4711">
          <cell r="B4711" t="b">
            <v>1</v>
          </cell>
          <cell r="E4711" t="str">
            <v>San Vicente de Paul</v>
          </cell>
          <cell r="H4711" t="str">
            <v>laboratorio</v>
          </cell>
          <cell r="J4711" t="str">
            <v>bueno</v>
          </cell>
          <cell r="K4711" t="str">
            <v>defsi</v>
          </cell>
        </row>
        <row r="4712">
          <cell r="B4712" t="b">
            <v>1</v>
          </cell>
          <cell r="E4712" t="str">
            <v>San Vicente de Paul</v>
          </cell>
          <cell r="H4712" t="str">
            <v>consulta_externa</v>
          </cell>
          <cell r="J4712" t="str">
            <v>bueno</v>
          </cell>
          <cell r="K4712" t="str">
            <v>defsi</v>
          </cell>
        </row>
        <row r="4713">
          <cell r="B4713" t="b">
            <v>1</v>
          </cell>
          <cell r="E4713" t="str">
            <v>San Vicente de Paul</v>
          </cell>
          <cell r="H4713" t="str">
            <v>salud_oral</v>
          </cell>
          <cell r="J4713" t="str">
            <v>bueno</v>
          </cell>
          <cell r="K4713" t="str">
            <v>defsi</v>
          </cell>
        </row>
        <row r="4714">
          <cell r="B4714" t="b">
            <v>1</v>
          </cell>
          <cell r="E4714" t="str">
            <v>San Vicente de Paul</v>
          </cell>
          <cell r="H4714" t="str">
            <v>consulta_externa</v>
          </cell>
          <cell r="J4714" t="str">
            <v>bueno</v>
          </cell>
          <cell r="K4714" t="str">
            <v>defsi</v>
          </cell>
        </row>
        <row r="4715">
          <cell r="B4715" t="b">
            <v>1</v>
          </cell>
          <cell r="E4715" t="str">
            <v>Baru</v>
          </cell>
          <cell r="H4715" t="str">
            <v>salud_oral</v>
          </cell>
          <cell r="J4715" t="str">
            <v>muybueno</v>
          </cell>
          <cell r="K4715" t="str">
            <v>defsi</v>
          </cell>
        </row>
        <row r="4716">
          <cell r="B4716" t="b">
            <v>1</v>
          </cell>
          <cell r="E4716" t="str">
            <v>Baru</v>
          </cell>
          <cell r="H4716" t="str">
            <v>consulta_externa</v>
          </cell>
          <cell r="J4716" t="str">
            <v>muybueno</v>
          </cell>
          <cell r="K4716" t="str">
            <v>defsi</v>
          </cell>
        </row>
        <row r="4717">
          <cell r="B4717" t="b">
            <v>1</v>
          </cell>
          <cell r="E4717" t="str">
            <v>Baru</v>
          </cell>
          <cell r="H4717" t="str">
            <v>laboratorio</v>
          </cell>
          <cell r="J4717" t="str">
            <v>muybueno</v>
          </cell>
          <cell r="K4717" t="str">
            <v>defsi</v>
          </cell>
        </row>
        <row r="4718">
          <cell r="B4718" t="b">
            <v>1</v>
          </cell>
          <cell r="E4718" t="str">
            <v>Baru</v>
          </cell>
          <cell r="H4718" t="str">
            <v>salud_oral</v>
          </cell>
          <cell r="J4718" t="str">
            <v>muybueno</v>
          </cell>
          <cell r="K4718" t="str">
            <v>defsi</v>
          </cell>
        </row>
        <row r="4719">
          <cell r="B4719" t="b">
            <v>1</v>
          </cell>
          <cell r="E4719" t="str">
            <v>Baru</v>
          </cell>
          <cell r="H4719" t="str">
            <v>consulta_externa</v>
          </cell>
          <cell r="J4719" t="str">
            <v>muybueno</v>
          </cell>
          <cell r="K4719" t="str">
            <v>defsi</v>
          </cell>
        </row>
        <row r="4720">
          <cell r="B4720" t="b">
            <v>1</v>
          </cell>
          <cell r="E4720" t="str">
            <v>Baru</v>
          </cell>
          <cell r="H4720" t="str">
            <v>laboratorio</v>
          </cell>
          <cell r="J4720" t="str">
            <v>muybueno</v>
          </cell>
          <cell r="K4720" t="str">
            <v>defsi</v>
          </cell>
        </row>
        <row r="4721">
          <cell r="B4721" t="b">
            <v>1</v>
          </cell>
          <cell r="E4721" t="str">
            <v>Baru</v>
          </cell>
          <cell r="H4721" t="str">
            <v>consulta_externa</v>
          </cell>
          <cell r="J4721" t="str">
            <v>muybueno</v>
          </cell>
          <cell r="K4721" t="str">
            <v>defsi</v>
          </cell>
        </row>
        <row r="4722">
          <cell r="B4722" t="b">
            <v>1</v>
          </cell>
          <cell r="E4722" t="str">
            <v>Baru</v>
          </cell>
          <cell r="H4722" t="str">
            <v>laboratorio</v>
          </cell>
          <cell r="J4722" t="str">
            <v>muybueno</v>
          </cell>
          <cell r="K4722" t="str">
            <v>defsi</v>
          </cell>
        </row>
        <row r="4723">
          <cell r="B4723" t="b">
            <v>1</v>
          </cell>
          <cell r="E4723" t="str">
            <v>Baru</v>
          </cell>
          <cell r="H4723" t="str">
            <v>salud_oral</v>
          </cell>
          <cell r="J4723" t="str">
            <v>muybueno</v>
          </cell>
          <cell r="K4723" t="str">
            <v>defsi</v>
          </cell>
        </row>
        <row r="4724">
          <cell r="B4724" t="b">
            <v>1</v>
          </cell>
          <cell r="E4724" t="str">
            <v>Baru</v>
          </cell>
          <cell r="H4724" t="str">
            <v>consulta_externa</v>
          </cell>
          <cell r="J4724" t="str">
            <v>muybueno</v>
          </cell>
          <cell r="K4724" t="str">
            <v>defsi</v>
          </cell>
        </row>
        <row r="4725">
          <cell r="B4725" t="b">
            <v>1</v>
          </cell>
          <cell r="E4725" t="str">
            <v>Baru</v>
          </cell>
          <cell r="H4725" t="str">
            <v>laboratorio</v>
          </cell>
          <cell r="J4725" t="str">
            <v>muybueno</v>
          </cell>
          <cell r="K4725" t="str">
            <v>defsi</v>
          </cell>
        </row>
        <row r="4726">
          <cell r="B4726" t="b">
            <v>1</v>
          </cell>
          <cell r="E4726" t="str">
            <v>Boston</v>
          </cell>
          <cell r="H4726" t="str">
            <v>consulta_externa</v>
          </cell>
          <cell r="J4726" t="str">
            <v>bueno</v>
          </cell>
          <cell r="K4726" t="str">
            <v>defsi</v>
          </cell>
        </row>
        <row r="4727">
          <cell r="B4727" t="b">
            <v>1</v>
          </cell>
          <cell r="E4727" t="str">
            <v>Boston</v>
          </cell>
          <cell r="H4727" t="str">
            <v>consulta_externa</v>
          </cell>
          <cell r="J4727" t="str">
            <v>muybueno</v>
          </cell>
          <cell r="K4727" t="str">
            <v>defsi</v>
          </cell>
        </row>
        <row r="4728">
          <cell r="B4728" t="b">
            <v>1</v>
          </cell>
          <cell r="E4728" t="str">
            <v>Boston</v>
          </cell>
          <cell r="H4728" t="str">
            <v>consulta_externa</v>
          </cell>
          <cell r="J4728" t="str">
            <v>muybueno</v>
          </cell>
          <cell r="K4728" t="str">
            <v>defsi</v>
          </cell>
        </row>
        <row r="4729">
          <cell r="B4729" t="b">
            <v>1</v>
          </cell>
          <cell r="E4729" t="str">
            <v>Boston</v>
          </cell>
          <cell r="H4729" t="str">
            <v>consulta_externa</v>
          </cell>
          <cell r="J4729" t="str">
            <v>muybueno</v>
          </cell>
          <cell r="K4729" t="str">
            <v>defsi</v>
          </cell>
        </row>
        <row r="4730">
          <cell r="B4730" t="b">
            <v>1</v>
          </cell>
          <cell r="E4730" t="str">
            <v>Boston</v>
          </cell>
          <cell r="H4730" t="str">
            <v>consulta_externa</v>
          </cell>
          <cell r="J4730" t="str">
            <v>bueno</v>
          </cell>
          <cell r="K4730" t="str">
            <v>defsi</v>
          </cell>
        </row>
        <row r="4731">
          <cell r="B4731" t="b">
            <v>1</v>
          </cell>
          <cell r="E4731" t="str">
            <v>Baru</v>
          </cell>
          <cell r="H4731" t="str">
            <v>consulta_externa</v>
          </cell>
          <cell r="J4731" t="str">
            <v>muybueno</v>
          </cell>
          <cell r="K4731" t="str">
            <v>defsi</v>
          </cell>
        </row>
        <row r="4732">
          <cell r="B4732" t="b">
            <v>1</v>
          </cell>
          <cell r="E4732" t="str">
            <v>Baru</v>
          </cell>
          <cell r="H4732" t="str">
            <v>laboratorio</v>
          </cell>
          <cell r="J4732" t="str">
            <v>muybueno</v>
          </cell>
          <cell r="K4732" t="str">
            <v>defsi</v>
          </cell>
        </row>
        <row r="4733">
          <cell r="B4733" t="b">
            <v>1</v>
          </cell>
          <cell r="E4733" t="str">
            <v>Boston</v>
          </cell>
          <cell r="H4733" t="str">
            <v>consulta_externa</v>
          </cell>
          <cell r="J4733" t="str">
            <v>bueno</v>
          </cell>
          <cell r="K4733" t="str">
            <v>defsi</v>
          </cell>
        </row>
        <row r="4734">
          <cell r="B4734" t="b">
            <v>1</v>
          </cell>
          <cell r="E4734" t="str">
            <v>Boston</v>
          </cell>
          <cell r="H4734" t="str">
            <v>consulta_externa</v>
          </cell>
          <cell r="J4734" t="str">
            <v>bueno</v>
          </cell>
          <cell r="K4734" t="str">
            <v>defsi</v>
          </cell>
        </row>
        <row r="4735">
          <cell r="B4735" t="b">
            <v>1</v>
          </cell>
          <cell r="E4735" t="str">
            <v>Boston</v>
          </cell>
          <cell r="H4735" t="str">
            <v>consulta_externa</v>
          </cell>
          <cell r="J4735" t="str">
            <v>bueno</v>
          </cell>
          <cell r="K4735" t="str">
            <v>defsi</v>
          </cell>
        </row>
        <row r="4736">
          <cell r="B4736" t="b">
            <v>1</v>
          </cell>
          <cell r="E4736" t="str">
            <v>Boston</v>
          </cell>
          <cell r="H4736" t="str">
            <v>consulta_externa</v>
          </cell>
          <cell r="J4736" t="str">
            <v>muybueno</v>
          </cell>
          <cell r="K4736" t="str">
            <v>defsi</v>
          </cell>
        </row>
        <row r="4737">
          <cell r="B4737" t="b">
            <v>1</v>
          </cell>
          <cell r="E4737" t="str">
            <v>Baru</v>
          </cell>
          <cell r="H4737" t="str">
            <v>consulta_externa</v>
          </cell>
          <cell r="J4737" t="str">
            <v>muybueno</v>
          </cell>
          <cell r="K4737" t="str">
            <v>defsi</v>
          </cell>
        </row>
        <row r="4738">
          <cell r="B4738" t="b">
            <v>1</v>
          </cell>
          <cell r="E4738" t="str">
            <v>Baru</v>
          </cell>
          <cell r="H4738" t="str">
            <v>laboratorio</v>
          </cell>
          <cell r="J4738" t="str">
            <v>muybueno</v>
          </cell>
          <cell r="K4738" t="str">
            <v>defsi</v>
          </cell>
        </row>
        <row r="4739">
          <cell r="B4739" t="b">
            <v>1</v>
          </cell>
          <cell r="E4739" t="str">
            <v>Boston</v>
          </cell>
          <cell r="H4739" t="str">
            <v>consulta_externa</v>
          </cell>
          <cell r="J4739" t="str">
            <v>bueno</v>
          </cell>
          <cell r="K4739" t="str">
            <v>defsi</v>
          </cell>
        </row>
        <row r="4740">
          <cell r="B4740" t="b">
            <v>1</v>
          </cell>
          <cell r="E4740" t="str">
            <v>Boston</v>
          </cell>
          <cell r="H4740" t="str">
            <v>consulta_externa</v>
          </cell>
          <cell r="J4740" t="str">
            <v>bueno</v>
          </cell>
          <cell r="K4740" t="str">
            <v>defsi</v>
          </cell>
        </row>
        <row r="4741">
          <cell r="B4741" t="b">
            <v>1</v>
          </cell>
          <cell r="E4741" t="str">
            <v>Boston</v>
          </cell>
          <cell r="H4741" t="str">
            <v>consulta_externa</v>
          </cell>
          <cell r="J4741" t="str">
            <v>bueno</v>
          </cell>
          <cell r="K4741" t="str">
            <v>defsi</v>
          </cell>
        </row>
        <row r="4742">
          <cell r="B4742" t="b">
            <v>1</v>
          </cell>
          <cell r="E4742" t="str">
            <v>Boston</v>
          </cell>
          <cell r="H4742" t="str">
            <v>consulta_externa</v>
          </cell>
          <cell r="J4742" t="str">
            <v>muybueno</v>
          </cell>
          <cell r="K4742" t="str">
            <v>defsi</v>
          </cell>
        </row>
        <row r="4743">
          <cell r="B4743" t="b">
            <v>1</v>
          </cell>
          <cell r="E4743" t="str">
            <v>Boston</v>
          </cell>
          <cell r="H4743" t="str">
            <v>consulta_externa</v>
          </cell>
          <cell r="J4743" t="str">
            <v>bueno</v>
          </cell>
          <cell r="K4743" t="str">
            <v>defsi</v>
          </cell>
        </row>
        <row r="4744">
          <cell r="B4744" t="b">
            <v>1</v>
          </cell>
          <cell r="E4744" t="str">
            <v>Baru</v>
          </cell>
          <cell r="H4744" t="str">
            <v>salud_oral</v>
          </cell>
          <cell r="J4744" t="str">
            <v>muybueno</v>
          </cell>
          <cell r="K4744" t="str">
            <v>defsi</v>
          </cell>
        </row>
        <row r="4745">
          <cell r="B4745" t="b">
            <v>1</v>
          </cell>
          <cell r="E4745" t="str">
            <v>Baru</v>
          </cell>
          <cell r="H4745" t="str">
            <v>consulta_externa</v>
          </cell>
          <cell r="J4745" t="str">
            <v>muybueno</v>
          </cell>
          <cell r="K4745" t="str">
            <v>defsi</v>
          </cell>
        </row>
        <row r="4746">
          <cell r="B4746" t="b">
            <v>1</v>
          </cell>
          <cell r="E4746" t="str">
            <v>Baru</v>
          </cell>
          <cell r="H4746" t="str">
            <v>laboratorio</v>
          </cell>
          <cell r="J4746" t="str">
            <v>muybueno</v>
          </cell>
          <cell r="K4746" t="str">
            <v>defsi</v>
          </cell>
        </row>
        <row r="4747">
          <cell r="B4747" t="b">
            <v>1</v>
          </cell>
          <cell r="E4747" t="str">
            <v>Baru</v>
          </cell>
          <cell r="H4747" t="str">
            <v>salud_oral</v>
          </cell>
          <cell r="J4747" t="str">
            <v>muybueno</v>
          </cell>
          <cell r="K4747" t="str">
            <v>defsi</v>
          </cell>
        </row>
        <row r="4748">
          <cell r="B4748" t="b">
            <v>1</v>
          </cell>
          <cell r="E4748" t="str">
            <v>Baru</v>
          </cell>
          <cell r="H4748" t="str">
            <v>consulta_externa</v>
          </cell>
          <cell r="J4748" t="str">
            <v>muybueno</v>
          </cell>
          <cell r="K4748" t="str">
            <v>defsi</v>
          </cell>
        </row>
        <row r="4749">
          <cell r="B4749" t="b">
            <v>1</v>
          </cell>
          <cell r="E4749" t="str">
            <v>Baru</v>
          </cell>
          <cell r="H4749" t="str">
            <v>laboratorio</v>
          </cell>
          <cell r="J4749" t="str">
            <v>muybueno</v>
          </cell>
          <cell r="K4749" t="str">
            <v>defsi</v>
          </cell>
        </row>
        <row r="4750">
          <cell r="B4750" t="b">
            <v>1</v>
          </cell>
          <cell r="E4750" t="str">
            <v>Baru</v>
          </cell>
          <cell r="H4750" t="str">
            <v>salud_oral</v>
          </cell>
          <cell r="J4750" t="str">
            <v>muybueno</v>
          </cell>
          <cell r="K4750" t="str">
            <v>defsi</v>
          </cell>
        </row>
        <row r="4751">
          <cell r="B4751" t="b">
            <v>1</v>
          </cell>
          <cell r="E4751" t="str">
            <v>Baru</v>
          </cell>
          <cell r="H4751" t="str">
            <v>consulta_externa</v>
          </cell>
          <cell r="J4751" t="str">
            <v>muybueno</v>
          </cell>
          <cell r="K4751" t="str">
            <v>defsi</v>
          </cell>
        </row>
        <row r="4752">
          <cell r="B4752" t="b">
            <v>1</v>
          </cell>
          <cell r="E4752" t="str">
            <v>Baru</v>
          </cell>
          <cell r="H4752" t="str">
            <v>laboratorio</v>
          </cell>
          <cell r="J4752" t="str">
            <v>muybueno</v>
          </cell>
          <cell r="K4752" t="str">
            <v>defsi</v>
          </cell>
        </row>
        <row r="4753">
          <cell r="B4753" t="b">
            <v>1</v>
          </cell>
          <cell r="E4753" t="str">
            <v>Baru</v>
          </cell>
          <cell r="H4753" t="str">
            <v>consulta_externa</v>
          </cell>
          <cell r="J4753" t="str">
            <v>muybueno</v>
          </cell>
          <cell r="K4753" t="str">
            <v>defsi</v>
          </cell>
        </row>
        <row r="4754">
          <cell r="B4754" t="b">
            <v>1</v>
          </cell>
          <cell r="E4754" t="str">
            <v>Baru</v>
          </cell>
          <cell r="H4754" t="str">
            <v>laboratorio</v>
          </cell>
          <cell r="J4754" t="str">
            <v>muybueno</v>
          </cell>
          <cell r="K4754" t="str">
            <v>defsi</v>
          </cell>
        </row>
        <row r="4755">
          <cell r="B4755" t="b">
            <v>1</v>
          </cell>
          <cell r="E4755" t="str">
            <v>Baru</v>
          </cell>
          <cell r="H4755" t="str">
            <v>salud_oral</v>
          </cell>
          <cell r="J4755" t="str">
            <v>muybueno</v>
          </cell>
          <cell r="K4755" t="str">
            <v>defsi</v>
          </cell>
        </row>
        <row r="4756">
          <cell r="B4756" t="b">
            <v>1</v>
          </cell>
          <cell r="E4756" t="str">
            <v>Baru</v>
          </cell>
          <cell r="H4756" t="str">
            <v>consulta_externa</v>
          </cell>
          <cell r="J4756" t="str">
            <v>muybueno</v>
          </cell>
          <cell r="K4756" t="str">
            <v>defsi</v>
          </cell>
        </row>
        <row r="4757">
          <cell r="B4757" t="b">
            <v>1</v>
          </cell>
          <cell r="E4757" t="str">
            <v>Baru</v>
          </cell>
          <cell r="H4757" t="str">
            <v>laboratorio</v>
          </cell>
          <cell r="J4757" t="str">
            <v>muybueno</v>
          </cell>
          <cell r="K4757" t="str">
            <v>defsi</v>
          </cell>
        </row>
        <row r="4758">
          <cell r="B4758" t="b">
            <v>1</v>
          </cell>
          <cell r="E4758" t="str">
            <v>Baru</v>
          </cell>
          <cell r="H4758" t="str">
            <v>salud_oral</v>
          </cell>
          <cell r="J4758" t="str">
            <v>muybueno</v>
          </cell>
          <cell r="K4758" t="str">
            <v>defsi</v>
          </cell>
        </row>
        <row r="4759">
          <cell r="B4759" t="b">
            <v>1</v>
          </cell>
          <cell r="E4759" t="str">
            <v>Baru</v>
          </cell>
          <cell r="H4759" t="str">
            <v>consulta_externa</v>
          </cell>
          <cell r="J4759" t="str">
            <v>muybueno</v>
          </cell>
          <cell r="K4759" t="str">
            <v>defsi</v>
          </cell>
        </row>
        <row r="4760">
          <cell r="B4760" t="b">
            <v>1</v>
          </cell>
          <cell r="E4760" t="str">
            <v>Baru</v>
          </cell>
          <cell r="H4760" t="str">
            <v>laboratorio</v>
          </cell>
          <cell r="J4760" t="str">
            <v>muybueno</v>
          </cell>
          <cell r="K4760" t="str">
            <v>defsi</v>
          </cell>
        </row>
        <row r="4761">
          <cell r="B4761" t="b">
            <v>1</v>
          </cell>
          <cell r="E4761" t="str">
            <v>Santa Ana</v>
          </cell>
          <cell r="H4761" t="str">
            <v>consulta_externa</v>
          </cell>
          <cell r="J4761" t="str">
            <v>muybueno</v>
          </cell>
          <cell r="K4761" t="str">
            <v>defsi</v>
          </cell>
        </row>
        <row r="4762">
          <cell r="B4762" t="b">
            <v>1</v>
          </cell>
          <cell r="E4762" t="str">
            <v>Santa Ana</v>
          </cell>
          <cell r="H4762" t="str">
            <v>laboratorio</v>
          </cell>
          <cell r="J4762" t="str">
            <v>muybueno</v>
          </cell>
          <cell r="K4762" t="str">
            <v>defsi</v>
          </cell>
        </row>
        <row r="4763">
          <cell r="B4763" t="b">
            <v>1</v>
          </cell>
          <cell r="E4763" t="str">
            <v>Santa Ana</v>
          </cell>
          <cell r="H4763" t="str">
            <v>salud_oral</v>
          </cell>
          <cell r="J4763" t="str">
            <v>muybueno</v>
          </cell>
          <cell r="K4763" t="str">
            <v>defsi</v>
          </cell>
        </row>
        <row r="4764">
          <cell r="B4764" t="b">
            <v>1</v>
          </cell>
          <cell r="E4764" t="str">
            <v>Santa Ana</v>
          </cell>
          <cell r="H4764" t="str">
            <v>consulta_externa</v>
          </cell>
          <cell r="J4764" t="str">
            <v>muybueno</v>
          </cell>
          <cell r="K4764" t="str">
            <v>defsi</v>
          </cell>
        </row>
        <row r="4765">
          <cell r="B4765" t="b">
            <v>1</v>
          </cell>
          <cell r="E4765" t="str">
            <v>Santa Ana</v>
          </cell>
          <cell r="H4765" t="str">
            <v>laboratorio</v>
          </cell>
          <cell r="J4765" t="str">
            <v>muybueno</v>
          </cell>
          <cell r="K4765" t="str">
            <v>defsi</v>
          </cell>
        </row>
        <row r="4766">
          <cell r="B4766" t="b">
            <v>1</v>
          </cell>
          <cell r="E4766" t="str">
            <v>Santa Ana</v>
          </cell>
          <cell r="H4766" t="str">
            <v>salud_oral</v>
          </cell>
          <cell r="J4766" t="str">
            <v>muybueno</v>
          </cell>
          <cell r="K4766" t="str">
            <v>defsi</v>
          </cell>
        </row>
        <row r="4767">
          <cell r="B4767" t="b">
            <v>1</v>
          </cell>
          <cell r="E4767" t="str">
            <v>Santa Ana</v>
          </cell>
          <cell r="H4767" t="str">
            <v>consulta_externa</v>
          </cell>
          <cell r="J4767" t="str">
            <v>muybueno</v>
          </cell>
          <cell r="K4767" t="str">
            <v>defsi</v>
          </cell>
        </row>
        <row r="4768">
          <cell r="B4768" t="b">
            <v>1</v>
          </cell>
          <cell r="E4768" t="str">
            <v>Santa Ana</v>
          </cell>
          <cell r="H4768" t="str">
            <v>laboratorio</v>
          </cell>
          <cell r="J4768" t="str">
            <v>muybueno</v>
          </cell>
          <cell r="K4768" t="str">
            <v>defsi</v>
          </cell>
        </row>
        <row r="4769">
          <cell r="B4769" t="b">
            <v>1</v>
          </cell>
          <cell r="E4769" t="str">
            <v>Santa Ana</v>
          </cell>
          <cell r="H4769" t="str">
            <v>consulta_externa</v>
          </cell>
          <cell r="J4769" t="str">
            <v>muybueno</v>
          </cell>
          <cell r="K4769" t="str">
            <v>defsi</v>
          </cell>
        </row>
        <row r="4770">
          <cell r="B4770" t="b">
            <v>1</v>
          </cell>
          <cell r="E4770" t="str">
            <v>Santa Ana</v>
          </cell>
          <cell r="H4770" t="str">
            <v>laboratorio</v>
          </cell>
          <cell r="J4770" t="str">
            <v>muybueno</v>
          </cell>
          <cell r="K4770" t="str">
            <v>defsi</v>
          </cell>
        </row>
        <row r="4771">
          <cell r="B4771" t="b">
            <v>1</v>
          </cell>
          <cell r="E4771" t="str">
            <v>Santa Ana</v>
          </cell>
          <cell r="H4771" t="str">
            <v>consulta_externa</v>
          </cell>
          <cell r="J4771" t="str">
            <v>muybueno</v>
          </cell>
          <cell r="K4771" t="str">
            <v>defsi</v>
          </cell>
        </row>
        <row r="4772">
          <cell r="B4772" t="b">
            <v>1</v>
          </cell>
          <cell r="E4772" t="str">
            <v>Santa Ana</v>
          </cell>
          <cell r="H4772" t="str">
            <v>laboratorio</v>
          </cell>
          <cell r="J4772" t="str">
            <v>muybueno</v>
          </cell>
          <cell r="K4772" t="str">
            <v>defsi</v>
          </cell>
        </row>
        <row r="4773">
          <cell r="B4773" t="b">
            <v>1</v>
          </cell>
          <cell r="E4773" t="str">
            <v>Santa Ana</v>
          </cell>
          <cell r="H4773" t="str">
            <v>consulta_externa</v>
          </cell>
          <cell r="J4773" t="str">
            <v>muybueno</v>
          </cell>
          <cell r="K4773" t="str">
            <v>defsi</v>
          </cell>
        </row>
        <row r="4774">
          <cell r="B4774" t="b">
            <v>1</v>
          </cell>
          <cell r="E4774" t="str">
            <v>Santa Ana</v>
          </cell>
          <cell r="H4774" t="str">
            <v>salud_oral</v>
          </cell>
          <cell r="J4774" t="str">
            <v>muybueno</v>
          </cell>
          <cell r="K4774" t="str">
            <v>defsi</v>
          </cell>
        </row>
        <row r="4775">
          <cell r="B4775" t="b">
            <v>1</v>
          </cell>
          <cell r="E4775" t="str">
            <v>Santa Ana</v>
          </cell>
          <cell r="H4775" t="str">
            <v>consulta_externa</v>
          </cell>
          <cell r="J4775" t="str">
            <v>muybueno</v>
          </cell>
          <cell r="K4775" t="str">
            <v>defsi</v>
          </cell>
        </row>
        <row r="4776">
          <cell r="B4776" t="b">
            <v>1</v>
          </cell>
          <cell r="E4776" t="str">
            <v>Santa Ana</v>
          </cell>
          <cell r="H4776" t="str">
            <v>consulta_externa</v>
          </cell>
          <cell r="J4776" t="str">
            <v>muybueno</v>
          </cell>
          <cell r="K4776" t="str">
            <v>defsi</v>
          </cell>
        </row>
        <row r="4777">
          <cell r="B4777" t="b">
            <v>1</v>
          </cell>
          <cell r="E4777" t="str">
            <v>Santa Ana</v>
          </cell>
          <cell r="H4777" t="str">
            <v>laboratorio</v>
          </cell>
          <cell r="J4777" t="str">
            <v>muybueno</v>
          </cell>
          <cell r="K4777" t="str">
            <v>defsi</v>
          </cell>
        </row>
        <row r="4778">
          <cell r="B4778" t="b">
            <v>1</v>
          </cell>
          <cell r="E4778" t="str">
            <v>Santa Ana</v>
          </cell>
          <cell r="H4778" t="str">
            <v>consulta_externa</v>
          </cell>
          <cell r="J4778" t="str">
            <v>muybueno</v>
          </cell>
          <cell r="K4778" t="str">
            <v>defsi</v>
          </cell>
        </row>
        <row r="4779">
          <cell r="B4779" t="b">
            <v>1</v>
          </cell>
          <cell r="E4779" t="str">
            <v>Santa Ana</v>
          </cell>
          <cell r="H4779" t="str">
            <v>laboratorio</v>
          </cell>
          <cell r="J4779" t="str">
            <v>muybueno</v>
          </cell>
          <cell r="K4779" t="str">
            <v>defsi</v>
          </cell>
        </row>
        <row r="4780">
          <cell r="B4780" t="b">
            <v>1</v>
          </cell>
          <cell r="E4780" t="str">
            <v>Santa Ana</v>
          </cell>
          <cell r="H4780" t="str">
            <v>salud_oral</v>
          </cell>
          <cell r="J4780" t="str">
            <v>muybueno</v>
          </cell>
          <cell r="K4780" t="str">
            <v>defsi</v>
          </cell>
        </row>
        <row r="4781">
          <cell r="B4781" t="b">
            <v>1</v>
          </cell>
          <cell r="E4781" t="str">
            <v>Santa Ana</v>
          </cell>
          <cell r="H4781" t="str">
            <v>consulta_externa</v>
          </cell>
          <cell r="J4781" t="str">
            <v>muybueno</v>
          </cell>
          <cell r="K4781" t="str">
            <v>defsi</v>
          </cell>
        </row>
        <row r="4782">
          <cell r="B4782" t="b">
            <v>1</v>
          </cell>
          <cell r="E4782" t="str">
            <v>Santa Ana</v>
          </cell>
          <cell r="H4782" t="str">
            <v>laboratorio</v>
          </cell>
          <cell r="J4782" t="str">
            <v>muybueno</v>
          </cell>
          <cell r="K4782" t="str">
            <v>defsi</v>
          </cell>
        </row>
        <row r="4783">
          <cell r="B4783" t="b">
            <v>1</v>
          </cell>
          <cell r="E4783" t="str">
            <v>Santa Ana</v>
          </cell>
          <cell r="H4783" t="str">
            <v>salud_oral</v>
          </cell>
          <cell r="J4783" t="str">
            <v>muybueno</v>
          </cell>
          <cell r="K4783" t="str">
            <v>defsi</v>
          </cell>
        </row>
        <row r="4784">
          <cell r="B4784" t="b">
            <v>1</v>
          </cell>
          <cell r="E4784" t="str">
            <v>Santa Ana</v>
          </cell>
          <cell r="H4784" t="str">
            <v>consulta_externa</v>
          </cell>
          <cell r="J4784" t="str">
            <v>muybueno</v>
          </cell>
          <cell r="K4784" t="str">
            <v>defsi</v>
          </cell>
        </row>
        <row r="4785">
          <cell r="B4785" t="b">
            <v>1</v>
          </cell>
          <cell r="E4785" t="str">
            <v>Santa Ana</v>
          </cell>
          <cell r="H4785" t="str">
            <v>laboratorio</v>
          </cell>
          <cell r="J4785" t="str">
            <v>muybueno</v>
          </cell>
          <cell r="K4785" t="str">
            <v>defsi</v>
          </cell>
        </row>
        <row r="4786">
          <cell r="B4786" t="b">
            <v>1</v>
          </cell>
          <cell r="E4786" t="str">
            <v>Santa Ana</v>
          </cell>
          <cell r="H4786" t="str">
            <v>laboratorio</v>
          </cell>
          <cell r="J4786" t="str">
            <v>muybueno</v>
          </cell>
          <cell r="K4786" t="str">
            <v>defsi</v>
          </cell>
        </row>
        <row r="4787">
          <cell r="B4787" t="b">
            <v>1</v>
          </cell>
          <cell r="E4787" t="str">
            <v>Santa Ana</v>
          </cell>
          <cell r="H4787" t="str">
            <v>consulta_externa</v>
          </cell>
          <cell r="J4787" t="str">
            <v>muybueno</v>
          </cell>
          <cell r="K4787" t="str">
            <v>defsi</v>
          </cell>
        </row>
        <row r="4788">
          <cell r="B4788" t="b">
            <v>1</v>
          </cell>
          <cell r="E4788" t="str">
            <v>Santa Ana</v>
          </cell>
          <cell r="H4788" t="str">
            <v>consulta_externa</v>
          </cell>
          <cell r="J4788" t="str">
            <v>muybueno</v>
          </cell>
          <cell r="K4788" t="str">
            <v>defsi</v>
          </cell>
        </row>
        <row r="4789">
          <cell r="B4789" t="b">
            <v>1</v>
          </cell>
          <cell r="E4789" t="str">
            <v>Santa Ana</v>
          </cell>
          <cell r="H4789" t="str">
            <v>laboratorio</v>
          </cell>
          <cell r="J4789" t="str">
            <v>muybueno</v>
          </cell>
          <cell r="K4789" t="str">
            <v>defsi</v>
          </cell>
        </row>
        <row r="4790">
          <cell r="B4790" t="b">
            <v>1</v>
          </cell>
          <cell r="E4790" t="str">
            <v>Boquilla</v>
          </cell>
          <cell r="H4790" t="str">
            <v>consulta_externa</v>
          </cell>
          <cell r="J4790" t="str">
            <v>bueno</v>
          </cell>
          <cell r="K4790" t="str">
            <v>defsi</v>
          </cell>
        </row>
        <row r="4791">
          <cell r="B4791" t="b">
            <v>1</v>
          </cell>
          <cell r="E4791" t="str">
            <v>Boquilla</v>
          </cell>
          <cell r="H4791" t="str">
            <v>consulta_externa</v>
          </cell>
          <cell r="J4791" t="str">
            <v>bueno</v>
          </cell>
          <cell r="K4791" t="str">
            <v>defsi</v>
          </cell>
        </row>
        <row r="4792">
          <cell r="B4792" t="b">
            <v>1</v>
          </cell>
          <cell r="E4792" t="str">
            <v>Boquilla</v>
          </cell>
          <cell r="H4792" t="str">
            <v>laboratorio</v>
          </cell>
          <cell r="J4792" t="str">
            <v>bueno</v>
          </cell>
          <cell r="K4792" t="str">
            <v>defsi</v>
          </cell>
        </row>
        <row r="4793">
          <cell r="B4793" t="b">
            <v>1</v>
          </cell>
          <cell r="E4793" t="str">
            <v>Boquilla</v>
          </cell>
          <cell r="H4793" t="str">
            <v>salud_oral</v>
          </cell>
          <cell r="J4793" t="str">
            <v>bueno</v>
          </cell>
          <cell r="K4793" t="str">
            <v>defsi</v>
          </cell>
        </row>
        <row r="4794">
          <cell r="B4794" t="b">
            <v>1</v>
          </cell>
          <cell r="E4794" t="str">
            <v>Boquilla</v>
          </cell>
          <cell r="H4794" t="str">
            <v>consulta_externa</v>
          </cell>
          <cell r="J4794" t="str">
            <v>bueno</v>
          </cell>
          <cell r="K4794" t="str">
            <v>defsi</v>
          </cell>
        </row>
        <row r="4795">
          <cell r="B4795" t="b">
            <v>1</v>
          </cell>
          <cell r="E4795" t="str">
            <v>Boquilla</v>
          </cell>
          <cell r="H4795" t="str">
            <v>consulta_externa</v>
          </cell>
          <cell r="J4795" t="str">
            <v>bueno</v>
          </cell>
          <cell r="K4795" t="str">
            <v>defsi</v>
          </cell>
        </row>
        <row r="4796">
          <cell r="B4796" t="b">
            <v>1</v>
          </cell>
          <cell r="E4796" t="str">
            <v>Boquilla</v>
          </cell>
          <cell r="H4796" t="str">
            <v>salud_oral</v>
          </cell>
          <cell r="J4796" t="str">
            <v>bueno</v>
          </cell>
          <cell r="K4796" t="str">
            <v>defsi</v>
          </cell>
        </row>
        <row r="4797">
          <cell r="B4797" t="b">
            <v>1</v>
          </cell>
          <cell r="E4797" t="str">
            <v>Boquilla</v>
          </cell>
          <cell r="H4797" t="str">
            <v>laboratorio</v>
          </cell>
          <cell r="J4797" t="str">
            <v>bueno</v>
          </cell>
          <cell r="K4797" t="str">
            <v>defsi</v>
          </cell>
        </row>
        <row r="4798">
          <cell r="B4798" t="b">
            <v>0</v>
          </cell>
          <cell r="E4798" t="str">
            <v>Boquilla</v>
          </cell>
          <cell r="H4798" t="str">
            <v>urgencia</v>
          </cell>
          <cell r="J4798" t="str">
            <v>regular</v>
          </cell>
          <cell r="K4798" t="str">
            <v>probsi</v>
          </cell>
        </row>
        <row r="4799">
          <cell r="B4799" t="b">
            <v>1</v>
          </cell>
          <cell r="E4799" t="str">
            <v>Libano</v>
          </cell>
          <cell r="H4799" t="str">
            <v>pediatria</v>
          </cell>
          <cell r="J4799" t="str">
            <v>bueno</v>
          </cell>
          <cell r="K4799" t="str">
            <v>defsi</v>
          </cell>
        </row>
        <row r="4800">
          <cell r="B4800" t="b">
            <v>1</v>
          </cell>
          <cell r="E4800" t="str">
            <v>Boquilla</v>
          </cell>
          <cell r="H4800" t="str">
            <v>urgencia</v>
          </cell>
          <cell r="J4800" t="str">
            <v>bueno</v>
          </cell>
          <cell r="K4800" t="str">
            <v>defsi</v>
          </cell>
        </row>
        <row r="4801">
          <cell r="B4801" t="b">
            <v>1</v>
          </cell>
          <cell r="E4801" t="str">
            <v>Libano</v>
          </cell>
          <cell r="H4801" t="str">
            <v>pediatria</v>
          </cell>
          <cell r="J4801" t="str">
            <v>muybueno</v>
          </cell>
          <cell r="K4801" t="str">
            <v>defsi</v>
          </cell>
        </row>
        <row r="4802">
          <cell r="B4802" t="b">
            <v>1</v>
          </cell>
          <cell r="E4802" t="str">
            <v>Libano</v>
          </cell>
          <cell r="H4802" t="str">
            <v>pediatria</v>
          </cell>
          <cell r="J4802" t="str">
            <v>bueno</v>
          </cell>
          <cell r="K4802" t="str">
            <v>defsi</v>
          </cell>
        </row>
        <row r="4803">
          <cell r="B4803" t="b">
            <v>1</v>
          </cell>
          <cell r="E4803" t="str">
            <v>Libano</v>
          </cell>
          <cell r="H4803" t="str">
            <v>pediatria</v>
          </cell>
          <cell r="J4803" t="str">
            <v>bueno</v>
          </cell>
          <cell r="K4803" t="str">
            <v>defsi</v>
          </cell>
        </row>
        <row r="4804">
          <cell r="B4804" t="b">
            <v>1</v>
          </cell>
          <cell r="E4804" t="str">
            <v>Libano</v>
          </cell>
          <cell r="H4804" t="str">
            <v>pediatria</v>
          </cell>
          <cell r="J4804" t="str">
            <v>bueno</v>
          </cell>
          <cell r="K4804" t="str">
            <v>defsi</v>
          </cell>
        </row>
        <row r="4805">
          <cell r="B4805" t="b">
            <v>1</v>
          </cell>
          <cell r="E4805" t="str">
            <v>Libano</v>
          </cell>
          <cell r="H4805" t="str">
            <v>pediatria</v>
          </cell>
          <cell r="J4805" t="str">
            <v>bueno</v>
          </cell>
          <cell r="K4805" t="str">
            <v>defsi</v>
          </cell>
        </row>
        <row r="4806">
          <cell r="B4806" t="b">
            <v>1</v>
          </cell>
          <cell r="E4806" t="str">
            <v>Libano</v>
          </cell>
          <cell r="H4806" t="str">
            <v>pediatria</v>
          </cell>
          <cell r="J4806" t="str">
            <v>bueno</v>
          </cell>
          <cell r="K4806" t="str">
            <v>defsi</v>
          </cell>
        </row>
        <row r="4807">
          <cell r="B4807" t="b">
            <v>1</v>
          </cell>
          <cell r="E4807" t="str">
            <v>Libano</v>
          </cell>
          <cell r="H4807" t="str">
            <v>ginecologia</v>
          </cell>
          <cell r="J4807" t="str">
            <v>bueno</v>
          </cell>
          <cell r="K4807" t="str">
            <v>defsi</v>
          </cell>
        </row>
        <row r="4808">
          <cell r="B4808" t="b">
            <v>1</v>
          </cell>
          <cell r="E4808" t="str">
            <v>Libano</v>
          </cell>
          <cell r="H4808" t="str">
            <v>ginecologia</v>
          </cell>
          <cell r="J4808" t="str">
            <v>bueno</v>
          </cell>
          <cell r="K4808" t="str">
            <v>defsi</v>
          </cell>
        </row>
        <row r="4809">
          <cell r="B4809" t="b">
            <v>1</v>
          </cell>
          <cell r="E4809" t="str">
            <v>Libano</v>
          </cell>
          <cell r="H4809" t="str">
            <v>laboratorio</v>
          </cell>
          <cell r="J4809" t="str">
            <v>bueno</v>
          </cell>
          <cell r="K4809" t="str">
            <v>defsi</v>
          </cell>
        </row>
        <row r="4810">
          <cell r="B4810" t="b">
            <v>1</v>
          </cell>
          <cell r="E4810" t="str">
            <v>Libano</v>
          </cell>
          <cell r="H4810" t="str">
            <v>ecografias</v>
          </cell>
          <cell r="J4810" t="str">
            <v>bueno</v>
          </cell>
          <cell r="K4810" t="str">
            <v>defsi</v>
          </cell>
        </row>
        <row r="4811">
          <cell r="B4811" t="b">
            <v>1</v>
          </cell>
          <cell r="E4811" t="str">
            <v>Libano</v>
          </cell>
          <cell r="H4811" t="str">
            <v>ecografias</v>
          </cell>
          <cell r="J4811" t="str">
            <v>bueno</v>
          </cell>
          <cell r="K4811" t="str">
            <v>defsi</v>
          </cell>
        </row>
        <row r="4812">
          <cell r="B4812" t="b">
            <v>1</v>
          </cell>
          <cell r="E4812" t="str">
            <v>Libano</v>
          </cell>
          <cell r="H4812" t="str">
            <v>ginecologia</v>
          </cell>
          <cell r="J4812" t="str">
            <v>bueno</v>
          </cell>
          <cell r="K4812" t="str">
            <v>defsi</v>
          </cell>
        </row>
        <row r="4813">
          <cell r="B4813" t="b">
            <v>1</v>
          </cell>
          <cell r="E4813" t="str">
            <v>Libano</v>
          </cell>
          <cell r="H4813" t="str">
            <v>ginecologia</v>
          </cell>
          <cell r="J4813" t="str">
            <v>bueno</v>
          </cell>
          <cell r="K4813" t="str">
            <v>defsi</v>
          </cell>
        </row>
        <row r="4814">
          <cell r="B4814" t="b">
            <v>1</v>
          </cell>
          <cell r="E4814" t="str">
            <v>Libano</v>
          </cell>
          <cell r="H4814" t="str">
            <v>ginecologia</v>
          </cell>
          <cell r="J4814" t="str">
            <v>bueno</v>
          </cell>
          <cell r="K4814" t="str">
            <v>defsi</v>
          </cell>
        </row>
        <row r="4815">
          <cell r="B4815" t="b">
            <v>1</v>
          </cell>
          <cell r="E4815" t="str">
            <v>Libano</v>
          </cell>
          <cell r="H4815" t="str">
            <v>ginecologia</v>
          </cell>
          <cell r="J4815" t="str">
            <v>bueno</v>
          </cell>
          <cell r="K4815" t="str">
            <v>defsi</v>
          </cell>
        </row>
        <row r="4816">
          <cell r="B4816" t="b">
            <v>1</v>
          </cell>
          <cell r="E4816" t="str">
            <v>Libano</v>
          </cell>
          <cell r="H4816" t="str">
            <v>ginecologia</v>
          </cell>
          <cell r="J4816" t="str">
            <v>bueno</v>
          </cell>
          <cell r="K4816" t="str">
            <v>defsi</v>
          </cell>
        </row>
        <row r="4817">
          <cell r="B4817" t="b">
            <v>1</v>
          </cell>
          <cell r="E4817" t="str">
            <v>Libano</v>
          </cell>
          <cell r="H4817" t="str">
            <v>ginecologia</v>
          </cell>
          <cell r="J4817" t="str">
            <v>muybueno</v>
          </cell>
          <cell r="K4817" t="str">
            <v>defsi</v>
          </cell>
        </row>
        <row r="4818">
          <cell r="B4818" t="b">
            <v>1</v>
          </cell>
          <cell r="E4818" t="str">
            <v>Libano</v>
          </cell>
          <cell r="H4818" t="str">
            <v>ginecologia</v>
          </cell>
          <cell r="J4818" t="str">
            <v>bueno</v>
          </cell>
          <cell r="K4818" t="str">
            <v>defsi</v>
          </cell>
        </row>
        <row r="4819">
          <cell r="B4819" t="b">
            <v>1</v>
          </cell>
          <cell r="E4819" t="str">
            <v>Libano</v>
          </cell>
          <cell r="H4819" t="str">
            <v>ginecologia</v>
          </cell>
          <cell r="J4819" t="str">
            <v>bueno</v>
          </cell>
          <cell r="K4819" t="str">
            <v>defsi</v>
          </cell>
        </row>
        <row r="4820">
          <cell r="B4820" t="b">
            <v>1</v>
          </cell>
          <cell r="E4820" t="str">
            <v>Libano</v>
          </cell>
          <cell r="H4820" t="str">
            <v>ginecologia</v>
          </cell>
          <cell r="J4820" t="str">
            <v>bueno</v>
          </cell>
          <cell r="K4820" t="str">
            <v>defsi</v>
          </cell>
        </row>
        <row r="4821">
          <cell r="B4821" t="b">
            <v>1</v>
          </cell>
          <cell r="E4821" t="str">
            <v>Libano</v>
          </cell>
          <cell r="H4821" t="str">
            <v>ecografias</v>
          </cell>
          <cell r="J4821" t="str">
            <v>bueno</v>
          </cell>
          <cell r="K4821" t="str">
            <v>defsi</v>
          </cell>
        </row>
        <row r="4822">
          <cell r="B4822" t="b">
            <v>1</v>
          </cell>
          <cell r="E4822" t="str">
            <v>Libano</v>
          </cell>
          <cell r="H4822" t="str">
            <v>ecografias</v>
          </cell>
          <cell r="J4822" t="str">
            <v>bueno</v>
          </cell>
          <cell r="K4822" t="str">
            <v>defsi</v>
          </cell>
        </row>
        <row r="4823">
          <cell r="B4823" t="b">
            <v>0</v>
          </cell>
          <cell r="E4823" t="str">
            <v>Libano</v>
          </cell>
          <cell r="H4823" t="str">
            <v>ecografias</v>
          </cell>
          <cell r="J4823" t="str">
            <v>regular</v>
          </cell>
          <cell r="K4823" t="str">
            <v>defsi</v>
          </cell>
        </row>
        <row r="4824">
          <cell r="B4824" t="b">
            <v>1</v>
          </cell>
          <cell r="E4824" t="str">
            <v>Boquilla</v>
          </cell>
          <cell r="H4824" t="str">
            <v>consulta_externa</v>
          </cell>
          <cell r="J4824" t="str">
            <v>bueno</v>
          </cell>
          <cell r="K4824" t="str">
            <v>defsi</v>
          </cell>
        </row>
        <row r="4825">
          <cell r="B4825" t="b">
            <v>1</v>
          </cell>
          <cell r="E4825" t="str">
            <v>Boquilla</v>
          </cell>
          <cell r="H4825" t="str">
            <v>laboratorio</v>
          </cell>
          <cell r="J4825" t="str">
            <v>bueno</v>
          </cell>
          <cell r="K4825" t="str">
            <v>defsi</v>
          </cell>
        </row>
        <row r="4826">
          <cell r="B4826" t="b">
            <v>1</v>
          </cell>
          <cell r="E4826" t="str">
            <v>Libano</v>
          </cell>
          <cell r="H4826" t="str">
            <v>ecografias</v>
          </cell>
          <cell r="J4826" t="str">
            <v>bueno</v>
          </cell>
          <cell r="K4826" t="str">
            <v>defsi</v>
          </cell>
        </row>
        <row r="4827">
          <cell r="B4827" t="b">
            <v>1</v>
          </cell>
          <cell r="E4827" t="str">
            <v>Libano</v>
          </cell>
          <cell r="H4827" t="str">
            <v>ginecologia</v>
          </cell>
          <cell r="J4827" t="str">
            <v>bueno</v>
          </cell>
          <cell r="K4827" t="str">
            <v>defsi</v>
          </cell>
        </row>
        <row r="4828">
          <cell r="B4828" t="b">
            <v>1</v>
          </cell>
          <cell r="E4828" t="str">
            <v>Libano</v>
          </cell>
          <cell r="H4828" t="str">
            <v>ginecologia</v>
          </cell>
          <cell r="J4828" t="str">
            <v>bueno</v>
          </cell>
          <cell r="K4828" t="str">
            <v>defsi</v>
          </cell>
        </row>
        <row r="4829">
          <cell r="B4829" t="b">
            <v>1</v>
          </cell>
          <cell r="E4829" t="str">
            <v>Nuevo Bosque</v>
          </cell>
          <cell r="H4829" t="str">
            <v>consulta_externa</v>
          </cell>
          <cell r="J4829" t="str">
            <v>bueno</v>
          </cell>
          <cell r="K4829" t="str">
            <v>defsi</v>
          </cell>
        </row>
        <row r="4830">
          <cell r="B4830" t="b">
            <v>1</v>
          </cell>
          <cell r="E4830" t="str">
            <v>Nuevo Bosque</v>
          </cell>
          <cell r="H4830" t="str">
            <v>laboratorio</v>
          </cell>
          <cell r="J4830" t="str">
            <v>bueno</v>
          </cell>
          <cell r="K4830" t="str">
            <v>defsi</v>
          </cell>
        </row>
        <row r="4831">
          <cell r="B4831" t="b">
            <v>1</v>
          </cell>
          <cell r="E4831" t="str">
            <v>Nuevo Bosque</v>
          </cell>
          <cell r="H4831" t="str">
            <v>laboratorio</v>
          </cell>
          <cell r="J4831" t="str">
            <v>bueno</v>
          </cell>
          <cell r="K4831" t="str">
            <v>defsi</v>
          </cell>
        </row>
        <row r="4832">
          <cell r="B4832" t="b">
            <v>1</v>
          </cell>
          <cell r="E4832" t="str">
            <v>Nuevo Bosque</v>
          </cell>
          <cell r="H4832" t="str">
            <v>consulta_externa</v>
          </cell>
          <cell r="J4832" t="str">
            <v>bueno</v>
          </cell>
          <cell r="K4832" t="str">
            <v>defsi</v>
          </cell>
        </row>
        <row r="4833">
          <cell r="B4833" t="b">
            <v>1</v>
          </cell>
          <cell r="E4833" t="str">
            <v>Nuevo Bosque</v>
          </cell>
          <cell r="H4833" t="str">
            <v>urgencia</v>
          </cell>
          <cell r="J4833" t="str">
            <v>bueno</v>
          </cell>
          <cell r="K4833" t="str">
            <v>defsi</v>
          </cell>
        </row>
        <row r="4834">
          <cell r="B4834" t="b">
            <v>0</v>
          </cell>
          <cell r="E4834" t="str">
            <v>Nuevo Bosque</v>
          </cell>
          <cell r="H4834" t="str">
            <v>urgencia</v>
          </cell>
          <cell r="J4834" t="str">
            <v>regular</v>
          </cell>
          <cell r="K4834" t="str">
            <v>defsi</v>
          </cell>
        </row>
        <row r="4835">
          <cell r="B4835" t="b">
            <v>0</v>
          </cell>
          <cell r="E4835" t="str">
            <v>Nuevo Bosque</v>
          </cell>
          <cell r="H4835" t="str">
            <v>urgencia</v>
          </cell>
          <cell r="J4835" t="str">
            <v>regular</v>
          </cell>
          <cell r="K4835" t="str">
            <v>defsi</v>
          </cell>
        </row>
        <row r="4836">
          <cell r="B4836" t="b">
            <v>1</v>
          </cell>
          <cell r="E4836" t="str">
            <v>Nuevo Bosque</v>
          </cell>
          <cell r="H4836" t="str">
            <v>laboratorio</v>
          </cell>
          <cell r="J4836" t="str">
            <v>bueno</v>
          </cell>
          <cell r="K4836" t="str">
            <v>defsi</v>
          </cell>
        </row>
        <row r="4837">
          <cell r="B4837" t="b">
            <v>0</v>
          </cell>
          <cell r="E4837" t="str">
            <v>Nuevo Bosque</v>
          </cell>
          <cell r="H4837" t="str">
            <v>urgencia</v>
          </cell>
          <cell r="J4837" t="str">
            <v>regular</v>
          </cell>
          <cell r="K4837" t="str">
            <v>defsi</v>
          </cell>
        </row>
        <row r="4838">
          <cell r="B4838" t="b">
            <v>0</v>
          </cell>
          <cell r="E4838" t="str">
            <v>Nuevo Bosque</v>
          </cell>
          <cell r="H4838" t="str">
            <v>urgencia</v>
          </cell>
          <cell r="J4838" t="str">
            <v>regular</v>
          </cell>
          <cell r="K4838" t="str">
            <v>probsi</v>
          </cell>
        </row>
        <row r="4839">
          <cell r="B4839" t="b">
            <v>1</v>
          </cell>
          <cell r="E4839" t="str">
            <v>Nuevo Bosque</v>
          </cell>
          <cell r="H4839" t="str">
            <v>urgencia</v>
          </cell>
          <cell r="J4839" t="str">
            <v>bueno</v>
          </cell>
          <cell r="K4839" t="str">
            <v>defsi</v>
          </cell>
        </row>
        <row r="4840">
          <cell r="B4840" t="b">
            <v>1</v>
          </cell>
          <cell r="E4840" t="str">
            <v>Nuevo Bosque</v>
          </cell>
          <cell r="H4840" t="str">
            <v>laboratorio</v>
          </cell>
          <cell r="J4840" t="str">
            <v>bueno</v>
          </cell>
          <cell r="K4840" t="str">
            <v>defsi</v>
          </cell>
        </row>
        <row r="4841">
          <cell r="B4841" t="b">
            <v>1</v>
          </cell>
          <cell r="E4841" t="str">
            <v>Nuevo Bosque</v>
          </cell>
          <cell r="H4841" t="str">
            <v>urgencia</v>
          </cell>
          <cell r="J4841" t="str">
            <v>bueno</v>
          </cell>
          <cell r="K4841" t="str">
            <v>defsi</v>
          </cell>
        </row>
        <row r="4842">
          <cell r="B4842" t="b">
            <v>1</v>
          </cell>
          <cell r="E4842" t="str">
            <v>Nuevo Bosque</v>
          </cell>
          <cell r="H4842" t="str">
            <v>laboratorio</v>
          </cell>
          <cell r="J4842" t="str">
            <v>bueno</v>
          </cell>
          <cell r="K4842" t="str">
            <v>defsi</v>
          </cell>
        </row>
        <row r="4843">
          <cell r="B4843" t="b">
            <v>1</v>
          </cell>
          <cell r="E4843" t="str">
            <v>Nuevo Bosque</v>
          </cell>
          <cell r="H4843" t="str">
            <v>laboratorio</v>
          </cell>
          <cell r="J4843" t="str">
            <v>bueno</v>
          </cell>
          <cell r="K4843" t="str">
            <v>defsi</v>
          </cell>
        </row>
        <row r="4844">
          <cell r="B4844" t="b">
            <v>0</v>
          </cell>
          <cell r="E4844" t="str">
            <v>Nuevo Bosque</v>
          </cell>
          <cell r="H4844" t="str">
            <v>urgencia</v>
          </cell>
          <cell r="J4844" t="str">
            <v>regular</v>
          </cell>
          <cell r="K4844" t="str">
            <v>defsi</v>
          </cell>
        </row>
        <row r="4845">
          <cell r="B4845" t="b">
            <v>1</v>
          </cell>
          <cell r="E4845" t="str">
            <v>Boquilla</v>
          </cell>
          <cell r="H4845" t="str">
            <v>consulta_externa</v>
          </cell>
          <cell r="J4845" t="str">
            <v>bueno</v>
          </cell>
          <cell r="K4845" t="str">
            <v>defsi</v>
          </cell>
        </row>
        <row r="4846">
          <cell r="B4846" t="b">
            <v>1</v>
          </cell>
          <cell r="E4846" t="str">
            <v>Nuevo Bosque</v>
          </cell>
          <cell r="H4846" t="str">
            <v>consulta_externa</v>
          </cell>
          <cell r="J4846" t="str">
            <v>bueno</v>
          </cell>
          <cell r="K4846" t="str">
            <v>defsi</v>
          </cell>
        </row>
        <row r="4847">
          <cell r="B4847" t="b">
            <v>1</v>
          </cell>
          <cell r="E4847" t="str">
            <v>Nuevo Bosque</v>
          </cell>
          <cell r="H4847" t="str">
            <v>salud_oral</v>
          </cell>
          <cell r="J4847" t="str">
            <v>bueno</v>
          </cell>
          <cell r="K4847" t="str">
            <v>defsi</v>
          </cell>
        </row>
        <row r="4848">
          <cell r="B4848" t="b">
            <v>1</v>
          </cell>
          <cell r="E4848" t="str">
            <v>Nuevo Bosque</v>
          </cell>
          <cell r="H4848" t="str">
            <v>salud_oral</v>
          </cell>
          <cell r="J4848" t="str">
            <v>bueno</v>
          </cell>
          <cell r="K4848" t="str">
            <v>defsi</v>
          </cell>
        </row>
        <row r="4849">
          <cell r="B4849" t="b">
            <v>0</v>
          </cell>
          <cell r="E4849" t="str">
            <v>Nuevo Bosque</v>
          </cell>
          <cell r="H4849" t="str">
            <v>salud_oral</v>
          </cell>
          <cell r="J4849" t="str">
            <v>regular</v>
          </cell>
          <cell r="K4849" t="str">
            <v>defsi</v>
          </cell>
        </row>
        <row r="4850">
          <cell r="B4850" t="b">
            <v>1</v>
          </cell>
          <cell r="E4850" t="str">
            <v>Boquilla</v>
          </cell>
          <cell r="H4850" t="str">
            <v>laboratorio</v>
          </cell>
          <cell r="J4850" t="str">
            <v>bueno</v>
          </cell>
          <cell r="K4850" t="str">
            <v>defsi</v>
          </cell>
        </row>
        <row r="4851">
          <cell r="B4851" t="b">
            <v>1</v>
          </cell>
          <cell r="E4851" t="str">
            <v>Boquilla</v>
          </cell>
          <cell r="H4851" t="str">
            <v>consulta_externa</v>
          </cell>
          <cell r="J4851" t="str">
            <v>bueno</v>
          </cell>
          <cell r="K4851" t="str">
            <v>defsi</v>
          </cell>
        </row>
        <row r="4852">
          <cell r="B4852" t="b">
            <v>1</v>
          </cell>
          <cell r="E4852" t="str">
            <v>Boquilla</v>
          </cell>
          <cell r="H4852" t="str">
            <v>consulta_externa</v>
          </cell>
          <cell r="J4852" t="str">
            <v>bueno</v>
          </cell>
          <cell r="K4852" t="str">
            <v>defsi</v>
          </cell>
        </row>
        <row r="4853">
          <cell r="B4853" t="b">
            <v>1</v>
          </cell>
          <cell r="E4853" t="str">
            <v>Boquilla</v>
          </cell>
          <cell r="H4853" t="str">
            <v>salud_oral</v>
          </cell>
          <cell r="J4853" t="str">
            <v>bueno</v>
          </cell>
          <cell r="K4853" t="str">
            <v>defsi</v>
          </cell>
        </row>
        <row r="4854">
          <cell r="B4854" t="b">
            <v>1</v>
          </cell>
          <cell r="E4854" t="str">
            <v>Boquilla</v>
          </cell>
          <cell r="H4854" t="str">
            <v>laboratorio</v>
          </cell>
          <cell r="J4854" t="str">
            <v>bueno</v>
          </cell>
          <cell r="K4854" t="str">
            <v>defsi</v>
          </cell>
        </row>
        <row r="4855">
          <cell r="B4855" t="b">
            <v>1</v>
          </cell>
          <cell r="E4855" t="str">
            <v>Boquilla</v>
          </cell>
          <cell r="H4855" t="str">
            <v>consulta_externa</v>
          </cell>
          <cell r="J4855" t="str">
            <v>bueno</v>
          </cell>
          <cell r="K4855" t="str">
            <v>defsi</v>
          </cell>
        </row>
        <row r="4856">
          <cell r="B4856" t="b">
            <v>1</v>
          </cell>
          <cell r="E4856" t="str">
            <v>Boquilla</v>
          </cell>
          <cell r="H4856" t="str">
            <v>consulta_externa</v>
          </cell>
          <cell r="J4856" t="str">
            <v>bueno</v>
          </cell>
          <cell r="K4856" t="str">
            <v>defsi</v>
          </cell>
        </row>
        <row r="4857">
          <cell r="B4857" t="b">
            <v>1</v>
          </cell>
          <cell r="E4857" t="str">
            <v>Boquilla</v>
          </cell>
          <cell r="H4857" t="str">
            <v>laboratorio</v>
          </cell>
          <cell r="J4857" t="str">
            <v>bueno</v>
          </cell>
          <cell r="K4857" t="str">
            <v>defsi</v>
          </cell>
        </row>
        <row r="4858">
          <cell r="B4858" t="b">
            <v>1</v>
          </cell>
          <cell r="E4858" t="str">
            <v>Boquilla</v>
          </cell>
          <cell r="H4858" t="str">
            <v>salud_oral</v>
          </cell>
          <cell r="J4858" t="str">
            <v>bueno</v>
          </cell>
          <cell r="K4858" t="str">
            <v>defsi</v>
          </cell>
        </row>
        <row r="4859">
          <cell r="B4859" t="b">
            <v>1</v>
          </cell>
          <cell r="E4859" t="str">
            <v>Boquilla</v>
          </cell>
          <cell r="H4859" t="str">
            <v>consulta_externa</v>
          </cell>
          <cell r="J4859" t="str">
            <v>bueno</v>
          </cell>
          <cell r="K4859" t="str">
            <v>defsi</v>
          </cell>
        </row>
        <row r="4860">
          <cell r="B4860" t="b">
            <v>0</v>
          </cell>
          <cell r="E4860" t="str">
            <v>Boquilla</v>
          </cell>
          <cell r="H4860" t="str">
            <v>urgencia</v>
          </cell>
          <cell r="J4860" t="str">
            <v>regular</v>
          </cell>
          <cell r="K4860" t="str">
            <v>probsi</v>
          </cell>
        </row>
        <row r="4861">
          <cell r="B4861" t="b">
            <v>1</v>
          </cell>
          <cell r="E4861" t="str">
            <v>Boquilla</v>
          </cell>
          <cell r="H4861" t="str">
            <v>urgencia</v>
          </cell>
          <cell r="J4861" t="str">
            <v>bueno</v>
          </cell>
          <cell r="K4861" t="str">
            <v>probsi</v>
          </cell>
        </row>
        <row r="4862">
          <cell r="B4862" t="b">
            <v>1</v>
          </cell>
          <cell r="E4862" t="str">
            <v>Nuevo Bosque</v>
          </cell>
          <cell r="H4862" t="str">
            <v>urgencia</v>
          </cell>
          <cell r="J4862" t="str">
            <v>bueno</v>
          </cell>
          <cell r="K4862" t="str">
            <v>defsi</v>
          </cell>
        </row>
        <row r="4863">
          <cell r="B4863" t="b">
            <v>1</v>
          </cell>
          <cell r="E4863" t="str">
            <v>Nuevo Bosque</v>
          </cell>
          <cell r="H4863" t="str">
            <v>urgencia</v>
          </cell>
          <cell r="J4863" t="str">
            <v>bueno</v>
          </cell>
          <cell r="K4863" t="str">
            <v>defsi</v>
          </cell>
        </row>
        <row r="4864">
          <cell r="B4864" t="b">
            <v>1</v>
          </cell>
          <cell r="E4864" t="str">
            <v>Nuevo Bosque</v>
          </cell>
          <cell r="H4864" t="str">
            <v>consulta_externa</v>
          </cell>
          <cell r="J4864" t="str">
            <v>bueno</v>
          </cell>
          <cell r="K4864" t="str">
            <v>defsi</v>
          </cell>
        </row>
        <row r="4865">
          <cell r="B4865" t="b">
            <v>1</v>
          </cell>
          <cell r="E4865" t="str">
            <v>Nuevo Bosque</v>
          </cell>
          <cell r="H4865" t="str">
            <v>urgencia</v>
          </cell>
          <cell r="J4865" t="str">
            <v>bueno</v>
          </cell>
          <cell r="K4865" t="str">
            <v>defsi</v>
          </cell>
        </row>
        <row r="4866">
          <cell r="B4866" t="b">
            <v>1</v>
          </cell>
          <cell r="E4866" t="str">
            <v>Nuevo Bosque</v>
          </cell>
          <cell r="H4866" t="str">
            <v>urgencia</v>
          </cell>
          <cell r="J4866" t="str">
            <v>bueno</v>
          </cell>
          <cell r="K4866" t="str">
            <v>defsi</v>
          </cell>
        </row>
        <row r="4867">
          <cell r="B4867" t="b">
            <v>1</v>
          </cell>
          <cell r="E4867" t="str">
            <v>Nuevo Bosque</v>
          </cell>
          <cell r="H4867" t="str">
            <v>urgencia</v>
          </cell>
          <cell r="J4867" t="str">
            <v>bueno</v>
          </cell>
          <cell r="K4867" t="str">
            <v>defsi</v>
          </cell>
        </row>
        <row r="4868">
          <cell r="B4868" t="b">
            <v>1</v>
          </cell>
          <cell r="E4868" t="str">
            <v>Nuevo Bosque</v>
          </cell>
          <cell r="H4868" t="str">
            <v>consulta_externa</v>
          </cell>
          <cell r="J4868" t="str">
            <v>bueno</v>
          </cell>
          <cell r="K4868" t="str">
            <v>defsi</v>
          </cell>
        </row>
        <row r="4869">
          <cell r="B4869" t="b">
            <v>0</v>
          </cell>
          <cell r="E4869" t="str">
            <v>Nuevo Bosque</v>
          </cell>
          <cell r="H4869" t="str">
            <v>salud_oral</v>
          </cell>
          <cell r="J4869" t="str">
            <v>regular</v>
          </cell>
          <cell r="K4869" t="str">
            <v>probsi</v>
          </cell>
        </row>
        <row r="4870">
          <cell r="B4870" t="b">
            <v>0</v>
          </cell>
          <cell r="E4870" t="str">
            <v>Nuevo Bosque</v>
          </cell>
          <cell r="H4870" t="str">
            <v>salud_oral</v>
          </cell>
          <cell r="J4870" t="str">
            <v>regular</v>
          </cell>
          <cell r="K4870" t="str">
            <v>defsi</v>
          </cell>
        </row>
        <row r="4871">
          <cell r="B4871" t="b">
            <v>1</v>
          </cell>
          <cell r="E4871" t="str">
            <v>Nuevo Bosque</v>
          </cell>
          <cell r="H4871" t="str">
            <v>consulta_externa</v>
          </cell>
          <cell r="J4871" t="str">
            <v>bueno</v>
          </cell>
          <cell r="K4871" t="str">
            <v>defsi</v>
          </cell>
        </row>
        <row r="4872">
          <cell r="B4872" t="b">
            <v>1</v>
          </cell>
          <cell r="E4872" t="str">
            <v>Nuevo Bosque</v>
          </cell>
          <cell r="H4872" t="str">
            <v>consulta_externa</v>
          </cell>
          <cell r="J4872" t="str">
            <v>bueno</v>
          </cell>
          <cell r="K4872" t="str">
            <v>defsi</v>
          </cell>
        </row>
        <row r="4873">
          <cell r="B4873" t="b">
            <v>1</v>
          </cell>
          <cell r="E4873" t="str">
            <v>Nuevo Bosque</v>
          </cell>
          <cell r="H4873" t="str">
            <v>salud_oral</v>
          </cell>
          <cell r="J4873" t="str">
            <v>bueno</v>
          </cell>
          <cell r="K4873" t="str">
            <v>defsi</v>
          </cell>
        </row>
        <row r="4874">
          <cell r="B4874" t="b">
            <v>1</v>
          </cell>
          <cell r="E4874" t="str">
            <v>Nuevo Bosque</v>
          </cell>
          <cell r="H4874" t="str">
            <v>salud_oral</v>
          </cell>
          <cell r="J4874" t="str">
            <v>bueno</v>
          </cell>
          <cell r="K4874" t="str">
            <v>defsi</v>
          </cell>
        </row>
        <row r="4875">
          <cell r="B4875" t="b">
            <v>1</v>
          </cell>
          <cell r="E4875" t="str">
            <v>Nuevo Bosque</v>
          </cell>
          <cell r="H4875" t="str">
            <v>salud_oral</v>
          </cell>
          <cell r="J4875" t="str">
            <v>bueno</v>
          </cell>
          <cell r="K4875" t="str">
            <v>defsi</v>
          </cell>
        </row>
        <row r="4876">
          <cell r="B4876" t="b">
            <v>0</v>
          </cell>
          <cell r="E4876" t="str">
            <v>Nuevo Bosque</v>
          </cell>
          <cell r="H4876" t="str">
            <v>consulta_externa</v>
          </cell>
          <cell r="J4876" t="str">
            <v>regular</v>
          </cell>
          <cell r="K4876" t="str">
            <v>defsi</v>
          </cell>
        </row>
        <row r="4877">
          <cell r="B4877" t="b">
            <v>1</v>
          </cell>
          <cell r="E4877" t="str">
            <v>Nuevo Bosque</v>
          </cell>
          <cell r="H4877" t="str">
            <v>consulta_externa</v>
          </cell>
          <cell r="J4877" t="str">
            <v>bueno</v>
          </cell>
          <cell r="K4877" t="str">
            <v>defsi</v>
          </cell>
        </row>
        <row r="4878">
          <cell r="B4878" t="b">
            <v>1</v>
          </cell>
          <cell r="E4878" t="str">
            <v>Nuevo Bosque</v>
          </cell>
          <cell r="H4878" t="str">
            <v>laboratorio</v>
          </cell>
          <cell r="J4878" t="str">
            <v>bueno</v>
          </cell>
          <cell r="K4878" t="str">
            <v>defsi</v>
          </cell>
        </row>
        <row r="4879">
          <cell r="B4879" t="b">
            <v>0</v>
          </cell>
          <cell r="E4879" t="str">
            <v>Nuevo Bosque</v>
          </cell>
          <cell r="H4879" t="str">
            <v>urgencia</v>
          </cell>
          <cell r="J4879" t="str">
            <v>regular</v>
          </cell>
          <cell r="K4879" t="str">
            <v>defsi</v>
          </cell>
        </row>
        <row r="4880">
          <cell r="B4880" t="b">
            <v>1</v>
          </cell>
          <cell r="E4880" t="str">
            <v>Nuevo Bosque</v>
          </cell>
          <cell r="H4880" t="str">
            <v>urgencia</v>
          </cell>
          <cell r="J4880" t="str">
            <v>bueno</v>
          </cell>
          <cell r="K4880" t="str">
            <v>defsi</v>
          </cell>
        </row>
        <row r="4881">
          <cell r="B4881" t="b">
            <v>1</v>
          </cell>
          <cell r="E4881" t="str">
            <v>Nuevo Bosque</v>
          </cell>
          <cell r="H4881" t="str">
            <v>urgencia</v>
          </cell>
          <cell r="J4881" t="str">
            <v>bueno</v>
          </cell>
          <cell r="K4881" t="str">
            <v>defsi</v>
          </cell>
        </row>
        <row r="4882">
          <cell r="B4882" t="b">
            <v>1</v>
          </cell>
          <cell r="E4882" t="str">
            <v>Ternera</v>
          </cell>
          <cell r="H4882" t="str">
            <v>consulta_externa</v>
          </cell>
          <cell r="J4882" t="str">
            <v>bueno</v>
          </cell>
          <cell r="K4882" t="str">
            <v>defsi</v>
          </cell>
        </row>
        <row r="4883">
          <cell r="B4883" t="b">
            <v>1</v>
          </cell>
          <cell r="E4883" t="str">
            <v>Ternera</v>
          </cell>
          <cell r="H4883" t="str">
            <v>laboratorio</v>
          </cell>
          <cell r="J4883" t="str">
            <v>bueno</v>
          </cell>
          <cell r="K4883" t="str">
            <v>defsi</v>
          </cell>
        </row>
        <row r="4884">
          <cell r="B4884" t="b">
            <v>1</v>
          </cell>
          <cell r="E4884" t="str">
            <v>Ternera</v>
          </cell>
          <cell r="H4884" t="str">
            <v>laboratorio</v>
          </cell>
          <cell r="J4884" t="str">
            <v>bueno</v>
          </cell>
          <cell r="K4884" t="str">
            <v>defsi</v>
          </cell>
        </row>
        <row r="4885">
          <cell r="B4885" t="b">
            <v>0</v>
          </cell>
          <cell r="E4885" t="str">
            <v>Ternera</v>
          </cell>
          <cell r="H4885" t="str">
            <v>laboratorio</v>
          </cell>
          <cell r="J4885" t="str">
            <v>regular</v>
          </cell>
          <cell r="K4885" t="str">
            <v>defsi</v>
          </cell>
        </row>
        <row r="4886">
          <cell r="B4886" t="b">
            <v>0</v>
          </cell>
          <cell r="E4886" t="str">
            <v>Ternera</v>
          </cell>
          <cell r="H4886" t="str">
            <v>laboratorio</v>
          </cell>
          <cell r="J4886" t="str">
            <v>regular</v>
          </cell>
          <cell r="K4886" t="str">
            <v>defsi</v>
          </cell>
        </row>
        <row r="4887">
          <cell r="B4887" t="b">
            <v>1</v>
          </cell>
          <cell r="E4887" t="str">
            <v>Ternera</v>
          </cell>
          <cell r="H4887" t="str">
            <v>salud_oral</v>
          </cell>
          <cell r="J4887" t="str">
            <v>bueno</v>
          </cell>
          <cell r="K4887" t="str">
            <v>defsi</v>
          </cell>
        </row>
        <row r="4888">
          <cell r="B4888" t="b">
            <v>1</v>
          </cell>
          <cell r="E4888" t="str">
            <v>Ternera</v>
          </cell>
          <cell r="H4888" t="str">
            <v>salud_oral</v>
          </cell>
          <cell r="J4888" t="str">
            <v>bueno</v>
          </cell>
          <cell r="K4888" t="str">
            <v>defsi</v>
          </cell>
        </row>
        <row r="4889">
          <cell r="B4889" t="b">
            <v>1</v>
          </cell>
          <cell r="E4889" t="str">
            <v>Ternera</v>
          </cell>
          <cell r="H4889" t="str">
            <v>salud_oral</v>
          </cell>
          <cell r="J4889" t="str">
            <v>bueno</v>
          </cell>
          <cell r="K4889" t="str">
            <v>defsi</v>
          </cell>
        </row>
        <row r="4890">
          <cell r="B4890" t="b">
            <v>1</v>
          </cell>
          <cell r="E4890" t="str">
            <v>Ternera</v>
          </cell>
          <cell r="H4890" t="str">
            <v>salud_oral</v>
          </cell>
          <cell r="J4890" t="str">
            <v>bueno</v>
          </cell>
          <cell r="K4890" t="str">
            <v>defsi</v>
          </cell>
        </row>
        <row r="4891">
          <cell r="B4891" t="b">
            <v>1</v>
          </cell>
          <cell r="E4891" t="str">
            <v>Ternera</v>
          </cell>
          <cell r="H4891" t="str">
            <v>salud_oral</v>
          </cell>
          <cell r="J4891" t="str">
            <v>bueno</v>
          </cell>
          <cell r="K4891" t="str">
            <v>defsi</v>
          </cell>
        </row>
        <row r="4892">
          <cell r="B4892" t="b">
            <v>1</v>
          </cell>
          <cell r="E4892" t="str">
            <v>Ternera</v>
          </cell>
          <cell r="H4892" t="str">
            <v>salud_oral</v>
          </cell>
          <cell r="J4892" t="str">
            <v>bueno</v>
          </cell>
          <cell r="K4892" t="str">
            <v>defsi</v>
          </cell>
        </row>
        <row r="4893">
          <cell r="B4893" t="b">
            <v>1</v>
          </cell>
          <cell r="E4893" t="str">
            <v>Ternera</v>
          </cell>
          <cell r="H4893" t="str">
            <v>laboratorio</v>
          </cell>
          <cell r="J4893" t="str">
            <v>bueno</v>
          </cell>
          <cell r="K4893" t="str">
            <v>defsi</v>
          </cell>
        </row>
        <row r="4894">
          <cell r="B4894" t="b">
            <v>1</v>
          </cell>
          <cell r="E4894" t="str">
            <v>Ternera</v>
          </cell>
          <cell r="H4894" t="str">
            <v>laboratorio</v>
          </cell>
          <cell r="J4894" t="str">
            <v>bueno</v>
          </cell>
          <cell r="K4894" t="str">
            <v>defsi</v>
          </cell>
        </row>
        <row r="4895">
          <cell r="B4895" t="b">
            <v>1</v>
          </cell>
          <cell r="E4895" t="str">
            <v>Ternera</v>
          </cell>
          <cell r="H4895" t="str">
            <v>consulta_externa</v>
          </cell>
          <cell r="J4895" t="str">
            <v>bueno</v>
          </cell>
          <cell r="K4895" t="str">
            <v>defsi</v>
          </cell>
        </row>
        <row r="4896">
          <cell r="B4896" t="b">
            <v>1</v>
          </cell>
          <cell r="E4896" t="str">
            <v>Ternera</v>
          </cell>
          <cell r="H4896" t="str">
            <v>laboratorio</v>
          </cell>
          <cell r="J4896" t="str">
            <v>bueno</v>
          </cell>
          <cell r="K4896" t="str">
            <v>defsi</v>
          </cell>
        </row>
        <row r="4897">
          <cell r="B4897" t="b">
            <v>1</v>
          </cell>
          <cell r="E4897" t="str">
            <v>Ternera</v>
          </cell>
          <cell r="H4897" t="str">
            <v>consulta_externa</v>
          </cell>
          <cell r="J4897" t="str">
            <v>bueno</v>
          </cell>
          <cell r="K4897" t="str">
            <v>defsi</v>
          </cell>
        </row>
        <row r="4898">
          <cell r="B4898" t="b">
            <v>1</v>
          </cell>
          <cell r="E4898" t="str">
            <v>Ternera</v>
          </cell>
          <cell r="H4898" t="str">
            <v>laboratorio</v>
          </cell>
          <cell r="J4898" t="str">
            <v>bueno</v>
          </cell>
          <cell r="K4898" t="str">
            <v>defsi</v>
          </cell>
        </row>
        <row r="4899">
          <cell r="B4899" t="b">
            <v>1</v>
          </cell>
          <cell r="E4899" t="str">
            <v>Boston</v>
          </cell>
          <cell r="H4899" t="str">
            <v>consulta_externa</v>
          </cell>
          <cell r="J4899" t="str">
            <v>bueno</v>
          </cell>
          <cell r="K4899" t="str">
            <v>defsi</v>
          </cell>
        </row>
        <row r="4900">
          <cell r="B4900" t="b">
            <v>1</v>
          </cell>
          <cell r="E4900" t="str">
            <v>Boston</v>
          </cell>
          <cell r="H4900" t="str">
            <v>consulta_externa</v>
          </cell>
          <cell r="J4900" t="str">
            <v>bueno</v>
          </cell>
          <cell r="K4900" t="str">
            <v>defsi</v>
          </cell>
        </row>
        <row r="4901">
          <cell r="B4901" t="b">
            <v>1</v>
          </cell>
          <cell r="E4901" t="str">
            <v>Boston</v>
          </cell>
          <cell r="H4901" t="str">
            <v>consulta_externa</v>
          </cell>
          <cell r="J4901" t="str">
            <v>bueno</v>
          </cell>
          <cell r="K4901" t="str">
            <v>defsi</v>
          </cell>
        </row>
        <row r="4902">
          <cell r="B4902" t="b">
            <v>1</v>
          </cell>
          <cell r="E4902" t="str">
            <v>Boston</v>
          </cell>
          <cell r="H4902" t="str">
            <v>consulta_externa</v>
          </cell>
          <cell r="J4902" t="str">
            <v>bueno</v>
          </cell>
          <cell r="K4902" t="str">
            <v>defsi</v>
          </cell>
        </row>
        <row r="4903">
          <cell r="B4903" t="b">
            <v>1</v>
          </cell>
          <cell r="E4903" t="str">
            <v>Boston</v>
          </cell>
          <cell r="H4903" t="str">
            <v>consulta_externa</v>
          </cell>
          <cell r="J4903" t="str">
            <v>bueno</v>
          </cell>
          <cell r="K4903" t="str">
            <v>defsi</v>
          </cell>
        </row>
        <row r="4904">
          <cell r="B4904" t="b">
            <v>1</v>
          </cell>
          <cell r="E4904" t="str">
            <v>Boston</v>
          </cell>
          <cell r="H4904" t="str">
            <v>consulta_externa</v>
          </cell>
          <cell r="J4904" t="str">
            <v>bueno</v>
          </cell>
          <cell r="K4904" t="str">
            <v>defsi</v>
          </cell>
        </row>
        <row r="4905">
          <cell r="B4905" t="b">
            <v>1</v>
          </cell>
          <cell r="E4905" t="str">
            <v>Socorro</v>
          </cell>
          <cell r="H4905" t="str">
            <v>consulta_externa</v>
          </cell>
          <cell r="J4905" t="str">
            <v>bueno</v>
          </cell>
          <cell r="K4905" t="str">
            <v>defsi</v>
          </cell>
        </row>
        <row r="4906">
          <cell r="B4906" t="b">
            <v>1</v>
          </cell>
          <cell r="E4906" t="str">
            <v>Socorro</v>
          </cell>
          <cell r="H4906" t="str">
            <v>laboratorio</v>
          </cell>
          <cell r="J4906" t="str">
            <v>bueno</v>
          </cell>
          <cell r="K4906" t="str">
            <v>defsi</v>
          </cell>
        </row>
        <row r="4907">
          <cell r="B4907" t="b">
            <v>1</v>
          </cell>
          <cell r="E4907" t="str">
            <v>Socorro</v>
          </cell>
          <cell r="H4907" t="str">
            <v>laboratorio</v>
          </cell>
          <cell r="J4907" t="str">
            <v>bueno</v>
          </cell>
          <cell r="K4907" t="str">
            <v>defsi</v>
          </cell>
        </row>
        <row r="4908">
          <cell r="B4908" t="b">
            <v>1</v>
          </cell>
          <cell r="E4908" t="str">
            <v>Socorro</v>
          </cell>
          <cell r="H4908" t="str">
            <v>consulta_externa</v>
          </cell>
          <cell r="J4908" t="str">
            <v>bueno</v>
          </cell>
          <cell r="K4908" t="str">
            <v>defsi</v>
          </cell>
        </row>
        <row r="4909">
          <cell r="B4909" t="b">
            <v>1</v>
          </cell>
          <cell r="E4909" t="str">
            <v>Socorro</v>
          </cell>
          <cell r="H4909" t="str">
            <v>ecografias</v>
          </cell>
          <cell r="J4909" t="str">
            <v>bueno</v>
          </cell>
          <cell r="K4909" t="str">
            <v>defsi</v>
          </cell>
        </row>
        <row r="4910">
          <cell r="B4910" t="b">
            <v>1</v>
          </cell>
          <cell r="E4910" t="str">
            <v>Socorro</v>
          </cell>
          <cell r="H4910" t="str">
            <v>ecografias</v>
          </cell>
          <cell r="J4910" t="str">
            <v>muybueno</v>
          </cell>
          <cell r="K4910" t="str">
            <v>defsi</v>
          </cell>
        </row>
        <row r="4911">
          <cell r="B4911" t="b">
            <v>1</v>
          </cell>
          <cell r="E4911" t="str">
            <v>Socorro</v>
          </cell>
          <cell r="H4911" t="str">
            <v>laboratorio</v>
          </cell>
          <cell r="J4911" t="str">
            <v>bueno</v>
          </cell>
          <cell r="K4911" t="str">
            <v>defsi</v>
          </cell>
        </row>
        <row r="4912">
          <cell r="B4912" t="b">
            <v>1</v>
          </cell>
          <cell r="E4912" t="str">
            <v>Socorro</v>
          </cell>
          <cell r="H4912" t="str">
            <v>laboratorio</v>
          </cell>
          <cell r="J4912" t="str">
            <v>bueno</v>
          </cell>
          <cell r="K4912" t="str">
            <v>defsi</v>
          </cell>
        </row>
        <row r="4913">
          <cell r="B4913" t="b">
            <v>1</v>
          </cell>
          <cell r="E4913" t="str">
            <v>Socorro</v>
          </cell>
          <cell r="H4913" t="str">
            <v>laboratorio</v>
          </cell>
          <cell r="J4913" t="str">
            <v>bueno</v>
          </cell>
          <cell r="K4913" t="str">
            <v>defsi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00644-74F5-4E3A-B08B-F82B3992E44E}">
  <dimension ref="A1:AV66"/>
  <sheetViews>
    <sheetView tabSelected="1" zoomScale="80" zoomScaleNormal="80" workbookViewId="0">
      <selection activeCell="AV57" sqref="AV57"/>
    </sheetView>
  </sheetViews>
  <sheetFormatPr baseColWidth="10" defaultColWidth="11.42578125" defaultRowHeight="15" x14ac:dyDescent="0.25"/>
  <cols>
    <col min="1" max="1" width="27.28515625" bestFit="1" customWidth="1"/>
    <col min="2" max="2" width="21.85546875" customWidth="1"/>
    <col min="3" max="3" width="18.85546875" customWidth="1"/>
    <col min="4" max="4" width="20.5703125" customWidth="1"/>
    <col min="5" max="5" width="16" customWidth="1"/>
    <col min="6" max="6" width="14.7109375" customWidth="1"/>
    <col min="7" max="7" width="16.140625" customWidth="1"/>
    <col min="8" max="8" width="17.85546875" customWidth="1"/>
    <col min="9" max="9" width="16.140625" customWidth="1"/>
    <col min="10" max="11" width="17" customWidth="1"/>
    <col min="12" max="12" width="16.28515625" customWidth="1"/>
    <col min="13" max="13" width="15.28515625" customWidth="1"/>
    <col min="14" max="14" width="15.7109375" customWidth="1"/>
    <col min="15" max="15" width="15" customWidth="1"/>
    <col min="16" max="16" width="15.28515625" customWidth="1"/>
    <col min="17" max="17" width="15.42578125" customWidth="1"/>
    <col min="18" max="18" width="15.5703125" customWidth="1"/>
    <col min="19" max="19" width="15.42578125" customWidth="1"/>
    <col min="20" max="20" width="15.28515625" customWidth="1"/>
    <col min="21" max="21" width="14.85546875" customWidth="1"/>
    <col min="22" max="22" width="15.42578125" customWidth="1"/>
    <col min="23" max="24" width="15.140625" customWidth="1"/>
    <col min="25" max="25" width="15.28515625" customWidth="1"/>
    <col min="26" max="26" width="15" customWidth="1"/>
    <col min="27" max="27" width="15.42578125" customWidth="1"/>
    <col min="28" max="28" width="15.7109375" customWidth="1"/>
    <col min="29" max="29" width="15.140625" customWidth="1"/>
    <col min="30" max="31" width="15.85546875" customWidth="1"/>
    <col min="32" max="32" width="15.7109375" customWidth="1"/>
    <col min="33" max="33" width="15.5703125" customWidth="1"/>
    <col min="34" max="34" width="15" customWidth="1"/>
    <col min="35" max="35" width="14.85546875" customWidth="1"/>
    <col min="36" max="36" width="16.140625" customWidth="1"/>
    <col min="37" max="38" width="15" customWidth="1"/>
    <col min="39" max="39" width="14.85546875" customWidth="1"/>
    <col min="40" max="40" width="14.5703125" customWidth="1"/>
    <col min="41" max="41" width="14.85546875" customWidth="1"/>
    <col min="42" max="42" width="16" customWidth="1"/>
    <col min="43" max="44" width="14.85546875" customWidth="1"/>
    <col min="45" max="45" width="15.85546875" customWidth="1"/>
    <col min="46" max="46" width="15.28515625" customWidth="1"/>
    <col min="47" max="47" width="16.28515625" customWidth="1"/>
    <col min="48" max="48" width="16.5703125" customWidth="1"/>
  </cols>
  <sheetData>
    <row r="1" spans="1:48" ht="32.25" thickBot="1" x14ac:dyDescent="0.55000000000000004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5" t="s">
        <v>6</v>
      </c>
      <c r="N1" s="6"/>
      <c r="O1" s="6"/>
      <c r="P1" s="7"/>
      <c r="Q1" s="5" t="s">
        <v>7</v>
      </c>
      <c r="R1" s="6"/>
      <c r="S1" s="6"/>
      <c r="T1" s="7"/>
      <c r="U1" s="8"/>
      <c r="V1" s="6" t="s">
        <v>8</v>
      </c>
      <c r="W1" s="6"/>
      <c r="X1" s="7"/>
      <c r="Y1" s="5" t="s">
        <v>9</v>
      </c>
      <c r="Z1" s="6"/>
      <c r="AA1" s="6"/>
      <c r="AB1" s="7"/>
      <c r="AC1" s="5" t="s">
        <v>10</v>
      </c>
      <c r="AD1" s="6"/>
      <c r="AE1" s="6"/>
      <c r="AF1" s="6"/>
      <c r="AG1" s="9" t="s">
        <v>11</v>
      </c>
      <c r="AH1" s="9"/>
      <c r="AI1" s="9"/>
      <c r="AJ1" s="9"/>
      <c r="AK1" s="9" t="s">
        <v>12</v>
      </c>
      <c r="AL1" s="9"/>
      <c r="AM1" s="9"/>
      <c r="AN1" s="9"/>
      <c r="AO1" s="9" t="s">
        <v>13</v>
      </c>
      <c r="AP1" s="9"/>
      <c r="AQ1" s="9"/>
      <c r="AR1" s="9"/>
      <c r="AS1" s="10" t="s">
        <v>14</v>
      </c>
      <c r="AT1" s="11" t="s">
        <v>15</v>
      </c>
      <c r="AU1" s="12" t="s">
        <v>16</v>
      </c>
      <c r="AV1" s="12" t="s">
        <v>17</v>
      </c>
    </row>
    <row r="2" spans="1:48" ht="30" x14ac:dyDescent="0.25">
      <c r="A2" s="13"/>
      <c r="B2" s="14"/>
      <c r="C2" s="15"/>
      <c r="D2" s="16"/>
      <c r="E2" s="17" t="s">
        <v>18</v>
      </c>
      <c r="F2" s="18" t="s">
        <v>19</v>
      </c>
      <c r="G2" s="17" t="s">
        <v>20</v>
      </c>
      <c r="H2" s="17" t="s">
        <v>21</v>
      </c>
      <c r="I2" s="18" t="s">
        <v>18</v>
      </c>
      <c r="J2" s="19" t="s">
        <v>19</v>
      </c>
      <c r="K2" s="18" t="s">
        <v>20</v>
      </c>
      <c r="L2" s="19" t="s">
        <v>21</v>
      </c>
      <c r="M2" s="18" t="s">
        <v>18</v>
      </c>
      <c r="N2" s="17" t="s">
        <v>19</v>
      </c>
      <c r="O2" s="18" t="s">
        <v>20</v>
      </c>
      <c r="P2" s="17" t="s">
        <v>21</v>
      </c>
      <c r="Q2" s="18" t="s">
        <v>18</v>
      </c>
      <c r="R2" s="19" t="s">
        <v>19</v>
      </c>
      <c r="S2" s="18" t="s">
        <v>20</v>
      </c>
      <c r="T2" s="19" t="s">
        <v>21</v>
      </c>
      <c r="U2" s="18" t="s">
        <v>18</v>
      </c>
      <c r="V2" s="19" t="s">
        <v>19</v>
      </c>
      <c r="W2" s="18" t="s">
        <v>20</v>
      </c>
      <c r="X2" s="19" t="s">
        <v>21</v>
      </c>
      <c r="Y2" s="18" t="s">
        <v>18</v>
      </c>
      <c r="Z2" s="19" t="s">
        <v>19</v>
      </c>
      <c r="AA2" s="18" t="s">
        <v>20</v>
      </c>
      <c r="AB2" s="19" t="s">
        <v>21</v>
      </c>
      <c r="AC2" s="19" t="s">
        <v>18</v>
      </c>
      <c r="AD2" s="19" t="s">
        <v>19</v>
      </c>
      <c r="AE2" s="18" t="s">
        <v>20</v>
      </c>
      <c r="AF2" s="19" t="s">
        <v>21</v>
      </c>
      <c r="AG2" s="17" t="s">
        <v>18</v>
      </c>
      <c r="AH2" s="20" t="s">
        <v>19</v>
      </c>
      <c r="AI2" s="21" t="s">
        <v>20</v>
      </c>
      <c r="AJ2" s="22" t="s">
        <v>21</v>
      </c>
      <c r="AK2" s="17" t="s">
        <v>18</v>
      </c>
      <c r="AL2" s="17" t="s">
        <v>19</v>
      </c>
      <c r="AM2" s="18" t="s">
        <v>20</v>
      </c>
      <c r="AN2" s="17" t="s">
        <v>21</v>
      </c>
      <c r="AO2" s="17" t="s">
        <v>18</v>
      </c>
      <c r="AP2" s="17" t="s">
        <v>19</v>
      </c>
      <c r="AQ2" s="18" t="s">
        <v>20</v>
      </c>
      <c r="AR2" s="17" t="s">
        <v>21</v>
      </c>
      <c r="AS2" s="23"/>
      <c r="AT2" s="24"/>
      <c r="AU2" s="25"/>
      <c r="AV2" s="25"/>
    </row>
    <row r="3" spans="1:48" ht="18.75" x14ac:dyDescent="0.3">
      <c r="A3" s="26" t="s">
        <v>22</v>
      </c>
      <c r="B3" s="27">
        <v>104</v>
      </c>
      <c r="C3" s="27">
        <f>SUM(E3,F3,I3,J3,M3,N3,Q3,R3,U3,V3,Y3,Z3,AC3,AD3,AG3,AH3,AK3,AL3,AO3,AP3)</f>
        <v>102</v>
      </c>
      <c r="D3" s="28">
        <f t="shared" ref="D3:D49" si="0">(C3*100)/B3</f>
        <v>98.07692307692308</v>
      </c>
      <c r="E3" s="29">
        <f>COUNTIFS([1]InfCualitativo!$B$1:$B$6957,"VERDADERO",[1]InfCualitativo!$E$1:$E$6957,"Arroyo de las Canoas",[1]InfCualitativo!$H$1:$H$6957,"consulta_externa")</f>
        <v>40</v>
      </c>
      <c r="F3" s="29">
        <f>COUNTIFS([1]InfCualitativo!$B$1:$B$6957,"FALSO",[1]InfCualitativo!$E$1:$E$6957,"Arroyo de las Canoas",[1]InfCualitativo!$H$1:$H$6957,"consulta_externa")</f>
        <v>0</v>
      </c>
      <c r="G3" s="30">
        <f>IFERROR(E3/(E3+F3),0)</f>
        <v>1</v>
      </c>
      <c r="H3" s="30">
        <f>IFERROR(F3/(E3+F3),0)</f>
        <v>0</v>
      </c>
      <c r="I3" s="27">
        <f>COUNTIFS([1]InfCualitativo!$B$1:$B$6957,"VERDADERO",[1]InfCualitativo!$E$1:$E$6957,"Arroyo de las Canoas",[1]InfCualitativo!$H$1:$H$6957,"salud_oral")</f>
        <v>29</v>
      </c>
      <c r="J3" s="27">
        <f>COUNTIFS([1]InfCualitativo!$B$1:$B$6957,"FALSO",[1]InfCualitativo!$E$1:$E$6957,"Arroyo de las Canoas",[1]InfCualitativo!$H$1:$H$6957,"salud_oral")</f>
        <v>0</v>
      </c>
      <c r="K3" s="30">
        <f>IFERROR(I3/(I3+J3),0)</f>
        <v>1</v>
      </c>
      <c r="L3" s="30">
        <f>IFERROR(J3/(I3+J3),0)</f>
        <v>0</v>
      </c>
      <c r="M3" s="27">
        <f>COUNTIFS([1]InfCualitativo!$B$1:$B$6957,"VERDADERO",[1]InfCualitativo!$E$1:$E$6957,"Arroyo de las Canoas",[1]InfCualitativo!$H$1:$H$6957,"laboratorio")</f>
        <v>33</v>
      </c>
      <c r="N3" s="27">
        <f>COUNTIFS([1]InfCualitativo!$B$1:$B$6957,"FALSO",[1]InfCualitativo!$E$1:$E$6957,"Arroyo de las Canoas",[1]InfCualitativo!$H$1:$H$6957,"laboratorio")</f>
        <v>0</v>
      </c>
      <c r="O3" s="30">
        <f>IFERROR(M3/(M3+N3),0)</f>
        <v>1</v>
      </c>
      <c r="P3" s="31">
        <f>IFERROR(N3/(M3+N3),0)</f>
        <v>0</v>
      </c>
      <c r="Q3" s="27">
        <f>COUNTIFS([1]InfCualitativo!$B$1:$B$6957,"VERDADERO",[1]InfCualitativo!$E$1:$E$6957,"Arroyo de las Canoas",[1]InfCualitativo!$H$1:$H$6957,"electros")</f>
        <v>0</v>
      </c>
      <c r="R3" s="27">
        <f>COUNTIFS([1]InfCualitativo!$B$1:$B$6957,"FALSO",[1]InfCualitativo!$E$1:$E$6957,"Arroyo de las Canoas",[1]InfCualitativo!$H$1:$H$6957,"electros")</f>
        <v>0</v>
      </c>
      <c r="S3" s="30">
        <f>IFERROR(Q3/(Q3+R3),0)</f>
        <v>0</v>
      </c>
      <c r="T3" s="30">
        <f>IFERROR(R3/(Q3+R3),0)</f>
        <v>0</v>
      </c>
      <c r="U3" s="27">
        <f>COUNTIFS([1]InfCualitativo!$B$1:$B$6957,"VERDADERO",[1]InfCualitativo!$E$1:$E$6957,"Arroyo de las Canoas",[1]InfCualitativo!$H$1:$H$6957,"rx")</f>
        <v>0</v>
      </c>
      <c r="V3" s="27">
        <f>COUNTIFS([1]InfCualitativo!$B$1:$B$6957,"FALSO",[1]InfCualitativo!$E$1:$E$6957,"Arroyo de las Canoas",[1]InfCualitativo!$H$1:$H$6957,"rx")</f>
        <v>0</v>
      </c>
      <c r="W3" s="30">
        <f>IFERROR(U3/(U3+V3),0)</f>
        <v>0</v>
      </c>
      <c r="X3" s="30">
        <f>IFERROR(V3/(U3+V3),0)</f>
        <v>0</v>
      </c>
      <c r="Y3" s="27">
        <f>COUNTIFS([1]InfCualitativo!$B$1:$B$6957,"VERDADERO",[1]InfCualitativo!$E$1:$E$6957,"Arroyo de las Canoas",[1]InfCualitativo!$H$1:$H$6957,"ecografias")</f>
        <v>0</v>
      </c>
      <c r="Z3" s="27">
        <f>COUNTIFS([1]InfCualitativo!$B$1:$B$6957,"FALSO",[1]InfCualitativo!$E$1:$E$6957,"Arroyo de las Canoas",[1]InfCualitativo!$H$1:$H$6957,"ecografias")</f>
        <v>0</v>
      </c>
      <c r="AA3" s="30">
        <f>IFERROR(Y3/(Y3+Z3),0)</f>
        <v>0</v>
      </c>
      <c r="AB3" s="30">
        <f>IFERROR(Z3/(Y3+Z3),0)</f>
        <v>0</v>
      </c>
      <c r="AC3" s="27">
        <f>COUNTIFS([1]InfCualitativo!$B$1:$B$6957,"VERDADERO",[1]InfCualitativo!$E$1:$E$6957,"Arroyo de las Canoas",[1]InfCualitativo!$H$1:$H$6957,"urgencia")</f>
        <v>0</v>
      </c>
      <c r="AD3" s="27">
        <f>COUNTIFS([1]InfCualitativo!$B$1:$B$6957,"FALSO",[1]InfCualitativo!$E$1:$E$6957,"Arroyo de las Canoas",[1]InfCualitativo!$H$1:$H$6957,"urgencia")</f>
        <v>0</v>
      </c>
      <c r="AE3" s="30">
        <f>IFERROR(AC3/(AC3+AD3),0)</f>
        <v>0</v>
      </c>
      <c r="AF3" s="30">
        <f>IFERROR(AD3/(AC3+AD3),0)</f>
        <v>0</v>
      </c>
      <c r="AG3" s="27">
        <f>COUNTIFS([1]InfCualitativo!$B$1:$B$6957,"VERDADERO",[1]InfCualitativo!$E$1:$E$6957,"Arroyo de las Canoas",[1]InfCualitativo!$H$1:$H$6957,"pediatria")</f>
        <v>0</v>
      </c>
      <c r="AH3" s="27">
        <f>COUNTIFS([1]InfCualitativo!$B$1:$B$6957,"FALSO",[1]InfCualitativo!$E$1:$E$6957,"Arroyo de las Canoas",[1]InfCualitativo!$H$1:$H$6957,"pediatria")</f>
        <v>0</v>
      </c>
      <c r="AI3" s="30">
        <f>IFERROR(AG3/(AG3+AH3),0)</f>
        <v>0</v>
      </c>
      <c r="AJ3" s="30">
        <f>IFERROR(AH3/(AG3+AH3),0)</f>
        <v>0</v>
      </c>
      <c r="AK3" s="27">
        <f>COUNTIFS([1]InfCualitativo!$B$1:$B$6957,"VERDADERO",[1]InfCualitativo!$E$1:$E$6957,"Arroyo de las Canoas",[1]InfCualitativo!$H$1:$H$6957,"medicina_interna")</f>
        <v>0</v>
      </c>
      <c r="AL3" s="27">
        <f>COUNTIFS([1]InfCualitativo!$B$1:$B$6957,"FALSO",[1]InfCualitativo!$E$1:$E$6957,"Arroyo de las Canoas",[1]InfCualitativo!$H$1:$H$6957,"medicina_interna")</f>
        <v>0</v>
      </c>
      <c r="AM3" s="30">
        <f>IFERROR(AK3/(AK3+AL3),0)</f>
        <v>0</v>
      </c>
      <c r="AN3" s="30">
        <f>IFERROR(AL3/(AK3+AL3),0)</f>
        <v>0</v>
      </c>
      <c r="AO3" s="27">
        <f>COUNTIFS([1]InfCualitativo!$B$1:$B$6957,"VERDADERO",[1]InfCualitativo!$E$1:$E$6957,"Arroyo de las Canoas",[1]InfCualitativo!$H$1:$H$6957,"ginecologia")</f>
        <v>0</v>
      </c>
      <c r="AP3" s="27">
        <f>COUNTIFS([1]InfCualitativo!$B$1:$B$6957,"FALSO",[1]InfCualitativo!$E$1:$E$6957,"Arroyo de las Canoas",[1]InfCualitativo!$H$1:$H$6957,"ginecologia")</f>
        <v>0</v>
      </c>
      <c r="AQ3" s="30">
        <f>IFERROR(AO3/(AO3+AP3),0)</f>
        <v>0</v>
      </c>
      <c r="AR3" s="30">
        <f>IFERROR(AP3/(AO3+AP3),0)</f>
        <v>0</v>
      </c>
      <c r="AS3" s="27">
        <f>SUM(E3+I3+M3+Q3+U3+Y3+AC3+AG3+AK3+AO3)</f>
        <v>102</v>
      </c>
      <c r="AT3" s="27">
        <f>SUM(F3+J3+N3+R3+V3+Z3+AD3+AH3+AL3+AP3)</f>
        <v>0</v>
      </c>
      <c r="AU3" s="32">
        <f>IFERROR(AS3/(AS3+AT3),0)</f>
        <v>1</v>
      </c>
      <c r="AV3" s="32">
        <f>IFERROR(AT3/(AS3+AT3),0)</f>
        <v>0</v>
      </c>
    </row>
    <row r="4" spans="1:48" ht="18.75" x14ac:dyDescent="0.3">
      <c r="A4" s="26" t="s">
        <v>23</v>
      </c>
      <c r="B4" s="27">
        <v>120</v>
      </c>
      <c r="C4" s="27">
        <f t="shared" ref="C4:C50" si="1">SUM(E4,F4,I4,J4,M4,N4,Q4,R4,U4,V4,Y4,Z4,AC4,AD4,AG4,AH4,AK4,AL4,AO4,AP4)</f>
        <v>117</v>
      </c>
      <c r="D4" s="28">
        <f t="shared" si="0"/>
        <v>97.5</v>
      </c>
      <c r="E4" s="29">
        <f>COUNTIFS([1]InfCualitativo!$B$1:$B$6957,"VERDADERO",[1]InfCualitativo!$E$1:$E$6957,"Arroyo de Piedra",[1]InfCualitativo!$H$1:$H$6957,"consulta_externa")</f>
        <v>44</v>
      </c>
      <c r="F4" s="29">
        <f>COUNTIFS([1]InfCualitativo!$B$1:$B$6957,"FALSO",[1]InfCualitativo!$E$1:$E$6957,"Arroyo de Piedra",[1]InfCualitativo!$H$1:$H$6957,"consulta_externa")</f>
        <v>1</v>
      </c>
      <c r="G4" s="30">
        <f t="shared" ref="G4:G50" si="2">IFERROR(E4/(E4+F4),0)</f>
        <v>0.97777777777777775</v>
      </c>
      <c r="H4" s="30">
        <f t="shared" ref="H4:H50" si="3">IFERROR(F4/(E4+F4),0)</f>
        <v>2.2222222222222223E-2</v>
      </c>
      <c r="I4" s="27">
        <f>COUNTIFS([1]InfCualitativo!$B$1:$B$6957,"VERDADERO",[1]InfCualitativo!$E$1:$E$6957,"Arroyo de Piedra",[1]InfCualitativo!$H$1:$H$6957,"salud_oral")</f>
        <v>31</v>
      </c>
      <c r="J4" s="27">
        <f>COUNTIFS([1]InfCualitativo!$B$1:$B$6957,"FALSO",[1]InfCualitativo!$E$1:$E$6957,"Arroyo de Piedra",[1]InfCualitativo!$H$1:$H$6957,"salud_oral")</f>
        <v>0</v>
      </c>
      <c r="K4" s="30">
        <f t="shared" ref="K4:K50" si="4">IFERROR(I4/(I4+J4),0)</f>
        <v>1</v>
      </c>
      <c r="L4" s="30">
        <f t="shared" ref="L4:L50" si="5">IFERROR(J4/(I4+J4),0)</f>
        <v>0</v>
      </c>
      <c r="M4" s="27">
        <f>COUNTIFS([1]InfCualitativo!$B$1:$B$6957,"VERDADERO",[1]InfCualitativo!$E$1:$E$6957,"Arroyo de Piedra",[1]InfCualitativo!$H$1:$H$6957,"laboratorio")</f>
        <v>41</v>
      </c>
      <c r="N4" s="27">
        <f>COUNTIFS([1]InfCualitativo!$B$1:$B$6957,"FALSO",[1]InfCualitativo!$E$1:$E$6957,"Arroyo de Piedra",[1]InfCualitativo!$H$1:$H$6957,"laboratorio")</f>
        <v>0</v>
      </c>
      <c r="O4" s="30">
        <f t="shared" ref="O4:O50" si="6">IFERROR(M4/(M4+N4),0)</f>
        <v>1</v>
      </c>
      <c r="P4" s="31">
        <f t="shared" ref="P4:P50" si="7">IFERROR(N4/(M4+N4),0)</f>
        <v>0</v>
      </c>
      <c r="Q4" s="27">
        <f>COUNTIFS([1]InfCualitativo!$B$1:$B$6957,"VERDADERO",[1]InfCualitativo!$E$1:$E$6957,"Arroyo de Piedra",[1]InfCualitativo!$H$1:$H$6957,"electros")</f>
        <v>0</v>
      </c>
      <c r="R4" s="27">
        <f>COUNTIFS([1]InfCualitativo!$B$1:$B$6957,"FALSO",[1]InfCualitativo!$E$1:$E$6957,"Arroyo de Piedra",[1]InfCualitativo!$H$1:$H$6957,"electros")</f>
        <v>0</v>
      </c>
      <c r="S4" s="30">
        <f t="shared" ref="S4:S50" si="8">IFERROR(Q4/(Q4+R4),0)</f>
        <v>0</v>
      </c>
      <c r="T4" s="30">
        <f t="shared" ref="T4:T50" si="9">IFERROR(R4/(Q4+R4),0)</f>
        <v>0</v>
      </c>
      <c r="U4" s="27">
        <f>COUNTIFS([1]InfCualitativo!$B$1:$B$6957,"VERDADERO",[1]InfCualitativo!$E$1:$E$6957,"Arroyo de Piedra",[1]InfCualitativo!$H$1:$H$6957,"rx")</f>
        <v>0</v>
      </c>
      <c r="V4" s="27">
        <f>COUNTIFS([1]InfCualitativo!$B$1:$B$6957,"FALSO",[1]InfCualitativo!$E$1:$E$6957,"Arroyo de Piedra",[1]InfCualitativo!$H$1:$H$6957,"rx")</f>
        <v>0</v>
      </c>
      <c r="W4" s="30">
        <f t="shared" ref="W4:W50" si="10">IFERROR(U4/(U4+V4),0)</f>
        <v>0</v>
      </c>
      <c r="X4" s="30">
        <f t="shared" ref="X4:X50" si="11">IFERROR(V4/(U4+V4),0)</f>
        <v>0</v>
      </c>
      <c r="Y4" s="27">
        <f>COUNTIFS([1]InfCualitativo!$B$1:$B$6957,"VERDADERO",[1]InfCualitativo!$E$1:$E$6957,"Arroyo de Piedra",[1]InfCualitativo!$H$1:$H$6957,"ecografias")</f>
        <v>0</v>
      </c>
      <c r="Z4" s="27">
        <f>COUNTIFS([1]InfCualitativo!$B$1:$B$6957,"FALSO",[1]InfCualitativo!$E$1:$E$6957,"Arroyo de Piedra",[1]InfCualitativo!$H$1:$H$6957,"ecografias")</f>
        <v>0</v>
      </c>
      <c r="AA4" s="30">
        <f t="shared" ref="AA4:AA50" si="12">IFERROR(Y4/(Y4+Z4),0)</f>
        <v>0</v>
      </c>
      <c r="AB4" s="30">
        <f t="shared" ref="AB4:AB50" si="13">IFERROR(Z4/(Y4+Z4),0)</f>
        <v>0</v>
      </c>
      <c r="AC4" s="27">
        <f>COUNTIFS([1]InfCualitativo!$B$1:$B$6957,"VERDADERO",[1]InfCualitativo!$E$1:$E$6957,"Arroyo de Piedra",[1]InfCualitativo!$H$1:$H$6957,"urgencia")</f>
        <v>0</v>
      </c>
      <c r="AD4" s="27">
        <f>COUNTIFS([1]InfCualitativo!$B$1:$B$6957,"FALSO",[1]InfCualitativo!$E$1:$E$6957,"Arroyo de Piedra",[1]InfCualitativo!$H$1:$H$6957,"urgencia")</f>
        <v>0</v>
      </c>
      <c r="AE4" s="30">
        <f t="shared" ref="AE4:AE50" si="14">IFERROR(AC4/(AC4+AD4),0)</f>
        <v>0</v>
      </c>
      <c r="AF4" s="30">
        <f t="shared" ref="AF4:AF50" si="15">IFERROR(AD4/(AC4+AD4),0)</f>
        <v>0</v>
      </c>
      <c r="AG4" s="27">
        <f>COUNTIFS([1]InfCualitativo!$B$1:$B$6957,"VERDADERO",[1]InfCualitativo!$E$1:$E$6957,"Arroyo de Piedra",[1]InfCualitativo!$H$1:$H$6957,"pediatria")</f>
        <v>0</v>
      </c>
      <c r="AH4" s="27">
        <f>COUNTIFS([1]InfCualitativo!$B$1:$B$6957,"FALSO",[1]InfCualitativo!$E$1:$E$6957,"Arroyo de Piedra",[1]InfCualitativo!$H$1:$H$6957,"pediatria")</f>
        <v>0</v>
      </c>
      <c r="AI4" s="30">
        <f t="shared" ref="AI4:AI50" si="16">IFERROR(AG4/(AG4+AH4),0)</f>
        <v>0</v>
      </c>
      <c r="AJ4" s="30">
        <f t="shared" ref="AJ4:AJ50" si="17">IFERROR(AH4/(AG4+AH4),0)</f>
        <v>0</v>
      </c>
      <c r="AK4" s="27">
        <f>COUNTIFS([1]InfCualitativo!$B$1:$B$6957,"VERDADERO",[1]InfCualitativo!$E$1:$E$6957,"Arroyo de Piedra",[1]InfCualitativo!$H$1:$H$6957,"medicina_interna")</f>
        <v>0</v>
      </c>
      <c r="AL4" s="27">
        <f>COUNTIFS([1]InfCualitativo!$B$1:$B$6957,"FALSO",[1]InfCualitativo!$E$1:$E$6957,"Arroyo de Piedra",[1]InfCualitativo!$H$1:$H$6957,"medicina_interna")</f>
        <v>0</v>
      </c>
      <c r="AM4" s="30">
        <f t="shared" ref="AM4:AM50" si="18">IFERROR(AK4/(AK4+AL4),0)</f>
        <v>0</v>
      </c>
      <c r="AN4" s="30">
        <f t="shared" ref="AN4:AN50" si="19">IFERROR(AL4/(AK4+AL4),0)</f>
        <v>0</v>
      </c>
      <c r="AO4" s="27">
        <f>COUNTIFS([1]InfCualitativo!$B$1:$B$6957,"VERDADERO",[1]InfCualitativo!$E$1:$E$6957,"Arroyo de Piedra",[1]InfCualitativo!$H$1:$H$6957,"ginecologia")</f>
        <v>0</v>
      </c>
      <c r="AP4" s="27">
        <f>COUNTIFS([1]InfCualitativo!$B$1:$B$6957,"FALSO",[1]InfCualitativo!$E$1:$E$6957,"Arroyo de Piedra",[1]InfCualitativo!$H$1:$H$6957,"ginecologia")</f>
        <v>0</v>
      </c>
      <c r="AQ4" s="30">
        <f t="shared" ref="AQ4:AQ50" si="20">IFERROR(AO4/(AO4+AP4),0)</f>
        <v>0</v>
      </c>
      <c r="AR4" s="30">
        <f t="shared" ref="AR4:AR50" si="21">IFERROR(AP4/(AO4+AP4),0)</f>
        <v>0</v>
      </c>
      <c r="AS4" s="27">
        <f t="shared" ref="AS4:AT50" si="22">SUM(E4+I4+M4+Q4+U4+Y4+AC4+AG4+AK4+AO4)</f>
        <v>116</v>
      </c>
      <c r="AT4" s="27">
        <f t="shared" si="22"/>
        <v>1</v>
      </c>
      <c r="AU4" s="32">
        <f t="shared" ref="AU4:AU50" si="23">IFERROR(AS4/(AS4+AT4),0)</f>
        <v>0.99145299145299148</v>
      </c>
      <c r="AV4" s="32">
        <f t="shared" ref="AV4:AV50" si="24">IFERROR(AT4/(AS4+AT4),0)</f>
        <v>8.5470085470085479E-3</v>
      </c>
    </row>
    <row r="5" spans="1:48" ht="18.75" x14ac:dyDescent="0.3">
      <c r="A5" s="26" t="s">
        <v>24</v>
      </c>
      <c r="B5" s="27">
        <v>120</v>
      </c>
      <c r="C5" s="27">
        <f t="shared" si="1"/>
        <v>115</v>
      </c>
      <c r="D5" s="28">
        <f t="shared" si="0"/>
        <v>95.833333333333329</v>
      </c>
      <c r="E5" s="29">
        <f>COUNTIFS([1]InfCualitativo!$B$1:$B$6957,"VERDADERO",[1]InfCualitativo!$E$1:$E$6957,"Arroyo Grande",[1]InfCualitativo!$H$1:$H$6957,"consulta_externa")</f>
        <v>38</v>
      </c>
      <c r="F5" s="29">
        <f>COUNTIFS([1]InfCualitativo!$B$1:$B$6957,"FALSO",[1]InfCualitativo!$E$1:$E$6957,"Arroyo Grande",[1]InfCualitativo!$H$1:$H$6957,"consulta_externa")</f>
        <v>3</v>
      </c>
      <c r="G5" s="30">
        <f t="shared" si="2"/>
        <v>0.92682926829268297</v>
      </c>
      <c r="H5" s="30">
        <f t="shared" si="3"/>
        <v>7.3170731707317069E-2</v>
      </c>
      <c r="I5" s="27">
        <f>COUNTIFS([1]InfCualitativo!$B$1:$B$6957,"VERDADERO",[1]InfCualitativo!$E$1:$E$6957,"Arroyo Grande",[1]InfCualitativo!$H$1:$H$6957,"salud_oral")</f>
        <v>34</v>
      </c>
      <c r="J5" s="27">
        <f>COUNTIFS([1]InfCualitativo!$B$1:$B$6957,"FALSO",[1]InfCualitativo!$E$1:$E$6957,"Arroyo Grande",[1]InfCualitativo!$H$1:$H$6957,"salud_oral")</f>
        <v>5</v>
      </c>
      <c r="K5" s="30">
        <f t="shared" si="4"/>
        <v>0.87179487179487181</v>
      </c>
      <c r="L5" s="30">
        <f t="shared" si="5"/>
        <v>0.12820512820512819</v>
      </c>
      <c r="M5" s="27">
        <f>COUNTIFS([1]InfCualitativo!$B$1:$B$6957,"VERDADERO",[1]InfCualitativo!$E$1:$E$6957,"Arroyo Grande",[1]InfCualitativo!$H$1:$H$6957,"laboratorio")</f>
        <v>34</v>
      </c>
      <c r="N5" s="27">
        <f>COUNTIFS([1]InfCualitativo!$B$1:$B$6957,"FALSO",[1]InfCualitativo!$E$1:$E$6957,"Arroyo Grande",[1]InfCualitativo!$H$1:$H$6957,"laboratorio")</f>
        <v>1</v>
      </c>
      <c r="O5" s="30">
        <f t="shared" si="6"/>
        <v>0.97142857142857142</v>
      </c>
      <c r="P5" s="31">
        <f t="shared" si="7"/>
        <v>2.8571428571428571E-2</v>
      </c>
      <c r="Q5" s="27">
        <f>COUNTIFS([1]InfCualitativo!$B$1:$B$6957,"VERDADERO",[1]InfCualitativo!$E$1:$E$6957,"Arroyo Grande",[1]InfCualitativo!$H$1:$H$6957,"electros")</f>
        <v>0</v>
      </c>
      <c r="R5" s="27">
        <f>COUNTIFS([1]InfCualitativo!$B$1:$B$6957,"FALSO",[1]InfCualitativo!$E$1:$E$6957,"Arroyo Grande",[1]InfCualitativo!$H$1:$H$6957,"electros")</f>
        <v>0</v>
      </c>
      <c r="S5" s="30">
        <f t="shared" si="8"/>
        <v>0</v>
      </c>
      <c r="T5" s="30">
        <f t="shared" si="9"/>
        <v>0</v>
      </c>
      <c r="U5" s="27">
        <f>COUNTIFS([1]InfCualitativo!$B$1:$B$6957,"VERDADERO",[1]InfCualitativo!$E$1:$E$6957,"Arroyo Grande",[1]InfCualitativo!$H$1:$H$6957,"rx")</f>
        <v>0</v>
      </c>
      <c r="V5" s="27">
        <f>COUNTIFS([1]InfCualitativo!$B$1:$B$6957,"FALSO",[1]InfCualitativo!$E$1:$E$6957,"Arroyo Grande",[1]InfCualitativo!$H$1:$H$6957,"rx")</f>
        <v>0</v>
      </c>
      <c r="W5" s="30">
        <f t="shared" si="10"/>
        <v>0</v>
      </c>
      <c r="X5" s="30">
        <f t="shared" si="11"/>
        <v>0</v>
      </c>
      <c r="Y5" s="27">
        <f>COUNTIFS([1]InfCualitativo!$B$1:$B$6957,"VERDADERO",[1]InfCualitativo!$E$1:$E$6957,"Arroyo Grande",[1]InfCualitativo!$H$1:$H$6957,"ecografias")</f>
        <v>0</v>
      </c>
      <c r="Z5" s="27">
        <f>COUNTIFS([1]InfCualitativo!$B$1:$B$6957,"FALSO",[1]InfCualitativo!$E$1:$E$6957,"Arroyo Grande",[1]InfCualitativo!$H$1:$H$6957,"ecografias")</f>
        <v>0</v>
      </c>
      <c r="AA5" s="30">
        <f t="shared" si="12"/>
        <v>0</v>
      </c>
      <c r="AB5" s="30">
        <f t="shared" si="13"/>
        <v>0</v>
      </c>
      <c r="AC5" s="27">
        <f>COUNTIFS([1]InfCualitativo!$B$1:$B$6957,"VERDADERO",[1]InfCualitativo!$E$1:$E$6957,"Arroyo Grande",[1]InfCualitativo!$H$1:$H$6957,"urgencia")</f>
        <v>0</v>
      </c>
      <c r="AD5" s="27">
        <f>COUNTIFS([1]InfCualitativo!$B$1:$B$6957,"FALSO",[1]InfCualitativo!$E$1:$E$6957,"Arroyo Grande",[1]InfCualitativo!$H$1:$H$6957,"urgencia")</f>
        <v>0</v>
      </c>
      <c r="AE5" s="30">
        <f t="shared" si="14"/>
        <v>0</v>
      </c>
      <c r="AF5" s="30">
        <f t="shared" si="15"/>
        <v>0</v>
      </c>
      <c r="AG5" s="27">
        <f>COUNTIFS([1]InfCualitativo!$B$1:$B$6957,"VERDADERO",[1]InfCualitativo!$E$1:$E$6957,"Arroyo Grande",[1]InfCualitativo!$H$1:$H$6957,"pediatria")</f>
        <v>0</v>
      </c>
      <c r="AH5" s="27">
        <f>COUNTIFS([1]InfCualitativo!$B$1:$B$6957,"FALSO",[1]InfCualitativo!$E$1:$E$6957,"Arroyo Grande",[1]InfCualitativo!$H$1:$H$6957,"pediatria")</f>
        <v>0</v>
      </c>
      <c r="AI5" s="30">
        <f t="shared" si="16"/>
        <v>0</v>
      </c>
      <c r="AJ5" s="30">
        <f t="shared" si="17"/>
        <v>0</v>
      </c>
      <c r="AK5" s="27">
        <f>COUNTIFS([1]InfCualitativo!$B$1:$B$6957,"VERDADERO",[1]InfCualitativo!$E$1:$E$6957,"Arroyo Grande",[1]InfCualitativo!$H$1:$H$6957,"medicina_interna")</f>
        <v>0</v>
      </c>
      <c r="AL5" s="27">
        <f>COUNTIFS([1]InfCualitativo!$B$1:$B$6957,"FALSO",[1]InfCualitativo!$E$1:$E$6957,"Arroyo Grande",[1]InfCualitativo!$H$1:$H$6957,"medicina_interna")</f>
        <v>0</v>
      </c>
      <c r="AM5" s="30">
        <f t="shared" si="18"/>
        <v>0</v>
      </c>
      <c r="AN5" s="30">
        <f t="shared" si="19"/>
        <v>0</v>
      </c>
      <c r="AO5" s="27">
        <f>COUNTIFS([1]InfCualitativo!$B$1:$B$6957,"VERDADERO",[1]InfCualitativo!$E$1:$E$6957,"Arroyo Grande",[1]InfCualitativo!$H$1:$H$6957,"ginecologia")</f>
        <v>0</v>
      </c>
      <c r="AP5" s="27">
        <f>COUNTIFS([1]InfCualitativo!$B$1:$B$6957,"FALSO",[1]InfCualitativo!$E$1:$E$6957,"Arroyo Grande",[1]InfCualitativo!$H$1:$H$6957,"ginecologia")</f>
        <v>0</v>
      </c>
      <c r="AQ5" s="30">
        <f t="shared" si="20"/>
        <v>0</v>
      </c>
      <c r="AR5" s="30">
        <f t="shared" si="21"/>
        <v>0</v>
      </c>
      <c r="AS5" s="27">
        <f t="shared" si="22"/>
        <v>106</v>
      </c>
      <c r="AT5" s="27">
        <f t="shared" si="22"/>
        <v>9</v>
      </c>
      <c r="AU5" s="32">
        <f t="shared" si="23"/>
        <v>0.92173913043478262</v>
      </c>
      <c r="AV5" s="32">
        <f t="shared" si="24"/>
        <v>7.8260869565217397E-2</v>
      </c>
    </row>
    <row r="6" spans="1:48" ht="18.75" x14ac:dyDescent="0.3">
      <c r="A6" s="26" t="s">
        <v>25</v>
      </c>
      <c r="B6" s="27">
        <v>200</v>
      </c>
      <c r="C6" s="27">
        <f t="shared" si="1"/>
        <v>184</v>
      </c>
      <c r="D6" s="28">
        <f t="shared" si="0"/>
        <v>92</v>
      </c>
      <c r="E6" s="29">
        <f>COUNTIFS([1]InfCualitativo!$B$1:$B$6957,"VERDADERO",[1]InfCualitativo!$E$1:$E$6957,"Arroz Barato",[1]InfCualitativo!$H$1:$H$6957,"consulta_externa")</f>
        <v>35</v>
      </c>
      <c r="F6" s="29">
        <f>COUNTIFS([1]InfCualitativo!$B$1:$B$6957,"FALSO",[1]InfCualitativo!$E$1:$E$6957,"Arroz Barato",[1]InfCualitativo!$H$1:$H$6957,"consulta_externa")</f>
        <v>16</v>
      </c>
      <c r="G6" s="30">
        <f t="shared" si="2"/>
        <v>0.68627450980392157</v>
      </c>
      <c r="H6" s="30">
        <f t="shared" si="3"/>
        <v>0.31372549019607843</v>
      </c>
      <c r="I6" s="27">
        <f>COUNTIFS([1]InfCualitativo!$B$1:$B$6957,"VERDADERO",[1]InfCualitativo!$E$1:$E$6957,"Arroz Barato",[1]InfCualitativo!$H$1:$H$6957,"salud_oral")</f>
        <v>34</v>
      </c>
      <c r="J6" s="27">
        <f>COUNTIFS([1]InfCualitativo!$B$1:$B$6957,"FALSO",[1]InfCualitativo!$E$1:$E$6957,"Arroz Barato",[1]InfCualitativo!$H$1:$H$6957,"salud_oral")</f>
        <v>14</v>
      </c>
      <c r="K6" s="30">
        <f t="shared" si="4"/>
        <v>0.70833333333333337</v>
      </c>
      <c r="L6" s="30">
        <f t="shared" si="5"/>
        <v>0.29166666666666669</v>
      </c>
      <c r="M6" s="27">
        <f>COUNTIFS([1]InfCualitativo!$B$1:$B$6957,"VERDADERO",[1]InfCualitativo!$E$1:$E$6957,"Arroz Barato",[1]InfCualitativo!$H$1:$H$6957,"laboratorio")</f>
        <v>46</v>
      </c>
      <c r="N6" s="27">
        <f>COUNTIFS([1]InfCualitativo!$B$1:$B$6957,"FALSO",[1]InfCualitativo!$E$1:$E$6957,"Arroz Barato",[1]InfCualitativo!$H$1:$H$6957,"laboratorio")</f>
        <v>0</v>
      </c>
      <c r="O6" s="30">
        <f t="shared" si="6"/>
        <v>1</v>
      </c>
      <c r="P6" s="31">
        <f t="shared" si="7"/>
        <v>0</v>
      </c>
      <c r="Q6" s="27">
        <f>COUNTIFS([1]InfCualitativo!$B$1:$B$6957,"VERDADERO",[1]InfCualitativo!$E$1:$E$6957,"Arroz Barato",[1]InfCualitativo!$H$1:$H$6957,"electros")</f>
        <v>0</v>
      </c>
      <c r="R6" s="27">
        <f>COUNTIFS([1]InfCualitativo!$B$1:$B$6957,"FALSO",[1]InfCualitativo!$E$1:$E$6957,"Arroz Barato",[1]InfCualitativo!$H$1:$H$6957,"electros")</f>
        <v>0</v>
      </c>
      <c r="S6" s="30">
        <f t="shared" si="8"/>
        <v>0</v>
      </c>
      <c r="T6" s="30">
        <f t="shared" si="9"/>
        <v>0</v>
      </c>
      <c r="U6" s="27">
        <f>COUNTIFS([1]InfCualitativo!$B$1:$B$6957,"VERDADERO",[1]InfCualitativo!$E$1:$E$6957,"Arroz Barato",[1]InfCualitativo!$H$1:$H$6957,"rx")</f>
        <v>0</v>
      </c>
      <c r="V6" s="27">
        <f>COUNTIFS([1]InfCualitativo!$B$1:$B$6957,"FALSO",[1]InfCualitativo!$E$1:$E$6957,"Arroz Barato",[1]InfCualitativo!$H$1:$H$6957,"rx")</f>
        <v>0</v>
      </c>
      <c r="W6" s="30">
        <f t="shared" si="10"/>
        <v>0</v>
      </c>
      <c r="X6" s="30">
        <f t="shared" si="11"/>
        <v>0</v>
      </c>
      <c r="Y6" s="27">
        <f>COUNTIFS([1]InfCualitativo!$B$1:$B$6957,"VERDADERO",[1]InfCualitativo!$E$1:$E$6957,"Arroz Barato",[1]InfCualitativo!$H$1:$H$6957,"ecografias")</f>
        <v>0</v>
      </c>
      <c r="Z6" s="27">
        <f>COUNTIFS([1]InfCualitativo!$B$1:$B$6957,"FALSO",[1]InfCualitativo!$E$1:$E$6957,"Arroz Barato",[1]InfCualitativo!$H$1:$H$6957,"ecografias")</f>
        <v>1</v>
      </c>
      <c r="AA6" s="30">
        <f t="shared" si="12"/>
        <v>0</v>
      </c>
      <c r="AB6" s="30">
        <f t="shared" si="13"/>
        <v>1</v>
      </c>
      <c r="AC6" s="27">
        <f>COUNTIFS([1]InfCualitativo!$B$1:$B$6957,"VERDADERO",[1]InfCualitativo!$E$1:$E$6957,"Arroz Barato",[1]InfCualitativo!$H$1:$H$6957,"urgencia")</f>
        <v>21</v>
      </c>
      <c r="AD6" s="27">
        <f>COUNTIFS([1]InfCualitativo!$B$1:$B$6957,"FALSO",[1]InfCualitativo!$E$1:$E$6957,"Arroz Barato",[1]InfCualitativo!$H$1:$H$6957,"urgencia")</f>
        <v>17</v>
      </c>
      <c r="AE6" s="30">
        <f t="shared" si="14"/>
        <v>0.55263157894736847</v>
      </c>
      <c r="AF6" s="30">
        <f t="shared" si="15"/>
        <v>0.44736842105263158</v>
      </c>
      <c r="AG6" s="27">
        <f>COUNTIFS([1]InfCualitativo!$B$1:$B$6957,"VERDADERO",[1]InfCualitativo!$E$1:$E$6957,"Arroz Barato",[1]InfCualitativo!$H$1:$H$6957,"pediatria")</f>
        <v>0</v>
      </c>
      <c r="AH6" s="27">
        <f>COUNTIFS([1]InfCualitativo!$B$1:$B$6957,"FALSO",[1]InfCualitativo!$E$1:$E$6957,"Arroz Barato",[1]InfCualitativo!$H$1:$H$6957,"pediatria")</f>
        <v>0</v>
      </c>
      <c r="AI6" s="30">
        <f t="shared" si="16"/>
        <v>0</v>
      </c>
      <c r="AJ6" s="30">
        <f t="shared" si="17"/>
        <v>0</v>
      </c>
      <c r="AK6" s="27">
        <f>COUNTIFS([1]InfCualitativo!$B$1:$B$6957,"VERDADERO",[1]InfCualitativo!$E$1:$E$6957,"Arroz Barato",[1]InfCualitativo!$H$1:$H$6957,"medicina_interna")</f>
        <v>0</v>
      </c>
      <c r="AL6" s="27">
        <f>COUNTIFS([1]InfCualitativo!$B$1:$B$6957,"FALSO",[1]InfCualitativo!$E$1:$E$6957,"Arroz Barato",[1]InfCualitativo!$H$1:$H$6957,"medicina_interna")</f>
        <v>0</v>
      </c>
      <c r="AM6" s="30">
        <f t="shared" si="18"/>
        <v>0</v>
      </c>
      <c r="AN6" s="30">
        <f t="shared" si="19"/>
        <v>0</v>
      </c>
      <c r="AO6" s="27">
        <f>COUNTIFS([1]InfCualitativo!$B$1:$B$6957,"VERDADERO",[1]InfCualitativo!$E$1:$E$6957,"Arroz Barato",[1]InfCualitativo!$H$1:$H$6957,"ginecologia")</f>
        <v>0</v>
      </c>
      <c r="AP6" s="27">
        <f>COUNTIFS([1]InfCualitativo!$B$1:$B$6957,"FALSO",[1]InfCualitativo!$E$1:$E$6957,"Arroz Barato",[1]InfCualitativo!$H$1:$H$6957,"ginecologia")</f>
        <v>0</v>
      </c>
      <c r="AQ6" s="30">
        <f t="shared" si="20"/>
        <v>0</v>
      </c>
      <c r="AR6" s="30">
        <f t="shared" si="21"/>
        <v>0</v>
      </c>
      <c r="AS6" s="27">
        <f t="shared" si="22"/>
        <v>136</v>
      </c>
      <c r="AT6" s="27">
        <f t="shared" si="22"/>
        <v>48</v>
      </c>
      <c r="AU6" s="32">
        <f t="shared" si="23"/>
        <v>0.73913043478260865</v>
      </c>
      <c r="AV6" s="32">
        <f t="shared" si="24"/>
        <v>0.2608695652173913</v>
      </c>
    </row>
    <row r="7" spans="1:48" ht="18.75" x14ac:dyDescent="0.3">
      <c r="A7" s="26" t="s">
        <v>26</v>
      </c>
      <c r="B7" s="27">
        <v>224</v>
      </c>
      <c r="C7" s="27">
        <f t="shared" si="1"/>
        <v>200</v>
      </c>
      <c r="D7" s="28">
        <f t="shared" si="0"/>
        <v>89.285714285714292</v>
      </c>
      <c r="E7" s="29">
        <f>COUNTIFS([1]InfCualitativo!$B$1:$B$6957,"VERDADERO",[1]InfCualitativo!$E$1:$E$6957,"Bayunca",[1]InfCualitativo!$H$1:$H$6957,"consulta_externa")</f>
        <v>41</v>
      </c>
      <c r="F7" s="29">
        <f>COUNTIFS([1]InfCualitativo!$B$1:$B$6957,"FALSO",[1]InfCualitativo!$E$1:$E$6957,"Bayunca",[1]InfCualitativo!$H$1:$H$6957,"consulta_externa")</f>
        <v>8</v>
      </c>
      <c r="G7" s="30">
        <f t="shared" si="2"/>
        <v>0.83673469387755106</v>
      </c>
      <c r="H7" s="30">
        <f t="shared" si="3"/>
        <v>0.16326530612244897</v>
      </c>
      <c r="I7" s="27">
        <f>COUNTIFS([1]InfCualitativo!$B$1:$B$6957,"VERDADERO",[1]InfCualitativo!$E$1:$E$6957,"Bayunca",[1]InfCualitativo!$H$1:$H$6957,"salud_oral")</f>
        <v>46</v>
      </c>
      <c r="J7" s="27">
        <f>COUNTIFS([1]InfCualitativo!$B$1:$B$6957,"FALSO",[1]InfCualitativo!$E$1:$E$6957,"Bayunca",[1]InfCualitativo!$H$1:$H$6957,"salud_oral")</f>
        <v>3</v>
      </c>
      <c r="K7" s="30">
        <f t="shared" si="4"/>
        <v>0.93877551020408168</v>
      </c>
      <c r="L7" s="30">
        <f t="shared" si="5"/>
        <v>6.1224489795918366E-2</v>
      </c>
      <c r="M7" s="27">
        <f>COUNTIFS([1]InfCualitativo!$B$1:$B$6957,"VERDADERO",[1]InfCualitativo!$E$1:$E$6957,"Bayunca",[1]InfCualitativo!$H$1:$H$6957,"laboratorio")</f>
        <v>34</v>
      </c>
      <c r="N7" s="27">
        <f>COUNTIFS([1]InfCualitativo!$B$1:$B$6957,"FALSO",[1]InfCualitativo!$E$1:$E$6957,"Bayunca",[1]InfCualitativo!$H$1:$H$6957,"laboratorio")</f>
        <v>10</v>
      </c>
      <c r="O7" s="30">
        <f t="shared" si="6"/>
        <v>0.77272727272727271</v>
      </c>
      <c r="P7" s="31">
        <f t="shared" si="7"/>
        <v>0.22727272727272727</v>
      </c>
      <c r="Q7" s="27">
        <f>COUNTIFS([1]InfCualitativo!$B$1:$B$6957,"VERDADERO",[1]InfCualitativo!$E$1:$E$6957,"Bayunca",[1]InfCualitativo!$H$1:$H$6957,"electros")</f>
        <v>0</v>
      </c>
      <c r="R7" s="27">
        <f>COUNTIFS([1]InfCualitativo!$B$1:$B$6957,"FALSO",[1]InfCualitativo!$E$1:$E$6957,"Bayunca",[1]InfCualitativo!$H$1:$H$6957,"electros")</f>
        <v>0</v>
      </c>
      <c r="S7" s="30">
        <f t="shared" si="8"/>
        <v>0</v>
      </c>
      <c r="T7" s="30">
        <f t="shared" si="9"/>
        <v>0</v>
      </c>
      <c r="U7" s="27">
        <f>COUNTIFS([1]InfCualitativo!$B$1:$B$6957,"VERDADERO",[1]InfCualitativo!$E$1:$E$6957,"Bayunca",[1]InfCualitativo!$H$1:$H$6957,"rx")</f>
        <v>0</v>
      </c>
      <c r="V7" s="27">
        <f>COUNTIFS([1]InfCualitativo!$B$1:$B$6957,"FALSO",[1]InfCualitativo!$E$1:$E$6957,"Bayunca",[1]InfCualitativo!$H$1:$H$6957,"rx")</f>
        <v>0</v>
      </c>
      <c r="W7" s="30">
        <f t="shared" si="10"/>
        <v>0</v>
      </c>
      <c r="X7" s="30">
        <f t="shared" si="11"/>
        <v>0</v>
      </c>
      <c r="Y7" s="27">
        <f>COUNTIFS([1]InfCualitativo!$B$1:$B$6957,"VERDADERO",[1]InfCualitativo!$E$1:$E$6957,"Bayunca",[1]InfCualitativo!$H$1:$H$6957,"ecografias")</f>
        <v>0</v>
      </c>
      <c r="Z7" s="27">
        <f>COUNTIFS([1]InfCualitativo!$B$1:$B$6957,"FALSO",[1]InfCualitativo!$E$1:$E$6957,"Bayunca",[1]InfCualitativo!$H$1:$H$6957,"ecografias")</f>
        <v>0</v>
      </c>
      <c r="AA7" s="30">
        <f t="shared" si="12"/>
        <v>0</v>
      </c>
      <c r="AB7" s="30">
        <f t="shared" si="13"/>
        <v>0</v>
      </c>
      <c r="AC7" s="27">
        <f>COUNTIFS([1]InfCualitativo!$B$1:$B$6957,"VERDADERO",[1]InfCualitativo!$E$1:$E$6957,"Bayunca",[1]InfCualitativo!$H$1:$H$6957,"urgencia")</f>
        <v>21</v>
      </c>
      <c r="AD7" s="27">
        <f>COUNTIFS([1]InfCualitativo!$B$1:$B$6957,"FALSO",[1]InfCualitativo!$E$1:$E$6957,"Bayunca",[1]InfCualitativo!$H$1:$H$6957,"urgencia")</f>
        <v>21</v>
      </c>
      <c r="AE7" s="30">
        <f t="shared" si="14"/>
        <v>0.5</v>
      </c>
      <c r="AF7" s="30">
        <f t="shared" si="15"/>
        <v>0.5</v>
      </c>
      <c r="AG7" s="27">
        <f>COUNTIFS([1]InfCualitativo!$B$1:$B$6957,"VERDADERO",[1]InfCualitativo!$E$1:$E$6957,"Bayunca",[1]InfCualitativo!$H$1:$H$6957,"pediatria")</f>
        <v>15</v>
      </c>
      <c r="AH7" s="27">
        <f>COUNTIFS([1]InfCualitativo!$B$1:$B$6957,"FALSO",[1]InfCualitativo!$E$1:$E$6957,"Bayunca",[1]InfCualitativo!$H$1:$H$6957,"pediatria")</f>
        <v>1</v>
      </c>
      <c r="AI7" s="30">
        <f t="shared" si="16"/>
        <v>0.9375</v>
      </c>
      <c r="AJ7" s="30">
        <f t="shared" si="17"/>
        <v>6.25E-2</v>
      </c>
      <c r="AK7" s="27">
        <f>COUNTIFS([1]InfCualitativo!$B$1:$B$6957,"VERDADERO",[1]InfCualitativo!$E$1:$E$6957,"Bayunca",[1]InfCualitativo!$H$1:$H$6957,"medicina_interna")</f>
        <v>0</v>
      </c>
      <c r="AL7" s="27">
        <f>COUNTIFS([1]InfCualitativo!$B$1:$B$6957,"FALSO",[1]InfCualitativo!$E$1:$E$6957,"Bayunca",[1]InfCualitativo!$H$1:$H$6957,"medicina_interna")</f>
        <v>0</v>
      </c>
      <c r="AM7" s="30">
        <f t="shared" si="18"/>
        <v>0</v>
      </c>
      <c r="AN7" s="30">
        <f t="shared" si="19"/>
        <v>0</v>
      </c>
      <c r="AO7" s="27">
        <f>COUNTIFS([1]InfCualitativo!$B$1:$B$6957,"VERDADERO",[1]InfCualitativo!$E$1:$E$6957,"Bayunca",[1]InfCualitativo!$H$1:$H$6957,"ginecologia")</f>
        <v>0</v>
      </c>
      <c r="AP7" s="27">
        <f>COUNTIFS([1]InfCualitativo!$B$1:$B$6957,"FALSO",[1]InfCualitativo!$E$1:$E$6957,"Bayunca",[1]InfCualitativo!$H$1:$H$6957,"ginecologia")</f>
        <v>0</v>
      </c>
      <c r="AQ7" s="30">
        <f t="shared" si="20"/>
        <v>0</v>
      </c>
      <c r="AR7" s="30">
        <f t="shared" si="21"/>
        <v>0</v>
      </c>
      <c r="AS7" s="27">
        <f t="shared" si="22"/>
        <v>157</v>
      </c>
      <c r="AT7" s="27">
        <f t="shared" si="22"/>
        <v>43</v>
      </c>
      <c r="AU7" s="32">
        <f t="shared" si="23"/>
        <v>0.78500000000000003</v>
      </c>
      <c r="AV7" s="32">
        <f t="shared" si="24"/>
        <v>0.215</v>
      </c>
    </row>
    <row r="8" spans="1:48" ht="18.75" x14ac:dyDescent="0.3">
      <c r="A8" s="26" t="s">
        <v>27</v>
      </c>
      <c r="B8" s="27">
        <v>236</v>
      </c>
      <c r="C8" s="27">
        <f t="shared" si="1"/>
        <v>158</v>
      </c>
      <c r="D8" s="33">
        <f t="shared" si="0"/>
        <v>66.949152542372886</v>
      </c>
      <c r="E8" s="29">
        <f>COUNTIFS([1]InfCualitativo!$B$1:$B$6957,"VERDADERO",[1]InfCualitativo!$E$1:$E$6957,"Bicentenario",[1]InfCualitativo!$H$1:$H$6957,"consulta_externa")</f>
        <v>58</v>
      </c>
      <c r="F8" s="29">
        <f>COUNTIFS([1]InfCualitativo!$B$1:$B$6957,"FALSO",[1]InfCualitativo!$E$1:$E$6957,"Bicentenario",[1]InfCualitativo!$H$1:$H$6957,"consulta_externa")</f>
        <v>5</v>
      </c>
      <c r="G8" s="30">
        <f t="shared" si="2"/>
        <v>0.92063492063492058</v>
      </c>
      <c r="H8" s="30">
        <f t="shared" si="3"/>
        <v>7.9365079365079361E-2</v>
      </c>
      <c r="I8" s="27">
        <f>COUNTIFS([1]InfCualitativo!$B$1:$B$6957,"VERDADERO",[1]InfCualitativo!$E$1:$E$6957,"Bicentenario",[1]InfCualitativo!$H$1:$H$6957,"salud_oral")</f>
        <v>26</v>
      </c>
      <c r="J8" s="27">
        <f>COUNTIFS([1]InfCualitativo!$B$1:$B$6957,"FALSO",[1]InfCualitativo!$E$1:$E$6957,"Bicentenario",[1]InfCualitativo!$H$1:$H$6957,"salud_oral")</f>
        <v>0</v>
      </c>
      <c r="K8" s="30">
        <f t="shared" si="4"/>
        <v>1</v>
      </c>
      <c r="L8" s="30">
        <f t="shared" si="5"/>
        <v>0</v>
      </c>
      <c r="M8" s="27">
        <f>COUNTIFS([1]InfCualitativo!$B$1:$B$6957,"VERDADERO",[1]InfCualitativo!$E$1:$E$6957,"Bicentenario",[1]InfCualitativo!$H$1:$H$6957,"laboratorio")</f>
        <v>21</v>
      </c>
      <c r="N8" s="27">
        <f>COUNTIFS([1]InfCualitativo!$B$1:$B$6957,"FALSO",[1]InfCualitativo!$E$1:$E$6957,"Bicentenario",[1]InfCualitativo!$H$1:$H$6957,"laboratorio")</f>
        <v>3</v>
      </c>
      <c r="O8" s="30">
        <f t="shared" si="6"/>
        <v>0.875</v>
      </c>
      <c r="P8" s="31">
        <f t="shared" si="7"/>
        <v>0.125</v>
      </c>
      <c r="Q8" s="27">
        <f>COUNTIFS([1]InfCualitativo!$B$1:$B$6957,"VERDADERO",[1]InfCualitativo!$E$1:$E$6957,"Bicentenario",[1]InfCualitativo!$H$1:$H$6957,"electros")</f>
        <v>0</v>
      </c>
      <c r="R8" s="27">
        <f>COUNTIFS([1]InfCualitativo!$B$1:$B$6957,"FALSO",[1]InfCualitativo!$E$1:$E$6957,"Bicentenario",[1]InfCualitativo!$H$1:$H$6957,"electros")</f>
        <v>0</v>
      </c>
      <c r="S8" s="30">
        <f t="shared" si="8"/>
        <v>0</v>
      </c>
      <c r="T8" s="30">
        <f t="shared" si="9"/>
        <v>0</v>
      </c>
      <c r="U8" s="27">
        <f>COUNTIFS([1]InfCualitativo!$B$1:$B$6957,"VERDADERO",[1]InfCualitativo!$E$1:$E$6957,"Bicentenario",[1]InfCualitativo!$H$1:$H$6957,"rx")</f>
        <v>15</v>
      </c>
      <c r="V8" s="27">
        <f>COUNTIFS([1]InfCualitativo!$B$1:$B$6957,"FALSO",[1]InfCualitativo!$E$1:$E$6957,"Bicentenario",[1]InfCualitativo!$H$1:$H$6957,"rx")</f>
        <v>0</v>
      </c>
      <c r="W8" s="30">
        <f t="shared" si="10"/>
        <v>1</v>
      </c>
      <c r="X8" s="30">
        <f t="shared" si="11"/>
        <v>0</v>
      </c>
      <c r="Y8" s="27">
        <f>COUNTIFS([1]InfCualitativo!$B$1:$B$6957,"VERDADERO",[1]InfCualitativo!$E$1:$E$6957,"Bicentenario",[1]InfCualitativo!$H$1:$H$6957,"ecografias")</f>
        <v>0</v>
      </c>
      <c r="Z8" s="27">
        <f>COUNTIFS([1]InfCualitativo!$B$1:$B$6957,"FALSO",[1]InfCualitativo!$E$1:$E$6957,"Bicentenario",[1]InfCualitativo!$H$1:$H$6957,"ecografias")</f>
        <v>0</v>
      </c>
      <c r="AA8" s="30">
        <f t="shared" si="12"/>
        <v>0</v>
      </c>
      <c r="AB8" s="30">
        <f t="shared" si="13"/>
        <v>0</v>
      </c>
      <c r="AC8" s="27">
        <f>COUNTIFS([1]InfCualitativo!$B$1:$B$6957,"VERDADERO",[1]InfCualitativo!$E$1:$E$6957,"Bicentenario",[1]InfCualitativo!$H$1:$H$6957,"urgencia")</f>
        <v>23</v>
      </c>
      <c r="AD8" s="27">
        <f>COUNTIFS([1]InfCualitativo!$B$1:$B$6957,"FALSO",[1]InfCualitativo!$E$1:$E$6957,"Bicentenario",[1]InfCualitativo!$H$1:$H$6957,"urgencia")</f>
        <v>7</v>
      </c>
      <c r="AE8" s="30">
        <f t="shared" si="14"/>
        <v>0.76666666666666672</v>
      </c>
      <c r="AF8" s="30">
        <f t="shared" si="15"/>
        <v>0.23333333333333334</v>
      </c>
      <c r="AG8" s="27">
        <f>COUNTIFS([1]InfCualitativo!$B$1:$B$6957,"VERDADERO",[1]InfCualitativo!$E$1:$E$6957,"Bicentenario",[1]InfCualitativo!$H$1:$H$6957,"pediatria")</f>
        <v>0</v>
      </c>
      <c r="AH8" s="27">
        <f>COUNTIFS([1]InfCualitativo!$B$1:$B$6957,"FALSO",[1]InfCualitativo!$E$1:$E$6957,"Bicentenario",[1]InfCualitativo!$H$1:$H$6957,"pediatria")</f>
        <v>0</v>
      </c>
      <c r="AI8" s="30">
        <f t="shared" si="16"/>
        <v>0</v>
      </c>
      <c r="AJ8" s="30">
        <f t="shared" si="17"/>
        <v>0</v>
      </c>
      <c r="AK8" s="27">
        <f>COUNTIFS([1]InfCualitativo!$B$1:$B$6957,"VERDADERO",[1]InfCualitativo!$E$1:$E$6957,"Bicentenario",[1]InfCualitativo!$H$1:$H$6957,"medicina_interna")</f>
        <v>0</v>
      </c>
      <c r="AL8" s="27">
        <f>COUNTIFS([1]InfCualitativo!$B$1:$B$6957,"FALSO",[1]InfCualitativo!$E$1:$E$6957,"Bicentenario",[1]InfCualitativo!$H$1:$H$6957,"medicina_interna")</f>
        <v>0</v>
      </c>
      <c r="AM8" s="30">
        <f t="shared" si="18"/>
        <v>0</v>
      </c>
      <c r="AN8" s="30">
        <f t="shared" si="19"/>
        <v>0</v>
      </c>
      <c r="AO8" s="27">
        <f>COUNTIFS([1]InfCualitativo!$B$1:$B$6957,"VERDADERO",[1]InfCualitativo!$E$1:$E$6957,"Bicentenario",[1]InfCualitativo!$H$1:$H$6957,"ginecologia")</f>
        <v>0</v>
      </c>
      <c r="AP8" s="27">
        <f>COUNTIFS([1]InfCualitativo!$B$1:$B$6957,"FALSO",[1]InfCualitativo!$E$1:$E$6957,"Bicentenario",[1]InfCualitativo!$H$1:$H$6957,"ginecologia")</f>
        <v>0</v>
      </c>
      <c r="AQ8" s="30">
        <f t="shared" si="20"/>
        <v>0</v>
      </c>
      <c r="AR8" s="30">
        <f t="shared" si="21"/>
        <v>0</v>
      </c>
      <c r="AS8" s="27">
        <f t="shared" si="22"/>
        <v>143</v>
      </c>
      <c r="AT8" s="27">
        <f t="shared" si="22"/>
        <v>15</v>
      </c>
      <c r="AU8" s="32">
        <f t="shared" si="23"/>
        <v>0.90506329113924056</v>
      </c>
      <c r="AV8" s="32">
        <f t="shared" si="24"/>
        <v>9.49367088607595E-2</v>
      </c>
    </row>
    <row r="9" spans="1:48" ht="18.75" x14ac:dyDescent="0.3">
      <c r="A9" s="26" t="s">
        <v>28</v>
      </c>
      <c r="B9" s="27">
        <v>228</v>
      </c>
      <c r="C9" s="27">
        <f t="shared" si="1"/>
        <v>218</v>
      </c>
      <c r="D9" s="34">
        <f t="shared" si="0"/>
        <v>95.614035087719301</v>
      </c>
      <c r="E9" s="29">
        <f>COUNTIFS([1]InfCualitativo!$B$1:$B$6957,"VERDADERO",[1]InfCualitativo!$E$1:$E$6957,"Blasdelezo",[1]InfCualitativo!$H$1:$H$6957,"consulta_externa")</f>
        <v>44</v>
      </c>
      <c r="F9" s="29">
        <f>COUNTIFS([1]InfCualitativo!$B$1:$B$6957,"FALSO",[1]InfCualitativo!$E$1:$E$6957,"Blasdelezo",[1]InfCualitativo!$H$1:$H$6957,"consulta_externa")</f>
        <v>0</v>
      </c>
      <c r="G9" s="30">
        <f t="shared" si="2"/>
        <v>1</v>
      </c>
      <c r="H9" s="30">
        <f t="shared" si="3"/>
        <v>0</v>
      </c>
      <c r="I9" s="27">
        <f>COUNTIFS([1]InfCualitativo!$B$1:$B$6957,"VERDADERO",[1]InfCualitativo!$E$1:$E$6957,"Blasdelezo",[1]InfCualitativo!$H$1:$H$6957,"salud_oral")</f>
        <v>45</v>
      </c>
      <c r="J9" s="27">
        <f>COUNTIFS([1]InfCualitativo!$B$1:$B$6957,"FALSO",[1]InfCualitativo!$E$1:$E$6957,"Blasdelezo",[1]InfCualitativo!$H$1:$H$6957,"salud_oral")</f>
        <v>0</v>
      </c>
      <c r="K9" s="30">
        <f t="shared" si="4"/>
        <v>1</v>
      </c>
      <c r="L9" s="30">
        <f t="shared" si="5"/>
        <v>0</v>
      </c>
      <c r="M9" s="27">
        <f>COUNTIFS([1]InfCualitativo!$B$1:$B$6957,"VERDADERO",[1]InfCualitativo!$E$1:$E$6957,"Blasdelezo",[1]InfCualitativo!$H$1:$H$6957,"laboratorio")</f>
        <v>42</v>
      </c>
      <c r="N9" s="27">
        <f>COUNTIFS([1]InfCualitativo!$B$1:$B$6957,"FALSO",[1]InfCualitativo!$E$1:$E$6957,"Blasdelezo",[1]InfCualitativo!$H$1:$H$6957,"laboratorio")</f>
        <v>0</v>
      </c>
      <c r="O9" s="30">
        <f t="shared" si="6"/>
        <v>1</v>
      </c>
      <c r="P9" s="31">
        <f t="shared" si="7"/>
        <v>0</v>
      </c>
      <c r="Q9" s="27">
        <f>COUNTIFS([1]InfCualitativo!$B$1:$B$6957,"VERDADERO",[1]InfCualitativo!$E$1:$E$6957,"Blasdelezo",[1]InfCualitativo!$H$1:$H$6957,"electros")</f>
        <v>0</v>
      </c>
      <c r="R9" s="27">
        <f>COUNTIFS([1]InfCualitativo!$B$1:$B$6957,"FALSO",[1]InfCualitativo!$E$1:$E$6957,"Blasdelezo",[1]InfCualitativo!$H$1:$H$6957,"electros")</f>
        <v>0</v>
      </c>
      <c r="S9" s="30">
        <f t="shared" si="8"/>
        <v>0</v>
      </c>
      <c r="T9" s="30">
        <f t="shared" si="9"/>
        <v>0</v>
      </c>
      <c r="U9" s="27">
        <f>COUNTIFS([1]InfCualitativo!$B$1:$B$6957,"VERDADERO",[1]InfCualitativo!$E$1:$E$6957,"Blasdelezo",[1]InfCualitativo!$H$1:$H$6957,"rx")</f>
        <v>0</v>
      </c>
      <c r="V9" s="27">
        <f>COUNTIFS([1]InfCualitativo!$B$1:$B$6957,"FALSO",[1]InfCualitativo!$E$1:$E$6957,"Blasdelezo",[1]InfCualitativo!$H$1:$H$6957,"rx")</f>
        <v>0</v>
      </c>
      <c r="W9" s="30">
        <f t="shared" si="10"/>
        <v>0</v>
      </c>
      <c r="X9" s="30">
        <f t="shared" si="11"/>
        <v>0</v>
      </c>
      <c r="Y9" s="27">
        <f>COUNTIFS([1]InfCualitativo!$B$1:$B$6957,"VERDADERO",[1]InfCualitativo!$E$1:$E$6957,"Blasdelezo",[1]InfCualitativo!$H$1:$H$6957,"ecografias")</f>
        <v>0</v>
      </c>
      <c r="Z9" s="27">
        <f>COUNTIFS([1]InfCualitativo!$B$1:$B$6957,"FALSO",[1]InfCualitativo!$E$1:$E$6957,"Blasdelezo",[1]InfCualitativo!$H$1:$H$6957,"ecografias")</f>
        <v>0</v>
      </c>
      <c r="AA9" s="30">
        <f t="shared" si="12"/>
        <v>0</v>
      </c>
      <c r="AB9" s="30">
        <f t="shared" si="13"/>
        <v>0</v>
      </c>
      <c r="AC9" s="27">
        <f>COUNTIFS([1]InfCualitativo!$B$1:$B$6957,"VERDADERO",[1]InfCualitativo!$E$1:$E$6957,"Blasdelezo",[1]InfCualitativo!$H$1:$H$6957,"urgencia")</f>
        <v>40</v>
      </c>
      <c r="AD9" s="27">
        <f>COUNTIFS([1]InfCualitativo!$B$1:$B$6957,"FALSO",[1]InfCualitativo!$E$1:$E$6957,"Blasdelezo",[1]InfCualitativo!$H$1:$H$6957,"urgencia")</f>
        <v>0</v>
      </c>
      <c r="AE9" s="30">
        <f t="shared" si="14"/>
        <v>1</v>
      </c>
      <c r="AF9" s="30">
        <f t="shared" si="15"/>
        <v>0</v>
      </c>
      <c r="AG9" s="27">
        <f>COUNTIFS([1]InfCualitativo!$B$1:$B$6957,"VERDADERO",[1]InfCualitativo!$E$1:$E$6957,"Blasdelezo",[1]InfCualitativo!$H$1:$H$6957,"pediatria")</f>
        <v>18</v>
      </c>
      <c r="AH9" s="27">
        <f>COUNTIFS([1]InfCualitativo!$B$1:$B$6957,"FALSO",[1]InfCualitativo!$E$1:$E$6957,"Blasdelezo",[1]InfCualitativo!$H$1:$H$6957,"pediatria")</f>
        <v>0</v>
      </c>
      <c r="AI9" s="30">
        <f t="shared" si="16"/>
        <v>1</v>
      </c>
      <c r="AJ9" s="30">
        <f t="shared" si="17"/>
        <v>0</v>
      </c>
      <c r="AK9" s="27">
        <f>COUNTIFS([1]InfCualitativo!$B$1:$B$6957,"VERDADERO",[1]InfCualitativo!$E$1:$E$6957,"Blasdelezo",[1]InfCualitativo!$H$1:$H$6957,"medicina_interna")</f>
        <v>29</v>
      </c>
      <c r="AL9" s="27">
        <f>COUNTIFS([1]InfCualitativo!$B$1:$B$6957,"FALSO",[1]InfCualitativo!$E$1:$E$6957,"Blasdelezo",[1]InfCualitativo!$H$1:$H$6957,"medicina_interna")</f>
        <v>0</v>
      </c>
      <c r="AM9" s="30">
        <f t="shared" si="18"/>
        <v>1</v>
      </c>
      <c r="AN9" s="30">
        <f t="shared" si="19"/>
        <v>0</v>
      </c>
      <c r="AO9" s="27">
        <f>COUNTIFS([1]InfCualitativo!$B$1:$B$6957,"VERDADERO",[1]InfCualitativo!$E$1:$E$6957,"Blasdelezo",[1]InfCualitativo!$H$1:$H$6957,"ginecologia")</f>
        <v>0</v>
      </c>
      <c r="AP9" s="27">
        <f>COUNTIFS([1]InfCualitativo!$B$1:$B$6957,"FALSO",[1]InfCualitativo!$E$1:$E$6957,"Blasdelezo",[1]InfCualitativo!$H$1:$H$6957,"ginecologia")</f>
        <v>0</v>
      </c>
      <c r="AQ9" s="30">
        <f t="shared" si="20"/>
        <v>0</v>
      </c>
      <c r="AR9" s="30">
        <f t="shared" si="21"/>
        <v>0</v>
      </c>
      <c r="AS9" s="27">
        <f t="shared" si="22"/>
        <v>218</v>
      </c>
      <c r="AT9" s="27">
        <f t="shared" si="22"/>
        <v>0</v>
      </c>
      <c r="AU9" s="32">
        <f t="shared" si="23"/>
        <v>1</v>
      </c>
      <c r="AV9" s="32">
        <f t="shared" si="24"/>
        <v>0</v>
      </c>
    </row>
    <row r="10" spans="1:48" ht="18.75" x14ac:dyDescent="0.3">
      <c r="A10" s="26" t="s">
        <v>29</v>
      </c>
      <c r="B10" s="27">
        <v>184</v>
      </c>
      <c r="C10" s="27">
        <f t="shared" si="1"/>
        <v>129</v>
      </c>
      <c r="D10" s="33">
        <f t="shared" si="0"/>
        <v>70.108695652173907</v>
      </c>
      <c r="E10" s="29">
        <f>COUNTIFS([1]InfCualitativo!$B$1:$B$6957,"VERDADERO",[1]InfCualitativo!$E$1:$E$6957,"Bocachica",[1]InfCualitativo!$H$1:$H$6957,"consulta_externa")</f>
        <v>60</v>
      </c>
      <c r="F10" s="29">
        <f>COUNTIFS([1]InfCualitativo!$B$1:$B$6957,"FALSO",[1]InfCualitativo!$E$1:$E$6957,"Bocachica",[1]InfCualitativo!$H$1:$H$6957,"consulta_externa")</f>
        <v>0</v>
      </c>
      <c r="G10" s="30">
        <f t="shared" si="2"/>
        <v>1</v>
      </c>
      <c r="H10" s="30">
        <f t="shared" si="3"/>
        <v>0</v>
      </c>
      <c r="I10" s="27">
        <f>COUNTIFS([1]InfCualitativo!$B$1:$B$6957,"VERDADERO",[1]InfCualitativo!$E$1:$E$6957,"Bocachica",[1]InfCualitativo!$H$1:$H$6957,"salud_oral")</f>
        <v>27</v>
      </c>
      <c r="J10" s="27">
        <f>COUNTIFS([1]InfCualitativo!$B$1:$B$6957,"FALSO",[1]InfCualitativo!$E$1:$E$6957,"Bocachica",[1]InfCualitativo!$H$1:$H$6957,"salud_oral")</f>
        <v>0</v>
      </c>
      <c r="K10" s="30">
        <f t="shared" si="4"/>
        <v>1</v>
      </c>
      <c r="L10" s="30">
        <f t="shared" si="5"/>
        <v>0</v>
      </c>
      <c r="M10" s="27">
        <f>COUNTIFS([1]InfCualitativo!$B$1:$B$6957,"VERDADERO",[1]InfCualitativo!$E$1:$E$6957,"Bocachica",[1]InfCualitativo!$H$1:$H$6957,"laboratorio")</f>
        <v>26</v>
      </c>
      <c r="N10" s="27">
        <f>COUNTIFS([1]InfCualitativo!$B$1:$B$6957,"FALSO",[1]InfCualitativo!$E$1:$E$6957,"Bocachica",[1]InfCualitativo!$H$1:$H$6957,"laboratorio")</f>
        <v>0</v>
      </c>
      <c r="O10" s="30">
        <f t="shared" si="6"/>
        <v>1</v>
      </c>
      <c r="P10" s="31">
        <f t="shared" si="7"/>
        <v>0</v>
      </c>
      <c r="Q10" s="27">
        <f>COUNTIFS([1]InfCualitativo!$B$1:$B$6957,"VERDADERO",[1]InfCualitativo!$E$1:$E$6957,"Bocachica",[1]InfCualitativo!$H$1:$H$6957,"electros")</f>
        <v>0</v>
      </c>
      <c r="R10" s="27">
        <f>COUNTIFS([1]InfCualitativo!$B$1:$B$6957,"FALSO",[1]InfCualitativo!$E$1:$E$6957,"Bocachica",[1]InfCualitativo!$H$1:$H$6957,"electros")</f>
        <v>0</v>
      </c>
      <c r="S10" s="30">
        <f t="shared" si="8"/>
        <v>0</v>
      </c>
      <c r="T10" s="30">
        <f t="shared" si="9"/>
        <v>0</v>
      </c>
      <c r="U10" s="27">
        <f>COUNTIFS([1]InfCualitativo!$B$1:$B$6957,"VERDADERO",[1]InfCualitativo!$E$1:$E$6957,"Bocachica",[1]InfCualitativo!$H$1:$H$6957,"rx")</f>
        <v>0</v>
      </c>
      <c r="V10" s="27">
        <f>COUNTIFS([1]InfCualitativo!$B$1:$B$6957,"FALSO",[1]InfCualitativo!$E$1:$E$6957,"Bocachica",[1]InfCualitativo!$H$1:$H$6957,"rx")</f>
        <v>0</v>
      </c>
      <c r="W10" s="30">
        <f t="shared" si="10"/>
        <v>0</v>
      </c>
      <c r="X10" s="30">
        <f t="shared" si="11"/>
        <v>0</v>
      </c>
      <c r="Y10" s="27">
        <f>COUNTIFS([1]InfCualitativo!$B$1:$B$6957,"VERDADERO",[1]InfCualitativo!$E$1:$E$6957,"Bocachica",[1]InfCualitativo!$H$1:$H$6957,"ecografias")</f>
        <v>5</v>
      </c>
      <c r="Z10" s="27">
        <f>COUNTIFS([1]InfCualitativo!$B$1:$B$6957,"FALSO",[1]InfCualitativo!$E$1:$E$6957,"Bocachica",[1]InfCualitativo!$H$1:$H$6957,"ecografias")</f>
        <v>0</v>
      </c>
      <c r="AA10" s="30">
        <f t="shared" si="12"/>
        <v>1</v>
      </c>
      <c r="AB10" s="30">
        <f t="shared" si="13"/>
        <v>0</v>
      </c>
      <c r="AC10" s="27">
        <f>COUNTIFS([1]InfCualitativo!$B$1:$B$6957,"VERDADERO",[1]InfCualitativo!$E$1:$E$6957,"Bocachica",[1]InfCualitativo!$H$1:$H$6957,"urgencia")</f>
        <v>11</v>
      </c>
      <c r="AD10" s="27">
        <f>COUNTIFS([1]InfCualitativo!$B$1:$B$6957,"FALSO",[1]InfCualitativo!$E$1:$E$6957,"Bocachica",[1]InfCualitativo!$H$1:$H$6957,"urgencia")</f>
        <v>0</v>
      </c>
      <c r="AE10" s="30">
        <f t="shared" si="14"/>
        <v>1</v>
      </c>
      <c r="AF10" s="30">
        <f t="shared" si="15"/>
        <v>0</v>
      </c>
      <c r="AG10" s="27">
        <f>COUNTIFS([1]InfCualitativo!$B$1:$B$6957,"VERDADERO",[1]InfCualitativo!$E$1:$E$6957,"Bocachica",[1]InfCualitativo!$H$1:$H$6957,"pediatria")</f>
        <v>0</v>
      </c>
      <c r="AH10" s="27">
        <f>COUNTIFS([1]InfCualitativo!$B$1:$B$6957,"FALSO",[1]InfCualitativo!$E$1:$E$6957,"Bocachica",[1]InfCualitativo!$H$1:$H$6957,"pediatria")</f>
        <v>0</v>
      </c>
      <c r="AI10" s="30">
        <f t="shared" si="16"/>
        <v>0</v>
      </c>
      <c r="AJ10" s="30">
        <f t="shared" si="17"/>
        <v>0</v>
      </c>
      <c r="AK10" s="27">
        <f>COUNTIFS([1]InfCualitativo!$B$1:$B$6957,"VERDADERO",[1]InfCualitativo!$E$1:$E$6957,"Bocachica",[1]InfCualitativo!$H$1:$H$6957,"medicina_interna")</f>
        <v>0</v>
      </c>
      <c r="AL10" s="27">
        <f>COUNTIFS([1]InfCualitativo!$B$1:$B$6957,"FALSO",[1]InfCualitativo!$E$1:$E$6957,"Bocachica",[1]InfCualitativo!$H$1:$H$6957,"medicina_interna")</f>
        <v>0</v>
      </c>
      <c r="AM10" s="30">
        <f t="shared" si="18"/>
        <v>0</v>
      </c>
      <c r="AN10" s="30">
        <f t="shared" si="19"/>
        <v>0</v>
      </c>
      <c r="AO10" s="27">
        <f>COUNTIFS([1]InfCualitativo!$B$1:$B$6957,"VERDADERO",[1]InfCualitativo!$E$1:$E$6957,"Bocachica",[1]InfCualitativo!$H$1:$H$6957,"ginecologia")</f>
        <v>0</v>
      </c>
      <c r="AP10" s="27">
        <f>COUNTIFS([1]InfCualitativo!$B$1:$B$6957,"FALSO",[1]InfCualitativo!$E$1:$E$6957,"Bocachica",[1]InfCualitativo!$H$1:$H$6957,"ginecologia")</f>
        <v>0</v>
      </c>
      <c r="AQ10" s="30">
        <f t="shared" si="20"/>
        <v>0</v>
      </c>
      <c r="AR10" s="30">
        <f t="shared" si="21"/>
        <v>0</v>
      </c>
      <c r="AS10" s="27">
        <f t="shared" si="22"/>
        <v>129</v>
      </c>
      <c r="AT10" s="27">
        <f t="shared" si="22"/>
        <v>0</v>
      </c>
      <c r="AU10" s="32">
        <f t="shared" si="23"/>
        <v>1</v>
      </c>
      <c r="AV10" s="32">
        <f t="shared" si="24"/>
        <v>0</v>
      </c>
    </row>
    <row r="11" spans="1:48" ht="18.75" x14ac:dyDescent="0.3">
      <c r="A11" s="26" t="s">
        <v>30</v>
      </c>
      <c r="B11" s="27">
        <v>192</v>
      </c>
      <c r="C11" s="27">
        <f t="shared" si="1"/>
        <v>191</v>
      </c>
      <c r="D11" s="28">
        <f t="shared" si="0"/>
        <v>99.479166666666671</v>
      </c>
      <c r="E11" s="29">
        <f>COUNTIFS([1]InfCualitativo!$B$1:$B$6957,"VERDADERO",[1]InfCualitativo!$E$1:$E$6957,"Boquilla",[1]InfCualitativo!$H$1:$H$6957,"consulta_externa")</f>
        <v>90</v>
      </c>
      <c r="F11" s="29">
        <f>COUNTIFS([1]InfCualitativo!$B$1:$B$6957,"FALSO",[1]InfCualitativo!$E$1:$E$6957,"Boquilla",[1]InfCualitativo!$H$1:$H$6957,"consulta_externa")</f>
        <v>0</v>
      </c>
      <c r="G11" s="30">
        <f t="shared" si="2"/>
        <v>1</v>
      </c>
      <c r="H11" s="30">
        <f t="shared" si="3"/>
        <v>0</v>
      </c>
      <c r="I11" s="27">
        <f>COUNTIFS([1]InfCualitativo!$B$1:$B$6957,"VERDADERO",[1]InfCualitativo!$E$1:$E$6957,"Boquilla",[1]InfCualitativo!$H$1:$H$6957,"salud_oral")</f>
        <v>18</v>
      </c>
      <c r="J11" s="27">
        <f>COUNTIFS([1]InfCualitativo!$B$1:$B$6957,"FALSO",[1]InfCualitativo!$E$1:$E$6957,"Boquilla",[1]InfCualitativo!$H$1:$H$6957,"salud_oral")</f>
        <v>0</v>
      </c>
      <c r="K11" s="30">
        <f t="shared" si="4"/>
        <v>1</v>
      </c>
      <c r="L11" s="30">
        <f t="shared" si="5"/>
        <v>0</v>
      </c>
      <c r="M11" s="27">
        <f>COUNTIFS([1]InfCualitativo!$B$1:$B$6957,"VERDADERO",[1]InfCualitativo!$E$1:$E$6957,"Boquilla",[1]InfCualitativo!$H$1:$H$6957,"laboratorio")</f>
        <v>25</v>
      </c>
      <c r="N11" s="27">
        <f>COUNTIFS([1]InfCualitativo!$B$1:$B$6957,"FALSO",[1]InfCualitativo!$E$1:$E$6957,"Boquilla",[1]InfCualitativo!$H$1:$H$6957,"laboratorio")</f>
        <v>0</v>
      </c>
      <c r="O11" s="30">
        <f t="shared" si="6"/>
        <v>1</v>
      </c>
      <c r="P11" s="31">
        <f t="shared" si="7"/>
        <v>0</v>
      </c>
      <c r="Q11" s="27">
        <f>COUNTIFS([1]InfCualitativo!$B$1:$B$6957,"VERDADERO",[1]InfCualitativo!$E$1:$E$6957,"Boquilla",[1]InfCualitativo!$H$1:$H$6957,"electros")</f>
        <v>0</v>
      </c>
      <c r="R11" s="27">
        <f>COUNTIFS([1]InfCualitativo!$B$1:$B$6957,"FALSO",[1]InfCualitativo!$E$1:$E$6957,"Boquilla",[1]InfCualitativo!$H$1:$H$6957,"electros")</f>
        <v>0</v>
      </c>
      <c r="S11" s="30">
        <f t="shared" si="8"/>
        <v>0</v>
      </c>
      <c r="T11" s="30">
        <f t="shared" si="9"/>
        <v>0</v>
      </c>
      <c r="U11" s="27">
        <f>COUNTIFS([1]InfCualitativo!$B$1:$B$6957,"VERDADERO",[1]InfCualitativo!$E$1:$E$6957,"Boquilla",[1]InfCualitativo!$H$1:$H$6957,"rx")</f>
        <v>0</v>
      </c>
      <c r="V11" s="27">
        <f>COUNTIFS([1]InfCualitativo!$B$1:$B$6957,"FALSO",[1]InfCualitativo!$E$1:$E$6957,"Boquilla",[1]InfCualitativo!$H$1:$H$6957,"rx")</f>
        <v>0</v>
      </c>
      <c r="W11" s="30">
        <f t="shared" si="10"/>
        <v>0</v>
      </c>
      <c r="X11" s="30">
        <f t="shared" si="11"/>
        <v>0</v>
      </c>
      <c r="Y11" s="27">
        <f>COUNTIFS([1]InfCualitativo!$B$1:$B$6957,"VERDADERO",[1]InfCualitativo!$E$1:$E$6957,"Boquilla",[1]InfCualitativo!$H$1:$H$6957,"ecografias")</f>
        <v>0</v>
      </c>
      <c r="Z11" s="27">
        <f>COUNTIFS([1]InfCualitativo!$B$1:$B$6957,"FALSO",[1]InfCualitativo!$E$1:$E$6957,"Boquilla",[1]InfCualitativo!$H$1:$H$6957,"ecografias")</f>
        <v>0</v>
      </c>
      <c r="AA11" s="30">
        <f t="shared" si="12"/>
        <v>0</v>
      </c>
      <c r="AB11" s="30">
        <f t="shared" si="13"/>
        <v>0</v>
      </c>
      <c r="AC11" s="27">
        <f>COUNTIFS([1]InfCualitativo!$B$1:$B$6957,"VERDADERO",[1]InfCualitativo!$E$1:$E$6957,"Boquilla",[1]InfCualitativo!$H$1:$H$6957,"urgencia")</f>
        <v>58</v>
      </c>
      <c r="AD11" s="27">
        <f>COUNTIFS([1]InfCualitativo!$B$1:$B$6957,"FALSO",[1]InfCualitativo!$E$1:$E$6957,"Boquilla",[1]InfCualitativo!$H$1:$H$6957,"urgencia")</f>
        <v>0</v>
      </c>
      <c r="AE11" s="30">
        <f t="shared" si="14"/>
        <v>1</v>
      </c>
      <c r="AF11" s="30">
        <f t="shared" si="15"/>
        <v>0</v>
      </c>
      <c r="AG11" s="27">
        <f>COUNTIFS([1]InfCualitativo!$B$1:$B$6957,"VERDADERO",[1]InfCualitativo!$E$1:$E$6957,"Boquilla",[1]InfCualitativo!$H$1:$H$6957,"pediatria")</f>
        <v>0</v>
      </c>
      <c r="AH11" s="27">
        <f>COUNTIFS([1]InfCualitativo!$B$1:$B$6957,"FALSO",[1]InfCualitativo!$E$1:$E$6957,"Boquilla",[1]InfCualitativo!$H$1:$H$6957,"pediatria")</f>
        <v>0</v>
      </c>
      <c r="AI11" s="30">
        <f t="shared" si="16"/>
        <v>0</v>
      </c>
      <c r="AJ11" s="30">
        <f t="shared" si="17"/>
        <v>0</v>
      </c>
      <c r="AK11" s="27">
        <f>COUNTIFS([1]InfCualitativo!$B$1:$B$6957,"VERDADERO",[1]InfCualitativo!$E$1:$E$6957,"Boquilla",[1]InfCualitativo!$H$1:$H$6957,"medicina_interna")</f>
        <v>0</v>
      </c>
      <c r="AL11" s="27">
        <f>COUNTIFS([1]InfCualitativo!$B$1:$B$6957,"FALSO",[1]InfCualitativo!$E$1:$E$6957,"Boquilla",[1]InfCualitativo!$H$1:$H$6957,"medicina_interna")</f>
        <v>0</v>
      </c>
      <c r="AM11" s="30">
        <f t="shared" si="18"/>
        <v>0</v>
      </c>
      <c r="AN11" s="30">
        <f t="shared" si="19"/>
        <v>0</v>
      </c>
      <c r="AO11" s="27">
        <f>COUNTIFS([1]InfCualitativo!$B$1:$B$6957,"VERDADERO",[1]InfCualitativo!$E$1:$E$6957,"Boquilla",[1]InfCualitativo!$H$1:$H$6957,"ginecologia")</f>
        <v>0</v>
      </c>
      <c r="AP11" s="27">
        <f>COUNTIFS([1]InfCualitativo!$B$1:$B$6957,"FALSO",[1]InfCualitativo!$E$1:$E$6957,"Boquilla",[1]InfCualitativo!$H$1:$H$6957,"ginecologia")</f>
        <v>0</v>
      </c>
      <c r="AQ11" s="30">
        <f t="shared" si="20"/>
        <v>0</v>
      </c>
      <c r="AR11" s="30">
        <f t="shared" si="21"/>
        <v>0</v>
      </c>
      <c r="AS11" s="27">
        <f t="shared" si="22"/>
        <v>191</v>
      </c>
      <c r="AT11" s="27">
        <f t="shared" si="22"/>
        <v>0</v>
      </c>
      <c r="AU11" s="32">
        <f t="shared" si="23"/>
        <v>1</v>
      </c>
      <c r="AV11" s="32">
        <f t="shared" si="24"/>
        <v>0</v>
      </c>
    </row>
    <row r="12" spans="1:48" ht="18.75" x14ac:dyDescent="0.3">
      <c r="A12" s="26" t="s">
        <v>31</v>
      </c>
      <c r="B12" s="27">
        <v>113</v>
      </c>
      <c r="C12" s="27">
        <f t="shared" si="1"/>
        <v>113</v>
      </c>
      <c r="D12" s="28">
        <f t="shared" si="0"/>
        <v>100</v>
      </c>
      <c r="E12" s="29">
        <f>COUNTIFS([1]InfCualitativo!$B$1:$B$6957,"VERDADERO",[1]InfCualitativo!$E$1:$E$6957,"Bosque",[1]InfCualitativo!$H$1:$H$6957,"consulta_externa")</f>
        <v>38</v>
      </c>
      <c r="F12" s="29">
        <f>COUNTIFS([1]InfCualitativo!$B$1:$B$6957,"FALSO",[1]InfCualitativo!$E$1:$E$6957,"Bosque",[1]InfCualitativo!$H$1:$H$6957,"consulta_externa")</f>
        <v>0</v>
      </c>
      <c r="G12" s="30">
        <f t="shared" si="2"/>
        <v>1</v>
      </c>
      <c r="H12" s="30">
        <f t="shared" si="3"/>
        <v>0</v>
      </c>
      <c r="I12" s="27">
        <f>COUNTIFS([1]InfCualitativo!$B$1:$B$6957,"VERDADERO",[1]InfCualitativo!$E$1:$E$6957,"Bosque",[1]InfCualitativo!$H$1:$H$6957,"salud_oral")</f>
        <v>38</v>
      </c>
      <c r="J12" s="27">
        <f>COUNTIFS([1]InfCualitativo!$B$1:$B$6957,"FALSO",[1]InfCualitativo!$E$1:$E$6957,"Bosque",[1]InfCualitativo!$H$1:$H$6957,"salud_oral")</f>
        <v>0</v>
      </c>
      <c r="K12" s="30">
        <f t="shared" si="4"/>
        <v>1</v>
      </c>
      <c r="L12" s="30">
        <f t="shared" si="5"/>
        <v>0</v>
      </c>
      <c r="M12" s="27">
        <f>COUNTIFS([1]InfCualitativo!$B$1:$B$6957,"VERDADERO",[1]InfCualitativo!$E$1:$E$6957,"Bosque",[1]InfCualitativo!$H$1:$H$6957,"laboratorio")</f>
        <v>37</v>
      </c>
      <c r="N12" s="27">
        <f>COUNTIFS([1]InfCualitativo!$B$1:$B$6957,"FALSO",[1]InfCualitativo!$E$1:$E$6957,"Bosque",[1]InfCualitativo!$H$1:$H$6957,"laboratorio")</f>
        <v>0</v>
      </c>
      <c r="O12" s="30">
        <f t="shared" si="6"/>
        <v>1</v>
      </c>
      <c r="P12" s="31">
        <f t="shared" si="7"/>
        <v>0</v>
      </c>
      <c r="Q12" s="27">
        <f>COUNTIFS([1]InfCualitativo!$B$1:$B$6957,"VERDADERO",[1]InfCualitativo!$E$1:$E$6957,"Bosque",[1]InfCualitativo!$H$1:$H$6957,"electros")</f>
        <v>0</v>
      </c>
      <c r="R12" s="27">
        <f>COUNTIFS([1]InfCualitativo!$B$1:$B$6957,"FALSO",[1]InfCualitativo!$E$1:$E$6957,"Bosque",[1]InfCualitativo!$H$1:$H$6957,"electros")</f>
        <v>0</v>
      </c>
      <c r="S12" s="30">
        <f t="shared" si="8"/>
        <v>0</v>
      </c>
      <c r="T12" s="30">
        <f t="shared" si="9"/>
        <v>0</v>
      </c>
      <c r="U12" s="27">
        <f>COUNTIFS([1]InfCualitativo!$B$1:$B$6957,"VERDADERO",[1]InfCualitativo!$E$1:$E$6957,"Bosque",[1]InfCualitativo!$H$1:$H$6957,"rx")</f>
        <v>0</v>
      </c>
      <c r="V12" s="27">
        <f>COUNTIFS([1]InfCualitativo!$B$1:$B$6957,"FALSO",[1]InfCualitativo!$E$1:$E$6957,"Bosque",[1]InfCualitativo!$H$1:$H$6957,"rx")</f>
        <v>0</v>
      </c>
      <c r="W12" s="30">
        <f t="shared" si="10"/>
        <v>0</v>
      </c>
      <c r="X12" s="30">
        <f t="shared" si="11"/>
        <v>0</v>
      </c>
      <c r="Y12" s="27">
        <f>COUNTIFS([1]InfCualitativo!$B$1:$B$6957,"VERDADERO",[1]InfCualitativo!$E$1:$E$6957,"Bosque",[1]InfCualitativo!$H$1:$H$6957,"ecografias")</f>
        <v>0</v>
      </c>
      <c r="Z12" s="27">
        <f>COUNTIFS([1]InfCualitativo!$B$1:$B$6957,"FALSO",[1]InfCualitativo!$E$1:$E$6957,"Bosque",[1]InfCualitativo!$H$1:$H$6957,"ecografias")</f>
        <v>0</v>
      </c>
      <c r="AA12" s="30">
        <f t="shared" si="12"/>
        <v>0</v>
      </c>
      <c r="AB12" s="30">
        <f t="shared" si="13"/>
        <v>0</v>
      </c>
      <c r="AC12" s="27">
        <f>COUNTIFS([1]InfCualitativo!$B$1:$B$6957,"VERDADERO",[1]InfCualitativo!$E$1:$E$6957,"Bosque",[1]InfCualitativo!$H$1:$H$6957,"urgencia")</f>
        <v>0</v>
      </c>
      <c r="AD12" s="27">
        <f>COUNTIFS([1]InfCualitativo!$B$1:$B$6957,"FALSO",[1]InfCualitativo!$E$1:$E$6957,"Bosque",[1]InfCualitativo!$H$1:$H$6957,"urgencia")</f>
        <v>0</v>
      </c>
      <c r="AE12" s="30">
        <f t="shared" si="14"/>
        <v>0</v>
      </c>
      <c r="AF12" s="30">
        <f t="shared" si="15"/>
        <v>0</v>
      </c>
      <c r="AG12" s="27">
        <f>COUNTIFS([1]InfCualitativo!$B$1:$B$6957,"VERDADERO",[1]InfCualitativo!$E$1:$E$6957,"Bosque",[1]InfCualitativo!$H$1:$H$6957,"pediatria")</f>
        <v>0</v>
      </c>
      <c r="AH12" s="27">
        <f>COUNTIFS([1]InfCualitativo!$B$1:$B$6957,"FALSO",[1]InfCualitativo!$E$1:$E$6957,"Bosque",[1]InfCualitativo!$H$1:$H$6957,"pediatria")</f>
        <v>0</v>
      </c>
      <c r="AI12" s="30">
        <f t="shared" si="16"/>
        <v>0</v>
      </c>
      <c r="AJ12" s="30">
        <f t="shared" si="17"/>
        <v>0</v>
      </c>
      <c r="AK12" s="27">
        <f>COUNTIFS([1]InfCualitativo!$B$1:$B$6957,"VERDADERO",[1]InfCualitativo!$E$1:$E$6957,"Bosque",[1]InfCualitativo!$H$1:$H$6957,"medicina_interna")</f>
        <v>0</v>
      </c>
      <c r="AL12" s="27">
        <f>COUNTIFS([1]InfCualitativo!$B$1:$B$6957,"FALSO",[1]InfCualitativo!$E$1:$E$6957,"Bosque",[1]InfCualitativo!$H$1:$H$6957,"medicina_interna")</f>
        <v>0</v>
      </c>
      <c r="AM12" s="30">
        <f t="shared" si="18"/>
        <v>0</v>
      </c>
      <c r="AN12" s="30">
        <f t="shared" si="19"/>
        <v>0</v>
      </c>
      <c r="AO12" s="27">
        <f>COUNTIFS([1]InfCualitativo!$B$1:$B$6957,"VERDADERO",[1]InfCualitativo!$E$1:$E$6957,"Bosque",[1]InfCualitativo!$H$1:$H$6957,"ginecologia")</f>
        <v>0</v>
      </c>
      <c r="AP12" s="27">
        <f>COUNTIFS([1]InfCualitativo!$B$1:$B$6957,"FALSO",[1]InfCualitativo!$E$1:$E$6957,"Bosque",[1]InfCualitativo!$H$1:$H$6957,"ginecologia")</f>
        <v>0</v>
      </c>
      <c r="AQ12" s="30">
        <f t="shared" si="20"/>
        <v>0</v>
      </c>
      <c r="AR12" s="30">
        <f t="shared" si="21"/>
        <v>0</v>
      </c>
      <c r="AS12" s="27">
        <f t="shared" si="22"/>
        <v>113</v>
      </c>
      <c r="AT12" s="27">
        <f t="shared" si="22"/>
        <v>0</v>
      </c>
      <c r="AU12" s="32">
        <f t="shared" si="23"/>
        <v>1</v>
      </c>
      <c r="AV12" s="32">
        <f t="shared" si="24"/>
        <v>0</v>
      </c>
    </row>
    <row r="13" spans="1:48" ht="18.75" x14ac:dyDescent="0.3">
      <c r="A13" s="26" t="s">
        <v>32</v>
      </c>
      <c r="B13" s="27">
        <v>44</v>
      </c>
      <c r="C13" s="27">
        <f t="shared" si="1"/>
        <v>42</v>
      </c>
      <c r="D13" s="28">
        <f t="shared" si="0"/>
        <v>95.454545454545453</v>
      </c>
      <c r="E13" s="29">
        <f>COUNTIFS([1]InfCualitativo!$B$1:$B$6957,"VERDADERO",[1]InfCualitativo!$E$1:$E$6957,"Boston",[1]InfCualitativo!$H$1:$H$6957,"consulta_externa")</f>
        <v>40</v>
      </c>
      <c r="F13" s="29">
        <f>COUNTIFS([1]InfCualitativo!$B$1:$B$6957,"FALSO",[1]InfCualitativo!$E$1:$E$6957,"Boston",[1]InfCualitativo!$H$1:$H$6957,"consulta_externa")</f>
        <v>2</v>
      </c>
      <c r="G13" s="30">
        <f t="shared" si="2"/>
        <v>0.95238095238095233</v>
      </c>
      <c r="H13" s="30">
        <f t="shared" si="3"/>
        <v>4.7619047619047616E-2</v>
      </c>
      <c r="I13" s="27">
        <f>COUNTIFS([1]InfCualitativo!$B$1:$B$6957,"VERDADERO",[1]InfCualitativo!$E$1:$E$6957,"Boston",[1]InfCualitativo!$H$1:$H$6957,"salud_oral")</f>
        <v>0</v>
      </c>
      <c r="J13" s="27">
        <f>COUNTIFS([1]InfCualitativo!$B$1:$B$6957,"FALSO",[1]InfCualitativo!$E$1:$E$6957,"Boston",[1]InfCualitativo!$H$1:$H$6957,"salud_oral")</f>
        <v>0</v>
      </c>
      <c r="K13" s="30">
        <f t="shared" si="4"/>
        <v>0</v>
      </c>
      <c r="L13" s="30">
        <f t="shared" si="5"/>
        <v>0</v>
      </c>
      <c r="M13" s="27">
        <f>COUNTIFS([1]InfCualitativo!$B$1:$B$6957,"VERDADERO",[1]InfCualitativo!$E$1:$E$6957,"Boston",[1]InfCualitativo!$H$1:$H$6957,"laboratorio")</f>
        <v>0</v>
      </c>
      <c r="N13" s="27">
        <f>COUNTIFS([1]InfCualitativo!$B$1:$B$6957,"FALSO",[1]InfCualitativo!$E$1:$E$6957,"Boston",[1]InfCualitativo!$H$1:$H$6957,"laboratorio")</f>
        <v>0</v>
      </c>
      <c r="O13" s="30">
        <f t="shared" si="6"/>
        <v>0</v>
      </c>
      <c r="P13" s="31">
        <f t="shared" si="7"/>
        <v>0</v>
      </c>
      <c r="Q13" s="27">
        <f>COUNTIFS([1]InfCualitativo!$B$1:$B$6957,"VERDADERO",[1]InfCualitativo!$E$1:$E$6957,"Boston",[1]InfCualitativo!$H$1:$H$6957,"electros")</f>
        <v>0</v>
      </c>
      <c r="R13" s="27">
        <f>COUNTIFS([1]InfCualitativo!$B$1:$B$6957,"FALSO",[1]InfCualitativo!$E$1:$E$6957,"Boston",[1]InfCualitativo!$H$1:$H$6957,"electros")</f>
        <v>0</v>
      </c>
      <c r="S13" s="30">
        <f t="shared" si="8"/>
        <v>0</v>
      </c>
      <c r="T13" s="30">
        <f t="shared" si="9"/>
        <v>0</v>
      </c>
      <c r="U13" s="27">
        <f>COUNTIFS([1]InfCualitativo!$B$1:$B$6957,"VERDADERO",[1]InfCualitativo!$E$1:$E$6957,"Boston",[1]InfCualitativo!$H$1:$H$6957,"rx")</f>
        <v>0</v>
      </c>
      <c r="V13" s="27">
        <f>COUNTIFS([1]InfCualitativo!$B$1:$B$6957,"FALSO",[1]InfCualitativo!$E$1:$E$6957,"Boston",[1]InfCualitativo!$H$1:$H$6957,"rx")</f>
        <v>0</v>
      </c>
      <c r="W13" s="30">
        <f t="shared" si="10"/>
        <v>0</v>
      </c>
      <c r="X13" s="30">
        <f t="shared" si="11"/>
        <v>0</v>
      </c>
      <c r="Y13" s="27">
        <f>COUNTIFS([1]InfCualitativo!$B$1:$B$6957,"VERDADERO",[1]InfCualitativo!$E$1:$E$6957,"Boston",[1]InfCualitativo!$H$1:$H$6957,"ecografias")</f>
        <v>0</v>
      </c>
      <c r="Z13" s="27">
        <f>COUNTIFS([1]InfCualitativo!$B$1:$B$6957,"FALSO",[1]InfCualitativo!$E$1:$E$6957,"Boston",[1]InfCualitativo!$H$1:$H$6957,"ecografias")</f>
        <v>0</v>
      </c>
      <c r="AA13" s="30">
        <f t="shared" si="12"/>
        <v>0</v>
      </c>
      <c r="AB13" s="30">
        <f t="shared" si="13"/>
        <v>0</v>
      </c>
      <c r="AC13" s="27">
        <f>COUNTIFS([1]InfCualitativo!$B$1:$B$6957,"VERDADERO",[1]InfCualitativo!$E$1:$E$6957,"Boston",[1]InfCualitativo!$H$1:$H$6957,"urgencia")</f>
        <v>0</v>
      </c>
      <c r="AD13" s="27">
        <f>COUNTIFS([1]InfCualitativo!$B$1:$B$6957,"FALSO",[1]InfCualitativo!$E$1:$E$6957,"Boston",[1]InfCualitativo!$H$1:$H$6957,"urgencia")</f>
        <v>0</v>
      </c>
      <c r="AE13" s="30">
        <f t="shared" si="14"/>
        <v>0</v>
      </c>
      <c r="AF13" s="30">
        <f t="shared" si="15"/>
        <v>0</v>
      </c>
      <c r="AG13" s="27">
        <f>COUNTIFS([1]InfCualitativo!$B$1:$B$6957,"VERDADERO",[1]InfCualitativo!$E$1:$E$6957,"Boston",[1]InfCualitativo!$H$1:$H$6957,"pediatria")</f>
        <v>0</v>
      </c>
      <c r="AH13" s="27">
        <f>COUNTIFS([1]InfCualitativo!$B$1:$B$6957,"FALSO",[1]InfCualitativo!$E$1:$E$6957,"Boston",[1]InfCualitativo!$H$1:$H$6957,"pediatria")</f>
        <v>0</v>
      </c>
      <c r="AI13" s="30">
        <f t="shared" si="16"/>
        <v>0</v>
      </c>
      <c r="AJ13" s="30">
        <f t="shared" si="17"/>
        <v>0</v>
      </c>
      <c r="AK13" s="27">
        <f>COUNTIFS([1]InfCualitativo!$B$1:$B$6957,"VERDADERO",[1]InfCualitativo!$E$1:$E$6957,"Boston",[1]InfCualitativo!$H$1:$H$6957,"medicina_interna")</f>
        <v>0</v>
      </c>
      <c r="AL13" s="27">
        <f>COUNTIFS([1]InfCualitativo!$B$1:$B$6957,"FALSO",[1]InfCualitativo!$E$1:$E$6957,"Boston",[1]InfCualitativo!$H$1:$H$6957,"medicina_interna")</f>
        <v>0</v>
      </c>
      <c r="AM13" s="30">
        <f t="shared" si="18"/>
        <v>0</v>
      </c>
      <c r="AN13" s="30">
        <f t="shared" si="19"/>
        <v>0</v>
      </c>
      <c r="AO13" s="27">
        <f>COUNTIFS([1]InfCualitativo!$B$1:$B$6957,"VERDADERO",[1]InfCualitativo!$E$1:$E$6957,"Boston",[1]InfCualitativo!$H$1:$H$6957,"ginecologia")</f>
        <v>0</v>
      </c>
      <c r="AP13" s="27">
        <f>COUNTIFS([1]InfCualitativo!$B$1:$B$6957,"FALSO",[1]InfCualitativo!$E$1:$E$6957,"Boston",[1]InfCualitativo!$H$1:$H$6957,"ginecologia")</f>
        <v>0</v>
      </c>
      <c r="AQ13" s="30">
        <f t="shared" si="20"/>
        <v>0</v>
      </c>
      <c r="AR13" s="30">
        <f t="shared" si="21"/>
        <v>0</v>
      </c>
      <c r="AS13" s="27">
        <f t="shared" si="22"/>
        <v>40</v>
      </c>
      <c r="AT13" s="27">
        <f t="shared" si="22"/>
        <v>2</v>
      </c>
      <c r="AU13" s="32">
        <f t="shared" si="23"/>
        <v>0.95238095238095233</v>
      </c>
      <c r="AV13" s="32">
        <f t="shared" si="24"/>
        <v>4.7619047619047616E-2</v>
      </c>
    </row>
    <row r="14" spans="1:48" ht="18.75" x14ac:dyDescent="0.3">
      <c r="A14" s="26" t="s">
        <v>33</v>
      </c>
      <c r="B14" s="27">
        <v>145</v>
      </c>
      <c r="C14" s="27">
        <f t="shared" si="1"/>
        <v>145</v>
      </c>
      <c r="D14" s="28">
        <f t="shared" si="0"/>
        <v>100</v>
      </c>
      <c r="E14" s="29">
        <f>COUNTIFS([1]InfCualitativo!$B$1:$B$6957,"VERDADERO",[1]InfCualitativo!$E$1:$E$6957,"Canapote",[1]InfCualitativo!$H$1:$H$6957,"consulta_externa")</f>
        <v>56</v>
      </c>
      <c r="F14" s="29">
        <f>COUNTIFS([1]InfCualitativo!$B$1:$B$6957,"FALSO",[1]InfCualitativo!$E$1:$E$6957,"Canapote",[1]InfCualitativo!$H$1:$H$6957,"consulta_externa")</f>
        <v>0</v>
      </c>
      <c r="G14" s="30">
        <f t="shared" si="2"/>
        <v>1</v>
      </c>
      <c r="H14" s="30">
        <f t="shared" si="3"/>
        <v>0</v>
      </c>
      <c r="I14" s="27">
        <f>COUNTIFS([1]InfCualitativo!$B$1:$B$6957,"VERDADERO",[1]InfCualitativo!$E$1:$E$6957,"Canapote",[1]InfCualitativo!$H$1:$H$6957,"salud_oral")</f>
        <v>33</v>
      </c>
      <c r="J14" s="27">
        <f>COUNTIFS([1]InfCualitativo!$B$1:$B$6957,"FALSO",[1]InfCualitativo!$E$1:$E$6957,"Canapote",[1]InfCualitativo!$H$1:$H$6957,"salud_oral")</f>
        <v>0</v>
      </c>
      <c r="K14" s="30">
        <f t="shared" si="4"/>
        <v>1</v>
      </c>
      <c r="L14" s="30">
        <f t="shared" si="5"/>
        <v>0</v>
      </c>
      <c r="M14" s="27">
        <f>COUNTIFS([1]InfCualitativo!$B$1:$B$6957,"VERDADERO",[1]InfCualitativo!$E$1:$E$6957,"Canapote",[1]InfCualitativo!$H$1:$H$6957,"laboratorio")</f>
        <v>56</v>
      </c>
      <c r="N14" s="27">
        <f>COUNTIFS([1]InfCualitativo!$B$1:$B$6957,"FALSO",[1]InfCualitativo!$E$1:$E$6957,"Canapote",[1]InfCualitativo!$H$1:$H$6957,"laboratorio")</f>
        <v>0</v>
      </c>
      <c r="O14" s="30">
        <f t="shared" si="6"/>
        <v>1</v>
      </c>
      <c r="P14" s="31">
        <f t="shared" si="7"/>
        <v>0</v>
      </c>
      <c r="Q14" s="27">
        <f>COUNTIFS([1]InfCualitativo!$B$1:$B$6957,"VERDADERO",[1]InfCualitativo!$E$1:$E$6957,"Canapote",[1]InfCualitativo!$H$1:$H$6957,"electros")</f>
        <v>0</v>
      </c>
      <c r="R14" s="27">
        <f>COUNTIFS([1]InfCualitativo!$B$1:$B$6957,"FALSO",[1]InfCualitativo!$E$1:$E$6957,"Canapote",[1]InfCualitativo!$H$1:$H$6957,"electros")</f>
        <v>0</v>
      </c>
      <c r="S14" s="30">
        <f t="shared" si="8"/>
        <v>0</v>
      </c>
      <c r="T14" s="30">
        <f t="shared" si="9"/>
        <v>0</v>
      </c>
      <c r="U14" s="27">
        <f>COUNTIFS([1]InfCualitativo!$B$1:$B$6957,"VERDADERO",[1]InfCualitativo!$E$1:$E$6957,"Canapote",[1]InfCualitativo!$H$1:$H$6957,"rx")</f>
        <v>0</v>
      </c>
      <c r="V14" s="27">
        <f>COUNTIFS([1]InfCualitativo!$B$1:$B$6957,"FALSO",[1]InfCualitativo!$E$1:$E$6957,"Canapote",[1]InfCualitativo!$H$1:$H$6957,"rx")</f>
        <v>0</v>
      </c>
      <c r="W14" s="30">
        <f t="shared" si="10"/>
        <v>0</v>
      </c>
      <c r="X14" s="30">
        <f t="shared" si="11"/>
        <v>0</v>
      </c>
      <c r="Y14" s="27">
        <f>COUNTIFS([1]InfCualitativo!$B$1:$B$6957,"VERDADERO",[1]InfCualitativo!$E$1:$E$6957,"Canapote",[1]InfCualitativo!$H$1:$H$6957,"ecografias")</f>
        <v>0</v>
      </c>
      <c r="Z14" s="27">
        <f>COUNTIFS([1]InfCualitativo!$B$1:$B$6957,"FALSO",[1]InfCualitativo!$E$1:$E$6957,"Canapote",[1]InfCualitativo!$H$1:$H$6957,"ecografias")</f>
        <v>0</v>
      </c>
      <c r="AA14" s="30">
        <f t="shared" si="12"/>
        <v>0</v>
      </c>
      <c r="AB14" s="30">
        <f t="shared" si="13"/>
        <v>0</v>
      </c>
      <c r="AC14" s="27">
        <f>COUNTIFS([1]InfCualitativo!$B$1:$B$6957,"VERDADERO",[1]InfCualitativo!$E$1:$E$6957,"Canapote",[1]InfCualitativo!$H$1:$H$6957,"urgencia")</f>
        <v>0</v>
      </c>
      <c r="AD14" s="27">
        <f>COUNTIFS([1]InfCualitativo!$B$1:$B$6957,"FALSO",[1]InfCualitativo!$E$1:$E$6957,"Canapote",[1]InfCualitativo!$H$1:$H$6957,"urgencia")</f>
        <v>0</v>
      </c>
      <c r="AE14" s="30">
        <f t="shared" si="14"/>
        <v>0</v>
      </c>
      <c r="AF14" s="30">
        <f t="shared" si="15"/>
        <v>0</v>
      </c>
      <c r="AG14" s="27">
        <f>COUNTIFS([1]InfCualitativo!$B$1:$B$6957,"VERDADERO",[1]InfCualitativo!$E$1:$E$6957,"Canapote",[1]InfCualitativo!$H$1:$H$6957,"pediatria")</f>
        <v>0</v>
      </c>
      <c r="AH14" s="27">
        <f>COUNTIFS([1]InfCualitativo!$B$1:$B$6957,"FALSO",[1]InfCualitativo!$E$1:$E$6957,"Canapote",[1]InfCualitativo!$H$1:$H$6957,"pediatria")</f>
        <v>0</v>
      </c>
      <c r="AI14" s="30">
        <f t="shared" si="16"/>
        <v>0</v>
      </c>
      <c r="AJ14" s="30">
        <f t="shared" si="17"/>
        <v>0</v>
      </c>
      <c r="AK14" s="27">
        <f>COUNTIFS([1]InfCualitativo!$B$1:$B$6957,"VERDADERO",[1]InfCualitativo!$E$1:$E$6957,"Canapote",[1]InfCualitativo!$H$1:$H$6957,"medicina_interna")</f>
        <v>0</v>
      </c>
      <c r="AL14" s="27">
        <f>COUNTIFS([1]InfCualitativo!$B$1:$B$6957,"FALSO",[1]InfCualitativo!$E$1:$E$6957,"Canapote",[1]InfCualitativo!$H$1:$H$6957,"medicina_interna")</f>
        <v>0</v>
      </c>
      <c r="AM14" s="30">
        <f t="shared" si="18"/>
        <v>0</v>
      </c>
      <c r="AN14" s="30">
        <f t="shared" si="19"/>
        <v>0</v>
      </c>
      <c r="AO14" s="27">
        <f>COUNTIFS([1]InfCualitativo!$B$1:$B$6957,"VERDADERO",[1]InfCualitativo!$E$1:$E$6957,"Canapote",[1]InfCualitativo!$H$1:$H$6957,"ginecologia")</f>
        <v>0</v>
      </c>
      <c r="AP14" s="27">
        <f>COUNTIFS([1]InfCualitativo!$B$1:$B$6957,"FALSO",[1]InfCualitativo!$E$1:$E$6957,"Canapote",[1]InfCualitativo!$H$1:$H$6957,"ginecologia")</f>
        <v>0</v>
      </c>
      <c r="AQ14" s="30">
        <f t="shared" si="20"/>
        <v>0</v>
      </c>
      <c r="AR14" s="30">
        <f t="shared" si="21"/>
        <v>0</v>
      </c>
      <c r="AS14" s="27">
        <f t="shared" si="22"/>
        <v>145</v>
      </c>
      <c r="AT14" s="27">
        <f t="shared" si="22"/>
        <v>0</v>
      </c>
      <c r="AU14" s="32">
        <f t="shared" si="23"/>
        <v>1</v>
      </c>
      <c r="AV14" s="32">
        <f t="shared" si="24"/>
        <v>0</v>
      </c>
    </row>
    <row r="15" spans="1:48" ht="18.75" x14ac:dyDescent="0.3">
      <c r="A15" s="26" t="s">
        <v>34</v>
      </c>
      <c r="B15" s="27">
        <v>268</v>
      </c>
      <c r="C15" s="27">
        <f t="shared" si="1"/>
        <v>257</v>
      </c>
      <c r="D15" s="28">
        <f t="shared" si="0"/>
        <v>95.895522388059703</v>
      </c>
      <c r="E15" s="29">
        <f>COUNTIFS([1]InfCualitativo!$B$1:$B$6957,"VERDADERO",[1]InfCualitativo!$E$1:$E$6957,"Candelaria",[1]InfCualitativo!$H$1:$H$6957,"consulta_externa")</f>
        <v>40</v>
      </c>
      <c r="F15" s="29">
        <f>COUNTIFS([1]InfCualitativo!$B$1:$B$6957,"FALSO",[1]InfCualitativo!$E$1:$E$6957,"Candelaria",[1]InfCualitativo!$H$1:$H$6957,"consulta_externa")</f>
        <v>8</v>
      </c>
      <c r="G15" s="30">
        <f t="shared" si="2"/>
        <v>0.83333333333333337</v>
      </c>
      <c r="H15" s="30">
        <f t="shared" si="3"/>
        <v>0.16666666666666666</v>
      </c>
      <c r="I15" s="27">
        <f>COUNTIFS([1]InfCualitativo!$B$1:$B$6957,"VERDADERO",[1]InfCualitativo!$E$1:$E$6957,"Candelaria",[1]InfCualitativo!$H$1:$H$6957,"salud_oral")</f>
        <v>42</v>
      </c>
      <c r="J15" s="27">
        <f>COUNTIFS([1]InfCualitativo!$B$1:$B$6957,"FALSO",[1]InfCualitativo!$E$1:$E$6957,"Candelaria",[1]InfCualitativo!$H$1:$H$6957,"salud_oral")</f>
        <v>6</v>
      </c>
      <c r="K15" s="30">
        <f t="shared" si="4"/>
        <v>0.875</v>
      </c>
      <c r="L15" s="30">
        <f t="shared" si="5"/>
        <v>0.125</v>
      </c>
      <c r="M15" s="27">
        <f>COUNTIFS([1]InfCualitativo!$B$1:$B$6957,"VERDADERO",[1]InfCualitativo!$E$1:$E$6957,"Candelaria",[1]InfCualitativo!$H$1:$H$6957,"laboratorio")</f>
        <v>37</v>
      </c>
      <c r="N15" s="27">
        <f>COUNTIFS([1]InfCualitativo!$B$1:$B$6957,"FALSO",[1]InfCualitativo!$E$1:$E$6957,"Candelaria",[1]InfCualitativo!$H$1:$H$6957,"laboratorio")</f>
        <v>11</v>
      </c>
      <c r="O15" s="30">
        <f t="shared" si="6"/>
        <v>0.77083333333333337</v>
      </c>
      <c r="P15" s="31">
        <f t="shared" si="7"/>
        <v>0.22916666666666666</v>
      </c>
      <c r="Q15" s="27">
        <f>COUNTIFS([1]InfCualitativo!$B$1:$B$6957,"VERDADERO",[1]InfCualitativo!$E$1:$E$6957,"Candelaria",[1]InfCualitativo!$H$1:$H$6957,"electros")</f>
        <v>39</v>
      </c>
      <c r="R15" s="27">
        <f>COUNTIFS([1]InfCualitativo!$B$1:$B$6957,"FALSO",[1]InfCualitativo!$E$1:$E$6957,"Candelaria",[1]InfCualitativo!$H$1:$H$6957,"electros")</f>
        <v>5</v>
      </c>
      <c r="S15" s="30">
        <f t="shared" si="8"/>
        <v>0.88636363636363635</v>
      </c>
      <c r="T15" s="30">
        <f t="shared" si="9"/>
        <v>0.11363636363636363</v>
      </c>
      <c r="U15" s="27">
        <f>COUNTIFS([1]InfCualitativo!$B$1:$B$6957,"VERDADERO",[1]InfCualitativo!$E$1:$E$6957,"Candelaria",[1]InfCualitativo!$H$1:$H$6957,"rx")</f>
        <v>0</v>
      </c>
      <c r="V15" s="27">
        <f>COUNTIFS([1]InfCualitativo!$B$1:$B$6957,"FALSO",[1]InfCualitativo!$E$1:$E$6957,"Candelaria",[1]InfCualitativo!$H$1:$H$6957,"rx")</f>
        <v>0</v>
      </c>
      <c r="W15" s="30">
        <f t="shared" si="10"/>
        <v>0</v>
      </c>
      <c r="X15" s="30">
        <f t="shared" si="11"/>
        <v>0</v>
      </c>
      <c r="Y15" s="27">
        <f>COUNTIFS([1]InfCualitativo!$B$1:$B$6957,"VERDADERO",[1]InfCualitativo!$E$1:$E$6957,"Candelaria",[1]InfCualitativo!$H$1:$H$6957,"ecografias")</f>
        <v>0</v>
      </c>
      <c r="Z15" s="27">
        <f>COUNTIFS([1]InfCualitativo!$B$1:$B$6957,"FALSO",[1]InfCualitativo!$E$1:$E$6957,"Candelaria",[1]InfCualitativo!$H$1:$H$6957,"ecografias")</f>
        <v>0</v>
      </c>
      <c r="AA15" s="30">
        <f t="shared" si="12"/>
        <v>0</v>
      </c>
      <c r="AB15" s="30">
        <f t="shared" si="13"/>
        <v>0</v>
      </c>
      <c r="AC15" s="27">
        <f>COUNTIFS([1]InfCualitativo!$B$1:$B$6957,"VERDADERO",[1]InfCualitativo!$E$1:$E$6957,"Candelaria",[1]InfCualitativo!$H$1:$H$6957,"urgencia")</f>
        <v>19</v>
      </c>
      <c r="AD15" s="27">
        <f>COUNTIFS([1]InfCualitativo!$B$1:$B$6957,"FALSO",[1]InfCualitativo!$E$1:$E$6957,"Candelaria",[1]InfCualitativo!$H$1:$H$6957,"urgencia")</f>
        <v>21</v>
      </c>
      <c r="AE15" s="30">
        <f t="shared" si="14"/>
        <v>0.47499999999999998</v>
      </c>
      <c r="AF15" s="30">
        <f t="shared" si="15"/>
        <v>0.52500000000000002</v>
      </c>
      <c r="AG15" s="27">
        <f>COUNTIFS([1]InfCualitativo!$B$1:$B$6957,"VERDADERO",[1]InfCualitativo!$E$1:$E$6957,"Candelaria",[1]InfCualitativo!$H$1:$H$6957,"pediatria")</f>
        <v>9</v>
      </c>
      <c r="AH15" s="27">
        <f>COUNTIFS([1]InfCualitativo!$B$1:$B$6957,"FALSO",[1]InfCualitativo!$E$1:$E$6957,"Candelaria",[1]InfCualitativo!$H$1:$H$6957,"pediatria")</f>
        <v>4</v>
      </c>
      <c r="AI15" s="30">
        <f t="shared" si="16"/>
        <v>0.69230769230769229</v>
      </c>
      <c r="AJ15" s="30">
        <f t="shared" si="17"/>
        <v>0.30769230769230771</v>
      </c>
      <c r="AK15" s="27">
        <f>COUNTIFS([1]InfCualitativo!$B$1:$B$6957,"VERDADERO",[1]InfCualitativo!$E$1:$E$6957,"Candelaria",[1]InfCualitativo!$H$1:$H$6957,"medicina_interna")</f>
        <v>16</v>
      </c>
      <c r="AL15" s="27">
        <f>COUNTIFS([1]InfCualitativo!$B$1:$B$6957,"FALSO",[1]InfCualitativo!$E$1:$E$6957,"Candelaria",[1]InfCualitativo!$H$1:$H$6957,"medicina_interna")</f>
        <v>0</v>
      </c>
      <c r="AM15" s="30">
        <f t="shared" si="18"/>
        <v>1</v>
      </c>
      <c r="AN15" s="30">
        <f t="shared" si="19"/>
        <v>0</v>
      </c>
      <c r="AO15" s="27">
        <f>COUNTIFS([1]InfCualitativo!$B$1:$B$6957,"VERDADERO",[1]InfCualitativo!$E$1:$E$6957,"Candelaria",[1]InfCualitativo!$H$1:$H$6957,"ginecologia")</f>
        <v>0</v>
      </c>
      <c r="AP15" s="27">
        <f>COUNTIFS([1]InfCualitativo!$B$1:$B$6957,"FALSO",[1]InfCualitativo!$E$1:$E$6957,"Candelaria",[1]InfCualitativo!$H$1:$H$6957,"ginecologia")</f>
        <v>0</v>
      </c>
      <c r="AQ15" s="30">
        <f t="shared" si="20"/>
        <v>0</v>
      </c>
      <c r="AR15" s="30">
        <f t="shared" si="21"/>
        <v>0</v>
      </c>
      <c r="AS15" s="27">
        <f t="shared" si="22"/>
        <v>202</v>
      </c>
      <c r="AT15" s="27">
        <f t="shared" si="22"/>
        <v>55</v>
      </c>
      <c r="AU15" s="32">
        <f t="shared" si="23"/>
        <v>0.78599221789883267</v>
      </c>
      <c r="AV15" s="32">
        <f t="shared" si="24"/>
        <v>0.2140077821011673</v>
      </c>
    </row>
    <row r="16" spans="1:48" ht="18.75" x14ac:dyDescent="0.3">
      <c r="A16" s="26" t="s">
        <v>35</v>
      </c>
      <c r="B16" s="27">
        <v>104</v>
      </c>
      <c r="C16" s="27">
        <f t="shared" si="1"/>
        <v>103</v>
      </c>
      <c r="D16" s="28">
        <f t="shared" si="0"/>
        <v>99.038461538461533</v>
      </c>
      <c r="E16" s="29">
        <f>COUNTIFS([1]InfCualitativo!$B$1:$B$6957,"VERDADERO",[1]InfCualitativo!$E$1:$E$6957,"Cano de oro",[1]InfCualitativo!$H$1:$H$6957,"consulta_externa")</f>
        <v>36</v>
      </c>
      <c r="F16" s="29">
        <f>COUNTIFS([1]InfCualitativo!$B$1:$B$6957,"FALSO",[1]InfCualitativo!$E$1:$E$6957,"Cano de oro",[1]InfCualitativo!$H$1:$H$6957,"consulta_externa")</f>
        <v>0</v>
      </c>
      <c r="G16" s="30">
        <f t="shared" si="2"/>
        <v>1</v>
      </c>
      <c r="H16" s="30">
        <f t="shared" si="3"/>
        <v>0</v>
      </c>
      <c r="I16" s="27">
        <f>COUNTIFS([1]InfCualitativo!$B$1:$B$6957,"VERDADERO",[1]InfCualitativo!$E$1:$E$6957,"Cano de oro",[1]InfCualitativo!$H$1:$H$6957,"salud_oral")</f>
        <v>28</v>
      </c>
      <c r="J16" s="27">
        <f>COUNTIFS([1]InfCualitativo!$B$1:$B$6957,"FALSO",[1]InfCualitativo!$E$1:$E$6957,"Cano de oro",[1]InfCualitativo!$H$1:$H$6957,"salud_oral")</f>
        <v>0</v>
      </c>
      <c r="K16" s="30">
        <f t="shared" si="4"/>
        <v>1</v>
      </c>
      <c r="L16" s="30">
        <f t="shared" si="5"/>
        <v>0</v>
      </c>
      <c r="M16" s="27">
        <f>COUNTIFS([1]InfCualitativo!$B$1:$B$6957,"VERDADERO",[1]InfCualitativo!$E$1:$E$6957,"Cano de oro",[1]InfCualitativo!$H$1:$H$6957,"laboratorio")</f>
        <v>39</v>
      </c>
      <c r="N16" s="27">
        <f>COUNTIFS([1]InfCualitativo!$B$1:$B$6957,"FALSO",[1]InfCualitativo!$E$1:$E$6957,"Cano de oro",[1]InfCualitativo!$H$1:$H$6957,"laboratorio")</f>
        <v>0</v>
      </c>
      <c r="O16" s="30">
        <f t="shared" si="6"/>
        <v>1</v>
      </c>
      <c r="P16" s="31">
        <f t="shared" si="7"/>
        <v>0</v>
      </c>
      <c r="Q16" s="27">
        <f>COUNTIFS([1]InfCualitativo!$B$1:$B$6957,"VERDADERO",[1]InfCualitativo!$E$1:$E$6957,"Cano de oro",[1]InfCualitativo!$H$1:$H$6957,"electros")</f>
        <v>0</v>
      </c>
      <c r="R16" s="27">
        <f>COUNTIFS([1]InfCualitativo!$B$1:$B$6957,"FALSO",[1]InfCualitativo!$E$1:$E$6957,"Cano de oro",[1]InfCualitativo!$H$1:$H$6957,"electros")</f>
        <v>0</v>
      </c>
      <c r="S16" s="30">
        <f t="shared" si="8"/>
        <v>0</v>
      </c>
      <c r="T16" s="30">
        <f t="shared" si="9"/>
        <v>0</v>
      </c>
      <c r="U16" s="27">
        <f>COUNTIFS([1]InfCualitativo!$B$1:$B$6957,"VERDADERO",[1]InfCualitativo!$E$1:$E$6957,"Cano de oro",[1]InfCualitativo!$H$1:$H$6957,"rx")</f>
        <v>0</v>
      </c>
      <c r="V16" s="27">
        <f>COUNTIFS([1]InfCualitativo!$B$1:$B$6957,"FALSO",[1]InfCualitativo!$E$1:$E$6957,"Cano de oro",[1]InfCualitativo!$H$1:$H$6957,"rx")</f>
        <v>0</v>
      </c>
      <c r="W16" s="30">
        <f t="shared" si="10"/>
        <v>0</v>
      </c>
      <c r="X16" s="30">
        <f t="shared" si="11"/>
        <v>0</v>
      </c>
      <c r="Y16" s="27">
        <f>COUNTIFS([1]InfCualitativo!$B$1:$B$6957,"VERDADERO",[1]InfCualitativo!$E$1:$E$6957,"Cano de oro",[1]InfCualitativo!$H$1:$H$6957,"ecografias")</f>
        <v>0</v>
      </c>
      <c r="Z16" s="27">
        <f>COUNTIFS([1]InfCualitativo!$B$1:$B$6957,"FALSO",[1]InfCualitativo!$E$1:$E$6957,"Cano de oro",[1]InfCualitativo!$H$1:$H$6957,"ecografias")</f>
        <v>0</v>
      </c>
      <c r="AA16" s="30">
        <f t="shared" si="12"/>
        <v>0</v>
      </c>
      <c r="AB16" s="30">
        <f t="shared" si="13"/>
        <v>0</v>
      </c>
      <c r="AC16" s="27">
        <f>COUNTIFS([1]InfCualitativo!$B$1:$B$6957,"VERDADERO",[1]InfCualitativo!$E$1:$E$6957,"Cano de oro",[1]InfCualitativo!$H$1:$H$6957,"urgencia")</f>
        <v>0</v>
      </c>
      <c r="AD16" s="27">
        <f>COUNTIFS([1]InfCualitativo!$B$1:$B$6957,"FALSO",[1]InfCualitativo!$E$1:$E$6957,"Cano de oro",[1]InfCualitativo!$H$1:$H$6957,"urgencia")</f>
        <v>0</v>
      </c>
      <c r="AE16" s="30">
        <f t="shared" si="14"/>
        <v>0</v>
      </c>
      <c r="AF16" s="30">
        <f t="shared" si="15"/>
        <v>0</v>
      </c>
      <c r="AG16" s="27">
        <f>COUNTIFS([1]InfCualitativo!$B$1:$B$6957,"VERDADERO",[1]InfCualitativo!$E$1:$E$6957,"Cano de oro",[1]InfCualitativo!$H$1:$H$6957,"pediatria")</f>
        <v>0</v>
      </c>
      <c r="AH16" s="27">
        <f>COUNTIFS([1]InfCualitativo!$B$1:$B$6957,"FALSO",[1]InfCualitativo!$E$1:$E$6957,"Cano de oro",[1]InfCualitativo!$H$1:$H$6957,"pediatria")</f>
        <v>0</v>
      </c>
      <c r="AI16" s="30">
        <f t="shared" si="16"/>
        <v>0</v>
      </c>
      <c r="AJ16" s="30">
        <f t="shared" si="17"/>
        <v>0</v>
      </c>
      <c r="AK16" s="27">
        <f>COUNTIFS([1]InfCualitativo!$B$1:$B$6957,"VERDADERO",[1]InfCualitativo!$E$1:$E$6957,"Cano de oro",[1]InfCualitativo!$H$1:$H$6957,"medicina_interna")</f>
        <v>0</v>
      </c>
      <c r="AL16" s="27">
        <f>COUNTIFS([1]InfCualitativo!$B$1:$B$6957,"FALSO",[1]InfCualitativo!$E$1:$E$6957,"Cano de oro",[1]InfCualitativo!$H$1:$H$6957,"medicina_interna")</f>
        <v>0</v>
      </c>
      <c r="AM16" s="30">
        <f t="shared" si="18"/>
        <v>0</v>
      </c>
      <c r="AN16" s="30">
        <f t="shared" si="19"/>
        <v>0</v>
      </c>
      <c r="AO16" s="27">
        <f>COUNTIFS([1]InfCualitativo!$B$1:$B$6957,"VERDADERO",[1]InfCualitativo!$E$1:$E$6957,"Cano de oro",[1]InfCualitativo!$H$1:$H$6957,"ginecologia")</f>
        <v>0</v>
      </c>
      <c r="AP16" s="27">
        <f>COUNTIFS([1]InfCualitativo!$B$1:$B$6957,"FALSO",[1]InfCualitativo!$E$1:$E$6957,"Cano de oro",[1]InfCualitativo!$H$1:$H$6957,"ginecologia")</f>
        <v>0</v>
      </c>
      <c r="AQ16" s="30">
        <f t="shared" si="20"/>
        <v>0</v>
      </c>
      <c r="AR16" s="30">
        <f t="shared" si="21"/>
        <v>0</v>
      </c>
      <c r="AS16" s="27">
        <f t="shared" si="22"/>
        <v>103</v>
      </c>
      <c r="AT16" s="27">
        <f t="shared" si="22"/>
        <v>0</v>
      </c>
      <c r="AU16" s="32">
        <f t="shared" si="23"/>
        <v>1</v>
      </c>
      <c r="AV16" s="32">
        <f t="shared" si="24"/>
        <v>0</v>
      </c>
    </row>
    <row r="17" spans="1:48" ht="18.75" x14ac:dyDescent="0.3">
      <c r="A17" s="26" t="s">
        <v>36</v>
      </c>
      <c r="B17" s="27">
        <v>140</v>
      </c>
      <c r="C17" s="27">
        <f t="shared" si="1"/>
        <v>140</v>
      </c>
      <c r="D17" s="28">
        <f t="shared" si="0"/>
        <v>100</v>
      </c>
      <c r="E17" s="29">
        <f>COUNTIFS([1]InfCualitativo!$B$1:$B$6957,"VERDADERO",[1]InfCualitativo!$E$1:$E$6957,"Daniel Lemaitre",[1]InfCualitativo!$H$1:$H$6957,"consulta_externa")</f>
        <v>66</v>
      </c>
      <c r="F17" s="29">
        <f>COUNTIFS([1]InfCualitativo!$B$1:$B$6957,"FALSO",[1]InfCualitativo!$E$1:$E$6957,"Daniel Lemaitre",[1]InfCualitativo!$H$1:$H$6957,"consulta_externa")</f>
        <v>0</v>
      </c>
      <c r="G17" s="30">
        <f t="shared" si="2"/>
        <v>1</v>
      </c>
      <c r="H17" s="30">
        <f t="shared" si="3"/>
        <v>0</v>
      </c>
      <c r="I17" s="27">
        <f>COUNTIFS([1]InfCualitativo!$B$1:$B$6957,"VERDADERO",[1]InfCualitativo!$E$1:$E$6957,"Daniel Lemaitre",[1]InfCualitativo!$H$1:$H$6957,"salud_oral")</f>
        <v>33</v>
      </c>
      <c r="J17" s="27">
        <f>COUNTIFS([1]InfCualitativo!$B$1:$B$6957,"FALSO",[1]InfCualitativo!$E$1:$E$6957,"Daniel Lemaitre",[1]InfCualitativo!$H$1:$H$6957,"salud_oral")</f>
        <v>0</v>
      </c>
      <c r="K17" s="30">
        <f t="shared" si="4"/>
        <v>1</v>
      </c>
      <c r="L17" s="30">
        <f t="shared" si="5"/>
        <v>0</v>
      </c>
      <c r="M17" s="27">
        <f>COUNTIFS([1]InfCualitativo!$B$1:$B$6957,"VERDADERO",[1]InfCualitativo!$E$1:$E$6957,"Daniel Lemaitre",[1]InfCualitativo!$H$1:$H$6957,"laboratorio")</f>
        <v>41</v>
      </c>
      <c r="N17" s="27">
        <f>COUNTIFS([1]InfCualitativo!$B$1:$B$6957,"FALSO",[1]InfCualitativo!$E$1:$E$6957,"Daniel Lemaitre",[1]InfCualitativo!$H$1:$H$6957,"laboratorio")</f>
        <v>0</v>
      </c>
      <c r="O17" s="30">
        <f t="shared" si="6"/>
        <v>1</v>
      </c>
      <c r="P17" s="31">
        <f t="shared" si="7"/>
        <v>0</v>
      </c>
      <c r="Q17" s="27">
        <f>COUNTIFS([1]InfCualitativo!$B$1:$B$6957,"VERDADERO",[1]InfCualitativo!$E$1:$E$6957,"Daniel Lemaitre",[1]InfCualitativo!$H$1:$H$6957,"electros")</f>
        <v>0</v>
      </c>
      <c r="R17" s="27">
        <f>COUNTIFS([1]InfCualitativo!$B$1:$B$6957,"FALSO",[1]InfCualitativo!$E$1:$E$6957,"Daniel Lemaitre",[1]InfCualitativo!$H$1:$H$6957,"electros")</f>
        <v>0</v>
      </c>
      <c r="S17" s="30">
        <f t="shared" si="8"/>
        <v>0</v>
      </c>
      <c r="T17" s="30">
        <f t="shared" si="9"/>
        <v>0</v>
      </c>
      <c r="U17" s="27">
        <f>COUNTIFS([1]InfCualitativo!$B$1:$B$6957,"VERDADERO",[1]InfCualitativo!$E$1:$E$6957,"Daniel Lemaitre",[1]InfCualitativo!$H$1:$H$6957,"rx")</f>
        <v>0</v>
      </c>
      <c r="V17" s="27">
        <f>COUNTIFS([1]InfCualitativo!$B$1:$B$6957,"FALSO",[1]InfCualitativo!$E$1:$E$6957,"Daniel Lemaitre",[1]InfCualitativo!$H$1:$H$6957,"rx")</f>
        <v>0</v>
      </c>
      <c r="W17" s="30">
        <f t="shared" si="10"/>
        <v>0</v>
      </c>
      <c r="X17" s="30">
        <f t="shared" si="11"/>
        <v>0</v>
      </c>
      <c r="Y17" s="27">
        <f>COUNTIFS([1]InfCualitativo!$B$1:$B$6957,"VERDADERO",[1]InfCualitativo!$E$1:$E$6957,"Daniel Lemaitre",[1]InfCualitativo!$H$1:$H$6957,"ecografias")</f>
        <v>0</v>
      </c>
      <c r="Z17" s="27">
        <f>COUNTIFS([1]InfCualitativo!$B$1:$B$6957,"FALSO",[1]InfCualitativo!$E$1:$E$6957,"Daniel Lemaitre",[1]InfCualitativo!$H$1:$H$6957,"ecografias")</f>
        <v>0</v>
      </c>
      <c r="AA17" s="30">
        <f t="shared" si="12"/>
        <v>0</v>
      </c>
      <c r="AB17" s="30">
        <f t="shared" si="13"/>
        <v>0</v>
      </c>
      <c r="AC17" s="27">
        <f>COUNTIFS([1]InfCualitativo!$B$1:$B$6957,"VERDADERO",[1]InfCualitativo!$E$1:$E$6957,"Daniel Lemaitre",[1]InfCualitativo!$H$1:$H$6957,"urgencia")</f>
        <v>0</v>
      </c>
      <c r="AD17" s="27">
        <f>COUNTIFS([1]InfCualitativo!$B$1:$B$6957,"FALSO",[1]InfCualitativo!$E$1:$E$6957,"Daniel Lemaitre",[1]InfCualitativo!$H$1:$H$6957,"urgencia")</f>
        <v>0</v>
      </c>
      <c r="AE17" s="30">
        <f t="shared" si="14"/>
        <v>0</v>
      </c>
      <c r="AF17" s="30">
        <f t="shared" si="15"/>
        <v>0</v>
      </c>
      <c r="AG17" s="27">
        <f>COUNTIFS([1]InfCualitativo!$B$1:$B$6957,"VERDADERO",[1]InfCualitativo!$E$1:$E$6957,"Daniel Lemaitre",[1]InfCualitativo!$H$1:$H$6957,"pediatria")</f>
        <v>0</v>
      </c>
      <c r="AH17" s="27">
        <f>COUNTIFS([1]InfCualitativo!$B$1:$B$6957,"FALSO",[1]InfCualitativo!$E$1:$E$6957,"Daniel Lemaitre",[1]InfCualitativo!$H$1:$H$6957,"pediatria")</f>
        <v>0</v>
      </c>
      <c r="AI17" s="30">
        <f t="shared" si="16"/>
        <v>0</v>
      </c>
      <c r="AJ17" s="30">
        <f t="shared" si="17"/>
        <v>0</v>
      </c>
      <c r="AK17" s="27">
        <f>COUNTIFS([1]InfCualitativo!$B$1:$B$6957,"VERDADERO",[1]InfCualitativo!$E$1:$E$6957,"Daniel Lemaitre",[1]InfCualitativo!$H$1:$H$6957,"medicina_interna")</f>
        <v>0</v>
      </c>
      <c r="AL17" s="27">
        <f>COUNTIFS([1]InfCualitativo!$B$1:$B$6957,"FALSO",[1]InfCualitativo!$E$1:$E$6957,"Daniel Lemaitre",[1]InfCualitativo!$H$1:$H$6957,"medicina_interna")</f>
        <v>0</v>
      </c>
      <c r="AM17" s="30">
        <f t="shared" si="18"/>
        <v>0</v>
      </c>
      <c r="AN17" s="30">
        <f t="shared" si="19"/>
        <v>0</v>
      </c>
      <c r="AO17" s="27">
        <f>COUNTIFS([1]InfCualitativo!$B$1:$B$6957,"VERDADERO",[1]InfCualitativo!$E$1:$E$6957,"Daniel Lemaitre",[1]InfCualitativo!$H$1:$H$6957,"ginecologia")</f>
        <v>0</v>
      </c>
      <c r="AP17" s="27">
        <f>COUNTIFS([1]InfCualitativo!$B$1:$B$6957,"FALSO",[1]InfCualitativo!$E$1:$E$6957,"Daniel Lemaitre",[1]InfCualitativo!$H$1:$H$6957,"ginecologia")</f>
        <v>0</v>
      </c>
      <c r="AQ17" s="30">
        <f t="shared" si="20"/>
        <v>0</v>
      </c>
      <c r="AR17" s="30">
        <f t="shared" si="21"/>
        <v>0</v>
      </c>
      <c r="AS17" s="27">
        <f t="shared" si="22"/>
        <v>140</v>
      </c>
      <c r="AT17" s="27">
        <f t="shared" si="22"/>
        <v>0</v>
      </c>
      <c r="AU17" s="32">
        <f t="shared" si="23"/>
        <v>1</v>
      </c>
      <c r="AV17" s="32">
        <f t="shared" si="24"/>
        <v>0</v>
      </c>
    </row>
    <row r="18" spans="1:48" ht="18.75" x14ac:dyDescent="0.3">
      <c r="A18" s="26" t="s">
        <v>37</v>
      </c>
      <c r="B18" s="27">
        <v>232</v>
      </c>
      <c r="C18" s="27">
        <f>SUM(E18,F18,I18,J18,M18,N18,Q18,R18,U18,V18,Y18,Z18,AC18,AD18,AG18,AH18,AK18,AL18,AO18,AP18)</f>
        <v>204</v>
      </c>
      <c r="D18" s="28">
        <f t="shared" si="0"/>
        <v>87.931034482758619</v>
      </c>
      <c r="E18" s="29">
        <f>COUNTIFS([1]InfCualitativo!$B$1:$B$6957,"VERDADERO",[1]InfCualitativo!$E$1:$E$6957,"Esperanza",[1]InfCualitativo!$H$1:$H$6957,"consulta_externa")</f>
        <v>113</v>
      </c>
      <c r="F18" s="29">
        <f>COUNTIFS([1]InfCualitativo!$B$1:$B$6957,"FALSO",[1]InfCualitativo!$E$1:$E$6957,"Esperanza",[1]InfCualitativo!$H$1:$H$6957,"consulta_externa")</f>
        <v>0</v>
      </c>
      <c r="G18" s="30">
        <f t="shared" si="2"/>
        <v>1</v>
      </c>
      <c r="H18" s="30">
        <f t="shared" si="3"/>
        <v>0</v>
      </c>
      <c r="I18" s="27">
        <f>COUNTIFS([1]InfCualitativo!$B$1:$B$6957,"VERDADERO",[1]InfCualitativo!$E$1:$E$6957,"Esperanza",[1]InfCualitativo!$H$1:$H$6957,"salud_oral")</f>
        <v>33</v>
      </c>
      <c r="J18" s="27">
        <f>COUNTIFS([1]InfCualitativo!$B$1:$B$6957,"FALSO",[1]InfCualitativo!$E$1:$E$6957,"Esperanza",[1]InfCualitativo!$H$1:$H$6957,"salud_oral")</f>
        <v>0</v>
      </c>
      <c r="K18" s="30">
        <f t="shared" si="4"/>
        <v>1</v>
      </c>
      <c r="L18" s="30">
        <f t="shared" si="5"/>
        <v>0</v>
      </c>
      <c r="M18" s="27">
        <f>COUNTIFS([1]InfCualitativo!$B$1:$B$6957,"VERDADERO",[1]InfCualitativo!$E$1:$E$6957,"Esperanza",[1]InfCualitativo!$H$1:$H$6957,"laboratorio")</f>
        <v>44</v>
      </c>
      <c r="N18" s="27">
        <f>COUNTIFS([1]InfCualitativo!$B$1:$B$6957,"FALSO",[1]InfCualitativo!$E$1:$E$6957,"Esperanza",[1]InfCualitativo!$H$1:$H$6957,"laboratorio")</f>
        <v>0</v>
      </c>
      <c r="O18" s="30">
        <f t="shared" si="6"/>
        <v>1</v>
      </c>
      <c r="P18" s="31">
        <f t="shared" si="7"/>
        <v>0</v>
      </c>
      <c r="Q18" s="27">
        <f>COUNTIFS([1]InfCualitativo!$B$1:$B$6957,"VERDADERO",[1]InfCualitativo!$E$1:$E$6957,"Esperanza",[1]InfCualitativo!$H$1:$H$6957,"electros")</f>
        <v>0</v>
      </c>
      <c r="R18" s="27">
        <f>COUNTIFS([1]InfCualitativo!$B$1:$B$6957,"FALSO",[1]InfCualitativo!$E$1:$E$6957,"Esperanza",[1]InfCualitativo!$H$1:$H$6957,"electros")</f>
        <v>0</v>
      </c>
      <c r="S18" s="30">
        <f t="shared" si="8"/>
        <v>0</v>
      </c>
      <c r="T18" s="30">
        <f t="shared" si="9"/>
        <v>0</v>
      </c>
      <c r="U18" s="27">
        <f>COUNTIFS([1]InfCualitativo!$B$1:$B$6957,"VERDADERO",[1]InfCualitativo!$E$1:$E$6957,"Esperanza",[1]InfCualitativo!$H$1:$H$6957,"rx")</f>
        <v>0</v>
      </c>
      <c r="V18" s="27">
        <f>COUNTIFS([1]InfCualitativo!$B$1:$B$6957,"FALSO",[1]InfCualitativo!$E$1:$E$6957,"Esperanza",[1]InfCualitativo!$H$1:$H$6957,"rx")</f>
        <v>0</v>
      </c>
      <c r="W18" s="30">
        <f t="shared" si="10"/>
        <v>0</v>
      </c>
      <c r="X18" s="30">
        <f t="shared" si="11"/>
        <v>0</v>
      </c>
      <c r="Y18" s="27">
        <f>COUNTIFS([1]InfCualitativo!$B$1:$B$6957,"VERDADERO",[1]InfCualitativo!$E$1:$E$6957,"Esperanza",[1]InfCualitativo!$H$1:$H$6957,"ecografias")</f>
        <v>0</v>
      </c>
      <c r="Z18" s="27">
        <f>COUNTIFS([1]InfCualitativo!$B$1:$B$6957,"FALSO",[1]InfCualitativo!$E$1:$E$6957,"Esperanza",[1]InfCualitativo!$H$1:$H$6957,"ecografias")</f>
        <v>0</v>
      </c>
      <c r="AA18" s="30">
        <f t="shared" si="12"/>
        <v>0</v>
      </c>
      <c r="AB18" s="30">
        <f t="shared" si="13"/>
        <v>0</v>
      </c>
      <c r="AC18" s="27">
        <f>COUNTIFS([1]InfCualitativo!$B$1:$B$6957,"VERDADERO",[1]InfCualitativo!$E$1:$E$6957,"Esperanza",[1]InfCualitativo!$H$1:$H$6957,"urgencia")</f>
        <v>14</v>
      </c>
      <c r="AD18" s="27">
        <f>COUNTIFS([1]InfCualitativo!$B$1:$B$6957,"FALSO",[1]InfCualitativo!$E$1:$E$6957,"Esperanza",[1]InfCualitativo!$H$1:$H$6957,"urgencia")</f>
        <v>0</v>
      </c>
      <c r="AE18" s="30">
        <f t="shared" si="14"/>
        <v>1</v>
      </c>
      <c r="AF18" s="30">
        <f t="shared" si="15"/>
        <v>0</v>
      </c>
      <c r="AG18" s="27">
        <f>COUNTIFS([1]InfCualitativo!$B$1:$B$6957,"VERDADERO",[1]InfCualitativo!$E$1:$E$6957,"Esperanza",[1]InfCualitativo!$H$1:$H$6957,"pediatria")</f>
        <v>0</v>
      </c>
      <c r="AH18" s="27">
        <f>COUNTIFS([1]InfCualitativo!$B$1:$B$6957,"FALSO",[1]InfCualitativo!$E$1:$E$6957,"Esperanza",[1]InfCualitativo!$H$1:$H$6957,"pediatria")</f>
        <v>0</v>
      </c>
      <c r="AI18" s="30">
        <f t="shared" si="16"/>
        <v>0</v>
      </c>
      <c r="AJ18" s="30">
        <f t="shared" si="17"/>
        <v>0</v>
      </c>
      <c r="AK18" s="27">
        <f>COUNTIFS([1]InfCualitativo!$B$1:$B$6957,"VERDADERO",[1]InfCualitativo!$E$1:$E$6957,"Esperanza",[1]InfCualitativo!$H$1:$H$6957,"medicina_interna")</f>
        <v>0</v>
      </c>
      <c r="AL18" s="27">
        <f>COUNTIFS([1]InfCualitativo!$B$1:$B$6957,"FALSO",[1]InfCualitativo!$E$1:$E$6957,"Esperanza",[1]InfCualitativo!$H$1:$H$6957,"medicina_interna")</f>
        <v>0</v>
      </c>
      <c r="AM18" s="30">
        <f t="shared" si="18"/>
        <v>0</v>
      </c>
      <c r="AN18" s="30">
        <f t="shared" si="19"/>
        <v>0</v>
      </c>
      <c r="AO18" s="27">
        <f>COUNTIFS([1]InfCualitativo!$B$1:$B$6957,"VERDADERO",[1]InfCualitativo!$E$1:$E$6957,"Esperanza",[1]InfCualitativo!$H$1:$H$6957,"ginecologia")</f>
        <v>0</v>
      </c>
      <c r="AP18" s="27">
        <f>COUNTIFS([1]InfCualitativo!$B$1:$B$6957,"FALSO",[1]InfCualitativo!$E$1:$E$6957,"Esperanza",[1]InfCualitativo!$H$1:$H$6957,"ginecologia")</f>
        <v>0</v>
      </c>
      <c r="AQ18" s="30">
        <f t="shared" si="20"/>
        <v>0</v>
      </c>
      <c r="AR18" s="30">
        <f t="shared" si="21"/>
        <v>0</v>
      </c>
      <c r="AS18" s="27">
        <f t="shared" si="22"/>
        <v>204</v>
      </c>
      <c r="AT18" s="27">
        <f t="shared" si="22"/>
        <v>0</v>
      </c>
      <c r="AU18" s="32">
        <f t="shared" si="23"/>
        <v>1</v>
      </c>
      <c r="AV18" s="32">
        <f t="shared" si="24"/>
        <v>0</v>
      </c>
    </row>
    <row r="19" spans="1:48" ht="18.75" hidden="1" x14ac:dyDescent="0.3">
      <c r="A19" s="26" t="s">
        <v>38</v>
      </c>
      <c r="B19" s="35" t="s">
        <v>39</v>
      </c>
      <c r="C19" s="35" t="s">
        <v>39</v>
      </c>
      <c r="D19" s="35" t="s">
        <v>39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5" t="s">
        <v>39</v>
      </c>
      <c r="P19" s="35" t="s">
        <v>39</v>
      </c>
      <c r="Q19" s="35" t="s">
        <v>39</v>
      </c>
      <c r="R19" s="35" t="s">
        <v>39</v>
      </c>
      <c r="S19" s="35" t="s">
        <v>39</v>
      </c>
      <c r="T19" s="35" t="s">
        <v>39</v>
      </c>
      <c r="U19" s="35" t="s">
        <v>39</v>
      </c>
      <c r="V19" s="35" t="s">
        <v>39</v>
      </c>
      <c r="W19" s="35" t="s">
        <v>39</v>
      </c>
      <c r="X19" s="35" t="s">
        <v>39</v>
      </c>
      <c r="Y19" s="35" t="s">
        <v>39</v>
      </c>
      <c r="Z19" s="35" t="s">
        <v>39</v>
      </c>
      <c r="AA19" s="35" t="s">
        <v>39</v>
      </c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 t="s">
        <v>39</v>
      </c>
      <c r="AH19" s="35" t="s">
        <v>39</v>
      </c>
      <c r="AI19" s="35" t="s">
        <v>39</v>
      </c>
      <c r="AJ19" s="35" t="s">
        <v>39</v>
      </c>
      <c r="AK19" s="35" t="s">
        <v>39</v>
      </c>
      <c r="AL19" s="35" t="s">
        <v>39</v>
      </c>
      <c r="AM19" s="35" t="s">
        <v>39</v>
      </c>
      <c r="AN19" s="35" t="s">
        <v>39</v>
      </c>
      <c r="AO19" s="35" t="s">
        <v>39</v>
      </c>
      <c r="AP19" s="35" t="s">
        <v>39</v>
      </c>
      <c r="AQ19" s="35" t="s">
        <v>39</v>
      </c>
      <c r="AR19" s="35" t="s">
        <v>39</v>
      </c>
      <c r="AS19" s="35" t="s">
        <v>39</v>
      </c>
      <c r="AT19" s="35" t="s">
        <v>39</v>
      </c>
      <c r="AU19" s="35" t="s">
        <v>39</v>
      </c>
      <c r="AV19" s="35" t="s">
        <v>39</v>
      </c>
    </row>
    <row r="20" spans="1:48" ht="18.75" x14ac:dyDescent="0.3">
      <c r="A20" s="26" t="s">
        <v>40</v>
      </c>
      <c r="B20" s="27">
        <v>137</v>
      </c>
      <c r="C20" s="27">
        <f t="shared" si="1"/>
        <v>137</v>
      </c>
      <c r="D20" s="28">
        <f t="shared" si="0"/>
        <v>100</v>
      </c>
      <c r="E20" s="29">
        <f>COUNTIFS([1]InfCualitativo!$B$1:$B$6957,"VERDADERO",[1]InfCualitativo!$E$1:$E$6957,"Foco Rojo",[1]InfCualitativo!$H$1:$H$6957,"consulta_externa")</f>
        <v>45</v>
      </c>
      <c r="F20" s="29">
        <f>COUNTIFS([1]InfCualitativo!$B$1:$B$6957,"FALSO",[1]InfCualitativo!$E$1:$E$6957,"Foco Rojo",[1]InfCualitativo!$H$1:$H$6957,"consulta_externa")</f>
        <v>0</v>
      </c>
      <c r="G20" s="30">
        <f t="shared" si="2"/>
        <v>1</v>
      </c>
      <c r="H20" s="30">
        <f t="shared" si="3"/>
        <v>0</v>
      </c>
      <c r="I20" s="27">
        <f>COUNTIFS([1]InfCualitativo!$B$1:$B$6957,"VERDADERO",[1]InfCualitativo!$E$1:$E$6957,"Foco Rojo",[1]InfCualitativo!$H$1:$H$6957,"salud_oral")</f>
        <v>44</v>
      </c>
      <c r="J20" s="27">
        <f>COUNTIFS([1]InfCualitativo!$B$1:$B$6957,"FALSO",[1]InfCualitativo!$E$1:$E$6957,"Foco Rojo",[1]InfCualitativo!$H$1:$H$6957,"salud_oral")</f>
        <v>0</v>
      </c>
      <c r="K20" s="30">
        <f t="shared" si="4"/>
        <v>1</v>
      </c>
      <c r="L20" s="30">
        <f t="shared" si="5"/>
        <v>0</v>
      </c>
      <c r="M20" s="27">
        <f>COUNTIFS([1]InfCualitativo!$B$1:$B$6957,"VERDADERO",[1]InfCualitativo!$E$1:$E$6957,"Foco Rojo",[1]InfCualitativo!$H$1:$H$6957,"laboratorio")</f>
        <v>48</v>
      </c>
      <c r="N20" s="27">
        <f>COUNTIFS([1]InfCualitativo!$B$1:$B$6957,"FALSO",[1]InfCualitativo!$E$1:$E$6957,"Foco Rojo",[1]InfCualitativo!$H$1:$H$6957,"laboratorio")</f>
        <v>0</v>
      </c>
      <c r="O20" s="30">
        <f t="shared" si="6"/>
        <v>1</v>
      </c>
      <c r="P20" s="31">
        <f t="shared" si="7"/>
        <v>0</v>
      </c>
      <c r="Q20" s="27">
        <f>COUNTIFS([1]InfCualitativo!$B$1:$B$6957,"VERDADERO",[1]InfCualitativo!$E$1:$E$6957,"Foco Rojo",[1]InfCualitativo!$H$1:$H$6957,"electros")</f>
        <v>0</v>
      </c>
      <c r="R20" s="27">
        <f>COUNTIFS([1]InfCualitativo!$B$1:$B$6957,"FALSO",[1]InfCualitativo!$E$1:$E$6957,"Foco Rojo",[1]InfCualitativo!$H$1:$H$6957,"electros")</f>
        <v>0</v>
      </c>
      <c r="S20" s="30">
        <f t="shared" si="8"/>
        <v>0</v>
      </c>
      <c r="T20" s="30">
        <f t="shared" si="9"/>
        <v>0</v>
      </c>
      <c r="U20" s="27">
        <f>COUNTIFS([1]InfCualitativo!$B$1:$B$6957,"VERDADERO",[1]InfCualitativo!$E$1:$E$6957,"Foco Rojo",[1]InfCualitativo!$H$1:$H$6957,"rx")</f>
        <v>0</v>
      </c>
      <c r="V20" s="27">
        <f>COUNTIFS([1]InfCualitativo!$B$1:$B$6957,"FALSO",[1]InfCualitativo!$E$1:$E$6957,"Foco Rojo",[1]InfCualitativo!$H$1:$H$6957,"rx")</f>
        <v>0</v>
      </c>
      <c r="W20" s="30">
        <f t="shared" si="10"/>
        <v>0</v>
      </c>
      <c r="X20" s="30">
        <f t="shared" si="11"/>
        <v>0</v>
      </c>
      <c r="Y20" s="27">
        <f>COUNTIFS([1]InfCualitativo!$B$1:$B$6957,"VERDADERO",[1]InfCualitativo!$E$1:$E$6957,"Foco Rojo",[1]InfCualitativo!$H$1:$H$6957,"ecografias")</f>
        <v>0</v>
      </c>
      <c r="Z20" s="27">
        <f>COUNTIFS([1]InfCualitativo!$B$1:$B$6957,"FALSO",[1]InfCualitativo!$E$1:$E$6957,"Foco Rojo",[1]InfCualitativo!$H$1:$H$6957,"ecografias")</f>
        <v>0</v>
      </c>
      <c r="AA20" s="30">
        <f t="shared" si="12"/>
        <v>0</v>
      </c>
      <c r="AB20" s="30">
        <f t="shared" si="13"/>
        <v>0</v>
      </c>
      <c r="AC20" s="27">
        <f>COUNTIFS([1]InfCualitativo!$B$1:$B$6957,"VERDADERO",[1]InfCualitativo!$E$1:$E$6957,"Foco Rojo",[1]InfCualitativo!$H$1:$H$6957,"urgencia")</f>
        <v>0</v>
      </c>
      <c r="AD20" s="27">
        <f>COUNTIFS([1]InfCualitativo!$B$1:$B$6957,"FALSO",[1]InfCualitativo!$E$1:$E$6957,"Foco Rojo",[1]InfCualitativo!$H$1:$H$6957,"urgencia")</f>
        <v>0</v>
      </c>
      <c r="AE20" s="30">
        <f t="shared" si="14"/>
        <v>0</v>
      </c>
      <c r="AF20" s="30">
        <f t="shared" si="15"/>
        <v>0</v>
      </c>
      <c r="AG20" s="27">
        <f>COUNTIFS([1]InfCualitativo!$B$1:$B$6957,"VERDADERO",[1]InfCualitativo!$E$1:$E$6957,"Foco Rojo",[1]InfCualitativo!$H$1:$H$6957,"pediatria")</f>
        <v>0</v>
      </c>
      <c r="AH20" s="27">
        <f>COUNTIFS([1]InfCualitativo!$B$1:$B$6957,"FALSO",[1]InfCualitativo!$E$1:$E$6957,"Foco Rojo",[1]InfCualitativo!$H$1:$H$6957,"pediatria")</f>
        <v>0</v>
      </c>
      <c r="AI20" s="30">
        <f t="shared" si="16"/>
        <v>0</v>
      </c>
      <c r="AJ20" s="30">
        <f t="shared" si="17"/>
        <v>0</v>
      </c>
      <c r="AK20" s="27">
        <f>COUNTIFS([1]InfCualitativo!$B$1:$B$6957,"VERDADERO",[1]InfCualitativo!$E$1:$E$6957,"Foco Rojo",[1]InfCualitativo!$H$1:$H$6957,"medicina_interna")</f>
        <v>0</v>
      </c>
      <c r="AL20" s="27">
        <f>COUNTIFS([1]InfCualitativo!$B$1:$B$6957,"FALSO",[1]InfCualitativo!$E$1:$E$6957,"Foco Rojo",[1]InfCualitativo!$H$1:$H$6957,"medicina_interna")</f>
        <v>0</v>
      </c>
      <c r="AM20" s="30">
        <f t="shared" si="18"/>
        <v>0</v>
      </c>
      <c r="AN20" s="30">
        <f t="shared" si="19"/>
        <v>0</v>
      </c>
      <c r="AO20" s="27">
        <f>COUNTIFS([1]InfCualitativo!$B$1:$B$6957,"VERDADERO",[1]InfCualitativo!$E$1:$E$6957,"Foco Rojo",[1]InfCualitativo!$H$1:$H$6957,"ginecologia")</f>
        <v>0</v>
      </c>
      <c r="AP20" s="27">
        <f>COUNTIFS([1]InfCualitativo!$B$1:$B$6957,"FALSO",[1]InfCualitativo!$E$1:$E$6957,"Foco Rojo",[1]InfCualitativo!$H$1:$H$6957,"ginecologia")</f>
        <v>0</v>
      </c>
      <c r="AQ20" s="30">
        <f t="shared" si="20"/>
        <v>0</v>
      </c>
      <c r="AR20" s="30">
        <f t="shared" si="21"/>
        <v>0</v>
      </c>
      <c r="AS20" s="27">
        <f t="shared" si="22"/>
        <v>137</v>
      </c>
      <c r="AT20" s="27">
        <f t="shared" si="22"/>
        <v>0</v>
      </c>
      <c r="AU20" s="32">
        <f t="shared" si="23"/>
        <v>1</v>
      </c>
      <c r="AV20" s="32">
        <f t="shared" si="24"/>
        <v>0</v>
      </c>
    </row>
    <row r="21" spans="1:48" ht="18.75" x14ac:dyDescent="0.3">
      <c r="A21" s="26" t="s">
        <v>41</v>
      </c>
      <c r="B21" s="27">
        <v>140</v>
      </c>
      <c r="C21" s="27">
        <f t="shared" si="1"/>
        <v>136</v>
      </c>
      <c r="D21" s="28">
        <f t="shared" si="0"/>
        <v>97.142857142857139</v>
      </c>
      <c r="E21" s="29">
        <f>COUNTIFS([1]InfCualitativo!$B$1:$B$6957,"VERDADERO",[1]InfCualitativo!$E$1:$E$6957,"Fredonia",[1]InfCualitativo!$H$1:$H$6957,"consulta_externa")</f>
        <v>46</v>
      </c>
      <c r="F21" s="29">
        <f>COUNTIFS([1]InfCualitativo!$B$1:$B$6957,"FALSO",[1]InfCualitativo!$E$1:$E$6957,"Fredonia",[1]InfCualitativo!$H$1:$H$6957,"consulta_externa")</f>
        <v>1</v>
      </c>
      <c r="G21" s="30">
        <f t="shared" si="2"/>
        <v>0.97872340425531912</v>
      </c>
      <c r="H21" s="30">
        <f t="shared" si="3"/>
        <v>2.1276595744680851E-2</v>
      </c>
      <c r="I21" s="27">
        <f>COUNTIFS([1]InfCualitativo!$B$1:$B$6957,"VERDADERO",[1]InfCualitativo!$E$1:$E$6957,"Fredonia",[1]InfCualitativo!$H$1:$H$6957,"salud_oral")</f>
        <v>42</v>
      </c>
      <c r="J21" s="27">
        <f>COUNTIFS([1]InfCualitativo!$B$1:$B$6957,"FALSO",[1]InfCualitativo!$E$1:$E$6957,"Fredonia",[1]InfCualitativo!$H$1:$H$6957,"salud_oral")</f>
        <v>1</v>
      </c>
      <c r="K21" s="30">
        <f t="shared" si="4"/>
        <v>0.97674418604651159</v>
      </c>
      <c r="L21" s="30">
        <f t="shared" si="5"/>
        <v>2.3255813953488372E-2</v>
      </c>
      <c r="M21" s="27">
        <f>COUNTIFS([1]InfCualitativo!$B$1:$B$6957,"VERDADERO",[1]InfCualitativo!$E$1:$E$6957,"Fredonia",[1]InfCualitativo!$H$1:$H$6957,"laboratorio")</f>
        <v>44</v>
      </c>
      <c r="N21" s="27">
        <f>COUNTIFS([1]InfCualitativo!$B$1:$B$6957,"FALSO",[1]InfCualitativo!$E$1:$E$6957,"Fredonia",[1]InfCualitativo!$H$1:$H$6957,"laboratorio")</f>
        <v>2</v>
      </c>
      <c r="O21" s="30">
        <f t="shared" si="6"/>
        <v>0.95652173913043481</v>
      </c>
      <c r="P21" s="31">
        <f t="shared" si="7"/>
        <v>4.3478260869565216E-2</v>
      </c>
      <c r="Q21" s="27">
        <f>COUNTIFS([1]InfCualitativo!$B$1:$B$6957,"VERDADERO",[1]InfCualitativo!$E$1:$E$6957,"Fredonia",[1]InfCualitativo!$H$1:$H$6957,"electros")</f>
        <v>0</v>
      </c>
      <c r="R21" s="27">
        <f>COUNTIFS([1]InfCualitativo!$B$1:$B$6957,"FALSO",[1]InfCualitativo!$E$1:$E$6957,"Fredonia",[1]InfCualitativo!$H$1:$H$6957,"electros")</f>
        <v>0</v>
      </c>
      <c r="S21" s="30">
        <f t="shared" si="8"/>
        <v>0</v>
      </c>
      <c r="T21" s="30">
        <f t="shared" si="9"/>
        <v>0</v>
      </c>
      <c r="U21" s="27">
        <f>COUNTIFS([1]InfCualitativo!$B$1:$B$6957,"VERDADERO",[1]InfCualitativo!$E$1:$E$6957,"Fredonia",[1]InfCualitativo!$H$1:$H$6957,"rx")</f>
        <v>0</v>
      </c>
      <c r="V21" s="27">
        <f>COUNTIFS([1]InfCualitativo!$B$1:$B$6957,"FALSO",[1]InfCualitativo!$E$1:$E$6957,"Fredonia",[1]InfCualitativo!$H$1:$H$6957,"rx")</f>
        <v>0</v>
      </c>
      <c r="W21" s="30">
        <f t="shared" si="10"/>
        <v>0</v>
      </c>
      <c r="X21" s="30">
        <f t="shared" si="11"/>
        <v>0</v>
      </c>
      <c r="Y21" s="27">
        <f>COUNTIFS([1]InfCualitativo!$B$1:$B$6957,"VERDADERO",[1]InfCualitativo!$E$1:$E$6957,"Fredonia",[1]InfCualitativo!$H$1:$H$6957,"ecografias")</f>
        <v>0</v>
      </c>
      <c r="Z21" s="27">
        <f>COUNTIFS([1]InfCualitativo!$B$1:$B$6957,"FALSO",[1]InfCualitativo!$E$1:$E$6957,"Fredonia",[1]InfCualitativo!$H$1:$H$6957,"ecografias")</f>
        <v>0</v>
      </c>
      <c r="AA21" s="30">
        <f t="shared" si="12"/>
        <v>0</v>
      </c>
      <c r="AB21" s="30">
        <f t="shared" si="13"/>
        <v>0</v>
      </c>
      <c r="AC21" s="27">
        <f>COUNTIFS([1]InfCualitativo!$B$1:$B$6957,"VERDADERO",[1]InfCualitativo!$E$1:$E$6957,"Fredonia",[1]InfCualitativo!$H$1:$H$6957,"urgencia")</f>
        <v>0</v>
      </c>
      <c r="AD21" s="27">
        <f>COUNTIFS([1]InfCualitativo!$B$1:$B$6957,"FALSO",[1]InfCualitativo!$E$1:$E$6957,"Fredonia",[1]InfCualitativo!$H$1:$H$6957,"urgencia")</f>
        <v>0</v>
      </c>
      <c r="AE21" s="30">
        <f t="shared" si="14"/>
        <v>0</v>
      </c>
      <c r="AF21" s="30">
        <f t="shared" si="15"/>
        <v>0</v>
      </c>
      <c r="AG21" s="27">
        <f>COUNTIFS([1]InfCualitativo!$B$1:$B$6957,"VERDADERO",[1]InfCualitativo!$E$1:$E$6957,"Fredonia",[1]InfCualitativo!$H$1:$H$6957,"pediatria")</f>
        <v>0</v>
      </c>
      <c r="AH21" s="27">
        <f>COUNTIFS([1]InfCualitativo!$B$1:$B$6957,"FALSO",[1]InfCualitativo!$E$1:$E$6957,"Fredonia",[1]InfCualitativo!$H$1:$H$6957,"pediatria")</f>
        <v>0</v>
      </c>
      <c r="AI21" s="30">
        <f t="shared" si="16"/>
        <v>0</v>
      </c>
      <c r="AJ21" s="30">
        <f t="shared" si="17"/>
        <v>0</v>
      </c>
      <c r="AK21" s="27">
        <f>COUNTIFS([1]InfCualitativo!$B$1:$B$6957,"VERDADERO",[1]InfCualitativo!$E$1:$E$6957,"Fredonia",[1]InfCualitativo!$H$1:$H$6957,"medicina_interna")</f>
        <v>0</v>
      </c>
      <c r="AL21" s="27">
        <f>COUNTIFS([1]InfCualitativo!$B$1:$B$6957,"FALSO",[1]InfCualitativo!$E$1:$E$6957,"Fredonia",[1]InfCualitativo!$H$1:$H$6957,"medicina_interna")</f>
        <v>0</v>
      </c>
      <c r="AM21" s="30">
        <f t="shared" si="18"/>
        <v>0</v>
      </c>
      <c r="AN21" s="30">
        <f t="shared" si="19"/>
        <v>0</v>
      </c>
      <c r="AO21" s="27">
        <f>COUNTIFS([1]InfCualitativo!$B$1:$B$6957,"VERDADERO",[1]InfCualitativo!$E$1:$E$6957,"Fredonia",[1]InfCualitativo!$H$1:$H$6957,"ginecologia")</f>
        <v>0</v>
      </c>
      <c r="AP21" s="27">
        <f>COUNTIFS([1]InfCualitativo!$B$1:$B$6957,"FALSO",[1]InfCualitativo!$E$1:$E$6957,"Fredonia",[1]InfCualitativo!$H$1:$H$6957,"ginecologia")</f>
        <v>0</v>
      </c>
      <c r="AQ21" s="30">
        <f t="shared" si="20"/>
        <v>0</v>
      </c>
      <c r="AR21" s="30">
        <f t="shared" si="21"/>
        <v>0</v>
      </c>
      <c r="AS21" s="27">
        <f t="shared" si="22"/>
        <v>132</v>
      </c>
      <c r="AT21" s="27">
        <f t="shared" si="22"/>
        <v>4</v>
      </c>
      <c r="AU21" s="32">
        <f t="shared" si="23"/>
        <v>0.97058823529411764</v>
      </c>
      <c r="AV21" s="32">
        <f t="shared" si="24"/>
        <v>2.9411764705882353E-2</v>
      </c>
    </row>
    <row r="22" spans="1:48" ht="18.75" x14ac:dyDescent="0.3">
      <c r="A22" s="26" t="s">
        <v>42</v>
      </c>
      <c r="B22" s="27">
        <v>144</v>
      </c>
      <c r="C22" s="27">
        <f t="shared" si="1"/>
        <v>135</v>
      </c>
      <c r="D22" s="28">
        <f t="shared" si="0"/>
        <v>93.75</v>
      </c>
      <c r="E22" s="29">
        <f>COUNTIFS([1]InfCualitativo!$B$1:$B$6957,"VERDADERO",[1]InfCualitativo!$E$1:$E$6957,"Gaviotas",[1]InfCualitativo!$H$1:$H$6957,"consulta_externa")</f>
        <v>43</v>
      </c>
      <c r="F22" s="29">
        <f>COUNTIFS([1]InfCualitativo!$B$1:$B$6957,"FALSO",[1]InfCualitativo!$E$1:$E$6957,"Gaviotas",[1]InfCualitativo!$H$1:$H$6957,"consulta_externa")</f>
        <v>3</v>
      </c>
      <c r="G22" s="30">
        <f t="shared" si="2"/>
        <v>0.93478260869565222</v>
      </c>
      <c r="H22" s="30">
        <f t="shared" si="3"/>
        <v>6.5217391304347824E-2</v>
      </c>
      <c r="I22" s="27">
        <f>COUNTIFS([1]InfCualitativo!$B$1:$B$6957,"VERDADERO",[1]InfCualitativo!$E$1:$E$6957,"Gaviotas",[1]InfCualitativo!$H$1:$H$6957,"salud_oral")</f>
        <v>45</v>
      </c>
      <c r="J22" s="27">
        <f>COUNTIFS([1]InfCualitativo!$B$1:$B$6957,"FALSO",[1]InfCualitativo!$E$1:$E$6957,"Gaviotas",[1]InfCualitativo!$H$1:$H$6957,"salud_oral")</f>
        <v>0</v>
      </c>
      <c r="K22" s="30">
        <f t="shared" si="4"/>
        <v>1</v>
      </c>
      <c r="L22" s="30">
        <f t="shared" si="5"/>
        <v>0</v>
      </c>
      <c r="M22" s="27">
        <f>COUNTIFS([1]InfCualitativo!$B$1:$B$6957,"VERDADERO",[1]InfCualitativo!$E$1:$E$6957,"Gaviotas",[1]InfCualitativo!$H$1:$H$6957,"laboratorio")</f>
        <v>44</v>
      </c>
      <c r="N22" s="27">
        <f>COUNTIFS([1]InfCualitativo!$B$1:$B$6957,"FALSO",[1]InfCualitativo!$E$1:$E$6957,"Gaviotas",[1]InfCualitativo!$H$1:$H$6957,"laboratorio")</f>
        <v>0</v>
      </c>
      <c r="O22" s="30">
        <f t="shared" si="6"/>
        <v>1</v>
      </c>
      <c r="P22" s="31">
        <f t="shared" si="7"/>
        <v>0</v>
      </c>
      <c r="Q22" s="27">
        <f>COUNTIFS([1]InfCualitativo!$B$1:$B$6957,"VERDADERO",[1]InfCualitativo!$E$1:$E$6957,"Gaviotas",[1]InfCualitativo!$H$1:$H$6957,"electros")</f>
        <v>0</v>
      </c>
      <c r="R22" s="27">
        <f>COUNTIFS([1]InfCualitativo!$B$1:$B$6957,"FALSO",[1]InfCualitativo!$E$1:$E$6957,"Gaviotas",[1]InfCualitativo!$H$1:$H$6957,"electros")</f>
        <v>0</v>
      </c>
      <c r="S22" s="30">
        <f t="shared" si="8"/>
        <v>0</v>
      </c>
      <c r="T22" s="30">
        <f t="shared" si="9"/>
        <v>0</v>
      </c>
      <c r="U22" s="27">
        <f>COUNTIFS([1]InfCualitativo!$B$1:$B$6957,"VERDADERO",[1]InfCualitativo!$E$1:$E$6957,"Gaviotas",[1]InfCualitativo!$H$1:$H$6957,"rx")</f>
        <v>0</v>
      </c>
      <c r="V22" s="27">
        <f>COUNTIFS([1]InfCualitativo!$B$1:$B$6957,"FALSO",[1]InfCualitativo!$E$1:$E$6957,"Gaviotas",[1]InfCualitativo!$H$1:$H$6957,"rx")</f>
        <v>0</v>
      </c>
      <c r="W22" s="30">
        <f t="shared" si="10"/>
        <v>0</v>
      </c>
      <c r="X22" s="30">
        <f t="shared" si="11"/>
        <v>0</v>
      </c>
      <c r="Y22" s="27">
        <f>COUNTIFS([1]InfCualitativo!$B$1:$B$6957,"VERDADERO",[1]InfCualitativo!$E$1:$E$6957,"Gaviotas",[1]InfCualitativo!$H$1:$H$6957,"ecografias")</f>
        <v>0</v>
      </c>
      <c r="Z22" s="27">
        <f>COUNTIFS([1]InfCualitativo!$B$1:$B$6957,"FALSO",[1]InfCualitativo!$E$1:$E$6957,"Gaviotas",[1]InfCualitativo!$H$1:$H$6957,"ecografias")</f>
        <v>0</v>
      </c>
      <c r="AA22" s="30">
        <f t="shared" si="12"/>
        <v>0</v>
      </c>
      <c r="AB22" s="30">
        <f t="shared" si="13"/>
        <v>0</v>
      </c>
      <c r="AC22" s="27">
        <f>COUNTIFS([1]InfCualitativo!$B$1:$B$6957,"VERDADERO",[1]InfCualitativo!$E$1:$E$6957,"Gaviotas",[1]InfCualitativo!$H$1:$H$6957,"urgencia")</f>
        <v>0</v>
      </c>
      <c r="AD22" s="27">
        <f>COUNTIFS([1]InfCualitativo!$B$1:$B$6957,"FALSO",[1]InfCualitativo!$E$1:$E$6957,"Gaviotas",[1]InfCualitativo!$H$1:$H$6957,"urgencia")</f>
        <v>0</v>
      </c>
      <c r="AE22" s="30">
        <f t="shared" si="14"/>
        <v>0</v>
      </c>
      <c r="AF22" s="30">
        <f t="shared" si="15"/>
        <v>0</v>
      </c>
      <c r="AG22" s="27">
        <f>COUNTIFS([1]InfCualitativo!$B$1:$B$6957,"VERDADERO",[1]InfCualitativo!$E$1:$E$6957,"Gaviotas",[1]InfCualitativo!$H$1:$H$6957,"pediatria")</f>
        <v>0</v>
      </c>
      <c r="AH22" s="27">
        <f>COUNTIFS([1]InfCualitativo!$B$1:$B$6957,"FALSO",[1]InfCualitativo!$E$1:$E$6957,"Gaviotas",[1]InfCualitativo!$H$1:$H$6957,"pediatria")</f>
        <v>0</v>
      </c>
      <c r="AI22" s="30">
        <f t="shared" si="16"/>
        <v>0</v>
      </c>
      <c r="AJ22" s="30">
        <f t="shared" si="17"/>
        <v>0</v>
      </c>
      <c r="AK22" s="27">
        <f>COUNTIFS([1]InfCualitativo!$B$1:$B$6957,"VERDADERO",[1]InfCualitativo!$E$1:$E$6957,"Gaviotas",[1]InfCualitativo!$H$1:$H$6957,"medicina_interna")</f>
        <v>0</v>
      </c>
      <c r="AL22" s="27">
        <f>COUNTIFS([1]InfCualitativo!$B$1:$B$6957,"FALSO",[1]InfCualitativo!$E$1:$E$6957,"Gaviotas",[1]InfCualitativo!$H$1:$H$6957,"medicina_interna")</f>
        <v>0</v>
      </c>
      <c r="AM22" s="30">
        <f t="shared" si="18"/>
        <v>0</v>
      </c>
      <c r="AN22" s="30">
        <f t="shared" si="19"/>
        <v>0</v>
      </c>
      <c r="AO22" s="27">
        <f>COUNTIFS([1]InfCualitativo!$B$1:$B$6957,"VERDADERO",[1]InfCualitativo!$E$1:$E$6957,"Gaviotas",[1]InfCualitativo!$H$1:$H$6957,"ginecologia")</f>
        <v>0</v>
      </c>
      <c r="AP22" s="27">
        <f>COUNTIFS([1]InfCualitativo!$B$1:$B$6957,"FALSO",[1]InfCualitativo!$E$1:$E$6957,"Gaviotas",[1]InfCualitativo!$H$1:$H$6957,"ginecologia")</f>
        <v>0</v>
      </c>
      <c r="AQ22" s="30">
        <f t="shared" si="20"/>
        <v>0</v>
      </c>
      <c r="AR22" s="30">
        <f t="shared" si="21"/>
        <v>0</v>
      </c>
      <c r="AS22" s="27">
        <f t="shared" si="22"/>
        <v>132</v>
      </c>
      <c r="AT22" s="27">
        <f t="shared" si="22"/>
        <v>3</v>
      </c>
      <c r="AU22" s="32">
        <f t="shared" si="23"/>
        <v>0.97777777777777775</v>
      </c>
      <c r="AV22" s="32">
        <f t="shared" si="24"/>
        <v>2.2222222222222223E-2</v>
      </c>
    </row>
    <row r="23" spans="1:48" ht="18.75" x14ac:dyDescent="0.3">
      <c r="A23" s="26" t="s">
        <v>43</v>
      </c>
      <c r="B23" s="27">
        <v>84</v>
      </c>
      <c r="C23" s="27">
        <f t="shared" si="1"/>
        <v>51</v>
      </c>
      <c r="D23" s="33">
        <f t="shared" si="0"/>
        <v>60.714285714285715</v>
      </c>
      <c r="E23" s="29">
        <f>COUNTIFS([1]InfCualitativo!$B$1:$B$6957,"VERDADERO",[1]InfCualitativo!$E$1:$E$6957,"Isla del Rosario",[1]InfCualitativo!$H$1:$H$6957,"consulta_externa")</f>
        <v>21</v>
      </c>
      <c r="F23" s="29">
        <f>COUNTIFS([1]InfCualitativo!$B$1:$B$6957,"FALSO",[1]InfCualitativo!$E$1:$E$6957,"Isla del Rosario",[1]InfCualitativo!$H$1:$H$6957,"consulta_externa")</f>
        <v>0</v>
      </c>
      <c r="G23" s="30">
        <f t="shared" si="2"/>
        <v>1</v>
      </c>
      <c r="H23" s="30">
        <f t="shared" si="3"/>
        <v>0</v>
      </c>
      <c r="I23" s="27">
        <f>COUNTIFS([1]InfCualitativo!$B$1:$B$6957,"VERDADERO",[1]InfCualitativo!$E$1:$E$6957,"Isla del Rosario",[1]InfCualitativo!$H$1:$H$6957,"salud_oral")</f>
        <v>13</v>
      </c>
      <c r="J23" s="27">
        <f>COUNTIFS([1]InfCualitativo!$B$1:$B$6957,"FALSO",[1]InfCualitativo!$E$1:$E$6957,"Isla del Rosario",[1]InfCualitativo!$H$1:$H$6957,"salud_oral")</f>
        <v>0</v>
      </c>
      <c r="K23" s="30">
        <f t="shared" si="4"/>
        <v>1</v>
      </c>
      <c r="L23" s="30">
        <f t="shared" si="5"/>
        <v>0</v>
      </c>
      <c r="M23" s="27">
        <f>COUNTIFS([1]InfCualitativo!$B$1:$B$6957,"VERDADERO",[1]InfCualitativo!$E$1:$E$6957,"Isla del Rosario",[1]InfCualitativo!$H$1:$H$6957,"laboratorio")</f>
        <v>17</v>
      </c>
      <c r="N23" s="27">
        <f>COUNTIFS([1]InfCualitativo!$B$1:$B$6957,"FALSO",[1]InfCualitativo!$E$1:$E$6957,"Isla del Rosario",[1]InfCualitativo!$H$1:$H$6957,"laboratorio")</f>
        <v>0</v>
      </c>
      <c r="O23" s="30">
        <f t="shared" si="6"/>
        <v>1</v>
      </c>
      <c r="P23" s="31">
        <f t="shared" si="7"/>
        <v>0</v>
      </c>
      <c r="Q23" s="27">
        <f>COUNTIFS([1]InfCualitativo!$B$1:$B$6957,"VERDADERO",[1]InfCualitativo!$E$1:$E$6957,"Isla del Rosario",[1]InfCualitativo!$H$1:$H$6957,"electros")</f>
        <v>0</v>
      </c>
      <c r="R23" s="27">
        <f>COUNTIFS([1]InfCualitativo!$B$1:$B$6957,"FALSO",[1]InfCualitativo!$E$1:$E$6957,"Isla del Rosario",[1]InfCualitativo!$H$1:$H$6957,"electros")</f>
        <v>0</v>
      </c>
      <c r="S23" s="30">
        <f t="shared" si="8"/>
        <v>0</v>
      </c>
      <c r="T23" s="30">
        <f t="shared" si="9"/>
        <v>0</v>
      </c>
      <c r="U23" s="27">
        <f>COUNTIFS([1]InfCualitativo!$B$1:$B$6957,"VERDADERO",[1]InfCualitativo!$E$1:$E$6957,"Isla del Rosario",[1]InfCualitativo!$H$1:$H$6957,"rx")</f>
        <v>0</v>
      </c>
      <c r="V23" s="27">
        <f>COUNTIFS([1]InfCualitativo!$B$1:$B$6957,"FALSO",[1]InfCualitativo!$E$1:$E$6957,"Isla del Rosario",[1]InfCualitativo!$H$1:$H$6957,"rx")</f>
        <v>0</v>
      </c>
      <c r="W23" s="30">
        <f t="shared" si="10"/>
        <v>0</v>
      </c>
      <c r="X23" s="30">
        <f t="shared" si="11"/>
        <v>0</v>
      </c>
      <c r="Y23" s="27">
        <f>COUNTIFS([1]InfCualitativo!$B$1:$B$6957,"VERDADERO",[1]InfCualitativo!$E$1:$E$6957,"Isla del Rosario",[1]InfCualitativo!$H$1:$H$6957,"ecografias")</f>
        <v>0</v>
      </c>
      <c r="Z23" s="27">
        <f>COUNTIFS([1]InfCualitativo!$B$1:$B$6957,"FALSO",[1]InfCualitativo!$E$1:$E$6957,"Isla del Rosario",[1]InfCualitativo!$H$1:$H$6957,"ecografias")</f>
        <v>0</v>
      </c>
      <c r="AA23" s="30">
        <f t="shared" si="12"/>
        <v>0</v>
      </c>
      <c r="AB23" s="30">
        <f t="shared" si="13"/>
        <v>0</v>
      </c>
      <c r="AC23" s="27">
        <f>COUNTIFS([1]InfCualitativo!$B$1:$B$6957,"VERDADERO",[1]InfCualitativo!$E$1:$E$6957,"Isla del Rosario",[1]InfCualitativo!$H$1:$H$6957,"urgencia")</f>
        <v>0</v>
      </c>
      <c r="AD23" s="27">
        <f>COUNTIFS([1]InfCualitativo!$B$1:$B$6957,"FALSO",[1]InfCualitativo!$E$1:$E$6957,"Isla del Rosario",[1]InfCualitativo!$H$1:$H$6957,"urgencia")</f>
        <v>0</v>
      </c>
      <c r="AE23" s="30">
        <f t="shared" si="14"/>
        <v>0</v>
      </c>
      <c r="AF23" s="30">
        <f t="shared" si="15"/>
        <v>0</v>
      </c>
      <c r="AG23" s="27">
        <f>COUNTIFS([1]InfCualitativo!$B$1:$B$6957,"VERDADERO",[1]InfCualitativo!$E$1:$E$6957,"Isla del Rosario",[1]InfCualitativo!$H$1:$H$6957,"pediatria")</f>
        <v>0</v>
      </c>
      <c r="AH23" s="27">
        <f>COUNTIFS([1]InfCualitativo!$B$1:$B$6957,"FALSO",[1]InfCualitativo!$E$1:$E$6957,"Isla del Rosario",[1]InfCualitativo!$H$1:$H$6957,"pediatria")</f>
        <v>0</v>
      </c>
      <c r="AI23" s="30">
        <f t="shared" si="16"/>
        <v>0</v>
      </c>
      <c r="AJ23" s="30">
        <f t="shared" si="17"/>
        <v>0</v>
      </c>
      <c r="AK23" s="27">
        <f>COUNTIFS([1]InfCualitativo!$B$1:$B$6957,"VERDADERO",[1]InfCualitativo!$E$1:$E$6957,"Isla del Rosario",[1]InfCualitativo!$H$1:$H$6957,"medicina_interna")</f>
        <v>0</v>
      </c>
      <c r="AL23" s="27">
        <f>COUNTIFS([1]InfCualitativo!$B$1:$B$6957,"FALSO",[1]InfCualitativo!$E$1:$E$6957,"Isla del Rosario",[1]InfCualitativo!$H$1:$H$6957,"medicina_interna")</f>
        <v>0</v>
      </c>
      <c r="AM23" s="30">
        <f t="shared" si="18"/>
        <v>0</v>
      </c>
      <c r="AN23" s="30">
        <f t="shared" si="19"/>
        <v>0</v>
      </c>
      <c r="AO23" s="27">
        <f>COUNTIFS([1]InfCualitativo!$B$1:$B$6957,"VERDADERO",[1]InfCualitativo!$E$1:$E$6957,"Isla del Rosario",[1]InfCualitativo!$H$1:$H$6957,"ginecologia")</f>
        <v>0</v>
      </c>
      <c r="AP23" s="27">
        <f>COUNTIFS([1]InfCualitativo!$B$1:$B$6957,"FALSO",[1]InfCualitativo!$E$1:$E$6957,"Isla del Rosario",[1]InfCualitativo!$H$1:$H$6957,"ginecologia")</f>
        <v>0</v>
      </c>
      <c r="AQ23" s="30">
        <f t="shared" si="20"/>
        <v>0</v>
      </c>
      <c r="AR23" s="30">
        <f t="shared" si="21"/>
        <v>0</v>
      </c>
      <c r="AS23" s="27">
        <f t="shared" si="22"/>
        <v>51</v>
      </c>
      <c r="AT23" s="27">
        <f t="shared" si="22"/>
        <v>0</v>
      </c>
      <c r="AU23" s="32">
        <f t="shared" si="23"/>
        <v>1</v>
      </c>
      <c r="AV23" s="32">
        <f t="shared" si="24"/>
        <v>0</v>
      </c>
    </row>
    <row r="24" spans="1:48" ht="18.75" x14ac:dyDescent="0.3">
      <c r="A24" s="26" t="s">
        <v>44</v>
      </c>
      <c r="B24" s="27">
        <v>140</v>
      </c>
      <c r="C24" s="27">
        <f t="shared" si="1"/>
        <v>129</v>
      </c>
      <c r="D24" s="28">
        <f t="shared" si="0"/>
        <v>92.142857142857139</v>
      </c>
      <c r="E24" s="29">
        <f>COUNTIFS([1]InfCualitativo!$B$1:$B$6957,"VERDADERO",[1]InfCualitativo!$E$1:$E$6957,"Las Reinas",[1]InfCualitativo!$H$1:$H$6957,"consulta_externa")</f>
        <v>35</v>
      </c>
      <c r="F24" s="29">
        <f>COUNTIFS([1]InfCualitativo!$B$1:$B$6957,"FALSO",[1]InfCualitativo!$E$1:$E$6957,"Las Reinas",[1]InfCualitativo!$H$1:$H$6957,"consulta_externa")</f>
        <v>10</v>
      </c>
      <c r="G24" s="30">
        <f t="shared" si="2"/>
        <v>0.77777777777777779</v>
      </c>
      <c r="H24" s="30">
        <f t="shared" si="3"/>
        <v>0.22222222222222221</v>
      </c>
      <c r="I24" s="27">
        <f>COUNTIFS([1]InfCualitativo!$B$1:$B$6957,"VERDADERO",[1]InfCualitativo!$E$1:$E$6957,"Las Reinas",[1]InfCualitativo!$H$1:$H$6957,"salud_oral")</f>
        <v>38</v>
      </c>
      <c r="J24" s="27">
        <f>COUNTIFS([1]InfCualitativo!$B$1:$B$6957,"FALSO",[1]InfCualitativo!$E$1:$E$6957,"Las Reinas",[1]InfCualitativo!$H$1:$H$6957,"salud_oral")</f>
        <v>4</v>
      </c>
      <c r="K24" s="30">
        <f t="shared" si="4"/>
        <v>0.90476190476190477</v>
      </c>
      <c r="L24" s="30">
        <f t="shared" si="5"/>
        <v>9.5238095238095233E-2</v>
      </c>
      <c r="M24" s="27">
        <f>COUNTIFS([1]InfCualitativo!$B$1:$B$6957,"VERDADERO",[1]InfCualitativo!$E$1:$E$6957,"Las Reinas",[1]InfCualitativo!$H$1:$H$6957,"laboratorio")</f>
        <v>40</v>
      </c>
      <c r="N24" s="27">
        <f>COUNTIFS([1]InfCualitativo!$B$1:$B$6957,"FALSO",[1]InfCualitativo!$E$1:$E$6957,"Las Reinas",[1]InfCualitativo!$H$1:$H$6957,"laboratorio")</f>
        <v>2</v>
      </c>
      <c r="O24" s="30">
        <f t="shared" si="6"/>
        <v>0.95238095238095233</v>
      </c>
      <c r="P24" s="31">
        <f t="shared" si="7"/>
        <v>4.7619047619047616E-2</v>
      </c>
      <c r="Q24" s="27">
        <f>COUNTIFS([1]InfCualitativo!$B$1:$B$6957,"VERDADERO",[1]InfCualitativo!$E$1:$E$6957,"Las Reinas",[1]InfCualitativo!$H$1:$H$6957,"electros")</f>
        <v>0</v>
      </c>
      <c r="R24" s="27">
        <f>COUNTIFS([1]InfCualitativo!$B$1:$B$6957,"FALSO",[1]InfCualitativo!$E$1:$E$6957,"Las Reinas",[1]InfCualitativo!$H$1:$H$6957,"electros")</f>
        <v>0</v>
      </c>
      <c r="S24" s="30">
        <f t="shared" si="8"/>
        <v>0</v>
      </c>
      <c r="T24" s="30">
        <f t="shared" si="9"/>
        <v>0</v>
      </c>
      <c r="U24" s="27">
        <f>COUNTIFS([1]InfCualitativo!$B$1:$B$6957,"VERDADERO",[1]InfCualitativo!$E$1:$E$6957,"Las Reinas",[1]InfCualitativo!$H$1:$H$6957,"rx")</f>
        <v>0</v>
      </c>
      <c r="V24" s="27">
        <f>COUNTIFS([1]InfCualitativo!$B$1:$B$6957,"FALSO",[1]InfCualitativo!$E$1:$E$6957,"Las Reinas",[1]InfCualitativo!$H$1:$H$6957,"rx")</f>
        <v>0</v>
      </c>
      <c r="W24" s="30">
        <f t="shared" si="10"/>
        <v>0</v>
      </c>
      <c r="X24" s="30">
        <f t="shared" si="11"/>
        <v>0</v>
      </c>
      <c r="Y24" s="27">
        <f>COUNTIFS([1]InfCualitativo!$B$1:$B$6957,"VERDADERO",[1]InfCualitativo!$E$1:$E$6957,"Las Reinas",[1]InfCualitativo!$H$1:$H$6957,"ecografias")</f>
        <v>0</v>
      </c>
      <c r="Z24" s="27">
        <f>COUNTIFS([1]InfCualitativo!$B$1:$B$6957,"FALSO",[1]InfCualitativo!$E$1:$E$6957,"Las Reinas",[1]InfCualitativo!$H$1:$H$6957,"ecografias")</f>
        <v>0</v>
      </c>
      <c r="AA24" s="30">
        <f t="shared" si="12"/>
        <v>0</v>
      </c>
      <c r="AB24" s="30">
        <f t="shared" si="13"/>
        <v>0</v>
      </c>
      <c r="AC24" s="27">
        <f>COUNTIFS([1]InfCualitativo!$B$1:$B$6957,"VERDADERO",[1]InfCualitativo!$E$1:$E$6957,"Las Reinas",[1]InfCualitativo!$H$1:$H$6957,"urgencia")</f>
        <v>0</v>
      </c>
      <c r="AD24" s="27">
        <f>COUNTIFS([1]InfCualitativo!$B$1:$B$6957,"FALSO",[1]InfCualitativo!$E$1:$E$6957,"Las Reinas",[1]InfCualitativo!$H$1:$H$6957,"urgencia")</f>
        <v>0</v>
      </c>
      <c r="AE24" s="30">
        <f t="shared" si="14"/>
        <v>0</v>
      </c>
      <c r="AF24" s="30">
        <f t="shared" si="15"/>
        <v>0</v>
      </c>
      <c r="AG24" s="27">
        <f>COUNTIFS([1]InfCualitativo!$B$1:$B$6957,"VERDADERO",[1]InfCualitativo!$E$1:$E$6957,"Las Reinas",[1]InfCualitativo!$H$1:$H$6957,"pediatria")</f>
        <v>0</v>
      </c>
      <c r="AH24" s="27">
        <f>COUNTIFS([1]InfCualitativo!$B$1:$B$6957,"FALSO",[1]InfCualitativo!$E$1:$E$6957,"Las Reinas",[1]InfCualitativo!$H$1:$H$6957,"pediatria")</f>
        <v>0</v>
      </c>
      <c r="AI24" s="30">
        <f t="shared" si="16"/>
        <v>0</v>
      </c>
      <c r="AJ24" s="30">
        <f t="shared" si="17"/>
        <v>0</v>
      </c>
      <c r="AK24" s="27">
        <f>COUNTIFS([1]InfCualitativo!$B$1:$B$6957,"VERDADERO",[1]InfCualitativo!$E$1:$E$6957,"Las Reinas",[1]InfCualitativo!$H$1:$H$6957,"medicina_interna")</f>
        <v>0</v>
      </c>
      <c r="AL24" s="27">
        <f>COUNTIFS([1]InfCualitativo!$B$1:$B$6957,"FALSO",[1]InfCualitativo!$E$1:$E$6957,"Las Reinas",[1]InfCualitativo!$H$1:$H$6957,"medicina_interna")</f>
        <v>0</v>
      </c>
      <c r="AM24" s="30">
        <f t="shared" si="18"/>
        <v>0</v>
      </c>
      <c r="AN24" s="30">
        <f t="shared" si="19"/>
        <v>0</v>
      </c>
      <c r="AO24" s="27">
        <f>COUNTIFS([1]InfCualitativo!$B$1:$B$6957,"VERDADERO",[1]InfCualitativo!$E$1:$E$6957,"Las Reinas",[1]InfCualitativo!$H$1:$H$6957,"ginecologia")</f>
        <v>0</v>
      </c>
      <c r="AP24" s="27">
        <f>COUNTIFS([1]InfCualitativo!$B$1:$B$6957,"FALSO",[1]InfCualitativo!$E$1:$E$6957,"Las Reinas",[1]InfCualitativo!$H$1:$H$6957,"ginecologia")</f>
        <v>0</v>
      </c>
      <c r="AQ24" s="30">
        <f t="shared" si="20"/>
        <v>0</v>
      </c>
      <c r="AR24" s="30">
        <f t="shared" si="21"/>
        <v>0</v>
      </c>
      <c r="AS24" s="27">
        <f t="shared" si="22"/>
        <v>113</v>
      </c>
      <c r="AT24" s="27">
        <f t="shared" si="22"/>
        <v>16</v>
      </c>
      <c r="AU24" s="32">
        <f t="shared" si="23"/>
        <v>0.87596899224806202</v>
      </c>
      <c r="AV24" s="32">
        <f t="shared" si="24"/>
        <v>0.12403100775193798</v>
      </c>
    </row>
    <row r="25" spans="1:48" ht="18.75" x14ac:dyDescent="0.3">
      <c r="A25" s="26" t="s">
        <v>45</v>
      </c>
      <c r="B25" s="27">
        <v>228</v>
      </c>
      <c r="C25" s="27">
        <f t="shared" si="1"/>
        <v>228</v>
      </c>
      <c r="D25" s="28">
        <f t="shared" si="0"/>
        <v>100</v>
      </c>
      <c r="E25" s="29">
        <f>COUNTIFS([1]InfCualitativo!$B$1:$B$6957,"VERDADERO",[1]InfCualitativo!$E$1:$E$6957,"Libano",[1]InfCualitativo!$H$1:$H$6957,"consulta_externa")</f>
        <v>51</v>
      </c>
      <c r="F25" s="29">
        <f>COUNTIFS([1]InfCualitativo!$B$1:$B$6957,"FALSO",[1]InfCualitativo!$E$1:$E$6957,"Libano",[1]InfCualitativo!$H$1:$H$6957,"consulta_externa")</f>
        <v>0</v>
      </c>
      <c r="G25" s="30">
        <f t="shared" si="2"/>
        <v>1</v>
      </c>
      <c r="H25" s="30">
        <f t="shared" si="3"/>
        <v>0</v>
      </c>
      <c r="I25" s="27">
        <f>COUNTIFS([1]InfCualitativo!$B$1:$B$6957,"VERDADERO",[1]InfCualitativo!$E$1:$E$6957,"Libano",[1]InfCualitativo!$H$1:$H$6957,"salud_oral")</f>
        <v>48</v>
      </c>
      <c r="J25" s="27">
        <f>COUNTIFS([1]InfCualitativo!$B$1:$B$6957,"FALSO",[1]InfCualitativo!$E$1:$E$6957,"Libano",[1]InfCualitativo!$H$1:$H$6957,"salud_oral")</f>
        <v>0</v>
      </c>
      <c r="K25" s="30">
        <f t="shared" si="4"/>
        <v>1</v>
      </c>
      <c r="L25" s="30">
        <f t="shared" si="5"/>
        <v>0</v>
      </c>
      <c r="M25" s="27">
        <f>COUNTIFS([1]InfCualitativo!$B$1:$B$6957,"VERDADERO",[1]InfCualitativo!$E$1:$E$6957,"Libano",[1]InfCualitativo!$H$1:$H$6957,"laboratorio")</f>
        <v>45</v>
      </c>
      <c r="N25" s="27">
        <f>COUNTIFS([1]InfCualitativo!$B$1:$B$6957,"FALSO",[1]InfCualitativo!$E$1:$E$6957,"Libano",[1]InfCualitativo!$H$1:$H$6957,"laboratorio")</f>
        <v>0</v>
      </c>
      <c r="O25" s="30">
        <f t="shared" si="6"/>
        <v>1</v>
      </c>
      <c r="P25" s="31">
        <f t="shared" si="7"/>
        <v>0</v>
      </c>
      <c r="Q25" s="27">
        <f>COUNTIFS([1]InfCualitativo!$B$1:$B$6957,"VERDADERO",[1]InfCualitativo!$E$1:$E$6957,"Libano",[1]InfCualitativo!$H$1:$H$6957,"electros")</f>
        <v>0</v>
      </c>
      <c r="R25" s="27">
        <f>COUNTIFS([1]InfCualitativo!$B$1:$B$6957,"FALSO",[1]InfCualitativo!$E$1:$E$6957,"Libano",[1]InfCualitativo!$H$1:$H$6957,"electros")</f>
        <v>0</v>
      </c>
      <c r="S25" s="30">
        <f t="shared" si="8"/>
        <v>0</v>
      </c>
      <c r="T25" s="30">
        <f t="shared" si="9"/>
        <v>0</v>
      </c>
      <c r="U25" s="27">
        <f>COUNTIFS([1]InfCualitativo!$B$1:$B$6957,"VERDADERO",[1]InfCualitativo!$E$1:$E$6957,"Libano",[1]InfCualitativo!$H$1:$H$6957,"rx")</f>
        <v>0</v>
      </c>
      <c r="V25" s="27">
        <f>COUNTIFS([1]InfCualitativo!$B$1:$B$6957,"FALSO",[1]InfCualitativo!$E$1:$E$6957,"Libano",[1]InfCualitativo!$H$1:$H$6957,"rx")</f>
        <v>0</v>
      </c>
      <c r="W25" s="30">
        <f t="shared" si="10"/>
        <v>0</v>
      </c>
      <c r="X25" s="30">
        <f t="shared" si="11"/>
        <v>0</v>
      </c>
      <c r="Y25" s="27">
        <f>COUNTIFS([1]InfCualitativo!$B$1:$B$6957,"VERDADERO",[1]InfCualitativo!$E$1:$E$6957,"Libano",[1]InfCualitativo!$H$1:$H$6957,"ecografias")</f>
        <v>24</v>
      </c>
      <c r="Z25" s="27">
        <f>COUNTIFS([1]InfCualitativo!$B$1:$B$6957,"FALSO",[1]InfCualitativo!$E$1:$E$6957,"Libano",[1]InfCualitativo!$H$1:$H$6957,"ecografias")</f>
        <v>0</v>
      </c>
      <c r="AA25" s="30">
        <f t="shared" si="12"/>
        <v>1</v>
      </c>
      <c r="AB25" s="30">
        <f t="shared" si="13"/>
        <v>0</v>
      </c>
      <c r="AC25" s="27">
        <f>COUNTIFS([1]InfCualitativo!$B$1:$B$6957,"VERDADERO",[1]InfCualitativo!$E$1:$E$6957,"Libano",[1]InfCualitativo!$H$1:$H$6957,"urgencia")</f>
        <v>0</v>
      </c>
      <c r="AD25" s="27">
        <f>COUNTIFS([1]InfCualitativo!$B$1:$B$6957,"FALSO",[1]InfCualitativo!$E$1:$E$6957,"Libano",[1]InfCualitativo!$H$1:$H$6957,"urgencia")</f>
        <v>0</v>
      </c>
      <c r="AE25" s="30">
        <f t="shared" si="14"/>
        <v>0</v>
      </c>
      <c r="AF25" s="30">
        <f t="shared" si="15"/>
        <v>0</v>
      </c>
      <c r="AG25" s="27">
        <f>COUNTIFS([1]InfCualitativo!$B$1:$B$6957,"VERDADERO",[1]InfCualitativo!$E$1:$E$6957,"Libano",[1]InfCualitativo!$H$1:$H$6957,"pediatria")</f>
        <v>32</v>
      </c>
      <c r="AH25" s="27">
        <f>COUNTIFS([1]InfCualitativo!$B$1:$B$6957,"FALSO",[1]InfCualitativo!$E$1:$E$6957,"Libano",[1]InfCualitativo!$H$1:$H$6957,"pediatria")</f>
        <v>0</v>
      </c>
      <c r="AI25" s="30">
        <f t="shared" si="16"/>
        <v>1</v>
      </c>
      <c r="AJ25" s="30">
        <f t="shared" si="17"/>
        <v>0</v>
      </c>
      <c r="AK25" s="27">
        <f>COUNTIFS([1]InfCualitativo!$B$1:$B$6957,"VERDADERO",[1]InfCualitativo!$E$1:$E$6957,"Libano",[1]InfCualitativo!$H$1:$H$6957,"medicina_interna")</f>
        <v>0</v>
      </c>
      <c r="AL25" s="27">
        <f>COUNTIFS([1]InfCualitativo!$B$1:$B$6957,"FALSO",[1]InfCualitativo!$E$1:$E$6957,"Libano",[1]InfCualitativo!$H$1:$H$6957,"medicina_interna")</f>
        <v>0</v>
      </c>
      <c r="AM25" s="30">
        <f t="shared" si="18"/>
        <v>0</v>
      </c>
      <c r="AN25" s="30">
        <f t="shared" si="19"/>
        <v>0</v>
      </c>
      <c r="AO25" s="27">
        <f>COUNTIFS([1]InfCualitativo!$B$1:$B$6957,"VERDADERO",[1]InfCualitativo!$E$1:$E$6957,"Libano",[1]InfCualitativo!$H$1:$H$6957,"ginecologia")</f>
        <v>28</v>
      </c>
      <c r="AP25" s="27">
        <f>COUNTIFS([1]InfCualitativo!$B$1:$B$6957,"FALSO",[1]InfCualitativo!$E$1:$E$6957,"Libano",[1]InfCualitativo!$H$1:$H$6957,"ginecologia")</f>
        <v>0</v>
      </c>
      <c r="AQ25" s="30">
        <f t="shared" si="20"/>
        <v>1</v>
      </c>
      <c r="AR25" s="30">
        <f t="shared" si="21"/>
        <v>0</v>
      </c>
      <c r="AS25" s="27">
        <f t="shared" si="22"/>
        <v>228</v>
      </c>
      <c r="AT25" s="27">
        <f t="shared" si="22"/>
        <v>0</v>
      </c>
      <c r="AU25" s="32">
        <f t="shared" si="23"/>
        <v>1</v>
      </c>
      <c r="AV25" s="32">
        <f t="shared" si="24"/>
        <v>0</v>
      </c>
    </row>
    <row r="26" spans="1:48" ht="18.75" x14ac:dyDescent="0.3">
      <c r="A26" s="26" t="s">
        <v>46</v>
      </c>
      <c r="B26" s="27">
        <v>104</v>
      </c>
      <c r="C26" s="27">
        <f t="shared" si="1"/>
        <v>102</v>
      </c>
      <c r="D26" s="28">
        <f t="shared" si="0"/>
        <v>98.07692307692308</v>
      </c>
      <c r="E26" s="29">
        <f>COUNTIFS([1]InfCualitativo!$B$1:$B$6957,"VERDADERO",[1]InfCualitativo!$E$1:$E$6957,"Manzanillo",[1]InfCualitativo!$H$1:$H$6957,"consulta_externa")</f>
        <v>34</v>
      </c>
      <c r="F26" s="29">
        <f>COUNTIFS([1]InfCualitativo!$B$1:$B$6957,"FALSO",[1]InfCualitativo!$E$1:$E$6957,"Manzanillo",[1]InfCualitativo!$H$1:$H$6957,"consulta_externa")</f>
        <v>0</v>
      </c>
      <c r="G26" s="30">
        <f t="shared" si="2"/>
        <v>1</v>
      </c>
      <c r="H26" s="30">
        <f t="shared" si="3"/>
        <v>0</v>
      </c>
      <c r="I26" s="27">
        <f>COUNTIFS([1]InfCualitativo!$B$1:$B$6957,"VERDADERO",[1]InfCualitativo!$E$1:$E$6957,"Manzanillo",[1]InfCualitativo!$H$1:$H$6957,"salud_oral")</f>
        <v>28</v>
      </c>
      <c r="J26" s="27">
        <f>COUNTIFS([1]InfCualitativo!$B$1:$B$6957,"FALSO",[1]InfCualitativo!$E$1:$E$6957,"Manzanillo",[1]InfCualitativo!$H$1:$H$6957,"salud_oral")</f>
        <v>0</v>
      </c>
      <c r="K26" s="30">
        <f t="shared" si="4"/>
        <v>1</v>
      </c>
      <c r="L26" s="30">
        <f t="shared" si="5"/>
        <v>0</v>
      </c>
      <c r="M26" s="27">
        <f>COUNTIFS([1]InfCualitativo!$B$1:$B$6957,"VERDADERO",[1]InfCualitativo!$E$1:$E$6957,"Manzanillo",[1]InfCualitativo!$H$1:$H$6957,"laboratorio")</f>
        <v>40</v>
      </c>
      <c r="N26" s="27">
        <f>COUNTIFS([1]InfCualitativo!$B$1:$B$6957,"FALSO",[1]InfCualitativo!$E$1:$E$6957,"Manzanillo",[1]InfCualitativo!$H$1:$H$6957,"laboratorio")</f>
        <v>0</v>
      </c>
      <c r="O26" s="30">
        <f t="shared" si="6"/>
        <v>1</v>
      </c>
      <c r="P26" s="31">
        <f t="shared" si="7"/>
        <v>0</v>
      </c>
      <c r="Q26" s="27">
        <f>COUNTIFS([1]InfCualitativo!$B$1:$B$6957,"VERDADERO",[1]InfCualitativo!$E$1:$E$6957,"Manzanillo",[1]InfCualitativo!$H$1:$H$6957,"electros")</f>
        <v>0</v>
      </c>
      <c r="R26" s="27">
        <f>COUNTIFS([1]InfCualitativo!$B$1:$B$6957,"FALSO",[1]InfCualitativo!$E$1:$E$6957,"Manzanillo",[1]InfCualitativo!$H$1:$H$6957,"electros")</f>
        <v>0</v>
      </c>
      <c r="S26" s="30">
        <f t="shared" si="8"/>
        <v>0</v>
      </c>
      <c r="T26" s="30">
        <f t="shared" si="9"/>
        <v>0</v>
      </c>
      <c r="U26" s="27">
        <f>COUNTIFS([1]InfCualitativo!$B$1:$B$6957,"VERDADERO",[1]InfCualitativo!$E$1:$E$6957,"Manzanillo",[1]InfCualitativo!$H$1:$H$6957,"rx")</f>
        <v>0</v>
      </c>
      <c r="V26" s="27">
        <f>COUNTIFS([1]InfCualitativo!$B$1:$B$6957,"FALSO",[1]InfCualitativo!$E$1:$E$6957,"Manzanillo",[1]InfCualitativo!$H$1:$H$6957,"rx")</f>
        <v>0</v>
      </c>
      <c r="W26" s="30">
        <f t="shared" si="10"/>
        <v>0</v>
      </c>
      <c r="X26" s="30">
        <f t="shared" si="11"/>
        <v>0</v>
      </c>
      <c r="Y26" s="27">
        <f>COUNTIFS([1]InfCualitativo!$B$1:$B$6957,"VERDADERO",[1]InfCualitativo!$E$1:$E$6957,"Manzanillo",[1]InfCualitativo!$H$1:$H$6957,"ecografias")</f>
        <v>0</v>
      </c>
      <c r="Z26" s="27">
        <f>COUNTIFS([1]InfCualitativo!$B$1:$B$6957,"FALSO",[1]InfCualitativo!$E$1:$E$6957,"Manzanillo",[1]InfCualitativo!$H$1:$H$6957,"ecografias")</f>
        <v>0</v>
      </c>
      <c r="AA26" s="30">
        <f t="shared" si="12"/>
        <v>0</v>
      </c>
      <c r="AB26" s="30">
        <f t="shared" si="13"/>
        <v>0</v>
      </c>
      <c r="AC26" s="27">
        <f>COUNTIFS([1]InfCualitativo!$B$1:$B$6957,"VERDADERO",[1]InfCualitativo!$E$1:$E$6957,"Manzanillo",[1]InfCualitativo!$H$1:$H$6957,"urgencia")</f>
        <v>0</v>
      </c>
      <c r="AD26" s="27">
        <f>COUNTIFS([1]InfCualitativo!$B$1:$B$6957,"FALSO",[1]InfCualitativo!$E$1:$E$6957,"Manzanillo",[1]InfCualitativo!$H$1:$H$6957,"urgencia")</f>
        <v>0</v>
      </c>
      <c r="AE26" s="30">
        <f t="shared" si="14"/>
        <v>0</v>
      </c>
      <c r="AF26" s="30">
        <f t="shared" si="15"/>
        <v>0</v>
      </c>
      <c r="AG26" s="27">
        <f>COUNTIFS([1]InfCualitativo!$B$1:$B$6957,"VERDADERO",[1]InfCualitativo!$E$1:$E$6957,"Manzanillo",[1]InfCualitativo!$H$1:$H$6957,"pediatria")</f>
        <v>0</v>
      </c>
      <c r="AH26" s="27">
        <f>COUNTIFS([1]InfCualitativo!$B$1:$B$6957,"FALSO",[1]InfCualitativo!$E$1:$E$6957,"Manzanillo",[1]InfCualitativo!$H$1:$H$6957,"pediatria")</f>
        <v>0</v>
      </c>
      <c r="AI26" s="30">
        <f t="shared" si="16"/>
        <v>0</v>
      </c>
      <c r="AJ26" s="30">
        <f t="shared" si="17"/>
        <v>0</v>
      </c>
      <c r="AK26" s="27">
        <f>COUNTIFS([1]InfCualitativo!$B$1:$B$6957,"VERDADERO",[1]InfCualitativo!$E$1:$E$6957,"Manzanillo",[1]InfCualitativo!$H$1:$H$6957,"medicina_interna")</f>
        <v>0</v>
      </c>
      <c r="AL26" s="27">
        <f>COUNTIFS([1]InfCualitativo!$B$1:$B$6957,"FALSO",[1]InfCualitativo!$E$1:$E$6957,"Manzanillo",[1]InfCualitativo!$H$1:$H$6957,"medicina_interna")</f>
        <v>0</v>
      </c>
      <c r="AM26" s="30">
        <f t="shared" si="18"/>
        <v>0</v>
      </c>
      <c r="AN26" s="30">
        <f t="shared" si="19"/>
        <v>0</v>
      </c>
      <c r="AO26" s="27">
        <f>COUNTIFS([1]InfCualitativo!$B$1:$B$6957,"VERDADERO",[1]InfCualitativo!$E$1:$E$6957,"Manzanillo",[1]InfCualitativo!$H$1:$H$6957,"ginecologia")</f>
        <v>0</v>
      </c>
      <c r="AP26" s="27">
        <f>COUNTIFS([1]InfCualitativo!$B$1:$B$6957,"FALSO",[1]InfCualitativo!$E$1:$E$6957,"Manzanillo",[1]InfCualitativo!$H$1:$H$6957,"ginecologia")</f>
        <v>0</v>
      </c>
      <c r="AQ26" s="30">
        <f t="shared" si="20"/>
        <v>0</v>
      </c>
      <c r="AR26" s="30">
        <f t="shared" si="21"/>
        <v>0</v>
      </c>
      <c r="AS26" s="27">
        <f t="shared" si="22"/>
        <v>102</v>
      </c>
      <c r="AT26" s="27">
        <f t="shared" si="22"/>
        <v>0</v>
      </c>
      <c r="AU26" s="32">
        <f t="shared" si="23"/>
        <v>1</v>
      </c>
      <c r="AV26" s="32">
        <f t="shared" si="24"/>
        <v>0</v>
      </c>
    </row>
    <row r="27" spans="1:48" ht="18.75" x14ac:dyDescent="0.3">
      <c r="A27" s="26" t="s">
        <v>47</v>
      </c>
      <c r="B27" s="27">
        <v>188</v>
      </c>
      <c r="C27" s="27">
        <f t="shared" si="1"/>
        <v>184</v>
      </c>
      <c r="D27" s="28">
        <f t="shared" si="0"/>
        <v>97.872340425531917</v>
      </c>
      <c r="E27" s="29">
        <f>COUNTIFS([1]InfCualitativo!$B$1:$B$6957,"VERDADERO",[1]InfCualitativo!$E$1:$E$6957,"Nelson Mandela UPA",[1]InfCualitativo!$H$1:$H$6957,"consulta_externa")</f>
        <v>42</v>
      </c>
      <c r="F27" s="29">
        <f>COUNTIFS([1]InfCualitativo!$B$1:$B$6957,"FALSO",[1]InfCualitativo!$E$1:$E$6957,"Nelson Mandela UPA",[1]InfCualitativo!$H$1:$H$6957,"consulta_externa")</f>
        <v>6</v>
      </c>
      <c r="G27" s="30">
        <f t="shared" si="2"/>
        <v>0.875</v>
      </c>
      <c r="H27" s="30">
        <f t="shared" si="3"/>
        <v>0.125</v>
      </c>
      <c r="I27" s="27">
        <f>COUNTIFS([1]InfCualitativo!$B$1:$B$6957,"VERDADERO",[1]InfCualitativo!$E$1:$E$6957,"Nelson Mandela UPA",[1]InfCualitativo!$H$1:$H$6957,"salud_oral")</f>
        <v>42</v>
      </c>
      <c r="J27" s="27">
        <f>COUNTIFS([1]InfCualitativo!$B$1:$B$6957,"FALSO",[1]InfCualitativo!$E$1:$E$6957,"Nelson Mandela UPA",[1]InfCualitativo!$H$1:$H$6957,"salud_oral")</f>
        <v>2</v>
      </c>
      <c r="K27" s="30">
        <f t="shared" si="4"/>
        <v>0.95454545454545459</v>
      </c>
      <c r="L27" s="30">
        <f t="shared" si="5"/>
        <v>4.5454545454545456E-2</v>
      </c>
      <c r="M27" s="27">
        <f>COUNTIFS([1]InfCualitativo!$B$1:$B$6957,"VERDADERO",[1]InfCualitativo!$E$1:$E$6957,"Nelson Mandela UPA",[1]InfCualitativo!$H$1:$H$6957,"laboratorio")</f>
        <v>44</v>
      </c>
      <c r="N27" s="27">
        <f>COUNTIFS([1]InfCualitativo!$B$1:$B$6957,"FALSO",[1]InfCualitativo!$E$1:$E$6957,"Nelson Mandela UPA",[1]InfCualitativo!$H$1:$H$6957,"laboratorio")</f>
        <v>3</v>
      </c>
      <c r="O27" s="30">
        <f t="shared" si="6"/>
        <v>0.93617021276595747</v>
      </c>
      <c r="P27" s="31">
        <f t="shared" si="7"/>
        <v>6.3829787234042548E-2</v>
      </c>
      <c r="Q27" s="27">
        <f>COUNTIFS([1]InfCualitativo!$B$1:$B$6957,"VERDADERO",[1]InfCualitativo!$E$1:$E$6957,"Nelson Mandela UPA",[1]InfCualitativo!$H$1:$H$6957,"electros")</f>
        <v>0</v>
      </c>
      <c r="R27" s="27">
        <f>COUNTIFS([1]InfCualitativo!$B$1:$B$6957,"FALSO",[1]InfCualitativo!$E$1:$E$6957,"Nelson Mandela UPA",[1]InfCualitativo!$H$1:$H$6957,"electros")</f>
        <v>0</v>
      </c>
      <c r="S27" s="30">
        <f t="shared" si="8"/>
        <v>0</v>
      </c>
      <c r="T27" s="30">
        <f t="shared" si="9"/>
        <v>0</v>
      </c>
      <c r="U27" s="27">
        <f>COUNTIFS([1]InfCualitativo!$B$1:$B$6957,"VERDADERO",[1]InfCualitativo!$E$1:$E$6957,"Nelson Mandela UPA",[1]InfCualitativo!$H$1:$H$6957,"rx")</f>
        <v>0</v>
      </c>
      <c r="V27" s="27">
        <f>COUNTIFS([1]InfCualitativo!$B$1:$B$6957,"FALSO",[1]InfCualitativo!$E$1:$E$6957,"Nelson Mandela UPA",[1]InfCualitativo!$H$1:$H$6957,"rx")</f>
        <v>0</v>
      </c>
      <c r="W27" s="30">
        <f t="shared" si="10"/>
        <v>0</v>
      </c>
      <c r="X27" s="30">
        <f t="shared" si="11"/>
        <v>0</v>
      </c>
      <c r="Y27" s="27">
        <f>COUNTIFS([1]InfCualitativo!$B$1:$B$6957,"VERDADERO",[1]InfCualitativo!$E$1:$E$6957,"Nelson Mandela UPA",[1]InfCualitativo!$H$1:$H$6957,"ecografias")</f>
        <v>0</v>
      </c>
      <c r="Z27" s="27">
        <f>COUNTIFS([1]InfCualitativo!$B$1:$B$6957,"FALSO",[1]InfCualitativo!$E$1:$E$6957,"Nelson Mandela UPA",[1]InfCualitativo!$H$1:$H$6957,"ecografias")</f>
        <v>0</v>
      </c>
      <c r="AA27" s="30">
        <f t="shared" si="12"/>
        <v>0</v>
      </c>
      <c r="AB27" s="30">
        <f t="shared" si="13"/>
        <v>0</v>
      </c>
      <c r="AC27" s="27">
        <f>COUNTIFS([1]InfCualitativo!$B$1:$B$6957,"VERDADERO",[1]InfCualitativo!$E$1:$E$6957,"Nelson Mandela UPA",[1]InfCualitativo!$H$1:$H$6957,"urgencia")</f>
        <v>34</v>
      </c>
      <c r="AD27" s="27">
        <f>COUNTIFS([1]InfCualitativo!$B$1:$B$6957,"FALSO",[1]InfCualitativo!$E$1:$E$6957,"Nelson Mandela UPA",[1]InfCualitativo!$H$1:$H$6957,"urgencia")</f>
        <v>11</v>
      </c>
      <c r="AE27" s="30">
        <f t="shared" si="14"/>
        <v>0.75555555555555554</v>
      </c>
      <c r="AF27" s="30">
        <f t="shared" si="15"/>
        <v>0.24444444444444444</v>
      </c>
      <c r="AG27" s="27">
        <f>COUNTIFS([1]InfCualitativo!$B$1:$B$6957,"VERDADERO",[1]InfCualitativo!$E$1:$E$6957,"Nelson Mandela UPA",[1]InfCualitativo!$H$1:$H$6957,"pediatria")</f>
        <v>0</v>
      </c>
      <c r="AH27" s="27">
        <f>COUNTIFS([1]InfCualitativo!$B$1:$B$6957,"FALSO",[1]InfCualitativo!$E$1:$E$6957,"Nelson Mandela UPA",[1]InfCualitativo!$H$1:$H$6957,"pediatria")</f>
        <v>0</v>
      </c>
      <c r="AI27" s="30">
        <f t="shared" si="16"/>
        <v>0</v>
      </c>
      <c r="AJ27" s="30">
        <f t="shared" si="17"/>
        <v>0</v>
      </c>
      <c r="AK27" s="27">
        <f>COUNTIFS([1]InfCualitativo!$B$1:$B$6957,"VERDADERO",[1]InfCualitativo!$E$1:$E$6957,"Nelson Mandela UPA",[1]InfCualitativo!$H$1:$H$6957,"medicina_interna")</f>
        <v>0</v>
      </c>
      <c r="AL27" s="27">
        <f>COUNTIFS([1]InfCualitativo!$B$1:$B$6957,"FALSO",[1]InfCualitativo!$E$1:$E$6957,"Nelson Mandela UPA",[1]InfCualitativo!$H$1:$H$6957,"medicina_interna")</f>
        <v>0</v>
      </c>
      <c r="AM27" s="30">
        <f t="shared" si="18"/>
        <v>0</v>
      </c>
      <c r="AN27" s="30">
        <f t="shared" si="19"/>
        <v>0</v>
      </c>
      <c r="AO27" s="27">
        <f>COUNTIFS([1]InfCualitativo!$B$1:$B$6957,"VERDADERO",[1]InfCualitativo!$E$1:$E$6957,"Nelson Mandela UPA",[1]InfCualitativo!$H$1:$H$6957,"ginecologia")</f>
        <v>0</v>
      </c>
      <c r="AP27" s="27">
        <f>COUNTIFS([1]InfCualitativo!$B$1:$B$6957,"FALSO",[1]InfCualitativo!$E$1:$E$6957,"Nelson Mandela UPA",[1]InfCualitativo!$H$1:$H$6957,"ginecologia")</f>
        <v>0</v>
      </c>
      <c r="AQ27" s="30">
        <f t="shared" si="20"/>
        <v>0</v>
      </c>
      <c r="AR27" s="30">
        <f t="shared" si="21"/>
        <v>0</v>
      </c>
      <c r="AS27" s="27">
        <f t="shared" si="22"/>
        <v>162</v>
      </c>
      <c r="AT27" s="27">
        <f t="shared" si="22"/>
        <v>22</v>
      </c>
      <c r="AU27" s="32">
        <f t="shared" si="23"/>
        <v>0.88043478260869568</v>
      </c>
      <c r="AV27" s="32">
        <f t="shared" si="24"/>
        <v>0.11956521739130435</v>
      </c>
    </row>
    <row r="28" spans="1:48" ht="18.75" hidden="1" x14ac:dyDescent="0.3">
      <c r="A28" s="26" t="s">
        <v>48</v>
      </c>
      <c r="B28" s="35" t="s">
        <v>39</v>
      </c>
      <c r="C28" s="35" t="s">
        <v>39</v>
      </c>
      <c r="D28" s="35" t="s">
        <v>39</v>
      </c>
      <c r="E28" s="35" t="s">
        <v>39</v>
      </c>
      <c r="F28" s="35" t="s">
        <v>39</v>
      </c>
      <c r="G28" s="35" t="s">
        <v>39</v>
      </c>
      <c r="H28" s="35" t="s">
        <v>39</v>
      </c>
      <c r="I28" s="35" t="s">
        <v>39</v>
      </c>
      <c r="J28" s="35" t="s">
        <v>39</v>
      </c>
      <c r="K28" s="35" t="s">
        <v>39</v>
      </c>
      <c r="L28" s="35" t="s">
        <v>39</v>
      </c>
      <c r="M28" s="35" t="s">
        <v>39</v>
      </c>
      <c r="N28" s="35" t="s">
        <v>39</v>
      </c>
      <c r="O28" s="35" t="s">
        <v>39</v>
      </c>
      <c r="P28" s="35" t="s">
        <v>39</v>
      </c>
      <c r="Q28" s="35" t="s">
        <v>39</v>
      </c>
      <c r="R28" s="35" t="s">
        <v>39</v>
      </c>
      <c r="S28" s="35" t="s">
        <v>39</v>
      </c>
      <c r="T28" s="35" t="s">
        <v>39</v>
      </c>
      <c r="U28" s="35" t="s">
        <v>39</v>
      </c>
      <c r="V28" s="35" t="s">
        <v>39</v>
      </c>
      <c r="W28" s="35" t="s">
        <v>39</v>
      </c>
      <c r="X28" s="35" t="s">
        <v>39</v>
      </c>
      <c r="Y28" s="35" t="s">
        <v>39</v>
      </c>
      <c r="Z28" s="35" t="s">
        <v>39</v>
      </c>
      <c r="AA28" s="35" t="s">
        <v>39</v>
      </c>
      <c r="AB28" s="35" t="s">
        <v>39</v>
      </c>
      <c r="AC28" s="35" t="s">
        <v>39</v>
      </c>
      <c r="AD28" s="35" t="s">
        <v>39</v>
      </c>
      <c r="AE28" s="35" t="s">
        <v>39</v>
      </c>
      <c r="AF28" s="35" t="s">
        <v>39</v>
      </c>
      <c r="AG28" s="35" t="s">
        <v>39</v>
      </c>
      <c r="AH28" s="35" t="s">
        <v>39</v>
      </c>
      <c r="AI28" s="35" t="s">
        <v>39</v>
      </c>
      <c r="AJ28" s="35" t="s">
        <v>39</v>
      </c>
      <c r="AK28" s="35" t="s">
        <v>39</v>
      </c>
      <c r="AL28" s="35" t="s">
        <v>39</v>
      </c>
      <c r="AM28" s="35" t="s">
        <v>39</v>
      </c>
      <c r="AN28" s="35" t="s">
        <v>39</v>
      </c>
      <c r="AO28" s="35" t="s">
        <v>39</v>
      </c>
      <c r="AP28" s="35" t="s">
        <v>39</v>
      </c>
      <c r="AQ28" s="35" t="s">
        <v>39</v>
      </c>
      <c r="AR28" s="35" t="s">
        <v>39</v>
      </c>
      <c r="AS28" s="35" t="s">
        <v>39</v>
      </c>
      <c r="AT28" s="35" t="s">
        <v>39</v>
      </c>
      <c r="AU28" s="35" t="s">
        <v>39</v>
      </c>
      <c r="AV28" s="35" t="s">
        <v>39</v>
      </c>
    </row>
    <row r="29" spans="1:48" ht="18.75" x14ac:dyDescent="0.3">
      <c r="A29" s="26" t="s">
        <v>49</v>
      </c>
      <c r="B29" s="27">
        <v>140</v>
      </c>
      <c r="C29" s="27">
        <f t="shared" si="1"/>
        <v>133</v>
      </c>
      <c r="D29" s="28">
        <f t="shared" si="0"/>
        <v>95</v>
      </c>
      <c r="E29" s="29">
        <f>COUNTIFS([1]InfCualitativo!$B$1:$B$6957,"VERDADERO",[1]InfCualitativo!$E$1:$E$6957,"Nuevo Porvenir",[1]InfCualitativo!$H$1:$H$6957,"consulta_externa")</f>
        <v>45</v>
      </c>
      <c r="F29" s="29">
        <f>COUNTIFS([1]InfCualitativo!$B$1:$B$6957,"FALSO",[1]InfCualitativo!$E$1:$E$6957,"Nuevo Porvenir",[1]InfCualitativo!$H$1:$H$6957,"consulta_externa")</f>
        <v>2</v>
      </c>
      <c r="G29" s="30">
        <f t="shared" si="2"/>
        <v>0.95744680851063835</v>
      </c>
      <c r="H29" s="30">
        <f t="shared" si="3"/>
        <v>4.2553191489361701E-2</v>
      </c>
      <c r="I29" s="27">
        <f>COUNTIFS([1]InfCualitativo!$B$1:$B$6957,"VERDADERO",[1]InfCualitativo!$E$1:$E$6957,"Nuevo Porvenir",[1]InfCualitativo!$H$1:$H$6957,"salud_oral")</f>
        <v>43</v>
      </c>
      <c r="J29" s="27">
        <f>COUNTIFS([1]InfCualitativo!$B$1:$B$6957,"FALSO",[1]InfCualitativo!$E$1:$E$6957,"Nuevo Porvenir",[1]InfCualitativo!$H$1:$H$6957,"salud_oral")</f>
        <v>0</v>
      </c>
      <c r="K29" s="30">
        <f t="shared" si="4"/>
        <v>1</v>
      </c>
      <c r="L29" s="30">
        <f t="shared" si="5"/>
        <v>0</v>
      </c>
      <c r="M29" s="27">
        <f>COUNTIFS([1]InfCualitativo!$B$1:$B$6957,"VERDADERO",[1]InfCualitativo!$E$1:$E$6957,"Nuevo Porvenir",[1]InfCualitativo!$H$1:$H$6957,"laboratorio")</f>
        <v>42</v>
      </c>
      <c r="N29" s="27">
        <f>COUNTIFS([1]InfCualitativo!$B$1:$B$6957,"FALSO",[1]InfCualitativo!$E$1:$E$6957,"Nuevo Porvenir",[1]InfCualitativo!$H$1:$H$6957,"laboratorio")</f>
        <v>1</v>
      </c>
      <c r="O29" s="30">
        <f t="shared" si="6"/>
        <v>0.97674418604651159</v>
      </c>
      <c r="P29" s="31">
        <f t="shared" si="7"/>
        <v>2.3255813953488372E-2</v>
      </c>
      <c r="Q29" s="27">
        <f>COUNTIFS([1]InfCualitativo!$B$1:$B$6957,"VERDADERO",[1]InfCualitativo!$E$1:$E$6957,"Nuevo Porvenir",[1]InfCualitativo!$H$1:$H$6957,"electros")</f>
        <v>0</v>
      </c>
      <c r="R29" s="27">
        <f>COUNTIFS([1]InfCualitativo!$B$1:$B$6957,"FALSO",[1]InfCualitativo!$E$1:$E$6957,"Nuevo Porvenir",[1]InfCualitativo!$H$1:$H$6957,"electros")</f>
        <v>0</v>
      </c>
      <c r="S29" s="30">
        <f t="shared" si="8"/>
        <v>0</v>
      </c>
      <c r="T29" s="30">
        <f t="shared" si="9"/>
        <v>0</v>
      </c>
      <c r="U29" s="27">
        <f>COUNTIFS([1]InfCualitativo!$B$1:$B$6957,"VERDADERO",[1]InfCualitativo!$E$1:$E$6957,"Nuevo Porvenir",[1]InfCualitativo!$H$1:$H$6957,"rx")</f>
        <v>0</v>
      </c>
      <c r="V29" s="27">
        <f>COUNTIFS([1]InfCualitativo!$B$1:$B$6957,"FALSO",[1]InfCualitativo!$E$1:$E$6957,"Nuevo Porvenir",[1]InfCualitativo!$H$1:$H$6957,"rx")</f>
        <v>0</v>
      </c>
      <c r="W29" s="30">
        <f t="shared" si="10"/>
        <v>0</v>
      </c>
      <c r="X29" s="30">
        <f t="shared" si="11"/>
        <v>0</v>
      </c>
      <c r="Y29" s="27">
        <f>COUNTIFS([1]InfCualitativo!$B$1:$B$6957,"VERDADERO",[1]InfCualitativo!$E$1:$E$6957,"Nuevo Porvenir",[1]InfCualitativo!$H$1:$H$6957,"ecografias")</f>
        <v>0</v>
      </c>
      <c r="Z29" s="27">
        <f>COUNTIFS([1]InfCualitativo!$B$1:$B$6957,"FALSO",[1]InfCualitativo!$E$1:$E$6957,"Nuevo Porvenir",[1]InfCualitativo!$H$1:$H$6957,"ecografias")</f>
        <v>0</v>
      </c>
      <c r="AA29" s="30">
        <f t="shared" si="12"/>
        <v>0</v>
      </c>
      <c r="AB29" s="30">
        <f t="shared" si="13"/>
        <v>0</v>
      </c>
      <c r="AC29" s="27">
        <f>COUNTIFS([1]InfCualitativo!$B$1:$B$6957,"VERDADERO",[1]InfCualitativo!$E$1:$E$6957,"Nuevo Porvenir",[1]InfCualitativo!$H$1:$H$6957,"urgencia")</f>
        <v>0</v>
      </c>
      <c r="AD29" s="27">
        <f>COUNTIFS([1]InfCualitativo!$B$1:$B$6957,"FALSO",[1]InfCualitativo!$E$1:$E$6957,"Nuevo Porvenir",[1]InfCualitativo!$H$1:$H$6957,"urgencia")</f>
        <v>0</v>
      </c>
      <c r="AE29" s="30">
        <f t="shared" si="14"/>
        <v>0</v>
      </c>
      <c r="AF29" s="30">
        <f t="shared" si="15"/>
        <v>0</v>
      </c>
      <c r="AG29" s="27">
        <f>COUNTIFS([1]InfCualitativo!$B$1:$B$6957,"VERDADERO",[1]InfCualitativo!$E$1:$E$6957,"Nuevo Porvenir",[1]InfCualitativo!$H$1:$H$6957,"pediatria")</f>
        <v>0</v>
      </c>
      <c r="AH29" s="27">
        <f>COUNTIFS([1]InfCualitativo!$B$1:$B$6957,"FALSO",[1]InfCualitativo!$E$1:$E$6957,"Nuevo Porvenir",[1]InfCualitativo!$H$1:$H$6957,"pediatria")</f>
        <v>0</v>
      </c>
      <c r="AI29" s="30">
        <f t="shared" si="16"/>
        <v>0</v>
      </c>
      <c r="AJ29" s="30">
        <f t="shared" si="17"/>
        <v>0</v>
      </c>
      <c r="AK29" s="27">
        <f>COUNTIFS([1]InfCualitativo!$B$1:$B$6957,"VERDADERO",[1]InfCualitativo!$E$1:$E$6957,"Nuevo Porvenir",[1]InfCualitativo!$H$1:$H$6957,"medicina_interna")</f>
        <v>0</v>
      </c>
      <c r="AL29" s="27">
        <f>COUNTIFS([1]InfCualitativo!$B$1:$B$6957,"FALSO",[1]InfCualitativo!$E$1:$E$6957,"Nuevo Porvenir",[1]InfCualitativo!$H$1:$H$6957,"medicina_interna")</f>
        <v>0</v>
      </c>
      <c r="AM29" s="30">
        <f t="shared" si="18"/>
        <v>0</v>
      </c>
      <c r="AN29" s="30">
        <f t="shared" si="19"/>
        <v>0</v>
      </c>
      <c r="AO29" s="27">
        <f>COUNTIFS([1]InfCualitativo!$B$1:$B$6957,"VERDADERO",[1]InfCualitativo!$E$1:$E$6957,"Nuevo Porvenir",[1]InfCualitativo!$H$1:$H$6957,"ginecologia")</f>
        <v>0</v>
      </c>
      <c r="AP29" s="27">
        <f>COUNTIFS([1]InfCualitativo!$B$1:$B$6957,"FALSO",[1]InfCualitativo!$E$1:$E$6957,"Nuevo Porvenir",[1]InfCualitativo!$H$1:$H$6957,"ginecologia")</f>
        <v>0</v>
      </c>
      <c r="AQ29" s="30">
        <f t="shared" si="20"/>
        <v>0</v>
      </c>
      <c r="AR29" s="30">
        <f t="shared" si="21"/>
        <v>0</v>
      </c>
      <c r="AS29" s="27">
        <f t="shared" si="22"/>
        <v>130</v>
      </c>
      <c r="AT29" s="27">
        <f t="shared" si="22"/>
        <v>3</v>
      </c>
      <c r="AU29" s="32">
        <f t="shared" si="23"/>
        <v>0.97744360902255634</v>
      </c>
      <c r="AV29" s="32">
        <f t="shared" si="24"/>
        <v>2.2556390977443608E-2</v>
      </c>
    </row>
    <row r="30" spans="1:48" ht="18.75" hidden="1" x14ac:dyDescent="0.3">
      <c r="A30" s="26" t="s">
        <v>50</v>
      </c>
      <c r="B30" s="35" t="s">
        <v>39</v>
      </c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35" t="s">
        <v>39</v>
      </c>
      <c r="P30" s="35" t="s">
        <v>39</v>
      </c>
      <c r="Q30" s="35" t="s">
        <v>39</v>
      </c>
      <c r="R30" s="35" t="s">
        <v>39</v>
      </c>
      <c r="S30" s="35" t="s">
        <v>39</v>
      </c>
      <c r="T30" s="35" t="s">
        <v>39</v>
      </c>
      <c r="U30" s="35" t="s">
        <v>39</v>
      </c>
      <c r="V30" s="35" t="s">
        <v>39</v>
      </c>
      <c r="W30" s="35" t="s">
        <v>39</v>
      </c>
      <c r="X30" s="35" t="s">
        <v>39</v>
      </c>
      <c r="Y30" s="35" t="s">
        <v>39</v>
      </c>
      <c r="Z30" s="35" t="s">
        <v>39</v>
      </c>
      <c r="AA30" s="35" t="s">
        <v>39</v>
      </c>
      <c r="AB30" s="35" t="s">
        <v>39</v>
      </c>
      <c r="AC30" s="35" t="s">
        <v>39</v>
      </c>
      <c r="AD30" s="35" t="s">
        <v>39</v>
      </c>
      <c r="AE30" s="35" t="s">
        <v>39</v>
      </c>
      <c r="AF30" s="35" t="s">
        <v>39</v>
      </c>
      <c r="AG30" s="35" t="s">
        <v>39</v>
      </c>
      <c r="AH30" s="35" t="s">
        <v>39</v>
      </c>
      <c r="AI30" s="35" t="s">
        <v>39</v>
      </c>
      <c r="AJ30" s="35" t="s">
        <v>39</v>
      </c>
      <c r="AK30" s="35" t="s">
        <v>39</v>
      </c>
      <c r="AL30" s="35" t="s">
        <v>39</v>
      </c>
      <c r="AM30" s="35" t="s">
        <v>39</v>
      </c>
      <c r="AN30" s="35" t="s">
        <v>39</v>
      </c>
      <c r="AO30" s="35" t="s">
        <v>39</v>
      </c>
      <c r="AP30" s="35" t="s">
        <v>39</v>
      </c>
      <c r="AQ30" s="35" t="s">
        <v>39</v>
      </c>
      <c r="AR30" s="35" t="s">
        <v>39</v>
      </c>
      <c r="AS30" s="35" t="s">
        <v>39</v>
      </c>
      <c r="AT30" s="35" t="s">
        <v>39</v>
      </c>
      <c r="AU30" s="35" t="s">
        <v>39</v>
      </c>
      <c r="AV30" s="35" t="s">
        <v>39</v>
      </c>
    </row>
    <row r="31" spans="1:48" ht="18.75" x14ac:dyDescent="0.3">
      <c r="A31" s="26" t="s">
        <v>51</v>
      </c>
      <c r="B31" s="27">
        <v>200</v>
      </c>
      <c r="C31" s="27">
        <f t="shared" si="1"/>
        <v>172</v>
      </c>
      <c r="D31" s="28">
        <f t="shared" si="0"/>
        <v>86</v>
      </c>
      <c r="E31" s="29">
        <f>COUNTIFS([1]InfCualitativo!$B$1:$B$6957,"VERDADERO",[1]InfCualitativo!$E$1:$E$6957,"Pasacaballos",[1]InfCualitativo!$H$1:$H$6957,"consulta_externa")</f>
        <v>27</v>
      </c>
      <c r="F31" s="29">
        <f>COUNTIFS([1]InfCualitativo!$B$1:$B$6957,"FALSO",[1]InfCualitativo!$E$1:$E$6957,"Pasacaballos",[1]InfCualitativo!$H$1:$H$6957,"consulta_externa")</f>
        <v>18</v>
      </c>
      <c r="G31" s="30">
        <f t="shared" si="2"/>
        <v>0.6</v>
      </c>
      <c r="H31" s="30">
        <f t="shared" si="3"/>
        <v>0.4</v>
      </c>
      <c r="I31" s="27">
        <f>COUNTIFS([1]InfCualitativo!$B$1:$B$6957,"VERDADERO",[1]InfCualitativo!$E$1:$E$6957,"Pasacaballos",[1]InfCualitativo!$H$1:$H$6957,"salud_oral")</f>
        <v>32</v>
      </c>
      <c r="J31" s="27">
        <f>COUNTIFS([1]InfCualitativo!$B$1:$B$6957,"FALSO",[1]InfCualitativo!$E$1:$E$6957,"Pasacaballos",[1]InfCualitativo!$H$1:$H$6957,"salud_oral")</f>
        <v>10</v>
      </c>
      <c r="K31" s="30">
        <f t="shared" si="4"/>
        <v>0.76190476190476186</v>
      </c>
      <c r="L31" s="30">
        <f t="shared" si="5"/>
        <v>0.23809523809523808</v>
      </c>
      <c r="M31" s="27">
        <f>COUNTIFS([1]InfCualitativo!$B$1:$B$6957,"VERDADERO",[1]InfCualitativo!$E$1:$E$6957,"Pasacaballos",[1]InfCualitativo!$H$1:$H$6957,"laboratorio")</f>
        <v>35</v>
      </c>
      <c r="N31" s="27">
        <f>COUNTIFS([1]InfCualitativo!$B$1:$B$6957,"FALSO",[1]InfCualitativo!$E$1:$E$6957,"Pasacaballos",[1]InfCualitativo!$H$1:$H$6957,"laboratorio")</f>
        <v>8</v>
      </c>
      <c r="O31" s="30">
        <f t="shared" si="6"/>
        <v>0.81395348837209303</v>
      </c>
      <c r="P31" s="31">
        <f t="shared" si="7"/>
        <v>0.18604651162790697</v>
      </c>
      <c r="Q31" s="27">
        <f>COUNTIFS([1]InfCualitativo!$B$1:$B$6957,"VERDADERO",[1]InfCualitativo!$E$1:$E$6957,"Pasacaballos",[1]InfCualitativo!$H$1:$H$6957,"electros")</f>
        <v>0</v>
      </c>
      <c r="R31" s="27">
        <f>COUNTIFS([1]InfCualitativo!$B$1:$B$6957,"FALSO",[1]InfCualitativo!$E$1:$E$6957,"Pasacaballos",[1]InfCualitativo!$H$1:$H$6957,"electros")</f>
        <v>0</v>
      </c>
      <c r="S31" s="30">
        <f t="shared" si="8"/>
        <v>0</v>
      </c>
      <c r="T31" s="30">
        <f t="shared" si="9"/>
        <v>0</v>
      </c>
      <c r="U31" s="27">
        <f>COUNTIFS([1]InfCualitativo!$B$1:$B$6957,"VERDADERO",[1]InfCualitativo!$E$1:$E$6957,"Pasacaballos",[1]InfCualitativo!$H$1:$H$6957,"rx")</f>
        <v>0</v>
      </c>
      <c r="V31" s="27">
        <f>COUNTIFS([1]InfCualitativo!$B$1:$B$6957,"FALSO",[1]InfCualitativo!$E$1:$E$6957,"Pasacaballos",[1]InfCualitativo!$H$1:$H$6957,"rx")</f>
        <v>0</v>
      </c>
      <c r="W31" s="30">
        <f t="shared" si="10"/>
        <v>0</v>
      </c>
      <c r="X31" s="30">
        <f t="shared" si="11"/>
        <v>0</v>
      </c>
      <c r="Y31" s="27">
        <f>COUNTIFS([1]InfCualitativo!$B$1:$B$6957,"VERDADERO",[1]InfCualitativo!$E$1:$E$6957,"Pasacaballos",[1]InfCualitativo!$H$1:$H$6957,"ecografias")</f>
        <v>0</v>
      </c>
      <c r="Z31" s="27">
        <f>COUNTIFS([1]InfCualitativo!$B$1:$B$6957,"FALSO",[1]InfCualitativo!$E$1:$E$6957,"Pasacaballos",[1]InfCualitativo!$H$1:$H$6957,"ecografias")</f>
        <v>0</v>
      </c>
      <c r="AA31" s="30">
        <f t="shared" si="12"/>
        <v>0</v>
      </c>
      <c r="AB31" s="30">
        <f t="shared" si="13"/>
        <v>0</v>
      </c>
      <c r="AC31" s="27">
        <f>COUNTIFS([1]InfCualitativo!$B$1:$B$6957,"VERDADERO",[1]InfCualitativo!$E$1:$E$6957,"Pasacaballos",[1]InfCualitativo!$H$1:$H$6957,"urgencia")</f>
        <v>29</v>
      </c>
      <c r="AD31" s="27">
        <f>COUNTIFS([1]InfCualitativo!$B$1:$B$6957,"FALSO",[1]InfCualitativo!$E$1:$E$6957,"Pasacaballos",[1]InfCualitativo!$H$1:$H$6957,"urgencia")</f>
        <v>13</v>
      </c>
      <c r="AE31" s="30">
        <f t="shared" si="14"/>
        <v>0.69047619047619047</v>
      </c>
      <c r="AF31" s="30">
        <f t="shared" si="15"/>
        <v>0.30952380952380953</v>
      </c>
      <c r="AG31" s="27">
        <f>COUNTIFS([1]InfCualitativo!$B$1:$B$6957,"VERDADERO",[1]InfCualitativo!$E$1:$E$6957,"Pasacaballos",[1]InfCualitativo!$H$1:$H$6957,"pediatria")</f>
        <v>0</v>
      </c>
      <c r="AH31" s="27">
        <f>COUNTIFS([1]InfCualitativo!$B$1:$B$6957,"FALSO",[1]InfCualitativo!$E$1:$E$6957,"Pasacaballos",[1]InfCualitativo!$H$1:$H$6957,"pediatria")</f>
        <v>0</v>
      </c>
      <c r="AI31" s="30">
        <f t="shared" si="16"/>
        <v>0</v>
      </c>
      <c r="AJ31" s="30">
        <f t="shared" si="17"/>
        <v>0</v>
      </c>
      <c r="AK31" s="27">
        <f>COUNTIFS([1]InfCualitativo!$B$1:$B$6957,"VERDADERO",[1]InfCualitativo!$E$1:$E$6957,"Pasacaballos",[1]InfCualitativo!$H$1:$H$6957,"medicina_interna")</f>
        <v>0</v>
      </c>
      <c r="AL31" s="27">
        <f>COUNTIFS([1]InfCualitativo!$B$1:$B$6957,"FALSO",[1]InfCualitativo!$E$1:$E$6957,"Pasacaballos",[1]InfCualitativo!$H$1:$H$6957,"medicina_interna")</f>
        <v>0</v>
      </c>
      <c r="AM31" s="30">
        <f t="shared" si="18"/>
        <v>0</v>
      </c>
      <c r="AN31" s="30">
        <f t="shared" si="19"/>
        <v>0</v>
      </c>
      <c r="AO31" s="27">
        <f>COUNTIFS([1]InfCualitativo!$B$1:$B$6957,"VERDADERO",[1]InfCualitativo!$E$1:$E$6957,"Pasacaballos",[1]InfCualitativo!$H$1:$H$6957,"ginecologia")</f>
        <v>0</v>
      </c>
      <c r="AP31" s="27">
        <f>COUNTIFS([1]InfCualitativo!$B$1:$B$6957,"FALSO",[1]InfCualitativo!$E$1:$E$6957,"Pasacaballos",[1]InfCualitativo!$H$1:$H$6957,"ginecologia")</f>
        <v>0</v>
      </c>
      <c r="AQ31" s="30">
        <f t="shared" si="20"/>
        <v>0</v>
      </c>
      <c r="AR31" s="30">
        <f t="shared" si="21"/>
        <v>0</v>
      </c>
      <c r="AS31" s="27">
        <f t="shared" si="22"/>
        <v>123</v>
      </c>
      <c r="AT31" s="27">
        <f t="shared" si="22"/>
        <v>49</v>
      </c>
      <c r="AU31" s="32">
        <f t="shared" si="23"/>
        <v>0.71511627906976749</v>
      </c>
      <c r="AV31" s="32">
        <f t="shared" si="24"/>
        <v>0.28488372093023256</v>
      </c>
    </row>
    <row r="32" spans="1:48" ht="18.75" x14ac:dyDescent="0.3">
      <c r="A32" s="26" t="s">
        <v>52</v>
      </c>
      <c r="B32" s="27">
        <v>80</v>
      </c>
      <c r="C32" s="27">
        <f t="shared" si="1"/>
        <v>74</v>
      </c>
      <c r="D32" s="28">
        <f t="shared" si="0"/>
        <v>92.5</v>
      </c>
      <c r="E32" s="29">
        <f>COUNTIFS([1]InfCualitativo!$B$1:$B$6957,"VERDADERO",[1]InfCualitativo!$E$1:$E$6957,"Pontezuela",[1]InfCualitativo!$H$1:$H$6957,"consulta_externa")</f>
        <v>44</v>
      </c>
      <c r="F32" s="29">
        <f>COUNTIFS([1]InfCualitativo!$B$1:$B$6957,"FALSO",[1]InfCualitativo!$E$1:$E$6957,"Pontezuela",[1]InfCualitativo!$H$1:$H$6957,"consulta_externa")</f>
        <v>0</v>
      </c>
      <c r="G32" s="30">
        <f t="shared" si="2"/>
        <v>1</v>
      </c>
      <c r="H32" s="30">
        <f t="shared" si="3"/>
        <v>0</v>
      </c>
      <c r="I32" s="27">
        <f>COUNTIFS([1]InfCualitativo!$B$1:$B$6957,"VERDADERO",[1]InfCualitativo!$E$1:$E$6957,"Pontezuela",[1]InfCualitativo!$H$1:$H$6957,"salud_oral")</f>
        <v>30</v>
      </c>
      <c r="J32" s="27">
        <f>COUNTIFS([1]InfCualitativo!$B$1:$B$6957,"FALSO",[1]InfCualitativo!$E$1:$E$6957,"Pontezuela",[1]InfCualitativo!$H$1:$H$6957,"salud_oral")</f>
        <v>0</v>
      </c>
      <c r="K32" s="30">
        <f t="shared" si="4"/>
        <v>1</v>
      </c>
      <c r="L32" s="30">
        <f t="shared" si="5"/>
        <v>0</v>
      </c>
      <c r="M32" s="27">
        <f>COUNTIFS([1]InfCualitativo!$B$1:$B$6957,"VERDADERO",[1]InfCualitativo!$E$1:$E$6957,"Pontezuela",[1]InfCualitativo!$H$1:$H$6957,"laboratorio")</f>
        <v>0</v>
      </c>
      <c r="N32" s="27">
        <f>COUNTIFS([1]InfCualitativo!$B$1:$B$6957,"FALSO",[1]InfCualitativo!$E$1:$E$6957,"Pontezuela",[1]InfCualitativo!$H$1:$H$6957,"laboratorio")</f>
        <v>0</v>
      </c>
      <c r="O32" s="30">
        <f t="shared" si="6"/>
        <v>0</v>
      </c>
      <c r="P32" s="31">
        <f t="shared" si="7"/>
        <v>0</v>
      </c>
      <c r="Q32" s="27">
        <f>COUNTIFS([1]InfCualitativo!$B$1:$B$6957,"VERDADERO",[1]InfCualitativo!$E$1:$E$6957,"Pontezuela",[1]InfCualitativo!$H$1:$H$6957,"electros")</f>
        <v>0</v>
      </c>
      <c r="R32" s="27">
        <f>COUNTIFS([1]InfCualitativo!$B$1:$B$6957,"FALSO",[1]InfCualitativo!$E$1:$E$6957,"Pontezuela",[1]InfCualitativo!$H$1:$H$6957,"electros")</f>
        <v>0</v>
      </c>
      <c r="S32" s="30">
        <f t="shared" si="8"/>
        <v>0</v>
      </c>
      <c r="T32" s="30">
        <f t="shared" si="9"/>
        <v>0</v>
      </c>
      <c r="U32" s="27">
        <f>COUNTIFS([1]InfCualitativo!$B$1:$B$6957,"VERDADERO",[1]InfCualitativo!$E$1:$E$6957,"Pontezuela",[1]InfCualitativo!$H$1:$H$6957,"rx")</f>
        <v>0</v>
      </c>
      <c r="V32" s="27">
        <f>COUNTIFS([1]InfCualitativo!$B$1:$B$6957,"FALSO",[1]InfCualitativo!$E$1:$E$6957,"Pontezuela",[1]InfCualitativo!$H$1:$H$6957,"rx")</f>
        <v>0</v>
      </c>
      <c r="W32" s="30">
        <f t="shared" si="10"/>
        <v>0</v>
      </c>
      <c r="X32" s="30">
        <f t="shared" si="11"/>
        <v>0</v>
      </c>
      <c r="Y32" s="27">
        <f>COUNTIFS([1]InfCualitativo!$B$1:$B$6957,"VERDADERO",[1]InfCualitativo!$E$1:$E$6957,"Pontezuela",[1]InfCualitativo!$H$1:$H$6957,"ecografias")</f>
        <v>0</v>
      </c>
      <c r="Z32" s="27">
        <f>COUNTIFS([1]InfCualitativo!$B$1:$B$6957,"FALSO",[1]InfCualitativo!$E$1:$E$6957,"Pontezuela",[1]InfCualitativo!$H$1:$H$6957,"ecografias")</f>
        <v>0</v>
      </c>
      <c r="AA32" s="30">
        <f t="shared" si="12"/>
        <v>0</v>
      </c>
      <c r="AB32" s="30">
        <f t="shared" si="13"/>
        <v>0</v>
      </c>
      <c r="AC32" s="27">
        <f>COUNTIFS([1]InfCualitativo!$B$1:$B$6957,"VERDADERO",[1]InfCualitativo!$E$1:$E$6957,"Pontezuela",[1]InfCualitativo!$H$1:$H$6957,"urgencia")</f>
        <v>0</v>
      </c>
      <c r="AD32" s="27">
        <f>COUNTIFS([1]InfCualitativo!$B$1:$B$6957,"FALSO",[1]InfCualitativo!$E$1:$E$6957,"Pontezuela",[1]InfCualitativo!$H$1:$H$6957,"urgencia")</f>
        <v>0</v>
      </c>
      <c r="AE32" s="30">
        <f t="shared" si="14"/>
        <v>0</v>
      </c>
      <c r="AF32" s="30">
        <f t="shared" si="15"/>
        <v>0</v>
      </c>
      <c r="AG32" s="27">
        <f>COUNTIFS([1]InfCualitativo!$B$1:$B$6957,"VERDADERO",[1]InfCualitativo!$E$1:$E$6957,"Pontezuela",[1]InfCualitativo!$H$1:$H$6957,"pediatria")</f>
        <v>0</v>
      </c>
      <c r="AH32" s="27">
        <f>COUNTIFS([1]InfCualitativo!$B$1:$B$6957,"FALSO",[1]InfCualitativo!$E$1:$E$6957,"Pontezuela",[1]InfCualitativo!$H$1:$H$6957,"pediatria")</f>
        <v>0</v>
      </c>
      <c r="AI32" s="30">
        <f t="shared" si="16"/>
        <v>0</v>
      </c>
      <c r="AJ32" s="30">
        <f t="shared" si="17"/>
        <v>0</v>
      </c>
      <c r="AK32" s="27">
        <f>COUNTIFS([1]InfCualitativo!$B$1:$B$6957,"VERDADERO",[1]InfCualitativo!$E$1:$E$6957,"Pontezuela",[1]InfCualitativo!$H$1:$H$6957,"medicina_interna")</f>
        <v>0</v>
      </c>
      <c r="AL32" s="27">
        <f>COUNTIFS([1]InfCualitativo!$B$1:$B$6957,"FALSO",[1]InfCualitativo!$E$1:$E$6957,"Pontezuela",[1]InfCualitativo!$H$1:$H$6957,"medicina_interna")</f>
        <v>0</v>
      </c>
      <c r="AM32" s="30">
        <f t="shared" si="18"/>
        <v>0</v>
      </c>
      <c r="AN32" s="30">
        <f t="shared" si="19"/>
        <v>0</v>
      </c>
      <c r="AO32" s="27">
        <f>COUNTIFS([1]InfCualitativo!$B$1:$B$6957,"VERDADERO",[1]InfCualitativo!$E$1:$E$6957,"Pontezuela",[1]InfCualitativo!$H$1:$H$6957,"ginecologia")</f>
        <v>0</v>
      </c>
      <c r="AP32" s="27">
        <f>COUNTIFS([1]InfCualitativo!$B$1:$B$6957,"FALSO",[1]InfCualitativo!$E$1:$E$6957,"Pontezuela",[1]InfCualitativo!$H$1:$H$6957,"ginecologia")</f>
        <v>0</v>
      </c>
      <c r="AQ32" s="30">
        <f t="shared" si="20"/>
        <v>0</v>
      </c>
      <c r="AR32" s="30">
        <f t="shared" si="21"/>
        <v>0</v>
      </c>
      <c r="AS32" s="27">
        <f t="shared" si="22"/>
        <v>74</v>
      </c>
      <c r="AT32" s="27">
        <f t="shared" si="22"/>
        <v>0</v>
      </c>
      <c r="AU32" s="32">
        <f t="shared" si="23"/>
        <v>1</v>
      </c>
      <c r="AV32" s="32">
        <f t="shared" si="24"/>
        <v>0</v>
      </c>
    </row>
    <row r="33" spans="1:48" ht="18.75" x14ac:dyDescent="0.3">
      <c r="A33" s="26" t="s">
        <v>53</v>
      </c>
      <c r="B33" s="27">
        <v>288</v>
      </c>
      <c r="C33" s="27">
        <f t="shared" si="1"/>
        <v>283</v>
      </c>
      <c r="D33" s="28">
        <f t="shared" si="0"/>
        <v>98.263888888888886</v>
      </c>
      <c r="E33" s="29">
        <f>COUNTIFS([1]InfCualitativo!$B$1:$B$6957,"VERDADERO",[1]InfCualitativo!$E$1:$E$6957,"Hospital Pozon",[1]InfCualitativo!$H$1:$H$6957,"consulta_externa")</f>
        <v>80</v>
      </c>
      <c r="F33" s="29">
        <f>COUNTIFS([1]InfCualitativo!$B$1:$B$6957,"FALSO",[1]InfCualitativo!$E$1:$E$6957,"Hospital Pozon",[1]InfCualitativo!$H$1:$H$6957,"consulta_externa")</f>
        <v>0</v>
      </c>
      <c r="G33" s="30">
        <f t="shared" si="2"/>
        <v>1</v>
      </c>
      <c r="H33" s="30">
        <f t="shared" si="3"/>
        <v>0</v>
      </c>
      <c r="I33" s="27">
        <f>COUNTIFS([1]InfCualitativo!$B$1:$B$6957,"VERDADERO",[1]InfCualitativo!$E$1:$E$6957,"Hospital Pozon",[1]InfCualitativo!$H$1:$H$6957,"salud_oral")</f>
        <v>18</v>
      </c>
      <c r="J33" s="27">
        <f>COUNTIFS([1]InfCualitativo!$B$1:$B$6957,"FALSO",[1]InfCualitativo!$E$1:$E$6957,"Hospital Pozon",[1]InfCualitativo!$H$1:$H$6957,"salud_oral")</f>
        <v>0</v>
      </c>
      <c r="K33" s="30">
        <f t="shared" si="4"/>
        <v>1</v>
      </c>
      <c r="L33" s="30">
        <f t="shared" si="5"/>
        <v>0</v>
      </c>
      <c r="M33" s="27">
        <f>COUNTIFS([1]InfCualitativo!$B$1:$B$6957,"VERDADERO",[1]InfCualitativo!$E$1:$E$6957,"Hospital Pozon",[1]InfCualitativo!$H$1:$H$6957,"laboratorio")</f>
        <v>32</v>
      </c>
      <c r="N33" s="27">
        <f>COUNTIFS([1]InfCualitativo!$B$1:$B$6957,"FALSO",[1]InfCualitativo!$E$1:$E$6957,"Hospital Pozon",[1]InfCualitativo!$H$1:$H$6957,"laboratorio")</f>
        <v>0</v>
      </c>
      <c r="O33" s="30">
        <f t="shared" si="6"/>
        <v>1</v>
      </c>
      <c r="P33" s="31">
        <f t="shared" si="7"/>
        <v>0</v>
      </c>
      <c r="Q33" s="27">
        <f>COUNTIFS([1]InfCualitativo!$B$1:$B$6957,"VERDADERO",[1]InfCualitativo!$E$1:$E$6957,"Hospital Pozon",[1]InfCualitativo!$H$1:$H$6957,"electros")</f>
        <v>0</v>
      </c>
      <c r="R33" s="27">
        <f>COUNTIFS([1]InfCualitativo!$B$1:$B$6957,"FALSO",[1]InfCualitativo!$E$1:$E$6957,"Hospital Pozon",[1]InfCualitativo!$H$1:$H$6957,"electros")</f>
        <v>0</v>
      </c>
      <c r="S33" s="30">
        <f t="shared" si="8"/>
        <v>0</v>
      </c>
      <c r="T33" s="30">
        <f t="shared" si="9"/>
        <v>0</v>
      </c>
      <c r="U33" s="27">
        <f>COUNTIFS([1]InfCualitativo!$B$1:$B$6957,"VERDADERO",[1]InfCualitativo!$E$1:$E$6957,"Hospital Pozon",[1]InfCualitativo!$H$1:$H$6957,"rx")</f>
        <v>47</v>
      </c>
      <c r="V33" s="27">
        <f>COUNTIFS([1]InfCualitativo!$B$1:$B$6957,"FALSO",[1]InfCualitativo!$E$1:$E$6957,"Hospital Pozon",[1]InfCualitativo!$H$1:$H$6957,"rx")</f>
        <v>0</v>
      </c>
      <c r="W33" s="30">
        <f t="shared" si="10"/>
        <v>1</v>
      </c>
      <c r="X33" s="30">
        <f t="shared" si="11"/>
        <v>0</v>
      </c>
      <c r="Y33" s="27">
        <f>COUNTIFS([1]InfCualitativo!$B$1:$B$6957,"VERDADERO",[1]InfCualitativo!$E$1:$E$6957,"Hospital Pozon",[1]InfCualitativo!$H$1:$H$6957,"ecografias")</f>
        <v>29</v>
      </c>
      <c r="Z33" s="27">
        <f>COUNTIFS([1]InfCualitativo!$B$1:$B$6957,"FALSO",[1]InfCualitativo!$E$1:$E$6957,"Hospital Pozon",[1]InfCualitativo!$H$1:$H$6957,"ecografias")</f>
        <v>0</v>
      </c>
      <c r="AA33" s="30">
        <f t="shared" si="12"/>
        <v>1</v>
      </c>
      <c r="AB33" s="30">
        <f t="shared" si="13"/>
        <v>0</v>
      </c>
      <c r="AC33" s="27">
        <f>COUNTIFS([1]InfCualitativo!$B$1:$B$6957,"VERDADERO",[1]InfCualitativo!$E$1:$E$6957,"Hospital Pozon",[1]InfCualitativo!$H$1:$H$6957,"urgencia")</f>
        <v>49</v>
      </c>
      <c r="AD33" s="27">
        <f>COUNTIFS([1]InfCualitativo!$B$1:$B$6957,"FALSO",[1]InfCualitativo!$E$1:$E$6957,"Hospital Pozon",[1]InfCualitativo!$H$1:$H$6957,"urgencia")</f>
        <v>0</v>
      </c>
      <c r="AE33" s="30">
        <f t="shared" si="14"/>
        <v>1</v>
      </c>
      <c r="AF33" s="30">
        <f t="shared" si="15"/>
        <v>0</v>
      </c>
      <c r="AG33" s="27">
        <f>COUNTIFS([1]InfCualitativo!$B$1:$B$6957,"VERDADERO",[1]InfCualitativo!$E$1:$E$6957,"Hospital Pozon",[1]InfCualitativo!$H$1:$H$6957,"pediatria")</f>
        <v>28</v>
      </c>
      <c r="AH33" s="27">
        <f>COUNTIFS([1]InfCualitativo!$B$1:$B$6957,"FALSO",[1]InfCualitativo!$E$1:$E$6957,"Hospital Pozon",[1]InfCualitativo!$H$1:$H$6957,"pediatria")</f>
        <v>0</v>
      </c>
      <c r="AI33" s="30">
        <f t="shared" si="16"/>
        <v>1</v>
      </c>
      <c r="AJ33" s="30">
        <f t="shared" si="17"/>
        <v>0</v>
      </c>
      <c r="AK33" s="27">
        <f>COUNTIFS([1]InfCualitativo!$B$1:$B$6957,"VERDADERO",[1]InfCualitativo!$E$1:$E$6957,"Hospital Pozon",[1]InfCualitativo!$H$1:$H$6957,"medicina_interna")</f>
        <v>0</v>
      </c>
      <c r="AL33" s="27">
        <f>COUNTIFS([1]InfCualitativo!$B$1:$B$6957,"FALSO",[1]InfCualitativo!$E$1:$E$6957,"Hospital Pozon",[1]InfCualitativo!$H$1:$H$6957,"medicina_interna")</f>
        <v>0</v>
      </c>
      <c r="AM33" s="30">
        <f t="shared" si="18"/>
        <v>0</v>
      </c>
      <c r="AN33" s="30">
        <f t="shared" si="19"/>
        <v>0</v>
      </c>
      <c r="AO33" s="27">
        <f>COUNTIFS([1]InfCualitativo!$B$1:$B$6957,"VERDADERO",[1]InfCualitativo!$E$1:$E$6957,"Hospital Pozon",[1]InfCualitativo!$H$1:$H$6957,"ginecologia")</f>
        <v>0</v>
      </c>
      <c r="AP33" s="27">
        <f>COUNTIFS([1]InfCualitativo!$B$1:$B$6957,"FALSO",[1]InfCualitativo!$E$1:$E$6957,"Hospital Pozon",[1]InfCualitativo!$H$1:$H$6957,"ginecologia")</f>
        <v>0</v>
      </c>
      <c r="AQ33" s="30">
        <f t="shared" si="20"/>
        <v>0</v>
      </c>
      <c r="AR33" s="30">
        <f t="shared" si="21"/>
        <v>0</v>
      </c>
      <c r="AS33" s="27">
        <f t="shared" ref="AS33" si="25">SUM(E33+I33+M33+Q33+U33+Y33+AC33+AG33+AK33+AO33)</f>
        <v>283</v>
      </c>
      <c r="AT33" s="27">
        <f t="shared" si="22"/>
        <v>0</v>
      </c>
      <c r="AU33" s="32">
        <f t="shared" si="23"/>
        <v>1</v>
      </c>
      <c r="AV33" s="32">
        <f t="shared" si="24"/>
        <v>0</v>
      </c>
    </row>
    <row r="34" spans="1:48" ht="18.75" x14ac:dyDescent="0.3">
      <c r="A34" s="26" t="s">
        <v>54</v>
      </c>
      <c r="B34" s="27">
        <v>154</v>
      </c>
      <c r="C34" s="27">
        <f t="shared" si="1"/>
        <v>154</v>
      </c>
      <c r="D34" s="28">
        <f t="shared" si="0"/>
        <v>100</v>
      </c>
      <c r="E34" s="29">
        <f>COUNTIFS([1]InfCualitativo!$B$1:$B$6957,"VERDADERO",[1]InfCualitativo!$E$1:$E$6957,"Pozon",[1]InfCualitativo!$H$1:$H$6957,"consulta_externa")</f>
        <v>49</v>
      </c>
      <c r="F34" s="29">
        <f>COUNTIFS([1]InfCualitativo!$B$1:$B$6957,"FALSO",[1]InfCualitativo!$E$1:$E$6957,"Pozon",[1]InfCualitativo!$H$1:$H$6957,"consulta_externa")</f>
        <v>0</v>
      </c>
      <c r="G34" s="30">
        <f t="shared" si="2"/>
        <v>1</v>
      </c>
      <c r="H34" s="30">
        <f t="shared" si="3"/>
        <v>0</v>
      </c>
      <c r="I34" s="27">
        <f>COUNTIFS([1]InfCualitativo!$B$1:$B$6957,"VERDADERO",[1]InfCualitativo!$E$1:$E$6957,"Pozon",[1]InfCualitativo!$H$1:$H$6957,"salud_oral")</f>
        <v>29</v>
      </c>
      <c r="J34" s="27">
        <f>COUNTIFS([1]InfCualitativo!$B$1:$B$6957,"FALSO",[1]InfCualitativo!$E$1:$E$6957,"Pozon",[1]InfCualitativo!$H$1:$H$6957,"salud_oral")</f>
        <v>0</v>
      </c>
      <c r="K34" s="30">
        <f t="shared" si="4"/>
        <v>1</v>
      </c>
      <c r="L34" s="30">
        <f t="shared" si="5"/>
        <v>0</v>
      </c>
      <c r="M34" s="27">
        <f>COUNTIFS([1]InfCualitativo!$B$1:$B$6957,"VERDADERO",[1]InfCualitativo!$E$1:$E$6957,"Pozon",[1]InfCualitativo!$H$1:$H$6957,"laboratorio")</f>
        <v>51</v>
      </c>
      <c r="N34" s="27">
        <f>COUNTIFS([1]InfCualitativo!$B$1:$B$6957,"FALSO",[1]InfCualitativo!$E$1:$E$6957,"Pozon",[1]InfCualitativo!$H$1:$H$6957,"laboratorio")</f>
        <v>0</v>
      </c>
      <c r="O34" s="30">
        <f t="shared" si="6"/>
        <v>1</v>
      </c>
      <c r="P34" s="31">
        <f t="shared" si="7"/>
        <v>0</v>
      </c>
      <c r="Q34" s="27">
        <f>COUNTIFS([1]InfCualitativo!$B$1:$B$6957,"VERDADERO",[1]InfCualitativo!$E$1:$E$6957,"Pozon",[1]InfCualitativo!$H$1:$H$6957,"electros")</f>
        <v>0</v>
      </c>
      <c r="R34" s="27">
        <f>COUNTIFS([1]InfCualitativo!$B$1:$B$6957,"FALSO",[1]InfCualitativo!$E$1:$E$6957,"Pozon",[1]InfCualitativo!$H$1:$H$6957,"electros")</f>
        <v>0</v>
      </c>
      <c r="S34" s="30">
        <f t="shared" si="8"/>
        <v>0</v>
      </c>
      <c r="T34" s="30">
        <f t="shared" si="9"/>
        <v>0</v>
      </c>
      <c r="U34" s="27">
        <f>COUNTIFS([1]InfCualitativo!$B$1:$B$6957,"VERDADERO",[1]InfCualitativo!$E$1:$E$6957,"Pozon",[1]InfCualitativo!$H$1:$H$6957,"rx")</f>
        <v>0</v>
      </c>
      <c r="V34" s="27">
        <f>COUNTIFS([1]InfCualitativo!$B$1:$B$6957,"FALSO",[1]InfCualitativo!$E$1:$E$6957,"Pozon",[1]InfCualitativo!$H$1:$H$6957,"rx")</f>
        <v>0</v>
      </c>
      <c r="W34" s="30">
        <f t="shared" si="10"/>
        <v>0</v>
      </c>
      <c r="X34" s="30">
        <f t="shared" si="11"/>
        <v>0</v>
      </c>
      <c r="Y34" s="27">
        <f>COUNTIFS([1]InfCualitativo!$B$1:$B$6957,"VERDADERO",[1]InfCualitativo!$E$1:$E$6957,"Pozon",[1]InfCualitativo!$H$1:$H$6957,"ecografias")</f>
        <v>0</v>
      </c>
      <c r="Z34" s="27">
        <f>COUNTIFS([1]InfCualitativo!$B$1:$B$6957,"FALSO",[1]InfCualitativo!$E$1:$E$6957,"Pozon",[1]InfCualitativo!$H$1:$H$6957,"ecografias")</f>
        <v>0</v>
      </c>
      <c r="AA34" s="30">
        <f t="shared" si="12"/>
        <v>0</v>
      </c>
      <c r="AB34" s="30">
        <f t="shared" si="13"/>
        <v>0</v>
      </c>
      <c r="AC34" s="27">
        <f>COUNTIFS([1]InfCualitativo!$B$1:$B$6957,"VERDADERO",[1]InfCualitativo!$E$1:$E$6957,"Pozon",[1]InfCualitativo!$H$1:$H$6957,"urgencia")</f>
        <v>25</v>
      </c>
      <c r="AD34" s="27">
        <f>COUNTIFS([1]InfCualitativo!$B$1:$B$6957,"FALSO",[1]InfCualitativo!$E$1:$E$6957,"Pozon",[1]InfCualitativo!$H$1:$H$6957,"urgencia")</f>
        <v>0</v>
      </c>
      <c r="AE34" s="30">
        <f t="shared" si="14"/>
        <v>1</v>
      </c>
      <c r="AF34" s="30">
        <f t="shared" si="15"/>
        <v>0</v>
      </c>
      <c r="AG34" s="27">
        <f>COUNTIFS([1]InfCualitativo!$B$1:$B$6957,"VERDADERO",[1]InfCualitativo!$E$1:$E$6957,"Pozon",[1]InfCualitativo!$H$1:$H$6957,"pediatria")</f>
        <v>0</v>
      </c>
      <c r="AH34" s="27">
        <f>COUNTIFS([1]InfCualitativo!$B$1:$B$6957,"FALSO",[1]InfCualitativo!$E$1:$E$6957,"Pozon",[1]InfCualitativo!$H$1:$H$6957,"pediatria")</f>
        <v>0</v>
      </c>
      <c r="AI34" s="30">
        <f t="shared" si="16"/>
        <v>0</v>
      </c>
      <c r="AJ34" s="30">
        <f t="shared" si="17"/>
        <v>0</v>
      </c>
      <c r="AK34" s="27">
        <f>COUNTIFS([1]InfCualitativo!$B$1:$B$6957,"VERDADERO",[1]InfCualitativo!$E$1:$E$6957,"Pozon",[1]InfCualitativo!$H$1:$H$6957,"medicina_interna")</f>
        <v>0</v>
      </c>
      <c r="AL34" s="27">
        <f>COUNTIFS([1]InfCualitativo!$B$1:$B$6957,"FALSO",[1]InfCualitativo!$E$1:$E$6957,"Pozon",[1]InfCualitativo!$H$1:$H$6957,"medicina_interna")</f>
        <v>0</v>
      </c>
      <c r="AM34" s="30">
        <f t="shared" si="18"/>
        <v>0</v>
      </c>
      <c r="AN34" s="30">
        <f t="shared" si="19"/>
        <v>0</v>
      </c>
      <c r="AO34" s="27">
        <f>COUNTIFS([1]InfCualitativo!$B$1:$B$6957,"VERDADERO",[1]InfCualitativo!$E$1:$E$6957,"Pozon",[1]InfCualitativo!$H$1:$H$6957,"ginecologia")</f>
        <v>0</v>
      </c>
      <c r="AP34" s="27">
        <f>COUNTIFS([1]InfCualitativo!$B$1:$B$6957,"FALSO",[1]InfCualitativo!$E$1:$E$6957,"Pozon",[1]InfCualitativo!$H$1:$H$6957,"ginecologia")</f>
        <v>0</v>
      </c>
      <c r="AQ34" s="30">
        <f t="shared" si="20"/>
        <v>0</v>
      </c>
      <c r="AR34" s="30">
        <f t="shared" si="21"/>
        <v>0</v>
      </c>
      <c r="AS34" s="27">
        <f t="shared" si="22"/>
        <v>154</v>
      </c>
      <c r="AT34" s="27">
        <f t="shared" si="22"/>
        <v>0</v>
      </c>
      <c r="AU34" s="32">
        <f t="shared" si="23"/>
        <v>1</v>
      </c>
      <c r="AV34" s="32">
        <f t="shared" si="24"/>
        <v>0</v>
      </c>
    </row>
    <row r="35" spans="1:48" ht="18.75" x14ac:dyDescent="0.3">
      <c r="A35" s="26" t="s">
        <v>55</v>
      </c>
      <c r="B35" s="27">
        <v>116</v>
      </c>
      <c r="C35" s="27">
        <f t="shared" si="1"/>
        <v>116</v>
      </c>
      <c r="D35" s="28">
        <f t="shared" si="0"/>
        <v>100</v>
      </c>
      <c r="E35" s="29">
        <f>COUNTIFS([1]InfCualitativo!$B$1:$B$6957,"VERDADERO",[1]InfCualitativo!$E$1:$E$6957,"Puerto Rey",[1]InfCualitativo!$H$1:$H$6957,"consulta_externa")</f>
        <v>40</v>
      </c>
      <c r="F35" s="29">
        <f>COUNTIFS([1]InfCualitativo!$B$1:$B$6957,"FALSO",[1]InfCualitativo!$E$1:$E$6957,"Puerto Rey",[1]InfCualitativo!$H$1:$H$6957,"consulta_externa")</f>
        <v>0</v>
      </c>
      <c r="G35" s="30">
        <f t="shared" si="2"/>
        <v>1</v>
      </c>
      <c r="H35" s="30">
        <f t="shared" si="3"/>
        <v>0</v>
      </c>
      <c r="I35" s="27">
        <f>COUNTIFS([1]InfCualitativo!$B$1:$B$6957,"VERDADERO",[1]InfCualitativo!$E$1:$E$6957,"Puerto Rey",[1]InfCualitativo!$H$1:$H$6957,"salud_oral")</f>
        <v>38</v>
      </c>
      <c r="J35" s="27">
        <f>COUNTIFS([1]InfCualitativo!$B$1:$B$6957,"FALSO",[1]InfCualitativo!$E$1:$E$6957,"Puerto Rey",[1]InfCualitativo!$H$1:$H$6957,"salud_oral")</f>
        <v>0</v>
      </c>
      <c r="K35" s="30">
        <f t="shared" si="4"/>
        <v>1</v>
      </c>
      <c r="L35" s="30">
        <f t="shared" si="5"/>
        <v>0</v>
      </c>
      <c r="M35" s="27">
        <f>COUNTIFS([1]InfCualitativo!$B$1:$B$6957,"VERDADERO",[1]InfCualitativo!$E$1:$E$6957,"Puerto Rey",[1]InfCualitativo!$H$1:$H$6957,"laboratorio")</f>
        <v>38</v>
      </c>
      <c r="N35" s="27">
        <f>COUNTIFS([1]InfCualitativo!$B$1:$B$6957,"FALSO",[1]InfCualitativo!$E$1:$E$6957,"Puerto Rey",[1]InfCualitativo!$H$1:$H$6957,"laboratorio")</f>
        <v>0</v>
      </c>
      <c r="O35" s="30">
        <f t="shared" si="6"/>
        <v>1</v>
      </c>
      <c r="P35" s="31">
        <f t="shared" si="7"/>
        <v>0</v>
      </c>
      <c r="Q35" s="27">
        <f>COUNTIFS([1]InfCualitativo!$B$1:$B$6957,"VERDADERO",[1]InfCualitativo!$E$1:$E$6957,"Puerto Rey",[1]InfCualitativo!$H$1:$H$6957,"electros")</f>
        <v>0</v>
      </c>
      <c r="R35" s="27">
        <f>COUNTIFS([1]InfCualitativo!$B$1:$B$6957,"FALSO",[1]InfCualitativo!$E$1:$E$6957,"Puerto Rey",[1]InfCualitativo!$H$1:$H$6957,"electros")</f>
        <v>0</v>
      </c>
      <c r="S35" s="30">
        <f t="shared" si="8"/>
        <v>0</v>
      </c>
      <c r="T35" s="30">
        <f t="shared" si="9"/>
        <v>0</v>
      </c>
      <c r="U35" s="27">
        <f>COUNTIFS([1]InfCualitativo!$B$1:$B$6957,"VERDADERO",[1]InfCualitativo!$E$1:$E$6957,"Puerto Rey",[1]InfCualitativo!$H$1:$H$6957,"rx")</f>
        <v>0</v>
      </c>
      <c r="V35" s="27">
        <f>COUNTIFS([1]InfCualitativo!$B$1:$B$6957,"FALSO",[1]InfCualitativo!$E$1:$E$6957,"Puerto Rey",[1]InfCualitativo!$H$1:$H$6957,"rx")</f>
        <v>0</v>
      </c>
      <c r="W35" s="30">
        <f t="shared" si="10"/>
        <v>0</v>
      </c>
      <c r="X35" s="30">
        <f t="shared" si="11"/>
        <v>0</v>
      </c>
      <c r="Y35" s="27">
        <f>COUNTIFS([1]InfCualitativo!$B$1:$B$6957,"VERDADERO",[1]InfCualitativo!$E$1:$E$6957,"Puerto Rey",[1]InfCualitativo!$H$1:$H$6957,"ecografias")</f>
        <v>0</v>
      </c>
      <c r="Z35" s="27">
        <f>COUNTIFS([1]InfCualitativo!$B$1:$B$6957,"FALSO",[1]InfCualitativo!$E$1:$E$6957,"Puerto Rey",[1]InfCualitativo!$H$1:$H$6957,"ecografias")</f>
        <v>0</v>
      </c>
      <c r="AA35" s="30">
        <f t="shared" si="12"/>
        <v>0</v>
      </c>
      <c r="AB35" s="30">
        <f t="shared" si="13"/>
        <v>0</v>
      </c>
      <c r="AC35" s="27">
        <f>COUNTIFS([1]InfCualitativo!$B$1:$B$6957,"VERDADERO",[1]InfCualitativo!$E$1:$E$6957,"Puerto Rey",[1]InfCualitativo!$H$1:$H$6957,"urgencia")</f>
        <v>0</v>
      </c>
      <c r="AD35" s="27">
        <f>COUNTIFS([1]InfCualitativo!$B$1:$B$6957,"FALSO",[1]InfCualitativo!$E$1:$E$6957,"Puerto Rey",[1]InfCualitativo!$H$1:$H$6957,"urgencia")</f>
        <v>0</v>
      </c>
      <c r="AE35" s="30">
        <f t="shared" si="14"/>
        <v>0</v>
      </c>
      <c r="AF35" s="30">
        <f t="shared" si="15"/>
        <v>0</v>
      </c>
      <c r="AG35" s="27">
        <f>COUNTIFS([1]InfCualitativo!$B$1:$B$6957,"VERDADERO",[1]InfCualitativo!$E$1:$E$6957,"Puerto Rey",[1]InfCualitativo!$H$1:$H$6957,"pediatria")</f>
        <v>0</v>
      </c>
      <c r="AH35" s="27">
        <f>COUNTIFS([1]InfCualitativo!$B$1:$B$6957,"FALSO",[1]InfCualitativo!$E$1:$E$6957,"Puerto Rey",[1]InfCualitativo!$H$1:$H$6957,"pediatria")</f>
        <v>0</v>
      </c>
      <c r="AI35" s="30">
        <f t="shared" si="16"/>
        <v>0</v>
      </c>
      <c r="AJ35" s="30">
        <f t="shared" si="17"/>
        <v>0</v>
      </c>
      <c r="AK35" s="27">
        <f>COUNTIFS([1]InfCualitativo!$B$1:$B$6957,"VERDADERO",[1]InfCualitativo!$E$1:$E$6957,"Puerto Rey",[1]InfCualitativo!$H$1:$H$6957,"medicina_interna")</f>
        <v>0</v>
      </c>
      <c r="AL35" s="27">
        <f>COUNTIFS([1]InfCualitativo!$B$1:$B$6957,"FALSO",[1]InfCualitativo!$E$1:$E$6957,"Puerto Rey",[1]InfCualitativo!$H$1:$H$6957,"medicina_interna")</f>
        <v>0</v>
      </c>
      <c r="AM35" s="30">
        <f t="shared" si="18"/>
        <v>0</v>
      </c>
      <c r="AN35" s="30">
        <f t="shared" si="19"/>
        <v>0</v>
      </c>
      <c r="AO35" s="27">
        <f>COUNTIFS([1]InfCualitativo!$B$1:$B$6957,"VERDADERO",[1]InfCualitativo!$E$1:$E$6957,"Puerto Rey",[1]InfCualitativo!$H$1:$H$6957,"ginecologia")</f>
        <v>0</v>
      </c>
      <c r="AP35" s="27">
        <f>COUNTIFS([1]InfCualitativo!$B$1:$B$6957,"FALSO",[1]InfCualitativo!$E$1:$E$6957,"Puerto Rey",[1]InfCualitativo!$H$1:$H$6957,"ginecologia")</f>
        <v>0</v>
      </c>
      <c r="AQ35" s="30">
        <f t="shared" si="20"/>
        <v>0</v>
      </c>
      <c r="AR35" s="30">
        <f t="shared" si="21"/>
        <v>0</v>
      </c>
      <c r="AS35" s="27">
        <f t="shared" si="22"/>
        <v>116</v>
      </c>
      <c r="AT35" s="27">
        <f t="shared" si="22"/>
        <v>0</v>
      </c>
      <c r="AU35" s="32">
        <f t="shared" si="23"/>
        <v>1</v>
      </c>
      <c r="AV35" s="32">
        <f t="shared" si="24"/>
        <v>0</v>
      </c>
    </row>
    <row r="36" spans="1:48" ht="18.75" x14ac:dyDescent="0.3">
      <c r="A36" s="26" t="s">
        <v>56</v>
      </c>
      <c r="B36" s="27">
        <v>88</v>
      </c>
      <c r="C36" s="27">
        <f t="shared" si="1"/>
        <v>82</v>
      </c>
      <c r="D36" s="28">
        <f t="shared" si="0"/>
        <v>93.181818181818187</v>
      </c>
      <c r="E36" s="29">
        <f>COUNTIFS([1]InfCualitativo!$B$1:$B$6957,"VERDADERO",[1]InfCualitativo!$E$1:$E$6957,"Punta Arena",[1]InfCualitativo!$H$1:$H$6957,"consulta_externa")</f>
        <v>31</v>
      </c>
      <c r="F36" s="29">
        <f>COUNTIFS([1]InfCualitativo!$B$1:$B$6957,"FALSO",[1]InfCualitativo!$E$1:$E$6957,"Punta Arena",[1]InfCualitativo!$H$1:$H$6957,"consulta_externa")</f>
        <v>1</v>
      </c>
      <c r="G36" s="30">
        <f t="shared" si="2"/>
        <v>0.96875</v>
      </c>
      <c r="H36" s="30">
        <f t="shared" si="3"/>
        <v>3.125E-2</v>
      </c>
      <c r="I36" s="27">
        <f>COUNTIFS([1]InfCualitativo!$B$1:$B$6957,"VERDADERO",[1]InfCualitativo!$E$1:$E$6957,"Punta Arena",[1]InfCualitativo!$H$1:$H$6957,"salud_oral")</f>
        <v>26</v>
      </c>
      <c r="J36" s="27">
        <f>COUNTIFS([1]InfCualitativo!$B$1:$B$6957,"FALSO",[1]InfCualitativo!$E$1:$E$6957,"Punta Arena",[1]InfCualitativo!$H$1:$H$6957,"salud_oral")</f>
        <v>1</v>
      </c>
      <c r="K36" s="30">
        <f t="shared" si="4"/>
        <v>0.96296296296296291</v>
      </c>
      <c r="L36" s="30">
        <f t="shared" si="5"/>
        <v>3.7037037037037035E-2</v>
      </c>
      <c r="M36" s="27">
        <f>COUNTIFS([1]InfCualitativo!$B$1:$B$6957,"VERDADERO",[1]InfCualitativo!$E$1:$E$6957,"Punta Arena",[1]InfCualitativo!$H$1:$H$6957,"laboratorio")</f>
        <v>21</v>
      </c>
      <c r="N36" s="27">
        <f>COUNTIFS([1]InfCualitativo!$B$1:$B$6957,"FALSO",[1]InfCualitativo!$E$1:$E$6957,"Punta Arena",[1]InfCualitativo!$H$1:$H$6957,"laboratorio")</f>
        <v>2</v>
      </c>
      <c r="O36" s="30">
        <f t="shared" si="6"/>
        <v>0.91304347826086951</v>
      </c>
      <c r="P36" s="31">
        <f t="shared" si="7"/>
        <v>8.6956521739130432E-2</v>
      </c>
      <c r="Q36" s="27">
        <f>COUNTIFS([1]InfCualitativo!$B$1:$B$6957,"VERDADERO",[1]InfCualitativo!$E$1:$E$6957,"Punta Arena",[1]InfCualitativo!$H$1:$H$6957,"electros")</f>
        <v>0</v>
      </c>
      <c r="R36" s="27">
        <f>COUNTIFS([1]InfCualitativo!$B$1:$B$6957,"FALSO",[1]InfCualitativo!$E$1:$E$6957,"Punta Arena",[1]InfCualitativo!$H$1:$H$6957,"electros")</f>
        <v>0</v>
      </c>
      <c r="S36" s="30">
        <f t="shared" si="8"/>
        <v>0</v>
      </c>
      <c r="T36" s="30">
        <f t="shared" si="9"/>
        <v>0</v>
      </c>
      <c r="U36" s="27">
        <f>COUNTIFS([1]InfCualitativo!$B$1:$B$6957,"VERDADERO",[1]InfCualitativo!$E$1:$E$6957,"Punta Arena",[1]InfCualitativo!$H$1:$H$6957,"rx")</f>
        <v>0</v>
      </c>
      <c r="V36" s="27">
        <f>COUNTIFS([1]InfCualitativo!$B$1:$B$6957,"FALSO",[1]InfCualitativo!$E$1:$E$6957,"Punta Arena",[1]InfCualitativo!$H$1:$H$6957,"rx")</f>
        <v>0</v>
      </c>
      <c r="W36" s="30">
        <f t="shared" si="10"/>
        <v>0</v>
      </c>
      <c r="X36" s="30">
        <f t="shared" si="11"/>
        <v>0</v>
      </c>
      <c r="Y36" s="27">
        <f>COUNTIFS([1]InfCualitativo!$B$1:$B$6957,"VERDADERO",[1]InfCualitativo!$E$1:$E$6957,"Punta Arena",[1]InfCualitativo!$H$1:$H$6957,"ecografias")</f>
        <v>0</v>
      </c>
      <c r="Z36" s="27">
        <f>COUNTIFS([1]InfCualitativo!$B$1:$B$6957,"FALSO",[1]InfCualitativo!$E$1:$E$6957,"Punta Arena",[1]InfCualitativo!$H$1:$H$6957,"ecografias")</f>
        <v>0</v>
      </c>
      <c r="AA36" s="30">
        <f t="shared" si="12"/>
        <v>0</v>
      </c>
      <c r="AB36" s="30">
        <f t="shared" si="13"/>
        <v>0</v>
      </c>
      <c r="AC36" s="27">
        <f>COUNTIFS([1]InfCualitativo!$B$1:$B$6957,"VERDADERO",[1]InfCualitativo!$E$1:$E$6957,"Punta Arena",[1]InfCualitativo!$H$1:$H$6957,"urgencia")</f>
        <v>0</v>
      </c>
      <c r="AD36" s="27">
        <f>COUNTIFS([1]InfCualitativo!$B$1:$B$6957,"FALSO",[1]InfCualitativo!$E$1:$E$6957,"Punta Arena",[1]InfCualitativo!$H$1:$H$6957,"urgencia")</f>
        <v>0</v>
      </c>
      <c r="AE36" s="30">
        <f t="shared" si="14"/>
        <v>0</v>
      </c>
      <c r="AF36" s="30">
        <f t="shared" si="15"/>
        <v>0</v>
      </c>
      <c r="AG36" s="27">
        <f>COUNTIFS([1]InfCualitativo!$B$1:$B$6957,"VERDADERO",[1]InfCualitativo!$E$1:$E$6957,"Punta Arena",[1]InfCualitativo!$H$1:$H$6957,"pediatria")</f>
        <v>0</v>
      </c>
      <c r="AH36" s="27">
        <f>COUNTIFS([1]InfCualitativo!$B$1:$B$6957,"FALSO",[1]InfCualitativo!$E$1:$E$6957,"Punta Arena",[1]InfCualitativo!$H$1:$H$6957,"pediatria")</f>
        <v>0</v>
      </c>
      <c r="AI36" s="30">
        <f t="shared" si="16"/>
        <v>0</v>
      </c>
      <c r="AJ36" s="30">
        <f t="shared" si="17"/>
        <v>0</v>
      </c>
      <c r="AK36" s="27">
        <f>COUNTIFS([1]InfCualitativo!$B$1:$B$6957,"VERDADERO",[1]InfCualitativo!$E$1:$E$6957,"Punta Arena",[1]InfCualitativo!$H$1:$H$6957,"medicina_interna")</f>
        <v>0</v>
      </c>
      <c r="AL36" s="27">
        <f>COUNTIFS([1]InfCualitativo!$B$1:$B$6957,"FALSO",[1]InfCualitativo!$E$1:$E$6957,"Punta Arena",[1]InfCualitativo!$H$1:$H$6957,"medicina_interna")</f>
        <v>0</v>
      </c>
      <c r="AM36" s="30">
        <f t="shared" si="18"/>
        <v>0</v>
      </c>
      <c r="AN36" s="30">
        <f t="shared" si="19"/>
        <v>0</v>
      </c>
      <c r="AO36" s="27">
        <f>COUNTIFS([1]InfCualitativo!$B$1:$B$6957,"VERDADERO",[1]InfCualitativo!$E$1:$E$6957,"Punta Arena",[1]InfCualitativo!$H$1:$H$6957,"ginecologia")</f>
        <v>0</v>
      </c>
      <c r="AP36" s="27">
        <f>COUNTIFS([1]InfCualitativo!$B$1:$B$6957,"FALSO",[1]InfCualitativo!$E$1:$E$6957,"Punta Arena",[1]InfCualitativo!$H$1:$H$6957,"ginecologia")</f>
        <v>0</v>
      </c>
      <c r="AQ36" s="30">
        <f t="shared" si="20"/>
        <v>0</v>
      </c>
      <c r="AR36" s="30">
        <f t="shared" si="21"/>
        <v>0</v>
      </c>
      <c r="AS36" s="27">
        <f t="shared" si="22"/>
        <v>78</v>
      </c>
      <c r="AT36" s="27">
        <f t="shared" si="22"/>
        <v>4</v>
      </c>
      <c r="AU36" s="32">
        <f t="shared" si="23"/>
        <v>0.95121951219512191</v>
      </c>
      <c r="AV36" s="32">
        <f t="shared" si="24"/>
        <v>4.878048780487805E-2</v>
      </c>
    </row>
    <row r="37" spans="1:48" ht="18.75" x14ac:dyDescent="0.3">
      <c r="A37" s="26" t="s">
        <v>57</v>
      </c>
      <c r="B37" s="27">
        <v>111</v>
      </c>
      <c r="C37" s="27">
        <f t="shared" si="1"/>
        <v>111</v>
      </c>
      <c r="D37" s="28">
        <f t="shared" si="0"/>
        <v>100</v>
      </c>
      <c r="E37" s="29">
        <f>COUNTIFS([1]InfCualitativo!$B$1:$B$6957,"VERDADERO",[1]InfCualitativo!$E$1:$E$6957,"Punta Canoa",[1]InfCualitativo!$H$1:$H$6957,"consulta_externa")</f>
        <v>37</v>
      </c>
      <c r="F37" s="29">
        <f>COUNTIFS([1]InfCualitativo!$B$1:$B$6957,"FALSO",[1]InfCualitativo!$E$1:$E$6957,"Punta Canoa",[1]InfCualitativo!$H$1:$H$6957,"consulta_externa")</f>
        <v>0</v>
      </c>
      <c r="G37" s="30">
        <f t="shared" si="2"/>
        <v>1</v>
      </c>
      <c r="H37" s="30">
        <f t="shared" si="3"/>
        <v>0</v>
      </c>
      <c r="I37" s="27">
        <f>COUNTIFS([1]InfCualitativo!$B$1:$B$6957,"VERDADERO",[1]InfCualitativo!$E$1:$E$6957,"Punta Canoa",[1]InfCualitativo!$H$1:$H$6957,"salud_oral")</f>
        <v>36</v>
      </c>
      <c r="J37" s="27">
        <f>COUNTIFS([1]InfCualitativo!$B$1:$B$6957,"FALSO",[1]InfCualitativo!$E$1:$E$6957,"Punta Canoa",[1]InfCualitativo!$H$1:$H$6957,"salud_oral")</f>
        <v>0</v>
      </c>
      <c r="K37" s="30">
        <f t="shared" si="4"/>
        <v>1</v>
      </c>
      <c r="L37" s="30">
        <f t="shared" si="5"/>
        <v>0</v>
      </c>
      <c r="M37" s="27">
        <f>COUNTIFS([1]InfCualitativo!$B$1:$B$6957,"VERDADERO",[1]InfCualitativo!$E$1:$E$6957,"Punta Canoa",[1]InfCualitativo!$H$1:$H$6957,"laboratorio")</f>
        <v>37</v>
      </c>
      <c r="N37" s="27">
        <f>COUNTIFS([1]InfCualitativo!$B$1:$B$6957,"FALSO",[1]InfCualitativo!$E$1:$E$6957,"Punta Canoa",[1]InfCualitativo!$H$1:$H$6957,"laboratorio")</f>
        <v>1</v>
      </c>
      <c r="O37" s="30">
        <f t="shared" si="6"/>
        <v>0.97368421052631582</v>
      </c>
      <c r="P37" s="31">
        <f t="shared" si="7"/>
        <v>2.6315789473684209E-2</v>
      </c>
      <c r="Q37" s="27">
        <f>COUNTIFS([1]InfCualitativo!$B$1:$B$6957,"VERDADERO",[1]InfCualitativo!$E$1:$E$6957,"Punta Canoa",[1]InfCualitativo!$H$1:$H$6957,"electros")</f>
        <v>0</v>
      </c>
      <c r="R37" s="27">
        <f>COUNTIFS([1]InfCualitativo!$B$1:$B$6957,"FALSO",[1]InfCualitativo!$E$1:$E$6957,"Punta Canoa",[1]InfCualitativo!$H$1:$H$6957,"electros")</f>
        <v>0</v>
      </c>
      <c r="S37" s="30">
        <f t="shared" si="8"/>
        <v>0</v>
      </c>
      <c r="T37" s="30">
        <f t="shared" si="9"/>
        <v>0</v>
      </c>
      <c r="U37" s="27">
        <f>COUNTIFS([1]InfCualitativo!$B$1:$B$6957,"VERDADERO",[1]InfCualitativo!$E$1:$E$6957,"Punta Canoa",[1]InfCualitativo!$H$1:$H$6957,"rx")</f>
        <v>0</v>
      </c>
      <c r="V37" s="27">
        <f>COUNTIFS([1]InfCualitativo!$B$1:$B$6957,"FALSO",[1]InfCualitativo!$E$1:$E$6957,"Punta Canoa",[1]InfCualitativo!$H$1:$H$6957,"rx")</f>
        <v>0</v>
      </c>
      <c r="W37" s="30">
        <f t="shared" si="10"/>
        <v>0</v>
      </c>
      <c r="X37" s="30">
        <f t="shared" si="11"/>
        <v>0</v>
      </c>
      <c r="Y37" s="27">
        <f>COUNTIFS([1]InfCualitativo!$B$1:$B$6957,"VERDADERO",[1]InfCualitativo!$E$1:$E$6957,"Punta Canoa",[1]InfCualitativo!$H$1:$H$6957,"ecografias")</f>
        <v>0</v>
      </c>
      <c r="Z37" s="27">
        <f>COUNTIFS([1]InfCualitativo!$B$1:$B$6957,"FALSO",[1]InfCualitativo!$E$1:$E$6957,"Punta Canoa",[1]InfCualitativo!$H$1:$H$6957,"ecografias")</f>
        <v>0</v>
      </c>
      <c r="AA37" s="30">
        <f t="shared" si="12"/>
        <v>0</v>
      </c>
      <c r="AB37" s="30">
        <f t="shared" si="13"/>
        <v>0</v>
      </c>
      <c r="AC37" s="27">
        <f>COUNTIFS([1]InfCualitativo!$B$1:$B$6957,"VERDADERO",[1]InfCualitativo!$E$1:$E$6957,"Punta Canoa",[1]InfCualitativo!$H$1:$H$6957,"urgencia")</f>
        <v>0</v>
      </c>
      <c r="AD37" s="27">
        <f>COUNTIFS([1]InfCualitativo!$B$1:$B$6957,"FALSO",[1]InfCualitativo!$E$1:$E$6957,"Punta Canoa",[1]InfCualitativo!$H$1:$H$6957,"urgencia")</f>
        <v>0</v>
      </c>
      <c r="AE37" s="30">
        <f t="shared" si="14"/>
        <v>0</v>
      </c>
      <c r="AF37" s="30">
        <f t="shared" si="15"/>
        <v>0</v>
      </c>
      <c r="AG37" s="27">
        <f>COUNTIFS([1]InfCualitativo!$B$1:$B$6957,"VERDADERO",[1]InfCualitativo!$E$1:$E$6957,"Punta Canoa",[1]InfCualitativo!$H$1:$H$6957,"pediatria")</f>
        <v>0</v>
      </c>
      <c r="AH37" s="27">
        <f>COUNTIFS([1]InfCualitativo!$B$1:$B$6957,"FALSO",[1]InfCualitativo!$E$1:$E$6957,"Punta Canoa",[1]InfCualitativo!$H$1:$H$6957,"pediatria")</f>
        <v>0</v>
      </c>
      <c r="AI37" s="30">
        <f t="shared" si="16"/>
        <v>0</v>
      </c>
      <c r="AJ37" s="30">
        <f t="shared" si="17"/>
        <v>0</v>
      </c>
      <c r="AK37" s="27">
        <f>COUNTIFS([1]InfCualitativo!$B$1:$B$6957,"VERDADERO",[1]InfCualitativo!$E$1:$E$6957,"Punta Canoa",[1]InfCualitativo!$H$1:$H$6957,"medicina_interna")</f>
        <v>0</v>
      </c>
      <c r="AL37" s="27">
        <f>COUNTIFS([1]InfCualitativo!$B$1:$B$6957,"FALSO",[1]InfCualitativo!$E$1:$E$6957,"Punta Canoa",[1]InfCualitativo!$H$1:$H$6957,"medicina_interna")</f>
        <v>0</v>
      </c>
      <c r="AM37" s="30">
        <f t="shared" si="18"/>
        <v>0</v>
      </c>
      <c r="AN37" s="30">
        <f t="shared" si="19"/>
        <v>0</v>
      </c>
      <c r="AO37" s="27">
        <f>COUNTIFS([1]InfCualitativo!$B$1:$B$6957,"VERDADERO",[1]InfCualitativo!$E$1:$E$6957,"Punta Canoa",[1]InfCualitativo!$H$1:$H$6957,"ginecologia")</f>
        <v>0</v>
      </c>
      <c r="AP37" s="27">
        <f>COUNTIFS([1]InfCualitativo!$B$1:$B$6957,"FALSO",[1]InfCualitativo!$E$1:$E$6957,"Punta Canoa",[1]InfCualitativo!$H$1:$H$6957,"ginecologia")</f>
        <v>0</v>
      </c>
      <c r="AQ37" s="30">
        <f t="shared" si="20"/>
        <v>0</v>
      </c>
      <c r="AR37" s="30">
        <f t="shared" si="21"/>
        <v>0</v>
      </c>
      <c r="AS37" s="27">
        <f t="shared" si="22"/>
        <v>110</v>
      </c>
      <c r="AT37" s="27">
        <f t="shared" si="22"/>
        <v>1</v>
      </c>
      <c r="AU37" s="32">
        <f t="shared" si="23"/>
        <v>0.99099099099099097</v>
      </c>
      <c r="AV37" s="32">
        <f t="shared" si="24"/>
        <v>9.0090090090090089E-3</v>
      </c>
    </row>
    <row r="38" spans="1:48" ht="18.75" x14ac:dyDescent="0.3">
      <c r="A38" s="26" t="s">
        <v>58</v>
      </c>
      <c r="B38" s="27">
        <v>140</v>
      </c>
      <c r="C38" s="27">
        <f t="shared" si="1"/>
        <v>115</v>
      </c>
      <c r="D38" s="28">
        <f t="shared" si="0"/>
        <v>82.142857142857139</v>
      </c>
      <c r="E38" s="29">
        <f>COUNTIFS([1]InfCualitativo!$B$1:$B$6957,"VERDADERO",[1]InfCualitativo!$E$1:$E$6957,"San Francisco I",[1]InfCualitativo!$H$1:$H$6957,"consulta_externa")</f>
        <v>67</v>
      </c>
      <c r="F38" s="29">
        <f>COUNTIFS([1]InfCualitativo!$B$1:$B$6957,"FALSO",[1]InfCualitativo!$E$1:$E$6957,"San Francisco I",[1]InfCualitativo!$H$1:$H$6957,"consulta_externa")</f>
        <v>0</v>
      </c>
      <c r="G38" s="30">
        <f t="shared" si="2"/>
        <v>1</v>
      </c>
      <c r="H38" s="30">
        <f t="shared" si="3"/>
        <v>0</v>
      </c>
      <c r="I38" s="27">
        <f>COUNTIFS([1]InfCualitativo!$B$1:$B$6957,"VERDADERO",[1]InfCualitativo!$E$1:$E$6957,"San Francisco I",[1]InfCualitativo!$H$1:$H$6957,"salud_oral")</f>
        <v>14</v>
      </c>
      <c r="J38" s="27">
        <f>COUNTIFS([1]InfCualitativo!$B$1:$B$6957,"FALSO",[1]InfCualitativo!$E$1:$E$6957,"San Francisco I",[1]InfCualitativo!$H$1:$H$6957,"salud_oral")</f>
        <v>0</v>
      </c>
      <c r="K38" s="30">
        <f t="shared" si="4"/>
        <v>1</v>
      </c>
      <c r="L38" s="30">
        <f t="shared" si="5"/>
        <v>0</v>
      </c>
      <c r="M38" s="27">
        <f>COUNTIFS([1]InfCualitativo!$B$1:$B$6957,"VERDADERO",[1]InfCualitativo!$E$1:$E$6957,"San Francisco I",[1]InfCualitativo!$H$1:$H$6957,"laboratorio")</f>
        <v>34</v>
      </c>
      <c r="N38" s="27">
        <f>COUNTIFS([1]InfCualitativo!$B$1:$B$6957,"FALSO",[1]InfCualitativo!$E$1:$E$6957,"San Francisco I",[1]InfCualitativo!$H$1:$H$6957,"laboratorio")</f>
        <v>0</v>
      </c>
      <c r="O38" s="30">
        <f t="shared" si="6"/>
        <v>1</v>
      </c>
      <c r="P38" s="31">
        <f t="shared" si="7"/>
        <v>0</v>
      </c>
      <c r="Q38" s="27">
        <f>COUNTIFS([1]InfCualitativo!$B$1:$B$6957,"VERDADERO",[1]InfCualitativo!$E$1:$E$6957,"San Francisco I",[1]InfCualitativo!$H$1:$H$6957,"electros")</f>
        <v>0</v>
      </c>
      <c r="R38" s="27">
        <f>COUNTIFS([1]InfCualitativo!$B$1:$B$6957,"FALSO",[1]InfCualitativo!$E$1:$E$6957,"San Francisco I",[1]InfCualitativo!$H$1:$H$6957,"electros")</f>
        <v>0</v>
      </c>
      <c r="S38" s="30">
        <f t="shared" si="8"/>
        <v>0</v>
      </c>
      <c r="T38" s="30">
        <f t="shared" si="9"/>
        <v>0</v>
      </c>
      <c r="U38" s="27">
        <f>COUNTIFS([1]InfCualitativo!$B$1:$B$6957,"VERDADERO",[1]InfCualitativo!$E$1:$E$6957,"San Francisco I",[1]InfCualitativo!$H$1:$H$6957,"rx")</f>
        <v>0</v>
      </c>
      <c r="V38" s="27">
        <f>COUNTIFS([1]InfCualitativo!$B$1:$B$6957,"FALSO",[1]InfCualitativo!$E$1:$E$6957,"San Francisco I",[1]InfCualitativo!$H$1:$H$6957,"rx")</f>
        <v>0</v>
      </c>
      <c r="W38" s="30">
        <f t="shared" si="10"/>
        <v>0</v>
      </c>
      <c r="X38" s="30">
        <f t="shared" si="11"/>
        <v>0</v>
      </c>
      <c r="Y38" s="27">
        <f>COUNTIFS([1]InfCualitativo!$B$1:$B$6957,"VERDADERO",[1]InfCualitativo!$E$1:$E$6957,"San Francisco I",[1]InfCualitativo!$H$1:$H$6957,"ecografias")</f>
        <v>0</v>
      </c>
      <c r="Z38" s="27">
        <f>COUNTIFS([1]InfCualitativo!$B$1:$B$6957,"FALSO",[1]InfCualitativo!$E$1:$E$6957,"San Francisco I",[1]InfCualitativo!$H$1:$H$6957,"ecografias")</f>
        <v>0</v>
      </c>
      <c r="AA38" s="30">
        <f t="shared" si="12"/>
        <v>0</v>
      </c>
      <c r="AB38" s="30">
        <f t="shared" si="13"/>
        <v>0</v>
      </c>
      <c r="AC38" s="27">
        <f>COUNTIFS([1]InfCualitativo!$B$1:$B$6957,"VERDADERO",[1]InfCualitativo!$E$1:$E$6957,"San Francisco I",[1]InfCualitativo!$H$1:$H$6957,"urgencia")</f>
        <v>0</v>
      </c>
      <c r="AD38" s="27">
        <f>COUNTIFS([1]InfCualitativo!$B$1:$B$6957,"FALSO",[1]InfCualitativo!$E$1:$E$6957,"San Francisco I",[1]InfCualitativo!$H$1:$H$6957,"urgencia")</f>
        <v>0</v>
      </c>
      <c r="AE38" s="30">
        <f t="shared" si="14"/>
        <v>0</v>
      </c>
      <c r="AF38" s="30">
        <f t="shared" si="15"/>
        <v>0</v>
      </c>
      <c r="AG38" s="27">
        <f>COUNTIFS([1]InfCualitativo!$B$1:$B$6957,"VERDADERO",[1]InfCualitativo!$E$1:$E$6957,"San Francisco I",[1]InfCualitativo!$H$1:$H$6957,"pediatria")</f>
        <v>0</v>
      </c>
      <c r="AH38" s="27">
        <f>COUNTIFS([1]InfCualitativo!$B$1:$B$6957,"FALSO",[1]InfCualitativo!$E$1:$E$6957,"San Francisco I",[1]InfCualitativo!$H$1:$H$6957,"pediatria")</f>
        <v>0</v>
      </c>
      <c r="AI38" s="30">
        <f t="shared" si="16"/>
        <v>0</v>
      </c>
      <c r="AJ38" s="30">
        <f t="shared" si="17"/>
        <v>0</v>
      </c>
      <c r="AK38" s="27">
        <f>COUNTIFS([1]InfCualitativo!$B$1:$B$6957,"VERDADERO",[1]InfCualitativo!$E$1:$E$6957,"San Francisco I",[1]InfCualitativo!$H$1:$H$6957,"medicina_interna")</f>
        <v>0</v>
      </c>
      <c r="AL38" s="27">
        <f>COUNTIFS([1]InfCualitativo!$B$1:$B$6957,"FALSO",[1]InfCualitativo!$E$1:$E$6957,"San Francisco I",[1]InfCualitativo!$H$1:$H$6957,"medicina_interna")</f>
        <v>0</v>
      </c>
      <c r="AM38" s="30">
        <f t="shared" si="18"/>
        <v>0</v>
      </c>
      <c r="AN38" s="30">
        <f t="shared" si="19"/>
        <v>0</v>
      </c>
      <c r="AO38" s="27">
        <f>COUNTIFS([1]InfCualitativo!$B$1:$B$6957,"VERDADERO",[1]InfCualitativo!$E$1:$E$6957,"San Francisco I",[1]InfCualitativo!$H$1:$H$6957,"ginecologia")</f>
        <v>0</v>
      </c>
      <c r="AP38" s="27">
        <f>COUNTIFS([1]InfCualitativo!$B$1:$B$6957,"FALSO",[1]InfCualitativo!$E$1:$E$6957,"San Francisco I",[1]InfCualitativo!$H$1:$H$6957,"ginecologia")</f>
        <v>0</v>
      </c>
      <c r="AQ38" s="30">
        <f t="shared" si="20"/>
        <v>0</v>
      </c>
      <c r="AR38" s="30">
        <f t="shared" si="21"/>
        <v>0</v>
      </c>
      <c r="AS38" s="27">
        <f t="shared" si="22"/>
        <v>115</v>
      </c>
      <c r="AT38" s="27">
        <f t="shared" si="22"/>
        <v>0</v>
      </c>
      <c r="AU38" s="32">
        <f t="shared" si="23"/>
        <v>1</v>
      </c>
      <c r="AV38" s="32">
        <f t="shared" si="24"/>
        <v>0</v>
      </c>
    </row>
    <row r="39" spans="1:48" ht="18.75" x14ac:dyDescent="0.3">
      <c r="A39" s="26" t="s">
        <v>59</v>
      </c>
      <c r="B39" s="27">
        <v>136</v>
      </c>
      <c r="C39" s="27">
        <f t="shared" si="1"/>
        <v>136</v>
      </c>
      <c r="D39" s="28">
        <f t="shared" si="0"/>
        <v>100</v>
      </c>
      <c r="E39" s="29">
        <f>COUNTIFS([1]InfCualitativo!$B$1:$B$6957,"VERDADERO",[1]InfCualitativo!$E$1:$E$6957,"San Pedro y Libertad",[1]InfCualitativo!$H$1:$H$6957,"consulta_externa")</f>
        <v>60</v>
      </c>
      <c r="F39" s="29">
        <f>COUNTIFS([1]InfCualitativo!$B$1:$B$6957,"FALSO",[1]InfCualitativo!$E$1:$E$6957,"San Pedro y Libertad",[1]InfCualitativo!$H$1:$H$6957,"consulta_externa")</f>
        <v>0</v>
      </c>
      <c r="G39" s="30">
        <f t="shared" si="2"/>
        <v>1</v>
      </c>
      <c r="H39" s="30">
        <f t="shared" si="3"/>
        <v>0</v>
      </c>
      <c r="I39" s="27">
        <f>COUNTIFS([1]InfCualitativo!$B$1:$B$6957,"VERDADERO",[1]InfCualitativo!$E$1:$E$6957,"San Pedro y Libertad",[1]InfCualitativo!$H$1:$H$6957,"salud_oral")</f>
        <v>27</v>
      </c>
      <c r="J39" s="27">
        <f>COUNTIFS([1]InfCualitativo!$B$1:$B$6957,"FALSO",[1]InfCualitativo!$E$1:$E$6957,"San Pedro y Libertad",[1]InfCualitativo!$H$1:$H$6957,"salud_oral")</f>
        <v>0</v>
      </c>
      <c r="K39" s="30">
        <f t="shared" si="4"/>
        <v>1</v>
      </c>
      <c r="L39" s="30">
        <f t="shared" si="5"/>
        <v>0</v>
      </c>
      <c r="M39" s="27">
        <f>COUNTIFS([1]InfCualitativo!$B$1:$B$6957,"VERDADERO",[1]InfCualitativo!$E$1:$E$6957,"San Pedro y Libertad",[1]InfCualitativo!$H$1:$H$6957,"laboratorio")</f>
        <v>49</v>
      </c>
      <c r="N39" s="27">
        <f>COUNTIFS([1]InfCualitativo!$B$1:$B$6957,"FALSO",[1]InfCualitativo!$E$1:$E$6957,"San Pedro y Libertad",[1]InfCualitativo!$H$1:$H$6957,"laboratorio")</f>
        <v>0</v>
      </c>
      <c r="O39" s="30">
        <f t="shared" si="6"/>
        <v>1</v>
      </c>
      <c r="P39" s="31">
        <f t="shared" si="7"/>
        <v>0</v>
      </c>
      <c r="Q39" s="27">
        <f>COUNTIFS([1]InfCualitativo!$B$1:$B$6957,"VERDADERO",[1]InfCualitativo!$E$1:$E$6957,"San Pedro y Libertad",[1]InfCualitativo!$H$1:$H$6957,"electros")</f>
        <v>0</v>
      </c>
      <c r="R39" s="27">
        <f>COUNTIFS([1]InfCualitativo!$B$1:$B$6957,"FALSO",[1]InfCualitativo!$E$1:$E$6957,"San Pedro y Libertad",[1]InfCualitativo!$H$1:$H$6957,"electros")</f>
        <v>0</v>
      </c>
      <c r="S39" s="30">
        <f t="shared" si="8"/>
        <v>0</v>
      </c>
      <c r="T39" s="30">
        <f t="shared" si="9"/>
        <v>0</v>
      </c>
      <c r="U39" s="27">
        <f>COUNTIFS([1]InfCualitativo!$B$1:$B$6957,"VERDADERO",[1]InfCualitativo!$E$1:$E$6957,"San Pedro y Libertad",[1]InfCualitativo!$H$1:$H$6957,"rx")</f>
        <v>0</v>
      </c>
      <c r="V39" s="27">
        <f>COUNTIFS([1]InfCualitativo!$B$1:$B$6957,"FALSO",[1]InfCualitativo!$E$1:$E$6957,"San Pedro y Libertad",[1]InfCualitativo!$H$1:$H$6957,"rx")</f>
        <v>0</v>
      </c>
      <c r="W39" s="30">
        <f t="shared" si="10"/>
        <v>0</v>
      </c>
      <c r="X39" s="30">
        <f t="shared" si="11"/>
        <v>0</v>
      </c>
      <c r="Y39" s="27">
        <f>COUNTIFS([1]InfCualitativo!$B$1:$B$6957,"VERDADERO",[1]InfCualitativo!$E$1:$E$6957,"San Pedro y Libertad",[1]InfCualitativo!$H$1:$H$6957,"ecografias")</f>
        <v>0</v>
      </c>
      <c r="Z39" s="27">
        <f>COUNTIFS([1]InfCualitativo!$B$1:$B$6957,"FALSO",[1]InfCualitativo!$E$1:$E$6957,"San Pedro y Libertad",[1]InfCualitativo!$H$1:$H$6957,"ecografias")</f>
        <v>0</v>
      </c>
      <c r="AA39" s="30">
        <f t="shared" si="12"/>
        <v>0</v>
      </c>
      <c r="AB39" s="30">
        <f t="shared" si="13"/>
        <v>0</v>
      </c>
      <c r="AC39" s="27">
        <f>COUNTIFS([1]InfCualitativo!$B$1:$B$6957,"VERDADERO",[1]InfCualitativo!$E$1:$E$6957,"San Pedro y Libertad",[1]InfCualitativo!$H$1:$H$6957,"urgencia")</f>
        <v>0</v>
      </c>
      <c r="AD39" s="27">
        <f>COUNTIFS([1]InfCualitativo!$B$1:$B$6957,"FALSO",[1]InfCualitativo!$E$1:$E$6957,"San Pedro y Libertad",[1]InfCualitativo!$H$1:$H$6957,"urgencia")</f>
        <v>0</v>
      </c>
      <c r="AE39" s="30">
        <f t="shared" si="14"/>
        <v>0</v>
      </c>
      <c r="AF39" s="30">
        <f t="shared" si="15"/>
        <v>0</v>
      </c>
      <c r="AG39" s="27">
        <f>COUNTIFS([1]InfCualitativo!$B$1:$B$6957,"VERDADERO",[1]InfCualitativo!$E$1:$E$6957,"San Pedro y Libertad",[1]InfCualitativo!$H$1:$H$6957,"pediatria")</f>
        <v>0</v>
      </c>
      <c r="AH39" s="27">
        <f>COUNTIFS([1]InfCualitativo!$B$1:$B$6957,"FALSO",[1]InfCualitativo!$E$1:$E$6957,"San Pedro y Libertad",[1]InfCualitativo!$H$1:$H$6957,"pediatria")</f>
        <v>0</v>
      </c>
      <c r="AI39" s="30">
        <f t="shared" si="16"/>
        <v>0</v>
      </c>
      <c r="AJ39" s="30">
        <f t="shared" si="17"/>
        <v>0</v>
      </c>
      <c r="AK39" s="27">
        <f>COUNTIFS([1]InfCualitativo!$B$1:$B$6957,"VERDADERO",[1]InfCualitativo!$E$1:$E$6957,"San Pedro y Libertad",[1]InfCualitativo!$H$1:$H$6957,"medicina_interna")</f>
        <v>0</v>
      </c>
      <c r="AL39" s="27">
        <f>COUNTIFS([1]InfCualitativo!$B$1:$B$6957,"FALSO",[1]InfCualitativo!$E$1:$E$6957,"San Pedro y Libertad",[1]InfCualitativo!$H$1:$H$6957,"medicina_interna")</f>
        <v>0</v>
      </c>
      <c r="AM39" s="30">
        <f t="shared" si="18"/>
        <v>0</v>
      </c>
      <c r="AN39" s="30">
        <f t="shared" si="19"/>
        <v>0</v>
      </c>
      <c r="AO39" s="27">
        <f>COUNTIFS([1]InfCualitativo!$B$1:$B$6957,"VERDADERO",[1]InfCualitativo!$E$1:$E$6957,"San Pedro y Libertad",[1]InfCualitativo!$H$1:$H$6957,"ginecologia")</f>
        <v>0</v>
      </c>
      <c r="AP39" s="27">
        <f>COUNTIFS([1]InfCualitativo!$B$1:$B$6957,"FALSO",[1]InfCualitativo!$E$1:$E$6957,"San Pedro y Libertad",[1]InfCualitativo!$H$1:$H$6957,"ginecologia")</f>
        <v>0</v>
      </c>
      <c r="AQ39" s="30">
        <f t="shared" si="20"/>
        <v>0</v>
      </c>
      <c r="AR39" s="30">
        <f t="shared" si="21"/>
        <v>0</v>
      </c>
      <c r="AS39" s="27">
        <f t="shared" si="22"/>
        <v>136</v>
      </c>
      <c r="AT39" s="27">
        <f t="shared" si="22"/>
        <v>0</v>
      </c>
      <c r="AU39" s="32">
        <f t="shared" si="23"/>
        <v>1</v>
      </c>
      <c r="AV39" s="32">
        <f t="shared" si="24"/>
        <v>0</v>
      </c>
    </row>
    <row r="40" spans="1:48" ht="18.75" x14ac:dyDescent="0.3">
      <c r="A40" s="26" t="s">
        <v>60</v>
      </c>
      <c r="B40" s="27">
        <v>136</v>
      </c>
      <c r="C40" s="27">
        <f t="shared" si="1"/>
        <v>136</v>
      </c>
      <c r="D40" s="28">
        <f t="shared" si="0"/>
        <v>100</v>
      </c>
      <c r="E40" s="29">
        <f>COUNTIFS([1]InfCualitativo!$B$1:$B$6957,"VERDADERO",[1]InfCualitativo!$E$1:$E$6957,"San Vicente de Paul",[1]InfCualitativo!$H$1:$H$6957,"consulta_externa")</f>
        <v>46</v>
      </c>
      <c r="F40" s="29">
        <f>COUNTIFS([1]InfCualitativo!$B$1:$B$6957,"FALSO",[1]InfCualitativo!$E$1:$E$6957,"San Vicente de Paul",[1]InfCualitativo!$H$1:$H$6957,"consulta_externa")</f>
        <v>0</v>
      </c>
      <c r="G40" s="30">
        <f t="shared" si="2"/>
        <v>1</v>
      </c>
      <c r="H40" s="30">
        <f t="shared" si="3"/>
        <v>0</v>
      </c>
      <c r="I40" s="27">
        <f>COUNTIFS([1]InfCualitativo!$B$1:$B$6957,"VERDADERO",[1]InfCualitativo!$E$1:$E$6957,"San Vicente de Paul",[1]InfCualitativo!$H$1:$H$6957,"salud_oral")</f>
        <v>46</v>
      </c>
      <c r="J40" s="27">
        <f>COUNTIFS([1]InfCualitativo!$B$1:$B$6957,"FALSO",[1]InfCualitativo!$E$1:$E$6957,"San Vicente de Paul",[1]InfCualitativo!$H$1:$H$6957,"salud_oral")</f>
        <v>0</v>
      </c>
      <c r="K40" s="30">
        <f t="shared" si="4"/>
        <v>1</v>
      </c>
      <c r="L40" s="30">
        <f t="shared" si="5"/>
        <v>0</v>
      </c>
      <c r="M40" s="27">
        <f>COUNTIFS([1]InfCualitativo!$B$1:$B$6957,"VERDADERO",[1]InfCualitativo!$E$1:$E$6957,"San Vicente de Paul",[1]InfCualitativo!$H$1:$H$6957,"laboratorio")</f>
        <v>44</v>
      </c>
      <c r="N40" s="27">
        <f>COUNTIFS([1]InfCualitativo!$B$1:$B$6957,"FALSO",[1]InfCualitativo!$E$1:$E$6957,"San Vicente de Paul",[1]InfCualitativo!$H$1:$H$6957,"laboratorio")</f>
        <v>0</v>
      </c>
      <c r="O40" s="30">
        <f t="shared" si="6"/>
        <v>1</v>
      </c>
      <c r="P40" s="31">
        <f t="shared" si="7"/>
        <v>0</v>
      </c>
      <c r="Q40" s="27">
        <f>COUNTIFS([1]InfCualitativo!$B$1:$B$6957,"VERDADERO",[1]InfCualitativo!$E$1:$E$6957,"San Vicente de Paul",[1]InfCualitativo!$H$1:$H$6957,"electros")</f>
        <v>0</v>
      </c>
      <c r="R40" s="27">
        <f>COUNTIFS([1]InfCualitativo!$B$1:$B$6957,"FALSO",[1]InfCualitativo!$E$1:$E$6957,"San Vicente de Paul",[1]InfCualitativo!$H$1:$H$6957,"electros")</f>
        <v>0</v>
      </c>
      <c r="S40" s="30">
        <f t="shared" si="8"/>
        <v>0</v>
      </c>
      <c r="T40" s="30">
        <f t="shared" si="9"/>
        <v>0</v>
      </c>
      <c r="U40" s="27">
        <f>COUNTIFS([1]InfCualitativo!$B$1:$B$6957,"VERDADERO",[1]InfCualitativo!$E$1:$E$6957,"San Vicente de Paul",[1]InfCualitativo!$H$1:$H$6957,"rx")</f>
        <v>0</v>
      </c>
      <c r="V40" s="27">
        <f>COUNTIFS([1]InfCualitativo!$B$1:$B$6957,"FALSO",[1]InfCualitativo!$E$1:$E$6957,"San Vicente de Paul",[1]InfCualitativo!$H$1:$H$6957,"rx")</f>
        <v>0</v>
      </c>
      <c r="W40" s="30">
        <f t="shared" si="10"/>
        <v>0</v>
      </c>
      <c r="X40" s="30">
        <f t="shared" si="11"/>
        <v>0</v>
      </c>
      <c r="Y40" s="27">
        <f>COUNTIFS([1]InfCualitativo!$B$1:$B$6957,"VERDADERO",[1]InfCualitativo!$E$1:$E$6957,"San Vicente de Paul",[1]InfCualitativo!$H$1:$H$6957,"ecografias")</f>
        <v>0</v>
      </c>
      <c r="Z40" s="27">
        <f>COUNTIFS([1]InfCualitativo!$B$1:$B$6957,"FALSO",[1]InfCualitativo!$E$1:$E$6957,"San Vicente de Paul",[1]InfCualitativo!$H$1:$H$6957,"ecografias")</f>
        <v>0</v>
      </c>
      <c r="AA40" s="30">
        <f t="shared" si="12"/>
        <v>0</v>
      </c>
      <c r="AB40" s="30">
        <f t="shared" si="13"/>
        <v>0</v>
      </c>
      <c r="AC40" s="27">
        <f>COUNTIFS([1]InfCualitativo!$B$1:$B$6957,"VERDADERO",[1]InfCualitativo!$E$1:$E$6957,"San Vicente de Paul",[1]InfCualitativo!$H$1:$H$6957,"urgencia")</f>
        <v>0</v>
      </c>
      <c r="AD40" s="27">
        <f>COUNTIFS([1]InfCualitativo!$B$1:$B$6957,"FALSO",[1]InfCualitativo!$E$1:$E$6957,"San Vicente de Paul",[1]InfCualitativo!$H$1:$H$6957,"urgencia")</f>
        <v>0</v>
      </c>
      <c r="AE40" s="30">
        <f t="shared" si="14"/>
        <v>0</v>
      </c>
      <c r="AF40" s="30">
        <f t="shared" si="15"/>
        <v>0</v>
      </c>
      <c r="AG40" s="27">
        <f>COUNTIFS([1]InfCualitativo!$B$1:$B$6957,"VERDADERO",[1]InfCualitativo!$E$1:$E$6957,"San Vicente de Paul",[1]InfCualitativo!$H$1:$H$6957,"pediatria")</f>
        <v>0</v>
      </c>
      <c r="AH40" s="27">
        <f>COUNTIFS([1]InfCualitativo!$B$1:$B$6957,"FALSO",[1]InfCualitativo!$E$1:$E$6957,"San Vicente de Paul",[1]InfCualitativo!$H$1:$H$6957,"pediatria")</f>
        <v>0</v>
      </c>
      <c r="AI40" s="30">
        <f t="shared" si="16"/>
        <v>0</v>
      </c>
      <c r="AJ40" s="30">
        <f t="shared" si="17"/>
        <v>0</v>
      </c>
      <c r="AK40" s="27">
        <f>COUNTIFS([1]InfCualitativo!$B$1:$B$6957,"VERDADERO",[1]InfCualitativo!$E$1:$E$6957,"San Vicente de Paul",[1]InfCualitativo!$H$1:$H$6957,"medicina_interna")</f>
        <v>0</v>
      </c>
      <c r="AL40" s="27">
        <f>COUNTIFS([1]InfCualitativo!$B$1:$B$6957,"FALSO",[1]InfCualitativo!$E$1:$E$6957,"San Vicente de Paul",[1]InfCualitativo!$H$1:$H$6957,"medicina_interna")</f>
        <v>0</v>
      </c>
      <c r="AM40" s="30">
        <f t="shared" si="18"/>
        <v>0</v>
      </c>
      <c r="AN40" s="30">
        <f t="shared" si="19"/>
        <v>0</v>
      </c>
      <c r="AO40" s="27">
        <f>COUNTIFS([1]InfCualitativo!$B$1:$B$6957,"VERDADERO",[1]InfCualitativo!$E$1:$E$6957,"San Vicente de Paul",[1]InfCualitativo!$H$1:$H$6957,"ginecologia")</f>
        <v>0</v>
      </c>
      <c r="AP40" s="27">
        <f>COUNTIFS([1]InfCualitativo!$B$1:$B$6957,"FALSO",[1]InfCualitativo!$E$1:$E$6957,"San Vicente de Paul",[1]InfCualitativo!$H$1:$H$6957,"ginecologia")</f>
        <v>0</v>
      </c>
      <c r="AQ40" s="30">
        <f t="shared" si="20"/>
        <v>0</v>
      </c>
      <c r="AR40" s="30">
        <f t="shared" si="21"/>
        <v>0</v>
      </c>
      <c r="AS40" s="27">
        <f t="shared" si="22"/>
        <v>136</v>
      </c>
      <c r="AT40" s="27">
        <f t="shared" si="22"/>
        <v>0</v>
      </c>
      <c r="AU40" s="32">
        <f t="shared" si="23"/>
        <v>1</v>
      </c>
      <c r="AV40" s="32">
        <f t="shared" si="24"/>
        <v>0</v>
      </c>
    </row>
    <row r="41" spans="1:48" ht="18.75" x14ac:dyDescent="0.3">
      <c r="A41" s="26" t="s">
        <v>61</v>
      </c>
      <c r="B41" s="27">
        <v>172</v>
      </c>
      <c r="C41" s="27">
        <f t="shared" si="1"/>
        <v>154</v>
      </c>
      <c r="D41" s="28">
        <f t="shared" si="0"/>
        <v>89.534883720930239</v>
      </c>
      <c r="E41" s="29">
        <f>COUNTIFS([1]InfCualitativo!$B$1:$B$6957,"VERDADERO",[1]InfCualitativo!$E$1:$E$6957,"Socorro",[1]InfCualitativo!$H$1:$H$6957,"consulta_externa")</f>
        <v>41</v>
      </c>
      <c r="F41" s="29">
        <f>COUNTIFS([1]InfCualitativo!$B$1:$B$6957,"FALSO",[1]InfCualitativo!$E$1:$E$6957,"Socorro",[1]InfCualitativo!$H$1:$H$6957,"consulta_externa")</f>
        <v>7</v>
      </c>
      <c r="G41" s="30">
        <f t="shared" si="2"/>
        <v>0.85416666666666663</v>
      </c>
      <c r="H41" s="30">
        <f t="shared" si="3"/>
        <v>0.14583333333333334</v>
      </c>
      <c r="I41" s="27">
        <f>COUNTIFS([1]InfCualitativo!$B$1:$B$6957,"VERDADERO",[1]InfCualitativo!$E$1:$E$6957,"Socorro",[1]InfCualitativo!$H$1:$H$6957,"salud_oral")</f>
        <v>39</v>
      </c>
      <c r="J41" s="27">
        <f>COUNTIFS([1]InfCualitativo!$B$1:$B$6957,"FALSO",[1]InfCualitativo!$E$1:$E$6957,"Socorro",[1]InfCualitativo!$H$1:$H$6957,"salud_oral")</f>
        <v>8</v>
      </c>
      <c r="K41" s="30">
        <f t="shared" si="4"/>
        <v>0.82978723404255317</v>
      </c>
      <c r="L41" s="30">
        <f t="shared" si="5"/>
        <v>0.1702127659574468</v>
      </c>
      <c r="M41" s="27">
        <f>COUNTIFS([1]InfCualitativo!$B$1:$B$6957,"VERDADERO",[1]InfCualitativo!$E$1:$E$6957,"Socorro",[1]InfCualitativo!$H$1:$H$6957,"laboratorio")</f>
        <v>39</v>
      </c>
      <c r="N41" s="27">
        <f>COUNTIFS([1]InfCualitativo!$B$1:$B$6957,"FALSO",[1]InfCualitativo!$E$1:$E$6957,"Socorro",[1]InfCualitativo!$H$1:$H$6957,"laboratorio")</f>
        <v>9</v>
      </c>
      <c r="O41" s="30">
        <f t="shared" si="6"/>
        <v>0.8125</v>
      </c>
      <c r="P41" s="31">
        <f t="shared" si="7"/>
        <v>0.1875</v>
      </c>
      <c r="Q41" s="27">
        <f>COUNTIFS([1]InfCualitativo!$B$1:$B$6957,"VERDADERO",[1]InfCualitativo!$E$1:$E$6957,"Socorro",[1]InfCualitativo!$H$1:$H$6957,"electros")</f>
        <v>0</v>
      </c>
      <c r="R41" s="27">
        <f>COUNTIFS([1]InfCualitativo!$B$1:$B$6957,"FALSO",[1]InfCualitativo!$E$1:$E$6957,"Socorro",[1]InfCualitativo!$H$1:$H$6957,"electros")</f>
        <v>0</v>
      </c>
      <c r="S41" s="30">
        <f t="shared" si="8"/>
        <v>0</v>
      </c>
      <c r="T41" s="30">
        <f t="shared" si="9"/>
        <v>0</v>
      </c>
      <c r="U41" s="27">
        <f>COUNTIFS([1]InfCualitativo!$B$1:$B$6957,"VERDADERO",[1]InfCualitativo!$E$1:$E$6957,"Socorro",[1]InfCualitativo!$H$1:$H$6957,"rx")</f>
        <v>0</v>
      </c>
      <c r="V41" s="27">
        <f>COUNTIFS([1]InfCualitativo!$B$1:$B$6957,"FALSO",[1]InfCualitativo!$E$1:$E$6957,"Socorro",[1]InfCualitativo!$H$1:$H$6957,"rx")</f>
        <v>0</v>
      </c>
      <c r="W41" s="30">
        <f t="shared" si="10"/>
        <v>0</v>
      </c>
      <c r="X41" s="30">
        <f t="shared" si="11"/>
        <v>0</v>
      </c>
      <c r="Y41" s="27">
        <f>COUNTIFS([1]InfCualitativo!$B$1:$B$6957,"VERDADERO",[1]InfCualitativo!$E$1:$E$6957,"Socorro",[1]InfCualitativo!$H$1:$H$6957,"ecografias")</f>
        <v>11</v>
      </c>
      <c r="Z41" s="27">
        <f>COUNTIFS([1]InfCualitativo!$B$1:$B$6957,"FALSO",[1]InfCualitativo!$E$1:$E$6957,"Socorro",[1]InfCualitativo!$H$1:$H$6957,"ecografias")</f>
        <v>0</v>
      </c>
      <c r="AA41" s="30">
        <f t="shared" si="12"/>
        <v>1</v>
      </c>
      <c r="AB41" s="30">
        <f t="shared" si="13"/>
        <v>0</v>
      </c>
      <c r="AC41" s="27">
        <f>COUNTIFS([1]InfCualitativo!$B$1:$B$6957,"VERDADERO",[1]InfCualitativo!$E$1:$E$6957,"Socorro",[1]InfCualitativo!$H$1:$H$6957,"urgencia")</f>
        <v>0</v>
      </c>
      <c r="AD41" s="27">
        <f>COUNTIFS([1]InfCualitativo!$B$1:$B$6957,"FALSO",[1]InfCualitativo!$E$1:$E$6957,"Socorro",[1]InfCualitativo!$H$1:$H$6957,"urgencia")</f>
        <v>0</v>
      </c>
      <c r="AE41" s="30">
        <f t="shared" si="14"/>
        <v>0</v>
      </c>
      <c r="AF41" s="30">
        <f t="shared" si="15"/>
        <v>0</v>
      </c>
      <c r="AG41" s="27">
        <f>COUNTIFS([1]InfCualitativo!$B$1:$B$6957,"VERDADERO",[1]InfCualitativo!$E$1:$E$6957,"Socorro",[1]InfCualitativo!$H$1:$H$6957,"pediatria")</f>
        <v>0</v>
      </c>
      <c r="AH41" s="27">
        <f>COUNTIFS([1]InfCualitativo!$B$1:$B$6957,"FALSO",[1]InfCualitativo!$E$1:$E$6957,"Socorro",[1]InfCualitativo!$H$1:$H$6957,"pediatria")</f>
        <v>0</v>
      </c>
      <c r="AI41" s="30">
        <f t="shared" si="16"/>
        <v>0</v>
      </c>
      <c r="AJ41" s="30">
        <f t="shared" si="17"/>
        <v>0</v>
      </c>
      <c r="AK41" s="27">
        <f>COUNTIFS([1]InfCualitativo!$B$1:$B$6957,"VERDADERO",[1]InfCualitativo!$E$1:$E$6957,"Socorro",[1]InfCualitativo!$H$1:$H$6957,"medicina_interna")</f>
        <v>0</v>
      </c>
      <c r="AL41" s="27">
        <f>COUNTIFS([1]InfCualitativo!$B$1:$B$6957,"FALSO",[1]InfCualitativo!$E$1:$E$6957,"Socorro",[1]InfCualitativo!$H$1:$H$6957,"medicina_interna")</f>
        <v>0</v>
      </c>
      <c r="AM41" s="30">
        <f t="shared" si="18"/>
        <v>0</v>
      </c>
      <c r="AN41" s="30">
        <f t="shared" si="19"/>
        <v>0</v>
      </c>
      <c r="AO41" s="27">
        <f>COUNTIFS([1]InfCualitativo!$B$1:$B$6957,"VERDADERO",[1]InfCualitativo!$E$1:$E$6957,"Socorro",[1]InfCualitativo!$H$1:$H$6957,"ginecologia")</f>
        <v>0</v>
      </c>
      <c r="AP41" s="27">
        <f>COUNTIFS([1]InfCualitativo!$B$1:$B$6957,"FALSO",[1]InfCualitativo!$E$1:$E$6957,"Socorro",[1]InfCualitativo!$H$1:$H$6957,"ginecologia")</f>
        <v>0</v>
      </c>
      <c r="AQ41" s="30">
        <f t="shared" si="20"/>
        <v>0</v>
      </c>
      <c r="AR41" s="30">
        <f t="shared" si="21"/>
        <v>0</v>
      </c>
      <c r="AS41" s="27">
        <f t="shared" si="22"/>
        <v>130</v>
      </c>
      <c r="AT41" s="27">
        <f t="shared" si="22"/>
        <v>24</v>
      </c>
      <c r="AU41" s="32">
        <f t="shared" si="23"/>
        <v>0.8441558441558441</v>
      </c>
      <c r="AV41" s="32">
        <f t="shared" si="24"/>
        <v>0.15584415584415584</v>
      </c>
    </row>
    <row r="42" spans="1:48" ht="18.75" x14ac:dyDescent="0.3">
      <c r="A42" s="26" t="s">
        <v>62</v>
      </c>
      <c r="B42" s="27">
        <v>144</v>
      </c>
      <c r="C42" s="27">
        <f t="shared" si="1"/>
        <v>141</v>
      </c>
      <c r="D42" s="28">
        <f t="shared" si="0"/>
        <v>97.916666666666671</v>
      </c>
      <c r="E42" s="29">
        <f>COUNTIFS([1]InfCualitativo!$B$1:$B$6957,"VERDADERO",[1]InfCualitativo!$E$1:$E$6957,"Ternera",[1]InfCualitativo!$H$1:$H$6957,"consulta_externa")</f>
        <v>34</v>
      </c>
      <c r="F42" s="29">
        <f>COUNTIFS([1]InfCualitativo!$B$1:$B$6957,"FALSO",[1]InfCualitativo!$E$1:$E$6957,"Ternera",[1]InfCualitativo!$H$1:$H$6957,"consulta_externa")</f>
        <v>14</v>
      </c>
      <c r="G42" s="30">
        <f t="shared" si="2"/>
        <v>0.70833333333333337</v>
      </c>
      <c r="H42" s="30">
        <f t="shared" si="3"/>
        <v>0.29166666666666669</v>
      </c>
      <c r="I42" s="27">
        <f>COUNTIFS([1]InfCualitativo!$B$1:$B$6957,"VERDADERO",[1]InfCualitativo!$E$1:$E$6957,"Ternera",[1]InfCualitativo!$H$1:$H$6957,"salud_oral")</f>
        <v>40</v>
      </c>
      <c r="J42" s="27">
        <f>COUNTIFS([1]InfCualitativo!$B$1:$B$6957,"FALSO",[1]InfCualitativo!$E$1:$E$6957,"Ternera",[1]InfCualitativo!$H$1:$H$6957,"salud_oral")</f>
        <v>7</v>
      </c>
      <c r="K42" s="30">
        <f t="shared" si="4"/>
        <v>0.85106382978723405</v>
      </c>
      <c r="L42" s="30">
        <f t="shared" si="5"/>
        <v>0.14893617021276595</v>
      </c>
      <c r="M42" s="27">
        <f>COUNTIFS([1]InfCualitativo!$B$1:$B$6957,"VERDADERO",[1]InfCualitativo!$E$1:$E$6957,"Ternera",[1]InfCualitativo!$H$1:$H$6957,"laboratorio")</f>
        <v>42</v>
      </c>
      <c r="N42" s="27">
        <f>COUNTIFS([1]InfCualitativo!$B$1:$B$6957,"FALSO",[1]InfCualitativo!$E$1:$E$6957,"Ternera",[1]InfCualitativo!$H$1:$H$6957,"laboratorio")</f>
        <v>4</v>
      </c>
      <c r="O42" s="30">
        <f t="shared" si="6"/>
        <v>0.91304347826086951</v>
      </c>
      <c r="P42" s="31">
        <f t="shared" si="7"/>
        <v>8.6956521739130432E-2</v>
      </c>
      <c r="Q42" s="27">
        <f>COUNTIFS([1]InfCualitativo!$B$1:$B$6957,"VERDADERO",[1]InfCualitativo!$E$1:$E$6957,"Ternera",[1]InfCualitativo!$H$1:$H$6957,"electros")</f>
        <v>0</v>
      </c>
      <c r="R42" s="27">
        <f>COUNTIFS([1]InfCualitativo!$B$1:$B$6957,"FALSO",[1]InfCualitativo!$E$1:$E$6957,"Ternera",[1]InfCualitativo!$H$1:$H$6957,"electros")</f>
        <v>0</v>
      </c>
      <c r="S42" s="30">
        <f t="shared" si="8"/>
        <v>0</v>
      </c>
      <c r="T42" s="30">
        <f t="shared" si="9"/>
        <v>0</v>
      </c>
      <c r="U42" s="27">
        <f>COUNTIFS([1]InfCualitativo!$B$1:$B$6957,"VERDADERO",[1]InfCualitativo!$E$1:$E$6957,"Ternera",[1]InfCualitativo!$H$1:$H$6957,"rx")</f>
        <v>0</v>
      </c>
      <c r="V42" s="27">
        <f>COUNTIFS([1]InfCualitativo!$B$1:$B$6957,"FALSO",[1]InfCualitativo!$E$1:$E$6957,"Ternera",[1]InfCualitativo!$H$1:$H$6957,"rx")</f>
        <v>0</v>
      </c>
      <c r="W42" s="30">
        <f t="shared" si="10"/>
        <v>0</v>
      </c>
      <c r="X42" s="30">
        <f t="shared" si="11"/>
        <v>0</v>
      </c>
      <c r="Y42" s="27">
        <f>COUNTIFS([1]InfCualitativo!$B$1:$B$6957,"VERDADERO",[1]InfCualitativo!$E$1:$E$6957,"Ternera",[1]InfCualitativo!$H$1:$H$6957,"ecografias")</f>
        <v>0</v>
      </c>
      <c r="Z42" s="27">
        <f>COUNTIFS([1]InfCualitativo!$B$1:$B$6957,"FALSO",[1]InfCualitativo!$E$1:$E$6957,"Ternera",[1]InfCualitativo!$H$1:$H$6957,"ecografias")</f>
        <v>0</v>
      </c>
      <c r="AA42" s="30">
        <f t="shared" si="12"/>
        <v>0</v>
      </c>
      <c r="AB42" s="30">
        <f t="shared" si="13"/>
        <v>0</v>
      </c>
      <c r="AC42" s="27">
        <f>COUNTIFS([1]InfCualitativo!$B$1:$B$6957,"VERDADERO",[1]InfCualitativo!$E$1:$E$6957,"Ternera",[1]InfCualitativo!$H$1:$H$6957,"urgencia")</f>
        <v>0</v>
      </c>
      <c r="AD42" s="27">
        <f>COUNTIFS([1]InfCualitativo!$B$1:$B$6957,"FALSO",[1]InfCualitativo!$E$1:$E$6957,"Ternera",[1]InfCualitativo!$H$1:$H$6957,"urgencia")</f>
        <v>0</v>
      </c>
      <c r="AE42" s="30">
        <f t="shared" si="14"/>
        <v>0</v>
      </c>
      <c r="AF42" s="30">
        <f t="shared" si="15"/>
        <v>0</v>
      </c>
      <c r="AG42" s="27">
        <f>COUNTIFS([1]InfCualitativo!$B$1:$B$6957,"VERDADERO",[1]InfCualitativo!$E$1:$E$6957,"Ternera",[1]InfCualitativo!$H$1:$H$6957,"pediatria")</f>
        <v>0</v>
      </c>
      <c r="AH42" s="27">
        <f>COUNTIFS([1]InfCualitativo!$B$1:$B$6957,"FALSO",[1]InfCualitativo!$E$1:$E$6957,"Ternera",[1]InfCualitativo!$H$1:$H$6957,"pediatria")</f>
        <v>0</v>
      </c>
      <c r="AI42" s="30">
        <f t="shared" si="16"/>
        <v>0</v>
      </c>
      <c r="AJ42" s="30">
        <f t="shared" si="17"/>
        <v>0</v>
      </c>
      <c r="AK42" s="27">
        <f>COUNTIFS([1]InfCualitativo!$B$1:$B$6957,"VERDADERO",[1]InfCualitativo!$E$1:$E$6957,"Ternera",[1]InfCualitativo!$H$1:$H$6957,"medicina_interna")</f>
        <v>0</v>
      </c>
      <c r="AL42" s="27">
        <f>COUNTIFS([1]InfCualitativo!$B$1:$B$6957,"FALSO",[1]InfCualitativo!$E$1:$E$6957,"Ternera",[1]InfCualitativo!$H$1:$H$6957,"medicina_interna")</f>
        <v>0</v>
      </c>
      <c r="AM42" s="30">
        <f t="shared" si="18"/>
        <v>0</v>
      </c>
      <c r="AN42" s="30">
        <f t="shared" si="19"/>
        <v>0</v>
      </c>
      <c r="AO42" s="27">
        <f>COUNTIFS([1]InfCualitativo!$B$1:$B$6957,"VERDADERO",[1]InfCualitativo!$E$1:$E$6957,"Ternera",[1]InfCualitativo!$H$1:$H$6957,"ginecologia")</f>
        <v>0</v>
      </c>
      <c r="AP42" s="27">
        <f>COUNTIFS([1]InfCualitativo!$B$1:$B$6957,"FALSO",[1]InfCualitativo!$E$1:$E$6957,"Ternera",[1]InfCualitativo!$H$1:$H$6957,"ginecologia")</f>
        <v>0</v>
      </c>
      <c r="AQ42" s="30">
        <f t="shared" si="20"/>
        <v>0</v>
      </c>
      <c r="AR42" s="30">
        <f t="shared" si="21"/>
        <v>0</v>
      </c>
      <c r="AS42" s="27">
        <f t="shared" si="22"/>
        <v>116</v>
      </c>
      <c r="AT42" s="27">
        <f t="shared" si="22"/>
        <v>25</v>
      </c>
      <c r="AU42" s="32">
        <f t="shared" si="23"/>
        <v>0.82269503546099287</v>
      </c>
      <c r="AV42" s="32">
        <f t="shared" si="24"/>
        <v>0.1773049645390071</v>
      </c>
    </row>
    <row r="43" spans="1:48" ht="18.75" x14ac:dyDescent="0.3">
      <c r="A43" s="26" t="s">
        <v>63</v>
      </c>
      <c r="B43" s="27">
        <v>120</v>
      </c>
      <c r="C43" s="27">
        <f t="shared" si="1"/>
        <v>120</v>
      </c>
      <c r="D43" s="28">
        <f t="shared" si="0"/>
        <v>100</v>
      </c>
      <c r="E43" s="29">
        <f>COUNTIFS([1]InfCualitativo!$B$1:$B$6957,"VERDADERO",[1]InfCualitativo!$E$1:$E$6957,"Tierra Baja",[1]InfCualitativo!$H$1:$H$6957,"consulta_externa")</f>
        <v>37</v>
      </c>
      <c r="F43" s="29">
        <f>COUNTIFS([1]InfCualitativo!$B$1:$B$6957,"FALSO",[1]InfCualitativo!$E$1:$E$6957,"Tierra Baja",[1]InfCualitativo!$H$1:$H$6957,"consulta_externa")</f>
        <v>0</v>
      </c>
      <c r="G43" s="30">
        <f t="shared" si="2"/>
        <v>1</v>
      </c>
      <c r="H43" s="30">
        <f t="shared" si="3"/>
        <v>0</v>
      </c>
      <c r="I43" s="27">
        <f>COUNTIFS([1]InfCualitativo!$B$1:$B$6957,"VERDADERO",[1]InfCualitativo!$E$1:$E$6957,"Tierra Baja",[1]InfCualitativo!$H$1:$H$6957,"salud_oral")</f>
        <v>44</v>
      </c>
      <c r="J43" s="27">
        <f>COUNTIFS([1]InfCualitativo!$B$1:$B$6957,"FALSO",[1]InfCualitativo!$E$1:$E$6957,"Tierra Baja",[1]InfCualitativo!$H$1:$H$6957,"salud_oral")</f>
        <v>0</v>
      </c>
      <c r="K43" s="30">
        <f t="shared" si="4"/>
        <v>1</v>
      </c>
      <c r="L43" s="30">
        <f t="shared" si="5"/>
        <v>0</v>
      </c>
      <c r="M43" s="27">
        <f>COUNTIFS([1]InfCualitativo!$B$1:$B$6957,"VERDADERO",[1]InfCualitativo!$E$1:$E$6957,"Tierra Baja",[1]InfCualitativo!$H$1:$H$6957,"laboratorio")</f>
        <v>39</v>
      </c>
      <c r="N43" s="27">
        <f>COUNTIFS([1]InfCualitativo!$B$1:$B$6957,"FALSO",[1]InfCualitativo!$E$1:$E$6957,"Tierra Baja",[1]InfCualitativo!$H$1:$H$6957,"laboratorio")</f>
        <v>0</v>
      </c>
      <c r="O43" s="30">
        <f t="shared" si="6"/>
        <v>1</v>
      </c>
      <c r="P43" s="31">
        <f t="shared" si="7"/>
        <v>0</v>
      </c>
      <c r="Q43" s="27">
        <f>COUNTIFS([1]InfCualitativo!$B$1:$B$6957,"VERDADERO",[1]InfCualitativo!$E$1:$E$6957,"Tierra Baja",[1]InfCualitativo!$H$1:$H$6957,"electros")</f>
        <v>0</v>
      </c>
      <c r="R43" s="27">
        <f>COUNTIFS([1]InfCualitativo!$B$1:$B$6957,"FALSO",[1]InfCualitativo!$E$1:$E$6957,"Tierra Baja",[1]InfCualitativo!$H$1:$H$6957,"electros")</f>
        <v>0</v>
      </c>
      <c r="S43" s="30">
        <f t="shared" si="8"/>
        <v>0</v>
      </c>
      <c r="T43" s="30">
        <f t="shared" si="9"/>
        <v>0</v>
      </c>
      <c r="U43" s="27">
        <f>COUNTIFS([1]InfCualitativo!$B$1:$B$6957,"VERDADERO",[1]InfCualitativo!$E$1:$E$6957,"Tierra Baja",[1]InfCualitativo!$H$1:$H$6957,"rx")</f>
        <v>0</v>
      </c>
      <c r="V43" s="27">
        <f>COUNTIFS([1]InfCualitativo!$B$1:$B$6957,"FALSO",[1]InfCualitativo!$E$1:$E$6957,"Tierra Baja",[1]InfCualitativo!$H$1:$H$6957,"rx")</f>
        <v>0</v>
      </c>
      <c r="W43" s="30">
        <f t="shared" si="10"/>
        <v>0</v>
      </c>
      <c r="X43" s="30">
        <f t="shared" si="11"/>
        <v>0</v>
      </c>
      <c r="Y43" s="27">
        <f>COUNTIFS([1]InfCualitativo!$B$1:$B$6957,"VERDADERO",[1]InfCualitativo!$E$1:$E$6957,"Tierra Baja",[1]InfCualitativo!$H$1:$H$6957,"ecografias")</f>
        <v>0</v>
      </c>
      <c r="Z43" s="27">
        <f>COUNTIFS([1]InfCualitativo!$B$1:$B$6957,"FALSO",[1]InfCualitativo!$E$1:$E$6957,"Tierra Baja",[1]InfCualitativo!$H$1:$H$6957,"ecografias")</f>
        <v>0</v>
      </c>
      <c r="AA43" s="30">
        <f t="shared" si="12"/>
        <v>0</v>
      </c>
      <c r="AB43" s="30">
        <f t="shared" si="13"/>
        <v>0</v>
      </c>
      <c r="AC43" s="27">
        <f>COUNTIFS([1]InfCualitativo!$B$1:$B$6957,"VERDADERO",[1]InfCualitativo!$E$1:$E$6957,"Tierra Baja",[1]InfCualitativo!$H$1:$H$6957,"urgencia")</f>
        <v>0</v>
      </c>
      <c r="AD43" s="27">
        <f>COUNTIFS([1]InfCualitativo!$B$1:$B$6957,"FALSO",[1]InfCualitativo!$E$1:$E$6957,"Tierra Baja",[1]InfCualitativo!$H$1:$H$6957,"urgencia")</f>
        <v>0</v>
      </c>
      <c r="AE43" s="30">
        <f t="shared" si="14"/>
        <v>0</v>
      </c>
      <c r="AF43" s="30">
        <f t="shared" si="15"/>
        <v>0</v>
      </c>
      <c r="AG43" s="27">
        <f>COUNTIFS([1]InfCualitativo!$B$1:$B$6957,"VERDADERO",[1]InfCualitativo!$E$1:$E$6957,"Tierra Baja",[1]InfCualitativo!$H$1:$H$6957,"pediatria")</f>
        <v>0</v>
      </c>
      <c r="AH43" s="27">
        <f>COUNTIFS([1]InfCualitativo!$B$1:$B$6957,"FALSO",[1]InfCualitativo!$E$1:$E$6957,"Tierra Baja",[1]InfCualitativo!$H$1:$H$6957,"pediatria")</f>
        <v>0</v>
      </c>
      <c r="AI43" s="30">
        <f t="shared" si="16"/>
        <v>0</v>
      </c>
      <c r="AJ43" s="30">
        <f t="shared" si="17"/>
        <v>0</v>
      </c>
      <c r="AK43" s="27">
        <f>COUNTIFS([1]InfCualitativo!$B$1:$B$6957,"VERDADERO",[1]InfCualitativo!$E$1:$E$6957,"Tierra Baja",[1]InfCualitativo!$H$1:$H$6957,"medicina_interna")</f>
        <v>0</v>
      </c>
      <c r="AL43" s="27">
        <f>COUNTIFS([1]InfCualitativo!$B$1:$B$6957,"FALSO",[1]InfCualitativo!$E$1:$E$6957,"Tierra Baja",[1]InfCualitativo!$H$1:$H$6957,"medicina_interna")</f>
        <v>0</v>
      </c>
      <c r="AM43" s="30">
        <f t="shared" si="18"/>
        <v>0</v>
      </c>
      <c r="AN43" s="30">
        <f t="shared" si="19"/>
        <v>0</v>
      </c>
      <c r="AO43" s="27">
        <f>COUNTIFS([1]InfCualitativo!$B$1:$B$6957,"VERDADERO",[1]InfCualitativo!$E$1:$E$6957,"Tierra Baja",[1]InfCualitativo!$H$1:$H$6957,"ginecologia")</f>
        <v>0</v>
      </c>
      <c r="AP43" s="27">
        <f>COUNTIFS([1]InfCualitativo!$B$1:$B$6957,"FALSO",[1]InfCualitativo!$E$1:$E$6957,"Tierra Baja",[1]InfCualitativo!$H$1:$H$6957,"ginecologia")</f>
        <v>0</v>
      </c>
      <c r="AQ43" s="30">
        <f t="shared" si="20"/>
        <v>0</v>
      </c>
      <c r="AR43" s="30">
        <f t="shared" si="21"/>
        <v>0</v>
      </c>
      <c r="AS43" s="27">
        <f t="shared" si="22"/>
        <v>120</v>
      </c>
      <c r="AT43" s="27">
        <f t="shared" si="22"/>
        <v>0</v>
      </c>
      <c r="AU43" s="32">
        <f t="shared" si="23"/>
        <v>1</v>
      </c>
      <c r="AV43" s="32">
        <f t="shared" si="24"/>
        <v>0</v>
      </c>
    </row>
    <row r="44" spans="1:48" ht="18.75" x14ac:dyDescent="0.3">
      <c r="A44" s="26" t="s">
        <v>64</v>
      </c>
      <c r="B44" s="27">
        <v>116</v>
      </c>
      <c r="C44" s="27">
        <f t="shared" si="1"/>
        <v>94</v>
      </c>
      <c r="D44" s="28">
        <f t="shared" si="0"/>
        <v>81.034482758620683</v>
      </c>
      <c r="E44" s="29">
        <f>COUNTIFS([1]InfCualitativo!$B$1:$B$6957,"VERDADERO",[1]InfCualitativo!$E$1:$E$6957,"Tierra Bomba",[1]InfCualitativo!$H$1:$H$6957,"consulta_externa")</f>
        <v>32</v>
      </c>
      <c r="F44" s="29">
        <f>COUNTIFS([1]InfCualitativo!$B$1:$B$6957,"FALSO",[1]InfCualitativo!$E$1:$E$6957,"Tierra Bomba",[1]InfCualitativo!$H$1:$H$6957,"consulta_externa")</f>
        <v>0</v>
      </c>
      <c r="G44" s="30">
        <f t="shared" si="2"/>
        <v>1</v>
      </c>
      <c r="H44" s="30">
        <f t="shared" si="3"/>
        <v>0</v>
      </c>
      <c r="I44" s="27">
        <f>COUNTIFS([1]InfCualitativo!$B$1:$B$6957,"VERDADERO",[1]InfCualitativo!$E$1:$E$6957,"Tierra Bomba",[1]InfCualitativo!$H$1:$H$6957,"salud_oral")</f>
        <v>31</v>
      </c>
      <c r="J44" s="27">
        <f>COUNTIFS([1]InfCualitativo!$B$1:$B$6957,"FALSO",[1]InfCualitativo!$E$1:$E$6957,"Tierra Bomba",[1]InfCualitativo!$H$1:$H$6957,"salud_oral")</f>
        <v>0</v>
      </c>
      <c r="K44" s="30">
        <f t="shared" si="4"/>
        <v>1</v>
      </c>
      <c r="L44" s="30">
        <f t="shared" si="5"/>
        <v>0</v>
      </c>
      <c r="M44" s="27">
        <f>COUNTIFS([1]InfCualitativo!$B$1:$B$6957,"VERDADERO",[1]InfCualitativo!$E$1:$E$6957,"Tierra Bomba",[1]InfCualitativo!$H$1:$H$6957,"laboratorio")</f>
        <v>31</v>
      </c>
      <c r="N44" s="27">
        <f>COUNTIFS([1]InfCualitativo!$B$1:$B$6957,"FALSO",[1]InfCualitativo!$E$1:$E$6957,"Tierra Bomba",[1]InfCualitativo!$H$1:$H$6957,"laboratorio")</f>
        <v>0</v>
      </c>
      <c r="O44" s="30">
        <f t="shared" si="6"/>
        <v>1</v>
      </c>
      <c r="P44" s="31">
        <f t="shared" si="7"/>
        <v>0</v>
      </c>
      <c r="Q44" s="27">
        <f>COUNTIFS([1]InfCualitativo!$B$1:$B$6957,"VERDADERO",[1]InfCualitativo!$E$1:$E$6957,"Tierra Bomba",[1]InfCualitativo!$H$1:$H$6957,"electros")</f>
        <v>0</v>
      </c>
      <c r="R44" s="27">
        <f>COUNTIFS([1]InfCualitativo!$B$1:$B$6957,"FALSO",[1]InfCualitativo!$E$1:$E$6957,"Tierra Bomba",[1]InfCualitativo!$H$1:$H$6957,"electros")</f>
        <v>0</v>
      </c>
      <c r="S44" s="30">
        <f t="shared" si="8"/>
        <v>0</v>
      </c>
      <c r="T44" s="30">
        <f t="shared" si="9"/>
        <v>0</v>
      </c>
      <c r="U44" s="27">
        <f>COUNTIFS([1]InfCualitativo!$B$1:$B$6957,"VERDADERO",[1]InfCualitativo!$E$1:$E$6957,"Tierra Bomba",[1]InfCualitativo!$H$1:$H$6957,"rx")</f>
        <v>0</v>
      </c>
      <c r="V44" s="27">
        <f>COUNTIFS([1]InfCualitativo!$B$1:$B$6957,"FALSO",[1]InfCualitativo!$E$1:$E$6957,"Tierra Bomba",[1]InfCualitativo!$H$1:$H$6957,"rx")</f>
        <v>0</v>
      </c>
      <c r="W44" s="30">
        <f t="shared" si="10"/>
        <v>0</v>
      </c>
      <c r="X44" s="30">
        <f t="shared" si="11"/>
        <v>0</v>
      </c>
      <c r="Y44" s="27">
        <f>COUNTIFS([1]InfCualitativo!$B$1:$B$6957,"VERDADERO",[1]InfCualitativo!$E$1:$E$6957,"Tierra Bomba",[1]InfCualitativo!$H$1:$H$6957,"ecografias")</f>
        <v>0</v>
      </c>
      <c r="Z44" s="27">
        <f>COUNTIFS([1]InfCualitativo!$B$1:$B$6957,"FALSO",[1]InfCualitativo!$E$1:$E$6957,"Tierra Bomba",[1]InfCualitativo!$H$1:$H$6957,"ecografias")</f>
        <v>0</v>
      </c>
      <c r="AA44" s="30">
        <f t="shared" si="12"/>
        <v>0</v>
      </c>
      <c r="AB44" s="30">
        <f t="shared" si="13"/>
        <v>0</v>
      </c>
      <c r="AC44" s="27">
        <f>COUNTIFS([1]InfCualitativo!$B$1:$B$6957,"VERDADERO",[1]InfCualitativo!$E$1:$E$6957,"Tierra Bomba",[1]InfCualitativo!$H$1:$H$6957,"urgencia")</f>
        <v>0</v>
      </c>
      <c r="AD44" s="27">
        <f>COUNTIFS([1]InfCualitativo!$B$1:$B$6957,"FALSO",[1]InfCualitativo!$E$1:$E$6957,"Tierra Bomba",[1]InfCualitativo!$H$1:$H$6957,"urgencia")</f>
        <v>0</v>
      </c>
      <c r="AE44" s="30">
        <f t="shared" si="14"/>
        <v>0</v>
      </c>
      <c r="AF44" s="30">
        <f t="shared" si="15"/>
        <v>0</v>
      </c>
      <c r="AG44" s="27">
        <f>COUNTIFS([1]InfCualitativo!$B$1:$B$6957,"VERDADERO",[1]InfCualitativo!$E$1:$E$6957,"Tierra Bomba",[1]InfCualitativo!$H$1:$H$6957,"pediatria")</f>
        <v>0</v>
      </c>
      <c r="AH44" s="27">
        <f>COUNTIFS([1]InfCualitativo!$B$1:$B$6957,"FALSO",[1]InfCualitativo!$E$1:$E$6957,"Tierra Bomba",[1]InfCualitativo!$H$1:$H$6957,"pediatria")</f>
        <v>0</v>
      </c>
      <c r="AI44" s="30">
        <f t="shared" si="16"/>
        <v>0</v>
      </c>
      <c r="AJ44" s="30">
        <f t="shared" si="17"/>
        <v>0</v>
      </c>
      <c r="AK44" s="27">
        <f>COUNTIFS([1]InfCualitativo!$B$1:$B$6957,"VERDADERO",[1]InfCualitativo!$E$1:$E$6957,"Tierra Bomba",[1]InfCualitativo!$H$1:$H$6957,"medicina_interna")</f>
        <v>0</v>
      </c>
      <c r="AL44" s="27">
        <f>COUNTIFS([1]InfCualitativo!$B$1:$B$6957,"FALSO",[1]InfCualitativo!$E$1:$E$6957,"Tierra Bomba",[1]InfCualitativo!$H$1:$H$6957,"medicina_interna")</f>
        <v>0</v>
      </c>
      <c r="AM44" s="30">
        <f t="shared" si="18"/>
        <v>0</v>
      </c>
      <c r="AN44" s="30">
        <f t="shared" si="19"/>
        <v>0</v>
      </c>
      <c r="AO44" s="27">
        <f>COUNTIFS([1]InfCualitativo!$B$1:$B$6957,"VERDADERO",[1]InfCualitativo!$E$1:$E$6957,"Tierra Bomba",[1]InfCualitativo!$H$1:$H$6957,"ginecologia")</f>
        <v>0</v>
      </c>
      <c r="AP44" s="27">
        <f>COUNTIFS([1]InfCualitativo!$B$1:$B$6957,"FALSO",[1]InfCualitativo!$E$1:$E$6957,"Tierra Bomba",[1]InfCualitativo!$H$1:$H$6957,"ginecologia")</f>
        <v>0</v>
      </c>
      <c r="AQ44" s="30">
        <f t="shared" si="20"/>
        <v>0</v>
      </c>
      <c r="AR44" s="30">
        <f t="shared" si="21"/>
        <v>0</v>
      </c>
      <c r="AS44" s="27">
        <f t="shared" si="22"/>
        <v>94</v>
      </c>
      <c r="AT44" s="27">
        <f t="shared" si="22"/>
        <v>0</v>
      </c>
      <c r="AU44" s="32">
        <f t="shared" si="23"/>
        <v>1</v>
      </c>
      <c r="AV44" s="32">
        <f t="shared" si="24"/>
        <v>0</v>
      </c>
    </row>
    <row r="45" spans="1:48" ht="18.75" x14ac:dyDescent="0.3">
      <c r="A45" s="26" t="s">
        <v>65</v>
      </c>
      <c r="B45" s="27">
        <v>156</v>
      </c>
      <c r="C45" s="27">
        <f t="shared" si="1"/>
        <v>144</v>
      </c>
      <c r="D45" s="28">
        <f t="shared" si="0"/>
        <v>92.307692307692307</v>
      </c>
      <c r="E45" s="29">
        <f>COUNTIFS([1]InfCualitativo!$B$1:$B$6957,"VERDADERO",[1]InfCualitativo!$E$1:$E$6957,"Baru",[1]InfCualitativo!$H$1:$H$6957,"consulta_externa")</f>
        <v>32</v>
      </c>
      <c r="F45" s="29">
        <f>COUNTIFS([1]InfCualitativo!$B$1:$B$6957,"FALSO",[1]InfCualitativo!$E$1:$E$6957,"Baru",[1]InfCualitativo!$H$1:$H$6957,"consulta_externa")</f>
        <v>6</v>
      </c>
      <c r="G45" s="30">
        <f t="shared" si="2"/>
        <v>0.84210526315789469</v>
      </c>
      <c r="H45" s="30">
        <f t="shared" si="3"/>
        <v>0.15789473684210525</v>
      </c>
      <c r="I45" s="27">
        <f>COUNTIFS([1]InfCualitativo!$B$1:$B$6957,"VERDADERO",[1]InfCualitativo!$E$1:$E$6957,"Baru",[1]InfCualitativo!$H$1:$H$6957,"salud_oral")</f>
        <v>28</v>
      </c>
      <c r="J45" s="27">
        <f>COUNTIFS([1]InfCualitativo!$B$1:$B$6957,"FALSO",[1]InfCualitativo!$E$1:$E$6957,"Baru",[1]InfCualitativo!$H$1:$H$6957,"salud_oral")</f>
        <v>5</v>
      </c>
      <c r="K45" s="30">
        <f t="shared" si="4"/>
        <v>0.84848484848484851</v>
      </c>
      <c r="L45" s="30">
        <f t="shared" si="5"/>
        <v>0.15151515151515152</v>
      </c>
      <c r="M45" s="27">
        <f>COUNTIFS([1]InfCualitativo!$B$1:$B$6957,"VERDADERO",[1]InfCualitativo!$E$1:$E$6957,"Baru",[1]InfCualitativo!$H$1:$H$6957,"laboratorio")</f>
        <v>33</v>
      </c>
      <c r="N45" s="27">
        <f>COUNTIFS([1]InfCualitativo!$B$1:$B$6957,"FALSO",[1]InfCualitativo!$E$1:$E$6957,"Baru",[1]InfCualitativo!$H$1:$H$6957,"laboratorio")</f>
        <v>6</v>
      </c>
      <c r="O45" s="30">
        <f t="shared" si="6"/>
        <v>0.84615384615384615</v>
      </c>
      <c r="P45" s="31">
        <f t="shared" si="7"/>
        <v>0.15384615384615385</v>
      </c>
      <c r="Q45" s="27">
        <f>COUNTIFS([1]InfCualitativo!$B$1:$B$6957,"VERDADERO",[1]InfCualitativo!$E$1:$E$6957,"Baru",[1]InfCualitativo!$H$1:$H$6957,"electros")</f>
        <v>0</v>
      </c>
      <c r="R45" s="27">
        <f>COUNTIFS([1]InfCualitativo!$B$1:$B$6957,"FALSO",[1]InfCualitativo!$E$1:$E$6957,"Baru",[1]InfCualitativo!$H$1:$H$6957,"electros")</f>
        <v>0</v>
      </c>
      <c r="S45" s="30">
        <f t="shared" si="8"/>
        <v>0</v>
      </c>
      <c r="T45" s="30">
        <f t="shared" si="9"/>
        <v>0</v>
      </c>
      <c r="U45" s="27">
        <f>COUNTIFS([1]InfCualitativo!$B$1:$B$6957,"VERDADERO",[1]InfCualitativo!$E$1:$E$6957,"Baru",[1]InfCualitativo!$H$1:$H$6957,"rx")</f>
        <v>0</v>
      </c>
      <c r="V45" s="27">
        <f>COUNTIFS([1]InfCualitativo!$B$1:$B$6957,"FALSO",[1]InfCualitativo!$E$1:$E$6957,"Baru",[1]InfCualitativo!$H$1:$H$6957,"rx")</f>
        <v>0</v>
      </c>
      <c r="W45" s="30">
        <f t="shared" si="10"/>
        <v>0</v>
      </c>
      <c r="X45" s="30">
        <f t="shared" si="11"/>
        <v>0</v>
      </c>
      <c r="Y45" s="27">
        <f>COUNTIFS([1]InfCualitativo!$B$1:$B$6957,"VERDADERO",[1]InfCualitativo!$E$1:$E$6957,"Baru",[1]InfCualitativo!$H$1:$H$6957,"ecografias")</f>
        <v>0</v>
      </c>
      <c r="Z45" s="27">
        <f>COUNTIFS([1]InfCualitativo!$B$1:$B$6957,"FALSO",[1]InfCualitativo!$E$1:$E$6957,"Baru",[1]InfCualitativo!$H$1:$H$6957,"ecografias")</f>
        <v>0</v>
      </c>
      <c r="AA45" s="30">
        <f>IFERROR(Y45/(Y45+Z45),0)</f>
        <v>0</v>
      </c>
      <c r="AB45" s="30">
        <f>IFERROR(Z45/(Y45+Z45),0)</f>
        <v>0</v>
      </c>
      <c r="AC45" s="27">
        <f>COUNTIFS([1]InfCualitativo!$B$1:$B$6957,"VERDADERO",[1]InfCualitativo!$E$1:$E$6957,"Baru",[1]InfCualitativo!$H$1:$H$6957,"urgencia")</f>
        <v>26</v>
      </c>
      <c r="AD45" s="27">
        <f>COUNTIFS([1]InfCualitativo!$B$1:$B$6957,"FALSO",[1]InfCualitativo!$E$1:$E$6957,"Baru",[1]InfCualitativo!$H$1:$H$6957,"urgencia")</f>
        <v>8</v>
      </c>
      <c r="AE45" s="30">
        <f t="shared" si="14"/>
        <v>0.76470588235294112</v>
      </c>
      <c r="AF45" s="30">
        <f t="shared" si="15"/>
        <v>0.23529411764705882</v>
      </c>
      <c r="AG45" s="27">
        <f>COUNTIFS([1]InfCualitativo!$B$1:$B$6957,"VERDADERO",[1]InfCualitativo!$E$1:$E$6957,"Baru",[1]InfCualitativo!$H$1:$H$6957,"pediatria")</f>
        <v>0</v>
      </c>
      <c r="AH45" s="27">
        <f>COUNTIFS([1]InfCualitativo!$B$1:$B$6957,"FALSO",[1]InfCualitativo!$E$1:$E$6957,"Baru",[1]InfCualitativo!$H$1:$H$6957,"pediatria")</f>
        <v>0</v>
      </c>
      <c r="AI45" s="30">
        <f t="shared" si="16"/>
        <v>0</v>
      </c>
      <c r="AJ45" s="30">
        <f t="shared" si="17"/>
        <v>0</v>
      </c>
      <c r="AK45" s="27">
        <f>COUNTIFS([1]InfCualitativo!$B$1:$B$6957,"VERDADERO",[1]InfCualitativo!$E$1:$E$6957,"Baru",[1]InfCualitativo!$H$1:$H$6957,"medicina_interna")</f>
        <v>0</v>
      </c>
      <c r="AL45" s="27">
        <f>COUNTIFS([1]InfCualitativo!$B$1:$B$6957,"FALSO",[1]InfCualitativo!$E$1:$E$6957,"Baru",[1]InfCualitativo!$H$1:$H$6957,"medicina_interna")</f>
        <v>0</v>
      </c>
      <c r="AM45" s="30">
        <f t="shared" si="18"/>
        <v>0</v>
      </c>
      <c r="AN45" s="30">
        <f t="shared" si="19"/>
        <v>0</v>
      </c>
      <c r="AO45" s="27">
        <f>COUNTIFS([1]InfCualitativo!$B$1:$B$6957,"VERDADERO",[1]InfCualitativo!$E$1:$E$6957,"Baru",[1]InfCualitativo!$H$1:$H$6957,"ginecologia")</f>
        <v>0</v>
      </c>
      <c r="AP45" s="27">
        <f>COUNTIFS([1]InfCualitativo!$B$1:$B$6957,"FALSO",[1]InfCualitativo!$E$1:$E$6957,"Baru",[1]InfCualitativo!$H$1:$H$6957,"ginecologia")</f>
        <v>0</v>
      </c>
      <c r="AQ45" s="30">
        <f t="shared" si="20"/>
        <v>0</v>
      </c>
      <c r="AR45" s="30">
        <f t="shared" si="21"/>
        <v>0</v>
      </c>
      <c r="AS45" s="27">
        <f t="shared" si="22"/>
        <v>119</v>
      </c>
      <c r="AT45" s="27">
        <f t="shared" si="22"/>
        <v>25</v>
      </c>
      <c r="AU45" s="32">
        <f t="shared" si="23"/>
        <v>0.82638888888888884</v>
      </c>
      <c r="AV45" s="32">
        <f t="shared" si="24"/>
        <v>0.1736111111111111</v>
      </c>
    </row>
    <row r="46" spans="1:48" ht="18.75" x14ac:dyDescent="0.3">
      <c r="A46" s="26" t="s">
        <v>66</v>
      </c>
      <c r="B46" s="27">
        <v>58</v>
      </c>
      <c r="C46" s="27">
        <f t="shared" si="1"/>
        <v>58</v>
      </c>
      <c r="D46" s="28">
        <f t="shared" si="0"/>
        <v>100</v>
      </c>
      <c r="E46" s="29">
        <f>COUNTIFS([1]InfCualitativo!$B$1:$B$6957,"VERDADERO",[1]InfCualitativo!$E$1:$E$6957,"Isla Fuerte",[1]InfCualitativo!$H$1:$H$6957,"consulta_externa")</f>
        <v>22</v>
      </c>
      <c r="F46" s="29">
        <f>COUNTIFS([1]InfCualitativo!$B$1:$B$6957,"FALSO",[1]InfCualitativo!$E$1:$E$6957,"Isla Fuerte",[1]InfCualitativo!$H$1:$H$6957,"consulta_externa")</f>
        <v>2</v>
      </c>
      <c r="G46" s="30">
        <f t="shared" si="2"/>
        <v>0.91666666666666663</v>
      </c>
      <c r="H46" s="30">
        <f t="shared" si="3"/>
        <v>8.3333333333333329E-2</v>
      </c>
      <c r="I46" s="27">
        <f>COUNTIFS([1]InfCualitativo!$B$1:$B$6957,"VERDADERO",[1]InfCualitativo!$E$1:$E$6957,"Isla Fuerte",[1]InfCualitativo!$H$1:$H$6957,"salud_oral")</f>
        <v>10</v>
      </c>
      <c r="J46" s="27">
        <f>COUNTIFS([1]InfCualitativo!$B$1:$B$6957,"FALSO",[1]InfCualitativo!$E$1:$E$6957,"Isla Fuerte",[1]InfCualitativo!$H$1:$H$6957,"salud_oral")</f>
        <v>0</v>
      </c>
      <c r="K46" s="30">
        <f t="shared" si="4"/>
        <v>1</v>
      </c>
      <c r="L46" s="30">
        <f t="shared" si="5"/>
        <v>0</v>
      </c>
      <c r="M46" s="27">
        <f>COUNTIFS([1]InfCualitativo!$B$1:$B$6957,"VERDADERO",[1]InfCualitativo!$E$1:$E$6957,"Isla Fuerte",[1]InfCualitativo!$H$1:$H$6957,"laboratorio")</f>
        <v>20</v>
      </c>
      <c r="N46" s="27">
        <f>COUNTIFS([1]InfCualitativo!$B$1:$B$6957,"FALSO",[1]InfCualitativo!$E$1:$E$6957,"Isla Fuerte",[1]InfCualitativo!$H$1:$H$6957,"laboratorio")</f>
        <v>4</v>
      </c>
      <c r="O46" s="30">
        <f t="shared" si="6"/>
        <v>0.83333333333333337</v>
      </c>
      <c r="P46" s="31">
        <f t="shared" si="7"/>
        <v>0.16666666666666666</v>
      </c>
      <c r="Q46" s="27">
        <f>COUNTIFS([1]InfCualitativo!$B$1:$B$6957,"VERDADERO",[1]InfCualitativo!$E$1:$E$6957,"Isla Fuerte",[1]InfCualitativo!$H$1:$H$6957,"electros")</f>
        <v>0</v>
      </c>
      <c r="R46" s="27">
        <f>COUNTIFS([1]InfCualitativo!$B$1:$B$6957,"FALSO",[1]InfCualitativo!$E$1:$E$6957,"Isla Fuerte",[1]InfCualitativo!$H$1:$H$6957,"electros")</f>
        <v>0</v>
      </c>
      <c r="S46" s="30">
        <f t="shared" si="8"/>
        <v>0</v>
      </c>
      <c r="T46" s="30">
        <f t="shared" si="9"/>
        <v>0</v>
      </c>
      <c r="U46" s="27">
        <f>COUNTIFS([1]InfCualitativo!$B$1:$B$6957,"VERDADERO",[1]InfCualitativo!$E$1:$E$6957,"Isla Fuerte",[1]InfCualitativo!$H$1:$H$6957,"rx")</f>
        <v>0</v>
      </c>
      <c r="V46" s="27">
        <f>COUNTIFS([1]InfCualitativo!$B$1:$B$6957,"FALSO",[1]InfCualitativo!$E$1:$E$6957,"Isla Fuerte",[1]InfCualitativo!$H$1:$H$6957,"rx")</f>
        <v>0</v>
      </c>
      <c r="W46" s="30">
        <f t="shared" si="10"/>
        <v>0</v>
      </c>
      <c r="X46" s="30">
        <f t="shared" si="11"/>
        <v>0</v>
      </c>
      <c r="Y46" s="27">
        <f>COUNTIFS([1]InfCualitativo!$B$1:$B$6957,"VERDADERO",[1]InfCualitativo!$E$1:$E$6957,"Isla Fuerte",[1]InfCualitativo!$H$1:$H$6957,"ecografias")</f>
        <v>0</v>
      </c>
      <c r="Z46" s="27">
        <f>COUNTIFS([1]InfCualitativo!$B$1:$B$6957,"FALSO",[1]InfCualitativo!$E$1:$E$6957,"Isla Fuerte",[1]InfCualitativo!$H$1:$H$6957,"ecografias")</f>
        <v>0</v>
      </c>
      <c r="AA46" s="30">
        <f>IFERROR(Y46/(Y46+Z46),0)</f>
        <v>0</v>
      </c>
      <c r="AB46" s="30">
        <f>IFERROR(Z46/(Y46+Z46),0)</f>
        <v>0</v>
      </c>
      <c r="AC46" s="27">
        <f>COUNTIFS([1]InfCualitativo!$B$1:$B$6957,"VERDADERO",[1]InfCualitativo!$E$1:$E$6957,"Isla Fuerte",[1]InfCualitativo!$H$1:$H$6957,"urgencia")</f>
        <v>0</v>
      </c>
      <c r="AD46" s="27">
        <f>COUNTIFS([1]InfCualitativo!$B$1:$B$6957,"FALSO",[1]InfCualitativo!$E$1:$E$6957,"Isla Fuerte",[1]InfCualitativo!$H$1:$H$6957,"urgencia")</f>
        <v>0</v>
      </c>
      <c r="AE46" s="30">
        <f t="shared" si="14"/>
        <v>0</v>
      </c>
      <c r="AF46" s="30">
        <f t="shared" si="15"/>
        <v>0</v>
      </c>
      <c r="AG46" s="27">
        <f>COUNTIFS([1]InfCualitativo!$B$1:$B$6957,"VERDADERO",[1]InfCualitativo!$E$1:$E$6957,"Isla Fuerte",[1]InfCualitativo!$H$1:$H$6957,"pediatria")</f>
        <v>0</v>
      </c>
      <c r="AH46" s="27">
        <f>COUNTIFS([1]InfCualitativo!$B$1:$B$6957,"FALSO",[1]InfCualitativo!$E$1:$E$6957,"Isla Fuerte",[1]InfCualitativo!$H$1:$H$6957,"pediatria")</f>
        <v>0</v>
      </c>
      <c r="AI46" s="30">
        <f t="shared" si="16"/>
        <v>0</v>
      </c>
      <c r="AJ46" s="30">
        <f t="shared" si="17"/>
        <v>0</v>
      </c>
      <c r="AK46" s="27">
        <f>COUNTIFS([1]InfCualitativo!$B$1:$B$6957,"VERDADERO",[1]InfCualitativo!$E$1:$E$6957,"Isla Fuerte",[1]InfCualitativo!$H$1:$H$6957,"medicina_interna")</f>
        <v>0</v>
      </c>
      <c r="AL46" s="27">
        <f>COUNTIFS([1]InfCualitativo!$B$1:$B$6957,"FALSO",[1]InfCualitativo!$E$1:$E$6957,"Isla Fuerte",[1]InfCualitativo!$H$1:$H$6957,"medicina_interna")</f>
        <v>0</v>
      </c>
      <c r="AM46" s="30">
        <f t="shared" si="18"/>
        <v>0</v>
      </c>
      <c r="AN46" s="30">
        <f t="shared" si="19"/>
        <v>0</v>
      </c>
      <c r="AO46" s="27">
        <f>COUNTIFS([1]InfCualitativo!$B$1:$B$6957,"VERDADERO",[1]InfCualitativo!$E$1:$E$6957,"Isla Fuerte",[1]InfCualitativo!$H$1:$H$6957,"ginecologia")</f>
        <v>0</v>
      </c>
      <c r="AP46" s="27">
        <f>COUNTIFS([1]InfCualitativo!$B$1:$B$6957,"FALSO",[1]InfCualitativo!$E$1:$E$6957,"Isla Fuerte",[1]InfCualitativo!$H$1:$H$6957,"ginecologia")</f>
        <v>0</v>
      </c>
      <c r="AQ46" s="30">
        <f t="shared" si="20"/>
        <v>0</v>
      </c>
      <c r="AR46" s="30">
        <f t="shared" si="21"/>
        <v>0</v>
      </c>
      <c r="AS46" s="27">
        <f t="shared" si="22"/>
        <v>52</v>
      </c>
      <c r="AT46" s="27">
        <f t="shared" si="22"/>
        <v>6</v>
      </c>
      <c r="AU46" s="32">
        <f t="shared" si="23"/>
        <v>0.89655172413793105</v>
      </c>
      <c r="AV46" s="32">
        <f t="shared" si="24"/>
        <v>0.10344827586206896</v>
      </c>
    </row>
    <row r="47" spans="1:48" ht="18.75" x14ac:dyDescent="0.3">
      <c r="A47" s="26" t="s">
        <v>67</v>
      </c>
      <c r="B47" s="27">
        <v>260</v>
      </c>
      <c r="C47" s="27">
        <f t="shared" si="1"/>
        <v>260</v>
      </c>
      <c r="D47" s="28">
        <f t="shared" si="0"/>
        <v>100</v>
      </c>
      <c r="E47" s="29">
        <f>COUNTIFS([1]InfCualitativo!$B$1:$B$6957,"VERDADERO",[1]InfCualitativo!$E$1:$E$6957,"Los Cerros",[1]InfCualitativo!$H$1:$H$6957,"consulta_externa")</f>
        <v>49</v>
      </c>
      <c r="F47" s="29">
        <f>COUNTIFS([1]InfCualitativo!$B$1:$B$6957,"FALSO",[1]InfCualitativo!$E$1:$E$6957,"Los Cerros",[1]InfCualitativo!$H$1:$H$6957,"consulta_externa")</f>
        <v>1</v>
      </c>
      <c r="G47" s="30">
        <f t="shared" si="2"/>
        <v>0.98</v>
      </c>
      <c r="H47" s="30">
        <f t="shared" si="3"/>
        <v>0.02</v>
      </c>
      <c r="I47" s="27">
        <f>COUNTIFS([1]InfCualitativo!$B$1:$B$6957,"VERDADERO",[1]InfCualitativo!$E$1:$E$6957,"Los Cerros",[1]InfCualitativo!$H$1:$H$6957,"salud_oral")</f>
        <v>48</v>
      </c>
      <c r="J47" s="27">
        <f>COUNTIFS([1]InfCualitativo!$B$1:$B$6957,"FALSO",[1]InfCualitativo!$E$1:$E$6957,"Los Cerros",[1]InfCualitativo!$H$1:$H$6957,"salud_oral")</f>
        <v>0</v>
      </c>
      <c r="K47" s="30">
        <f t="shared" si="4"/>
        <v>1</v>
      </c>
      <c r="L47" s="30">
        <f t="shared" si="5"/>
        <v>0</v>
      </c>
      <c r="M47" s="27">
        <f>COUNTIFS([1]InfCualitativo!$B$1:$B$6957,"VERDADERO",[1]InfCualitativo!$E$1:$E$6957,"Los Cerros",[1]InfCualitativo!$H$1:$H$6957,"laboratorio")</f>
        <v>47</v>
      </c>
      <c r="N47" s="27">
        <f>COUNTIFS([1]InfCualitativo!$B$1:$B$6957,"FALSO",[1]InfCualitativo!$E$1:$E$6957,"Los Cerros",[1]InfCualitativo!$H$1:$H$6957,"laboratorio")</f>
        <v>0</v>
      </c>
      <c r="O47" s="30">
        <f t="shared" si="6"/>
        <v>1</v>
      </c>
      <c r="P47" s="31">
        <f t="shared" si="7"/>
        <v>0</v>
      </c>
      <c r="Q47" s="27">
        <f>COUNTIFS([1]InfCualitativo!$B$1:$B$6957,"VERDADERO",[1]InfCualitativo!$E$1:$E$6957,"Los Cerros",[1]InfCualitativo!$H$1:$H$6957,"electros")</f>
        <v>0</v>
      </c>
      <c r="R47" s="27">
        <f>COUNTIFS([1]InfCualitativo!$B$1:$B$6957,"FALSO",[1]InfCualitativo!$E$1:$E$6957,"Los Cerros",[1]InfCualitativo!$H$1:$H$6957,"electros")</f>
        <v>0</v>
      </c>
      <c r="S47" s="30">
        <f t="shared" si="8"/>
        <v>0</v>
      </c>
      <c r="T47" s="30">
        <f t="shared" si="9"/>
        <v>0</v>
      </c>
      <c r="U47" s="27">
        <f>COUNTIFS([1]InfCualitativo!$B$1:$B$6957,"VERDADERO",[1]InfCualitativo!$E$1:$E$6957,"Los Cerros",[1]InfCualitativo!$H$1:$H$6957,"rx")</f>
        <v>0</v>
      </c>
      <c r="V47" s="27">
        <f>COUNTIFS([1]InfCualitativo!$B$1:$B$6957,"FALSO",[1]InfCualitativo!$E$1:$E$6957,"Los Cerros",[1]InfCualitativo!$H$1:$H$6957,"rx")</f>
        <v>0</v>
      </c>
      <c r="W47" s="30">
        <f t="shared" si="10"/>
        <v>0</v>
      </c>
      <c r="X47" s="30">
        <f t="shared" si="11"/>
        <v>0</v>
      </c>
      <c r="Y47" s="27">
        <f>COUNTIFS([1]InfCualitativo!$B$1:$B$6957,"VERDADERO",[1]InfCualitativo!$E$1:$E$6957,"Los Cerros",[1]InfCualitativo!$H$1:$H$6957,"ecografias")</f>
        <v>30</v>
      </c>
      <c r="Z47" s="27">
        <f>COUNTIFS([1]InfCualitativo!$B$1:$B$6957,"FALSO",[1]InfCualitativo!$E$1:$E$6957,"Los Cerros",[1]InfCualitativo!$H$1:$H$6957,"ecografias")</f>
        <v>0</v>
      </c>
      <c r="AA47" s="30">
        <f>IFERROR(Y47/(Y47+Z47),0)</f>
        <v>1</v>
      </c>
      <c r="AB47" s="30">
        <f>IFERROR(Z47/(Y47+Z47),0)</f>
        <v>0</v>
      </c>
      <c r="AC47" s="27">
        <f>COUNTIFS([1]InfCualitativo!$B$1:$B$6957,"VERDADERO",[1]InfCualitativo!$E$1:$E$6957,"Los Cerros",[1]InfCualitativo!$H$1:$H$6957,"urgencia")</f>
        <v>0</v>
      </c>
      <c r="AD47" s="27">
        <f>COUNTIFS([1]InfCualitativo!$B$1:$B$6957,"FALSO",[1]InfCualitativo!$E$1:$E$6957,"Los Cerros",[1]InfCualitativo!$H$1:$H$6957,"urgencia")</f>
        <v>0</v>
      </c>
      <c r="AE47" s="30">
        <f t="shared" si="14"/>
        <v>0</v>
      </c>
      <c r="AF47" s="30">
        <f t="shared" si="15"/>
        <v>0</v>
      </c>
      <c r="AG47" s="27">
        <f>COUNTIFS([1]InfCualitativo!$B$1:$B$6957,"VERDADERO",[1]InfCualitativo!$E$1:$E$6957,"Los Cerros",[1]InfCualitativo!$H$1:$H$6957,"pediatria")</f>
        <v>29</v>
      </c>
      <c r="AH47" s="27">
        <f>COUNTIFS([1]InfCualitativo!$B$1:$B$6957,"FALSO",[1]InfCualitativo!$E$1:$E$6957,"Los Cerros",[1]InfCualitativo!$H$1:$H$6957,"pediatria")</f>
        <v>0</v>
      </c>
      <c r="AI47" s="30">
        <f t="shared" si="16"/>
        <v>1</v>
      </c>
      <c r="AJ47" s="30">
        <f t="shared" si="17"/>
        <v>0</v>
      </c>
      <c r="AK47" s="27">
        <f>COUNTIFS([1]InfCualitativo!$B$1:$B$6957,"VERDADERO",[1]InfCualitativo!$E$1:$E$6957,"Los Cerros",[1]InfCualitativo!$H$1:$H$6957,"medicina_interna")</f>
        <v>33</v>
      </c>
      <c r="AL47" s="27">
        <f>COUNTIFS([1]InfCualitativo!$B$1:$B$6957,"FALSO",[1]InfCualitativo!$E$1:$E$6957,"Los Cerros",[1]InfCualitativo!$H$1:$H$6957,"medicina_interna")</f>
        <v>0</v>
      </c>
      <c r="AM47" s="30">
        <f t="shared" si="18"/>
        <v>1</v>
      </c>
      <c r="AN47" s="30">
        <f t="shared" si="19"/>
        <v>0</v>
      </c>
      <c r="AO47" s="27">
        <f>COUNTIFS([1]InfCualitativo!$B$1:$B$6957,"VERDADERO",[1]InfCualitativo!$E$1:$E$6957,"Los Cerros",[1]InfCualitativo!$H$1:$H$6957,"ginecologia")</f>
        <v>23</v>
      </c>
      <c r="AP47" s="27">
        <f>COUNTIFS([1]InfCualitativo!$B$1:$B$6957,"FALSO",[1]InfCualitativo!$E$1:$E$6957,"Los Cerros",[1]InfCualitativo!$H$1:$H$6957,"ginecologia")</f>
        <v>0</v>
      </c>
      <c r="AQ47" s="30">
        <f t="shared" si="20"/>
        <v>1</v>
      </c>
      <c r="AR47" s="30">
        <f t="shared" si="21"/>
        <v>0</v>
      </c>
      <c r="AS47" s="27">
        <f t="shared" si="22"/>
        <v>259</v>
      </c>
      <c r="AT47" s="27">
        <f t="shared" si="22"/>
        <v>1</v>
      </c>
      <c r="AU47" s="32">
        <f t="shared" si="23"/>
        <v>0.99615384615384617</v>
      </c>
      <c r="AV47" s="32">
        <f t="shared" si="24"/>
        <v>3.8461538461538464E-3</v>
      </c>
    </row>
    <row r="48" spans="1:48" ht="18.75" x14ac:dyDescent="0.3">
      <c r="A48" s="26" t="s">
        <v>68</v>
      </c>
      <c r="B48" s="27">
        <v>71</v>
      </c>
      <c r="C48" s="27">
        <f t="shared" si="1"/>
        <v>71</v>
      </c>
      <c r="D48" s="28">
        <f t="shared" si="0"/>
        <v>100</v>
      </c>
      <c r="E48" s="29">
        <f>COUNTIFS([1]InfCualitativo!$B$1:$B$6957,"VERDADERO",[1]InfCualitativo!$E$1:$E$6957,"Islote de San Bernardo",[1]InfCualitativo!$H$1:$H$6957,"consulta_externa")</f>
        <v>24</v>
      </c>
      <c r="F48" s="29">
        <f>COUNTIFS([1]InfCualitativo!$B$1:$B$6957,"FALSO",[1]InfCualitativo!$E$1:$E$6957,"Islote de San Bernardo",[1]InfCualitativo!$H$1:$H$6957,"consulta_externa")</f>
        <v>0</v>
      </c>
      <c r="G48" s="30">
        <f t="shared" si="2"/>
        <v>1</v>
      </c>
      <c r="H48" s="30">
        <f t="shared" si="3"/>
        <v>0</v>
      </c>
      <c r="I48" s="27">
        <f>COUNTIFS([1]InfCualitativo!$B$1:$B$6957,"VERDADERO",[1]InfCualitativo!$E$1:$E$6957,"Islote de San Bernardo",[1]InfCualitativo!$H$1:$H$6957,"salud_oral")</f>
        <v>15</v>
      </c>
      <c r="J48" s="27">
        <f>COUNTIFS([1]InfCualitativo!$B$1:$B$6957,"FALSO",[1]InfCualitativo!$E$1:$E$6957,"Islote de San Bernardo",[1]InfCualitativo!$H$1:$H$6957,"salud_oral")</f>
        <v>0</v>
      </c>
      <c r="K48" s="30">
        <f t="shared" si="4"/>
        <v>1</v>
      </c>
      <c r="L48" s="30">
        <f t="shared" si="5"/>
        <v>0</v>
      </c>
      <c r="M48" s="27">
        <f>COUNTIFS([1]InfCualitativo!$B$1:$B$6957,"VERDADERO",[1]InfCualitativo!$E$1:$E$6957,"Islote de San Bernardo",[1]InfCualitativo!$H$1:$H$6957,"laboratorio")</f>
        <v>32</v>
      </c>
      <c r="N48" s="27">
        <f>COUNTIFS([1]InfCualitativo!$B$1:$B$6957,"FALSO",[1]InfCualitativo!$E$1:$E$6957,"Islote de San Bernardo",[1]InfCualitativo!$H$1:$H$6957,"laboratorio")</f>
        <v>0</v>
      </c>
      <c r="O48" s="30">
        <f t="shared" si="6"/>
        <v>1</v>
      </c>
      <c r="P48" s="31">
        <f t="shared" si="7"/>
        <v>0</v>
      </c>
      <c r="Q48" s="27">
        <f>COUNTIFS([1]InfCualitativo!$B$1:$B$6957,"VERDADERO",[1]InfCualitativo!$E$1:$E$6957,"Islote de San Bernardo",[1]InfCualitativo!$H$1:$H$6957,"electros")</f>
        <v>0</v>
      </c>
      <c r="R48" s="27">
        <f>COUNTIFS([1]InfCualitativo!$B$1:$B$6957,"FALSO",[1]InfCualitativo!$E$1:$E$6957,"Islote de San Bernardo",[1]InfCualitativo!$H$1:$H$6957,"electros")</f>
        <v>0</v>
      </c>
      <c r="S48" s="30">
        <f t="shared" si="8"/>
        <v>0</v>
      </c>
      <c r="T48" s="30">
        <f t="shared" si="9"/>
        <v>0</v>
      </c>
      <c r="U48" s="27">
        <f>COUNTIFS([1]InfCualitativo!$B$1:$B$6957,"VERDADERO",[1]InfCualitativo!$E$1:$E$6957,"Islote de San Bernardo",[1]InfCualitativo!$H$1:$H$6957,"rx")</f>
        <v>0</v>
      </c>
      <c r="V48" s="27">
        <f>COUNTIFS([1]InfCualitativo!$B$1:$B$6957,"FALSO",[1]InfCualitativo!$E$1:$E$6957,"Islote de San Bernardo",[1]InfCualitativo!$H$1:$H$6957,"rx")</f>
        <v>0</v>
      </c>
      <c r="W48" s="30">
        <f t="shared" si="10"/>
        <v>0</v>
      </c>
      <c r="X48" s="30">
        <f t="shared" si="11"/>
        <v>0</v>
      </c>
      <c r="Y48" s="27">
        <f>COUNTIFS([1]InfCualitativo!$B$1:$B$6957,"VERDADERO",[1]InfCualitativo!$E$1:$E$6957,"Islote de San Bernardo",[1]InfCualitativo!$H$1:$H$6957,"ecografias")</f>
        <v>0</v>
      </c>
      <c r="Z48" s="27">
        <f>COUNTIFS([1]InfCualitativo!$B$1:$B$6957,"FALSO",[1]InfCualitativo!$E$1:$E$6957,"Islote de San Bernardo",[1]InfCualitativo!$H$1:$H$6957,"ecografias")</f>
        <v>0</v>
      </c>
      <c r="AA48" s="30">
        <f>IFERROR(Y48/(Y48+Z48),0)</f>
        <v>0</v>
      </c>
      <c r="AB48" s="30">
        <f>IFERROR(Z48/(Y48+Z48),0)</f>
        <v>0</v>
      </c>
      <c r="AC48" s="27">
        <f>COUNTIFS([1]InfCualitativo!$B$1:$B$6957,"VERDADERO",[1]InfCualitativo!$E$1:$E$6957,"Islote de San Bernardo",[1]InfCualitativo!$H$1:$H$6957,"urgencia")</f>
        <v>0</v>
      </c>
      <c r="AD48" s="27">
        <f>COUNTIFS([1]InfCualitativo!$B$1:$B$6957,"FALSO",[1]InfCualitativo!$E$1:$E$6957,"Islote de San Bernardo",[1]InfCualitativo!$H$1:$H$6957,"urgencia")</f>
        <v>0</v>
      </c>
      <c r="AE48" s="30">
        <f t="shared" si="14"/>
        <v>0</v>
      </c>
      <c r="AF48" s="30">
        <f t="shared" si="15"/>
        <v>0</v>
      </c>
      <c r="AG48" s="27">
        <f>COUNTIFS([1]InfCualitativo!$B$1:$B$6957,"VERDADERO",[1]InfCualitativo!$E$1:$E$6957,"Islote de San Bernardo",[1]InfCualitativo!$H$1:$H$6957,"pediatria")</f>
        <v>0</v>
      </c>
      <c r="AH48" s="27">
        <f>COUNTIFS([1]InfCualitativo!$B$1:$B$6957,"FALSO",[1]InfCualitativo!$E$1:$E$6957,"Islote de San Bernardo",[1]InfCualitativo!$H$1:$H$6957,"pediatria")</f>
        <v>0</v>
      </c>
      <c r="AI48" s="30">
        <f t="shared" si="16"/>
        <v>0</v>
      </c>
      <c r="AJ48" s="30">
        <f t="shared" si="17"/>
        <v>0</v>
      </c>
      <c r="AK48" s="27">
        <f>COUNTIFS([1]InfCualitativo!$B$1:$B$6957,"VERDADERO",[1]InfCualitativo!$E$1:$E$6957,"Islote de San Bernardo",[1]InfCualitativo!$H$1:$H$6957,"medicina_interna")</f>
        <v>0</v>
      </c>
      <c r="AL48" s="27">
        <f>COUNTIFS([1]InfCualitativo!$B$1:$B$6957,"FALSO",[1]InfCualitativo!$E$1:$E$6957,"Islote de San Bernardo",[1]InfCualitativo!$H$1:$H$6957,"medicina_interna")</f>
        <v>0</v>
      </c>
      <c r="AM48" s="30">
        <f t="shared" si="18"/>
        <v>0</v>
      </c>
      <c r="AN48" s="30">
        <f t="shared" si="19"/>
        <v>0</v>
      </c>
      <c r="AO48" s="27">
        <f>COUNTIFS([1]InfCualitativo!$B$1:$B$6957,"VERDADERO",[1]InfCualitativo!$E$1:$E$6957,"Islote de San Bernardo",[1]InfCualitativo!$H$1:$H$6957,"ginecologia")</f>
        <v>0</v>
      </c>
      <c r="AP48" s="27">
        <f>COUNTIFS([1]InfCualitativo!$B$1:$B$6957,"FALSO",[1]InfCualitativo!$E$1:$E$6957,"Islote de San Bernardo",[1]InfCualitativo!$H$1:$H$6957,"ginecologia")</f>
        <v>0</v>
      </c>
      <c r="AQ48" s="30">
        <f t="shared" si="20"/>
        <v>0</v>
      </c>
      <c r="AR48" s="30">
        <f t="shared" si="21"/>
        <v>0</v>
      </c>
      <c r="AS48" s="27">
        <f t="shared" si="22"/>
        <v>71</v>
      </c>
      <c r="AT48" s="27">
        <f t="shared" si="22"/>
        <v>0</v>
      </c>
      <c r="AU48" s="32">
        <f t="shared" si="23"/>
        <v>1</v>
      </c>
      <c r="AV48" s="32">
        <f t="shared" si="24"/>
        <v>0</v>
      </c>
    </row>
    <row r="49" spans="1:48" ht="19.5" thickBot="1" x14ac:dyDescent="0.35">
      <c r="A49" s="36" t="s">
        <v>69</v>
      </c>
      <c r="B49" s="27">
        <v>176</v>
      </c>
      <c r="C49" s="27">
        <f t="shared" si="1"/>
        <v>151</v>
      </c>
      <c r="D49" s="28">
        <f t="shared" si="0"/>
        <v>85.795454545454547</v>
      </c>
      <c r="E49" s="29">
        <f>COUNTIFS([1]InfCualitativo!$B$1:$B$6957,"VERDADERO",[1]InfCualitativo!$E$1:$E$6957,"Santa Ana",[1]InfCualitativo!$H$1:$H$6957,"consulta_externa")</f>
        <v>40</v>
      </c>
      <c r="F49" s="29">
        <f>COUNTIFS([1]InfCualitativo!$B$1:$B$6957,"FALSO",[1]InfCualitativo!$E$1:$E$6957,"Santa Ana",[1]InfCualitativo!$H$1:$H$6957,"consulta_externa")</f>
        <v>0</v>
      </c>
      <c r="G49" s="30">
        <f t="shared" si="2"/>
        <v>1</v>
      </c>
      <c r="H49" s="30">
        <f t="shared" si="3"/>
        <v>0</v>
      </c>
      <c r="I49" s="27">
        <f>COUNTIFS([1]InfCualitativo!$B$1:$B$6957,"VERDADERO",[1]InfCualitativo!$E$1:$E$6957,"Santa Ana",[1]InfCualitativo!$H$1:$H$6957,"salud_oral")</f>
        <v>42</v>
      </c>
      <c r="J49" s="27">
        <f>COUNTIFS([1]InfCualitativo!$B$1:$B$6957,"FALSO",[1]InfCualitativo!$E$1:$E$6957,"Santa Ana",[1]InfCualitativo!$H$1:$H$6957,"salud_oral")</f>
        <v>0</v>
      </c>
      <c r="K49" s="30">
        <f t="shared" si="4"/>
        <v>1</v>
      </c>
      <c r="L49" s="30">
        <f t="shared" si="5"/>
        <v>0</v>
      </c>
      <c r="M49" s="27">
        <f>COUNTIFS([1]InfCualitativo!$B$1:$B$6957,"VERDADERO",[1]InfCualitativo!$E$1:$E$6957,"Santa Ana",[1]InfCualitativo!$H$1:$H$6957,"laboratorio")</f>
        <v>38</v>
      </c>
      <c r="N49" s="27">
        <f>COUNTIFS([1]InfCualitativo!$B$1:$B$6957,"FALSO",[1]InfCualitativo!$E$1:$E$6957,"Santa Ana",[1]InfCualitativo!$H$1:$H$6957,"laboratorio")</f>
        <v>0</v>
      </c>
      <c r="O49" s="30">
        <f t="shared" si="6"/>
        <v>1</v>
      </c>
      <c r="P49" s="31">
        <f t="shared" si="7"/>
        <v>0</v>
      </c>
      <c r="Q49" s="27">
        <f>COUNTIFS([1]InfCualitativo!$B$1:$B$6957,"VERDADERO",[1]InfCualitativo!$E$1:$E$6957,"Santa Ana",[1]InfCualitativo!$H$1:$H$6957,"electros")</f>
        <v>0</v>
      </c>
      <c r="R49" s="27">
        <f>COUNTIFS([1]InfCualitativo!$B$1:$B$6957,"FALSO",[1]InfCualitativo!$E$1:$E$6957,"Santa Ana",[1]InfCualitativo!$H$1:$H$6957,"electros")</f>
        <v>0</v>
      </c>
      <c r="S49" s="30">
        <f t="shared" si="8"/>
        <v>0</v>
      </c>
      <c r="T49" s="30">
        <f t="shared" si="9"/>
        <v>0</v>
      </c>
      <c r="U49" s="27">
        <f>COUNTIFS([1]InfCualitativo!$B$1:$B$6957,"VERDADERO",[1]InfCualitativo!$E$1:$E$6957,"Santa Ana",[1]InfCualitativo!$H$1:$H$6957,"rx")</f>
        <v>0</v>
      </c>
      <c r="V49" s="27">
        <f>COUNTIFS([1]InfCualitativo!$B$1:$B$6957,"FALSO",[1]InfCualitativo!$E$1:$E$6957,"Santa Ana",[1]InfCualitativo!$H$1:$H$6957,"rx")</f>
        <v>0</v>
      </c>
      <c r="W49" s="30">
        <f t="shared" si="10"/>
        <v>0</v>
      </c>
      <c r="X49" s="30">
        <f t="shared" si="11"/>
        <v>0</v>
      </c>
      <c r="Y49" s="27">
        <f>COUNTIFS([1]InfCualitativo!$B$1:$B$6957,"VERDADERO",[1]InfCualitativo!$E$1:$E$6957,"Santa Ana",[1]InfCualitativo!$H$1:$H$6957,"ecografias")</f>
        <v>0</v>
      </c>
      <c r="Z49" s="27">
        <f>COUNTIFS([1]InfCualitativo!$B$1:$B$6957,"FALSO",[1]InfCualitativo!$E$1:$E$6957,"Santa Ana",[1]InfCualitativo!$H$1:$H$6957,"ecografias")</f>
        <v>0</v>
      </c>
      <c r="AA49" s="30">
        <f>IFERROR(Y49/(Y49+Z49),0)</f>
        <v>0</v>
      </c>
      <c r="AB49" s="30">
        <f>IFERROR(Z49/(Y49+Z49),0)</f>
        <v>0</v>
      </c>
      <c r="AC49" s="27">
        <f>COUNTIFS([1]InfCualitativo!$B$1:$B$6957,"VERDADERO",[1]InfCualitativo!$E$1:$E$6957,"Santa Ana",[1]InfCualitativo!$H$1:$H$6957,"urgencia")</f>
        <v>31</v>
      </c>
      <c r="AD49" s="27">
        <f>COUNTIFS([1]InfCualitativo!$B$1:$B$6957,"FALSO",[1]InfCualitativo!$E$1:$E$6957,"Santa Ana",[1]InfCualitativo!$H$1:$H$6957,"urgencia")</f>
        <v>0</v>
      </c>
      <c r="AE49" s="30">
        <f t="shared" si="14"/>
        <v>1</v>
      </c>
      <c r="AF49" s="30">
        <f t="shared" si="15"/>
        <v>0</v>
      </c>
      <c r="AG49" s="27">
        <f>COUNTIFS([1]InfCualitativo!$B$1:$B$6957,"VERDADERO",[1]InfCualitativo!$E$1:$E$6957,"Santa Ana",[1]InfCualitativo!$H$1:$H$6957,"pediatria")</f>
        <v>0</v>
      </c>
      <c r="AH49" s="27">
        <f>COUNTIFS([1]InfCualitativo!$B$1:$B$6957,"FALSO",[1]InfCualitativo!$E$1:$E$6957,"Santa Ana",[1]InfCualitativo!$H$1:$H$6957,"pediatria")</f>
        <v>0</v>
      </c>
      <c r="AI49" s="30">
        <f t="shared" si="16"/>
        <v>0</v>
      </c>
      <c r="AJ49" s="30">
        <f t="shared" si="17"/>
        <v>0</v>
      </c>
      <c r="AK49" s="27">
        <f>COUNTIFS([1]InfCualitativo!$B$1:$B$6957,"VERDADERO",[1]InfCualitativo!$E$1:$E$6957,"Santa Ana",[1]InfCualitativo!$H$1:$H$6957,"medicina_interna")</f>
        <v>0</v>
      </c>
      <c r="AL49" s="27">
        <f>COUNTIFS([1]InfCualitativo!$B$1:$B$6957,"FALSO",[1]InfCualitativo!$E$1:$E$6957,"Santa Ana",[1]InfCualitativo!$H$1:$H$6957,"medicina_interna")</f>
        <v>0</v>
      </c>
      <c r="AM49" s="30">
        <f t="shared" si="18"/>
        <v>0</v>
      </c>
      <c r="AN49" s="30">
        <f t="shared" si="19"/>
        <v>0</v>
      </c>
      <c r="AO49" s="27">
        <f>COUNTIFS([1]InfCualitativo!$B$1:$B$6957,"VERDADERO",[1]InfCualitativo!$E$1:$E$6957,"Santa Ana",[1]InfCualitativo!$H$1:$H$6957,"ginecologia")</f>
        <v>0</v>
      </c>
      <c r="AP49" s="27">
        <f>COUNTIFS([1]InfCualitativo!$B$1:$B$6957,"FALSO",[1]InfCualitativo!$E$1:$E$6957,"Santa Ana",[1]InfCualitativo!$H$1:$H$6957,"ginecologia")</f>
        <v>0</v>
      </c>
      <c r="AQ49" s="30">
        <f t="shared" si="20"/>
        <v>0</v>
      </c>
      <c r="AR49" s="30">
        <f t="shared" si="21"/>
        <v>0</v>
      </c>
      <c r="AS49" s="27">
        <f t="shared" si="22"/>
        <v>151</v>
      </c>
      <c r="AT49" s="27">
        <f t="shared" si="22"/>
        <v>0</v>
      </c>
      <c r="AU49" s="37">
        <f t="shared" si="23"/>
        <v>1</v>
      </c>
      <c r="AV49" s="37">
        <f t="shared" si="24"/>
        <v>0</v>
      </c>
    </row>
    <row r="50" spans="1:48" s="52" customFormat="1" ht="24" thickBot="1" x14ac:dyDescent="0.4">
      <c r="A50" s="38"/>
      <c r="B50" s="39">
        <f>SUM(B3:B49)</f>
        <v>6681</v>
      </c>
      <c r="C50" s="40">
        <f t="shared" si="1"/>
        <v>6225</v>
      </c>
      <c r="D50" s="41">
        <f>C50/B50</f>
        <v>0.93174674449932648</v>
      </c>
      <c r="E50" s="42">
        <f>SUM(E3:E49)</f>
        <v>1993</v>
      </c>
      <c r="F50" s="43">
        <f>SUM(F3:F49)</f>
        <v>114</v>
      </c>
      <c r="G50" s="44">
        <f t="shared" si="2"/>
        <v>0.94589463692453724</v>
      </c>
      <c r="H50" s="44">
        <f t="shared" si="3"/>
        <v>5.4105363075462744E-2</v>
      </c>
      <c r="I50" s="45">
        <f>SUM(I3:I49)</f>
        <v>1433</v>
      </c>
      <c r="J50" s="46">
        <f>SUM(J3:J49)</f>
        <v>66</v>
      </c>
      <c r="K50" s="44">
        <f t="shared" si="4"/>
        <v>0.95597064709806534</v>
      </c>
      <c r="L50" s="44">
        <f t="shared" si="5"/>
        <v>4.4029352901934625E-2</v>
      </c>
      <c r="M50" s="45">
        <f>SUM(M3:M49)</f>
        <v>1582</v>
      </c>
      <c r="N50" s="46">
        <f>SUM(N3:N49)</f>
        <v>67</v>
      </c>
      <c r="O50" s="44">
        <f t="shared" si="6"/>
        <v>0.95936931473620379</v>
      </c>
      <c r="P50" s="47">
        <f t="shared" si="7"/>
        <v>4.0630685263796242E-2</v>
      </c>
      <c r="Q50" s="46">
        <f>SUM(Q3:Q49)</f>
        <v>39</v>
      </c>
      <c r="R50" s="46">
        <f>SUM(R3:R49)</f>
        <v>5</v>
      </c>
      <c r="S50" s="44">
        <f t="shared" si="8"/>
        <v>0.88636363636363635</v>
      </c>
      <c r="T50" s="44">
        <f t="shared" si="9"/>
        <v>0.11363636363636363</v>
      </c>
      <c r="U50" s="46">
        <f>SUM(U3:U49)</f>
        <v>62</v>
      </c>
      <c r="V50" s="46">
        <f>SUM(V3:V49)</f>
        <v>0</v>
      </c>
      <c r="W50" s="44">
        <f t="shared" si="10"/>
        <v>1</v>
      </c>
      <c r="X50" s="44">
        <f t="shared" si="11"/>
        <v>0</v>
      </c>
      <c r="Y50" s="46">
        <f>SUM(Y3:Y49)</f>
        <v>99</v>
      </c>
      <c r="Z50" s="46">
        <f>SUM(Z3:Z49)</f>
        <v>1</v>
      </c>
      <c r="AA50" s="44">
        <f t="shared" si="12"/>
        <v>0.99</v>
      </c>
      <c r="AB50" s="44">
        <f t="shared" si="13"/>
        <v>0.01</v>
      </c>
      <c r="AC50" s="45">
        <f>SUM(AC3:AC49)</f>
        <v>401</v>
      </c>
      <c r="AD50" s="46">
        <f>SUM(AD3:AD49)</f>
        <v>98</v>
      </c>
      <c r="AE50" s="44">
        <f t="shared" si="14"/>
        <v>0.80360721442885774</v>
      </c>
      <c r="AF50" s="44">
        <f t="shared" si="15"/>
        <v>0.19639278557114229</v>
      </c>
      <c r="AG50" s="45">
        <f>SUM(AG3:AG49)</f>
        <v>131</v>
      </c>
      <c r="AH50" s="46">
        <f>SUM(AH3:AH49)</f>
        <v>5</v>
      </c>
      <c r="AI50" s="44">
        <f t="shared" si="16"/>
        <v>0.96323529411764708</v>
      </c>
      <c r="AJ50" s="44">
        <f t="shared" si="17"/>
        <v>3.6764705882352942E-2</v>
      </c>
      <c r="AK50" s="45">
        <f>SUM(AK3:AK49)</f>
        <v>78</v>
      </c>
      <c r="AL50" s="46">
        <f>SUM(AL3:AL49)</f>
        <v>0</v>
      </c>
      <c r="AM50" s="44">
        <f t="shared" si="18"/>
        <v>1</v>
      </c>
      <c r="AN50" s="44">
        <f t="shared" si="19"/>
        <v>0</v>
      </c>
      <c r="AO50" s="45">
        <f>SUM(AO3:AO49)</f>
        <v>51</v>
      </c>
      <c r="AP50" s="46">
        <v>0</v>
      </c>
      <c r="AQ50" s="44">
        <f t="shared" si="20"/>
        <v>1</v>
      </c>
      <c r="AR50" s="44">
        <f t="shared" si="21"/>
        <v>0</v>
      </c>
      <c r="AS50" s="48">
        <f t="shared" si="22"/>
        <v>5869</v>
      </c>
      <c r="AT50" s="49">
        <f t="shared" si="22"/>
        <v>356</v>
      </c>
      <c r="AU50" s="50">
        <f t="shared" si="23"/>
        <v>0.94281124497991964</v>
      </c>
      <c r="AV50" s="51">
        <f t="shared" si="24"/>
        <v>5.718875502008032E-2</v>
      </c>
    </row>
    <row r="51" spans="1:48" x14ac:dyDescent="0.25">
      <c r="C51" s="53"/>
      <c r="E51" s="54">
        <f>SUM(E50:F50)</f>
        <v>2107</v>
      </c>
      <c r="F51" s="55"/>
      <c r="I51" s="54">
        <f>SUM(I50:J50)</f>
        <v>1499</v>
      </c>
      <c r="J51" s="55"/>
      <c r="M51" s="54">
        <f>SUM(M50:N50)</f>
        <v>1649</v>
      </c>
      <c r="N51" s="55"/>
      <c r="Q51" s="55">
        <f>SUM(Q50:R50)</f>
        <v>44</v>
      </c>
      <c r="R51" s="55"/>
      <c r="U51" s="55">
        <f>SUM(U50:V50)</f>
        <v>62</v>
      </c>
      <c r="V51" s="55"/>
      <c r="Y51" s="55">
        <f>SUM(Y50:Z50)</f>
        <v>100</v>
      </c>
      <c r="Z51" s="55"/>
      <c r="AC51" s="55">
        <f>SUM(AC50:AD50)</f>
        <v>499</v>
      </c>
      <c r="AD51" s="55"/>
      <c r="AS51" s="53"/>
    </row>
    <row r="54" spans="1:48" ht="44.25" customHeight="1" x14ac:dyDescent="0.25">
      <c r="A54" s="56" t="s">
        <v>70</v>
      </c>
      <c r="B54" s="57"/>
      <c r="I54" s="58"/>
      <c r="J54" s="58"/>
      <c r="K54" s="58"/>
      <c r="L54" s="58"/>
      <c r="M54" s="58"/>
    </row>
    <row r="55" spans="1:48" x14ac:dyDescent="0.25">
      <c r="A55" s="59" t="s">
        <v>71</v>
      </c>
      <c r="B55" s="60">
        <f>COUNTIFS([1]InfCualitativo!$J$1:$J$6957,"muybueno")</f>
        <v>289</v>
      </c>
    </row>
    <row r="56" spans="1:48" x14ac:dyDescent="0.25">
      <c r="A56" s="59" t="s">
        <v>72</v>
      </c>
      <c r="B56" s="60">
        <f>COUNTIFS([1]InfCualitativo!$J$1:$J$6957,"bueno")</f>
        <v>5580</v>
      </c>
    </row>
    <row r="57" spans="1:48" x14ac:dyDescent="0.25">
      <c r="A57" s="59" t="s">
        <v>73</v>
      </c>
      <c r="B57" s="60">
        <f>COUNTIFS([1]InfCualitativo!$J$1:$J$6957,"regular")</f>
        <v>343</v>
      </c>
    </row>
    <row r="58" spans="1:48" x14ac:dyDescent="0.25">
      <c r="A58" s="59" t="s">
        <v>74</v>
      </c>
      <c r="B58" s="60">
        <f>COUNTIFS([1]InfCualitativo!$J$1:$J$6957,"malo")</f>
        <v>12</v>
      </c>
    </row>
    <row r="59" spans="1:48" x14ac:dyDescent="0.25">
      <c r="A59" s="59" t="s">
        <v>75</v>
      </c>
      <c r="B59" s="60">
        <f>COUNTIFS([1]InfCualitativo!$J$1:$J$6957,"muymalo")</f>
        <v>1</v>
      </c>
      <c r="C59">
        <f>SUM(B55:B59)</f>
        <v>6225</v>
      </c>
    </row>
    <row r="60" spans="1:48" ht="31.5" customHeight="1" x14ac:dyDescent="0.25">
      <c r="A60" s="59"/>
      <c r="B60" s="60"/>
    </row>
    <row r="61" spans="1:48" ht="42" customHeight="1" x14ac:dyDescent="0.25">
      <c r="A61" s="61" t="s">
        <v>76</v>
      </c>
      <c r="B61" s="62"/>
    </row>
    <row r="62" spans="1:48" x14ac:dyDescent="0.25">
      <c r="A62" s="59" t="s">
        <v>77</v>
      </c>
      <c r="B62" s="60">
        <f>COUNTIFS([1]InfCualitativo!$K$1:$K$6957,"defsi")</f>
        <v>2904</v>
      </c>
    </row>
    <row r="63" spans="1:48" x14ac:dyDescent="0.25">
      <c r="A63" s="59" t="s">
        <v>78</v>
      </c>
      <c r="B63" s="60">
        <f>COUNTIFS([1]InfCualitativo!$K$1:$K$6957,"probsi")</f>
        <v>3253</v>
      </c>
    </row>
    <row r="64" spans="1:48" x14ac:dyDescent="0.25">
      <c r="A64" s="59" t="s">
        <v>79</v>
      </c>
      <c r="B64" s="60">
        <f>COUNTIFS([1]InfCualitativo!$K$1:$K$6957,"defno")</f>
        <v>3</v>
      </c>
    </row>
    <row r="65" spans="1:2" x14ac:dyDescent="0.25">
      <c r="A65" s="63" t="s">
        <v>80</v>
      </c>
      <c r="B65" s="64">
        <f>COUNTIFS([1]InfCualitativo!$K$1:$K$6957,"probno")</f>
        <v>65</v>
      </c>
    </row>
    <row r="66" spans="1:2" x14ac:dyDescent="0.25">
      <c r="B66">
        <f>SUM(B62:B65)</f>
        <v>6225</v>
      </c>
    </row>
  </sheetData>
  <autoFilter ref="A1:D51" xr:uid="{00000000-0001-0000-0000-000000000000}"/>
  <mergeCells count="28">
    <mergeCell ref="AC51:AD51"/>
    <mergeCell ref="A54:B54"/>
    <mergeCell ref="I54:M54"/>
    <mergeCell ref="A61:B61"/>
    <mergeCell ref="E51:F51"/>
    <mergeCell ref="I51:J51"/>
    <mergeCell ref="M51:N51"/>
    <mergeCell ref="Q51:R51"/>
    <mergeCell ref="U51:V51"/>
    <mergeCell ref="Y51:Z51"/>
    <mergeCell ref="AK1:AN1"/>
    <mergeCell ref="AO1:AR1"/>
    <mergeCell ref="AS1:AS2"/>
    <mergeCell ref="AT1:AT2"/>
    <mergeCell ref="AU1:AU2"/>
    <mergeCell ref="AV1:AV2"/>
    <mergeCell ref="M1:P1"/>
    <mergeCell ref="Q1:T1"/>
    <mergeCell ref="V1:X1"/>
    <mergeCell ref="Y1:AB1"/>
    <mergeCell ref="AC1:AF1"/>
    <mergeCell ref="AG1:AJ1"/>
    <mergeCell ref="A1:A2"/>
    <mergeCell ref="B1:B2"/>
    <mergeCell ref="C1:C2"/>
    <mergeCell ref="D1:D2"/>
    <mergeCell ref="E1:H1"/>
    <mergeCell ref="I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A166-54E4-4DEE-91FD-F8E8B8DAEDEB}">
  <dimension ref="A1:AV66"/>
  <sheetViews>
    <sheetView zoomScale="80" zoomScaleNormal="80" workbookViewId="0">
      <selection activeCell="J28" sqref="J28"/>
    </sheetView>
  </sheetViews>
  <sheetFormatPr baseColWidth="10" defaultColWidth="11.42578125" defaultRowHeight="15" x14ac:dyDescent="0.25"/>
  <cols>
    <col min="1" max="1" width="27.28515625" bestFit="1" customWidth="1"/>
    <col min="2" max="2" width="24.42578125" customWidth="1"/>
    <col min="3" max="3" width="20.85546875" customWidth="1"/>
    <col min="4" max="4" width="24" customWidth="1"/>
    <col min="5" max="5" width="16" customWidth="1"/>
    <col min="6" max="6" width="21" customWidth="1"/>
    <col min="7" max="7" width="16.140625" customWidth="1"/>
    <col min="8" max="8" width="17.85546875" customWidth="1"/>
    <col min="9" max="9" width="16.140625" customWidth="1"/>
    <col min="10" max="11" width="17" customWidth="1"/>
    <col min="12" max="12" width="16.28515625" customWidth="1"/>
    <col min="13" max="13" width="15.28515625" customWidth="1"/>
    <col min="14" max="14" width="15.7109375" customWidth="1"/>
    <col min="15" max="15" width="15" customWidth="1"/>
    <col min="16" max="16" width="15.28515625" customWidth="1"/>
    <col min="17" max="17" width="15.42578125" customWidth="1"/>
    <col min="18" max="18" width="15.5703125" customWidth="1"/>
    <col min="19" max="19" width="15.42578125" customWidth="1"/>
    <col min="20" max="20" width="15.28515625" customWidth="1"/>
    <col min="21" max="21" width="14.85546875" customWidth="1"/>
    <col min="22" max="22" width="15.42578125" customWidth="1"/>
    <col min="23" max="24" width="15.140625" customWidth="1"/>
    <col min="25" max="25" width="15.28515625" customWidth="1"/>
    <col min="26" max="26" width="15" customWidth="1"/>
    <col min="27" max="27" width="15.42578125" customWidth="1"/>
    <col min="28" max="28" width="15.7109375" customWidth="1"/>
    <col min="29" max="29" width="15.140625" customWidth="1"/>
    <col min="30" max="31" width="15.85546875" customWidth="1"/>
    <col min="32" max="32" width="15.7109375" customWidth="1"/>
    <col min="33" max="33" width="15.5703125" customWidth="1"/>
    <col min="34" max="34" width="15" customWidth="1"/>
    <col min="35" max="35" width="14.85546875" customWidth="1"/>
    <col min="36" max="36" width="16.140625" customWidth="1"/>
    <col min="37" max="38" width="15" customWidth="1"/>
    <col min="39" max="39" width="14.85546875" customWidth="1"/>
    <col min="40" max="40" width="14.5703125" customWidth="1"/>
    <col min="41" max="41" width="14.85546875" customWidth="1"/>
    <col min="42" max="42" width="16" customWidth="1"/>
    <col min="43" max="44" width="14.85546875" customWidth="1"/>
    <col min="45" max="45" width="15.85546875" customWidth="1"/>
    <col min="46" max="46" width="15.28515625" customWidth="1"/>
    <col min="47" max="47" width="16.28515625" customWidth="1"/>
    <col min="48" max="48" width="16.5703125" customWidth="1"/>
  </cols>
  <sheetData>
    <row r="1" spans="1:48" ht="32.25" thickBot="1" x14ac:dyDescent="0.55000000000000004">
      <c r="A1" s="1" t="s">
        <v>0</v>
      </c>
      <c r="B1" s="65" t="s">
        <v>1</v>
      </c>
      <c r="C1" s="66" t="s">
        <v>2</v>
      </c>
      <c r="D1" s="67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5" t="s">
        <v>6</v>
      </c>
      <c r="N1" s="6"/>
      <c r="O1" s="6"/>
      <c r="P1" s="7"/>
      <c r="Q1" s="5" t="s">
        <v>7</v>
      </c>
      <c r="R1" s="6"/>
      <c r="S1" s="6"/>
      <c r="T1" s="7"/>
      <c r="U1" s="8"/>
      <c r="V1" s="6" t="s">
        <v>8</v>
      </c>
      <c r="W1" s="6"/>
      <c r="X1" s="7"/>
      <c r="Y1" s="5" t="s">
        <v>9</v>
      </c>
      <c r="Z1" s="6"/>
      <c r="AA1" s="6"/>
      <c r="AB1" s="7"/>
      <c r="AC1" s="5" t="s">
        <v>10</v>
      </c>
      <c r="AD1" s="6"/>
      <c r="AE1" s="6"/>
      <c r="AF1" s="6"/>
      <c r="AG1" s="9" t="s">
        <v>11</v>
      </c>
      <c r="AH1" s="9"/>
      <c r="AI1" s="9"/>
      <c r="AJ1" s="9"/>
      <c r="AK1" s="9" t="s">
        <v>12</v>
      </c>
      <c r="AL1" s="9"/>
      <c r="AM1" s="9"/>
      <c r="AN1" s="9"/>
      <c r="AO1" s="9" t="s">
        <v>13</v>
      </c>
      <c r="AP1" s="9"/>
      <c r="AQ1" s="9"/>
      <c r="AR1" s="9"/>
      <c r="AS1" s="68" t="s">
        <v>14</v>
      </c>
      <c r="AT1" s="69" t="s">
        <v>15</v>
      </c>
      <c r="AU1" s="12" t="s">
        <v>16</v>
      </c>
      <c r="AV1" s="12" t="s">
        <v>17</v>
      </c>
    </row>
    <row r="2" spans="1:48" ht="30" x14ac:dyDescent="0.25">
      <c r="A2" s="13"/>
      <c r="B2" s="70"/>
      <c r="C2" s="71"/>
      <c r="D2" s="72"/>
      <c r="E2" s="17" t="s">
        <v>18</v>
      </c>
      <c r="F2" s="18" t="s">
        <v>19</v>
      </c>
      <c r="G2" s="17" t="s">
        <v>20</v>
      </c>
      <c r="H2" s="17" t="s">
        <v>21</v>
      </c>
      <c r="I2" s="18" t="s">
        <v>18</v>
      </c>
      <c r="J2" s="19" t="s">
        <v>19</v>
      </c>
      <c r="K2" s="18" t="s">
        <v>20</v>
      </c>
      <c r="L2" s="19" t="s">
        <v>21</v>
      </c>
      <c r="M2" s="18" t="s">
        <v>18</v>
      </c>
      <c r="N2" s="17" t="s">
        <v>19</v>
      </c>
      <c r="O2" s="18" t="s">
        <v>20</v>
      </c>
      <c r="P2" s="17" t="s">
        <v>21</v>
      </c>
      <c r="Q2" s="18" t="s">
        <v>18</v>
      </c>
      <c r="R2" s="19" t="s">
        <v>19</v>
      </c>
      <c r="S2" s="18" t="s">
        <v>20</v>
      </c>
      <c r="T2" s="19" t="s">
        <v>21</v>
      </c>
      <c r="U2" s="18" t="s">
        <v>18</v>
      </c>
      <c r="V2" s="19" t="s">
        <v>19</v>
      </c>
      <c r="W2" s="18" t="s">
        <v>20</v>
      </c>
      <c r="X2" s="19" t="s">
        <v>21</v>
      </c>
      <c r="Y2" s="18" t="s">
        <v>18</v>
      </c>
      <c r="Z2" s="19" t="s">
        <v>19</v>
      </c>
      <c r="AA2" s="18" t="s">
        <v>20</v>
      </c>
      <c r="AB2" s="19" t="s">
        <v>21</v>
      </c>
      <c r="AC2" s="19" t="s">
        <v>18</v>
      </c>
      <c r="AD2" s="19" t="s">
        <v>19</v>
      </c>
      <c r="AE2" s="18" t="s">
        <v>20</v>
      </c>
      <c r="AF2" s="19" t="s">
        <v>21</v>
      </c>
      <c r="AG2" s="17" t="s">
        <v>18</v>
      </c>
      <c r="AH2" s="20" t="s">
        <v>19</v>
      </c>
      <c r="AI2" s="21" t="s">
        <v>20</v>
      </c>
      <c r="AJ2" s="22" t="s">
        <v>21</v>
      </c>
      <c r="AK2" s="17" t="s">
        <v>18</v>
      </c>
      <c r="AL2" s="17" t="s">
        <v>19</v>
      </c>
      <c r="AM2" s="18" t="s">
        <v>20</v>
      </c>
      <c r="AN2" s="17" t="s">
        <v>21</v>
      </c>
      <c r="AO2" s="17" t="s">
        <v>18</v>
      </c>
      <c r="AP2" s="17" t="s">
        <v>19</v>
      </c>
      <c r="AQ2" s="18" t="s">
        <v>20</v>
      </c>
      <c r="AR2" s="17" t="s">
        <v>21</v>
      </c>
      <c r="AS2" s="25"/>
      <c r="AT2" s="73"/>
      <c r="AU2" s="25"/>
      <c r="AV2" s="25"/>
    </row>
    <row r="3" spans="1:48" ht="18.75" x14ac:dyDescent="0.3">
      <c r="A3" s="26" t="s">
        <v>22</v>
      </c>
      <c r="B3" s="27">
        <v>109</v>
      </c>
      <c r="C3" s="27">
        <f>SUM(E3,F3,I3,J3,M3,N3,Q3,R3,U3,V3,Y3,Z3,AC3,AD3,AG3,AH3,AK3,AL3,AO3,AP3)</f>
        <v>109</v>
      </c>
      <c r="D3" s="28">
        <f t="shared" ref="D3:D49" si="0">(C3*100)/B3</f>
        <v>100</v>
      </c>
      <c r="E3" s="29">
        <f>COUNTIFS([2]InfCualitativo!$B$1:$B$6957,"VERDADERO",[2]InfCualitativo!$E$1:$E$6957,"Arroyo de las Canoas",[2]InfCualitativo!$H$1:$H$6957,"consulta_externa")</f>
        <v>43</v>
      </c>
      <c r="F3" s="29">
        <f>COUNTIFS([2]InfCualitativo!$B$1:$B$6957,"FALSO",[2]InfCualitativo!$E$1:$E$6957,"Arroyo de las Canoas",[2]InfCualitativo!$H$1:$H$6957,"consulta_externa")</f>
        <v>0</v>
      </c>
      <c r="G3" s="30">
        <f>IFERROR(E3/(E3+F3),0)</f>
        <v>1</v>
      </c>
      <c r="H3" s="30">
        <f>IFERROR(F3/(E3+F3),0)</f>
        <v>0</v>
      </c>
      <c r="I3" s="27">
        <f>COUNTIFS([2]InfCualitativo!$B$1:$B$6957,"VERDADERO",[2]InfCualitativo!$E$1:$E$6957,"Arroyo de las Canoas",[2]InfCualitativo!$H$1:$H$6957,"salud_oral")</f>
        <v>33</v>
      </c>
      <c r="J3" s="27">
        <f>COUNTIFS([2]InfCualitativo!$B$1:$B$6957,"FALSO",[2]InfCualitativo!$E$1:$E$6957,"Arroyo de las Canoas",[2]InfCualitativo!$H$1:$H$6957,"salud_oral")</f>
        <v>0</v>
      </c>
      <c r="K3" s="30">
        <f>IFERROR(I3/(I3+J3),0)</f>
        <v>1</v>
      </c>
      <c r="L3" s="30">
        <f>IFERROR(J3/(I3+J3),0)</f>
        <v>0</v>
      </c>
      <c r="M3" s="27">
        <f>COUNTIFS([2]InfCualitativo!$B$1:$B$6957,"VERDADERO",[2]InfCualitativo!$E$1:$E$6957,"Arroyo de las Canoas",[2]InfCualitativo!$H$1:$H$6957,"laboratorio")</f>
        <v>33</v>
      </c>
      <c r="N3" s="27">
        <f>COUNTIFS([2]InfCualitativo!$B$1:$B$6957,"FALSO",[2]InfCualitativo!$E$1:$E$6957,"Arroyo de las Canoas",[2]InfCualitativo!$H$1:$H$6957,"laboratorio")</f>
        <v>0</v>
      </c>
      <c r="O3" s="30">
        <f>IFERROR(M3/(M3+N3),0)</f>
        <v>1</v>
      </c>
      <c r="P3" s="31">
        <f>IFERROR(N3/(M3+N3),0)</f>
        <v>0</v>
      </c>
      <c r="Q3" s="27">
        <f>COUNTIFS([2]InfCualitativo!$B$1:$B$6957,"VERDADERO",[2]InfCualitativo!$E$1:$E$6957,"Arroyo de las Canoas",[2]InfCualitativo!$H$1:$H$6957,"electros")</f>
        <v>0</v>
      </c>
      <c r="R3" s="27">
        <f>COUNTIFS([2]InfCualitativo!$B$1:$B$6957,"FALSO",[2]InfCualitativo!$E$1:$E$6957,"Arroyo de las Canoas",[2]InfCualitativo!$H$1:$H$6957,"electros")</f>
        <v>0</v>
      </c>
      <c r="S3" s="30">
        <f>IFERROR(Q3/(Q3+R3),0)</f>
        <v>0</v>
      </c>
      <c r="T3" s="30">
        <f>IFERROR(R3/(Q3+R3),0)</f>
        <v>0</v>
      </c>
      <c r="U3" s="27">
        <f>COUNTIFS([2]InfCualitativo!$B$1:$B$6957,"VERDADERO",[2]InfCualitativo!$E$1:$E$6957,"Arroyo de las Canoas",[2]InfCualitativo!$H$1:$H$6957,"rx")</f>
        <v>0</v>
      </c>
      <c r="V3" s="27">
        <f>COUNTIFS([2]InfCualitativo!$B$1:$B$6957,"FALSO",[2]InfCualitativo!$E$1:$E$6957,"Arroyo de las Canoas",[2]InfCualitativo!$H$1:$H$6957,"rx")</f>
        <v>0</v>
      </c>
      <c r="W3" s="30">
        <f>IFERROR(U3/(U3+V3),0)</f>
        <v>0</v>
      </c>
      <c r="X3" s="30">
        <f>IFERROR(V3/(U3+V3),0)</f>
        <v>0</v>
      </c>
      <c r="Y3" s="27">
        <f>COUNTIFS([2]InfCualitativo!$B$1:$B$6957,"VERDADERO",[2]InfCualitativo!$E$1:$E$6957,"Arroyo de las Canoas",[2]InfCualitativo!$H$1:$H$6957,"ecografias")</f>
        <v>0</v>
      </c>
      <c r="Z3" s="27">
        <f>COUNTIFS([2]InfCualitativo!$B$1:$B$6957,"FALSO",[2]InfCualitativo!$E$1:$E$6957,"Arroyo de las Canoas",[2]InfCualitativo!$H$1:$H$6957,"ecografias")</f>
        <v>0</v>
      </c>
      <c r="AA3" s="30">
        <f>IFERROR(Y3/(Y3+Z3),0)</f>
        <v>0</v>
      </c>
      <c r="AB3" s="30">
        <f>IFERROR(Z3/(Y3+Z3),0)</f>
        <v>0</v>
      </c>
      <c r="AC3" s="27">
        <f>COUNTIFS([2]InfCualitativo!$B$1:$B$6957,"VERDADERO",[2]InfCualitativo!$E$1:$E$6957,"Arroyo de las Canoas",[2]InfCualitativo!$H$1:$H$6957,"urgencia")</f>
        <v>0</v>
      </c>
      <c r="AD3" s="27">
        <f>COUNTIFS([2]InfCualitativo!$B$1:$B$6957,"FALSO",[2]InfCualitativo!$E$1:$E$6957,"Arroyo de las Canoas",[2]InfCualitativo!$H$1:$H$6957,"urgencia")</f>
        <v>0</v>
      </c>
      <c r="AE3" s="30">
        <f>IFERROR(AC3/(AC3+AD3),0)</f>
        <v>0</v>
      </c>
      <c r="AF3" s="30">
        <f>IFERROR(AD3/(AC3+AD3),0)</f>
        <v>0</v>
      </c>
      <c r="AG3" s="27">
        <f>COUNTIFS([2]InfCualitativo!$B$1:$B$6957,"VERDADERO",[2]InfCualitativo!$E$1:$E$6957,"Arroyo de las Canoas",[2]InfCualitativo!$H$1:$H$6957,"pediatria")</f>
        <v>0</v>
      </c>
      <c r="AH3" s="27">
        <f>COUNTIFS([2]InfCualitativo!$B$1:$B$6957,"FALSO",[2]InfCualitativo!$E$1:$E$6957,"Arroyo de las Canoas",[2]InfCualitativo!$H$1:$H$6957,"pediatria")</f>
        <v>0</v>
      </c>
      <c r="AI3" s="30">
        <f>IFERROR(AG3/(AG3+AH3),0)</f>
        <v>0</v>
      </c>
      <c r="AJ3" s="30">
        <f>IFERROR(AH3/(AG3+AH3),0)</f>
        <v>0</v>
      </c>
      <c r="AK3" s="27">
        <f>COUNTIFS([2]InfCualitativo!$B$1:$B$6957,"VERDADERO",[2]InfCualitativo!$E$1:$E$6957,"Arroyo de las Canoas",[2]InfCualitativo!$H$1:$H$6957,"medicina_interna")</f>
        <v>0</v>
      </c>
      <c r="AL3" s="27">
        <f>COUNTIFS([2]InfCualitativo!$B$1:$B$6957,"FALSO",[2]InfCualitativo!$E$1:$E$6957,"Arroyo de las Canoas",[2]InfCualitativo!$H$1:$H$6957,"medicina_interna")</f>
        <v>0</v>
      </c>
      <c r="AM3" s="30">
        <f>IFERROR(AK3/(AK3+AL3),0)</f>
        <v>0</v>
      </c>
      <c r="AN3" s="30">
        <f>IFERROR(AL3/(AK3+AL3),0)</f>
        <v>0</v>
      </c>
      <c r="AO3" s="27">
        <f>COUNTIFS([2]InfCualitativo!$B$1:$B$6957,"VERDADERO",[2]InfCualitativo!$E$1:$E$6957,"Arroyo de las Canoas",[2]InfCualitativo!$H$1:$H$6957,"ginecologia")</f>
        <v>0</v>
      </c>
      <c r="AP3" s="27">
        <f>COUNTIFS([2]InfCualitativo!$B$1:$B$6957,"FALSO",[2]InfCualitativo!$E$1:$E$6957,"Arroyo de las Canoas",[2]InfCualitativo!$H$1:$H$6957,"ginecologia")</f>
        <v>0</v>
      </c>
      <c r="AQ3" s="30">
        <f>IFERROR(AO3/(AO3+AP3),0)</f>
        <v>0</v>
      </c>
      <c r="AR3" s="30">
        <f>IFERROR(AP3/(AO3+AP3),0)</f>
        <v>0</v>
      </c>
      <c r="AS3" s="27">
        <f>SUM(E3+I3+M3+Q3+U3+Y3+AC3+AG3+AK3+AO3)</f>
        <v>109</v>
      </c>
      <c r="AT3" s="27">
        <f>SUM(F3+J3+N3+R3+V3+Z3+AD3+AH3+AL3+AP3)</f>
        <v>0</v>
      </c>
      <c r="AU3" s="32">
        <f>IFERROR(AS3/(AS3+AT3),0)</f>
        <v>1</v>
      </c>
      <c r="AV3" s="32">
        <f>IFERROR(AT3/(AS3+AT3),0)</f>
        <v>0</v>
      </c>
    </row>
    <row r="4" spans="1:48" ht="18.75" x14ac:dyDescent="0.3">
      <c r="A4" s="26" t="s">
        <v>23</v>
      </c>
      <c r="B4" s="27">
        <v>120</v>
      </c>
      <c r="C4" s="27">
        <f t="shared" ref="C4:C50" si="1">SUM(E4,F4,I4,J4,M4,N4,Q4,R4,U4,V4,Y4,Z4,AC4,AD4,AG4,AH4,AK4,AL4,AO4,AP4)</f>
        <v>113</v>
      </c>
      <c r="D4" s="28">
        <f t="shared" si="0"/>
        <v>94.166666666666671</v>
      </c>
      <c r="E4" s="29">
        <f>COUNTIFS([2]InfCualitativo!$B$1:$B$6957,"VERDADERO",[2]InfCualitativo!$E$1:$E$6957,"Arroyo de Piedra",[2]InfCualitativo!$H$1:$H$6957,"consulta_externa")</f>
        <v>38</v>
      </c>
      <c r="F4" s="29">
        <f>COUNTIFS([2]InfCualitativo!$B$1:$B$6957,"FALSO",[2]InfCualitativo!$E$1:$E$6957,"Arroyo de Piedra",[2]InfCualitativo!$H$1:$H$6957,"consulta_externa")</f>
        <v>0</v>
      </c>
      <c r="G4" s="30">
        <f t="shared" ref="G4:G50" si="2">IFERROR(E4/(E4+F4),0)</f>
        <v>1</v>
      </c>
      <c r="H4" s="30">
        <f t="shared" ref="H4:H50" si="3">IFERROR(F4/(E4+F4),0)</f>
        <v>0</v>
      </c>
      <c r="I4" s="27">
        <f>COUNTIFS([2]InfCualitativo!$B$1:$B$6957,"VERDADERO",[2]InfCualitativo!$E$1:$E$6957,"Arroyo de Piedra",[2]InfCualitativo!$H$1:$H$6957,"salud_oral")</f>
        <v>40</v>
      </c>
      <c r="J4" s="27">
        <f>COUNTIFS([2]InfCualitativo!$B$1:$B$6957,"FALSO",[2]InfCualitativo!$E$1:$E$6957,"Arroyo de Piedra",[2]InfCualitativo!$H$1:$H$6957,"salud_oral")</f>
        <v>0</v>
      </c>
      <c r="K4" s="30">
        <f t="shared" ref="K4:K50" si="4">IFERROR(I4/(I4+J4),0)</f>
        <v>1</v>
      </c>
      <c r="L4" s="30">
        <f t="shared" ref="L4:L50" si="5">IFERROR(J4/(I4+J4),0)</f>
        <v>0</v>
      </c>
      <c r="M4" s="27">
        <f>COUNTIFS([2]InfCualitativo!$B$1:$B$6957,"VERDADERO",[2]InfCualitativo!$E$1:$E$6957,"Arroyo de Piedra",[2]InfCualitativo!$H$1:$H$6957,"laboratorio")</f>
        <v>35</v>
      </c>
      <c r="N4" s="27">
        <f>COUNTIFS([2]InfCualitativo!$B$1:$B$6957,"FALSO",[2]InfCualitativo!$E$1:$E$6957,"Arroyo de Piedra",[2]InfCualitativo!$H$1:$H$6957,"laboratorio")</f>
        <v>0</v>
      </c>
      <c r="O4" s="30">
        <f t="shared" ref="O4:O50" si="6">IFERROR(M4/(M4+N4),0)</f>
        <v>1</v>
      </c>
      <c r="P4" s="31">
        <f t="shared" ref="P4:P50" si="7">IFERROR(N4/(M4+N4),0)</f>
        <v>0</v>
      </c>
      <c r="Q4" s="27">
        <f>COUNTIFS([2]InfCualitativo!$B$1:$B$6957,"VERDADERO",[2]InfCualitativo!$E$1:$E$6957,"Arroyo de Piedra",[2]InfCualitativo!$H$1:$H$6957,"electros")</f>
        <v>0</v>
      </c>
      <c r="R4" s="27">
        <f>COUNTIFS([2]InfCualitativo!$B$1:$B$6957,"FALSO",[2]InfCualitativo!$E$1:$E$6957,"Arroyo de Piedra",[2]InfCualitativo!$H$1:$H$6957,"electros")</f>
        <v>0</v>
      </c>
      <c r="S4" s="30">
        <f t="shared" ref="S4:S50" si="8">IFERROR(Q4/(Q4+R4),0)</f>
        <v>0</v>
      </c>
      <c r="T4" s="30">
        <f t="shared" ref="T4:T50" si="9">IFERROR(R4/(Q4+R4),0)</f>
        <v>0</v>
      </c>
      <c r="U4" s="27">
        <f>COUNTIFS([2]InfCualitativo!$B$1:$B$6957,"VERDADERO",[2]InfCualitativo!$E$1:$E$6957,"Arroyo de Piedra",[2]InfCualitativo!$H$1:$H$6957,"rx")</f>
        <v>0</v>
      </c>
      <c r="V4" s="27">
        <f>COUNTIFS([2]InfCualitativo!$B$1:$B$6957,"FALSO",[2]InfCualitativo!$E$1:$E$6957,"Arroyo de Piedra",[2]InfCualitativo!$H$1:$H$6957,"rx")</f>
        <v>0</v>
      </c>
      <c r="W4" s="30">
        <f t="shared" ref="W4:W50" si="10">IFERROR(U4/(U4+V4),0)</f>
        <v>0</v>
      </c>
      <c r="X4" s="30">
        <f t="shared" ref="X4:X50" si="11">IFERROR(V4/(U4+V4),0)</f>
        <v>0</v>
      </c>
      <c r="Y4" s="27">
        <f>COUNTIFS([2]InfCualitativo!$B$1:$B$6957,"VERDADERO",[2]InfCualitativo!$E$1:$E$6957,"Arroyo de Piedra",[2]InfCualitativo!$H$1:$H$6957,"ecografias")</f>
        <v>0</v>
      </c>
      <c r="Z4" s="27">
        <f>COUNTIFS([2]InfCualitativo!$B$1:$B$6957,"FALSO",[2]InfCualitativo!$E$1:$E$6957,"Arroyo de Piedra",[2]InfCualitativo!$H$1:$H$6957,"ecografias")</f>
        <v>0</v>
      </c>
      <c r="AA4" s="30">
        <f t="shared" ref="AA4:AA50" si="12">IFERROR(Y4/(Y4+Z4),0)</f>
        <v>0</v>
      </c>
      <c r="AB4" s="30">
        <f t="shared" ref="AB4:AB50" si="13">IFERROR(Z4/(Y4+Z4),0)</f>
        <v>0</v>
      </c>
      <c r="AC4" s="27">
        <f>COUNTIFS([2]InfCualitativo!$B$1:$B$6957,"VERDADERO",[2]InfCualitativo!$E$1:$E$6957,"Arroyo de Piedra",[2]InfCualitativo!$H$1:$H$6957,"urgencia")</f>
        <v>0</v>
      </c>
      <c r="AD4" s="27">
        <f>COUNTIFS([2]InfCualitativo!$B$1:$B$6957,"FALSO",[2]InfCualitativo!$E$1:$E$6957,"Arroyo de Piedra",[2]InfCualitativo!$H$1:$H$6957,"urgencia")</f>
        <v>0</v>
      </c>
      <c r="AE4" s="30">
        <f t="shared" ref="AE4:AE50" si="14">IFERROR(AC4/(AC4+AD4),0)</f>
        <v>0</v>
      </c>
      <c r="AF4" s="30">
        <f t="shared" ref="AF4:AF50" si="15">IFERROR(AD4/(AC4+AD4),0)</f>
        <v>0</v>
      </c>
      <c r="AG4" s="27">
        <f>COUNTIFS([2]InfCualitativo!$B$1:$B$6957,"VERDADERO",[2]InfCualitativo!$E$1:$E$6957,"Arroyo de Piedra",[2]InfCualitativo!$H$1:$H$6957,"pediatria")</f>
        <v>0</v>
      </c>
      <c r="AH4" s="27">
        <f>COUNTIFS([2]InfCualitativo!$B$1:$B$6957,"FALSO",[2]InfCualitativo!$E$1:$E$6957,"Arroyo de Piedra",[2]InfCualitativo!$H$1:$H$6957,"pediatria")</f>
        <v>0</v>
      </c>
      <c r="AI4" s="30">
        <f t="shared" ref="AI4:AI50" si="16">IFERROR(AG4/(AG4+AH4),0)</f>
        <v>0</v>
      </c>
      <c r="AJ4" s="30">
        <f t="shared" ref="AJ4:AJ50" si="17">IFERROR(AH4/(AG4+AH4),0)</f>
        <v>0</v>
      </c>
      <c r="AK4" s="27">
        <f>COUNTIFS([2]InfCualitativo!$B$1:$B$6957,"VERDADERO",[2]InfCualitativo!$E$1:$E$6957,"Arroyo de Piedra",[2]InfCualitativo!$H$1:$H$6957,"medicina_interna")</f>
        <v>0</v>
      </c>
      <c r="AL4" s="27">
        <f>COUNTIFS([2]InfCualitativo!$B$1:$B$6957,"FALSO",[2]InfCualitativo!$E$1:$E$6957,"Arroyo de Piedra",[2]InfCualitativo!$H$1:$H$6957,"medicina_interna")</f>
        <v>0</v>
      </c>
      <c r="AM4" s="30">
        <f t="shared" ref="AM4:AM50" si="18">IFERROR(AK4/(AK4+AL4),0)</f>
        <v>0</v>
      </c>
      <c r="AN4" s="30">
        <f t="shared" ref="AN4:AN50" si="19">IFERROR(AL4/(AK4+AL4),0)</f>
        <v>0</v>
      </c>
      <c r="AO4" s="27">
        <f>COUNTIFS([2]InfCualitativo!$B$1:$B$6957,"VERDADERO",[2]InfCualitativo!$E$1:$E$6957,"Arroyo de Piedra",[2]InfCualitativo!$H$1:$H$6957,"ginecologia")</f>
        <v>0</v>
      </c>
      <c r="AP4" s="27">
        <f>COUNTIFS([2]InfCualitativo!$B$1:$B$6957,"FALSO",[2]InfCualitativo!$E$1:$E$6957,"Arroyo de Piedra",[2]InfCualitativo!$H$1:$H$6957,"ginecologia")</f>
        <v>0</v>
      </c>
      <c r="AQ4" s="30">
        <f t="shared" ref="AQ4:AQ50" si="20">IFERROR(AO4/(AO4+AP4),0)</f>
        <v>0</v>
      </c>
      <c r="AR4" s="30">
        <f t="shared" ref="AR4:AR50" si="21">IFERROR(AP4/(AO4+AP4),0)</f>
        <v>0</v>
      </c>
      <c r="AS4" s="27">
        <f t="shared" ref="AS4:AT50" si="22">SUM(E4+I4+M4+Q4+U4+Y4+AC4+AG4+AK4+AO4)</f>
        <v>113</v>
      </c>
      <c r="AT4" s="27">
        <f t="shared" si="22"/>
        <v>0</v>
      </c>
      <c r="AU4" s="32">
        <f t="shared" ref="AU4:AU50" si="23">IFERROR(AS4/(AS4+AT4),0)</f>
        <v>1</v>
      </c>
      <c r="AV4" s="32">
        <f t="shared" ref="AV4:AV50" si="24">IFERROR(AT4/(AS4+AT4),0)</f>
        <v>0</v>
      </c>
    </row>
    <row r="5" spans="1:48" ht="18.75" x14ac:dyDescent="0.3">
      <c r="A5" s="26" t="s">
        <v>24</v>
      </c>
      <c r="B5" s="27">
        <v>124</v>
      </c>
      <c r="C5" s="27">
        <f t="shared" si="1"/>
        <v>124</v>
      </c>
      <c r="D5" s="28">
        <f t="shared" si="0"/>
        <v>100</v>
      </c>
      <c r="E5" s="29">
        <f>COUNTIFS([2]InfCualitativo!$B$1:$B$6957,"VERDADERO",[2]InfCualitativo!$E$1:$E$6957,"Arroyo Grande",[2]InfCualitativo!$H$1:$H$6957,"consulta_externa")</f>
        <v>52</v>
      </c>
      <c r="F5" s="29">
        <f>COUNTIFS([2]InfCualitativo!$B$1:$B$6957,"FALSO",[2]InfCualitativo!$E$1:$E$6957,"Arroyo Grande",[2]InfCualitativo!$H$1:$H$6957,"consulta_externa")</f>
        <v>0</v>
      </c>
      <c r="G5" s="30">
        <f t="shared" si="2"/>
        <v>1</v>
      </c>
      <c r="H5" s="30">
        <f t="shared" si="3"/>
        <v>0</v>
      </c>
      <c r="I5" s="27">
        <f>COUNTIFS([2]InfCualitativo!$B$1:$B$6957,"VERDADERO",[2]InfCualitativo!$E$1:$E$6957,"Arroyo Grande",[2]InfCualitativo!$H$1:$H$6957,"salud_oral")</f>
        <v>33</v>
      </c>
      <c r="J5" s="27">
        <f>COUNTIFS([2]InfCualitativo!$B$1:$B$6957,"FALSO",[2]InfCualitativo!$E$1:$E$6957,"Arroyo Grande",[2]InfCualitativo!$H$1:$H$6957,"salud_oral")</f>
        <v>0</v>
      </c>
      <c r="K5" s="30">
        <f t="shared" si="4"/>
        <v>1</v>
      </c>
      <c r="L5" s="30">
        <f t="shared" si="5"/>
        <v>0</v>
      </c>
      <c r="M5" s="27">
        <f>COUNTIFS([2]InfCualitativo!$B$1:$B$6957,"VERDADERO",[2]InfCualitativo!$E$1:$E$6957,"Arroyo Grande",[2]InfCualitativo!$H$1:$H$6957,"laboratorio")</f>
        <v>39</v>
      </c>
      <c r="N5" s="27">
        <f>COUNTIFS([2]InfCualitativo!$B$1:$B$6957,"FALSO",[2]InfCualitativo!$E$1:$E$6957,"Arroyo Grande",[2]InfCualitativo!$H$1:$H$6957,"laboratorio")</f>
        <v>0</v>
      </c>
      <c r="O5" s="30">
        <f t="shared" si="6"/>
        <v>1</v>
      </c>
      <c r="P5" s="31">
        <f t="shared" si="7"/>
        <v>0</v>
      </c>
      <c r="Q5" s="27">
        <f>COUNTIFS([2]InfCualitativo!$B$1:$B$6957,"VERDADERO",[2]InfCualitativo!$E$1:$E$6957,"Arroyo Grande",[2]InfCualitativo!$H$1:$H$6957,"electros")</f>
        <v>0</v>
      </c>
      <c r="R5" s="27">
        <f>COUNTIFS([2]InfCualitativo!$B$1:$B$6957,"FALSO",[2]InfCualitativo!$E$1:$E$6957,"Arroyo Grande",[2]InfCualitativo!$H$1:$H$6957,"electros")</f>
        <v>0</v>
      </c>
      <c r="S5" s="30">
        <f t="shared" si="8"/>
        <v>0</v>
      </c>
      <c r="T5" s="30">
        <f t="shared" si="9"/>
        <v>0</v>
      </c>
      <c r="U5" s="27">
        <f>COUNTIFS([2]InfCualitativo!$B$1:$B$6957,"VERDADERO",[2]InfCualitativo!$E$1:$E$6957,"Arroyo Grande",[2]InfCualitativo!$H$1:$H$6957,"rx")</f>
        <v>0</v>
      </c>
      <c r="V5" s="27">
        <f>COUNTIFS([2]InfCualitativo!$B$1:$B$6957,"FALSO",[2]InfCualitativo!$E$1:$E$6957,"Arroyo Grande",[2]InfCualitativo!$H$1:$H$6957,"rx")</f>
        <v>0</v>
      </c>
      <c r="W5" s="30">
        <f t="shared" si="10"/>
        <v>0</v>
      </c>
      <c r="X5" s="30">
        <f t="shared" si="11"/>
        <v>0</v>
      </c>
      <c r="Y5" s="27">
        <f>COUNTIFS([2]InfCualitativo!$B$1:$B$6957,"VERDADERO",[2]InfCualitativo!$E$1:$E$6957,"Arroyo Grande",[2]InfCualitativo!$H$1:$H$6957,"ecografias")</f>
        <v>0</v>
      </c>
      <c r="Z5" s="27">
        <f>COUNTIFS([2]InfCualitativo!$B$1:$B$6957,"FALSO",[2]InfCualitativo!$E$1:$E$6957,"Arroyo Grande",[2]InfCualitativo!$H$1:$H$6957,"ecografias")</f>
        <v>0</v>
      </c>
      <c r="AA5" s="30">
        <f t="shared" si="12"/>
        <v>0</v>
      </c>
      <c r="AB5" s="30">
        <f t="shared" si="13"/>
        <v>0</v>
      </c>
      <c r="AC5" s="27">
        <f>COUNTIFS([2]InfCualitativo!$B$1:$B$6957,"VERDADERO",[2]InfCualitativo!$E$1:$E$6957,"Arroyo Grande",[2]InfCualitativo!$H$1:$H$6957,"urgencia")</f>
        <v>0</v>
      </c>
      <c r="AD5" s="27">
        <f>COUNTIFS([2]InfCualitativo!$B$1:$B$6957,"FALSO",[2]InfCualitativo!$E$1:$E$6957,"Arroyo Grande",[2]InfCualitativo!$H$1:$H$6957,"urgencia")</f>
        <v>0</v>
      </c>
      <c r="AE5" s="30">
        <f t="shared" si="14"/>
        <v>0</v>
      </c>
      <c r="AF5" s="30">
        <f t="shared" si="15"/>
        <v>0</v>
      </c>
      <c r="AG5" s="27">
        <f>COUNTIFS([2]InfCualitativo!$B$1:$B$6957,"VERDADERO",[2]InfCualitativo!$E$1:$E$6957,"Arroyo Grande",[2]InfCualitativo!$H$1:$H$6957,"pediatria")</f>
        <v>0</v>
      </c>
      <c r="AH5" s="27">
        <f>COUNTIFS([2]InfCualitativo!$B$1:$B$6957,"FALSO",[2]InfCualitativo!$E$1:$E$6957,"Arroyo Grande",[2]InfCualitativo!$H$1:$H$6957,"pediatria")</f>
        <v>0</v>
      </c>
      <c r="AI5" s="30">
        <f t="shared" si="16"/>
        <v>0</v>
      </c>
      <c r="AJ5" s="30">
        <f t="shared" si="17"/>
        <v>0</v>
      </c>
      <c r="AK5" s="27">
        <f>COUNTIFS([2]InfCualitativo!$B$1:$B$6957,"VERDADERO",[2]InfCualitativo!$E$1:$E$6957,"Arroyo Grande",[2]InfCualitativo!$H$1:$H$6957,"medicina_interna")</f>
        <v>0</v>
      </c>
      <c r="AL5" s="27">
        <f>COUNTIFS([2]InfCualitativo!$B$1:$B$6957,"FALSO",[2]InfCualitativo!$E$1:$E$6957,"Arroyo Grande",[2]InfCualitativo!$H$1:$H$6957,"medicina_interna")</f>
        <v>0</v>
      </c>
      <c r="AM5" s="30">
        <f t="shared" si="18"/>
        <v>0</v>
      </c>
      <c r="AN5" s="30">
        <f t="shared" si="19"/>
        <v>0</v>
      </c>
      <c r="AO5" s="27">
        <f>COUNTIFS([2]InfCualitativo!$B$1:$B$6957,"VERDADERO",[2]InfCualitativo!$E$1:$E$6957,"Arroyo Grande",[2]InfCualitativo!$H$1:$H$6957,"ginecologia")</f>
        <v>0</v>
      </c>
      <c r="AP5" s="27">
        <f>COUNTIFS([2]InfCualitativo!$B$1:$B$6957,"FALSO",[2]InfCualitativo!$E$1:$E$6957,"Arroyo Grande",[2]InfCualitativo!$H$1:$H$6957,"ginecologia")</f>
        <v>0</v>
      </c>
      <c r="AQ5" s="30">
        <f t="shared" si="20"/>
        <v>0</v>
      </c>
      <c r="AR5" s="30">
        <f t="shared" si="21"/>
        <v>0</v>
      </c>
      <c r="AS5" s="27">
        <f t="shared" si="22"/>
        <v>124</v>
      </c>
      <c r="AT5" s="27">
        <f t="shared" si="22"/>
        <v>0</v>
      </c>
      <c r="AU5" s="32">
        <f t="shared" si="23"/>
        <v>1</v>
      </c>
      <c r="AV5" s="32">
        <f t="shared" si="24"/>
        <v>0</v>
      </c>
    </row>
    <row r="6" spans="1:48" ht="18.75" x14ac:dyDescent="0.3">
      <c r="A6" s="26" t="s">
        <v>25</v>
      </c>
      <c r="B6" s="27">
        <v>168</v>
      </c>
      <c r="C6" s="27">
        <f t="shared" si="1"/>
        <v>168</v>
      </c>
      <c r="D6" s="28">
        <f t="shared" si="0"/>
        <v>100</v>
      </c>
      <c r="E6" s="29">
        <f>COUNTIFS([2]InfCualitativo!$B$1:$B$6957,"VERDADERO",[2]InfCualitativo!$E$1:$E$6957,"Arroz Barato",[2]InfCualitativo!$H$1:$H$6957,"consulta_externa")</f>
        <v>38</v>
      </c>
      <c r="F6" s="29">
        <f>COUNTIFS([2]InfCualitativo!$B$1:$B$6957,"FALSO",[2]InfCualitativo!$E$1:$E$6957,"Arroz Barato",[2]InfCualitativo!$H$1:$H$6957,"consulta_externa")</f>
        <v>0</v>
      </c>
      <c r="G6" s="30">
        <f t="shared" si="2"/>
        <v>1</v>
      </c>
      <c r="H6" s="30">
        <f t="shared" si="3"/>
        <v>0</v>
      </c>
      <c r="I6" s="27">
        <f>COUNTIFS([2]InfCualitativo!$B$1:$B$6957,"VERDADERO",[2]InfCualitativo!$E$1:$E$6957,"Arroz Barato",[2]InfCualitativo!$H$1:$H$6957,"salud_oral")</f>
        <v>36</v>
      </c>
      <c r="J6" s="27">
        <f>COUNTIFS([2]InfCualitativo!$B$1:$B$6957,"FALSO",[2]InfCualitativo!$E$1:$E$6957,"Arroz Barato",[2]InfCualitativo!$H$1:$H$6957,"salud_oral")</f>
        <v>0</v>
      </c>
      <c r="K6" s="30">
        <f t="shared" si="4"/>
        <v>1</v>
      </c>
      <c r="L6" s="30">
        <f t="shared" si="5"/>
        <v>0</v>
      </c>
      <c r="M6" s="27">
        <f>COUNTIFS([2]InfCualitativo!$B$1:$B$6957,"VERDADERO",[2]InfCualitativo!$E$1:$E$6957,"Arroz Barato",[2]InfCualitativo!$H$1:$H$6957,"laboratorio")</f>
        <v>35</v>
      </c>
      <c r="N6" s="27">
        <f>COUNTIFS([2]InfCualitativo!$B$1:$B$6957,"FALSO",[2]InfCualitativo!$E$1:$E$6957,"Arroz Barato",[2]InfCualitativo!$H$1:$H$6957,"laboratorio")</f>
        <v>0</v>
      </c>
      <c r="O6" s="30">
        <f t="shared" si="6"/>
        <v>1</v>
      </c>
      <c r="P6" s="31">
        <f t="shared" si="7"/>
        <v>0</v>
      </c>
      <c r="Q6" s="27">
        <f>COUNTIFS([2]InfCualitativo!$B$1:$B$6957,"VERDADERO",[2]InfCualitativo!$E$1:$E$6957,"Arroz Barato",[2]InfCualitativo!$H$1:$H$6957,"electros")</f>
        <v>0</v>
      </c>
      <c r="R6" s="27">
        <f>COUNTIFS([2]InfCualitativo!$B$1:$B$6957,"FALSO",[2]InfCualitativo!$E$1:$E$6957,"Arroz Barato",[2]InfCualitativo!$H$1:$H$6957,"electros")</f>
        <v>0</v>
      </c>
      <c r="S6" s="30">
        <f t="shared" si="8"/>
        <v>0</v>
      </c>
      <c r="T6" s="30">
        <f t="shared" si="9"/>
        <v>0</v>
      </c>
      <c r="U6" s="27">
        <f>COUNTIFS([2]InfCualitativo!$B$1:$B$6957,"VERDADERO",[2]InfCualitativo!$E$1:$E$6957,"Arroz Barato",[2]InfCualitativo!$H$1:$H$6957,"rx")</f>
        <v>0</v>
      </c>
      <c r="V6" s="27">
        <f>COUNTIFS([2]InfCualitativo!$B$1:$B$6957,"FALSO",[2]InfCualitativo!$E$1:$E$6957,"Arroz Barato",[2]InfCualitativo!$H$1:$H$6957,"rx")</f>
        <v>0</v>
      </c>
      <c r="W6" s="30">
        <f t="shared" si="10"/>
        <v>0</v>
      </c>
      <c r="X6" s="30">
        <f t="shared" si="11"/>
        <v>0</v>
      </c>
      <c r="Y6" s="27">
        <f>COUNTIFS([2]InfCualitativo!$B$1:$B$6957,"VERDADERO",[2]InfCualitativo!$E$1:$E$6957,"Arroz Barato",[2]InfCualitativo!$H$1:$H$6957,"ecografias")</f>
        <v>24</v>
      </c>
      <c r="Z6" s="27">
        <f>COUNTIFS([2]InfCualitativo!$B$1:$B$6957,"FALSO",[2]InfCualitativo!$E$1:$E$6957,"Arroz Barato",[2]InfCualitativo!$H$1:$H$6957,"ecografias")</f>
        <v>0</v>
      </c>
      <c r="AA6" s="30">
        <f t="shared" si="12"/>
        <v>1</v>
      </c>
      <c r="AB6" s="30">
        <f t="shared" si="13"/>
        <v>0</v>
      </c>
      <c r="AC6" s="27">
        <f>COUNTIFS([2]InfCualitativo!$B$1:$B$6957,"VERDADERO",[2]InfCualitativo!$E$1:$E$6957,"Arroz Barato",[2]InfCualitativo!$H$1:$H$6957,"urgencia")</f>
        <v>35</v>
      </c>
      <c r="AD6" s="27">
        <f>COUNTIFS([2]InfCualitativo!$B$1:$B$6957,"FALSO",[2]InfCualitativo!$E$1:$E$6957,"Arroz Barato",[2]InfCualitativo!$H$1:$H$6957,"urgencia")</f>
        <v>0</v>
      </c>
      <c r="AE6" s="30">
        <f t="shared" si="14"/>
        <v>1</v>
      </c>
      <c r="AF6" s="30">
        <f t="shared" si="15"/>
        <v>0</v>
      </c>
      <c r="AG6" s="27">
        <f>COUNTIFS([2]InfCualitativo!$B$1:$B$6957,"VERDADERO",[2]InfCualitativo!$E$1:$E$6957,"Arroz Barato",[2]InfCualitativo!$H$1:$H$6957,"pediatria")</f>
        <v>0</v>
      </c>
      <c r="AH6" s="27">
        <f>COUNTIFS([2]InfCualitativo!$B$1:$B$6957,"FALSO",[2]InfCualitativo!$E$1:$E$6957,"Arroz Barato",[2]InfCualitativo!$H$1:$H$6957,"pediatria")</f>
        <v>0</v>
      </c>
      <c r="AI6" s="30">
        <f t="shared" si="16"/>
        <v>0</v>
      </c>
      <c r="AJ6" s="30">
        <f t="shared" si="17"/>
        <v>0</v>
      </c>
      <c r="AK6" s="27">
        <f>COUNTIFS([2]InfCualitativo!$B$1:$B$6957,"VERDADERO",[2]InfCualitativo!$E$1:$E$6957,"Arroz Barato",[2]InfCualitativo!$H$1:$H$6957,"medicina_interna")</f>
        <v>0</v>
      </c>
      <c r="AL6" s="27">
        <f>COUNTIFS([2]InfCualitativo!$B$1:$B$6957,"FALSO",[2]InfCualitativo!$E$1:$E$6957,"Arroz Barato",[2]InfCualitativo!$H$1:$H$6957,"medicina_interna")</f>
        <v>0</v>
      </c>
      <c r="AM6" s="30">
        <f t="shared" si="18"/>
        <v>0</v>
      </c>
      <c r="AN6" s="30">
        <f t="shared" si="19"/>
        <v>0</v>
      </c>
      <c r="AO6" s="27">
        <f>COUNTIFS([2]InfCualitativo!$B$1:$B$6957,"VERDADERO",[2]InfCualitativo!$E$1:$E$6957,"Arroz Barato",[2]InfCualitativo!$H$1:$H$6957,"ginecologia")</f>
        <v>0</v>
      </c>
      <c r="AP6" s="27">
        <f>COUNTIFS([2]InfCualitativo!$B$1:$B$6957,"FALSO",[2]InfCualitativo!$E$1:$E$6957,"Arroz Barato",[2]InfCualitativo!$H$1:$H$6957,"ginecologia")</f>
        <v>0</v>
      </c>
      <c r="AQ6" s="30">
        <f t="shared" si="20"/>
        <v>0</v>
      </c>
      <c r="AR6" s="30">
        <f t="shared" si="21"/>
        <v>0</v>
      </c>
      <c r="AS6" s="27">
        <f t="shared" si="22"/>
        <v>168</v>
      </c>
      <c r="AT6" s="27">
        <f t="shared" si="22"/>
        <v>0</v>
      </c>
      <c r="AU6" s="32">
        <f t="shared" si="23"/>
        <v>1</v>
      </c>
      <c r="AV6" s="32">
        <f t="shared" si="24"/>
        <v>0</v>
      </c>
    </row>
    <row r="7" spans="1:48" ht="18.75" x14ac:dyDescent="0.3">
      <c r="A7" s="26" t="s">
        <v>26</v>
      </c>
      <c r="B7" s="27">
        <v>156</v>
      </c>
      <c r="C7" s="27">
        <f t="shared" si="1"/>
        <v>144</v>
      </c>
      <c r="D7" s="28">
        <f t="shared" si="0"/>
        <v>92.307692307692307</v>
      </c>
      <c r="E7" s="29">
        <f>COUNTIFS([2]InfCualitativo!$B$1:$B$6957,"VERDADERO",[2]InfCualitativo!$E$1:$E$6957,"Bayunca",[2]InfCualitativo!$H$1:$H$6957,"consulta_externa")</f>
        <v>35</v>
      </c>
      <c r="F7" s="29">
        <f>COUNTIFS([2]InfCualitativo!$B$1:$B$6957,"FALSO",[2]InfCualitativo!$E$1:$E$6957,"Bayunca",[2]InfCualitativo!$H$1:$H$6957,"consulta_externa")</f>
        <v>0</v>
      </c>
      <c r="G7" s="30">
        <f t="shared" si="2"/>
        <v>1</v>
      </c>
      <c r="H7" s="30">
        <f t="shared" si="3"/>
        <v>0</v>
      </c>
      <c r="I7" s="27">
        <f>COUNTIFS([2]InfCualitativo!$B$1:$B$6957,"VERDADERO",[2]InfCualitativo!$E$1:$E$6957,"Bayunca",[2]InfCualitativo!$H$1:$H$6957,"salud_oral")</f>
        <v>36</v>
      </c>
      <c r="J7" s="27">
        <f>COUNTIFS([2]InfCualitativo!$B$1:$B$6957,"FALSO",[2]InfCualitativo!$E$1:$E$6957,"Bayunca",[2]InfCualitativo!$H$1:$H$6957,"salud_oral")</f>
        <v>0</v>
      </c>
      <c r="K7" s="30">
        <f t="shared" si="4"/>
        <v>1</v>
      </c>
      <c r="L7" s="30">
        <f t="shared" si="5"/>
        <v>0</v>
      </c>
      <c r="M7" s="27">
        <f>COUNTIFS([2]InfCualitativo!$B$1:$B$6957,"VERDADERO",[2]InfCualitativo!$E$1:$E$6957,"Bayunca",[2]InfCualitativo!$H$1:$H$6957,"laboratorio")</f>
        <v>38</v>
      </c>
      <c r="N7" s="27">
        <f>COUNTIFS([2]InfCualitativo!$B$1:$B$6957,"FALSO",[2]InfCualitativo!$E$1:$E$6957,"Bayunca",[2]InfCualitativo!$H$1:$H$6957,"laboratorio")</f>
        <v>0</v>
      </c>
      <c r="O7" s="30">
        <f t="shared" si="6"/>
        <v>1</v>
      </c>
      <c r="P7" s="31">
        <f t="shared" si="7"/>
        <v>0</v>
      </c>
      <c r="Q7" s="27">
        <f>COUNTIFS([2]InfCualitativo!$B$1:$B$6957,"VERDADERO",[2]InfCualitativo!$E$1:$E$6957,"Bayunca",[2]InfCualitativo!$H$1:$H$6957,"electros")</f>
        <v>0</v>
      </c>
      <c r="R7" s="27">
        <f>COUNTIFS([2]InfCualitativo!$B$1:$B$6957,"FALSO",[2]InfCualitativo!$E$1:$E$6957,"Bayunca",[2]InfCualitativo!$H$1:$H$6957,"electros")</f>
        <v>0</v>
      </c>
      <c r="S7" s="30">
        <f t="shared" si="8"/>
        <v>0</v>
      </c>
      <c r="T7" s="30">
        <f t="shared" si="9"/>
        <v>0</v>
      </c>
      <c r="U7" s="27">
        <f>COUNTIFS([2]InfCualitativo!$B$1:$B$6957,"VERDADERO",[2]InfCualitativo!$E$1:$E$6957,"Bayunca",[2]InfCualitativo!$H$1:$H$6957,"rx")</f>
        <v>0</v>
      </c>
      <c r="V7" s="27">
        <f>COUNTIFS([2]InfCualitativo!$B$1:$B$6957,"FALSO",[2]InfCualitativo!$E$1:$E$6957,"Bayunca",[2]InfCualitativo!$H$1:$H$6957,"rx")</f>
        <v>0</v>
      </c>
      <c r="W7" s="30">
        <f t="shared" si="10"/>
        <v>0</v>
      </c>
      <c r="X7" s="30">
        <f t="shared" si="11"/>
        <v>0</v>
      </c>
      <c r="Y7" s="27">
        <f>COUNTIFS([2]InfCualitativo!$B$1:$B$6957,"VERDADERO",[2]InfCualitativo!$E$1:$E$6957,"Bayunca",[2]InfCualitativo!$H$1:$H$6957,"ecografias")</f>
        <v>0</v>
      </c>
      <c r="Z7" s="27">
        <f>COUNTIFS([2]InfCualitativo!$B$1:$B$6957,"FALSO",[2]InfCualitativo!$E$1:$E$6957,"Bayunca",[2]InfCualitativo!$H$1:$H$6957,"ecografias")</f>
        <v>0</v>
      </c>
      <c r="AA7" s="30">
        <f t="shared" si="12"/>
        <v>0</v>
      </c>
      <c r="AB7" s="30">
        <f t="shared" si="13"/>
        <v>0</v>
      </c>
      <c r="AC7" s="27">
        <f>COUNTIFS([2]InfCualitativo!$B$1:$B$6957,"VERDADERO",[2]InfCualitativo!$E$1:$E$6957,"Bayunca",[2]InfCualitativo!$H$1:$H$6957,"urgencia")</f>
        <v>35</v>
      </c>
      <c r="AD7" s="27">
        <f>COUNTIFS([2]InfCualitativo!$B$1:$B$6957,"FALSO",[2]InfCualitativo!$E$1:$E$6957,"Bayunca",[2]InfCualitativo!$H$1:$H$6957,"urgencia")</f>
        <v>0</v>
      </c>
      <c r="AE7" s="30">
        <f t="shared" si="14"/>
        <v>1</v>
      </c>
      <c r="AF7" s="30">
        <f t="shared" si="15"/>
        <v>0</v>
      </c>
      <c r="AG7" s="27">
        <f>COUNTIFS([2]InfCualitativo!$B$1:$B$6957,"VERDADERO",[2]InfCualitativo!$E$1:$E$6957,"Bayunca",[2]InfCualitativo!$H$1:$H$6957,"pediatria")</f>
        <v>0</v>
      </c>
      <c r="AH7" s="27">
        <f>COUNTIFS([2]InfCualitativo!$B$1:$B$6957,"FALSO",[2]InfCualitativo!$E$1:$E$6957,"Bayunca",[2]InfCualitativo!$H$1:$H$6957,"pediatria")</f>
        <v>0</v>
      </c>
      <c r="AI7" s="30">
        <f t="shared" si="16"/>
        <v>0</v>
      </c>
      <c r="AJ7" s="30">
        <f t="shared" si="17"/>
        <v>0</v>
      </c>
      <c r="AK7" s="27">
        <f>COUNTIFS([2]InfCualitativo!$B$1:$B$6957,"VERDADERO",[2]InfCualitativo!$E$1:$E$6957,"Bayunca",[2]InfCualitativo!$H$1:$H$6957,"medicina_interna")</f>
        <v>0</v>
      </c>
      <c r="AL7" s="27">
        <f>COUNTIFS([2]InfCualitativo!$B$1:$B$6957,"FALSO",[2]InfCualitativo!$E$1:$E$6957,"Bayunca",[2]InfCualitativo!$H$1:$H$6957,"medicina_interna")</f>
        <v>0</v>
      </c>
      <c r="AM7" s="30">
        <f t="shared" si="18"/>
        <v>0</v>
      </c>
      <c r="AN7" s="30">
        <f t="shared" si="19"/>
        <v>0</v>
      </c>
      <c r="AO7" s="27">
        <f>COUNTIFS([2]InfCualitativo!$B$1:$B$6957,"VERDADERO",[2]InfCualitativo!$E$1:$E$6957,"Bayunca",[2]InfCualitativo!$H$1:$H$6957,"ginecologia")</f>
        <v>0</v>
      </c>
      <c r="AP7" s="27">
        <f>COUNTIFS([2]InfCualitativo!$B$1:$B$6957,"FALSO",[2]InfCualitativo!$E$1:$E$6957,"Bayunca",[2]InfCualitativo!$H$1:$H$6957,"ginecologia")</f>
        <v>0</v>
      </c>
      <c r="AQ7" s="30">
        <f t="shared" si="20"/>
        <v>0</v>
      </c>
      <c r="AR7" s="30">
        <f t="shared" si="21"/>
        <v>0</v>
      </c>
      <c r="AS7" s="27">
        <f t="shared" si="22"/>
        <v>144</v>
      </c>
      <c r="AT7" s="27">
        <f t="shared" si="22"/>
        <v>0</v>
      </c>
      <c r="AU7" s="32">
        <f t="shared" si="23"/>
        <v>1</v>
      </c>
      <c r="AV7" s="32">
        <f t="shared" si="24"/>
        <v>0</v>
      </c>
    </row>
    <row r="8" spans="1:48" ht="18.75" x14ac:dyDescent="0.3">
      <c r="A8" s="26" t="s">
        <v>27</v>
      </c>
      <c r="B8" s="27">
        <v>181</v>
      </c>
      <c r="C8" s="27">
        <f t="shared" si="1"/>
        <v>181</v>
      </c>
      <c r="D8" s="28">
        <f t="shared" si="0"/>
        <v>100</v>
      </c>
      <c r="E8" s="29">
        <f>COUNTIFS([2]InfCualitativo!$B$1:$B$6957,"VERDADERO",[2]InfCualitativo!$E$1:$E$6957,"Bicentenario",[2]InfCualitativo!$H$1:$H$6957,"consulta_externa")</f>
        <v>25</v>
      </c>
      <c r="F8" s="29">
        <f>COUNTIFS([2]InfCualitativo!$B$1:$B$6957,"FALSO",[2]InfCualitativo!$E$1:$E$6957,"Bicentenario",[2]InfCualitativo!$H$1:$H$6957,"consulta_externa")</f>
        <v>12</v>
      </c>
      <c r="G8" s="30">
        <f t="shared" si="2"/>
        <v>0.67567567567567566</v>
      </c>
      <c r="H8" s="30">
        <f t="shared" si="3"/>
        <v>0.32432432432432434</v>
      </c>
      <c r="I8" s="27">
        <f>COUNTIFS([2]InfCualitativo!$B$1:$B$6957,"VERDADERO",[2]InfCualitativo!$E$1:$E$6957,"Bicentenario",[2]InfCualitativo!$H$1:$H$6957,"salud_oral")</f>
        <v>28</v>
      </c>
      <c r="J8" s="27">
        <f>COUNTIFS([2]InfCualitativo!$B$1:$B$6957,"FALSO",[2]InfCualitativo!$E$1:$E$6957,"Bicentenario",[2]InfCualitativo!$H$1:$H$6957,"salud_oral")</f>
        <v>8</v>
      </c>
      <c r="K8" s="30">
        <f t="shared" si="4"/>
        <v>0.77777777777777779</v>
      </c>
      <c r="L8" s="30">
        <f t="shared" si="5"/>
        <v>0.22222222222222221</v>
      </c>
      <c r="M8" s="27">
        <f>COUNTIFS([2]InfCualitativo!$B$1:$B$6957,"VERDADERO",[2]InfCualitativo!$E$1:$E$6957,"Bicentenario",[2]InfCualitativo!$H$1:$H$6957,"laboratorio")</f>
        <v>28</v>
      </c>
      <c r="N8" s="27">
        <f>COUNTIFS([2]InfCualitativo!$B$1:$B$6957,"FALSO",[2]InfCualitativo!$E$1:$E$6957,"Bicentenario",[2]InfCualitativo!$H$1:$H$6957,"laboratorio")</f>
        <v>8</v>
      </c>
      <c r="O8" s="30">
        <f t="shared" si="6"/>
        <v>0.77777777777777779</v>
      </c>
      <c r="P8" s="31">
        <f t="shared" si="7"/>
        <v>0.22222222222222221</v>
      </c>
      <c r="Q8" s="27">
        <f>COUNTIFS([2]InfCualitativo!$B$1:$B$6957,"VERDADERO",[2]InfCualitativo!$E$1:$E$6957,"Bicentenario",[2]InfCualitativo!$H$1:$H$6957,"electros")</f>
        <v>0</v>
      </c>
      <c r="R8" s="27">
        <f>COUNTIFS([2]InfCualitativo!$B$1:$B$6957,"FALSO",[2]InfCualitativo!$E$1:$E$6957,"Bicentenario",[2]InfCualitativo!$H$1:$H$6957,"electros")</f>
        <v>0</v>
      </c>
      <c r="S8" s="30">
        <f t="shared" si="8"/>
        <v>0</v>
      </c>
      <c r="T8" s="30">
        <f t="shared" si="9"/>
        <v>0</v>
      </c>
      <c r="U8" s="27">
        <f>COUNTIFS([2]InfCualitativo!$B$1:$B$6957,"VERDADERO",[2]InfCualitativo!$E$1:$E$6957,"Bicentenario",[2]InfCualitativo!$H$1:$H$6957,"rx")</f>
        <v>19</v>
      </c>
      <c r="V8" s="27">
        <f>COUNTIFS([2]InfCualitativo!$B$1:$B$6957,"FALSO",[2]InfCualitativo!$E$1:$E$6957,"Bicentenario",[2]InfCualitativo!$H$1:$H$6957,"rx")</f>
        <v>17</v>
      </c>
      <c r="W8" s="30">
        <f t="shared" si="10"/>
        <v>0.52777777777777779</v>
      </c>
      <c r="X8" s="30">
        <f t="shared" si="11"/>
        <v>0.47222222222222221</v>
      </c>
      <c r="Y8" s="27">
        <f>COUNTIFS([2]InfCualitativo!$B$1:$B$6957,"VERDADERO",[2]InfCualitativo!$E$1:$E$6957,"Bicentenario",[2]InfCualitativo!$H$1:$H$6957,"ecografias")</f>
        <v>0</v>
      </c>
      <c r="Z8" s="27">
        <f>COUNTIFS([2]InfCualitativo!$B$1:$B$6957,"FALSO",[2]InfCualitativo!$E$1:$E$6957,"Bicentenario",[2]InfCualitativo!$H$1:$H$6957,"ecografias")</f>
        <v>0</v>
      </c>
      <c r="AA8" s="30">
        <f t="shared" si="12"/>
        <v>0</v>
      </c>
      <c r="AB8" s="30">
        <f t="shared" si="13"/>
        <v>0</v>
      </c>
      <c r="AC8" s="27">
        <f>COUNTIFS([2]InfCualitativo!$B$1:$B$6957,"VERDADERO",[2]InfCualitativo!$E$1:$E$6957,"Bicentenario",[2]InfCualitativo!$H$1:$H$6957,"urgencia")</f>
        <v>22</v>
      </c>
      <c r="AD8" s="27">
        <f>COUNTIFS([2]InfCualitativo!$B$1:$B$6957,"FALSO",[2]InfCualitativo!$E$1:$E$6957,"Bicentenario",[2]InfCualitativo!$H$1:$H$6957,"urgencia")</f>
        <v>14</v>
      </c>
      <c r="AE8" s="30">
        <f t="shared" si="14"/>
        <v>0.61111111111111116</v>
      </c>
      <c r="AF8" s="30">
        <f t="shared" si="15"/>
        <v>0.3888888888888889</v>
      </c>
      <c r="AG8" s="27">
        <f>COUNTIFS([2]InfCualitativo!$B$1:$B$6957,"VERDADERO",[2]InfCualitativo!$E$1:$E$6957,"Bicentenario",[2]InfCualitativo!$H$1:$H$6957,"pediatria")</f>
        <v>0</v>
      </c>
      <c r="AH8" s="27">
        <f>COUNTIFS([2]InfCualitativo!$B$1:$B$6957,"FALSO",[2]InfCualitativo!$E$1:$E$6957,"Bicentenario",[2]InfCualitativo!$H$1:$H$6957,"pediatria")</f>
        <v>0</v>
      </c>
      <c r="AI8" s="30">
        <f t="shared" si="16"/>
        <v>0</v>
      </c>
      <c r="AJ8" s="30">
        <f t="shared" si="17"/>
        <v>0</v>
      </c>
      <c r="AK8" s="27">
        <f>COUNTIFS([2]InfCualitativo!$B$1:$B$6957,"VERDADERO",[2]InfCualitativo!$E$1:$E$6957,"Bicentenario",[2]InfCualitativo!$H$1:$H$6957,"medicina_interna")</f>
        <v>0</v>
      </c>
      <c r="AL8" s="27">
        <f>COUNTIFS([2]InfCualitativo!$B$1:$B$6957,"FALSO",[2]InfCualitativo!$E$1:$E$6957,"Bicentenario",[2]InfCualitativo!$H$1:$H$6957,"medicina_interna")</f>
        <v>0</v>
      </c>
      <c r="AM8" s="30">
        <f t="shared" si="18"/>
        <v>0</v>
      </c>
      <c r="AN8" s="30">
        <f t="shared" si="19"/>
        <v>0</v>
      </c>
      <c r="AO8" s="27">
        <f>COUNTIFS([2]InfCualitativo!$B$1:$B$6957,"VERDADERO",[2]InfCualitativo!$E$1:$E$6957,"Bicentenario",[2]InfCualitativo!$H$1:$H$6957,"ginecologia")</f>
        <v>0</v>
      </c>
      <c r="AP8" s="27">
        <f>COUNTIFS([2]InfCualitativo!$B$1:$B$6957,"FALSO",[2]InfCualitativo!$E$1:$E$6957,"Bicentenario",[2]InfCualitativo!$H$1:$H$6957,"ginecologia")</f>
        <v>0</v>
      </c>
      <c r="AQ8" s="30">
        <f t="shared" si="20"/>
        <v>0</v>
      </c>
      <c r="AR8" s="30">
        <f t="shared" si="21"/>
        <v>0</v>
      </c>
      <c r="AS8" s="27">
        <f t="shared" si="22"/>
        <v>122</v>
      </c>
      <c r="AT8" s="27">
        <f t="shared" si="22"/>
        <v>59</v>
      </c>
      <c r="AU8" s="32">
        <f t="shared" si="23"/>
        <v>0.67403314917127077</v>
      </c>
      <c r="AV8" s="32">
        <f t="shared" si="24"/>
        <v>0.32596685082872928</v>
      </c>
    </row>
    <row r="9" spans="1:48" ht="18.75" x14ac:dyDescent="0.3">
      <c r="A9" s="26" t="s">
        <v>28</v>
      </c>
      <c r="B9" s="27">
        <v>236</v>
      </c>
      <c r="C9" s="27">
        <f t="shared" si="1"/>
        <v>204</v>
      </c>
      <c r="D9" s="28">
        <f t="shared" si="0"/>
        <v>86.440677966101688</v>
      </c>
      <c r="E9" s="29">
        <f>COUNTIFS([2]InfCualitativo!$B$1:$B$6957,"VERDADERO",[2]InfCualitativo!$E$1:$E$6957,"Blasdelezo",[2]InfCualitativo!$H$1:$H$6957,"consulta_externa")</f>
        <v>32</v>
      </c>
      <c r="F9" s="29">
        <f>COUNTIFS([2]InfCualitativo!$B$1:$B$6957,"FALSO",[2]InfCualitativo!$E$1:$E$6957,"Blasdelezo",[2]InfCualitativo!$H$1:$H$6957,"consulta_externa")</f>
        <v>12</v>
      </c>
      <c r="G9" s="30">
        <f t="shared" si="2"/>
        <v>0.72727272727272729</v>
      </c>
      <c r="H9" s="30">
        <f t="shared" si="3"/>
        <v>0.27272727272727271</v>
      </c>
      <c r="I9" s="27">
        <f>COUNTIFS([2]InfCualitativo!$B$1:$B$6957,"VERDADERO",[2]InfCualitativo!$E$1:$E$6957,"Blasdelezo",[2]InfCualitativo!$H$1:$H$6957,"salud_oral")</f>
        <v>37</v>
      </c>
      <c r="J9" s="27">
        <f>COUNTIFS([2]InfCualitativo!$B$1:$B$6957,"FALSO",[2]InfCualitativo!$E$1:$E$6957,"Blasdelezo",[2]InfCualitativo!$H$1:$H$6957,"salud_oral")</f>
        <v>2</v>
      </c>
      <c r="K9" s="30">
        <f t="shared" si="4"/>
        <v>0.94871794871794868</v>
      </c>
      <c r="L9" s="30">
        <f t="shared" si="5"/>
        <v>5.128205128205128E-2</v>
      </c>
      <c r="M9" s="27">
        <f>COUNTIFS([2]InfCualitativo!$B$1:$B$6957,"VERDADERO",[2]InfCualitativo!$E$1:$E$6957,"Blasdelezo",[2]InfCualitativo!$H$1:$H$6957,"laboratorio")</f>
        <v>41</v>
      </c>
      <c r="N9" s="27">
        <f>COUNTIFS([2]InfCualitativo!$B$1:$B$6957,"FALSO",[2]InfCualitativo!$E$1:$E$6957,"Blasdelezo",[2]InfCualitativo!$H$1:$H$6957,"laboratorio")</f>
        <v>5</v>
      </c>
      <c r="O9" s="30">
        <f t="shared" si="6"/>
        <v>0.89130434782608692</v>
      </c>
      <c r="P9" s="31">
        <f t="shared" si="7"/>
        <v>0.10869565217391304</v>
      </c>
      <c r="Q9" s="27">
        <f>COUNTIFS([2]InfCualitativo!$B$1:$B$6957,"VERDADERO",[2]InfCualitativo!$E$1:$E$6957,"Blasdelezo",[2]InfCualitativo!$H$1:$H$6957,"electros")</f>
        <v>0</v>
      </c>
      <c r="R9" s="27">
        <f>COUNTIFS([2]InfCualitativo!$B$1:$B$6957,"FALSO",[2]InfCualitativo!$E$1:$E$6957,"Blasdelezo",[2]InfCualitativo!$H$1:$H$6957,"electros")</f>
        <v>0</v>
      </c>
      <c r="S9" s="30">
        <f t="shared" si="8"/>
        <v>0</v>
      </c>
      <c r="T9" s="30">
        <f t="shared" si="9"/>
        <v>0</v>
      </c>
      <c r="U9" s="27">
        <f>COUNTIFS([2]InfCualitativo!$B$1:$B$6957,"VERDADERO",[2]InfCualitativo!$E$1:$E$6957,"Blasdelezo",[2]InfCualitativo!$H$1:$H$6957,"rx")</f>
        <v>0</v>
      </c>
      <c r="V9" s="27">
        <f>COUNTIFS([2]InfCualitativo!$B$1:$B$6957,"FALSO",[2]InfCualitativo!$E$1:$E$6957,"Blasdelezo",[2]InfCualitativo!$H$1:$H$6957,"rx")</f>
        <v>0</v>
      </c>
      <c r="W9" s="30">
        <f t="shared" si="10"/>
        <v>0</v>
      </c>
      <c r="X9" s="30">
        <f t="shared" si="11"/>
        <v>0</v>
      </c>
      <c r="Y9" s="27">
        <f>COUNTIFS([2]InfCualitativo!$B$1:$B$6957,"VERDADERO",[2]InfCualitativo!$E$1:$E$6957,"Blasdelezo",[2]InfCualitativo!$H$1:$H$6957,"ecografias")</f>
        <v>0</v>
      </c>
      <c r="Z9" s="27">
        <f>COUNTIFS([2]InfCualitativo!$B$1:$B$6957,"FALSO",[2]InfCualitativo!$E$1:$E$6957,"Blasdelezo",[2]InfCualitativo!$H$1:$H$6957,"ecografias")</f>
        <v>0</v>
      </c>
      <c r="AA9" s="30">
        <f t="shared" si="12"/>
        <v>0</v>
      </c>
      <c r="AB9" s="30">
        <f t="shared" si="13"/>
        <v>0</v>
      </c>
      <c r="AC9" s="27">
        <f>COUNTIFS([2]InfCualitativo!$B$1:$B$6957,"VERDADERO",[2]InfCualitativo!$E$1:$E$6957,"Blasdelezo",[2]InfCualitativo!$H$1:$H$6957,"urgencia")</f>
        <v>31</v>
      </c>
      <c r="AD9" s="27">
        <f>COUNTIFS([2]InfCualitativo!$B$1:$B$6957,"FALSO",[2]InfCualitativo!$E$1:$E$6957,"Blasdelezo",[2]InfCualitativo!$H$1:$H$6957,"urgencia")</f>
        <v>10</v>
      </c>
      <c r="AE9" s="30">
        <f t="shared" si="14"/>
        <v>0.75609756097560976</v>
      </c>
      <c r="AF9" s="30">
        <f t="shared" si="15"/>
        <v>0.24390243902439024</v>
      </c>
      <c r="AG9" s="27">
        <f>COUNTIFS([2]InfCualitativo!$B$1:$B$6957,"VERDADERO",[2]InfCualitativo!$E$1:$E$6957,"Blasdelezo",[2]InfCualitativo!$H$1:$H$6957,"pediatria")</f>
        <v>10</v>
      </c>
      <c r="AH9" s="27">
        <f>COUNTIFS([2]InfCualitativo!$B$1:$B$6957,"FALSO",[2]InfCualitativo!$E$1:$E$6957,"Blasdelezo",[2]InfCualitativo!$H$1:$H$6957,"pediatria")</f>
        <v>0</v>
      </c>
      <c r="AI9" s="30">
        <f t="shared" si="16"/>
        <v>1</v>
      </c>
      <c r="AJ9" s="30">
        <f t="shared" si="17"/>
        <v>0</v>
      </c>
      <c r="AK9" s="27">
        <f>COUNTIFS([2]InfCualitativo!$B$1:$B$6957,"VERDADERO",[2]InfCualitativo!$E$1:$E$6957,"Blasdelezo",[2]InfCualitativo!$H$1:$H$6957,"medicina_interna")</f>
        <v>23</v>
      </c>
      <c r="AL9" s="27">
        <f>COUNTIFS([2]InfCualitativo!$B$1:$B$6957,"FALSO",[2]InfCualitativo!$E$1:$E$6957,"Blasdelezo",[2]InfCualitativo!$H$1:$H$6957,"medicina_interna")</f>
        <v>1</v>
      </c>
      <c r="AM9" s="30">
        <f t="shared" si="18"/>
        <v>0.95833333333333337</v>
      </c>
      <c r="AN9" s="30">
        <f t="shared" si="19"/>
        <v>4.1666666666666664E-2</v>
      </c>
      <c r="AO9" s="27">
        <f>COUNTIFS([2]InfCualitativo!$B$1:$B$6957,"VERDADERO",[2]InfCualitativo!$E$1:$E$6957,"Blasdelezo",[2]InfCualitativo!$H$1:$H$6957,"ginecologia")</f>
        <v>0</v>
      </c>
      <c r="AP9" s="27">
        <f>COUNTIFS([2]InfCualitativo!$B$1:$B$6957,"FALSO",[2]InfCualitativo!$E$1:$E$6957,"Blasdelezo",[2]InfCualitativo!$H$1:$H$6957,"ginecologia")</f>
        <v>0</v>
      </c>
      <c r="AQ9" s="30">
        <f t="shared" si="20"/>
        <v>0</v>
      </c>
      <c r="AR9" s="30">
        <f t="shared" si="21"/>
        <v>0</v>
      </c>
      <c r="AS9" s="27">
        <f t="shared" si="22"/>
        <v>174</v>
      </c>
      <c r="AT9" s="27">
        <f t="shared" si="22"/>
        <v>30</v>
      </c>
      <c r="AU9" s="32">
        <f t="shared" si="23"/>
        <v>0.8529411764705882</v>
      </c>
      <c r="AV9" s="32">
        <f t="shared" si="24"/>
        <v>0.14705882352941177</v>
      </c>
    </row>
    <row r="10" spans="1:48" ht="18.75" x14ac:dyDescent="0.3">
      <c r="A10" s="26" t="s">
        <v>29</v>
      </c>
      <c r="B10" s="27">
        <v>185</v>
      </c>
      <c r="C10" s="27">
        <f t="shared" si="1"/>
        <v>185</v>
      </c>
      <c r="D10" s="28">
        <f t="shared" si="0"/>
        <v>100</v>
      </c>
      <c r="E10" s="29">
        <f>COUNTIFS([2]InfCualitativo!$B$1:$B$6957,"VERDADERO",[2]InfCualitativo!$E$1:$E$6957,"Bocachica",[2]InfCualitativo!$H$1:$H$6957,"consulta_externa")</f>
        <v>44</v>
      </c>
      <c r="F10" s="29">
        <f>COUNTIFS([2]InfCualitativo!$B$1:$B$6957,"FALSO",[2]InfCualitativo!$E$1:$E$6957,"Bocachica",[2]InfCualitativo!$H$1:$H$6957,"consulta_externa")</f>
        <v>4</v>
      </c>
      <c r="G10" s="30">
        <f t="shared" si="2"/>
        <v>0.91666666666666663</v>
      </c>
      <c r="H10" s="30">
        <f t="shared" si="3"/>
        <v>8.3333333333333329E-2</v>
      </c>
      <c r="I10" s="27">
        <f>COUNTIFS([2]InfCualitativo!$B$1:$B$6957,"VERDADERO",[2]InfCualitativo!$E$1:$E$6957,"Bocachica",[2]InfCualitativo!$H$1:$H$6957,"salud_oral")</f>
        <v>48</v>
      </c>
      <c r="J10" s="27">
        <f>COUNTIFS([2]InfCualitativo!$B$1:$B$6957,"FALSO",[2]InfCualitativo!$E$1:$E$6957,"Bocachica",[2]InfCualitativo!$H$1:$H$6957,"salud_oral")</f>
        <v>0</v>
      </c>
      <c r="K10" s="30">
        <f t="shared" si="4"/>
        <v>1</v>
      </c>
      <c r="L10" s="30">
        <f t="shared" si="5"/>
        <v>0</v>
      </c>
      <c r="M10" s="27">
        <f>COUNTIFS([2]InfCualitativo!$B$1:$B$6957,"VERDADERO",[2]InfCualitativo!$E$1:$E$6957,"Bocachica",[2]InfCualitativo!$H$1:$H$6957,"laboratorio")</f>
        <v>38</v>
      </c>
      <c r="N10" s="27">
        <f>COUNTIFS([2]InfCualitativo!$B$1:$B$6957,"FALSO",[2]InfCualitativo!$E$1:$E$6957,"Bocachica",[2]InfCualitativo!$H$1:$H$6957,"laboratorio")</f>
        <v>6</v>
      </c>
      <c r="O10" s="30">
        <f t="shared" si="6"/>
        <v>0.86363636363636365</v>
      </c>
      <c r="P10" s="31">
        <f t="shared" si="7"/>
        <v>0.13636363636363635</v>
      </c>
      <c r="Q10" s="27">
        <f>COUNTIFS([2]InfCualitativo!$B$1:$B$6957,"VERDADERO",[2]InfCualitativo!$E$1:$E$6957,"Bocachica",[2]InfCualitativo!$H$1:$H$6957,"electros")</f>
        <v>0</v>
      </c>
      <c r="R10" s="27">
        <f>COUNTIFS([2]InfCualitativo!$B$1:$B$6957,"FALSO",[2]InfCualitativo!$E$1:$E$6957,"Bocachica",[2]InfCualitativo!$H$1:$H$6957,"electros")</f>
        <v>0</v>
      </c>
      <c r="S10" s="30">
        <f t="shared" si="8"/>
        <v>0</v>
      </c>
      <c r="T10" s="30">
        <f t="shared" si="9"/>
        <v>0</v>
      </c>
      <c r="U10" s="27">
        <f>COUNTIFS([2]InfCualitativo!$B$1:$B$6957,"VERDADERO",[2]InfCualitativo!$E$1:$E$6957,"Bocachica",[2]InfCualitativo!$H$1:$H$6957,"rx")</f>
        <v>0</v>
      </c>
      <c r="V10" s="27">
        <f>COUNTIFS([2]InfCualitativo!$B$1:$B$6957,"FALSO",[2]InfCualitativo!$E$1:$E$6957,"Bocachica",[2]InfCualitativo!$H$1:$H$6957,"rx")</f>
        <v>0</v>
      </c>
      <c r="W10" s="30">
        <f t="shared" si="10"/>
        <v>0</v>
      </c>
      <c r="X10" s="30">
        <f t="shared" si="11"/>
        <v>0</v>
      </c>
      <c r="Y10" s="27">
        <f>COUNTIFS([2]InfCualitativo!$B$1:$B$6957,"VERDADERO",[2]InfCualitativo!$E$1:$E$6957,"Bocachica",[2]InfCualitativo!$H$1:$H$6957,"ecografias")</f>
        <v>0</v>
      </c>
      <c r="Z10" s="27">
        <f>COUNTIFS([2]InfCualitativo!$B$1:$B$6957,"FALSO",[2]InfCualitativo!$E$1:$E$6957,"Bocachica",[2]InfCualitativo!$H$1:$H$6957,"ecografias")</f>
        <v>0</v>
      </c>
      <c r="AA10" s="30">
        <f t="shared" si="12"/>
        <v>0</v>
      </c>
      <c r="AB10" s="30">
        <f t="shared" si="13"/>
        <v>0</v>
      </c>
      <c r="AC10" s="27">
        <f>COUNTIFS([2]InfCualitativo!$B$1:$B$6957,"VERDADERO",[2]InfCualitativo!$E$1:$E$6957,"Bocachica",[2]InfCualitativo!$H$1:$H$6957,"urgencia")</f>
        <v>31</v>
      </c>
      <c r="AD10" s="27">
        <f>COUNTIFS([2]InfCualitativo!$B$1:$B$6957,"FALSO",[2]InfCualitativo!$E$1:$E$6957,"Bocachica",[2]InfCualitativo!$H$1:$H$6957,"urgencia")</f>
        <v>14</v>
      </c>
      <c r="AE10" s="30">
        <f t="shared" si="14"/>
        <v>0.68888888888888888</v>
      </c>
      <c r="AF10" s="30">
        <f t="shared" si="15"/>
        <v>0.31111111111111112</v>
      </c>
      <c r="AG10" s="27">
        <f>COUNTIFS([2]InfCualitativo!$B$1:$B$6957,"VERDADERO",[2]InfCualitativo!$E$1:$E$6957,"Bocachica",[2]InfCualitativo!$H$1:$H$6957,"pediatria")</f>
        <v>0</v>
      </c>
      <c r="AH10" s="27">
        <f>COUNTIFS([2]InfCualitativo!$B$1:$B$6957,"FALSO",[2]InfCualitativo!$E$1:$E$6957,"Bocachica",[2]InfCualitativo!$H$1:$H$6957,"pediatria")</f>
        <v>0</v>
      </c>
      <c r="AI10" s="30">
        <f t="shared" si="16"/>
        <v>0</v>
      </c>
      <c r="AJ10" s="30">
        <f t="shared" si="17"/>
        <v>0</v>
      </c>
      <c r="AK10" s="27">
        <f>COUNTIFS([2]InfCualitativo!$B$1:$B$6957,"VERDADERO",[2]InfCualitativo!$E$1:$E$6957,"Bocachica",[2]InfCualitativo!$H$1:$H$6957,"medicina_interna")</f>
        <v>0</v>
      </c>
      <c r="AL10" s="27">
        <f>COUNTIFS([2]InfCualitativo!$B$1:$B$6957,"FALSO",[2]InfCualitativo!$E$1:$E$6957,"Bocachica",[2]InfCualitativo!$H$1:$H$6957,"medicina_interna")</f>
        <v>0</v>
      </c>
      <c r="AM10" s="30">
        <f t="shared" si="18"/>
        <v>0</v>
      </c>
      <c r="AN10" s="30">
        <f t="shared" si="19"/>
        <v>0</v>
      </c>
      <c r="AO10" s="27">
        <f>COUNTIFS([2]InfCualitativo!$B$1:$B$6957,"VERDADERO",[2]InfCualitativo!$E$1:$E$6957,"Bocachica",[2]InfCualitativo!$H$1:$H$6957,"ginecologia")</f>
        <v>0</v>
      </c>
      <c r="AP10" s="27">
        <f>COUNTIFS([2]InfCualitativo!$B$1:$B$6957,"FALSO",[2]InfCualitativo!$E$1:$E$6957,"Bocachica",[2]InfCualitativo!$H$1:$H$6957,"ginecologia")</f>
        <v>0</v>
      </c>
      <c r="AQ10" s="30">
        <f t="shared" si="20"/>
        <v>0</v>
      </c>
      <c r="AR10" s="30">
        <f t="shared" si="21"/>
        <v>0</v>
      </c>
      <c r="AS10" s="27">
        <f t="shared" si="22"/>
        <v>161</v>
      </c>
      <c r="AT10" s="27">
        <f t="shared" si="22"/>
        <v>24</v>
      </c>
      <c r="AU10" s="32">
        <f t="shared" si="23"/>
        <v>0.87027027027027026</v>
      </c>
      <c r="AV10" s="32">
        <f t="shared" si="24"/>
        <v>0.12972972972972974</v>
      </c>
    </row>
    <row r="11" spans="1:48" ht="18.75" x14ac:dyDescent="0.3">
      <c r="A11" s="26" t="s">
        <v>30</v>
      </c>
      <c r="B11" s="27">
        <v>196</v>
      </c>
      <c r="C11" s="27">
        <f t="shared" si="1"/>
        <v>192</v>
      </c>
      <c r="D11" s="28">
        <f t="shared" si="0"/>
        <v>97.959183673469383</v>
      </c>
      <c r="E11" s="29">
        <f>COUNTIFS([2]InfCualitativo!$B$1:$B$6957,"VERDADERO",[2]InfCualitativo!$E$1:$E$6957,"Boquilla",[2]InfCualitativo!$H$1:$H$6957,"consulta_externa")</f>
        <v>38</v>
      </c>
      <c r="F11" s="29">
        <f>COUNTIFS([2]InfCualitativo!$B$1:$B$6957,"FALSO",[2]InfCualitativo!$E$1:$E$6957,"Boquilla",[2]InfCualitativo!$H$1:$H$6957,"consulta_externa")</f>
        <v>13</v>
      </c>
      <c r="G11" s="30">
        <f t="shared" si="2"/>
        <v>0.74509803921568629</v>
      </c>
      <c r="H11" s="30">
        <f t="shared" si="3"/>
        <v>0.25490196078431371</v>
      </c>
      <c r="I11" s="27">
        <f>COUNTIFS([2]InfCualitativo!$B$1:$B$6957,"VERDADERO",[2]InfCualitativo!$E$1:$E$6957,"Boquilla",[2]InfCualitativo!$H$1:$H$6957,"salud_oral")</f>
        <v>38</v>
      </c>
      <c r="J11" s="27">
        <f>COUNTIFS([2]InfCualitativo!$B$1:$B$6957,"FALSO",[2]InfCualitativo!$E$1:$E$6957,"Boquilla",[2]InfCualitativo!$H$1:$H$6957,"salud_oral")</f>
        <v>8</v>
      </c>
      <c r="K11" s="30">
        <f t="shared" si="4"/>
        <v>0.82608695652173914</v>
      </c>
      <c r="L11" s="30">
        <f t="shared" si="5"/>
        <v>0.17391304347826086</v>
      </c>
      <c r="M11" s="27">
        <f>COUNTIFS([2]InfCualitativo!$B$1:$B$6957,"VERDADERO",[2]InfCualitativo!$E$1:$E$6957,"Boquilla",[2]InfCualitativo!$H$1:$H$6957,"laboratorio")</f>
        <v>32</v>
      </c>
      <c r="N11" s="27">
        <f>COUNTIFS([2]InfCualitativo!$B$1:$B$6957,"FALSO",[2]InfCualitativo!$E$1:$E$6957,"Boquilla",[2]InfCualitativo!$H$1:$H$6957,"laboratorio")</f>
        <v>16</v>
      </c>
      <c r="O11" s="30">
        <f t="shared" si="6"/>
        <v>0.66666666666666663</v>
      </c>
      <c r="P11" s="31">
        <f t="shared" si="7"/>
        <v>0.33333333333333331</v>
      </c>
      <c r="Q11" s="27">
        <f>COUNTIFS([2]InfCualitativo!$B$1:$B$6957,"VERDADERO",[2]InfCualitativo!$E$1:$E$6957,"Boquilla",[2]InfCualitativo!$H$1:$H$6957,"electros")</f>
        <v>0</v>
      </c>
      <c r="R11" s="27">
        <f>COUNTIFS([2]InfCualitativo!$B$1:$B$6957,"FALSO",[2]InfCualitativo!$E$1:$E$6957,"Boquilla",[2]InfCualitativo!$H$1:$H$6957,"electros")</f>
        <v>0</v>
      </c>
      <c r="S11" s="30">
        <f t="shared" si="8"/>
        <v>0</v>
      </c>
      <c r="T11" s="30">
        <f t="shared" si="9"/>
        <v>0</v>
      </c>
      <c r="U11" s="27">
        <f>COUNTIFS([2]InfCualitativo!$B$1:$B$6957,"VERDADERO",[2]InfCualitativo!$E$1:$E$6957,"Boquilla",[2]InfCualitativo!$H$1:$H$6957,"rx")</f>
        <v>0</v>
      </c>
      <c r="V11" s="27">
        <f>COUNTIFS([2]InfCualitativo!$B$1:$B$6957,"FALSO",[2]InfCualitativo!$E$1:$E$6957,"Boquilla",[2]InfCualitativo!$H$1:$H$6957,"rx")</f>
        <v>0</v>
      </c>
      <c r="W11" s="30">
        <f t="shared" si="10"/>
        <v>0</v>
      </c>
      <c r="X11" s="30">
        <f t="shared" si="11"/>
        <v>0</v>
      </c>
      <c r="Y11" s="27">
        <f>COUNTIFS([2]InfCualitativo!$B$1:$B$6957,"VERDADERO",[2]InfCualitativo!$E$1:$E$6957,"Boquilla",[2]InfCualitativo!$H$1:$H$6957,"ecografias")</f>
        <v>0</v>
      </c>
      <c r="Z11" s="27">
        <f>COUNTIFS([2]InfCualitativo!$B$1:$B$6957,"FALSO",[2]InfCualitativo!$E$1:$E$6957,"Boquilla",[2]InfCualitativo!$H$1:$H$6957,"ecografias")</f>
        <v>0</v>
      </c>
      <c r="AA11" s="30">
        <f t="shared" si="12"/>
        <v>0</v>
      </c>
      <c r="AB11" s="30">
        <f t="shared" si="13"/>
        <v>0</v>
      </c>
      <c r="AC11" s="27">
        <f>COUNTIFS([2]InfCualitativo!$B$1:$B$6957,"VERDADERO",[2]InfCualitativo!$E$1:$E$6957,"Boquilla",[2]InfCualitativo!$H$1:$H$6957,"urgencia")</f>
        <v>30</v>
      </c>
      <c r="AD11" s="27">
        <f>COUNTIFS([2]InfCualitativo!$B$1:$B$6957,"FALSO",[2]InfCualitativo!$E$1:$E$6957,"Boquilla",[2]InfCualitativo!$H$1:$H$6957,"urgencia")</f>
        <v>17</v>
      </c>
      <c r="AE11" s="30">
        <f t="shared" si="14"/>
        <v>0.63829787234042556</v>
      </c>
      <c r="AF11" s="30">
        <f t="shared" si="15"/>
        <v>0.36170212765957449</v>
      </c>
      <c r="AG11" s="27">
        <f>COUNTIFS([2]InfCualitativo!$B$1:$B$6957,"VERDADERO",[2]InfCualitativo!$E$1:$E$6957,"Boquilla",[2]InfCualitativo!$H$1:$H$6957,"pediatria")</f>
        <v>0</v>
      </c>
      <c r="AH11" s="27">
        <f>COUNTIFS([2]InfCualitativo!$B$1:$B$6957,"FALSO",[2]InfCualitativo!$E$1:$E$6957,"Boquilla",[2]InfCualitativo!$H$1:$H$6957,"pediatria")</f>
        <v>0</v>
      </c>
      <c r="AI11" s="30">
        <f t="shared" si="16"/>
        <v>0</v>
      </c>
      <c r="AJ11" s="30">
        <f t="shared" si="17"/>
        <v>0</v>
      </c>
      <c r="AK11" s="27">
        <f>COUNTIFS([2]InfCualitativo!$B$1:$B$6957,"VERDADERO",[2]InfCualitativo!$E$1:$E$6957,"Boquilla",[2]InfCualitativo!$H$1:$H$6957,"medicina_interna")</f>
        <v>0</v>
      </c>
      <c r="AL11" s="27">
        <f>COUNTIFS([2]InfCualitativo!$B$1:$B$6957,"FALSO",[2]InfCualitativo!$E$1:$E$6957,"Boquilla",[2]InfCualitativo!$H$1:$H$6957,"medicina_interna")</f>
        <v>0</v>
      </c>
      <c r="AM11" s="30">
        <f t="shared" si="18"/>
        <v>0</v>
      </c>
      <c r="AN11" s="30">
        <f t="shared" si="19"/>
        <v>0</v>
      </c>
      <c r="AO11" s="27">
        <f>COUNTIFS([2]InfCualitativo!$B$1:$B$6957,"VERDADERO",[2]InfCualitativo!$E$1:$E$6957,"Boquilla",[2]InfCualitativo!$H$1:$H$6957,"ginecologia")</f>
        <v>0</v>
      </c>
      <c r="AP11" s="27">
        <f>COUNTIFS([2]InfCualitativo!$B$1:$B$6957,"FALSO",[2]InfCualitativo!$E$1:$E$6957,"Boquilla",[2]InfCualitativo!$H$1:$H$6957,"ginecologia")</f>
        <v>0</v>
      </c>
      <c r="AQ11" s="30">
        <f t="shared" si="20"/>
        <v>0</v>
      </c>
      <c r="AR11" s="30">
        <f t="shared" si="21"/>
        <v>0</v>
      </c>
      <c r="AS11" s="27">
        <f t="shared" si="22"/>
        <v>138</v>
      </c>
      <c r="AT11" s="27">
        <f t="shared" si="22"/>
        <v>54</v>
      </c>
      <c r="AU11" s="32">
        <f t="shared" si="23"/>
        <v>0.71875</v>
      </c>
      <c r="AV11" s="32">
        <f t="shared" si="24"/>
        <v>0.28125</v>
      </c>
    </row>
    <row r="12" spans="1:48" ht="18.75" x14ac:dyDescent="0.3">
      <c r="A12" s="26" t="s">
        <v>31</v>
      </c>
      <c r="B12" s="27">
        <v>136</v>
      </c>
      <c r="C12" s="27">
        <f t="shared" si="1"/>
        <v>132</v>
      </c>
      <c r="D12" s="28">
        <f t="shared" si="0"/>
        <v>97.058823529411768</v>
      </c>
      <c r="E12" s="29">
        <f>COUNTIFS([2]InfCualitativo!$B$1:$B$6957,"VERDADERO",[2]InfCualitativo!$E$1:$E$6957,"Bosque",[2]InfCualitativo!$H$1:$H$6957,"consulta_externa")</f>
        <v>43</v>
      </c>
      <c r="F12" s="29">
        <f>COUNTIFS([2]InfCualitativo!$B$1:$B$6957,"FALSO",[2]InfCualitativo!$E$1:$E$6957,"Bosque",[2]InfCualitativo!$H$1:$H$6957,"consulta_externa")</f>
        <v>3</v>
      </c>
      <c r="G12" s="30">
        <f t="shared" si="2"/>
        <v>0.93478260869565222</v>
      </c>
      <c r="H12" s="30">
        <f t="shared" si="3"/>
        <v>6.5217391304347824E-2</v>
      </c>
      <c r="I12" s="27">
        <f>COUNTIFS([2]InfCualitativo!$B$1:$B$6957,"VERDADERO",[2]InfCualitativo!$E$1:$E$6957,"Bosque",[2]InfCualitativo!$H$1:$H$6957,"salud_oral")</f>
        <v>41</v>
      </c>
      <c r="J12" s="27">
        <f>COUNTIFS([2]InfCualitativo!$B$1:$B$6957,"FALSO",[2]InfCualitativo!$E$1:$E$6957,"Bosque",[2]InfCualitativo!$H$1:$H$6957,"salud_oral")</f>
        <v>0</v>
      </c>
      <c r="K12" s="30">
        <f t="shared" si="4"/>
        <v>1</v>
      </c>
      <c r="L12" s="30">
        <f t="shared" si="5"/>
        <v>0</v>
      </c>
      <c r="M12" s="27">
        <f>COUNTIFS([2]InfCualitativo!$B$1:$B$6957,"VERDADERO",[2]InfCualitativo!$E$1:$E$6957,"Bosque",[2]InfCualitativo!$H$1:$H$6957,"laboratorio")</f>
        <v>37</v>
      </c>
      <c r="N12" s="27">
        <f>COUNTIFS([2]InfCualitativo!$B$1:$B$6957,"FALSO",[2]InfCualitativo!$E$1:$E$6957,"Bosque",[2]InfCualitativo!$H$1:$H$6957,"laboratorio")</f>
        <v>8</v>
      </c>
      <c r="O12" s="30">
        <f t="shared" si="6"/>
        <v>0.82222222222222219</v>
      </c>
      <c r="P12" s="31">
        <f t="shared" si="7"/>
        <v>0.17777777777777778</v>
      </c>
      <c r="Q12" s="27">
        <f>COUNTIFS([2]InfCualitativo!$B$1:$B$6957,"VERDADERO",[2]InfCualitativo!$E$1:$E$6957,"Bosque",[2]InfCualitativo!$H$1:$H$6957,"electros")</f>
        <v>0</v>
      </c>
      <c r="R12" s="27">
        <f>COUNTIFS([2]InfCualitativo!$B$1:$B$6957,"FALSO",[2]InfCualitativo!$E$1:$E$6957,"Bosque",[2]InfCualitativo!$H$1:$H$6957,"electros")</f>
        <v>0</v>
      </c>
      <c r="S12" s="30">
        <f t="shared" si="8"/>
        <v>0</v>
      </c>
      <c r="T12" s="30">
        <f t="shared" si="9"/>
        <v>0</v>
      </c>
      <c r="U12" s="27">
        <f>COUNTIFS([2]InfCualitativo!$B$1:$B$6957,"VERDADERO",[2]InfCualitativo!$E$1:$E$6957,"Bosque",[2]InfCualitativo!$H$1:$H$6957,"rx")</f>
        <v>0</v>
      </c>
      <c r="V12" s="27">
        <f>COUNTIFS([2]InfCualitativo!$B$1:$B$6957,"FALSO",[2]InfCualitativo!$E$1:$E$6957,"Bosque",[2]InfCualitativo!$H$1:$H$6957,"rx")</f>
        <v>0</v>
      </c>
      <c r="W12" s="30">
        <f t="shared" si="10"/>
        <v>0</v>
      </c>
      <c r="X12" s="30">
        <f t="shared" si="11"/>
        <v>0</v>
      </c>
      <c r="Y12" s="27">
        <f>COUNTIFS([2]InfCualitativo!$B$1:$B$6957,"VERDADERO",[2]InfCualitativo!$E$1:$E$6957,"Bosque",[2]InfCualitativo!$H$1:$H$6957,"ecografias")</f>
        <v>0</v>
      </c>
      <c r="Z12" s="27">
        <f>COUNTIFS([2]InfCualitativo!$B$1:$B$6957,"FALSO",[2]InfCualitativo!$E$1:$E$6957,"Bosque",[2]InfCualitativo!$H$1:$H$6957,"ecografias")</f>
        <v>0</v>
      </c>
      <c r="AA12" s="30">
        <f t="shared" si="12"/>
        <v>0</v>
      </c>
      <c r="AB12" s="30">
        <f t="shared" si="13"/>
        <v>0</v>
      </c>
      <c r="AC12" s="27">
        <f>COUNTIFS([2]InfCualitativo!$B$1:$B$6957,"VERDADERO",[2]InfCualitativo!$E$1:$E$6957,"Bosque",[2]InfCualitativo!$H$1:$H$6957,"urgencia")</f>
        <v>0</v>
      </c>
      <c r="AD12" s="27">
        <f>COUNTIFS([2]InfCualitativo!$B$1:$B$6957,"FALSO",[2]InfCualitativo!$E$1:$E$6957,"Bosque",[2]InfCualitativo!$H$1:$H$6957,"urgencia")</f>
        <v>0</v>
      </c>
      <c r="AE12" s="30">
        <f t="shared" si="14"/>
        <v>0</v>
      </c>
      <c r="AF12" s="30">
        <f t="shared" si="15"/>
        <v>0</v>
      </c>
      <c r="AG12" s="27">
        <f>COUNTIFS([2]InfCualitativo!$B$1:$B$6957,"VERDADERO",[2]InfCualitativo!$E$1:$E$6957,"Bosque",[2]InfCualitativo!$H$1:$H$6957,"pediatria")</f>
        <v>0</v>
      </c>
      <c r="AH12" s="27">
        <f>COUNTIFS([2]InfCualitativo!$B$1:$B$6957,"FALSO",[2]InfCualitativo!$E$1:$E$6957,"Bosque",[2]InfCualitativo!$H$1:$H$6957,"pediatria")</f>
        <v>0</v>
      </c>
      <c r="AI12" s="30">
        <f t="shared" si="16"/>
        <v>0</v>
      </c>
      <c r="AJ12" s="30">
        <f t="shared" si="17"/>
        <v>0</v>
      </c>
      <c r="AK12" s="27">
        <f>COUNTIFS([2]InfCualitativo!$B$1:$B$6957,"VERDADERO",[2]InfCualitativo!$E$1:$E$6957,"Bosque",[2]InfCualitativo!$H$1:$H$6957,"medicina_interna")</f>
        <v>0</v>
      </c>
      <c r="AL12" s="27">
        <f>COUNTIFS([2]InfCualitativo!$B$1:$B$6957,"FALSO",[2]InfCualitativo!$E$1:$E$6957,"Bosque",[2]InfCualitativo!$H$1:$H$6957,"medicina_interna")</f>
        <v>0</v>
      </c>
      <c r="AM12" s="30">
        <f t="shared" si="18"/>
        <v>0</v>
      </c>
      <c r="AN12" s="30">
        <f t="shared" si="19"/>
        <v>0</v>
      </c>
      <c r="AO12" s="27">
        <f>COUNTIFS([2]InfCualitativo!$B$1:$B$6957,"VERDADERO",[2]InfCualitativo!$E$1:$E$6957,"Bosque",[2]InfCualitativo!$H$1:$H$6957,"ginecologia")</f>
        <v>0</v>
      </c>
      <c r="AP12" s="27">
        <f>COUNTIFS([2]InfCualitativo!$B$1:$B$6957,"FALSO",[2]InfCualitativo!$E$1:$E$6957,"Bosque",[2]InfCualitativo!$H$1:$H$6957,"ginecologia")</f>
        <v>0</v>
      </c>
      <c r="AQ12" s="30">
        <f t="shared" si="20"/>
        <v>0</v>
      </c>
      <c r="AR12" s="30">
        <f t="shared" si="21"/>
        <v>0</v>
      </c>
      <c r="AS12" s="27">
        <f t="shared" si="22"/>
        <v>121</v>
      </c>
      <c r="AT12" s="27">
        <f t="shared" si="22"/>
        <v>11</v>
      </c>
      <c r="AU12" s="32">
        <f t="shared" si="23"/>
        <v>0.91666666666666663</v>
      </c>
      <c r="AV12" s="32">
        <f t="shared" si="24"/>
        <v>8.3333333333333329E-2</v>
      </c>
    </row>
    <row r="13" spans="1:48" ht="18.75" x14ac:dyDescent="0.3">
      <c r="A13" s="26" t="s">
        <v>32</v>
      </c>
      <c r="B13" s="27">
        <v>44</v>
      </c>
      <c r="C13" s="27">
        <f t="shared" si="1"/>
        <v>42</v>
      </c>
      <c r="D13" s="28">
        <f t="shared" si="0"/>
        <v>95.454545454545453</v>
      </c>
      <c r="E13" s="29">
        <f>COUNTIFS([2]InfCualitativo!$B$1:$B$6957,"VERDADERO",[2]InfCualitativo!$E$1:$E$6957,"Boston",[2]InfCualitativo!$H$1:$H$6957,"consulta_externa")</f>
        <v>42</v>
      </c>
      <c r="F13" s="29">
        <f>COUNTIFS([2]InfCualitativo!$B$1:$B$6957,"FALSO",[2]InfCualitativo!$E$1:$E$6957,"Boston",[2]InfCualitativo!$H$1:$H$6957,"consulta_externa")</f>
        <v>0</v>
      </c>
      <c r="G13" s="30">
        <f t="shared" si="2"/>
        <v>1</v>
      </c>
      <c r="H13" s="30">
        <f t="shared" si="3"/>
        <v>0</v>
      </c>
      <c r="I13" s="27">
        <f>COUNTIFS([2]InfCualitativo!$B$1:$B$6957,"VERDADERO",[2]InfCualitativo!$E$1:$E$6957,"Boston",[2]InfCualitativo!$H$1:$H$6957,"salud_oral")</f>
        <v>0</v>
      </c>
      <c r="J13" s="27">
        <f>COUNTIFS([2]InfCualitativo!$B$1:$B$6957,"FALSO",[2]InfCualitativo!$E$1:$E$6957,"Boston",[2]InfCualitativo!$H$1:$H$6957,"salud_oral")</f>
        <v>0</v>
      </c>
      <c r="K13" s="30">
        <f t="shared" si="4"/>
        <v>0</v>
      </c>
      <c r="L13" s="30">
        <f t="shared" si="5"/>
        <v>0</v>
      </c>
      <c r="M13" s="27">
        <f>COUNTIFS([2]InfCualitativo!$B$1:$B$6957,"VERDADERO",[2]InfCualitativo!$E$1:$E$6957,"Boston",[2]InfCualitativo!$H$1:$H$6957,"laboratorio")</f>
        <v>0</v>
      </c>
      <c r="N13" s="27">
        <f>COUNTIFS([2]InfCualitativo!$B$1:$B$6957,"FALSO",[2]InfCualitativo!$E$1:$E$6957,"Boston",[2]InfCualitativo!$H$1:$H$6957,"laboratorio")</f>
        <v>0</v>
      </c>
      <c r="O13" s="30">
        <f t="shared" si="6"/>
        <v>0</v>
      </c>
      <c r="P13" s="31">
        <f t="shared" si="7"/>
        <v>0</v>
      </c>
      <c r="Q13" s="27">
        <f>COUNTIFS([2]InfCualitativo!$B$1:$B$6957,"VERDADERO",[2]InfCualitativo!$E$1:$E$6957,"Boston",[2]InfCualitativo!$H$1:$H$6957,"electros")</f>
        <v>0</v>
      </c>
      <c r="R13" s="27">
        <f>COUNTIFS([2]InfCualitativo!$B$1:$B$6957,"FALSO",[2]InfCualitativo!$E$1:$E$6957,"Boston",[2]InfCualitativo!$H$1:$H$6957,"electros")</f>
        <v>0</v>
      </c>
      <c r="S13" s="30">
        <f t="shared" si="8"/>
        <v>0</v>
      </c>
      <c r="T13" s="30">
        <f t="shared" si="9"/>
        <v>0</v>
      </c>
      <c r="U13" s="27">
        <f>COUNTIFS([2]InfCualitativo!$B$1:$B$6957,"VERDADERO",[2]InfCualitativo!$E$1:$E$6957,"Boston",[2]InfCualitativo!$H$1:$H$6957,"rx")</f>
        <v>0</v>
      </c>
      <c r="V13" s="27">
        <f>COUNTIFS([2]InfCualitativo!$B$1:$B$6957,"FALSO",[2]InfCualitativo!$E$1:$E$6957,"Boston",[2]InfCualitativo!$H$1:$H$6957,"rx")</f>
        <v>0</v>
      </c>
      <c r="W13" s="30">
        <f t="shared" si="10"/>
        <v>0</v>
      </c>
      <c r="X13" s="30">
        <f t="shared" si="11"/>
        <v>0</v>
      </c>
      <c r="Y13" s="27">
        <f>COUNTIFS([2]InfCualitativo!$B$1:$B$6957,"VERDADERO",[2]InfCualitativo!$E$1:$E$6957,"Boston",[2]InfCualitativo!$H$1:$H$6957,"ecografias")</f>
        <v>0</v>
      </c>
      <c r="Z13" s="27">
        <f>COUNTIFS([2]InfCualitativo!$B$1:$B$6957,"FALSO",[2]InfCualitativo!$E$1:$E$6957,"Boston",[2]InfCualitativo!$H$1:$H$6957,"ecografias")</f>
        <v>0</v>
      </c>
      <c r="AA13" s="30">
        <f t="shared" si="12"/>
        <v>0</v>
      </c>
      <c r="AB13" s="30">
        <f t="shared" si="13"/>
        <v>0</v>
      </c>
      <c r="AC13" s="27">
        <f>COUNTIFS([2]InfCualitativo!$B$1:$B$6957,"VERDADERO",[2]InfCualitativo!$E$1:$E$6957,"Boston",[2]InfCualitativo!$H$1:$H$6957,"urgencia")</f>
        <v>0</v>
      </c>
      <c r="AD13" s="27">
        <f>COUNTIFS([2]InfCualitativo!$B$1:$B$6957,"FALSO",[2]InfCualitativo!$E$1:$E$6957,"Boston",[2]InfCualitativo!$H$1:$H$6957,"urgencia")</f>
        <v>0</v>
      </c>
      <c r="AE13" s="30">
        <f t="shared" si="14"/>
        <v>0</v>
      </c>
      <c r="AF13" s="30">
        <f t="shared" si="15"/>
        <v>0</v>
      </c>
      <c r="AG13" s="27">
        <f>COUNTIFS([2]InfCualitativo!$B$1:$B$6957,"VERDADERO",[2]InfCualitativo!$E$1:$E$6957,"Boston",[2]InfCualitativo!$H$1:$H$6957,"pediatria")</f>
        <v>0</v>
      </c>
      <c r="AH13" s="27">
        <f>COUNTIFS([2]InfCualitativo!$B$1:$B$6957,"FALSO",[2]InfCualitativo!$E$1:$E$6957,"Boston",[2]InfCualitativo!$H$1:$H$6957,"pediatria")</f>
        <v>0</v>
      </c>
      <c r="AI13" s="30">
        <f t="shared" si="16"/>
        <v>0</v>
      </c>
      <c r="AJ13" s="30">
        <f t="shared" si="17"/>
        <v>0</v>
      </c>
      <c r="AK13" s="27">
        <f>COUNTIFS([2]InfCualitativo!$B$1:$B$6957,"VERDADERO",[2]InfCualitativo!$E$1:$E$6957,"Boston",[2]InfCualitativo!$H$1:$H$6957,"medicina_interna")</f>
        <v>0</v>
      </c>
      <c r="AL13" s="27">
        <f>COUNTIFS([2]InfCualitativo!$B$1:$B$6957,"FALSO",[2]InfCualitativo!$E$1:$E$6957,"Boston",[2]InfCualitativo!$H$1:$H$6957,"medicina_interna")</f>
        <v>0</v>
      </c>
      <c r="AM13" s="30">
        <f t="shared" si="18"/>
        <v>0</v>
      </c>
      <c r="AN13" s="30">
        <f t="shared" si="19"/>
        <v>0</v>
      </c>
      <c r="AO13" s="27">
        <f>COUNTIFS([2]InfCualitativo!$B$1:$B$6957,"VERDADERO",[2]InfCualitativo!$E$1:$E$6957,"Boston",[2]InfCualitativo!$H$1:$H$6957,"ginecologia")</f>
        <v>0</v>
      </c>
      <c r="AP13" s="27">
        <f>COUNTIFS([2]InfCualitativo!$B$1:$B$6957,"FALSO",[2]InfCualitativo!$E$1:$E$6957,"Boston",[2]InfCualitativo!$H$1:$H$6957,"ginecologia")</f>
        <v>0</v>
      </c>
      <c r="AQ13" s="30">
        <f t="shared" si="20"/>
        <v>0</v>
      </c>
      <c r="AR13" s="30">
        <f t="shared" si="21"/>
        <v>0</v>
      </c>
      <c r="AS13" s="27">
        <f t="shared" si="22"/>
        <v>42</v>
      </c>
      <c r="AT13" s="27">
        <f t="shared" si="22"/>
        <v>0</v>
      </c>
      <c r="AU13" s="32">
        <f t="shared" si="23"/>
        <v>1</v>
      </c>
      <c r="AV13" s="32">
        <f t="shared" si="24"/>
        <v>0</v>
      </c>
    </row>
    <row r="14" spans="1:48" ht="18.75" x14ac:dyDescent="0.3">
      <c r="A14" s="26" t="s">
        <v>33</v>
      </c>
      <c r="B14" s="27">
        <v>143</v>
      </c>
      <c r="C14" s="27">
        <f t="shared" si="1"/>
        <v>143</v>
      </c>
      <c r="D14" s="28">
        <f t="shared" si="0"/>
        <v>100</v>
      </c>
      <c r="E14" s="29">
        <f>COUNTIFS([2]InfCualitativo!$B$1:$B$6957,"VERDADERO",[2]InfCualitativo!$E$1:$E$6957,"Canapote",[2]InfCualitativo!$H$1:$H$6957,"consulta_externa")</f>
        <v>51</v>
      </c>
      <c r="F14" s="29">
        <f>COUNTIFS([2]InfCualitativo!$B$1:$B$6957,"FALSO",[2]InfCualitativo!$E$1:$E$6957,"Canapote",[2]InfCualitativo!$H$1:$H$6957,"consulta_externa")</f>
        <v>0</v>
      </c>
      <c r="G14" s="30">
        <f t="shared" si="2"/>
        <v>1</v>
      </c>
      <c r="H14" s="30">
        <f t="shared" si="3"/>
        <v>0</v>
      </c>
      <c r="I14" s="27">
        <f>COUNTIFS([2]InfCualitativo!$B$1:$B$6957,"VERDADERO",[2]InfCualitativo!$E$1:$E$6957,"Canapote",[2]InfCualitativo!$H$1:$H$6957,"salud_oral")</f>
        <v>44</v>
      </c>
      <c r="J14" s="27">
        <f>COUNTIFS([2]InfCualitativo!$B$1:$B$6957,"FALSO",[2]InfCualitativo!$E$1:$E$6957,"Canapote",[2]InfCualitativo!$H$1:$H$6957,"salud_oral")</f>
        <v>0</v>
      </c>
      <c r="K14" s="30">
        <f t="shared" si="4"/>
        <v>1</v>
      </c>
      <c r="L14" s="30">
        <f t="shared" si="5"/>
        <v>0</v>
      </c>
      <c r="M14" s="27">
        <f>COUNTIFS([2]InfCualitativo!$B$1:$B$6957,"VERDADERO",[2]InfCualitativo!$E$1:$E$6957,"Canapote",[2]InfCualitativo!$H$1:$H$6957,"laboratorio")</f>
        <v>41</v>
      </c>
      <c r="N14" s="27">
        <f>COUNTIFS([2]InfCualitativo!$B$1:$B$6957,"FALSO",[2]InfCualitativo!$E$1:$E$6957,"Canapote",[2]InfCualitativo!$H$1:$H$6957,"laboratorio")</f>
        <v>7</v>
      </c>
      <c r="O14" s="30">
        <f t="shared" si="6"/>
        <v>0.85416666666666663</v>
      </c>
      <c r="P14" s="31">
        <f t="shared" si="7"/>
        <v>0.14583333333333334</v>
      </c>
      <c r="Q14" s="27">
        <f>COUNTIFS([2]InfCualitativo!$B$1:$B$6957,"VERDADERO",[2]InfCualitativo!$E$1:$E$6957,"Canapote",[2]InfCualitativo!$H$1:$H$6957,"electros")</f>
        <v>0</v>
      </c>
      <c r="R14" s="27">
        <f>COUNTIFS([2]InfCualitativo!$B$1:$B$6957,"FALSO",[2]InfCualitativo!$E$1:$E$6957,"Canapote",[2]InfCualitativo!$H$1:$H$6957,"electros")</f>
        <v>0</v>
      </c>
      <c r="S14" s="30">
        <f t="shared" si="8"/>
        <v>0</v>
      </c>
      <c r="T14" s="30">
        <f t="shared" si="9"/>
        <v>0</v>
      </c>
      <c r="U14" s="27">
        <f>COUNTIFS([2]InfCualitativo!$B$1:$B$6957,"VERDADERO",[2]InfCualitativo!$E$1:$E$6957,"Canapote",[2]InfCualitativo!$H$1:$H$6957,"rx")</f>
        <v>0</v>
      </c>
      <c r="V14" s="27">
        <f>COUNTIFS([2]InfCualitativo!$B$1:$B$6957,"FALSO",[2]InfCualitativo!$E$1:$E$6957,"Canapote",[2]InfCualitativo!$H$1:$H$6957,"rx")</f>
        <v>0</v>
      </c>
      <c r="W14" s="30">
        <f t="shared" si="10"/>
        <v>0</v>
      </c>
      <c r="X14" s="30">
        <f t="shared" si="11"/>
        <v>0</v>
      </c>
      <c r="Y14" s="27">
        <f>COUNTIFS([2]InfCualitativo!$B$1:$B$6957,"VERDADERO",[2]InfCualitativo!$E$1:$E$6957,"Canapote",[2]InfCualitativo!$H$1:$H$6957,"ecografias")</f>
        <v>0</v>
      </c>
      <c r="Z14" s="27">
        <f>COUNTIFS([2]InfCualitativo!$B$1:$B$6957,"FALSO",[2]InfCualitativo!$E$1:$E$6957,"Canapote",[2]InfCualitativo!$H$1:$H$6957,"ecografias")</f>
        <v>0</v>
      </c>
      <c r="AA14" s="30">
        <f t="shared" si="12"/>
        <v>0</v>
      </c>
      <c r="AB14" s="30">
        <f t="shared" si="13"/>
        <v>0</v>
      </c>
      <c r="AC14" s="27">
        <f>COUNTIFS([2]InfCualitativo!$B$1:$B$6957,"VERDADERO",[2]InfCualitativo!$E$1:$E$6957,"Canapote",[2]InfCualitativo!$H$1:$H$6957,"urgencia")</f>
        <v>0</v>
      </c>
      <c r="AD14" s="27">
        <f>COUNTIFS([2]InfCualitativo!$B$1:$B$6957,"FALSO",[2]InfCualitativo!$E$1:$E$6957,"Canapote",[2]InfCualitativo!$H$1:$H$6957,"urgencia")</f>
        <v>0</v>
      </c>
      <c r="AE14" s="30">
        <f t="shared" si="14"/>
        <v>0</v>
      </c>
      <c r="AF14" s="30">
        <f t="shared" si="15"/>
        <v>0</v>
      </c>
      <c r="AG14" s="27">
        <f>COUNTIFS([2]InfCualitativo!$B$1:$B$6957,"VERDADERO",[2]InfCualitativo!$E$1:$E$6957,"Canapote",[2]InfCualitativo!$H$1:$H$6957,"pediatria")</f>
        <v>0</v>
      </c>
      <c r="AH14" s="27">
        <f>COUNTIFS([2]InfCualitativo!$B$1:$B$6957,"FALSO",[2]InfCualitativo!$E$1:$E$6957,"Canapote",[2]InfCualitativo!$H$1:$H$6957,"pediatria")</f>
        <v>0</v>
      </c>
      <c r="AI14" s="30">
        <f t="shared" si="16"/>
        <v>0</v>
      </c>
      <c r="AJ14" s="30">
        <f t="shared" si="17"/>
        <v>0</v>
      </c>
      <c r="AK14" s="27">
        <f>COUNTIFS([2]InfCualitativo!$B$1:$B$6957,"VERDADERO",[2]InfCualitativo!$E$1:$E$6957,"Canapote",[2]InfCualitativo!$H$1:$H$6957,"medicina_interna")</f>
        <v>0</v>
      </c>
      <c r="AL14" s="27">
        <f>COUNTIFS([2]InfCualitativo!$B$1:$B$6957,"FALSO",[2]InfCualitativo!$E$1:$E$6957,"Canapote",[2]InfCualitativo!$H$1:$H$6957,"medicina_interna")</f>
        <v>0</v>
      </c>
      <c r="AM14" s="30">
        <f t="shared" si="18"/>
        <v>0</v>
      </c>
      <c r="AN14" s="30">
        <f t="shared" si="19"/>
        <v>0</v>
      </c>
      <c r="AO14" s="27">
        <f>COUNTIFS([2]InfCualitativo!$B$1:$B$6957,"VERDADERO",[2]InfCualitativo!$E$1:$E$6957,"Canapote",[2]InfCualitativo!$H$1:$H$6957,"ginecologia")</f>
        <v>0</v>
      </c>
      <c r="AP14" s="27">
        <f>COUNTIFS([2]InfCualitativo!$B$1:$B$6957,"FALSO",[2]InfCualitativo!$E$1:$E$6957,"Canapote",[2]InfCualitativo!$H$1:$H$6957,"ginecologia")</f>
        <v>0</v>
      </c>
      <c r="AQ14" s="30">
        <f t="shared" si="20"/>
        <v>0</v>
      </c>
      <c r="AR14" s="30">
        <f t="shared" si="21"/>
        <v>0</v>
      </c>
      <c r="AS14" s="27">
        <f t="shared" si="22"/>
        <v>136</v>
      </c>
      <c r="AT14" s="27">
        <f t="shared" si="22"/>
        <v>7</v>
      </c>
      <c r="AU14" s="32">
        <f t="shared" si="23"/>
        <v>0.95104895104895104</v>
      </c>
      <c r="AV14" s="32">
        <f t="shared" si="24"/>
        <v>4.8951048951048952E-2</v>
      </c>
    </row>
    <row r="15" spans="1:48" ht="18.75" x14ac:dyDescent="0.3">
      <c r="A15" s="26" t="s">
        <v>34</v>
      </c>
      <c r="B15" s="27">
        <v>210</v>
      </c>
      <c r="C15" s="27">
        <f t="shared" si="1"/>
        <v>210</v>
      </c>
      <c r="D15" s="28">
        <f t="shared" si="0"/>
        <v>100</v>
      </c>
      <c r="E15" s="29">
        <f>COUNTIFS([2]InfCualitativo!$B$1:$B$6957,"VERDADERO",[2]InfCualitativo!$E$1:$E$6957,"Candelaria",[2]InfCualitativo!$H$1:$H$6957,"consulta_externa")</f>
        <v>39</v>
      </c>
      <c r="F15" s="29">
        <f>COUNTIFS([2]InfCualitativo!$B$1:$B$6957,"FALSO",[2]InfCualitativo!$E$1:$E$6957,"Candelaria",[2]InfCualitativo!$H$1:$H$6957,"consulta_externa")</f>
        <v>0</v>
      </c>
      <c r="G15" s="30">
        <f t="shared" si="2"/>
        <v>1</v>
      </c>
      <c r="H15" s="30">
        <f t="shared" si="3"/>
        <v>0</v>
      </c>
      <c r="I15" s="27">
        <f>COUNTIFS([2]InfCualitativo!$B$1:$B$6957,"VERDADERO",[2]InfCualitativo!$E$1:$E$6957,"Candelaria",[2]InfCualitativo!$H$1:$H$6957,"salud_oral")</f>
        <v>37</v>
      </c>
      <c r="J15" s="27">
        <f>COUNTIFS([2]InfCualitativo!$B$1:$B$6957,"FALSO",[2]InfCualitativo!$E$1:$E$6957,"Candelaria",[2]InfCualitativo!$H$1:$H$6957,"salud_oral")</f>
        <v>0</v>
      </c>
      <c r="K15" s="30">
        <f t="shared" si="4"/>
        <v>1</v>
      </c>
      <c r="L15" s="30">
        <f t="shared" si="5"/>
        <v>0</v>
      </c>
      <c r="M15" s="27">
        <f>COUNTIFS([2]InfCualitativo!$B$1:$B$6957,"VERDADERO",[2]InfCualitativo!$E$1:$E$6957,"Candelaria",[2]InfCualitativo!$H$1:$H$6957,"laboratorio")</f>
        <v>37</v>
      </c>
      <c r="N15" s="27">
        <f>COUNTIFS([2]InfCualitativo!$B$1:$B$6957,"FALSO",[2]InfCualitativo!$E$1:$E$6957,"Candelaria",[2]InfCualitativo!$H$1:$H$6957,"laboratorio")</f>
        <v>0</v>
      </c>
      <c r="O15" s="30">
        <f t="shared" si="6"/>
        <v>1</v>
      </c>
      <c r="P15" s="31">
        <f t="shared" si="7"/>
        <v>0</v>
      </c>
      <c r="Q15" s="27">
        <f>COUNTIFS([2]InfCualitativo!$B$1:$B$6957,"VERDADERO",[2]InfCualitativo!$E$1:$E$6957,"Candelaria",[2]InfCualitativo!$H$1:$H$6957,"electros")</f>
        <v>33</v>
      </c>
      <c r="R15" s="27">
        <f>COUNTIFS([2]InfCualitativo!$B$1:$B$6957,"FALSO",[2]InfCualitativo!$E$1:$E$6957,"Candelaria",[2]InfCualitativo!$H$1:$H$6957,"electros")</f>
        <v>0</v>
      </c>
      <c r="S15" s="30">
        <f t="shared" si="8"/>
        <v>1</v>
      </c>
      <c r="T15" s="30">
        <f t="shared" si="9"/>
        <v>0</v>
      </c>
      <c r="U15" s="27">
        <f>COUNTIFS([2]InfCualitativo!$B$1:$B$6957,"VERDADERO",[2]InfCualitativo!$E$1:$E$6957,"Candelaria",[2]InfCualitativo!$H$1:$H$6957,"rx")</f>
        <v>0</v>
      </c>
      <c r="V15" s="27">
        <f>COUNTIFS([2]InfCualitativo!$B$1:$B$6957,"FALSO",[2]InfCualitativo!$E$1:$E$6957,"Candelaria",[2]InfCualitativo!$H$1:$H$6957,"rx")</f>
        <v>0</v>
      </c>
      <c r="W15" s="30">
        <f t="shared" si="10"/>
        <v>0</v>
      </c>
      <c r="X15" s="30">
        <f t="shared" si="11"/>
        <v>0</v>
      </c>
      <c r="Y15" s="27">
        <f>COUNTIFS([2]InfCualitativo!$B$1:$B$6957,"VERDADERO",[2]InfCualitativo!$E$1:$E$6957,"Candelaria",[2]InfCualitativo!$H$1:$H$6957,"ecografias")</f>
        <v>0</v>
      </c>
      <c r="Z15" s="27">
        <f>COUNTIFS([2]InfCualitativo!$B$1:$B$6957,"FALSO",[2]InfCualitativo!$E$1:$E$6957,"Candelaria",[2]InfCualitativo!$H$1:$H$6957,"ecografias")</f>
        <v>0</v>
      </c>
      <c r="AA15" s="30">
        <f t="shared" si="12"/>
        <v>0</v>
      </c>
      <c r="AB15" s="30">
        <f t="shared" si="13"/>
        <v>0</v>
      </c>
      <c r="AC15" s="27">
        <f>COUNTIFS([2]InfCualitativo!$B$1:$B$6957,"VERDADERO",[2]InfCualitativo!$E$1:$E$6957,"Candelaria",[2]InfCualitativo!$H$1:$H$6957,"urgencia")</f>
        <v>34</v>
      </c>
      <c r="AD15" s="27">
        <f>COUNTIFS([2]InfCualitativo!$B$1:$B$6957,"FALSO",[2]InfCualitativo!$E$1:$E$6957,"Candelaria",[2]InfCualitativo!$H$1:$H$6957,"urgencia")</f>
        <v>0</v>
      </c>
      <c r="AE15" s="30">
        <f t="shared" si="14"/>
        <v>1</v>
      </c>
      <c r="AF15" s="30">
        <f t="shared" si="15"/>
        <v>0</v>
      </c>
      <c r="AG15" s="27">
        <f>COUNTIFS([2]InfCualitativo!$B$1:$B$6957,"VERDADERO",[2]InfCualitativo!$E$1:$E$6957,"Candelaria",[2]InfCualitativo!$H$1:$H$6957,"pediatria")</f>
        <v>12</v>
      </c>
      <c r="AH15" s="27">
        <f>COUNTIFS([2]InfCualitativo!$B$1:$B$6957,"FALSO",[2]InfCualitativo!$E$1:$E$6957,"Candelaria",[2]InfCualitativo!$H$1:$H$6957,"pediatria")</f>
        <v>0</v>
      </c>
      <c r="AI15" s="30">
        <f t="shared" si="16"/>
        <v>1</v>
      </c>
      <c r="AJ15" s="30">
        <f t="shared" si="17"/>
        <v>0</v>
      </c>
      <c r="AK15" s="27">
        <f>COUNTIFS([2]InfCualitativo!$B$1:$B$6957,"VERDADERO",[2]InfCualitativo!$E$1:$E$6957,"Candelaria",[2]InfCualitativo!$H$1:$H$6957,"medicina_interna")</f>
        <v>18</v>
      </c>
      <c r="AL15" s="27">
        <f>COUNTIFS([2]InfCualitativo!$B$1:$B$6957,"FALSO",[2]InfCualitativo!$E$1:$E$6957,"Candelaria",[2]InfCualitativo!$H$1:$H$6957,"medicina_interna")</f>
        <v>0</v>
      </c>
      <c r="AM15" s="30">
        <f t="shared" si="18"/>
        <v>1</v>
      </c>
      <c r="AN15" s="30">
        <f t="shared" si="19"/>
        <v>0</v>
      </c>
      <c r="AO15" s="27">
        <f>COUNTIFS([2]InfCualitativo!$B$1:$B$6957,"VERDADERO",[2]InfCualitativo!$E$1:$E$6957,"Candelaria",[2]InfCualitativo!$H$1:$H$6957,"ginecologia")</f>
        <v>0</v>
      </c>
      <c r="AP15" s="27">
        <f>COUNTIFS([2]InfCualitativo!$B$1:$B$6957,"FALSO",[2]InfCualitativo!$E$1:$E$6957,"Candelaria",[2]InfCualitativo!$H$1:$H$6957,"ginecologia")</f>
        <v>0</v>
      </c>
      <c r="AQ15" s="30">
        <f t="shared" si="20"/>
        <v>0</v>
      </c>
      <c r="AR15" s="30">
        <f t="shared" si="21"/>
        <v>0</v>
      </c>
      <c r="AS15" s="27">
        <f t="shared" si="22"/>
        <v>210</v>
      </c>
      <c r="AT15" s="27">
        <f t="shared" si="22"/>
        <v>0</v>
      </c>
      <c r="AU15" s="32">
        <f t="shared" si="23"/>
        <v>1</v>
      </c>
      <c r="AV15" s="32">
        <f t="shared" si="24"/>
        <v>0</v>
      </c>
    </row>
    <row r="16" spans="1:48" ht="18.75" x14ac:dyDescent="0.3">
      <c r="A16" s="26" t="s">
        <v>35</v>
      </c>
      <c r="B16" s="27">
        <v>87</v>
      </c>
      <c r="C16" s="27">
        <f t="shared" si="1"/>
        <v>87</v>
      </c>
      <c r="D16" s="28">
        <f t="shared" si="0"/>
        <v>100</v>
      </c>
      <c r="E16" s="29">
        <f>COUNTIFS([2]InfCualitativo!$B$1:$B$6957,"VERDADERO",[2]InfCualitativo!$E$1:$E$6957,"Cano de oro",[2]InfCualitativo!$H$1:$H$6957,"consulta_externa")</f>
        <v>31</v>
      </c>
      <c r="F16" s="29">
        <f>COUNTIFS([2]InfCualitativo!$B$1:$B$6957,"FALSO",[2]InfCualitativo!$E$1:$E$6957,"Cano de oro",[2]InfCualitativo!$H$1:$H$6957,"consulta_externa")</f>
        <v>0</v>
      </c>
      <c r="G16" s="30">
        <f t="shared" si="2"/>
        <v>1</v>
      </c>
      <c r="H16" s="30">
        <f t="shared" si="3"/>
        <v>0</v>
      </c>
      <c r="I16" s="27">
        <f>COUNTIFS([2]InfCualitativo!$B$1:$B$6957,"VERDADERO",[2]InfCualitativo!$E$1:$E$6957,"Cano de oro",[2]InfCualitativo!$H$1:$H$6957,"salud_oral")</f>
        <v>29</v>
      </c>
      <c r="J16" s="27">
        <f>COUNTIFS([2]InfCualitativo!$B$1:$B$6957,"FALSO",[2]InfCualitativo!$E$1:$E$6957,"Cano de oro",[2]InfCualitativo!$H$1:$H$6957,"salud_oral")</f>
        <v>0</v>
      </c>
      <c r="K16" s="30">
        <f t="shared" si="4"/>
        <v>1</v>
      </c>
      <c r="L16" s="30">
        <f t="shared" si="5"/>
        <v>0</v>
      </c>
      <c r="M16" s="27">
        <f>COUNTIFS([2]InfCualitativo!$B$1:$B$6957,"VERDADERO",[2]InfCualitativo!$E$1:$E$6957,"Cano de oro",[2]InfCualitativo!$H$1:$H$6957,"laboratorio")</f>
        <v>27</v>
      </c>
      <c r="N16" s="27">
        <f>COUNTIFS([2]InfCualitativo!$B$1:$B$6957,"FALSO",[2]InfCualitativo!$E$1:$E$6957,"Cano de oro",[2]InfCualitativo!$H$1:$H$6957,"laboratorio")</f>
        <v>0</v>
      </c>
      <c r="O16" s="30">
        <f t="shared" si="6"/>
        <v>1</v>
      </c>
      <c r="P16" s="31">
        <f t="shared" si="7"/>
        <v>0</v>
      </c>
      <c r="Q16" s="27">
        <f>COUNTIFS([2]InfCualitativo!$B$1:$B$6957,"VERDADERO",[2]InfCualitativo!$E$1:$E$6957,"Cano de oro",[2]InfCualitativo!$H$1:$H$6957,"electros")</f>
        <v>0</v>
      </c>
      <c r="R16" s="27">
        <f>COUNTIFS([2]InfCualitativo!$B$1:$B$6957,"FALSO",[2]InfCualitativo!$E$1:$E$6957,"Cano de oro",[2]InfCualitativo!$H$1:$H$6957,"electros")</f>
        <v>0</v>
      </c>
      <c r="S16" s="30">
        <f t="shared" si="8"/>
        <v>0</v>
      </c>
      <c r="T16" s="30">
        <f t="shared" si="9"/>
        <v>0</v>
      </c>
      <c r="U16" s="27">
        <f>COUNTIFS([2]InfCualitativo!$B$1:$B$6957,"VERDADERO",[2]InfCualitativo!$E$1:$E$6957,"Cano de oro",[2]InfCualitativo!$H$1:$H$6957,"rx")</f>
        <v>0</v>
      </c>
      <c r="V16" s="27">
        <f>COUNTIFS([2]InfCualitativo!$B$1:$B$6957,"FALSO",[2]InfCualitativo!$E$1:$E$6957,"Cano de oro",[2]InfCualitativo!$H$1:$H$6957,"rx")</f>
        <v>0</v>
      </c>
      <c r="W16" s="30">
        <f t="shared" si="10"/>
        <v>0</v>
      </c>
      <c r="X16" s="30">
        <f t="shared" si="11"/>
        <v>0</v>
      </c>
      <c r="Y16" s="27">
        <f>COUNTIFS([2]InfCualitativo!$B$1:$B$6957,"VERDADERO",[2]InfCualitativo!$E$1:$E$6957,"Cano de oro",[2]InfCualitativo!$H$1:$H$6957,"ecografias")</f>
        <v>0</v>
      </c>
      <c r="Z16" s="27">
        <f>COUNTIFS([2]InfCualitativo!$B$1:$B$6957,"FALSO",[2]InfCualitativo!$E$1:$E$6957,"Cano de oro",[2]InfCualitativo!$H$1:$H$6957,"ecografias")</f>
        <v>0</v>
      </c>
      <c r="AA16" s="30">
        <f t="shared" si="12"/>
        <v>0</v>
      </c>
      <c r="AB16" s="30">
        <f t="shared" si="13"/>
        <v>0</v>
      </c>
      <c r="AC16" s="27">
        <f>COUNTIFS([2]InfCualitativo!$B$1:$B$6957,"VERDADERO",[2]InfCualitativo!$E$1:$E$6957,"Cano de oro",[2]InfCualitativo!$H$1:$H$6957,"urgencia")</f>
        <v>0</v>
      </c>
      <c r="AD16" s="27">
        <f>COUNTIFS([2]InfCualitativo!$B$1:$B$6957,"FALSO",[2]InfCualitativo!$E$1:$E$6957,"Cano de oro",[2]InfCualitativo!$H$1:$H$6957,"urgencia")</f>
        <v>0</v>
      </c>
      <c r="AE16" s="30">
        <f t="shared" si="14"/>
        <v>0</v>
      </c>
      <c r="AF16" s="30">
        <f t="shared" si="15"/>
        <v>0</v>
      </c>
      <c r="AG16" s="27">
        <f>COUNTIFS([2]InfCualitativo!$B$1:$B$6957,"VERDADERO",[2]InfCualitativo!$E$1:$E$6957,"Cano de oro",[2]InfCualitativo!$H$1:$H$6957,"pediatria")</f>
        <v>0</v>
      </c>
      <c r="AH16" s="27">
        <f>COUNTIFS([2]InfCualitativo!$B$1:$B$6957,"FALSO",[2]InfCualitativo!$E$1:$E$6957,"Cano de oro",[2]InfCualitativo!$H$1:$H$6957,"pediatria")</f>
        <v>0</v>
      </c>
      <c r="AI16" s="30">
        <f t="shared" si="16"/>
        <v>0</v>
      </c>
      <c r="AJ16" s="30">
        <f t="shared" si="17"/>
        <v>0</v>
      </c>
      <c r="AK16" s="27">
        <f>COUNTIFS([2]InfCualitativo!$B$1:$B$6957,"VERDADERO",[2]InfCualitativo!$E$1:$E$6957,"Cano de oro",[2]InfCualitativo!$H$1:$H$6957,"medicina_interna")</f>
        <v>0</v>
      </c>
      <c r="AL16" s="27">
        <f>COUNTIFS([2]InfCualitativo!$B$1:$B$6957,"FALSO",[2]InfCualitativo!$E$1:$E$6957,"Cano de oro",[2]InfCualitativo!$H$1:$H$6957,"medicina_interna")</f>
        <v>0</v>
      </c>
      <c r="AM16" s="30">
        <f t="shared" si="18"/>
        <v>0</v>
      </c>
      <c r="AN16" s="30">
        <f t="shared" si="19"/>
        <v>0</v>
      </c>
      <c r="AO16" s="27">
        <f>COUNTIFS([2]InfCualitativo!$B$1:$B$6957,"VERDADERO",[2]InfCualitativo!$E$1:$E$6957,"Cano de oro",[2]InfCualitativo!$H$1:$H$6957,"ginecologia")</f>
        <v>0</v>
      </c>
      <c r="AP16" s="27">
        <f>COUNTIFS([2]InfCualitativo!$B$1:$B$6957,"FALSO",[2]InfCualitativo!$E$1:$E$6957,"Cano de oro",[2]InfCualitativo!$H$1:$H$6957,"ginecologia")</f>
        <v>0</v>
      </c>
      <c r="AQ16" s="30">
        <f t="shared" si="20"/>
        <v>0</v>
      </c>
      <c r="AR16" s="30">
        <f t="shared" si="21"/>
        <v>0</v>
      </c>
      <c r="AS16" s="27">
        <f t="shared" si="22"/>
        <v>87</v>
      </c>
      <c r="AT16" s="27">
        <f t="shared" si="22"/>
        <v>0</v>
      </c>
      <c r="AU16" s="32">
        <f t="shared" si="23"/>
        <v>1</v>
      </c>
      <c r="AV16" s="32">
        <f t="shared" si="24"/>
        <v>0</v>
      </c>
    </row>
    <row r="17" spans="1:48" ht="18.75" x14ac:dyDescent="0.3">
      <c r="A17" s="26" t="s">
        <v>36</v>
      </c>
      <c r="B17" s="27">
        <v>144</v>
      </c>
      <c r="C17" s="27">
        <f t="shared" si="1"/>
        <v>144</v>
      </c>
      <c r="D17" s="28">
        <f t="shared" si="0"/>
        <v>100</v>
      </c>
      <c r="E17" s="29">
        <f>COUNTIFS([2]InfCualitativo!$B$1:$B$6957,"VERDADERO",[2]InfCualitativo!$E$1:$E$6957,"Daniel Lemaitre",[2]InfCualitativo!$H$1:$H$6957,"consulta_externa")</f>
        <v>44</v>
      </c>
      <c r="F17" s="29">
        <f>COUNTIFS([2]InfCualitativo!$B$1:$B$6957,"FALSO",[2]InfCualitativo!$E$1:$E$6957,"Daniel Lemaitre",[2]InfCualitativo!$H$1:$H$6957,"consulta_externa")</f>
        <v>4</v>
      </c>
      <c r="G17" s="30">
        <f t="shared" si="2"/>
        <v>0.91666666666666663</v>
      </c>
      <c r="H17" s="30">
        <f t="shared" si="3"/>
        <v>8.3333333333333329E-2</v>
      </c>
      <c r="I17" s="27">
        <f>COUNTIFS([2]InfCualitativo!$B$1:$B$6957,"VERDADERO",[2]InfCualitativo!$E$1:$E$6957,"Daniel Lemaitre",[2]InfCualitativo!$H$1:$H$6957,"salud_oral")</f>
        <v>40</v>
      </c>
      <c r="J17" s="27">
        <f>COUNTIFS([2]InfCualitativo!$B$1:$B$6957,"FALSO",[2]InfCualitativo!$E$1:$E$6957,"Daniel Lemaitre",[2]InfCualitativo!$H$1:$H$6957,"salud_oral")</f>
        <v>8</v>
      </c>
      <c r="K17" s="30">
        <f t="shared" si="4"/>
        <v>0.83333333333333337</v>
      </c>
      <c r="L17" s="30">
        <f t="shared" si="5"/>
        <v>0.16666666666666666</v>
      </c>
      <c r="M17" s="27">
        <f>COUNTIFS([2]InfCualitativo!$B$1:$B$6957,"VERDADERO",[2]InfCualitativo!$E$1:$E$6957,"Daniel Lemaitre",[2]InfCualitativo!$H$1:$H$6957,"laboratorio")</f>
        <v>39</v>
      </c>
      <c r="N17" s="27">
        <f>COUNTIFS([2]InfCualitativo!$B$1:$B$6957,"FALSO",[2]InfCualitativo!$E$1:$E$6957,"Daniel Lemaitre",[2]InfCualitativo!$H$1:$H$6957,"laboratorio")</f>
        <v>9</v>
      </c>
      <c r="O17" s="30">
        <f t="shared" si="6"/>
        <v>0.8125</v>
      </c>
      <c r="P17" s="31">
        <f t="shared" si="7"/>
        <v>0.1875</v>
      </c>
      <c r="Q17" s="27">
        <f>COUNTIFS([2]InfCualitativo!$B$1:$B$6957,"VERDADERO",[2]InfCualitativo!$E$1:$E$6957,"Daniel Lemaitre",[2]InfCualitativo!$H$1:$H$6957,"electros")</f>
        <v>0</v>
      </c>
      <c r="R17" s="27">
        <f>COUNTIFS([2]InfCualitativo!$B$1:$B$6957,"FALSO",[2]InfCualitativo!$E$1:$E$6957,"Daniel Lemaitre",[2]InfCualitativo!$H$1:$H$6957,"electros")</f>
        <v>0</v>
      </c>
      <c r="S17" s="30">
        <f t="shared" si="8"/>
        <v>0</v>
      </c>
      <c r="T17" s="30">
        <f t="shared" si="9"/>
        <v>0</v>
      </c>
      <c r="U17" s="27">
        <f>COUNTIFS([2]InfCualitativo!$B$1:$B$6957,"VERDADERO",[2]InfCualitativo!$E$1:$E$6957,"Daniel Lemaitre",[2]InfCualitativo!$H$1:$H$6957,"rx")</f>
        <v>0</v>
      </c>
      <c r="V17" s="27">
        <f>COUNTIFS([2]InfCualitativo!$B$1:$B$6957,"FALSO",[2]InfCualitativo!$E$1:$E$6957,"Daniel Lemaitre",[2]InfCualitativo!$H$1:$H$6957,"rx")</f>
        <v>0</v>
      </c>
      <c r="W17" s="30">
        <f t="shared" si="10"/>
        <v>0</v>
      </c>
      <c r="X17" s="30">
        <f t="shared" si="11"/>
        <v>0</v>
      </c>
      <c r="Y17" s="27">
        <f>COUNTIFS([2]InfCualitativo!$B$1:$B$6957,"VERDADERO",[2]InfCualitativo!$E$1:$E$6957,"Daniel Lemaitre",[2]InfCualitativo!$H$1:$H$6957,"ecografias")</f>
        <v>0</v>
      </c>
      <c r="Z17" s="27">
        <f>COUNTIFS([2]InfCualitativo!$B$1:$B$6957,"FALSO",[2]InfCualitativo!$E$1:$E$6957,"Daniel Lemaitre",[2]InfCualitativo!$H$1:$H$6957,"ecografias")</f>
        <v>0</v>
      </c>
      <c r="AA17" s="30">
        <f t="shared" si="12"/>
        <v>0</v>
      </c>
      <c r="AB17" s="30">
        <f t="shared" si="13"/>
        <v>0</v>
      </c>
      <c r="AC17" s="27">
        <f>COUNTIFS([2]InfCualitativo!$B$1:$B$6957,"VERDADERO",[2]InfCualitativo!$E$1:$E$6957,"Daniel Lemaitre",[2]InfCualitativo!$H$1:$H$6957,"urgencia")</f>
        <v>0</v>
      </c>
      <c r="AD17" s="27">
        <f>COUNTIFS([2]InfCualitativo!$B$1:$B$6957,"FALSO",[2]InfCualitativo!$E$1:$E$6957,"Daniel Lemaitre",[2]InfCualitativo!$H$1:$H$6957,"urgencia")</f>
        <v>0</v>
      </c>
      <c r="AE17" s="30">
        <f t="shared" si="14"/>
        <v>0</v>
      </c>
      <c r="AF17" s="30">
        <f t="shared" si="15"/>
        <v>0</v>
      </c>
      <c r="AG17" s="27">
        <f>COUNTIFS([2]InfCualitativo!$B$1:$B$6957,"VERDADERO",[2]InfCualitativo!$E$1:$E$6957,"Daniel Lemaitre",[2]InfCualitativo!$H$1:$H$6957,"pediatria")</f>
        <v>0</v>
      </c>
      <c r="AH17" s="27">
        <f>COUNTIFS([2]InfCualitativo!$B$1:$B$6957,"FALSO",[2]InfCualitativo!$E$1:$E$6957,"Daniel Lemaitre",[2]InfCualitativo!$H$1:$H$6957,"pediatria")</f>
        <v>0</v>
      </c>
      <c r="AI17" s="30">
        <f t="shared" si="16"/>
        <v>0</v>
      </c>
      <c r="AJ17" s="30">
        <f t="shared" si="17"/>
        <v>0</v>
      </c>
      <c r="AK17" s="27">
        <f>COUNTIFS([2]InfCualitativo!$B$1:$B$6957,"VERDADERO",[2]InfCualitativo!$E$1:$E$6957,"Daniel Lemaitre",[2]InfCualitativo!$H$1:$H$6957,"medicina_interna")</f>
        <v>0</v>
      </c>
      <c r="AL17" s="27">
        <f>COUNTIFS([2]InfCualitativo!$B$1:$B$6957,"FALSO",[2]InfCualitativo!$E$1:$E$6957,"Daniel Lemaitre",[2]InfCualitativo!$H$1:$H$6957,"medicina_interna")</f>
        <v>0</v>
      </c>
      <c r="AM17" s="30">
        <f t="shared" si="18"/>
        <v>0</v>
      </c>
      <c r="AN17" s="30">
        <f t="shared" si="19"/>
        <v>0</v>
      </c>
      <c r="AO17" s="27">
        <f>COUNTIFS([2]InfCualitativo!$B$1:$B$6957,"VERDADERO",[2]InfCualitativo!$E$1:$E$6957,"Daniel Lemaitre",[2]InfCualitativo!$H$1:$H$6957,"ginecologia")</f>
        <v>0</v>
      </c>
      <c r="AP17" s="27">
        <f>COUNTIFS([2]InfCualitativo!$B$1:$B$6957,"FALSO",[2]InfCualitativo!$E$1:$E$6957,"Daniel Lemaitre",[2]InfCualitativo!$H$1:$H$6957,"ginecologia")</f>
        <v>0</v>
      </c>
      <c r="AQ17" s="30">
        <f t="shared" si="20"/>
        <v>0</v>
      </c>
      <c r="AR17" s="30">
        <f t="shared" si="21"/>
        <v>0</v>
      </c>
      <c r="AS17" s="27">
        <f t="shared" si="22"/>
        <v>123</v>
      </c>
      <c r="AT17" s="27">
        <f t="shared" si="22"/>
        <v>21</v>
      </c>
      <c r="AU17" s="32">
        <f t="shared" si="23"/>
        <v>0.85416666666666663</v>
      </c>
      <c r="AV17" s="32">
        <f t="shared" si="24"/>
        <v>0.14583333333333334</v>
      </c>
    </row>
    <row r="18" spans="1:48" ht="18.75" x14ac:dyDescent="0.3">
      <c r="A18" s="26" t="s">
        <v>37</v>
      </c>
      <c r="B18" s="27">
        <v>239</v>
      </c>
      <c r="C18" s="27">
        <f>SUM(E18,F18,I18,J18,M18,N18,Q18,R18,U18,V18,Y18,Z18,AC18,AD18,AG18,AH18,AK18,AL18,AO18,AP18)</f>
        <v>239</v>
      </c>
      <c r="D18" s="28">
        <f t="shared" si="0"/>
        <v>100</v>
      </c>
      <c r="E18" s="29">
        <f>COUNTIFS([2]InfCualitativo!$B$1:$B$6957,"VERDADERO",[2]InfCualitativo!$E$1:$E$6957,"Esperanza",[2]InfCualitativo!$H$1:$H$6957,"consulta_externa")</f>
        <v>40</v>
      </c>
      <c r="F18" s="29">
        <f>COUNTIFS([2]InfCualitativo!$B$1:$B$6957,"FALSO",[2]InfCualitativo!$E$1:$E$6957,"Esperanza",[2]InfCualitativo!$H$1:$H$6957,"consulta_externa")</f>
        <v>8</v>
      </c>
      <c r="G18" s="30">
        <f t="shared" si="2"/>
        <v>0.83333333333333337</v>
      </c>
      <c r="H18" s="30">
        <f t="shared" si="3"/>
        <v>0.16666666666666666</v>
      </c>
      <c r="I18" s="27">
        <f>COUNTIFS([2]InfCualitativo!$B$1:$B$6957,"VERDADERO",[2]InfCualitativo!$E$1:$E$6957,"Esperanza",[2]InfCualitativo!$H$1:$H$6957,"salud_oral")</f>
        <v>50</v>
      </c>
      <c r="J18" s="27">
        <f>COUNTIFS([2]InfCualitativo!$B$1:$B$6957,"FALSO",[2]InfCualitativo!$E$1:$E$6957,"Esperanza",[2]InfCualitativo!$H$1:$H$6957,"salud_oral")</f>
        <v>0</v>
      </c>
      <c r="K18" s="30">
        <f t="shared" si="4"/>
        <v>1</v>
      </c>
      <c r="L18" s="30">
        <f t="shared" si="5"/>
        <v>0</v>
      </c>
      <c r="M18" s="27">
        <f>COUNTIFS([2]InfCualitativo!$B$1:$B$6957,"VERDADERO",[2]InfCualitativo!$E$1:$E$6957,"Esperanza",[2]InfCualitativo!$H$1:$H$6957,"laboratorio")</f>
        <v>31</v>
      </c>
      <c r="N18" s="27">
        <f>COUNTIFS([2]InfCualitativo!$B$1:$B$6957,"FALSO",[2]InfCualitativo!$E$1:$E$6957,"Esperanza",[2]InfCualitativo!$H$1:$H$6957,"laboratorio")</f>
        <v>16</v>
      </c>
      <c r="O18" s="30">
        <f t="shared" si="6"/>
        <v>0.65957446808510634</v>
      </c>
      <c r="P18" s="31">
        <f t="shared" si="7"/>
        <v>0.34042553191489361</v>
      </c>
      <c r="Q18" s="27">
        <f>COUNTIFS([2]InfCualitativo!$B$1:$B$6957,"VERDADERO",[2]InfCualitativo!$E$1:$E$6957,"Esperanza",[2]InfCualitativo!$H$1:$H$6957,"electros")</f>
        <v>39</v>
      </c>
      <c r="R18" s="27">
        <f>COUNTIFS([2]InfCualitativo!$B$1:$B$6957,"FALSO",[2]InfCualitativo!$E$1:$E$6957,"Esperanza",[2]InfCualitativo!$H$1:$H$6957,"electros")</f>
        <v>7</v>
      </c>
      <c r="S18" s="30">
        <f t="shared" si="8"/>
        <v>0.84782608695652173</v>
      </c>
      <c r="T18" s="30">
        <f t="shared" si="9"/>
        <v>0.15217391304347827</v>
      </c>
      <c r="U18" s="27">
        <f>COUNTIFS([2]InfCualitativo!$B$1:$B$6957,"VERDADERO",[2]InfCualitativo!$E$1:$E$6957,"Esperanza",[2]InfCualitativo!$H$1:$H$6957,"rx")</f>
        <v>0</v>
      </c>
      <c r="V18" s="27">
        <f>COUNTIFS([2]InfCualitativo!$B$1:$B$6957,"FALSO",[2]InfCualitativo!$E$1:$E$6957,"Esperanza",[2]InfCualitativo!$H$1:$H$6957,"rx")</f>
        <v>0</v>
      </c>
      <c r="W18" s="30">
        <f t="shared" si="10"/>
        <v>0</v>
      </c>
      <c r="X18" s="30">
        <f t="shared" si="11"/>
        <v>0</v>
      </c>
      <c r="Y18" s="27">
        <f>COUNTIFS([2]InfCualitativo!$B$1:$B$6957,"VERDADERO",[2]InfCualitativo!$E$1:$E$6957,"Esperanza",[2]InfCualitativo!$H$1:$H$6957,"ecografias")</f>
        <v>0</v>
      </c>
      <c r="Z18" s="27">
        <f>COUNTIFS([2]InfCualitativo!$B$1:$B$6957,"FALSO",[2]InfCualitativo!$E$1:$E$6957,"Esperanza",[2]InfCualitativo!$H$1:$H$6957,"ecografias")</f>
        <v>0</v>
      </c>
      <c r="AA18" s="30">
        <f t="shared" si="12"/>
        <v>0</v>
      </c>
      <c r="AB18" s="30">
        <f t="shared" si="13"/>
        <v>0</v>
      </c>
      <c r="AC18" s="27">
        <f>COUNTIFS([2]InfCualitativo!$B$1:$B$6957,"VERDADERO",[2]InfCualitativo!$E$1:$E$6957,"Esperanza",[2]InfCualitativo!$H$1:$H$6957,"urgencia")</f>
        <v>42</v>
      </c>
      <c r="AD18" s="27">
        <f>COUNTIFS([2]InfCualitativo!$B$1:$B$6957,"FALSO",[2]InfCualitativo!$E$1:$E$6957,"Esperanza",[2]InfCualitativo!$H$1:$H$6957,"urgencia")</f>
        <v>6</v>
      </c>
      <c r="AE18" s="30">
        <f t="shared" si="14"/>
        <v>0.875</v>
      </c>
      <c r="AF18" s="30">
        <f t="shared" si="15"/>
        <v>0.125</v>
      </c>
      <c r="AG18" s="27">
        <f>COUNTIFS([2]InfCualitativo!$B$1:$B$6957,"VERDADERO",[2]InfCualitativo!$E$1:$E$6957,"Esperanza",[2]InfCualitativo!$H$1:$H$6957,"pediatria")</f>
        <v>0</v>
      </c>
      <c r="AH18" s="27">
        <f>COUNTIFS([2]InfCualitativo!$B$1:$B$6957,"FALSO",[2]InfCualitativo!$E$1:$E$6957,"Esperanza",[2]InfCualitativo!$H$1:$H$6957,"pediatria")</f>
        <v>0</v>
      </c>
      <c r="AI18" s="30">
        <f t="shared" si="16"/>
        <v>0</v>
      </c>
      <c r="AJ18" s="30">
        <f t="shared" si="17"/>
        <v>0</v>
      </c>
      <c r="AK18" s="27">
        <f>COUNTIFS([2]InfCualitativo!$B$1:$B$6957,"VERDADERO",[2]InfCualitativo!$E$1:$E$6957,"Esperanza",[2]InfCualitativo!$H$1:$H$6957,"medicina_interna")</f>
        <v>0</v>
      </c>
      <c r="AL18" s="27">
        <f>COUNTIFS([2]InfCualitativo!$B$1:$B$6957,"FALSO",[2]InfCualitativo!$E$1:$E$6957,"Esperanza",[2]InfCualitativo!$H$1:$H$6957,"medicina_interna")</f>
        <v>0</v>
      </c>
      <c r="AM18" s="30">
        <f t="shared" si="18"/>
        <v>0</v>
      </c>
      <c r="AN18" s="30">
        <f t="shared" si="19"/>
        <v>0</v>
      </c>
      <c r="AO18" s="27">
        <f>COUNTIFS([2]InfCualitativo!$B$1:$B$6957,"VERDADERO",[2]InfCualitativo!$E$1:$E$6957,"Esperanza",[2]InfCualitativo!$H$1:$H$6957,"ginecologia")</f>
        <v>0</v>
      </c>
      <c r="AP18" s="27">
        <f>COUNTIFS([2]InfCualitativo!$B$1:$B$6957,"FALSO",[2]InfCualitativo!$E$1:$E$6957,"Esperanza",[2]InfCualitativo!$H$1:$H$6957,"ginecologia")</f>
        <v>0</v>
      </c>
      <c r="AQ18" s="30">
        <f t="shared" si="20"/>
        <v>0</v>
      </c>
      <c r="AR18" s="30">
        <f t="shared" si="21"/>
        <v>0</v>
      </c>
      <c r="AS18" s="27">
        <f t="shared" si="22"/>
        <v>202</v>
      </c>
      <c r="AT18" s="27">
        <f t="shared" si="22"/>
        <v>37</v>
      </c>
      <c r="AU18" s="32">
        <f t="shared" si="23"/>
        <v>0.84518828451882844</v>
      </c>
      <c r="AV18" s="32">
        <f t="shared" si="24"/>
        <v>0.15481171548117154</v>
      </c>
    </row>
    <row r="19" spans="1:48" ht="18.75" x14ac:dyDescent="0.3">
      <c r="A19" s="26" t="s">
        <v>38</v>
      </c>
      <c r="B19" s="35" t="s">
        <v>39</v>
      </c>
      <c r="C19" s="35" t="s">
        <v>39</v>
      </c>
      <c r="D19" s="35" t="s">
        <v>39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5" t="s">
        <v>39</v>
      </c>
      <c r="P19" s="35" t="s">
        <v>39</v>
      </c>
      <c r="Q19" s="35" t="s">
        <v>39</v>
      </c>
      <c r="R19" s="35" t="s">
        <v>39</v>
      </c>
      <c r="S19" s="35" t="s">
        <v>39</v>
      </c>
      <c r="T19" s="35" t="s">
        <v>39</v>
      </c>
      <c r="U19" s="35" t="s">
        <v>39</v>
      </c>
      <c r="V19" s="35" t="s">
        <v>39</v>
      </c>
      <c r="W19" s="35" t="s">
        <v>39</v>
      </c>
      <c r="X19" s="35" t="s">
        <v>39</v>
      </c>
      <c r="Y19" s="35" t="s">
        <v>39</v>
      </c>
      <c r="Z19" s="35" t="s">
        <v>39</v>
      </c>
      <c r="AA19" s="35" t="s">
        <v>39</v>
      </c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 t="s">
        <v>39</v>
      </c>
      <c r="AH19" s="35" t="s">
        <v>39</v>
      </c>
      <c r="AI19" s="35" t="s">
        <v>39</v>
      </c>
      <c r="AJ19" s="35" t="s">
        <v>39</v>
      </c>
      <c r="AK19" s="35" t="s">
        <v>39</v>
      </c>
      <c r="AL19" s="35" t="s">
        <v>39</v>
      </c>
      <c r="AM19" s="35" t="s">
        <v>39</v>
      </c>
      <c r="AN19" s="35" t="s">
        <v>39</v>
      </c>
      <c r="AO19" s="35" t="s">
        <v>39</v>
      </c>
      <c r="AP19" s="35" t="s">
        <v>39</v>
      </c>
      <c r="AQ19" s="35" t="s">
        <v>39</v>
      </c>
      <c r="AR19" s="35" t="s">
        <v>39</v>
      </c>
      <c r="AS19" s="35" t="s">
        <v>39</v>
      </c>
      <c r="AT19" s="35" t="s">
        <v>39</v>
      </c>
      <c r="AU19" s="35" t="s">
        <v>39</v>
      </c>
      <c r="AV19" s="35" t="s">
        <v>39</v>
      </c>
    </row>
    <row r="20" spans="1:48" ht="18.75" x14ac:dyDescent="0.3">
      <c r="A20" s="26" t="s">
        <v>40</v>
      </c>
      <c r="B20" s="27">
        <v>102</v>
      </c>
      <c r="C20" s="27">
        <f t="shared" si="1"/>
        <v>102</v>
      </c>
      <c r="D20" s="28">
        <f t="shared" si="0"/>
        <v>100</v>
      </c>
      <c r="E20" s="29">
        <f>COUNTIFS([2]InfCualitativo!$B$1:$B$6957,"VERDADERO",[2]InfCualitativo!$E$1:$E$6957,"Foco Rojo",[2]InfCualitativo!$H$1:$H$6957,"consulta_externa")</f>
        <v>34</v>
      </c>
      <c r="F20" s="29">
        <f>COUNTIFS([2]InfCualitativo!$B$1:$B$6957,"FALSO",[2]InfCualitativo!$E$1:$E$6957,"Foco Rojo",[2]InfCualitativo!$H$1:$H$6957,"consulta_externa")</f>
        <v>0</v>
      </c>
      <c r="G20" s="30">
        <f t="shared" si="2"/>
        <v>1</v>
      </c>
      <c r="H20" s="30">
        <f t="shared" si="3"/>
        <v>0</v>
      </c>
      <c r="I20" s="27">
        <f>COUNTIFS([2]InfCualitativo!$B$1:$B$6957,"VERDADERO",[2]InfCualitativo!$E$1:$E$6957,"Foco Rojo",[2]InfCualitativo!$H$1:$H$6957,"salud_oral")</f>
        <v>35</v>
      </c>
      <c r="J20" s="27">
        <f>COUNTIFS([2]InfCualitativo!$B$1:$B$6957,"FALSO",[2]InfCualitativo!$E$1:$E$6957,"Foco Rojo",[2]InfCualitativo!$H$1:$H$6957,"salud_oral")</f>
        <v>0</v>
      </c>
      <c r="K20" s="30">
        <f t="shared" si="4"/>
        <v>1</v>
      </c>
      <c r="L20" s="30">
        <f t="shared" si="5"/>
        <v>0</v>
      </c>
      <c r="M20" s="27">
        <f>COUNTIFS([2]InfCualitativo!$B$1:$B$6957,"VERDADERO",[2]InfCualitativo!$E$1:$E$6957,"Foco Rojo",[2]InfCualitativo!$H$1:$H$6957,"laboratorio")</f>
        <v>33</v>
      </c>
      <c r="N20" s="27">
        <f>COUNTIFS([2]InfCualitativo!$B$1:$B$6957,"FALSO",[2]InfCualitativo!$E$1:$E$6957,"Foco Rojo",[2]InfCualitativo!$H$1:$H$6957,"laboratorio")</f>
        <v>0</v>
      </c>
      <c r="O20" s="30">
        <f t="shared" si="6"/>
        <v>1</v>
      </c>
      <c r="P20" s="31">
        <f t="shared" si="7"/>
        <v>0</v>
      </c>
      <c r="Q20" s="27">
        <f>COUNTIFS([2]InfCualitativo!$B$1:$B$6957,"VERDADERO",[2]InfCualitativo!$E$1:$E$6957,"Foco Rojo",[2]InfCualitativo!$H$1:$H$6957,"electros")</f>
        <v>0</v>
      </c>
      <c r="R20" s="27">
        <f>COUNTIFS([2]InfCualitativo!$B$1:$B$6957,"FALSO",[2]InfCualitativo!$E$1:$E$6957,"Foco Rojo",[2]InfCualitativo!$H$1:$H$6957,"electros")</f>
        <v>0</v>
      </c>
      <c r="S20" s="30">
        <f t="shared" si="8"/>
        <v>0</v>
      </c>
      <c r="T20" s="30">
        <f t="shared" si="9"/>
        <v>0</v>
      </c>
      <c r="U20" s="27">
        <f>COUNTIFS([2]InfCualitativo!$B$1:$B$6957,"VERDADERO",[2]InfCualitativo!$E$1:$E$6957,"Foco Rojo",[2]InfCualitativo!$H$1:$H$6957,"rx")</f>
        <v>0</v>
      </c>
      <c r="V20" s="27">
        <f>COUNTIFS([2]InfCualitativo!$B$1:$B$6957,"FALSO",[2]InfCualitativo!$E$1:$E$6957,"Foco Rojo",[2]InfCualitativo!$H$1:$H$6957,"rx")</f>
        <v>0</v>
      </c>
      <c r="W20" s="30">
        <f t="shared" si="10"/>
        <v>0</v>
      </c>
      <c r="X20" s="30">
        <f t="shared" si="11"/>
        <v>0</v>
      </c>
      <c r="Y20" s="27">
        <f>COUNTIFS([2]InfCualitativo!$B$1:$B$6957,"VERDADERO",[2]InfCualitativo!$E$1:$E$6957,"Foco Rojo",[2]InfCualitativo!$H$1:$H$6957,"ecografias")</f>
        <v>0</v>
      </c>
      <c r="Z20" s="27">
        <f>COUNTIFS([2]InfCualitativo!$B$1:$B$6957,"FALSO",[2]InfCualitativo!$E$1:$E$6957,"Foco Rojo",[2]InfCualitativo!$H$1:$H$6957,"ecografias")</f>
        <v>0</v>
      </c>
      <c r="AA20" s="30">
        <f t="shared" si="12"/>
        <v>0</v>
      </c>
      <c r="AB20" s="30">
        <f t="shared" si="13"/>
        <v>0</v>
      </c>
      <c r="AC20" s="27">
        <f>COUNTIFS([2]InfCualitativo!$B$1:$B$6957,"VERDADERO",[2]InfCualitativo!$E$1:$E$6957,"Foco Rojo",[2]InfCualitativo!$H$1:$H$6957,"urgencia")</f>
        <v>0</v>
      </c>
      <c r="AD20" s="27">
        <f>COUNTIFS([2]InfCualitativo!$B$1:$B$6957,"FALSO",[2]InfCualitativo!$E$1:$E$6957,"Foco Rojo",[2]InfCualitativo!$H$1:$H$6957,"urgencia")</f>
        <v>0</v>
      </c>
      <c r="AE20" s="30">
        <f t="shared" si="14"/>
        <v>0</v>
      </c>
      <c r="AF20" s="30">
        <f t="shared" si="15"/>
        <v>0</v>
      </c>
      <c r="AG20" s="27">
        <f>COUNTIFS([2]InfCualitativo!$B$1:$B$6957,"VERDADERO",[2]InfCualitativo!$E$1:$E$6957,"Foco Rojo",[2]InfCualitativo!$H$1:$H$6957,"pediatria")</f>
        <v>0</v>
      </c>
      <c r="AH20" s="27">
        <f>COUNTIFS([2]InfCualitativo!$B$1:$B$6957,"FALSO",[2]InfCualitativo!$E$1:$E$6957,"Foco Rojo",[2]InfCualitativo!$H$1:$H$6957,"pediatria")</f>
        <v>0</v>
      </c>
      <c r="AI20" s="30">
        <f t="shared" si="16"/>
        <v>0</v>
      </c>
      <c r="AJ20" s="30">
        <f t="shared" si="17"/>
        <v>0</v>
      </c>
      <c r="AK20" s="27">
        <f>COUNTIFS([2]InfCualitativo!$B$1:$B$6957,"VERDADERO",[2]InfCualitativo!$E$1:$E$6957,"Foco Rojo",[2]InfCualitativo!$H$1:$H$6957,"medicina_interna")</f>
        <v>0</v>
      </c>
      <c r="AL20" s="27">
        <f>COUNTIFS([2]InfCualitativo!$B$1:$B$6957,"FALSO",[2]InfCualitativo!$E$1:$E$6957,"Foco Rojo",[2]InfCualitativo!$H$1:$H$6957,"medicina_interna")</f>
        <v>0</v>
      </c>
      <c r="AM20" s="30">
        <f t="shared" si="18"/>
        <v>0</v>
      </c>
      <c r="AN20" s="30">
        <f t="shared" si="19"/>
        <v>0</v>
      </c>
      <c r="AO20" s="27">
        <f>COUNTIFS([2]InfCualitativo!$B$1:$B$6957,"VERDADERO",[2]InfCualitativo!$E$1:$E$6957,"Foco Rojo",[2]InfCualitativo!$H$1:$H$6957,"ginecologia")</f>
        <v>0</v>
      </c>
      <c r="AP20" s="27">
        <f>COUNTIFS([2]InfCualitativo!$B$1:$B$6957,"FALSO",[2]InfCualitativo!$E$1:$E$6957,"Foco Rojo",[2]InfCualitativo!$H$1:$H$6957,"ginecologia")</f>
        <v>0</v>
      </c>
      <c r="AQ20" s="30">
        <f t="shared" si="20"/>
        <v>0</v>
      </c>
      <c r="AR20" s="30">
        <f t="shared" si="21"/>
        <v>0</v>
      </c>
      <c r="AS20" s="27">
        <f t="shared" si="22"/>
        <v>102</v>
      </c>
      <c r="AT20" s="27">
        <f t="shared" si="22"/>
        <v>0</v>
      </c>
      <c r="AU20" s="32">
        <f t="shared" si="23"/>
        <v>1</v>
      </c>
      <c r="AV20" s="32">
        <f t="shared" si="24"/>
        <v>0</v>
      </c>
    </row>
    <row r="21" spans="1:48" ht="18.75" x14ac:dyDescent="0.3">
      <c r="A21" s="26" t="s">
        <v>41</v>
      </c>
      <c r="B21" s="27">
        <v>148</v>
      </c>
      <c r="C21" s="27">
        <f t="shared" si="1"/>
        <v>147</v>
      </c>
      <c r="D21" s="28">
        <f t="shared" si="0"/>
        <v>99.324324324324323</v>
      </c>
      <c r="E21" s="29">
        <f>COUNTIFS([2]InfCualitativo!$B$1:$B$6957,"VERDADERO",[2]InfCualitativo!$E$1:$E$6957,"Fredonia",[2]InfCualitativo!$H$1:$H$6957,"consulta_externa")</f>
        <v>80</v>
      </c>
      <c r="F21" s="29">
        <f>COUNTIFS([2]InfCualitativo!$B$1:$B$6957,"FALSO",[2]InfCualitativo!$E$1:$E$6957,"Fredonia",[2]InfCualitativo!$H$1:$H$6957,"consulta_externa")</f>
        <v>0</v>
      </c>
      <c r="G21" s="30">
        <f t="shared" si="2"/>
        <v>1</v>
      </c>
      <c r="H21" s="30">
        <f t="shared" si="3"/>
        <v>0</v>
      </c>
      <c r="I21" s="27">
        <f>COUNTIFS([2]InfCualitativo!$B$1:$B$6957,"VERDADERO",[2]InfCualitativo!$E$1:$E$6957,"Fredonia",[2]InfCualitativo!$H$1:$H$6957,"salud_oral")</f>
        <v>31</v>
      </c>
      <c r="J21" s="27">
        <f>COUNTIFS([2]InfCualitativo!$B$1:$B$6957,"FALSO",[2]InfCualitativo!$E$1:$E$6957,"Fredonia",[2]InfCualitativo!$H$1:$H$6957,"salud_oral")</f>
        <v>0</v>
      </c>
      <c r="K21" s="30">
        <f t="shared" si="4"/>
        <v>1</v>
      </c>
      <c r="L21" s="30">
        <f t="shared" si="5"/>
        <v>0</v>
      </c>
      <c r="M21" s="27">
        <f>COUNTIFS([2]InfCualitativo!$B$1:$B$6957,"VERDADERO",[2]InfCualitativo!$E$1:$E$6957,"Fredonia",[2]InfCualitativo!$H$1:$H$6957,"laboratorio")</f>
        <v>36</v>
      </c>
      <c r="N21" s="27">
        <f>COUNTIFS([2]InfCualitativo!$B$1:$B$6957,"FALSO",[2]InfCualitativo!$E$1:$E$6957,"Fredonia",[2]InfCualitativo!$H$1:$H$6957,"laboratorio")</f>
        <v>0</v>
      </c>
      <c r="O21" s="30">
        <f t="shared" si="6"/>
        <v>1</v>
      </c>
      <c r="P21" s="31">
        <f t="shared" si="7"/>
        <v>0</v>
      </c>
      <c r="Q21" s="27">
        <f>COUNTIFS([2]InfCualitativo!$B$1:$B$6957,"VERDADERO",[2]InfCualitativo!$E$1:$E$6957,"Fredonia",[2]InfCualitativo!$H$1:$H$6957,"electros")</f>
        <v>0</v>
      </c>
      <c r="R21" s="27">
        <f>COUNTIFS([2]InfCualitativo!$B$1:$B$6957,"FALSO",[2]InfCualitativo!$E$1:$E$6957,"Fredonia",[2]InfCualitativo!$H$1:$H$6957,"electros")</f>
        <v>0</v>
      </c>
      <c r="S21" s="30">
        <f t="shared" si="8"/>
        <v>0</v>
      </c>
      <c r="T21" s="30">
        <f t="shared" si="9"/>
        <v>0</v>
      </c>
      <c r="U21" s="27">
        <f>COUNTIFS([2]InfCualitativo!$B$1:$B$6957,"VERDADERO",[2]InfCualitativo!$E$1:$E$6957,"Fredonia",[2]InfCualitativo!$H$1:$H$6957,"rx")</f>
        <v>0</v>
      </c>
      <c r="V21" s="27">
        <f>COUNTIFS([2]InfCualitativo!$B$1:$B$6957,"FALSO",[2]InfCualitativo!$E$1:$E$6957,"Fredonia",[2]InfCualitativo!$H$1:$H$6957,"rx")</f>
        <v>0</v>
      </c>
      <c r="W21" s="30">
        <f t="shared" si="10"/>
        <v>0</v>
      </c>
      <c r="X21" s="30">
        <f t="shared" si="11"/>
        <v>0</v>
      </c>
      <c r="Y21" s="27">
        <f>COUNTIFS([2]InfCualitativo!$B$1:$B$6957,"VERDADERO",[2]InfCualitativo!$E$1:$E$6957,"Fredonia",[2]InfCualitativo!$H$1:$H$6957,"ecografias")</f>
        <v>0</v>
      </c>
      <c r="Z21" s="27">
        <f>COUNTIFS([2]InfCualitativo!$B$1:$B$6957,"FALSO",[2]InfCualitativo!$E$1:$E$6957,"Fredonia",[2]InfCualitativo!$H$1:$H$6957,"ecografias")</f>
        <v>0</v>
      </c>
      <c r="AA21" s="30">
        <f t="shared" si="12"/>
        <v>0</v>
      </c>
      <c r="AB21" s="30">
        <f t="shared" si="13"/>
        <v>0</v>
      </c>
      <c r="AC21" s="27">
        <f>COUNTIFS([2]InfCualitativo!$B$1:$B$6957,"VERDADERO",[2]InfCualitativo!$E$1:$E$6957,"Fredonia",[2]InfCualitativo!$H$1:$H$6957,"urgencia")</f>
        <v>0</v>
      </c>
      <c r="AD21" s="27">
        <f>COUNTIFS([2]InfCualitativo!$B$1:$B$6957,"FALSO",[2]InfCualitativo!$E$1:$E$6957,"Fredonia",[2]InfCualitativo!$H$1:$H$6957,"urgencia")</f>
        <v>0</v>
      </c>
      <c r="AE21" s="30">
        <f t="shared" si="14"/>
        <v>0</v>
      </c>
      <c r="AF21" s="30">
        <f t="shared" si="15"/>
        <v>0</v>
      </c>
      <c r="AG21" s="27">
        <f>COUNTIFS([2]InfCualitativo!$B$1:$B$6957,"VERDADERO",[2]InfCualitativo!$E$1:$E$6957,"Fredonia",[2]InfCualitativo!$H$1:$H$6957,"pediatria")</f>
        <v>0</v>
      </c>
      <c r="AH21" s="27">
        <f>COUNTIFS([2]InfCualitativo!$B$1:$B$6957,"FALSO",[2]InfCualitativo!$E$1:$E$6957,"Fredonia",[2]InfCualitativo!$H$1:$H$6957,"pediatria")</f>
        <v>0</v>
      </c>
      <c r="AI21" s="30">
        <f t="shared" si="16"/>
        <v>0</v>
      </c>
      <c r="AJ21" s="30">
        <f t="shared" si="17"/>
        <v>0</v>
      </c>
      <c r="AK21" s="27">
        <f>COUNTIFS([2]InfCualitativo!$B$1:$B$6957,"VERDADERO",[2]InfCualitativo!$E$1:$E$6957,"Fredonia",[2]InfCualitativo!$H$1:$H$6957,"medicina_interna")</f>
        <v>0</v>
      </c>
      <c r="AL21" s="27">
        <f>COUNTIFS([2]InfCualitativo!$B$1:$B$6957,"FALSO",[2]InfCualitativo!$E$1:$E$6957,"Fredonia",[2]InfCualitativo!$H$1:$H$6957,"medicina_interna")</f>
        <v>0</v>
      </c>
      <c r="AM21" s="30">
        <f t="shared" si="18"/>
        <v>0</v>
      </c>
      <c r="AN21" s="30">
        <f t="shared" si="19"/>
        <v>0</v>
      </c>
      <c r="AO21" s="27">
        <f>COUNTIFS([2]InfCualitativo!$B$1:$B$6957,"VERDADERO",[2]InfCualitativo!$E$1:$E$6957,"Fredonia",[2]InfCualitativo!$H$1:$H$6957,"ginecologia")</f>
        <v>0</v>
      </c>
      <c r="AP21" s="27">
        <f>COUNTIFS([2]InfCualitativo!$B$1:$B$6957,"FALSO",[2]InfCualitativo!$E$1:$E$6957,"Fredonia",[2]InfCualitativo!$H$1:$H$6957,"ginecologia")</f>
        <v>0</v>
      </c>
      <c r="AQ21" s="30">
        <f t="shared" si="20"/>
        <v>0</v>
      </c>
      <c r="AR21" s="30">
        <f t="shared" si="21"/>
        <v>0</v>
      </c>
      <c r="AS21" s="27">
        <f t="shared" si="22"/>
        <v>147</v>
      </c>
      <c r="AT21" s="27">
        <f t="shared" si="22"/>
        <v>0</v>
      </c>
      <c r="AU21" s="32">
        <f t="shared" si="23"/>
        <v>1</v>
      </c>
      <c r="AV21" s="32">
        <f t="shared" si="24"/>
        <v>0</v>
      </c>
    </row>
    <row r="22" spans="1:48" ht="18.75" x14ac:dyDescent="0.3">
      <c r="A22" s="26" t="s">
        <v>42</v>
      </c>
      <c r="B22" s="27">
        <v>141</v>
      </c>
      <c r="C22" s="27">
        <f t="shared" si="1"/>
        <v>141</v>
      </c>
      <c r="D22" s="28">
        <f t="shared" si="0"/>
        <v>100</v>
      </c>
      <c r="E22" s="29">
        <f>COUNTIFS([2]InfCualitativo!$B$1:$B$6957,"VERDADERO",[2]InfCualitativo!$E$1:$E$6957,"Gaviotas",[2]InfCualitativo!$H$1:$H$6957,"consulta_externa")</f>
        <v>58</v>
      </c>
      <c r="F22" s="29">
        <f>COUNTIFS([2]InfCualitativo!$B$1:$B$6957,"FALSO",[2]InfCualitativo!$E$1:$E$6957,"Gaviotas",[2]InfCualitativo!$H$1:$H$6957,"consulta_externa")</f>
        <v>0</v>
      </c>
      <c r="G22" s="30">
        <f t="shared" si="2"/>
        <v>1</v>
      </c>
      <c r="H22" s="30">
        <f t="shared" si="3"/>
        <v>0</v>
      </c>
      <c r="I22" s="27">
        <f>COUNTIFS([2]InfCualitativo!$B$1:$B$6957,"VERDADERO",[2]InfCualitativo!$E$1:$E$6957,"Gaviotas",[2]InfCualitativo!$H$1:$H$6957,"salud_oral")</f>
        <v>31</v>
      </c>
      <c r="J22" s="27">
        <f>COUNTIFS([2]InfCualitativo!$B$1:$B$6957,"FALSO",[2]InfCualitativo!$E$1:$E$6957,"Gaviotas",[2]InfCualitativo!$H$1:$H$6957,"salud_oral")</f>
        <v>0</v>
      </c>
      <c r="K22" s="30">
        <f t="shared" si="4"/>
        <v>1</v>
      </c>
      <c r="L22" s="30">
        <f t="shared" si="5"/>
        <v>0</v>
      </c>
      <c r="M22" s="27">
        <f>COUNTIFS([2]InfCualitativo!$B$1:$B$6957,"VERDADERO",[2]InfCualitativo!$E$1:$E$6957,"Gaviotas",[2]InfCualitativo!$H$1:$H$6957,"laboratorio")</f>
        <v>52</v>
      </c>
      <c r="N22" s="27">
        <f>COUNTIFS([2]InfCualitativo!$B$1:$B$6957,"FALSO",[2]InfCualitativo!$E$1:$E$6957,"Gaviotas",[2]InfCualitativo!$H$1:$H$6957,"laboratorio")</f>
        <v>0</v>
      </c>
      <c r="O22" s="30">
        <f t="shared" si="6"/>
        <v>1</v>
      </c>
      <c r="P22" s="31">
        <f t="shared" si="7"/>
        <v>0</v>
      </c>
      <c r="Q22" s="27">
        <f>COUNTIFS([2]InfCualitativo!$B$1:$B$6957,"VERDADERO",[2]InfCualitativo!$E$1:$E$6957,"Gaviotas",[2]InfCualitativo!$H$1:$H$6957,"electros")</f>
        <v>0</v>
      </c>
      <c r="R22" s="27">
        <f>COUNTIFS([2]InfCualitativo!$B$1:$B$6957,"FALSO",[2]InfCualitativo!$E$1:$E$6957,"Gaviotas",[2]InfCualitativo!$H$1:$H$6957,"electros")</f>
        <v>0</v>
      </c>
      <c r="S22" s="30">
        <f t="shared" si="8"/>
        <v>0</v>
      </c>
      <c r="T22" s="30">
        <f t="shared" si="9"/>
        <v>0</v>
      </c>
      <c r="U22" s="27">
        <f>COUNTIFS([2]InfCualitativo!$B$1:$B$6957,"VERDADERO",[2]InfCualitativo!$E$1:$E$6957,"Gaviotas",[2]InfCualitativo!$H$1:$H$6957,"rx")</f>
        <v>0</v>
      </c>
      <c r="V22" s="27">
        <f>COUNTIFS([2]InfCualitativo!$B$1:$B$6957,"FALSO",[2]InfCualitativo!$E$1:$E$6957,"Gaviotas",[2]InfCualitativo!$H$1:$H$6957,"rx")</f>
        <v>0</v>
      </c>
      <c r="W22" s="30">
        <f t="shared" si="10"/>
        <v>0</v>
      </c>
      <c r="X22" s="30">
        <f t="shared" si="11"/>
        <v>0</v>
      </c>
      <c r="Y22" s="27">
        <f>COUNTIFS([2]InfCualitativo!$B$1:$B$6957,"VERDADERO",[2]InfCualitativo!$E$1:$E$6957,"Gaviotas",[2]InfCualitativo!$H$1:$H$6957,"ecografias")</f>
        <v>0</v>
      </c>
      <c r="Z22" s="27">
        <f>COUNTIFS([2]InfCualitativo!$B$1:$B$6957,"FALSO",[2]InfCualitativo!$E$1:$E$6957,"Gaviotas",[2]InfCualitativo!$H$1:$H$6957,"ecografias")</f>
        <v>0</v>
      </c>
      <c r="AA22" s="30">
        <f t="shared" si="12"/>
        <v>0</v>
      </c>
      <c r="AB22" s="30">
        <f t="shared" si="13"/>
        <v>0</v>
      </c>
      <c r="AC22" s="27">
        <f>COUNTIFS([2]InfCualitativo!$B$1:$B$6957,"VERDADERO",[2]InfCualitativo!$E$1:$E$6957,"Gaviotas",[2]InfCualitativo!$H$1:$H$6957,"urgencia")</f>
        <v>0</v>
      </c>
      <c r="AD22" s="27">
        <f>COUNTIFS([2]InfCualitativo!$B$1:$B$6957,"FALSO",[2]InfCualitativo!$E$1:$E$6957,"Gaviotas",[2]InfCualitativo!$H$1:$H$6957,"urgencia")</f>
        <v>0</v>
      </c>
      <c r="AE22" s="30">
        <f t="shared" si="14"/>
        <v>0</v>
      </c>
      <c r="AF22" s="30">
        <f t="shared" si="15"/>
        <v>0</v>
      </c>
      <c r="AG22" s="27">
        <f>COUNTIFS([2]InfCualitativo!$B$1:$B$6957,"VERDADERO",[2]InfCualitativo!$E$1:$E$6957,"Gaviotas",[2]InfCualitativo!$H$1:$H$6957,"pediatria")</f>
        <v>0</v>
      </c>
      <c r="AH22" s="27">
        <f>COUNTIFS([2]InfCualitativo!$B$1:$B$6957,"FALSO",[2]InfCualitativo!$E$1:$E$6957,"Gaviotas",[2]InfCualitativo!$H$1:$H$6957,"pediatria")</f>
        <v>0</v>
      </c>
      <c r="AI22" s="30">
        <f t="shared" si="16"/>
        <v>0</v>
      </c>
      <c r="AJ22" s="30">
        <f t="shared" si="17"/>
        <v>0</v>
      </c>
      <c r="AK22" s="27">
        <f>COUNTIFS([2]InfCualitativo!$B$1:$B$6957,"VERDADERO",[2]InfCualitativo!$E$1:$E$6957,"Gaviotas",[2]InfCualitativo!$H$1:$H$6957,"medicina_interna")</f>
        <v>0</v>
      </c>
      <c r="AL22" s="27">
        <f>COUNTIFS([2]InfCualitativo!$B$1:$B$6957,"FALSO",[2]InfCualitativo!$E$1:$E$6957,"Gaviotas",[2]InfCualitativo!$H$1:$H$6957,"medicina_interna")</f>
        <v>0</v>
      </c>
      <c r="AM22" s="30">
        <f t="shared" si="18"/>
        <v>0</v>
      </c>
      <c r="AN22" s="30">
        <f t="shared" si="19"/>
        <v>0</v>
      </c>
      <c r="AO22" s="27">
        <f>COUNTIFS([2]InfCualitativo!$B$1:$B$6957,"VERDADERO",[2]InfCualitativo!$E$1:$E$6957,"Gaviotas",[2]InfCualitativo!$H$1:$H$6957,"ginecologia")</f>
        <v>0</v>
      </c>
      <c r="AP22" s="27">
        <f>COUNTIFS([2]InfCualitativo!$B$1:$B$6957,"FALSO",[2]InfCualitativo!$E$1:$E$6957,"Gaviotas",[2]InfCualitativo!$H$1:$H$6957,"ginecologia")</f>
        <v>0</v>
      </c>
      <c r="AQ22" s="30">
        <f t="shared" si="20"/>
        <v>0</v>
      </c>
      <c r="AR22" s="30">
        <f t="shared" si="21"/>
        <v>0</v>
      </c>
      <c r="AS22" s="27">
        <f t="shared" si="22"/>
        <v>141</v>
      </c>
      <c r="AT22" s="27">
        <f t="shared" si="22"/>
        <v>0</v>
      </c>
      <c r="AU22" s="32">
        <f t="shared" si="23"/>
        <v>1</v>
      </c>
      <c r="AV22" s="32">
        <f t="shared" si="24"/>
        <v>0</v>
      </c>
    </row>
    <row r="23" spans="1:48" ht="18.75" x14ac:dyDescent="0.3">
      <c r="A23" s="26" t="s">
        <v>43</v>
      </c>
      <c r="B23" s="27">
        <v>92</v>
      </c>
      <c r="C23" s="27">
        <f t="shared" si="1"/>
        <v>59</v>
      </c>
      <c r="D23" s="74">
        <f t="shared" si="0"/>
        <v>64.130434782608702</v>
      </c>
      <c r="E23" s="29">
        <f>COUNTIFS([2]InfCualitativo!$B$1:$B$6957,"VERDADERO",[2]InfCualitativo!$E$1:$E$6957,"Isla del Rosario",[2]InfCualitativo!$H$1:$H$6957,"consulta_externa")</f>
        <v>26</v>
      </c>
      <c r="F23" s="29">
        <f>COUNTIFS([2]InfCualitativo!$B$1:$B$6957,"FALSO",[2]InfCualitativo!$E$1:$E$6957,"Isla del Rosario",[2]InfCualitativo!$H$1:$H$6957,"consulta_externa")</f>
        <v>1</v>
      </c>
      <c r="G23" s="30">
        <f t="shared" si="2"/>
        <v>0.96296296296296291</v>
      </c>
      <c r="H23" s="30">
        <f t="shared" si="3"/>
        <v>3.7037037037037035E-2</v>
      </c>
      <c r="I23" s="27">
        <f>COUNTIFS([2]InfCualitativo!$B$1:$B$6957,"VERDADERO",[2]InfCualitativo!$E$1:$E$6957,"Isla del Rosario",[2]InfCualitativo!$H$1:$H$6957,"salud_oral")</f>
        <v>16</v>
      </c>
      <c r="J23" s="27">
        <f>COUNTIFS([2]InfCualitativo!$B$1:$B$6957,"FALSO",[2]InfCualitativo!$E$1:$E$6957,"Isla del Rosario",[2]InfCualitativo!$H$1:$H$6957,"salud_oral")</f>
        <v>0</v>
      </c>
      <c r="K23" s="30">
        <f t="shared" si="4"/>
        <v>1</v>
      </c>
      <c r="L23" s="30">
        <f t="shared" si="5"/>
        <v>0</v>
      </c>
      <c r="M23" s="27">
        <f>COUNTIFS([2]InfCualitativo!$B$1:$B$6957,"VERDADERO",[2]InfCualitativo!$E$1:$E$6957,"Isla del Rosario",[2]InfCualitativo!$H$1:$H$6957,"laboratorio")</f>
        <v>14</v>
      </c>
      <c r="N23" s="27">
        <f>COUNTIFS([2]InfCualitativo!$B$1:$B$6957,"FALSO",[2]InfCualitativo!$E$1:$E$6957,"Isla del Rosario",[2]InfCualitativo!$H$1:$H$6957,"laboratorio")</f>
        <v>2</v>
      </c>
      <c r="O23" s="30">
        <f t="shared" si="6"/>
        <v>0.875</v>
      </c>
      <c r="P23" s="31">
        <f t="shared" si="7"/>
        <v>0.125</v>
      </c>
      <c r="Q23" s="27">
        <f>COUNTIFS([2]InfCualitativo!$B$1:$B$6957,"VERDADERO",[2]InfCualitativo!$E$1:$E$6957,"Isla del Rosario",[2]InfCualitativo!$H$1:$H$6957,"electros")</f>
        <v>0</v>
      </c>
      <c r="R23" s="27">
        <f>COUNTIFS([2]InfCualitativo!$B$1:$B$6957,"FALSO",[2]InfCualitativo!$E$1:$E$6957,"Isla del Rosario",[2]InfCualitativo!$H$1:$H$6957,"electros")</f>
        <v>0</v>
      </c>
      <c r="S23" s="30">
        <f t="shared" si="8"/>
        <v>0</v>
      </c>
      <c r="T23" s="30">
        <f t="shared" si="9"/>
        <v>0</v>
      </c>
      <c r="U23" s="27">
        <f>COUNTIFS([2]InfCualitativo!$B$1:$B$6957,"VERDADERO",[2]InfCualitativo!$E$1:$E$6957,"Isla del Rosario",[2]InfCualitativo!$H$1:$H$6957,"rx")</f>
        <v>0</v>
      </c>
      <c r="V23" s="27">
        <f>COUNTIFS([2]InfCualitativo!$B$1:$B$6957,"FALSO",[2]InfCualitativo!$E$1:$E$6957,"Isla del Rosario",[2]InfCualitativo!$H$1:$H$6957,"rx")</f>
        <v>0</v>
      </c>
      <c r="W23" s="30">
        <f t="shared" si="10"/>
        <v>0</v>
      </c>
      <c r="X23" s="30">
        <f t="shared" si="11"/>
        <v>0</v>
      </c>
      <c r="Y23" s="27">
        <f>COUNTIFS([2]InfCualitativo!$B$1:$B$6957,"VERDADERO",[2]InfCualitativo!$E$1:$E$6957,"Isla del Rosario",[2]InfCualitativo!$H$1:$H$6957,"ecografias")</f>
        <v>0</v>
      </c>
      <c r="Z23" s="27">
        <f>COUNTIFS([2]InfCualitativo!$B$1:$B$6957,"FALSO",[2]InfCualitativo!$E$1:$E$6957,"Isla del Rosario",[2]InfCualitativo!$H$1:$H$6957,"ecografias")</f>
        <v>0</v>
      </c>
      <c r="AA23" s="30">
        <f t="shared" si="12"/>
        <v>0</v>
      </c>
      <c r="AB23" s="30">
        <f t="shared" si="13"/>
        <v>0</v>
      </c>
      <c r="AC23" s="27">
        <f>COUNTIFS([2]InfCualitativo!$B$1:$B$6957,"VERDADERO",[2]InfCualitativo!$E$1:$E$6957,"Isla del Rosario",[2]InfCualitativo!$H$1:$H$6957,"urgencia")</f>
        <v>0</v>
      </c>
      <c r="AD23" s="27">
        <f>COUNTIFS([2]InfCualitativo!$B$1:$B$6957,"FALSO",[2]InfCualitativo!$E$1:$E$6957,"Isla del Rosario",[2]InfCualitativo!$H$1:$H$6957,"urgencia")</f>
        <v>0</v>
      </c>
      <c r="AE23" s="30">
        <f t="shared" si="14"/>
        <v>0</v>
      </c>
      <c r="AF23" s="30">
        <f t="shared" si="15"/>
        <v>0</v>
      </c>
      <c r="AG23" s="27">
        <f>COUNTIFS([2]InfCualitativo!$B$1:$B$6957,"VERDADERO",[2]InfCualitativo!$E$1:$E$6957,"Isla del Rosario",[2]InfCualitativo!$H$1:$H$6957,"pediatria")</f>
        <v>0</v>
      </c>
      <c r="AH23" s="27">
        <f>COUNTIFS([2]InfCualitativo!$B$1:$B$6957,"FALSO",[2]InfCualitativo!$E$1:$E$6957,"Isla del Rosario",[2]InfCualitativo!$H$1:$H$6957,"pediatria")</f>
        <v>0</v>
      </c>
      <c r="AI23" s="30">
        <f t="shared" si="16"/>
        <v>0</v>
      </c>
      <c r="AJ23" s="30">
        <f t="shared" si="17"/>
        <v>0</v>
      </c>
      <c r="AK23" s="27">
        <f>COUNTIFS([2]InfCualitativo!$B$1:$B$6957,"VERDADERO",[2]InfCualitativo!$E$1:$E$6957,"Isla del Rosario",[2]InfCualitativo!$H$1:$H$6957,"medicina_interna")</f>
        <v>0</v>
      </c>
      <c r="AL23" s="27">
        <f>COUNTIFS([2]InfCualitativo!$B$1:$B$6957,"FALSO",[2]InfCualitativo!$E$1:$E$6957,"Isla del Rosario",[2]InfCualitativo!$H$1:$H$6957,"medicina_interna")</f>
        <v>0</v>
      </c>
      <c r="AM23" s="30">
        <f t="shared" si="18"/>
        <v>0</v>
      </c>
      <c r="AN23" s="30">
        <f t="shared" si="19"/>
        <v>0</v>
      </c>
      <c r="AO23" s="27">
        <f>COUNTIFS([2]InfCualitativo!$B$1:$B$6957,"VERDADERO",[2]InfCualitativo!$E$1:$E$6957,"Isla del Rosario",[2]InfCualitativo!$H$1:$H$6957,"ginecologia")</f>
        <v>0</v>
      </c>
      <c r="AP23" s="27">
        <f>COUNTIFS([2]InfCualitativo!$B$1:$B$6957,"FALSO",[2]InfCualitativo!$E$1:$E$6957,"Isla del Rosario",[2]InfCualitativo!$H$1:$H$6957,"ginecologia")</f>
        <v>0</v>
      </c>
      <c r="AQ23" s="30">
        <f t="shared" si="20"/>
        <v>0</v>
      </c>
      <c r="AR23" s="30">
        <f t="shared" si="21"/>
        <v>0</v>
      </c>
      <c r="AS23" s="27">
        <f t="shared" si="22"/>
        <v>56</v>
      </c>
      <c r="AT23" s="27">
        <f t="shared" si="22"/>
        <v>3</v>
      </c>
      <c r="AU23" s="32">
        <f t="shared" si="23"/>
        <v>0.94915254237288138</v>
      </c>
      <c r="AV23" s="32">
        <f t="shared" si="24"/>
        <v>5.0847457627118647E-2</v>
      </c>
    </row>
    <row r="24" spans="1:48" ht="18.75" x14ac:dyDescent="0.3">
      <c r="A24" s="26" t="s">
        <v>44</v>
      </c>
      <c r="B24" s="27">
        <v>108</v>
      </c>
      <c r="C24" s="27">
        <f t="shared" si="1"/>
        <v>107</v>
      </c>
      <c r="D24" s="28">
        <f t="shared" si="0"/>
        <v>99.074074074074076</v>
      </c>
      <c r="E24" s="29">
        <f>COUNTIFS([2]InfCualitativo!$B$1:$B$6957,"VERDADERO",[2]InfCualitativo!$E$1:$E$6957,"Las Reinas",[2]InfCualitativo!$H$1:$H$6957,"consulta_externa")</f>
        <v>50</v>
      </c>
      <c r="F24" s="29">
        <f>COUNTIFS([2]InfCualitativo!$B$1:$B$6957,"FALSO",[2]InfCualitativo!$E$1:$E$6957,"Las Reinas",[2]InfCualitativo!$H$1:$H$6957,"consulta_externa")</f>
        <v>0</v>
      </c>
      <c r="G24" s="30">
        <f t="shared" si="2"/>
        <v>1</v>
      </c>
      <c r="H24" s="30">
        <f t="shared" si="3"/>
        <v>0</v>
      </c>
      <c r="I24" s="27">
        <f>COUNTIFS([2]InfCualitativo!$B$1:$B$6957,"VERDADERO",[2]InfCualitativo!$E$1:$E$6957,"Las Reinas",[2]InfCualitativo!$H$1:$H$6957,"salud_oral")</f>
        <v>30</v>
      </c>
      <c r="J24" s="27">
        <f>COUNTIFS([2]InfCualitativo!$B$1:$B$6957,"FALSO",[2]InfCualitativo!$E$1:$E$6957,"Las Reinas",[2]InfCualitativo!$H$1:$H$6957,"salud_oral")</f>
        <v>0</v>
      </c>
      <c r="K24" s="30">
        <f t="shared" si="4"/>
        <v>1</v>
      </c>
      <c r="L24" s="30">
        <f t="shared" si="5"/>
        <v>0</v>
      </c>
      <c r="M24" s="27">
        <f>COUNTIFS([2]InfCualitativo!$B$1:$B$6957,"VERDADERO",[2]InfCualitativo!$E$1:$E$6957,"Las Reinas",[2]InfCualitativo!$H$1:$H$6957,"laboratorio")</f>
        <v>27</v>
      </c>
      <c r="N24" s="27">
        <f>COUNTIFS([2]InfCualitativo!$B$1:$B$6957,"FALSO",[2]InfCualitativo!$E$1:$E$6957,"Las Reinas",[2]InfCualitativo!$H$1:$H$6957,"laboratorio")</f>
        <v>0</v>
      </c>
      <c r="O24" s="30">
        <f t="shared" si="6"/>
        <v>1</v>
      </c>
      <c r="P24" s="31">
        <f t="shared" si="7"/>
        <v>0</v>
      </c>
      <c r="Q24" s="27">
        <f>COUNTIFS([2]InfCualitativo!$B$1:$B$6957,"VERDADERO",[2]InfCualitativo!$E$1:$E$6957,"Las Reinas",[2]InfCualitativo!$H$1:$H$6957,"electros")</f>
        <v>0</v>
      </c>
      <c r="R24" s="27">
        <f>COUNTIFS([2]InfCualitativo!$B$1:$B$6957,"FALSO",[2]InfCualitativo!$E$1:$E$6957,"Las Reinas",[2]InfCualitativo!$H$1:$H$6957,"electros")</f>
        <v>0</v>
      </c>
      <c r="S24" s="30">
        <f t="shared" si="8"/>
        <v>0</v>
      </c>
      <c r="T24" s="30">
        <f t="shared" si="9"/>
        <v>0</v>
      </c>
      <c r="U24" s="27">
        <f>COUNTIFS([2]InfCualitativo!$B$1:$B$6957,"VERDADERO",[2]InfCualitativo!$E$1:$E$6957,"Las Reinas",[2]InfCualitativo!$H$1:$H$6957,"rx")</f>
        <v>0</v>
      </c>
      <c r="V24" s="27">
        <f>COUNTIFS([2]InfCualitativo!$B$1:$B$6957,"FALSO",[2]InfCualitativo!$E$1:$E$6957,"Las Reinas",[2]InfCualitativo!$H$1:$H$6957,"rx")</f>
        <v>0</v>
      </c>
      <c r="W24" s="30">
        <f t="shared" si="10"/>
        <v>0</v>
      </c>
      <c r="X24" s="30">
        <f t="shared" si="11"/>
        <v>0</v>
      </c>
      <c r="Y24" s="27">
        <f>COUNTIFS([2]InfCualitativo!$B$1:$B$6957,"VERDADERO",[2]InfCualitativo!$E$1:$E$6957,"Las Reinas",[2]InfCualitativo!$H$1:$H$6957,"ecografias")</f>
        <v>0</v>
      </c>
      <c r="Z24" s="27">
        <f>COUNTIFS([2]InfCualitativo!$B$1:$B$6957,"FALSO",[2]InfCualitativo!$E$1:$E$6957,"Las Reinas",[2]InfCualitativo!$H$1:$H$6957,"ecografias")</f>
        <v>0</v>
      </c>
      <c r="AA24" s="30">
        <f t="shared" si="12"/>
        <v>0</v>
      </c>
      <c r="AB24" s="30">
        <f t="shared" si="13"/>
        <v>0</v>
      </c>
      <c r="AC24" s="27">
        <f>COUNTIFS([2]InfCualitativo!$B$1:$B$6957,"VERDADERO",[2]InfCualitativo!$E$1:$E$6957,"Las Reinas",[2]InfCualitativo!$H$1:$H$6957,"urgencia")</f>
        <v>0</v>
      </c>
      <c r="AD24" s="27">
        <f>COUNTIFS([2]InfCualitativo!$B$1:$B$6957,"FALSO",[2]InfCualitativo!$E$1:$E$6957,"Las Reinas",[2]InfCualitativo!$H$1:$H$6957,"urgencia")</f>
        <v>0</v>
      </c>
      <c r="AE24" s="30">
        <f t="shared" si="14"/>
        <v>0</v>
      </c>
      <c r="AF24" s="30">
        <f t="shared" si="15"/>
        <v>0</v>
      </c>
      <c r="AG24" s="27">
        <f>COUNTIFS([2]InfCualitativo!$B$1:$B$6957,"VERDADERO",[2]InfCualitativo!$E$1:$E$6957,"Las Reinas",[2]InfCualitativo!$H$1:$H$6957,"pediatria")</f>
        <v>0</v>
      </c>
      <c r="AH24" s="27">
        <f>COUNTIFS([2]InfCualitativo!$B$1:$B$6957,"FALSO",[2]InfCualitativo!$E$1:$E$6957,"Las Reinas",[2]InfCualitativo!$H$1:$H$6957,"pediatria")</f>
        <v>0</v>
      </c>
      <c r="AI24" s="30">
        <f t="shared" si="16"/>
        <v>0</v>
      </c>
      <c r="AJ24" s="30">
        <f t="shared" si="17"/>
        <v>0</v>
      </c>
      <c r="AK24" s="27">
        <f>COUNTIFS([2]InfCualitativo!$B$1:$B$6957,"VERDADERO",[2]InfCualitativo!$E$1:$E$6957,"Las Reinas",[2]InfCualitativo!$H$1:$H$6957,"medicina_interna")</f>
        <v>0</v>
      </c>
      <c r="AL24" s="27">
        <f>COUNTIFS([2]InfCualitativo!$B$1:$B$6957,"FALSO",[2]InfCualitativo!$E$1:$E$6957,"Las Reinas",[2]InfCualitativo!$H$1:$H$6957,"medicina_interna")</f>
        <v>0</v>
      </c>
      <c r="AM24" s="30">
        <f t="shared" si="18"/>
        <v>0</v>
      </c>
      <c r="AN24" s="30">
        <f t="shared" si="19"/>
        <v>0</v>
      </c>
      <c r="AO24" s="27">
        <f>COUNTIFS([2]InfCualitativo!$B$1:$B$6957,"VERDADERO",[2]InfCualitativo!$E$1:$E$6957,"Las Reinas",[2]InfCualitativo!$H$1:$H$6957,"ginecologia")</f>
        <v>0</v>
      </c>
      <c r="AP24" s="27">
        <f>COUNTIFS([2]InfCualitativo!$B$1:$B$6957,"FALSO",[2]InfCualitativo!$E$1:$E$6957,"Las Reinas",[2]InfCualitativo!$H$1:$H$6957,"ginecologia")</f>
        <v>0</v>
      </c>
      <c r="AQ24" s="30">
        <f t="shared" si="20"/>
        <v>0</v>
      </c>
      <c r="AR24" s="30">
        <f t="shared" si="21"/>
        <v>0</v>
      </c>
      <c r="AS24" s="27">
        <f t="shared" si="22"/>
        <v>107</v>
      </c>
      <c r="AT24" s="27">
        <f t="shared" si="22"/>
        <v>0</v>
      </c>
      <c r="AU24" s="32">
        <f t="shared" si="23"/>
        <v>1</v>
      </c>
      <c r="AV24" s="32">
        <f t="shared" si="24"/>
        <v>0</v>
      </c>
    </row>
    <row r="25" spans="1:48" ht="18.75" x14ac:dyDescent="0.3">
      <c r="A25" s="26" t="s">
        <v>45</v>
      </c>
      <c r="B25" s="27">
        <v>240</v>
      </c>
      <c r="C25" s="27">
        <f t="shared" si="1"/>
        <v>212</v>
      </c>
      <c r="D25" s="28">
        <f t="shared" si="0"/>
        <v>88.333333333333329</v>
      </c>
      <c r="E25" s="29">
        <f>COUNTIFS([2]InfCualitativo!$B$1:$B$6957,"VERDADERO",[2]InfCualitativo!$E$1:$E$6957,"Libano",[2]InfCualitativo!$H$1:$H$6957,"consulta_externa")</f>
        <v>41</v>
      </c>
      <c r="F25" s="29">
        <f>COUNTIFS([2]InfCualitativo!$B$1:$B$6957,"FALSO",[2]InfCualitativo!$E$1:$E$6957,"Libano",[2]InfCualitativo!$H$1:$H$6957,"consulta_externa")</f>
        <v>7</v>
      </c>
      <c r="G25" s="30">
        <f t="shared" si="2"/>
        <v>0.85416666666666663</v>
      </c>
      <c r="H25" s="30">
        <f t="shared" si="3"/>
        <v>0.14583333333333334</v>
      </c>
      <c r="I25" s="27">
        <f>COUNTIFS([2]InfCualitativo!$B$1:$B$6957,"VERDADERO",[2]InfCualitativo!$E$1:$E$6957,"Libano",[2]InfCualitativo!$H$1:$H$6957,"salud_oral")</f>
        <v>45</v>
      </c>
      <c r="J25" s="27">
        <f>COUNTIFS([2]InfCualitativo!$B$1:$B$6957,"FALSO",[2]InfCualitativo!$E$1:$E$6957,"Libano",[2]InfCualitativo!$H$1:$H$6957,"salud_oral")</f>
        <v>3</v>
      </c>
      <c r="K25" s="30">
        <f t="shared" si="4"/>
        <v>0.9375</v>
      </c>
      <c r="L25" s="30">
        <f t="shared" si="5"/>
        <v>6.25E-2</v>
      </c>
      <c r="M25" s="27">
        <f>COUNTIFS([2]InfCualitativo!$B$1:$B$6957,"VERDADERO",[2]InfCualitativo!$E$1:$E$6957,"Libano",[2]InfCualitativo!$H$1:$H$6957,"laboratorio")</f>
        <v>41</v>
      </c>
      <c r="N25" s="27">
        <f>COUNTIFS([2]InfCualitativo!$B$1:$B$6957,"FALSO",[2]InfCualitativo!$E$1:$E$6957,"Libano",[2]InfCualitativo!$H$1:$H$6957,"laboratorio")</f>
        <v>4</v>
      </c>
      <c r="O25" s="30">
        <f t="shared" si="6"/>
        <v>0.91111111111111109</v>
      </c>
      <c r="P25" s="31">
        <f t="shared" si="7"/>
        <v>8.8888888888888892E-2</v>
      </c>
      <c r="Q25" s="27">
        <f>COUNTIFS([2]InfCualitativo!$B$1:$B$6957,"VERDADERO",[2]InfCualitativo!$E$1:$E$6957,"Libano",[2]InfCualitativo!$H$1:$H$6957,"electros")</f>
        <v>0</v>
      </c>
      <c r="R25" s="27">
        <f>COUNTIFS([2]InfCualitativo!$B$1:$B$6957,"FALSO",[2]InfCualitativo!$E$1:$E$6957,"Libano",[2]InfCualitativo!$H$1:$H$6957,"electros")</f>
        <v>0</v>
      </c>
      <c r="S25" s="30">
        <f t="shared" si="8"/>
        <v>0</v>
      </c>
      <c r="T25" s="30">
        <f t="shared" si="9"/>
        <v>0</v>
      </c>
      <c r="U25" s="27">
        <f>COUNTIFS([2]InfCualitativo!$B$1:$B$6957,"VERDADERO",[2]InfCualitativo!$E$1:$E$6957,"Libano",[2]InfCualitativo!$H$1:$H$6957,"rx")</f>
        <v>0</v>
      </c>
      <c r="V25" s="27">
        <f>COUNTIFS([2]InfCualitativo!$B$1:$B$6957,"FALSO",[2]InfCualitativo!$E$1:$E$6957,"Libano",[2]InfCualitativo!$H$1:$H$6957,"rx")</f>
        <v>0</v>
      </c>
      <c r="W25" s="30">
        <f t="shared" si="10"/>
        <v>0</v>
      </c>
      <c r="X25" s="30">
        <f t="shared" si="11"/>
        <v>0</v>
      </c>
      <c r="Y25" s="27">
        <f>COUNTIFS([2]InfCualitativo!$B$1:$B$6957,"VERDADERO",[2]InfCualitativo!$E$1:$E$6957,"Libano",[2]InfCualitativo!$H$1:$H$6957,"ecografias")</f>
        <v>14</v>
      </c>
      <c r="Z25" s="27">
        <f>COUNTIFS([2]InfCualitativo!$B$1:$B$6957,"FALSO",[2]InfCualitativo!$E$1:$E$6957,"Libano",[2]InfCualitativo!$H$1:$H$6957,"ecografias")</f>
        <v>0</v>
      </c>
      <c r="AA25" s="30">
        <f t="shared" si="12"/>
        <v>1</v>
      </c>
      <c r="AB25" s="30">
        <f t="shared" si="13"/>
        <v>0</v>
      </c>
      <c r="AC25" s="27">
        <f>COUNTIFS([2]InfCualitativo!$B$1:$B$6957,"VERDADERO",[2]InfCualitativo!$E$1:$E$6957,"Libano",[2]InfCualitativo!$H$1:$H$6957,"urgencia")</f>
        <v>0</v>
      </c>
      <c r="AD25" s="27">
        <f>COUNTIFS([2]InfCualitativo!$B$1:$B$6957,"FALSO",[2]InfCualitativo!$E$1:$E$6957,"Libano",[2]InfCualitativo!$H$1:$H$6957,"urgencia")</f>
        <v>0</v>
      </c>
      <c r="AE25" s="30">
        <f t="shared" si="14"/>
        <v>0</v>
      </c>
      <c r="AF25" s="30">
        <f t="shared" si="15"/>
        <v>0</v>
      </c>
      <c r="AG25" s="27">
        <f>COUNTIFS([2]InfCualitativo!$B$1:$B$6957,"VERDADERO",[2]InfCualitativo!$E$1:$E$6957,"Libano",[2]InfCualitativo!$H$1:$H$6957,"pediatria")</f>
        <v>34</v>
      </c>
      <c r="AH25" s="27">
        <f>COUNTIFS([2]InfCualitativo!$B$1:$B$6957,"FALSO",[2]InfCualitativo!$E$1:$E$6957,"Libano",[2]InfCualitativo!$H$1:$H$6957,"pediatria")</f>
        <v>1</v>
      </c>
      <c r="AI25" s="30">
        <f t="shared" si="16"/>
        <v>0.97142857142857142</v>
      </c>
      <c r="AJ25" s="30">
        <f t="shared" si="17"/>
        <v>2.8571428571428571E-2</v>
      </c>
      <c r="AK25" s="27">
        <f>COUNTIFS([2]InfCualitativo!$B$1:$B$6957,"VERDADERO",[2]InfCualitativo!$E$1:$E$6957,"Libano",[2]InfCualitativo!$H$1:$H$6957,"medicina_interna")</f>
        <v>0</v>
      </c>
      <c r="AL25" s="27">
        <f>COUNTIFS([2]InfCualitativo!$B$1:$B$6957,"FALSO",[2]InfCualitativo!$E$1:$E$6957,"Libano",[2]InfCualitativo!$H$1:$H$6957,"medicina_interna")</f>
        <v>0</v>
      </c>
      <c r="AM25" s="30">
        <f t="shared" si="18"/>
        <v>0</v>
      </c>
      <c r="AN25" s="30">
        <f t="shared" si="19"/>
        <v>0</v>
      </c>
      <c r="AO25" s="27">
        <f>COUNTIFS([2]InfCualitativo!$B$1:$B$6957,"VERDADERO",[2]InfCualitativo!$E$1:$E$6957,"Libano",[2]InfCualitativo!$H$1:$H$6957,"ginecologia")</f>
        <v>21</v>
      </c>
      <c r="AP25" s="27">
        <f>COUNTIFS([2]InfCualitativo!$B$1:$B$6957,"FALSO",[2]InfCualitativo!$E$1:$E$6957,"Libano",[2]InfCualitativo!$H$1:$H$6957,"ginecologia")</f>
        <v>1</v>
      </c>
      <c r="AQ25" s="30">
        <f t="shared" si="20"/>
        <v>0.95454545454545459</v>
      </c>
      <c r="AR25" s="30">
        <f t="shared" si="21"/>
        <v>4.5454545454545456E-2</v>
      </c>
      <c r="AS25" s="27">
        <f t="shared" si="22"/>
        <v>196</v>
      </c>
      <c r="AT25" s="27">
        <f t="shared" si="22"/>
        <v>16</v>
      </c>
      <c r="AU25" s="32">
        <f t="shared" si="23"/>
        <v>0.92452830188679247</v>
      </c>
      <c r="AV25" s="32">
        <f t="shared" si="24"/>
        <v>7.5471698113207544E-2</v>
      </c>
    </row>
    <row r="26" spans="1:48" ht="18.75" x14ac:dyDescent="0.3">
      <c r="A26" s="26" t="s">
        <v>46</v>
      </c>
      <c r="B26" s="27">
        <v>120</v>
      </c>
      <c r="C26" s="27">
        <f t="shared" si="1"/>
        <v>120</v>
      </c>
      <c r="D26" s="28">
        <f t="shared" si="0"/>
        <v>100</v>
      </c>
      <c r="E26" s="29">
        <f>COUNTIFS([2]InfCualitativo!$B$1:$B$6957,"VERDADERO",[2]InfCualitativo!$E$1:$E$6957,"Manzanillo",[2]InfCualitativo!$H$1:$H$6957,"consulta_externa")</f>
        <v>41</v>
      </c>
      <c r="F26" s="29">
        <f>COUNTIFS([2]InfCualitativo!$B$1:$B$6957,"FALSO",[2]InfCualitativo!$E$1:$E$6957,"Manzanillo",[2]InfCualitativo!$H$1:$H$6957,"consulta_externa")</f>
        <v>0</v>
      </c>
      <c r="G26" s="30">
        <f t="shared" si="2"/>
        <v>1</v>
      </c>
      <c r="H26" s="30">
        <f t="shared" si="3"/>
        <v>0</v>
      </c>
      <c r="I26" s="27">
        <f>COUNTIFS([2]InfCualitativo!$B$1:$B$6957,"VERDADERO",[2]InfCualitativo!$E$1:$E$6957,"Manzanillo",[2]InfCualitativo!$H$1:$H$6957,"salud_oral")</f>
        <v>36</v>
      </c>
      <c r="J26" s="27">
        <f>COUNTIFS([2]InfCualitativo!$B$1:$B$6957,"FALSO",[2]InfCualitativo!$E$1:$E$6957,"Manzanillo",[2]InfCualitativo!$H$1:$H$6957,"salud_oral")</f>
        <v>0</v>
      </c>
      <c r="K26" s="30">
        <f t="shared" si="4"/>
        <v>1</v>
      </c>
      <c r="L26" s="30">
        <f t="shared" si="5"/>
        <v>0</v>
      </c>
      <c r="M26" s="27">
        <f>COUNTIFS([2]InfCualitativo!$B$1:$B$6957,"VERDADERO",[2]InfCualitativo!$E$1:$E$6957,"Manzanillo",[2]InfCualitativo!$H$1:$H$6957,"laboratorio")</f>
        <v>43</v>
      </c>
      <c r="N26" s="27">
        <f>COUNTIFS([2]InfCualitativo!$B$1:$B$6957,"FALSO",[2]InfCualitativo!$E$1:$E$6957,"Manzanillo",[2]InfCualitativo!$H$1:$H$6957,"laboratorio")</f>
        <v>0</v>
      </c>
      <c r="O26" s="30">
        <f t="shared" si="6"/>
        <v>1</v>
      </c>
      <c r="P26" s="31">
        <f t="shared" si="7"/>
        <v>0</v>
      </c>
      <c r="Q26" s="27">
        <f>COUNTIFS([2]InfCualitativo!$B$1:$B$6957,"VERDADERO",[2]InfCualitativo!$E$1:$E$6957,"Manzanillo",[2]InfCualitativo!$H$1:$H$6957,"electros")</f>
        <v>0</v>
      </c>
      <c r="R26" s="27">
        <f>COUNTIFS([2]InfCualitativo!$B$1:$B$6957,"FALSO",[2]InfCualitativo!$E$1:$E$6957,"Manzanillo",[2]InfCualitativo!$H$1:$H$6957,"electros")</f>
        <v>0</v>
      </c>
      <c r="S26" s="30">
        <f t="shared" si="8"/>
        <v>0</v>
      </c>
      <c r="T26" s="30">
        <f t="shared" si="9"/>
        <v>0</v>
      </c>
      <c r="U26" s="27">
        <f>COUNTIFS([2]InfCualitativo!$B$1:$B$6957,"VERDADERO",[2]InfCualitativo!$E$1:$E$6957,"Manzanillo",[2]InfCualitativo!$H$1:$H$6957,"rx")</f>
        <v>0</v>
      </c>
      <c r="V26" s="27">
        <f>COUNTIFS([2]InfCualitativo!$B$1:$B$6957,"FALSO",[2]InfCualitativo!$E$1:$E$6957,"Manzanillo",[2]InfCualitativo!$H$1:$H$6957,"rx")</f>
        <v>0</v>
      </c>
      <c r="W26" s="30">
        <f t="shared" si="10"/>
        <v>0</v>
      </c>
      <c r="X26" s="30">
        <f t="shared" si="11"/>
        <v>0</v>
      </c>
      <c r="Y26" s="27">
        <f>COUNTIFS([2]InfCualitativo!$B$1:$B$6957,"VERDADERO",[2]InfCualitativo!$E$1:$E$6957,"Manzanillo",[2]InfCualitativo!$H$1:$H$6957,"ecografias")</f>
        <v>0</v>
      </c>
      <c r="Z26" s="27">
        <f>COUNTIFS([2]InfCualitativo!$B$1:$B$6957,"FALSO",[2]InfCualitativo!$E$1:$E$6957,"Manzanillo",[2]InfCualitativo!$H$1:$H$6957,"ecografias")</f>
        <v>0</v>
      </c>
      <c r="AA26" s="30">
        <f t="shared" si="12"/>
        <v>0</v>
      </c>
      <c r="AB26" s="30">
        <f t="shared" si="13"/>
        <v>0</v>
      </c>
      <c r="AC26" s="27">
        <f>COUNTIFS([2]InfCualitativo!$B$1:$B$6957,"VERDADERO",[2]InfCualitativo!$E$1:$E$6957,"Manzanillo",[2]InfCualitativo!$H$1:$H$6957,"urgencia")</f>
        <v>0</v>
      </c>
      <c r="AD26" s="27">
        <f>COUNTIFS([2]InfCualitativo!$B$1:$B$6957,"FALSO",[2]InfCualitativo!$E$1:$E$6957,"Manzanillo",[2]InfCualitativo!$H$1:$H$6957,"urgencia")</f>
        <v>0</v>
      </c>
      <c r="AE26" s="30">
        <f t="shared" si="14"/>
        <v>0</v>
      </c>
      <c r="AF26" s="30">
        <f t="shared" si="15"/>
        <v>0</v>
      </c>
      <c r="AG26" s="27">
        <f>COUNTIFS([2]InfCualitativo!$B$1:$B$6957,"VERDADERO",[2]InfCualitativo!$E$1:$E$6957,"Manzanillo",[2]InfCualitativo!$H$1:$H$6957,"pediatria")</f>
        <v>0</v>
      </c>
      <c r="AH26" s="27">
        <f>COUNTIFS([2]InfCualitativo!$B$1:$B$6957,"FALSO",[2]InfCualitativo!$E$1:$E$6957,"Manzanillo",[2]InfCualitativo!$H$1:$H$6957,"pediatria")</f>
        <v>0</v>
      </c>
      <c r="AI26" s="30">
        <f t="shared" si="16"/>
        <v>0</v>
      </c>
      <c r="AJ26" s="30">
        <f t="shared" si="17"/>
        <v>0</v>
      </c>
      <c r="AK26" s="27">
        <f>COUNTIFS([2]InfCualitativo!$B$1:$B$6957,"VERDADERO",[2]InfCualitativo!$E$1:$E$6957,"Manzanillo",[2]InfCualitativo!$H$1:$H$6957,"medicina_interna")</f>
        <v>0</v>
      </c>
      <c r="AL26" s="27">
        <f>COUNTIFS([2]InfCualitativo!$B$1:$B$6957,"FALSO",[2]InfCualitativo!$E$1:$E$6957,"Manzanillo",[2]InfCualitativo!$H$1:$H$6957,"medicina_interna")</f>
        <v>0</v>
      </c>
      <c r="AM26" s="30">
        <f t="shared" si="18"/>
        <v>0</v>
      </c>
      <c r="AN26" s="30">
        <f t="shared" si="19"/>
        <v>0</v>
      </c>
      <c r="AO26" s="27">
        <f>COUNTIFS([2]InfCualitativo!$B$1:$B$6957,"VERDADERO",[2]InfCualitativo!$E$1:$E$6957,"Manzanillo",[2]InfCualitativo!$H$1:$H$6957,"ginecologia")</f>
        <v>0</v>
      </c>
      <c r="AP26" s="27">
        <f>COUNTIFS([2]InfCualitativo!$B$1:$B$6957,"FALSO",[2]InfCualitativo!$E$1:$E$6957,"Manzanillo",[2]InfCualitativo!$H$1:$H$6957,"ginecologia")</f>
        <v>0</v>
      </c>
      <c r="AQ26" s="30">
        <f t="shared" si="20"/>
        <v>0</v>
      </c>
      <c r="AR26" s="30">
        <f t="shared" si="21"/>
        <v>0</v>
      </c>
      <c r="AS26" s="27">
        <f t="shared" si="22"/>
        <v>120</v>
      </c>
      <c r="AT26" s="27">
        <f t="shared" si="22"/>
        <v>0</v>
      </c>
      <c r="AU26" s="32">
        <f t="shared" si="23"/>
        <v>1</v>
      </c>
      <c r="AV26" s="32">
        <f t="shared" si="24"/>
        <v>0</v>
      </c>
    </row>
    <row r="27" spans="1:48" ht="18.75" x14ac:dyDescent="0.3">
      <c r="A27" s="26" t="s">
        <v>47</v>
      </c>
      <c r="B27" s="27">
        <v>144</v>
      </c>
      <c r="C27" s="27">
        <f t="shared" si="1"/>
        <v>144</v>
      </c>
      <c r="D27" s="28">
        <f t="shared" si="0"/>
        <v>100</v>
      </c>
      <c r="E27" s="29">
        <f>COUNTIFS([2]InfCualitativo!$B$1:$B$6957,"VERDADERO",[2]InfCualitativo!$E$1:$E$6957,"Nelson Mandela UPA",[2]InfCualitativo!$H$1:$H$6957,"consulta_externa")</f>
        <v>66</v>
      </c>
      <c r="F27" s="29">
        <f>COUNTIFS([2]InfCualitativo!$B$1:$B$6957,"FALSO",[2]InfCualitativo!$E$1:$E$6957,"Nelson Mandela UPA",[2]InfCualitativo!$H$1:$H$6957,"consulta_externa")</f>
        <v>0</v>
      </c>
      <c r="G27" s="30">
        <f t="shared" si="2"/>
        <v>1</v>
      </c>
      <c r="H27" s="30">
        <f t="shared" si="3"/>
        <v>0</v>
      </c>
      <c r="I27" s="27">
        <f>COUNTIFS([2]InfCualitativo!$B$1:$B$6957,"VERDADERO",[2]InfCualitativo!$E$1:$E$6957,"Nelson Mandela UPA",[2]InfCualitativo!$H$1:$H$6957,"salud_oral")</f>
        <v>18</v>
      </c>
      <c r="J27" s="27">
        <f>COUNTIFS([2]InfCualitativo!$B$1:$B$6957,"FALSO",[2]InfCualitativo!$E$1:$E$6957,"Nelson Mandela UPA",[2]InfCualitativo!$H$1:$H$6957,"salud_oral")</f>
        <v>0</v>
      </c>
      <c r="K27" s="30">
        <f t="shared" si="4"/>
        <v>1</v>
      </c>
      <c r="L27" s="30">
        <f t="shared" si="5"/>
        <v>0</v>
      </c>
      <c r="M27" s="27">
        <f>COUNTIFS([2]InfCualitativo!$B$1:$B$6957,"VERDADERO",[2]InfCualitativo!$E$1:$E$6957,"Nelson Mandela UPA",[2]InfCualitativo!$H$1:$H$6957,"laboratorio")</f>
        <v>28</v>
      </c>
      <c r="N27" s="27">
        <f>COUNTIFS([2]InfCualitativo!$B$1:$B$6957,"FALSO",[2]InfCualitativo!$E$1:$E$6957,"Nelson Mandela UPA",[2]InfCualitativo!$H$1:$H$6957,"laboratorio")</f>
        <v>0</v>
      </c>
      <c r="O27" s="30">
        <f t="shared" si="6"/>
        <v>1</v>
      </c>
      <c r="P27" s="31">
        <f t="shared" si="7"/>
        <v>0</v>
      </c>
      <c r="Q27" s="27">
        <f>COUNTIFS([2]InfCualitativo!$B$1:$B$6957,"VERDADERO",[2]InfCualitativo!$E$1:$E$6957,"Nelson Mandela UPA",[2]InfCualitativo!$H$1:$H$6957,"electros")</f>
        <v>0</v>
      </c>
      <c r="R27" s="27">
        <f>COUNTIFS([2]InfCualitativo!$B$1:$B$6957,"FALSO",[2]InfCualitativo!$E$1:$E$6957,"Nelson Mandela UPA",[2]InfCualitativo!$H$1:$H$6957,"electros")</f>
        <v>0</v>
      </c>
      <c r="S27" s="30">
        <f t="shared" si="8"/>
        <v>0</v>
      </c>
      <c r="T27" s="30">
        <f t="shared" si="9"/>
        <v>0</v>
      </c>
      <c r="U27" s="27">
        <f>COUNTIFS([2]InfCualitativo!$B$1:$B$6957,"VERDADERO",[2]InfCualitativo!$E$1:$E$6957,"Nelson Mandela UPA",[2]InfCualitativo!$H$1:$H$6957,"rx")</f>
        <v>0</v>
      </c>
      <c r="V27" s="27">
        <f>COUNTIFS([2]InfCualitativo!$B$1:$B$6957,"FALSO",[2]InfCualitativo!$E$1:$E$6957,"Nelson Mandela UPA",[2]InfCualitativo!$H$1:$H$6957,"rx")</f>
        <v>0</v>
      </c>
      <c r="W27" s="30">
        <f t="shared" si="10"/>
        <v>0</v>
      </c>
      <c r="X27" s="30">
        <f t="shared" si="11"/>
        <v>0</v>
      </c>
      <c r="Y27" s="27">
        <f>COUNTIFS([2]InfCualitativo!$B$1:$B$6957,"VERDADERO",[2]InfCualitativo!$E$1:$E$6957,"Nelson Mandela UPA",[2]InfCualitativo!$H$1:$H$6957,"ecografias")</f>
        <v>0</v>
      </c>
      <c r="Z27" s="27">
        <f>COUNTIFS([2]InfCualitativo!$B$1:$B$6957,"FALSO",[2]InfCualitativo!$E$1:$E$6957,"Nelson Mandela UPA",[2]InfCualitativo!$H$1:$H$6957,"ecografias")</f>
        <v>0</v>
      </c>
      <c r="AA27" s="30">
        <f t="shared" si="12"/>
        <v>0</v>
      </c>
      <c r="AB27" s="30">
        <f t="shared" si="13"/>
        <v>0</v>
      </c>
      <c r="AC27" s="27">
        <f>COUNTIFS([2]InfCualitativo!$B$1:$B$6957,"VERDADERO",[2]InfCualitativo!$E$1:$E$6957,"Nelson Mandela UPA",[2]InfCualitativo!$H$1:$H$6957,"urgencia")</f>
        <v>32</v>
      </c>
      <c r="AD27" s="27">
        <f>COUNTIFS([2]InfCualitativo!$B$1:$B$6957,"FALSO",[2]InfCualitativo!$E$1:$E$6957,"Nelson Mandela UPA",[2]InfCualitativo!$H$1:$H$6957,"urgencia")</f>
        <v>0</v>
      </c>
      <c r="AE27" s="30">
        <f t="shared" si="14"/>
        <v>1</v>
      </c>
      <c r="AF27" s="30">
        <f t="shared" si="15"/>
        <v>0</v>
      </c>
      <c r="AG27" s="27">
        <f>COUNTIFS([2]InfCualitativo!$B$1:$B$6957,"VERDADERO",[2]InfCualitativo!$E$1:$E$6957,"Nelson Mandela UPA",[2]InfCualitativo!$H$1:$H$6957,"pediatria")</f>
        <v>0</v>
      </c>
      <c r="AH27" s="27">
        <f>COUNTIFS([2]InfCualitativo!$B$1:$B$6957,"FALSO",[2]InfCualitativo!$E$1:$E$6957,"Nelson Mandela UPA",[2]InfCualitativo!$H$1:$H$6957,"pediatria")</f>
        <v>0</v>
      </c>
      <c r="AI27" s="30">
        <f t="shared" si="16"/>
        <v>0</v>
      </c>
      <c r="AJ27" s="30">
        <f t="shared" si="17"/>
        <v>0</v>
      </c>
      <c r="AK27" s="27">
        <f>COUNTIFS([2]InfCualitativo!$B$1:$B$6957,"VERDADERO",[2]InfCualitativo!$E$1:$E$6957,"Nelson Mandela UPA",[2]InfCualitativo!$H$1:$H$6957,"medicina_interna")</f>
        <v>0</v>
      </c>
      <c r="AL27" s="27">
        <f>COUNTIFS([2]InfCualitativo!$B$1:$B$6957,"FALSO",[2]InfCualitativo!$E$1:$E$6957,"Nelson Mandela UPA",[2]InfCualitativo!$H$1:$H$6957,"medicina_interna")</f>
        <v>0</v>
      </c>
      <c r="AM27" s="30">
        <f t="shared" si="18"/>
        <v>0</v>
      </c>
      <c r="AN27" s="30">
        <f t="shared" si="19"/>
        <v>0</v>
      </c>
      <c r="AO27" s="27">
        <f>COUNTIFS([2]InfCualitativo!$B$1:$B$6957,"VERDADERO",[2]InfCualitativo!$E$1:$E$6957,"Nelson Mandela UPA",[2]InfCualitativo!$H$1:$H$6957,"ginecologia")</f>
        <v>0</v>
      </c>
      <c r="AP27" s="27">
        <f>COUNTIFS([2]InfCualitativo!$B$1:$B$6957,"FALSO",[2]InfCualitativo!$E$1:$E$6957,"Nelson Mandela UPA",[2]InfCualitativo!$H$1:$H$6957,"ginecologia")</f>
        <v>0</v>
      </c>
      <c r="AQ27" s="30">
        <f t="shared" si="20"/>
        <v>0</v>
      </c>
      <c r="AR27" s="30">
        <f t="shared" si="21"/>
        <v>0</v>
      </c>
      <c r="AS27" s="27">
        <f t="shared" si="22"/>
        <v>144</v>
      </c>
      <c r="AT27" s="27">
        <f t="shared" si="22"/>
        <v>0</v>
      </c>
      <c r="AU27" s="32">
        <f t="shared" si="23"/>
        <v>1</v>
      </c>
      <c r="AV27" s="32">
        <f t="shared" si="24"/>
        <v>0</v>
      </c>
    </row>
    <row r="28" spans="1:48" ht="18.75" x14ac:dyDescent="0.3">
      <c r="A28" s="26" t="s">
        <v>48</v>
      </c>
      <c r="B28" s="35" t="s">
        <v>39</v>
      </c>
      <c r="C28" s="35" t="s">
        <v>39</v>
      </c>
      <c r="D28" s="35" t="s">
        <v>39</v>
      </c>
      <c r="E28" s="35" t="s">
        <v>39</v>
      </c>
      <c r="F28" s="35" t="s">
        <v>39</v>
      </c>
      <c r="G28" s="35" t="s">
        <v>39</v>
      </c>
      <c r="H28" s="35" t="s">
        <v>39</v>
      </c>
      <c r="I28" s="35" t="s">
        <v>39</v>
      </c>
      <c r="J28" s="35" t="s">
        <v>39</v>
      </c>
      <c r="K28" s="35" t="s">
        <v>39</v>
      </c>
      <c r="L28" s="35" t="s">
        <v>39</v>
      </c>
      <c r="M28" s="35" t="s">
        <v>39</v>
      </c>
      <c r="N28" s="35" t="s">
        <v>39</v>
      </c>
      <c r="O28" s="35" t="s">
        <v>39</v>
      </c>
      <c r="P28" s="35" t="s">
        <v>39</v>
      </c>
      <c r="Q28" s="35" t="s">
        <v>39</v>
      </c>
      <c r="R28" s="35" t="s">
        <v>39</v>
      </c>
      <c r="S28" s="35" t="s">
        <v>39</v>
      </c>
      <c r="T28" s="35" t="s">
        <v>39</v>
      </c>
      <c r="U28" s="35" t="s">
        <v>39</v>
      </c>
      <c r="V28" s="35" t="s">
        <v>39</v>
      </c>
      <c r="W28" s="35" t="s">
        <v>39</v>
      </c>
      <c r="X28" s="35" t="s">
        <v>39</v>
      </c>
      <c r="Y28" s="35" t="s">
        <v>39</v>
      </c>
      <c r="Z28" s="35" t="s">
        <v>39</v>
      </c>
      <c r="AA28" s="35" t="s">
        <v>39</v>
      </c>
      <c r="AB28" s="35" t="s">
        <v>39</v>
      </c>
      <c r="AC28" s="35" t="s">
        <v>39</v>
      </c>
      <c r="AD28" s="35" t="s">
        <v>39</v>
      </c>
      <c r="AE28" s="35" t="s">
        <v>39</v>
      </c>
      <c r="AF28" s="35" t="s">
        <v>39</v>
      </c>
      <c r="AG28" s="35" t="s">
        <v>39</v>
      </c>
      <c r="AH28" s="35" t="s">
        <v>39</v>
      </c>
      <c r="AI28" s="35" t="s">
        <v>39</v>
      </c>
      <c r="AJ28" s="35" t="s">
        <v>39</v>
      </c>
      <c r="AK28" s="35" t="s">
        <v>39</v>
      </c>
      <c r="AL28" s="35" t="s">
        <v>39</v>
      </c>
      <c r="AM28" s="35" t="s">
        <v>39</v>
      </c>
      <c r="AN28" s="35" t="s">
        <v>39</v>
      </c>
      <c r="AO28" s="35" t="s">
        <v>39</v>
      </c>
      <c r="AP28" s="35" t="s">
        <v>39</v>
      </c>
      <c r="AQ28" s="35" t="s">
        <v>39</v>
      </c>
      <c r="AR28" s="35" t="s">
        <v>39</v>
      </c>
      <c r="AS28" s="35" t="s">
        <v>39</v>
      </c>
      <c r="AT28" s="35" t="s">
        <v>39</v>
      </c>
      <c r="AU28" s="35" t="s">
        <v>39</v>
      </c>
      <c r="AV28" s="35" t="s">
        <v>39</v>
      </c>
    </row>
    <row r="29" spans="1:48" ht="18.75" x14ac:dyDescent="0.3">
      <c r="A29" s="26" t="s">
        <v>49</v>
      </c>
      <c r="B29" s="27">
        <v>140</v>
      </c>
      <c r="C29" s="27">
        <f t="shared" si="1"/>
        <v>138</v>
      </c>
      <c r="D29" s="28">
        <f t="shared" si="0"/>
        <v>98.571428571428569</v>
      </c>
      <c r="E29" s="29">
        <f>COUNTIFS([2]InfCualitativo!$B$1:$B$6957,"VERDADERO",[2]InfCualitativo!$E$1:$E$6957,"Nuevo Porvenir",[2]InfCualitativo!$H$1:$H$6957,"consulta_externa")</f>
        <v>71</v>
      </c>
      <c r="F29" s="29">
        <f>COUNTIFS([2]InfCualitativo!$B$1:$B$6957,"FALSO",[2]InfCualitativo!$E$1:$E$6957,"Nuevo Porvenir",[2]InfCualitativo!$H$1:$H$6957,"consulta_externa")</f>
        <v>0</v>
      </c>
      <c r="G29" s="30">
        <f t="shared" si="2"/>
        <v>1</v>
      </c>
      <c r="H29" s="30">
        <f t="shared" si="3"/>
        <v>0</v>
      </c>
      <c r="I29" s="27">
        <f>COUNTIFS([2]InfCualitativo!$B$1:$B$6957,"VERDADERO",[2]InfCualitativo!$E$1:$E$6957,"Nuevo Porvenir",[2]InfCualitativo!$H$1:$H$6957,"salud_oral")</f>
        <v>23</v>
      </c>
      <c r="J29" s="27">
        <f>COUNTIFS([2]InfCualitativo!$B$1:$B$6957,"FALSO",[2]InfCualitativo!$E$1:$E$6957,"Nuevo Porvenir",[2]InfCualitativo!$H$1:$H$6957,"salud_oral")</f>
        <v>0</v>
      </c>
      <c r="K29" s="30">
        <f t="shared" si="4"/>
        <v>1</v>
      </c>
      <c r="L29" s="30">
        <f t="shared" si="5"/>
        <v>0</v>
      </c>
      <c r="M29" s="27">
        <f>COUNTIFS([2]InfCualitativo!$B$1:$B$6957,"VERDADERO",[2]InfCualitativo!$E$1:$E$6957,"Nuevo Porvenir",[2]InfCualitativo!$H$1:$H$6957,"laboratorio")</f>
        <v>44</v>
      </c>
      <c r="N29" s="27">
        <f>COUNTIFS([2]InfCualitativo!$B$1:$B$6957,"FALSO",[2]InfCualitativo!$E$1:$E$6957,"Nuevo Porvenir",[2]InfCualitativo!$H$1:$H$6957,"laboratorio")</f>
        <v>0</v>
      </c>
      <c r="O29" s="30">
        <f t="shared" si="6"/>
        <v>1</v>
      </c>
      <c r="P29" s="31">
        <f t="shared" si="7"/>
        <v>0</v>
      </c>
      <c r="Q29" s="27">
        <f>COUNTIFS([2]InfCualitativo!$B$1:$B$6957,"VERDADERO",[2]InfCualitativo!$E$1:$E$6957,"Nuevo Porvenir",[2]InfCualitativo!$H$1:$H$6957,"electros")</f>
        <v>0</v>
      </c>
      <c r="R29" s="27">
        <f>COUNTIFS([2]InfCualitativo!$B$1:$B$6957,"FALSO",[2]InfCualitativo!$E$1:$E$6957,"Nuevo Porvenir",[2]InfCualitativo!$H$1:$H$6957,"electros")</f>
        <v>0</v>
      </c>
      <c r="S29" s="30">
        <f t="shared" si="8"/>
        <v>0</v>
      </c>
      <c r="T29" s="30">
        <f t="shared" si="9"/>
        <v>0</v>
      </c>
      <c r="U29" s="27">
        <f>COUNTIFS([2]InfCualitativo!$B$1:$B$6957,"VERDADERO",[2]InfCualitativo!$E$1:$E$6957,"Nuevo Porvenir",[2]InfCualitativo!$H$1:$H$6957,"rx")</f>
        <v>0</v>
      </c>
      <c r="V29" s="27">
        <f>COUNTIFS([2]InfCualitativo!$B$1:$B$6957,"FALSO",[2]InfCualitativo!$E$1:$E$6957,"Nuevo Porvenir",[2]InfCualitativo!$H$1:$H$6957,"rx")</f>
        <v>0</v>
      </c>
      <c r="W29" s="30">
        <f t="shared" si="10"/>
        <v>0</v>
      </c>
      <c r="X29" s="30">
        <f t="shared" si="11"/>
        <v>0</v>
      </c>
      <c r="Y29" s="27">
        <f>COUNTIFS([2]InfCualitativo!$B$1:$B$6957,"VERDADERO",[2]InfCualitativo!$E$1:$E$6957,"Nuevo Porvenir",[2]InfCualitativo!$H$1:$H$6957,"ecografias")</f>
        <v>0</v>
      </c>
      <c r="Z29" s="27">
        <f>COUNTIFS([2]InfCualitativo!$B$1:$B$6957,"FALSO",[2]InfCualitativo!$E$1:$E$6957,"Nuevo Porvenir",[2]InfCualitativo!$H$1:$H$6957,"ecografias")</f>
        <v>0</v>
      </c>
      <c r="AA29" s="30">
        <f t="shared" si="12"/>
        <v>0</v>
      </c>
      <c r="AB29" s="30">
        <f t="shared" si="13"/>
        <v>0</v>
      </c>
      <c r="AC29" s="27">
        <f>COUNTIFS([2]InfCualitativo!$B$1:$B$6957,"VERDADERO",[2]InfCualitativo!$E$1:$E$6957,"Nuevo Porvenir",[2]InfCualitativo!$H$1:$H$6957,"urgencia")</f>
        <v>0</v>
      </c>
      <c r="AD29" s="27">
        <f>COUNTIFS([2]InfCualitativo!$B$1:$B$6957,"FALSO",[2]InfCualitativo!$E$1:$E$6957,"Nuevo Porvenir",[2]InfCualitativo!$H$1:$H$6957,"urgencia")</f>
        <v>0</v>
      </c>
      <c r="AE29" s="30">
        <f t="shared" si="14"/>
        <v>0</v>
      </c>
      <c r="AF29" s="30">
        <f t="shared" si="15"/>
        <v>0</v>
      </c>
      <c r="AG29" s="27">
        <f>COUNTIFS([2]InfCualitativo!$B$1:$B$6957,"VERDADERO",[2]InfCualitativo!$E$1:$E$6957,"Nuevo Porvenir",[2]InfCualitativo!$H$1:$H$6957,"pediatria")</f>
        <v>0</v>
      </c>
      <c r="AH29" s="27">
        <f>COUNTIFS([2]InfCualitativo!$B$1:$B$6957,"FALSO",[2]InfCualitativo!$E$1:$E$6957,"Nuevo Porvenir",[2]InfCualitativo!$H$1:$H$6957,"pediatria")</f>
        <v>0</v>
      </c>
      <c r="AI29" s="30">
        <f t="shared" si="16"/>
        <v>0</v>
      </c>
      <c r="AJ29" s="30">
        <f t="shared" si="17"/>
        <v>0</v>
      </c>
      <c r="AK29" s="27">
        <f>COUNTIFS([2]InfCualitativo!$B$1:$B$6957,"VERDADERO",[2]InfCualitativo!$E$1:$E$6957,"Nuevo Porvenir",[2]InfCualitativo!$H$1:$H$6957,"medicina_interna")</f>
        <v>0</v>
      </c>
      <c r="AL29" s="27">
        <f>COUNTIFS([2]InfCualitativo!$B$1:$B$6957,"FALSO",[2]InfCualitativo!$E$1:$E$6957,"Nuevo Porvenir",[2]InfCualitativo!$H$1:$H$6957,"medicina_interna")</f>
        <v>0</v>
      </c>
      <c r="AM29" s="30">
        <f t="shared" si="18"/>
        <v>0</v>
      </c>
      <c r="AN29" s="30">
        <f t="shared" si="19"/>
        <v>0</v>
      </c>
      <c r="AO29" s="27">
        <f>COUNTIFS([2]InfCualitativo!$B$1:$B$6957,"VERDADERO",[2]InfCualitativo!$E$1:$E$6957,"Nuevo Porvenir",[2]InfCualitativo!$H$1:$H$6957,"ginecologia")</f>
        <v>0</v>
      </c>
      <c r="AP29" s="27">
        <f>COUNTIFS([2]InfCualitativo!$B$1:$B$6957,"FALSO",[2]InfCualitativo!$E$1:$E$6957,"Nuevo Porvenir",[2]InfCualitativo!$H$1:$H$6957,"ginecologia")</f>
        <v>0</v>
      </c>
      <c r="AQ29" s="30">
        <f t="shared" si="20"/>
        <v>0</v>
      </c>
      <c r="AR29" s="30">
        <f t="shared" si="21"/>
        <v>0</v>
      </c>
      <c r="AS29" s="27">
        <f t="shared" si="22"/>
        <v>138</v>
      </c>
      <c r="AT29" s="27">
        <f t="shared" si="22"/>
        <v>0</v>
      </c>
      <c r="AU29" s="32">
        <f t="shared" si="23"/>
        <v>1</v>
      </c>
      <c r="AV29" s="32">
        <f t="shared" si="24"/>
        <v>0</v>
      </c>
    </row>
    <row r="30" spans="1:48" ht="18.75" x14ac:dyDescent="0.3">
      <c r="A30" s="26" t="s">
        <v>50</v>
      </c>
      <c r="B30" s="35" t="s">
        <v>39</v>
      </c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35" t="s">
        <v>39</v>
      </c>
      <c r="P30" s="35" t="s">
        <v>39</v>
      </c>
      <c r="Q30" s="35" t="s">
        <v>39</v>
      </c>
      <c r="R30" s="35" t="s">
        <v>39</v>
      </c>
      <c r="S30" s="35" t="s">
        <v>39</v>
      </c>
      <c r="T30" s="35" t="s">
        <v>39</v>
      </c>
      <c r="U30" s="35" t="s">
        <v>39</v>
      </c>
      <c r="V30" s="35" t="s">
        <v>39</v>
      </c>
      <c r="W30" s="35" t="s">
        <v>39</v>
      </c>
      <c r="X30" s="35" t="s">
        <v>39</v>
      </c>
      <c r="Y30" s="35" t="s">
        <v>39</v>
      </c>
      <c r="Z30" s="35" t="s">
        <v>39</v>
      </c>
      <c r="AA30" s="35" t="s">
        <v>39</v>
      </c>
      <c r="AB30" s="35" t="s">
        <v>39</v>
      </c>
      <c r="AC30" s="35" t="s">
        <v>39</v>
      </c>
      <c r="AD30" s="35" t="s">
        <v>39</v>
      </c>
      <c r="AE30" s="35" t="s">
        <v>39</v>
      </c>
      <c r="AF30" s="35" t="s">
        <v>39</v>
      </c>
      <c r="AG30" s="35" t="s">
        <v>39</v>
      </c>
      <c r="AH30" s="35" t="s">
        <v>39</v>
      </c>
      <c r="AI30" s="35" t="s">
        <v>39</v>
      </c>
      <c r="AJ30" s="35" t="s">
        <v>39</v>
      </c>
      <c r="AK30" s="35" t="s">
        <v>39</v>
      </c>
      <c r="AL30" s="35" t="s">
        <v>39</v>
      </c>
      <c r="AM30" s="35" t="s">
        <v>39</v>
      </c>
      <c r="AN30" s="35" t="s">
        <v>39</v>
      </c>
      <c r="AO30" s="35" t="s">
        <v>39</v>
      </c>
      <c r="AP30" s="35" t="s">
        <v>39</v>
      </c>
      <c r="AQ30" s="35" t="s">
        <v>39</v>
      </c>
      <c r="AR30" s="35" t="s">
        <v>39</v>
      </c>
      <c r="AS30" s="35" t="s">
        <v>39</v>
      </c>
      <c r="AT30" s="35" t="s">
        <v>39</v>
      </c>
      <c r="AU30" s="35" t="s">
        <v>39</v>
      </c>
      <c r="AV30" s="35" t="s">
        <v>39</v>
      </c>
    </row>
    <row r="31" spans="1:48" ht="18.75" x14ac:dyDescent="0.3">
      <c r="A31" s="26" t="s">
        <v>51</v>
      </c>
      <c r="B31" s="27">
        <v>147</v>
      </c>
      <c r="C31" s="27">
        <f t="shared" si="1"/>
        <v>147</v>
      </c>
      <c r="D31" s="28">
        <f t="shared" si="0"/>
        <v>100</v>
      </c>
      <c r="E31" s="29">
        <f>COUNTIFS([2]InfCualitativo!$B$1:$B$6957,"VERDADERO",[2]InfCualitativo!$E$1:$E$6957,"Pasacaballos",[2]InfCualitativo!$H$1:$H$6957,"consulta_externa")</f>
        <v>38</v>
      </c>
      <c r="F31" s="29">
        <f>COUNTIFS([2]InfCualitativo!$B$1:$B$6957,"FALSO",[2]InfCualitativo!$E$1:$E$6957,"Pasacaballos",[2]InfCualitativo!$H$1:$H$6957,"consulta_externa")</f>
        <v>0</v>
      </c>
      <c r="G31" s="30">
        <f t="shared" si="2"/>
        <v>1</v>
      </c>
      <c r="H31" s="30">
        <f t="shared" si="3"/>
        <v>0</v>
      </c>
      <c r="I31" s="27">
        <f>COUNTIFS([2]InfCualitativo!$B$1:$B$6957,"VERDADERO",[2]InfCualitativo!$E$1:$E$6957,"Pasacaballos",[2]InfCualitativo!$H$1:$H$6957,"salud_oral")</f>
        <v>38</v>
      </c>
      <c r="J31" s="27">
        <f>COUNTIFS([2]InfCualitativo!$B$1:$B$6957,"FALSO",[2]InfCualitativo!$E$1:$E$6957,"Pasacaballos",[2]InfCualitativo!$H$1:$H$6957,"salud_oral")</f>
        <v>0</v>
      </c>
      <c r="K31" s="30">
        <f t="shared" si="4"/>
        <v>1</v>
      </c>
      <c r="L31" s="30">
        <f t="shared" si="5"/>
        <v>0</v>
      </c>
      <c r="M31" s="27">
        <f>COUNTIFS([2]InfCualitativo!$B$1:$B$6957,"VERDADERO",[2]InfCualitativo!$E$1:$E$6957,"Pasacaballos",[2]InfCualitativo!$H$1:$H$6957,"laboratorio")</f>
        <v>36</v>
      </c>
      <c r="N31" s="27">
        <f>COUNTIFS([2]InfCualitativo!$B$1:$B$6957,"FALSO",[2]InfCualitativo!$E$1:$E$6957,"Pasacaballos",[2]InfCualitativo!$H$1:$H$6957,"laboratorio")</f>
        <v>0</v>
      </c>
      <c r="O31" s="30">
        <f t="shared" si="6"/>
        <v>1</v>
      </c>
      <c r="P31" s="31">
        <f t="shared" si="7"/>
        <v>0</v>
      </c>
      <c r="Q31" s="27">
        <f>COUNTIFS([2]InfCualitativo!$B$1:$B$6957,"VERDADERO",[2]InfCualitativo!$E$1:$E$6957,"Pasacaballos",[2]InfCualitativo!$H$1:$H$6957,"electros")</f>
        <v>0</v>
      </c>
      <c r="R31" s="27">
        <f>COUNTIFS([2]InfCualitativo!$B$1:$B$6957,"FALSO",[2]InfCualitativo!$E$1:$E$6957,"Pasacaballos",[2]InfCualitativo!$H$1:$H$6957,"electros")</f>
        <v>0</v>
      </c>
      <c r="S31" s="30">
        <f t="shared" si="8"/>
        <v>0</v>
      </c>
      <c r="T31" s="30">
        <f t="shared" si="9"/>
        <v>0</v>
      </c>
      <c r="U31" s="27">
        <f>COUNTIFS([2]InfCualitativo!$B$1:$B$6957,"VERDADERO",[2]InfCualitativo!$E$1:$E$6957,"Pasacaballos",[2]InfCualitativo!$H$1:$H$6957,"rx")</f>
        <v>0</v>
      </c>
      <c r="V31" s="27">
        <f>COUNTIFS([2]InfCualitativo!$B$1:$B$6957,"FALSO",[2]InfCualitativo!$E$1:$E$6957,"Pasacaballos",[2]InfCualitativo!$H$1:$H$6957,"rx")</f>
        <v>0</v>
      </c>
      <c r="W31" s="30">
        <f t="shared" si="10"/>
        <v>0</v>
      </c>
      <c r="X31" s="30">
        <f t="shared" si="11"/>
        <v>0</v>
      </c>
      <c r="Y31" s="27">
        <f>COUNTIFS([2]InfCualitativo!$B$1:$B$6957,"VERDADERO",[2]InfCualitativo!$E$1:$E$6957,"Pasacaballos",[2]InfCualitativo!$H$1:$H$6957,"ecografias")</f>
        <v>0</v>
      </c>
      <c r="Z31" s="27">
        <f>COUNTIFS([2]InfCualitativo!$B$1:$B$6957,"FALSO",[2]InfCualitativo!$E$1:$E$6957,"Pasacaballos",[2]InfCualitativo!$H$1:$H$6957,"ecografias")</f>
        <v>0</v>
      </c>
      <c r="AA31" s="30">
        <f t="shared" si="12"/>
        <v>0</v>
      </c>
      <c r="AB31" s="30">
        <f t="shared" si="13"/>
        <v>0</v>
      </c>
      <c r="AC31" s="27">
        <f>COUNTIFS([2]InfCualitativo!$B$1:$B$6957,"VERDADERO",[2]InfCualitativo!$E$1:$E$6957,"Pasacaballos",[2]InfCualitativo!$H$1:$H$6957,"urgencia")</f>
        <v>35</v>
      </c>
      <c r="AD31" s="27">
        <f>COUNTIFS([2]InfCualitativo!$B$1:$B$6957,"FALSO",[2]InfCualitativo!$E$1:$E$6957,"Pasacaballos",[2]InfCualitativo!$H$1:$H$6957,"urgencia")</f>
        <v>0</v>
      </c>
      <c r="AE31" s="30">
        <f t="shared" si="14"/>
        <v>1</v>
      </c>
      <c r="AF31" s="30">
        <f t="shared" si="15"/>
        <v>0</v>
      </c>
      <c r="AG31" s="27">
        <f>COUNTIFS([2]InfCualitativo!$B$1:$B$6957,"VERDADERO",[2]InfCualitativo!$E$1:$E$6957,"Pasacaballos",[2]InfCualitativo!$H$1:$H$6957,"pediatria")</f>
        <v>0</v>
      </c>
      <c r="AH31" s="27">
        <f>COUNTIFS([2]InfCualitativo!$B$1:$B$6957,"FALSO",[2]InfCualitativo!$E$1:$E$6957,"Pasacaballos",[2]InfCualitativo!$H$1:$H$6957,"pediatria")</f>
        <v>0</v>
      </c>
      <c r="AI31" s="30">
        <f t="shared" si="16"/>
        <v>0</v>
      </c>
      <c r="AJ31" s="30">
        <f t="shared" si="17"/>
        <v>0</v>
      </c>
      <c r="AK31" s="27">
        <f>COUNTIFS([2]InfCualitativo!$B$1:$B$6957,"VERDADERO",[2]InfCualitativo!$E$1:$E$6957,"Pasacaballos",[2]InfCualitativo!$H$1:$H$6957,"medicina_interna")</f>
        <v>0</v>
      </c>
      <c r="AL31" s="27">
        <f>COUNTIFS([2]InfCualitativo!$B$1:$B$6957,"FALSO",[2]InfCualitativo!$E$1:$E$6957,"Pasacaballos",[2]InfCualitativo!$H$1:$H$6957,"medicina_interna")</f>
        <v>0</v>
      </c>
      <c r="AM31" s="30">
        <f t="shared" si="18"/>
        <v>0</v>
      </c>
      <c r="AN31" s="30">
        <f t="shared" si="19"/>
        <v>0</v>
      </c>
      <c r="AO31" s="27">
        <f>COUNTIFS([2]InfCualitativo!$B$1:$B$6957,"VERDADERO",[2]InfCualitativo!$E$1:$E$6957,"Pasacaballos",[2]InfCualitativo!$H$1:$H$6957,"ginecologia")</f>
        <v>0</v>
      </c>
      <c r="AP31" s="27">
        <f>COUNTIFS([2]InfCualitativo!$B$1:$B$6957,"FALSO",[2]InfCualitativo!$E$1:$E$6957,"Pasacaballos",[2]InfCualitativo!$H$1:$H$6957,"ginecologia")</f>
        <v>0</v>
      </c>
      <c r="AQ31" s="30">
        <f t="shared" si="20"/>
        <v>0</v>
      </c>
      <c r="AR31" s="30">
        <f t="shared" si="21"/>
        <v>0</v>
      </c>
      <c r="AS31" s="27">
        <f t="shared" si="22"/>
        <v>147</v>
      </c>
      <c r="AT31" s="27">
        <f t="shared" si="22"/>
        <v>0</v>
      </c>
      <c r="AU31" s="32">
        <f t="shared" si="23"/>
        <v>1</v>
      </c>
      <c r="AV31" s="32">
        <f t="shared" si="24"/>
        <v>0</v>
      </c>
    </row>
    <row r="32" spans="1:48" ht="18.75" x14ac:dyDescent="0.3">
      <c r="A32" s="26" t="s">
        <v>52</v>
      </c>
      <c r="B32" s="27">
        <v>60</v>
      </c>
      <c r="C32" s="27">
        <f t="shared" si="1"/>
        <v>60</v>
      </c>
      <c r="D32" s="28">
        <f t="shared" si="0"/>
        <v>100</v>
      </c>
      <c r="E32" s="29">
        <f>COUNTIFS([2]InfCualitativo!$B$1:$B$6957,"VERDADERO",[2]InfCualitativo!$E$1:$E$6957,"Pontezuela",[2]InfCualitativo!$H$1:$H$6957,"consulta_externa")</f>
        <v>33</v>
      </c>
      <c r="F32" s="29">
        <f>COUNTIFS([2]InfCualitativo!$B$1:$B$6957,"FALSO",[2]InfCualitativo!$E$1:$E$6957,"Pontezuela",[2]InfCualitativo!$H$1:$H$6957,"consulta_externa")</f>
        <v>0</v>
      </c>
      <c r="G32" s="30">
        <f t="shared" si="2"/>
        <v>1</v>
      </c>
      <c r="H32" s="30">
        <f t="shared" si="3"/>
        <v>0</v>
      </c>
      <c r="I32" s="27">
        <f>COUNTIFS([2]InfCualitativo!$B$1:$B$6957,"VERDADERO",[2]InfCualitativo!$E$1:$E$6957,"Pontezuela",[2]InfCualitativo!$H$1:$H$6957,"salud_oral")</f>
        <v>27</v>
      </c>
      <c r="J32" s="27">
        <f>COUNTIFS([2]InfCualitativo!$B$1:$B$6957,"FALSO",[2]InfCualitativo!$E$1:$E$6957,"Pontezuela",[2]InfCualitativo!$H$1:$H$6957,"salud_oral")</f>
        <v>0</v>
      </c>
      <c r="K32" s="30">
        <f t="shared" si="4"/>
        <v>1</v>
      </c>
      <c r="L32" s="30">
        <f t="shared" si="5"/>
        <v>0</v>
      </c>
      <c r="M32" s="27">
        <f>COUNTIFS([2]InfCualitativo!$B$1:$B$6957,"VERDADERO",[2]InfCualitativo!$E$1:$E$6957,"Pontezuela",[2]InfCualitativo!$H$1:$H$6957,"laboratorio")</f>
        <v>0</v>
      </c>
      <c r="N32" s="27">
        <f>COUNTIFS([2]InfCualitativo!$B$1:$B$6957,"FALSO",[2]InfCualitativo!$E$1:$E$6957,"Pontezuela",[2]InfCualitativo!$H$1:$H$6957,"laboratorio")</f>
        <v>0</v>
      </c>
      <c r="O32" s="30">
        <f t="shared" si="6"/>
        <v>0</v>
      </c>
      <c r="P32" s="31">
        <f t="shared" si="7"/>
        <v>0</v>
      </c>
      <c r="Q32" s="27">
        <f>COUNTIFS([2]InfCualitativo!$B$1:$B$6957,"VERDADERO",[2]InfCualitativo!$E$1:$E$6957,"Pontezuela",[2]InfCualitativo!$H$1:$H$6957,"electros")</f>
        <v>0</v>
      </c>
      <c r="R32" s="27">
        <f>COUNTIFS([2]InfCualitativo!$B$1:$B$6957,"FALSO",[2]InfCualitativo!$E$1:$E$6957,"Pontezuela",[2]InfCualitativo!$H$1:$H$6957,"electros")</f>
        <v>0</v>
      </c>
      <c r="S32" s="30">
        <f t="shared" si="8"/>
        <v>0</v>
      </c>
      <c r="T32" s="30">
        <f t="shared" si="9"/>
        <v>0</v>
      </c>
      <c r="U32" s="27">
        <f>COUNTIFS([2]InfCualitativo!$B$1:$B$6957,"VERDADERO",[2]InfCualitativo!$E$1:$E$6957,"Pontezuela",[2]InfCualitativo!$H$1:$H$6957,"rx")</f>
        <v>0</v>
      </c>
      <c r="V32" s="27">
        <f>COUNTIFS([2]InfCualitativo!$B$1:$B$6957,"FALSO",[2]InfCualitativo!$E$1:$E$6957,"Pontezuela",[2]InfCualitativo!$H$1:$H$6957,"rx")</f>
        <v>0</v>
      </c>
      <c r="W32" s="30">
        <f t="shared" si="10"/>
        <v>0</v>
      </c>
      <c r="X32" s="30">
        <f t="shared" si="11"/>
        <v>0</v>
      </c>
      <c r="Y32" s="27">
        <f>COUNTIFS([2]InfCualitativo!$B$1:$B$6957,"VERDADERO",[2]InfCualitativo!$E$1:$E$6957,"Pontezuela",[2]InfCualitativo!$H$1:$H$6957,"ecografias")</f>
        <v>0</v>
      </c>
      <c r="Z32" s="27">
        <f>COUNTIFS([2]InfCualitativo!$B$1:$B$6957,"FALSO",[2]InfCualitativo!$E$1:$E$6957,"Pontezuela",[2]InfCualitativo!$H$1:$H$6957,"ecografias")</f>
        <v>0</v>
      </c>
      <c r="AA32" s="30">
        <f t="shared" si="12"/>
        <v>0</v>
      </c>
      <c r="AB32" s="30">
        <f t="shared" si="13"/>
        <v>0</v>
      </c>
      <c r="AC32" s="27">
        <f>COUNTIFS([2]InfCualitativo!$B$1:$B$6957,"VERDADERO",[2]InfCualitativo!$E$1:$E$6957,"Pontezuela",[2]InfCualitativo!$H$1:$H$6957,"urgencia")</f>
        <v>0</v>
      </c>
      <c r="AD32" s="27">
        <f>COUNTIFS([2]InfCualitativo!$B$1:$B$6957,"FALSO",[2]InfCualitativo!$E$1:$E$6957,"Pontezuela",[2]InfCualitativo!$H$1:$H$6957,"urgencia")</f>
        <v>0</v>
      </c>
      <c r="AE32" s="30">
        <f t="shared" si="14"/>
        <v>0</v>
      </c>
      <c r="AF32" s="30">
        <f t="shared" si="15"/>
        <v>0</v>
      </c>
      <c r="AG32" s="27">
        <f>COUNTIFS([2]InfCualitativo!$B$1:$B$6957,"VERDADERO",[2]InfCualitativo!$E$1:$E$6957,"Pontezuela",[2]InfCualitativo!$H$1:$H$6957,"pediatria")</f>
        <v>0</v>
      </c>
      <c r="AH32" s="27">
        <f>COUNTIFS([2]InfCualitativo!$B$1:$B$6957,"FALSO",[2]InfCualitativo!$E$1:$E$6957,"Pontezuela",[2]InfCualitativo!$H$1:$H$6957,"pediatria")</f>
        <v>0</v>
      </c>
      <c r="AI32" s="30">
        <f t="shared" si="16"/>
        <v>0</v>
      </c>
      <c r="AJ32" s="30">
        <f t="shared" si="17"/>
        <v>0</v>
      </c>
      <c r="AK32" s="27">
        <f>COUNTIFS([2]InfCualitativo!$B$1:$B$6957,"VERDADERO",[2]InfCualitativo!$E$1:$E$6957,"Pontezuela",[2]InfCualitativo!$H$1:$H$6957,"medicina_interna")</f>
        <v>0</v>
      </c>
      <c r="AL32" s="27">
        <f>COUNTIFS([2]InfCualitativo!$B$1:$B$6957,"FALSO",[2]InfCualitativo!$E$1:$E$6957,"Pontezuela",[2]InfCualitativo!$H$1:$H$6957,"medicina_interna")</f>
        <v>0</v>
      </c>
      <c r="AM32" s="30">
        <f t="shared" si="18"/>
        <v>0</v>
      </c>
      <c r="AN32" s="30">
        <f t="shared" si="19"/>
        <v>0</v>
      </c>
      <c r="AO32" s="27">
        <f>COUNTIFS([2]InfCualitativo!$B$1:$B$6957,"VERDADERO",[2]InfCualitativo!$E$1:$E$6957,"Pontezuela",[2]InfCualitativo!$H$1:$H$6957,"ginecologia")</f>
        <v>0</v>
      </c>
      <c r="AP32" s="27">
        <f>COUNTIFS([2]InfCualitativo!$B$1:$B$6957,"FALSO",[2]InfCualitativo!$E$1:$E$6957,"Pontezuela",[2]InfCualitativo!$H$1:$H$6957,"ginecologia")</f>
        <v>0</v>
      </c>
      <c r="AQ32" s="30">
        <f t="shared" si="20"/>
        <v>0</v>
      </c>
      <c r="AR32" s="30">
        <f t="shared" si="21"/>
        <v>0</v>
      </c>
      <c r="AS32" s="27">
        <f t="shared" si="22"/>
        <v>60</v>
      </c>
      <c r="AT32" s="27">
        <f t="shared" si="22"/>
        <v>0</v>
      </c>
      <c r="AU32" s="32">
        <f t="shared" si="23"/>
        <v>1</v>
      </c>
      <c r="AV32" s="32">
        <f t="shared" si="24"/>
        <v>0</v>
      </c>
    </row>
    <row r="33" spans="1:48" ht="18.75" x14ac:dyDescent="0.3">
      <c r="A33" s="26" t="s">
        <v>53</v>
      </c>
      <c r="B33" s="27">
        <v>226</v>
      </c>
      <c r="C33" s="27">
        <f t="shared" si="1"/>
        <v>226</v>
      </c>
      <c r="D33" s="28">
        <f t="shared" si="0"/>
        <v>100</v>
      </c>
      <c r="E33" s="29">
        <f>COUNTIFS([2]InfCualitativo!$B$1:$B$6957,"VERDADERO",[2]InfCualitativo!$E$1:$E$6957,"Hospital Pozon",[2]InfCualitativo!$H$1:$H$6957,"consulta_externa")</f>
        <v>36</v>
      </c>
      <c r="F33" s="29">
        <f>COUNTIFS([2]InfCualitativo!$B$1:$B$6957,"FALSO",[2]InfCualitativo!$E$1:$E$6957,"Hospital Pozon",[2]InfCualitativo!$H$1:$H$6957,"consulta_externa")</f>
        <v>5</v>
      </c>
      <c r="G33" s="30">
        <f t="shared" si="2"/>
        <v>0.87804878048780488</v>
      </c>
      <c r="H33" s="30">
        <f t="shared" si="3"/>
        <v>0.12195121951219512</v>
      </c>
      <c r="I33" s="27">
        <f>COUNTIFS([2]InfCualitativo!$B$1:$B$6957,"VERDADERO",[2]InfCualitativo!$E$1:$E$6957,"Hospital Pozon",[2]InfCualitativo!$H$1:$H$6957,"salud_oral")</f>
        <v>32</v>
      </c>
      <c r="J33" s="27">
        <f>COUNTIFS([2]InfCualitativo!$B$1:$B$6957,"FALSO",[2]InfCualitativo!$E$1:$E$6957,"Hospital Pozon",[2]InfCualitativo!$H$1:$H$6957,"salud_oral")</f>
        <v>3</v>
      </c>
      <c r="K33" s="30">
        <f t="shared" si="4"/>
        <v>0.91428571428571426</v>
      </c>
      <c r="L33" s="30">
        <f t="shared" si="5"/>
        <v>8.5714285714285715E-2</v>
      </c>
      <c r="M33" s="27">
        <f>COUNTIFS([2]InfCualitativo!$B$1:$B$6957,"VERDADERO",[2]InfCualitativo!$E$1:$E$6957,"Hospital Pozon",[2]InfCualitativo!$H$1:$H$6957,"laboratorio")</f>
        <v>23</v>
      </c>
      <c r="N33" s="27">
        <f>COUNTIFS([2]InfCualitativo!$B$1:$B$6957,"FALSO",[2]InfCualitativo!$E$1:$E$6957,"Hospital Pozon",[2]InfCualitativo!$H$1:$H$6957,"laboratorio")</f>
        <v>13</v>
      </c>
      <c r="O33" s="30">
        <f t="shared" si="6"/>
        <v>0.63888888888888884</v>
      </c>
      <c r="P33" s="31">
        <f t="shared" si="7"/>
        <v>0.3611111111111111</v>
      </c>
      <c r="Q33" s="27">
        <f>COUNTIFS([2]InfCualitativo!$B$1:$B$6957,"VERDADERO",[2]InfCualitativo!$E$1:$E$6957,"Hospital Pozon",[2]InfCualitativo!$H$1:$H$6957,"electros")</f>
        <v>0</v>
      </c>
      <c r="R33" s="27">
        <f>COUNTIFS([2]InfCualitativo!$B$1:$B$6957,"FALSO",[2]InfCualitativo!$E$1:$E$6957,"Hospital Pozon",[2]InfCualitativo!$H$1:$H$6957,"electros")</f>
        <v>0</v>
      </c>
      <c r="S33" s="30">
        <f t="shared" si="8"/>
        <v>0</v>
      </c>
      <c r="T33" s="30">
        <f t="shared" si="9"/>
        <v>0</v>
      </c>
      <c r="U33" s="27">
        <f>COUNTIFS([2]InfCualitativo!$B$1:$B$6957,"VERDADERO",[2]InfCualitativo!$E$1:$E$6957,"Hospital Pozon",[2]InfCualitativo!$H$1:$H$6957,"rx")</f>
        <v>20</v>
      </c>
      <c r="V33" s="27">
        <f>COUNTIFS([2]InfCualitativo!$B$1:$B$6957,"FALSO",[2]InfCualitativo!$E$1:$E$6957,"Hospital Pozon",[2]InfCualitativo!$H$1:$H$6957,"rx")</f>
        <v>9</v>
      </c>
      <c r="W33" s="30">
        <f t="shared" si="10"/>
        <v>0.68965517241379315</v>
      </c>
      <c r="X33" s="30">
        <f t="shared" si="11"/>
        <v>0.31034482758620691</v>
      </c>
      <c r="Y33" s="27">
        <f>COUNTIFS([2]InfCualitativo!$B$1:$B$6957,"VERDADERO",[2]InfCualitativo!$E$1:$E$6957,"Hospital Pozon",[2]InfCualitativo!$H$1:$H$6957,"ecografias")</f>
        <v>11</v>
      </c>
      <c r="Z33" s="27">
        <f>COUNTIFS([2]InfCualitativo!$B$1:$B$6957,"FALSO",[2]InfCualitativo!$E$1:$E$6957,"Hospital Pozon",[2]InfCualitativo!$H$1:$H$6957,"ecografias")</f>
        <v>0</v>
      </c>
      <c r="AA33" s="30">
        <f t="shared" si="12"/>
        <v>1</v>
      </c>
      <c r="AB33" s="30">
        <f t="shared" si="13"/>
        <v>0</v>
      </c>
      <c r="AC33" s="27">
        <f>COUNTIFS([2]InfCualitativo!$B$1:$B$6957,"VERDADERO",[2]InfCualitativo!$E$1:$E$6957,"Hospital Pozon",[2]InfCualitativo!$H$1:$H$6957,"urgencia")</f>
        <v>20</v>
      </c>
      <c r="AD33" s="27">
        <f>COUNTIFS([2]InfCualitativo!$B$1:$B$6957,"FALSO",[2]InfCualitativo!$E$1:$E$6957,"Hospital Pozon",[2]InfCualitativo!$H$1:$H$6957,"urgencia")</f>
        <v>16</v>
      </c>
      <c r="AE33" s="30">
        <f t="shared" si="14"/>
        <v>0.55555555555555558</v>
      </c>
      <c r="AF33" s="30">
        <f t="shared" si="15"/>
        <v>0.44444444444444442</v>
      </c>
      <c r="AG33" s="27">
        <f>COUNTIFS([2]InfCualitativo!$B$1:$B$6957,"VERDADERO",[2]InfCualitativo!$E$1:$E$6957,"Hospital Pozon",[2]InfCualitativo!$H$1:$H$6957,"pediatria")</f>
        <v>20</v>
      </c>
      <c r="AH33" s="27">
        <f>COUNTIFS([2]InfCualitativo!$B$1:$B$6957,"FALSO",[2]InfCualitativo!$E$1:$E$6957,"Hospital Pozon",[2]InfCualitativo!$H$1:$H$6957,"pediatria")</f>
        <v>0</v>
      </c>
      <c r="AI33" s="30">
        <f t="shared" si="16"/>
        <v>1</v>
      </c>
      <c r="AJ33" s="30">
        <f t="shared" si="17"/>
        <v>0</v>
      </c>
      <c r="AK33" s="27">
        <f>COUNTIFS([2]InfCualitativo!$B$1:$B$6957,"VERDADERO",[2]InfCualitativo!$E$1:$E$6957,"Hospital Pozon",[2]InfCualitativo!$H$1:$H$6957,"medicina_interna")</f>
        <v>0</v>
      </c>
      <c r="AL33" s="27">
        <f>COUNTIFS([2]InfCualitativo!$B$1:$B$6957,"FALSO",[2]InfCualitativo!$E$1:$E$6957,"Hospital Pozon",[2]InfCualitativo!$H$1:$H$6957,"medicina_interna")</f>
        <v>0</v>
      </c>
      <c r="AM33" s="30">
        <f t="shared" si="18"/>
        <v>0</v>
      </c>
      <c r="AN33" s="30">
        <f t="shared" si="19"/>
        <v>0</v>
      </c>
      <c r="AO33" s="27">
        <f>COUNTIFS([2]InfCualitativo!$B$1:$B$6957,"VERDADERO",[2]InfCualitativo!$E$1:$E$6957,"Hospital Pozon",[2]InfCualitativo!$H$1:$H$6957,"ginecologia")</f>
        <v>18</v>
      </c>
      <c r="AP33" s="27">
        <f>COUNTIFS([2]InfCualitativo!$B$1:$B$6957,"FALSO",[2]InfCualitativo!$E$1:$E$6957,"Hospital Pozon",[2]InfCualitativo!$H$1:$H$6957,"ginecologia")</f>
        <v>0</v>
      </c>
      <c r="AQ33" s="30">
        <f t="shared" si="20"/>
        <v>1</v>
      </c>
      <c r="AR33" s="30">
        <f t="shared" si="21"/>
        <v>0</v>
      </c>
      <c r="AS33" s="27">
        <f t="shared" ref="AS33" si="25">SUM(E33+I33+M33+Q33+U33+Y33+AC33+AG33+AK33+AO33)</f>
        <v>180</v>
      </c>
      <c r="AT33" s="27">
        <f t="shared" si="22"/>
        <v>46</v>
      </c>
      <c r="AU33" s="32">
        <f t="shared" si="23"/>
        <v>0.79646017699115046</v>
      </c>
      <c r="AV33" s="32">
        <f t="shared" si="24"/>
        <v>0.20353982300884957</v>
      </c>
    </row>
    <row r="34" spans="1:48" ht="18.75" x14ac:dyDescent="0.3">
      <c r="A34" s="26" t="s">
        <v>54</v>
      </c>
      <c r="B34" s="27">
        <v>106</v>
      </c>
      <c r="C34" s="27">
        <f t="shared" si="1"/>
        <v>106</v>
      </c>
      <c r="D34" s="28">
        <f t="shared" si="0"/>
        <v>100</v>
      </c>
      <c r="E34" s="29">
        <f>COUNTIFS([2]InfCualitativo!$B$1:$B$6957,"VERDADERO",[2]InfCualitativo!$E$1:$E$6957,"Pozon",[2]InfCualitativo!$H$1:$H$6957,"consulta_externa")</f>
        <v>34</v>
      </c>
      <c r="F34" s="29">
        <f>COUNTIFS([2]InfCualitativo!$B$1:$B$6957,"FALSO",[2]InfCualitativo!$E$1:$E$6957,"Pozon",[2]InfCualitativo!$H$1:$H$6957,"consulta_externa")</f>
        <v>2</v>
      </c>
      <c r="G34" s="30">
        <f t="shared" si="2"/>
        <v>0.94444444444444442</v>
      </c>
      <c r="H34" s="30">
        <f t="shared" si="3"/>
        <v>5.5555555555555552E-2</v>
      </c>
      <c r="I34" s="27">
        <f>COUNTIFS([2]InfCualitativo!$B$1:$B$6957,"VERDADERO",[2]InfCualitativo!$E$1:$E$6957,"Pozon",[2]InfCualitativo!$H$1:$H$6957,"salud_oral")</f>
        <v>34</v>
      </c>
      <c r="J34" s="27">
        <f>COUNTIFS([2]InfCualitativo!$B$1:$B$6957,"FALSO",[2]InfCualitativo!$E$1:$E$6957,"Pozon",[2]InfCualitativo!$H$1:$H$6957,"salud_oral")</f>
        <v>0</v>
      </c>
      <c r="K34" s="30">
        <f t="shared" si="4"/>
        <v>1</v>
      </c>
      <c r="L34" s="30">
        <f t="shared" si="5"/>
        <v>0</v>
      </c>
      <c r="M34" s="27">
        <f>COUNTIFS([2]InfCualitativo!$B$1:$B$6957,"VERDADERO",[2]InfCualitativo!$E$1:$E$6957,"Pozon",[2]InfCualitativo!$H$1:$H$6957,"laboratorio")</f>
        <v>31</v>
      </c>
      <c r="N34" s="27">
        <f>COUNTIFS([2]InfCualitativo!$B$1:$B$6957,"FALSO",[2]InfCualitativo!$E$1:$E$6957,"Pozon",[2]InfCualitativo!$H$1:$H$6957,"laboratorio")</f>
        <v>5</v>
      </c>
      <c r="O34" s="30">
        <f t="shared" si="6"/>
        <v>0.86111111111111116</v>
      </c>
      <c r="P34" s="31">
        <f t="shared" si="7"/>
        <v>0.1388888888888889</v>
      </c>
      <c r="Q34" s="27">
        <f>COUNTIFS([2]InfCualitativo!$B$1:$B$6957,"VERDADERO",[2]InfCualitativo!$E$1:$E$6957,"Pozon",[2]InfCualitativo!$H$1:$H$6957,"electros")</f>
        <v>0</v>
      </c>
      <c r="R34" s="27">
        <f>COUNTIFS([2]InfCualitativo!$B$1:$B$6957,"FALSO",[2]InfCualitativo!$E$1:$E$6957,"Pozon",[2]InfCualitativo!$H$1:$H$6957,"electros")</f>
        <v>0</v>
      </c>
      <c r="S34" s="30">
        <f t="shared" si="8"/>
        <v>0</v>
      </c>
      <c r="T34" s="30">
        <f t="shared" si="9"/>
        <v>0</v>
      </c>
      <c r="U34" s="27">
        <f>COUNTIFS([2]InfCualitativo!$B$1:$B$6957,"VERDADERO",[2]InfCualitativo!$E$1:$E$6957,"Pozon",[2]InfCualitativo!$H$1:$H$6957,"rx")</f>
        <v>0</v>
      </c>
      <c r="V34" s="27">
        <f>COUNTIFS([2]InfCualitativo!$B$1:$B$6957,"FALSO",[2]InfCualitativo!$E$1:$E$6957,"Pozon",[2]InfCualitativo!$H$1:$H$6957,"rx")</f>
        <v>0</v>
      </c>
      <c r="W34" s="30">
        <f t="shared" si="10"/>
        <v>0</v>
      </c>
      <c r="X34" s="30">
        <f t="shared" si="11"/>
        <v>0</v>
      </c>
      <c r="Y34" s="27">
        <f>COUNTIFS([2]InfCualitativo!$B$1:$B$6957,"VERDADERO",[2]InfCualitativo!$E$1:$E$6957,"Pozon",[2]InfCualitativo!$H$1:$H$6957,"ecografias")</f>
        <v>0</v>
      </c>
      <c r="Z34" s="27">
        <f>COUNTIFS([2]InfCualitativo!$B$1:$B$6957,"FALSO",[2]InfCualitativo!$E$1:$E$6957,"Pozon",[2]InfCualitativo!$H$1:$H$6957,"ecografias")</f>
        <v>0</v>
      </c>
      <c r="AA34" s="30">
        <f t="shared" si="12"/>
        <v>0</v>
      </c>
      <c r="AB34" s="30">
        <f t="shared" si="13"/>
        <v>0</v>
      </c>
      <c r="AC34" s="27">
        <f>COUNTIFS([2]InfCualitativo!$B$1:$B$6957,"VERDADERO",[2]InfCualitativo!$E$1:$E$6957,"Pozon",[2]InfCualitativo!$H$1:$H$6957,"urgencia")</f>
        <v>0</v>
      </c>
      <c r="AD34" s="27">
        <f>COUNTIFS([2]InfCualitativo!$B$1:$B$6957,"FALSO",[2]InfCualitativo!$E$1:$E$6957,"Pozon",[2]InfCualitativo!$H$1:$H$6957,"urgencia")</f>
        <v>0</v>
      </c>
      <c r="AE34" s="30">
        <f t="shared" si="14"/>
        <v>0</v>
      </c>
      <c r="AF34" s="30">
        <f t="shared" si="15"/>
        <v>0</v>
      </c>
      <c r="AG34" s="27">
        <f>COUNTIFS([2]InfCualitativo!$B$1:$B$6957,"VERDADERO",[2]InfCualitativo!$E$1:$E$6957,"Pozon",[2]InfCualitativo!$H$1:$H$6957,"pediatria")</f>
        <v>0</v>
      </c>
      <c r="AH34" s="27">
        <f>COUNTIFS([2]InfCualitativo!$B$1:$B$6957,"FALSO",[2]InfCualitativo!$E$1:$E$6957,"Pozon",[2]InfCualitativo!$H$1:$H$6957,"pediatria")</f>
        <v>0</v>
      </c>
      <c r="AI34" s="30">
        <f t="shared" si="16"/>
        <v>0</v>
      </c>
      <c r="AJ34" s="30">
        <f t="shared" si="17"/>
        <v>0</v>
      </c>
      <c r="AK34" s="27">
        <f>COUNTIFS([2]InfCualitativo!$B$1:$B$6957,"VERDADERO",[2]InfCualitativo!$E$1:$E$6957,"Pozon",[2]InfCualitativo!$H$1:$H$6957,"medicina_interna")</f>
        <v>0</v>
      </c>
      <c r="AL34" s="27">
        <f>COUNTIFS([2]InfCualitativo!$B$1:$B$6957,"FALSO",[2]InfCualitativo!$E$1:$E$6957,"Pozon",[2]InfCualitativo!$H$1:$H$6957,"medicina_interna")</f>
        <v>0</v>
      </c>
      <c r="AM34" s="30">
        <f t="shared" si="18"/>
        <v>0</v>
      </c>
      <c r="AN34" s="30">
        <f t="shared" si="19"/>
        <v>0</v>
      </c>
      <c r="AO34" s="27">
        <f>COUNTIFS([2]InfCualitativo!$B$1:$B$6957,"VERDADERO",[2]InfCualitativo!$E$1:$E$6957,"Pozon",[2]InfCualitativo!$H$1:$H$6957,"ginecologia")</f>
        <v>0</v>
      </c>
      <c r="AP34" s="27">
        <f>COUNTIFS([2]InfCualitativo!$B$1:$B$6957,"FALSO",[2]InfCualitativo!$E$1:$E$6957,"Pozon",[2]InfCualitativo!$H$1:$H$6957,"ginecologia")</f>
        <v>0</v>
      </c>
      <c r="AQ34" s="30">
        <f t="shared" si="20"/>
        <v>0</v>
      </c>
      <c r="AR34" s="30">
        <f t="shared" si="21"/>
        <v>0</v>
      </c>
      <c r="AS34" s="27">
        <f t="shared" si="22"/>
        <v>99</v>
      </c>
      <c r="AT34" s="27">
        <f t="shared" si="22"/>
        <v>7</v>
      </c>
      <c r="AU34" s="32">
        <f t="shared" si="23"/>
        <v>0.93396226415094341</v>
      </c>
      <c r="AV34" s="32">
        <f t="shared" si="24"/>
        <v>6.6037735849056603E-2</v>
      </c>
    </row>
    <row r="35" spans="1:48" ht="18.75" x14ac:dyDescent="0.3">
      <c r="A35" s="26" t="s">
        <v>55</v>
      </c>
      <c r="B35" s="27">
        <v>94</v>
      </c>
      <c r="C35" s="27">
        <f t="shared" si="1"/>
        <v>94</v>
      </c>
      <c r="D35" s="28">
        <f t="shared" si="0"/>
        <v>100</v>
      </c>
      <c r="E35" s="29">
        <f>COUNTIFS([2]InfCualitativo!$B$1:$B$6957,"VERDADERO",[2]InfCualitativo!$E$1:$E$6957,"Puerto Rey",[2]InfCualitativo!$H$1:$H$6957,"consulta_externa")</f>
        <v>33</v>
      </c>
      <c r="F35" s="29">
        <f>COUNTIFS([2]InfCualitativo!$B$1:$B$6957,"FALSO",[2]InfCualitativo!$E$1:$E$6957,"Puerto Rey",[2]InfCualitativo!$H$1:$H$6957,"consulta_externa")</f>
        <v>0</v>
      </c>
      <c r="G35" s="30">
        <f t="shared" si="2"/>
        <v>1</v>
      </c>
      <c r="H35" s="30">
        <f t="shared" si="3"/>
        <v>0</v>
      </c>
      <c r="I35" s="27">
        <f>COUNTIFS([2]InfCualitativo!$B$1:$B$6957,"VERDADERO",[2]InfCualitativo!$E$1:$E$6957,"Puerto Rey",[2]InfCualitativo!$H$1:$H$6957,"salud_oral")</f>
        <v>28</v>
      </c>
      <c r="J35" s="27">
        <f>COUNTIFS([2]InfCualitativo!$B$1:$B$6957,"FALSO",[2]InfCualitativo!$E$1:$E$6957,"Puerto Rey",[2]InfCualitativo!$H$1:$H$6957,"salud_oral")</f>
        <v>0</v>
      </c>
      <c r="K35" s="30">
        <f t="shared" si="4"/>
        <v>1</v>
      </c>
      <c r="L35" s="30">
        <f t="shared" si="5"/>
        <v>0</v>
      </c>
      <c r="M35" s="27">
        <f>COUNTIFS([2]InfCualitativo!$B$1:$B$6957,"VERDADERO",[2]InfCualitativo!$E$1:$E$6957,"Puerto Rey",[2]InfCualitativo!$H$1:$H$6957,"laboratorio")</f>
        <v>33</v>
      </c>
      <c r="N35" s="27">
        <f>COUNTIFS([2]InfCualitativo!$B$1:$B$6957,"FALSO",[2]InfCualitativo!$E$1:$E$6957,"Puerto Rey",[2]InfCualitativo!$H$1:$H$6957,"laboratorio")</f>
        <v>0</v>
      </c>
      <c r="O35" s="30">
        <f t="shared" si="6"/>
        <v>1</v>
      </c>
      <c r="P35" s="31">
        <f t="shared" si="7"/>
        <v>0</v>
      </c>
      <c r="Q35" s="27">
        <f>COUNTIFS([2]InfCualitativo!$B$1:$B$6957,"VERDADERO",[2]InfCualitativo!$E$1:$E$6957,"Puerto Rey",[2]InfCualitativo!$H$1:$H$6957,"electros")</f>
        <v>0</v>
      </c>
      <c r="R35" s="27">
        <f>COUNTIFS([2]InfCualitativo!$B$1:$B$6957,"FALSO",[2]InfCualitativo!$E$1:$E$6957,"Puerto Rey",[2]InfCualitativo!$H$1:$H$6957,"electros")</f>
        <v>0</v>
      </c>
      <c r="S35" s="30">
        <f t="shared" si="8"/>
        <v>0</v>
      </c>
      <c r="T35" s="30">
        <f t="shared" si="9"/>
        <v>0</v>
      </c>
      <c r="U35" s="27">
        <f>COUNTIFS([2]InfCualitativo!$B$1:$B$6957,"VERDADERO",[2]InfCualitativo!$E$1:$E$6957,"Puerto Rey",[2]InfCualitativo!$H$1:$H$6957,"rx")</f>
        <v>0</v>
      </c>
      <c r="V35" s="27">
        <f>COUNTIFS([2]InfCualitativo!$B$1:$B$6957,"FALSO",[2]InfCualitativo!$E$1:$E$6957,"Puerto Rey",[2]InfCualitativo!$H$1:$H$6957,"rx")</f>
        <v>0</v>
      </c>
      <c r="W35" s="30">
        <f t="shared" si="10"/>
        <v>0</v>
      </c>
      <c r="X35" s="30">
        <f t="shared" si="11"/>
        <v>0</v>
      </c>
      <c r="Y35" s="27">
        <f>COUNTIFS([2]InfCualitativo!$B$1:$B$6957,"VERDADERO",[2]InfCualitativo!$E$1:$E$6957,"Puerto Rey",[2]InfCualitativo!$H$1:$H$6957,"ecografias")</f>
        <v>0</v>
      </c>
      <c r="Z35" s="27">
        <f>COUNTIFS([2]InfCualitativo!$B$1:$B$6957,"FALSO",[2]InfCualitativo!$E$1:$E$6957,"Puerto Rey",[2]InfCualitativo!$H$1:$H$6957,"ecografias")</f>
        <v>0</v>
      </c>
      <c r="AA35" s="30">
        <f t="shared" si="12"/>
        <v>0</v>
      </c>
      <c r="AB35" s="30">
        <f t="shared" si="13"/>
        <v>0</v>
      </c>
      <c r="AC35" s="27">
        <f>COUNTIFS([2]InfCualitativo!$B$1:$B$6957,"VERDADERO",[2]InfCualitativo!$E$1:$E$6957,"Puerto Rey",[2]InfCualitativo!$H$1:$H$6957,"urgencia")</f>
        <v>0</v>
      </c>
      <c r="AD35" s="27">
        <f>COUNTIFS([2]InfCualitativo!$B$1:$B$6957,"FALSO",[2]InfCualitativo!$E$1:$E$6957,"Puerto Rey",[2]InfCualitativo!$H$1:$H$6957,"urgencia")</f>
        <v>0</v>
      </c>
      <c r="AE35" s="30">
        <f t="shared" si="14"/>
        <v>0</v>
      </c>
      <c r="AF35" s="30">
        <f t="shared" si="15"/>
        <v>0</v>
      </c>
      <c r="AG35" s="27">
        <f>COUNTIFS([2]InfCualitativo!$B$1:$B$6957,"VERDADERO",[2]InfCualitativo!$E$1:$E$6957,"Puerto Rey",[2]InfCualitativo!$H$1:$H$6957,"pediatria")</f>
        <v>0</v>
      </c>
      <c r="AH35" s="27">
        <f>COUNTIFS([2]InfCualitativo!$B$1:$B$6957,"FALSO",[2]InfCualitativo!$E$1:$E$6957,"Puerto Rey",[2]InfCualitativo!$H$1:$H$6957,"pediatria")</f>
        <v>0</v>
      </c>
      <c r="AI35" s="30">
        <f t="shared" si="16"/>
        <v>0</v>
      </c>
      <c r="AJ35" s="30">
        <f t="shared" si="17"/>
        <v>0</v>
      </c>
      <c r="AK35" s="27">
        <f>COUNTIFS([2]InfCualitativo!$B$1:$B$6957,"VERDADERO",[2]InfCualitativo!$E$1:$E$6957,"Puerto Rey",[2]InfCualitativo!$H$1:$H$6957,"medicina_interna")</f>
        <v>0</v>
      </c>
      <c r="AL35" s="27">
        <f>COUNTIFS([2]InfCualitativo!$B$1:$B$6957,"FALSO",[2]InfCualitativo!$E$1:$E$6957,"Puerto Rey",[2]InfCualitativo!$H$1:$H$6957,"medicina_interna")</f>
        <v>0</v>
      </c>
      <c r="AM35" s="30">
        <f t="shared" si="18"/>
        <v>0</v>
      </c>
      <c r="AN35" s="30">
        <f t="shared" si="19"/>
        <v>0</v>
      </c>
      <c r="AO35" s="27">
        <f>COUNTIFS([2]InfCualitativo!$B$1:$B$6957,"VERDADERO",[2]InfCualitativo!$E$1:$E$6957,"Puerto Rey",[2]InfCualitativo!$H$1:$H$6957,"ginecologia")</f>
        <v>0</v>
      </c>
      <c r="AP35" s="27">
        <f>COUNTIFS([2]InfCualitativo!$B$1:$B$6957,"FALSO",[2]InfCualitativo!$E$1:$E$6957,"Puerto Rey",[2]InfCualitativo!$H$1:$H$6957,"ginecologia")</f>
        <v>0</v>
      </c>
      <c r="AQ35" s="30">
        <f t="shared" si="20"/>
        <v>0</v>
      </c>
      <c r="AR35" s="30">
        <f t="shared" si="21"/>
        <v>0</v>
      </c>
      <c r="AS35" s="27">
        <f t="shared" si="22"/>
        <v>94</v>
      </c>
      <c r="AT35" s="27">
        <f t="shared" si="22"/>
        <v>0</v>
      </c>
      <c r="AU35" s="32">
        <f t="shared" si="23"/>
        <v>1</v>
      </c>
      <c r="AV35" s="32">
        <f t="shared" si="24"/>
        <v>0</v>
      </c>
    </row>
    <row r="36" spans="1:48" ht="18.75" x14ac:dyDescent="0.3">
      <c r="A36" s="26" t="s">
        <v>56</v>
      </c>
      <c r="B36" s="27">
        <v>88</v>
      </c>
      <c r="C36" s="27">
        <f t="shared" si="1"/>
        <v>80</v>
      </c>
      <c r="D36" s="28">
        <f t="shared" si="0"/>
        <v>90.909090909090907</v>
      </c>
      <c r="E36" s="29">
        <f>COUNTIFS([2]InfCualitativo!$B$1:$B$6957,"VERDADERO",[2]InfCualitativo!$E$1:$E$6957,"Punta Arena",[2]InfCualitativo!$H$1:$H$6957,"consulta_externa")</f>
        <v>28</v>
      </c>
      <c r="F36" s="29">
        <f>COUNTIFS([2]InfCualitativo!$B$1:$B$6957,"FALSO",[2]InfCualitativo!$E$1:$E$6957,"Punta Arena",[2]InfCualitativo!$H$1:$H$6957,"consulta_externa")</f>
        <v>12</v>
      </c>
      <c r="G36" s="30">
        <f t="shared" si="2"/>
        <v>0.7</v>
      </c>
      <c r="H36" s="30">
        <f t="shared" si="3"/>
        <v>0.3</v>
      </c>
      <c r="I36" s="27">
        <f>COUNTIFS([2]InfCualitativo!$B$1:$B$6957,"VERDADERO",[2]InfCualitativo!$E$1:$E$6957,"Punta Arena",[2]InfCualitativo!$H$1:$H$6957,"salud_oral")</f>
        <v>13</v>
      </c>
      <c r="J36" s="27">
        <f>COUNTIFS([2]InfCualitativo!$B$1:$B$6957,"FALSO",[2]InfCualitativo!$E$1:$E$6957,"Punta Arena",[2]InfCualitativo!$H$1:$H$6957,"salud_oral")</f>
        <v>4</v>
      </c>
      <c r="K36" s="30">
        <f t="shared" si="4"/>
        <v>0.76470588235294112</v>
      </c>
      <c r="L36" s="30">
        <f t="shared" si="5"/>
        <v>0.23529411764705882</v>
      </c>
      <c r="M36" s="27">
        <f>COUNTIFS([2]InfCualitativo!$B$1:$B$6957,"VERDADERO",[2]InfCualitativo!$E$1:$E$6957,"Punta Arena",[2]InfCualitativo!$H$1:$H$6957,"laboratorio")</f>
        <v>19</v>
      </c>
      <c r="N36" s="27">
        <f>COUNTIFS([2]InfCualitativo!$B$1:$B$6957,"FALSO",[2]InfCualitativo!$E$1:$E$6957,"Punta Arena",[2]InfCualitativo!$H$1:$H$6957,"laboratorio")</f>
        <v>4</v>
      </c>
      <c r="O36" s="30">
        <f t="shared" si="6"/>
        <v>0.82608695652173914</v>
      </c>
      <c r="P36" s="31">
        <f t="shared" si="7"/>
        <v>0.17391304347826086</v>
      </c>
      <c r="Q36" s="27">
        <f>COUNTIFS([2]InfCualitativo!$B$1:$B$6957,"VERDADERO",[2]InfCualitativo!$E$1:$E$6957,"Punta Arena",[2]InfCualitativo!$H$1:$H$6957,"electros")</f>
        <v>0</v>
      </c>
      <c r="R36" s="27">
        <f>COUNTIFS([2]InfCualitativo!$B$1:$B$6957,"FALSO",[2]InfCualitativo!$E$1:$E$6957,"Punta Arena",[2]InfCualitativo!$H$1:$H$6957,"electros")</f>
        <v>0</v>
      </c>
      <c r="S36" s="30">
        <f t="shared" si="8"/>
        <v>0</v>
      </c>
      <c r="T36" s="30">
        <f t="shared" si="9"/>
        <v>0</v>
      </c>
      <c r="U36" s="27">
        <f>COUNTIFS([2]InfCualitativo!$B$1:$B$6957,"VERDADERO",[2]InfCualitativo!$E$1:$E$6957,"Punta Arena",[2]InfCualitativo!$H$1:$H$6957,"rx")</f>
        <v>0</v>
      </c>
      <c r="V36" s="27">
        <f>COUNTIFS([2]InfCualitativo!$B$1:$B$6957,"FALSO",[2]InfCualitativo!$E$1:$E$6957,"Punta Arena",[2]InfCualitativo!$H$1:$H$6957,"rx")</f>
        <v>0</v>
      </c>
      <c r="W36" s="30">
        <f t="shared" si="10"/>
        <v>0</v>
      </c>
      <c r="X36" s="30">
        <f t="shared" si="11"/>
        <v>0</v>
      </c>
      <c r="Y36" s="27">
        <f>COUNTIFS([2]InfCualitativo!$B$1:$B$6957,"VERDADERO",[2]InfCualitativo!$E$1:$E$6957,"Punta Arena",[2]InfCualitativo!$H$1:$H$6957,"ecografias")</f>
        <v>0</v>
      </c>
      <c r="Z36" s="27">
        <f>COUNTIFS([2]InfCualitativo!$B$1:$B$6957,"FALSO",[2]InfCualitativo!$E$1:$E$6957,"Punta Arena",[2]InfCualitativo!$H$1:$H$6957,"ecografias")</f>
        <v>0</v>
      </c>
      <c r="AA36" s="30">
        <f t="shared" si="12"/>
        <v>0</v>
      </c>
      <c r="AB36" s="30">
        <f t="shared" si="13"/>
        <v>0</v>
      </c>
      <c r="AC36" s="27">
        <f>COUNTIFS([2]InfCualitativo!$B$1:$B$6957,"VERDADERO",[2]InfCualitativo!$E$1:$E$6957,"Punta Arena",[2]InfCualitativo!$H$1:$H$6957,"urgencia")</f>
        <v>0</v>
      </c>
      <c r="AD36" s="27">
        <f>COUNTIFS([2]InfCualitativo!$B$1:$B$6957,"FALSO",[2]InfCualitativo!$E$1:$E$6957,"Punta Arena",[2]InfCualitativo!$H$1:$H$6957,"urgencia")</f>
        <v>0</v>
      </c>
      <c r="AE36" s="30">
        <f t="shared" si="14"/>
        <v>0</v>
      </c>
      <c r="AF36" s="30">
        <f t="shared" si="15"/>
        <v>0</v>
      </c>
      <c r="AG36" s="27">
        <f>COUNTIFS([2]InfCualitativo!$B$1:$B$6957,"VERDADERO",[2]InfCualitativo!$E$1:$E$6957,"Punta Arena",[2]InfCualitativo!$H$1:$H$6957,"pediatria")</f>
        <v>0</v>
      </c>
      <c r="AH36" s="27">
        <f>COUNTIFS([2]InfCualitativo!$B$1:$B$6957,"FALSO",[2]InfCualitativo!$E$1:$E$6957,"Punta Arena",[2]InfCualitativo!$H$1:$H$6957,"pediatria")</f>
        <v>0</v>
      </c>
      <c r="AI36" s="30">
        <f t="shared" si="16"/>
        <v>0</v>
      </c>
      <c r="AJ36" s="30">
        <f t="shared" si="17"/>
        <v>0</v>
      </c>
      <c r="AK36" s="27">
        <f>COUNTIFS([2]InfCualitativo!$B$1:$B$6957,"VERDADERO",[2]InfCualitativo!$E$1:$E$6957,"Punta Arena",[2]InfCualitativo!$H$1:$H$6957,"medicina_interna")</f>
        <v>0</v>
      </c>
      <c r="AL36" s="27">
        <f>COUNTIFS([2]InfCualitativo!$B$1:$B$6957,"FALSO",[2]InfCualitativo!$E$1:$E$6957,"Punta Arena",[2]InfCualitativo!$H$1:$H$6957,"medicina_interna")</f>
        <v>0</v>
      </c>
      <c r="AM36" s="30">
        <f t="shared" si="18"/>
        <v>0</v>
      </c>
      <c r="AN36" s="30">
        <f t="shared" si="19"/>
        <v>0</v>
      </c>
      <c r="AO36" s="27">
        <f>COUNTIFS([2]InfCualitativo!$B$1:$B$6957,"VERDADERO",[2]InfCualitativo!$E$1:$E$6957,"Punta Arena",[2]InfCualitativo!$H$1:$H$6957,"ginecologia")</f>
        <v>0</v>
      </c>
      <c r="AP36" s="27">
        <f>COUNTIFS([2]InfCualitativo!$B$1:$B$6957,"FALSO",[2]InfCualitativo!$E$1:$E$6957,"Punta Arena",[2]InfCualitativo!$H$1:$H$6957,"ginecologia")</f>
        <v>0</v>
      </c>
      <c r="AQ36" s="30">
        <f t="shared" si="20"/>
        <v>0</v>
      </c>
      <c r="AR36" s="30">
        <f t="shared" si="21"/>
        <v>0</v>
      </c>
      <c r="AS36" s="27">
        <f t="shared" si="22"/>
        <v>60</v>
      </c>
      <c r="AT36" s="27">
        <f t="shared" si="22"/>
        <v>20</v>
      </c>
      <c r="AU36" s="32">
        <f t="shared" si="23"/>
        <v>0.75</v>
      </c>
      <c r="AV36" s="32">
        <f t="shared" si="24"/>
        <v>0.25</v>
      </c>
    </row>
    <row r="37" spans="1:48" ht="18.75" x14ac:dyDescent="0.3">
      <c r="A37" s="26" t="s">
        <v>57</v>
      </c>
      <c r="B37" s="27">
        <v>84</v>
      </c>
      <c r="C37" s="27">
        <f t="shared" si="1"/>
        <v>84</v>
      </c>
      <c r="D37" s="28">
        <f t="shared" si="0"/>
        <v>100</v>
      </c>
      <c r="E37" s="29">
        <f>COUNTIFS([2]InfCualitativo!$B$1:$B$6957,"VERDADERO",[2]InfCualitativo!$E$1:$E$6957,"Punta Canoa",[2]InfCualitativo!$H$1:$H$6957,"consulta_externa")</f>
        <v>29</v>
      </c>
      <c r="F37" s="29">
        <f>COUNTIFS([2]InfCualitativo!$B$1:$B$6957,"FALSO",[2]InfCualitativo!$E$1:$E$6957,"Punta Canoa",[2]InfCualitativo!$H$1:$H$6957,"consulta_externa")</f>
        <v>0</v>
      </c>
      <c r="G37" s="30">
        <f t="shared" si="2"/>
        <v>1</v>
      </c>
      <c r="H37" s="30">
        <f t="shared" si="3"/>
        <v>0</v>
      </c>
      <c r="I37" s="27">
        <f>COUNTIFS([2]InfCualitativo!$B$1:$B$6957,"VERDADERO",[2]InfCualitativo!$E$1:$E$6957,"Punta Canoa",[2]InfCualitativo!$H$1:$H$6957,"salud_oral")</f>
        <v>28</v>
      </c>
      <c r="J37" s="27">
        <f>COUNTIFS([2]InfCualitativo!$B$1:$B$6957,"FALSO",[2]InfCualitativo!$E$1:$E$6957,"Punta Canoa",[2]InfCualitativo!$H$1:$H$6957,"salud_oral")</f>
        <v>0</v>
      </c>
      <c r="K37" s="30">
        <f t="shared" si="4"/>
        <v>1</v>
      </c>
      <c r="L37" s="30">
        <f t="shared" si="5"/>
        <v>0</v>
      </c>
      <c r="M37" s="27">
        <f>COUNTIFS([2]InfCualitativo!$B$1:$B$6957,"VERDADERO",[2]InfCualitativo!$E$1:$E$6957,"Punta Canoa",[2]InfCualitativo!$H$1:$H$6957,"laboratorio")</f>
        <v>27</v>
      </c>
      <c r="N37" s="27">
        <f>COUNTIFS([2]InfCualitativo!$B$1:$B$6957,"FALSO",[2]InfCualitativo!$E$1:$E$6957,"Punta Canoa",[2]InfCualitativo!$H$1:$H$6957,"laboratorio")</f>
        <v>0</v>
      </c>
      <c r="O37" s="30">
        <f t="shared" si="6"/>
        <v>1</v>
      </c>
      <c r="P37" s="31">
        <f t="shared" si="7"/>
        <v>0</v>
      </c>
      <c r="Q37" s="27">
        <f>COUNTIFS([2]InfCualitativo!$B$1:$B$6957,"VERDADERO",[2]InfCualitativo!$E$1:$E$6957,"Punta Canoa",[2]InfCualitativo!$H$1:$H$6957,"electros")</f>
        <v>0</v>
      </c>
      <c r="R37" s="27">
        <f>COUNTIFS([2]InfCualitativo!$B$1:$B$6957,"FALSO",[2]InfCualitativo!$E$1:$E$6957,"Punta Canoa",[2]InfCualitativo!$H$1:$H$6957,"electros")</f>
        <v>0</v>
      </c>
      <c r="S37" s="30">
        <f t="shared" si="8"/>
        <v>0</v>
      </c>
      <c r="T37" s="30">
        <f t="shared" si="9"/>
        <v>0</v>
      </c>
      <c r="U37" s="27">
        <f>COUNTIFS([2]InfCualitativo!$B$1:$B$6957,"VERDADERO",[2]InfCualitativo!$E$1:$E$6957,"Punta Canoa",[2]InfCualitativo!$H$1:$H$6957,"rx")</f>
        <v>0</v>
      </c>
      <c r="V37" s="27">
        <f>COUNTIFS([2]InfCualitativo!$B$1:$B$6957,"FALSO",[2]InfCualitativo!$E$1:$E$6957,"Punta Canoa",[2]InfCualitativo!$H$1:$H$6957,"rx")</f>
        <v>0</v>
      </c>
      <c r="W37" s="30">
        <f t="shared" si="10"/>
        <v>0</v>
      </c>
      <c r="X37" s="30">
        <f t="shared" si="11"/>
        <v>0</v>
      </c>
      <c r="Y37" s="27">
        <f>COUNTIFS([2]InfCualitativo!$B$1:$B$6957,"VERDADERO",[2]InfCualitativo!$E$1:$E$6957,"Punta Canoa",[2]InfCualitativo!$H$1:$H$6957,"ecografias")</f>
        <v>0</v>
      </c>
      <c r="Z37" s="27">
        <f>COUNTIFS([2]InfCualitativo!$B$1:$B$6957,"FALSO",[2]InfCualitativo!$E$1:$E$6957,"Punta Canoa",[2]InfCualitativo!$H$1:$H$6957,"ecografias")</f>
        <v>0</v>
      </c>
      <c r="AA37" s="30">
        <f t="shared" si="12"/>
        <v>0</v>
      </c>
      <c r="AB37" s="30">
        <f t="shared" si="13"/>
        <v>0</v>
      </c>
      <c r="AC37" s="27">
        <f>COUNTIFS([2]InfCualitativo!$B$1:$B$6957,"VERDADERO",[2]InfCualitativo!$E$1:$E$6957,"Punta Canoa",[2]InfCualitativo!$H$1:$H$6957,"urgencia")</f>
        <v>0</v>
      </c>
      <c r="AD37" s="27">
        <f>COUNTIFS([2]InfCualitativo!$B$1:$B$6957,"FALSO",[2]InfCualitativo!$E$1:$E$6957,"Punta Canoa",[2]InfCualitativo!$H$1:$H$6957,"urgencia")</f>
        <v>0</v>
      </c>
      <c r="AE37" s="30">
        <f t="shared" si="14"/>
        <v>0</v>
      </c>
      <c r="AF37" s="30">
        <f t="shared" si="15"/>
        <v>0</v>
      </c>
      <c r="AG37" s="27">
        <f>COUNTIFS([2]InfCualitativo!$B$1:$B$6957,"VERDADERO",[2]InfCualitativo!$E$1:$E$6957,"Punta Canoa",[2]InfCualitativo!$H$1:$H$6957,"pediatria")</f>
        <v>0</v>
      </c>
      <c r="AH37" s="27">
        <f>COUNTIFS([2]InfCualitativo!$B$1:$B$6957,"FALSO",[2]InfCualitativo!$E$1:$E$6957,"Punta Canoa",[2]InfCualitativo!$H$1:$H$6957,"pediatria")</f>
        <v>0</v>
      </c>
      <c r="AI37" s="30">
        <f t="shared" si="16"/>
        <v>0</v>
      </c>
      <c r="AJ37" s="30">
        <f t="shared" si="17"/>
        <v>0</v>
      </c>
      <c r="AK37" s="27">
        <f>COUNTIFS([2]InfCualitativo!$B$1:$B$6957,"VERDADERO",[2]InfCualitativo!$E$1:$E$6957,"Punta Canoa",[2]InfCualitativo!$H$1:$H$6957,"medicina_interna")</f>
        <v>0</v>
      </c>
      <c r="AL37" s="27">
        <f>COUNTIFS([2]InfCualitativo!$B$1:$B$6957,"FALSO",[2]InfCualitativo!$E$1:$E$6957,"Punta Canoa",[2]InfCualitativo!$H$1:$H$6957,"medicina_interna")</f>
        <v>0</v>
      </c>
      <c r="AM37" s="30">
        <f t="shared" si="18"/>
        <v>0</v>
      </c>
      <c r="AN37" s="30">
        <f t="shared" si="19"/>
        <v>0</v>
      </c>
      <c r="AO37" s="27">
        <f>COUNTIFS([2]InfCualitativo!$B$1:$B$6957,"VERDADERO",[2]InfCualitativo!$E$1:$E$6957,"Punta Canoa",[2]InfCualitativo!$H$1:$H$6957,"ginecologia")</f>
        <v>0</v>
      </c>
      <c r="AP37" s="27">
        <f>COUNTIFS([2]InfCualitativo!$B$1:$B$6957,"FALSO",[2]InfCualitativo!$E$1:$E$6957,"Punta Canoa",[2]InfCualitativo!$H$1:$H$6957,"ginecologia")</f>
        <v>0</v>
      </c>
      <c r="AQ37" s="30">
        <f t="shared" si="20"/>
        <v>0</v>
      </c>
      <c r="AR37" s="30">
        <f t="shared" si="21"/>
        <v>0</v>
      </c>
      <c r="AS37" s="27">
        <f t="shared" si="22"/>
        <v>84</v>
      </c>
      <c r="AT37" s="27">
        <f t="shared" si="22"/>
        <v>0</v>
      </c>
      <c r="AU37" s="32">
        <f t="shared" si="23"/>
        <v>1</v>
      </c>
      <c r="AV37" s="32">
        <f t="shared" si="24"/>
        <v>0</v>
      </c>
    </row>
    <row r="38" spans="1:48" ht="18.75" x14ac:dyDescent="0.3">
      <c r="A38" s="26" t="s">
        <v>58</v>
      </c>
      <c r="B38" s="27">
        <v>141</v>
      </c>
      <c r="C38" s="27">
        <f t="shared" si="1"/>
        <v>141</v>
      </c>
      <c r="D38" s="28">
        <f t="shared" si="0"/>
        <v>100</v>
      </c>
      <c r="E38" s="29">
        <f>COUNTIFS([2]InfCualitativo!$B$1:$B$6957,"VERDADERO",[2]InfCualitativo!$E$1:$E$6957,"San Francisco I",[2]InfCualitativo!$H$1:$H$6957,"consulta_externa")</f>
        <v>49</v>
      </c>
      <c r="F38" s="29">
        <f>COUNTIFS([2]InfCualitativo!$B$1:$B$6957,"FALSO",[2]InfCualitativo!$E$1:$E$6957,"San Francisco I",[2]InfCualitativo!$H$1:$H$6957,"consulta_externa")</f>
        <v>2</v>
      </c>
      <c r="G38" s="30">
        <f t="shared" si="2"/>
        <v>0.96078431372549022</v>
      </c>
      <c r="H38" s="30">
        <f t="shared" si="3"/>
        <v>3.9215686274509803E-2</v>
      </c>
      <c r="I38" s="27">
        <f>COUNTIFS([2]InfCualitativo!$B$1:$B$6957,"VERDADERO",[2]InfCualitativo!$E$1:$E$6957,"San Francisco I",[2]InfCualitativo!$H$1:$H$6957,"salud_oral")</f>
        <v>43</v>
      </c>
      <c r="J38" s="27">
        <f>COUNTIFS([2]InfCualitativo!$B$1:$B$6957,"FALSO",[2]InfCualitativo!$E$1:$E$6957,"San Francisco I",[2]InfCualitativo!$H$1:$H$6957,"salud_oral")</f>
        <v>2</v>
      </c>
      <c r="K38" s="30">
        <f t="shared" si="4"/>
        <v>0.9555555555555556</v>
      </c>
      <c r="L38" s="30">
        <f t="shared" si="5"/>
        <v>4.4444444444444446E-2</v>
      </c>
      <c r="M38" s="27">
        <f>COUNTIFS([2]InfCualitativo!$B$1:$B$6957,"VERDADERO",[2]InfCualitativo!$E$1:$E$6957,"San Francisco I",[2]InfCualitativo!$H$1:$H$6957,"laboratorio")</f>
        <v>37</v>
      </c>
      <c r="N38" s="27">
        <f>COUNTIFS([2]InfCualitativo!$B$1:$B$6957,"FALSO",[2]InfCualitativo!$E$1:$E$6957,"San Francisco I",[2]InfCualitativo!$H$1:$H$6957,"laboratorio")</f>
        <v>8</v>
      </c>
      <c r="O38" s="30">
        <f t="shared" si="6"/>
        <v>0.82222222222222219</v>
      </c>
      <c r="P38" s="31">
        <f t="shared" si="7"/>
        <v>0.17777777777777778</v>
      </c>
      <c r="Q38" s="27">
        <f>COUNTIFS([2]InfCualitativo!$B$1:$B$6957,"VERDADERO",[2]InfCualitativo!$E$1:$E$6957,"San Francisco I",[2]InfCualitativo!$H$1:$H$6957,"electros")</f>
        <v>0</v>
      </c>
      <c r="R38" s="27">
        <f>COUNTIFS([2]InfCualitativo!$B$1:$B$6957,"FALSO",[2]InfCualitativo!$E$1:$E$6957,"San Francisco I",[2]InfCualitativo!$H$1:$H$6957,"electros")</f>
        <v>0</v>
      </c>
      <c r="S38" s="30">
        <f t="shared" si="8"/>
        <v>0</v>
      </c>
      <c r="T38" s="30">
        <f t="shared" si="9"/>
        <v>0</v>
      </c>
      <c r="U38" s="27">
        <f>COUNTIFS([2]InfCualitativo!$B$1:$B$6957,"VERDADERO",[2]InfCualitativo!$E$1:$E$6957,"San Francisco I",[2]InfCualitativo!$H$1:$H$6957,"rx")</f>
        <v>0</v>
      </c>
      <c r="V38" s="27">
        <f>COUNTIFS([2]InfCualitativo!$B$1:$B$6957,"FALSO",[2]InfCualitativo!$E$1:$E$6957,"San Francisco I",[2]InfCualitativo!$H$1:$H$6957,"rx")</f>
        <v>0</v>
      </c>
      <c r="W38" s="30">
        <f t="shared" si="10"/>
        <v>0</v>
      </c>
      <c r="X38" s="30">
        <f t="shared" si="11"/>
        <v>0</v>
      </c>
      <c r="Y38" s="27">
        <f>COUNTIFS([2]InfCualitativo!$B$1:$B$6957,"VERDADERO",[2]InfCualitativo!$E$1:$E$6957,"San Francisco I",[2]InfCualitativo!$H$1:$H$6957,"ecografias")</f>
        <v>0</v>
      </c>
      <c r="Z38" s="27">
        <f>COUNTIFS([2]InfCualitativo!$B$1:$B$6957,"FALSO",[2]InfCualitativo!$E$1:$E$6957,"San Francisco I",[2]InfCualitativo!$H$1:$H$6957,"ecografias")</f>
        <v>0</v>
      </c>
      <c r="AA38" s="30">
        <f t="shared" si="12"/>
        <v>0</v>
      </c>
      <c r="AB38" s="30">
        <f t="shared" si="13"/>
        <v>0</v>
      </c>
      <c r="AC38" s="27">
        <f>COUNTIFS([2]InfCualitativo!$B$1:$B$6957,"VERDADERO",[2]InfCualitativo!$E$1:$E$6957,"San Francisco I",[2]InfCualitativo!$H$1:$H$6957,"urgencia")</f>
        <v>0</v>
      </c>
      <c r="AD38" s="27">
        <f>COUNTIFS([2]InfCualitativo!$B$1:$B$6957,"FALSO",[2]InfCualitativo!$E$1:$E$6957,"San Francisco I",[2]InfCualitativo!$H$1:$H$6957,"urgencia")</f>
        <v>0</v>
      </c>
      <c r="AE38" s="30">
        <f t="shared" si="14"/>
        <v>0</v>
      </c>
      <c r="AF38" s="30">
        <f t="shared" si="15"/>
        <v>0</v>
      </c>
      <c r="AG38" s="27">
        <f>COUNTIFS([2]InfCualitativo!$B$1:$B$6957,"VERDADERO",[2]InfCualitativo!$E$1:$E$6957,"San Francisco I",[2]InfCualitativo!$H$1:$H$6957,"pediatria")</f>
        <v>0</v>
      </c>
      <c r="AH38" s="27">
        <f>COUNTIFS([2]InfCualitativo!$B$1:$B$6957,"FALSO",[2]InfCualitativo!$E$1:$E$6957,"San Francisco I",[2]InfCualitativo!$H$1:$H$6957,"pediatria")</f>
        <v>0</v>
      </c>
      <c r="AI38" s="30">
        <f t="shared" si="16"/>
        <v>0</v>
      </c>
      <c r="AJ38" s="30">
        <f t="shared" si="17"/>
        <v>0</v>
      </c>
      <c r="AK38" s="27">
        <f>COUNTIFS([2]InfCualitativo!$B$1:$B$6957,"VERDADERO",[2]InfCualitativo!$E$1:$E$6957,"San Francisco I",[2]InfCualitativo!$H$1:$H$6957,"medicina_interna")</f>
        <v>0</v>
      </c>
      <c r="AL38" s="27">
        <f>COUNTIFS([2]InfCualitativo!$B$1:$B$6957,"FALSO",[2]InfCualitativo!$E$1:$E$6957,"San Francisco I",[2]InfCualitativo!$H$1:$H$6957,"medicina_interna")</f>
        <v>0</v>
      </c>
      <c r="AM38" s="30">
        <f t="shared" si="18"/>
        <v>0</v>
      </c>
      <c r="AN38" s="30">
        <f t="shared" si="19"/>
        <v>0</v>
      </c>
      <c r="AO38" s="27">
        <f>COUNTIFS([2]InfCualitativo!$B$1:$B$6957,"VERDADERO",[2]InfCualitativo!$E$1:$E$6957,"San Francisco I",[2]InfCualitativo!$H$1:$H$6957,"ginecologia")</f>
        <v>0</v>
      </c>
      <c r="AP38" s="27">
        <f>COUNTIFS([2]InfCualitativo!$B$1:$B$6957,"FALSO",[2]InfCualitativo!$E$1:$E$6957,"San Francisco I",[2]InfCualitativo!$H$1:$H$6957,"ginecologia")</f>
        <v>0</v>
      </c>
      <c r="AQ38" s="30">
        <f t="shared" si="20"/>
        <v>0</v>
      </c>
      <c r="AR38" s="30">
        <f t="shared" si="21"/>
        <v>0</v>
      </c>
      <c r="AS38" s="27">
        <f t="shared" si="22"/>
        <v>129</v>
      </c>
      <c r="AT38" s="27">
        <f t="shared" si="22"/>
        <v>12</v>
      </c>
      <c r="AU38" s="32">
        <f t="shared" si="23"/>
        <v>0.91489361702127658</v>
      </c>
      <c r="AV38" s="32">
        <f t="shared" si="24"/>
        <v>8.5106382978723402E-2</v>
      </c>
    </row>
    <row r="39" spans="1:48" ht="18.75" x14ac:dyDescent="0.3">
      <c r="A39" s="26" t="s">
        <v>59</v>
      </c>
      <c r="B39" s="27">
        <v>140</v>
      </c>
      <c r="C39" s="27">
        <f t="shared" si="1"/>
        <v>139</v>
      </c>
      <c r="D39" s="28">
        <f t="shared" si="0"/>
        <v>99.285714285714292</v>
      </c>
      <c r="E39" s="29">
        <f>COUNTIFS([2]InfCualitativo!$B$1:$B$6957,"VERDADERO",[2]InfCualitativo!$E$1:$E$6957,"San Pedro y Libertad",[2]InfCualitativo!$H$1:$H$6957,"consulta_externa")</f>
        <v>35</v>
      </c>
      <c r="F39" s="29">
        <f>COUNTIFS([2]InfCualitativo!$B$1:$B$6957,"FALSO",[2]InfCualitativo!$E$1:$E$6957,"San Pedro y Libertad",[2]InfCualitativo!$H$1:$H$6957,"consulta_externa")</f>
        <v>13</v>
      </c>
      <c r="G39" s="30">
        <f t="shared" si="2"/>
        <v>0.72916666666666663</v>
      </c>
      <c r="H39" s="30">
        <f t="shared" si="3"/>
        <v>0.27083333333333331</v>
      </c>
      <c r="I39" s="27">
        <f>COUNTIFS([2]InfCualitativo!$B$1:$B$6957,"VERDADERO",[2]InfCualitativo!$E$1:$E$6957,"San Pedro y Libertad",[2]InfCualitativo!$H$1:$H$6957,"salud_oral")</f>
        <v>41</v>
      </c>
      <c r="J39" s="27">
        <f>COUNTIFS([2]InfCualitativo!$B$1:$B$6957,"FALSO",[2]InfCualitativo!$E$1:$E$6957,"San Pedro y Libertad",[2]InfCualitativo!$H$1:$H$6957,"salud_oral")</f>
        <v>3</v>
      </c>
      <c r="K39" s="30">
        <f t="shared" si="4"/>
        <v>0.93181818181818177</v>
      </c>
      <c r="L39" s="30">
        <f t="shared" si="5"/>
        <v>6.8181818181818177E-2</v>
      </c>
      <c r="M39" s="27">
        <f>COUNTIFS([2]InfCualitativo!$B$1:$B$6957,"VERDADERO",[2]InfCualitativo!$E$1:$E$6957,"San Pedro y Libertad",[2]InfCualitativo!$H$1:$H$6957,"laboratorio")</f>
        <v>25</v>
      </c>
      <c r="N39" s="27">
        <f>COUNTIFS([2]InfCualitativo!$B$1:$B$6957,"FALSO",[2]InfCualitativo!$E$1:$E$6957,"San Pedro y Libertad",[2]InfCualitativo!$H$1:$H$6957,"laboratorio")</f>
        <v>22</v>
      </c>
      <c r="O39" s="30">
        <f t="shared" si="6"/>
        <v>0.53191489361702127</v>
      </c>
      <c r="P39" s="31">
        <f t="shared" si="7"/>
        <v>0.46808510638297873</v>
      </c>
      <c r="Q39" s="27">
        <f>COUNTIFS([2]InfCualitativo!$B$1:$B$6957,"VERDADERO",[2]InfCualitativo!$E$1:$E$6957,"San Pedro y Libertad",[2]InfCualitativo!$H$1:$H$6957,"electros")</f>
        <v>0</v>
      </c>
      <c r="R39" s="27">
        <f>COUNTIFS([2]InfCualitativo!$B$1:$B$6957,"FALSO",[2]InfCualitativo!$E$1:$E$6957,"San Pedro y Libertad",[2]InfCualitativo!$H$1:$H$6957,"electros")</f>
        <v>0</v>
      </c>
      <c r="S39" s="30">
        <f t="shared" si="8"/>
        <v>0</v>
      </c>
      <c r="T39" s="30">
        <f t="shared" si="9"/>
        <v>0</v>
      </c>
      <c r="U39" s="27">
        <f>COUNTIFS([2]InfCualitativo!$B$1:$B$6957,"VERDADERO",[2]InfCualitativo!$E$1:$E$6957,"San Pedro y Libertad",[2]InfCualitativo!$H$1:$H$6957,"rx")</f>
        <v>0</v>
      </c>
      <c r="V39" s="27">
        <f>COUNTIFS([2]InfCualitativo!$B$1:$B$6957,"FALSO",[2]InfCualitativo!$E$1:$E$6957,"San Pedro y Libertad",[2]InfCualitativo!$H$1:$H$6957,"rx")</f>
        <v>0</v>
      </c>
      <c r="W39" s="30">
        <f t="shared" si="10"/>
        <v>0</v>
      </c>
      <c r="X39" s="30">
        <f t="shared" si="11"/>
        <v>0</v>
      </c>
      <c r="Y39" s="27">
        <f>COUNTIFS([2]InfCualitativo!$B$1:$B$6957,"VERDADERO",[2]InfCualitativo!$E$1:$E$6957,"San Pedro y Libertad",[2]InfCualitativo!$H$1:$H$6957,"ecografias")</f>
        <v>0</v>
      </c>
      <c r="Z39" s="27">
        <f>COUNTIFS([2]InfCualitativo!$B$1:$B$6957,"FALSO",[2]InfCualitativo!$E$1:$E$6957,"San Pedro y Libertad",[2]InfCualitativo!$H$1:$H$6957,"ecografias")</f>
        <v>0</v>
      </c>
      <c r="AA39" s="30">
        <f t="shared" si="12"/>
        <v>0</v>
      </c>
      <c r="AB39" s="30">
        <f t="shared" si="13"/>
        <v>0</v>
      </c>
      <c r="AC39" s="27">
        <f>COUNTIFS([2]InfCualitativo!$B$1:$B$6957,"VERDADERO",[2]InfCualitativo!$E$1:$E$6957,"San Pedro y Libertad",[2]InfCualitativo!$H$1:$H$6957,"urgencia")</f>
        <v>0</v>
      </c>
      <c r="AD39" s="27">
        <f>COUNTIFS([2]InfCualitativo!$B$1:$B$6957,"FALSO",[2]InfCualitativo!$E$1:$E$6957,"San Pedro y Libertad",[2]InfCualitativo!$H$1:$H$6957,"urgencia")</f>
        <v>0</v>
      </c>
      <c r="AE39" s="30">
        <f t="shared" si="14"/>
        <v>0</v>
      </c>
      <c r="AF39" s="30">
        <f t="shared" si="15"/>
        <v>0</v>
      </c>
      <c r="AG39" s="27">
        <f>COUNTIFS([2]InfCualitativo!$B$1:$B$6957,"VERDADERO",[2]InfCualitativo!$E$1:$E$6957,"San Pedro y Libertad",[2]InfCualitativo!$H$1:$H$6957,"pediatria")</f>
        <v>0</v>
      </c>
      <c r="AH39" s="27">
        <f>COUNTIFS([2]InfCualitativo!$B$1:$B$6957,"FALSO",[2]InfCualitativo!$E$1:$E$6957,"San Pedro y Libertad",[2]InfCualitativo!$H$1:$H$6957,"pediatria")</f>
        <v>0</v>
      </c>
      <c r="AI39" s="30">
        <f t="shared" si="16"/>
        <v>0</v>
      </c>
      <c r="AJ39" s="30">
        <f t="shared" si="17"/>
        <v>0</v>
      </c>
      <c r="AK39" s="27">
        <f>COUNTIFS([2]InfCualitativo!$B$1:$B$6957,"VERDADERO",[2]InfCualitativo!$E$1:$E$6957,"San Pedro y Libertad",[2]InfCualitativo!$H$1:$H$6957,"medicina_interna")</f>
        <v>0</v>
      </c>
      <c r="AL39" s="27">
        <f>COUNTIFS([2]InfCualitativo!$B$1:$B$6957,"FALSO",[2]InfCualitativo!$E$1:$E$6957,"San Pedro y Libertad",[2]InfCualitativo!$H$1:$H$6957,"medicina_interna")</f>
        <v>0</v>
      </c>
      <c r="AM39" s="30">
        <f t="shared" si="18"/>
        <v>0</v>
      </c>
      <c r="AN39" s="30">
        <f t="shared" si="19"/>
        <v>0</v>
      </c>
      <c r="AO39" s="27">
        <f>COUNTIFS([2]InfCualitativo!$B$1:$B$6957,"VERDADERO",[2]InfCualitativo!$E$1:$E$6957,"San Pedro y Libertad",[2]InfCualitativo!$H$1:$H$6957,"ginecologia")</f>
        <v>0</v>
      </c>
      <c r="AP39" s="27">
        <f>COUNTIFS([2]InfCualitativo!$B$1:$B$6957,"FALSO",[2]InfCualitativo!$E$1:$E$6957,"San Pedro y Libertad",[2]InfCualitativo!$H$1:$H$6957,"ginecologia")</f>
        <v>0</v>
      </c>
      <c r="AQ39" s="30">
        <f t="shared" si="20"/>
        <v>0</v>
      </c>
      <c r="AR39" s="30">
        <f t="shared" si="21"/>
        <v>0</v>
      </c>
      <c r="AS39" s="27">
        <f t="shared" si="22"/>
        <v>101</v>
      </c>
      <c r="AT39" s="27">
        <f t="shared" si="22"/>
        <v>38</v>
      </c>
      <c r="AU39" s="32">
        <f t="shared" si="23"/>
        <v>0.72661870503597126</v>
      </c>
      <c r="AV39" s="32">
        <f t="shared" si="24"/>
        <v>0.2733812949640288</v>
      </c>
    </row>
    <row r="40" spans="1:48" ht="18.75" x14ac:dyDescent="0.3">
      <c r="A40" s="26" t="s">
        <v>60</v>
      </c>
      <c r="B40" s="27">
        <v>140</v>
      </c>
      <c r="C40" s="27">
        <f t="shared" si="1"/>
        <v>134</v>
      </c>
      <c r="D40" s="28">
        <f t="shared" si="0"/>
        <v>95.714285714285708</v>
      </c>
      <c r="E40" s="29">
        <f>COUNTIFS([2]InfCualitativo!$B$1:$B$6957,"VERDADERO",[2]InfCualitativo!$E$1:$E$6957,"San Vicente de Paul",[2]InfCualitativo!$H$1:$H$6957,"consulta_externa")</f>
        <v>44</v>
      </c>
      <c r="F40" s="29">
        <f>COUNTIFS([2]InfCualitativo!$B$1:$B$6957,"FALSO",[2]InfCualitativo!$E$1:$E$6957,"San Vicente de Paul",[2]InfCualitativo!$H$1:$H$6957,"consulta_externa")</f>
        <v>3</v>
      </c>
      <c r="G40" s="30">
        <f t="shared" si="2"/>
        <v>0.93617021276595747</v>
      </c>
      <c r="H40" s="30">
        <f t="shared" si="3"/>
        <v>6.3829787234042548E-2</v>
      </c>
      <c r="I40" s="27">
        <f>COUNTIFS([2]InfCualitativo!$B$1:$B$6957,"VERDADERO",[2]InfCualitativo!$E$1:$E$6957,"San Vicente de Paul",[2]InfCualitativo!$H$1:$H$6957,"salud_oral")</f>
        <v>39</v>
      </c>
      <c r="J40" s="27">
        <f>COUNTIFS([2]InfCualitativo!$B$1:$B$6957,"FALSO",[2]InfCualitativo!$E$1:$E$6957,"San Vicente de Paul",[2]InfCualitativo!$H$1:$H$6957,"salud_oral")</f>
        <v>2</v>
      </c>
      <c r="K40" s="30">
        <f t="shared" si="4"/>
        <v>0.95121951219512191</v>
      </c>
      <c r="L40" s="30">
        <f t="shared" si="5"/>
        <v>4.878048780487805E-2</v>
      </c>
      <c r="M40" s="27">
        <f>COUNTIFS([2]InfCualitativo!$B$1:$B$6957,"VERDADERO",[2]InfCualitativo!$E$1:$E$6957,"San Vicente de Paul",[2]InfCualitativo!$H$1:$H$6957,"laboratorio")</f>
        <v>46</v>
      </c>
      <c r="N40" s="27">
        <f>COUNTIFS([2]InfCualitativo!$B$1:$B$6957,"FALSO",[2]InfCualitativo!$E$1:$E$6957,"San Vicente de Paul",[2]InfCualitativo!$H$1:$H$6957,"laboratorio")</f>
        <v>0</v>
      </c>
      <c r="O40" s="30">
        <f t="shared" si="6"/>
        <v>1</v>
      </c>
      <c r="P40" s="31">
        <f t="shared" si="7"/>
        <v>0</v>
      </c>
      <c r="Q40" s="27">
        <f>COUNTIFS([2]InfCualitativo!$B$1:$B$6957,"VERDADERO",[2]InfCualitativo!$E$1:$E$6957,"San Vicente de Paul",[2]InfCualitativo!$H$1:$H$6957,"electros")</f>
        <v>0</v>
      </c>
      <c r="R40" s="27">
        <f>COUNTIFS([2]InfCualitativo!$B$1:$B$6957,"FALSO",[2]InfCualitativo!$E$1:$E$6957,"San Vicente de Paul",[2]InfCualitativo!$H$1:$H$6957,"electros")</f>
        <v>0</v>
      </c>
      <c r="S40" s="30">
        <f t="shared" si="8"/>
        <v>0</v>
      </c>
      <c r="T40" s="30">
        <f t="shared" si="9"/>
        <v>0</v>
      </c>
      <c r="U40" s="27">
        <f>COUNTIFS([2]InfCualitativo!$B$1:$B$6957,"VERDADERO",[2]InfCualitativo!$E$1:$E$6957,"San Vicente de Paul",[2]InfCualitativo!$H$1:$H$6957,"rx")</f>
        <v>0</v>
      </c>
      <c r="V40" s="27">
        <f>COUNTIFS([2]InfCualitativo!$B$1:$B$6957,"FALSO",[2]InfCualitativo!$E$1:$E$6957,"San Vicente de Paul",[2]InfCualitativo!$H$1:$H$6957,"rx")</f>
        <v>0</v>
      </c>
      <c r="W40" s="30">
        <f t="shared" si="10"/>
        <v>0</v>
      </c>
      <c r="X40" s="30">
        <f t="shared" si="11"/>
        <v>0</v>
      </c>
      <c r="Y40" s="27">
        <f>COUNTIFS([2]InfCualitativo!$B$1:$B$6957,"VERDADERO",[2]InfCualitativo!$E$1:$E$6957,"San Vicente de Paul",[2]InfCualitativo!$H$1:$H$6957,"ecografias")</f>
        <v>0</v>
      </c>
      <c r="Z40" s="27">
        <f>COUNTIFS([2]InfCualitativo!$B$1:$B$6957,"FALSO",[2]InfCualitativo!$E$1:$E$6957,"San Vicente de Paul",[2]InfCualitativo!$H$1:$H$6957,"ecografias")</f>
        <v>0</v>
      </c>
      <c r="AA40" s="30">
        <f t="shared" si="12"/>
        <v>0</v>
      </c>
      <c r="AB40" s="30">
        <f t="shared" si="13"/>
        <v>0</v>
      </c>
      <c r="AC40" s="27">
        <f>COUNTIFS([2]InfCualitativo!$B$1:$B$6957,"VERDADERO",[2]InfCualitativo!$E$1:$E$6957,"San Vicente de Paul",[2]InfCualitativo!$H$1:$H$6957,"urgencia")</f>
        <v>0</v>
      </c>
      <c r="AD40" s="27">
        <f>COUNTIFS([2]InfCualitativo!$B$1:$B$6957,"FALSO",[2]InfCualitativo!$E$1:$E$6957,"San Vicente de Paul",[2]InfCualitativo!$H$1:$H$6957,"urgencia")</f>
        <v>0</v>
      </c>
      <c r="AE40" s="30">
        <f t="shared" si="14"/>
        <v>0</v>
      </c>
      <c r="AF40" s="30">
        <f t="shared" si="15"/>
        <v>0</v>
      </c>
      <c r="AG40" s="27">
        <f>COUNTIFS([2]InfCualitativo!$B$1:$B$6957,"VERDADERO",[2]InfCualitativo!$E$1:$E$6957,"San Vicente de Paul",[2]InfCualitativo!$H$1:$H$6957,"pediatria")</f>
        <v>0</v>
      </c>
      <c r="AH40" s="27">
        <f>COUNTIFS([2]InfCualitativo!$B$1:$B$6957,"FALSO",[2]InfCualitativo!$E$1:$E$6957,"San Vicente de Paul",[2]InfCualitativo!$H$1:$H$6957,"pediatria")</f>
        <v>0</v>
      </c>
      <c r="AI40" s="30">
        <f t="shared" si="16"/>
        <v>0</v>
      </c>
      <c r="AJ40" s="30">
        <f t="shared" si="17"/>
        <v>0</v>
      </c>
      <c r="AK40" s="27">
        <f>COUNTIFS([2]InfCualitativo!$B$1:$B$6957,"VERDADERO",[2]InfCualitativo!$E$1:$E$6957,"San Vicente de Paul",[2]InfCualitativo!$H$1:$H$6957,"medicina_interna")</f>
        <v>0</v>
      </c>
      <c r="AL40" s="27">
        <f>COUNTIFS([2]InfCualitativo!$B$1:$B$6957,"FALSO",[2]InfCualitativo!$E$1:$E$6957,"San Vicente de Paul",[2]InfCualitativo!$H$1:$H$6957,"medicina_interna")</f>
        <v>0</v>
      </c>
      <c r="AM40" s="30">
        <f t="shared" si="18"/>
        <v>0</v>
      </c>
      <c r="AN40" s="30">
        <f t="shared" si="19"/>
        <v>0</v>
      </c>
      <c r="AO40" s="27">
        <f>COUNTIFS([2]InfCualitativo!$B$1:$B$6957,"VERDADERO",[2]InfCualitativo!$E$1:$E$6957,"San Vicente de Paul",[2]InfCualitativo!$H$1:$H$6957,"ginecologia")</f>
        <v>0</v>
      </c>
      <c r="AP40" s="27">
        <f>COUNTIFS([2]InfCualitativo!$B$1:$B$6957,"FALSO",[2]InfCualitativo!$E$1:$E$6957,"San Vicente de Paul",[2]InfCualitativo!$H$1:$H$6957,"ginecologia")</f>
        <v>0</v>
      </c>
      <c r="AQ40" s="30">
        <f t="shared" si="20"/>
        <v>0</v>
      </c>
      <c r="AR40" s="30">
        <f t="shared" si="21"/>
        <v>0</v>
      </c>
      <c r="AS40" s="27">
        <f t="shared" si="22"/>
        <v>129</v>
      </c>
      <c r="AT40" s="27">
        <f t="shared" si="22"/>
        <v>5</v>
      </c>
      <c r="AU40" s="32">
        <f t="shared" si="23"/>
        <v>0.96268656716417911</v>
      </c>
      <c r="AV40" s="32">
        <f t="shared" si="24"/>
        <v>3.7313432835820892E-2</v>
      </c>
    </row>
    <row r="41" spans="1:48" ht="18.75" x14ac:dyDescent="0.3">
      <c r="A41" s="26" t="s">
        <v>61</v>
      </c>
      <c r="B41" s="27">
        <v>134</v>
      </c>
      <c r="C41" s="27">
        <f t="shared" si="1"/>
        <v>134</v>
      </c>
      <c r="D41" s="28">
        <f t="shared" si="0"/>
        <v>100</v>
      </c>
      <c r="E41" s="29">
        <f>COUNTIFS([2]InfCualitativo!$B$1:$B$6957,"VERDADERO",[2]InfCualitativo!$E$1:$E$6957,"Socorro",[2]InfCualitativo!$H$1:$H$6957,"consulta_externa")</f>
        <v>37</v>
      </c>
      <c r="F41" s="29">
        <f>COUNTIFS([2]InfCualitativo!$B$1:$B$6957,"FALSO",[2]InfCualitativo!$E$1:$E$6957,"Socorro",[2]InfCualitativo!$H$1:$H$6957,"consulta_externa")</f>
        <v>0</v>
      </c>
      <c r="G41" s="30">
        <f t="shared" si="2"/>
        <v>1</v>
      </c>
      <c r="H41" s="30">
        <f t="shared" si="3"/>
        <v>0</v>
      </c>
      <c r="I41" s="27">
        <f>COUNTIFS([2]InfCualitativo!$B$1:$B$6957,"VERDADERO",[2]InfCualitativo!$E$1:$E$6957,"Socorro",[2]InfCualitativo!$H$1:$H$6957,"salud_oral")</f>
        <v>37</v>
      </c>
      <c r="J41" s="27">
        <f>COUNTIFS([2]InfCualitativo!$B$1:$B$6957,"FALSO",[2]InfCualitativo!$E$1:$E$6957,"Socorro",[2]InfCualitativo!$H$1:$H$6957,"salud_oral")</f>
        <v>0</v>
      </c>
      <c r="K41" s="30">
        <f t="shared" si="4"/>
        <v>1</v>
      </c>
      <c r="L41" s="30">
        <f t="shared" si="5"/>
        <v>0</v>
      </c>
      <c r="M41" s="27">
        <f>COUNTIFS([2]InfCualitativo!$B$1:$B$6957,"VERDADERO",[2]InfCualitativo!$E$1:$E$6957,"Socorro",[2]InfCualitativo!$H$1:$H$6957,"laboratorio")</f>
        <v>36</v>
      </c>
      <c r="N41" s="27">
        <f>COUNTIFS([2]InfCualitativo!$B$1:$B$6957,"FALSO",[2]InfCualitativo!$E$1:$E$6957,"Socorro",[2]InfCualitativo!$H$1:$H$6957,"laboratorio")</f>
        <v>0</v>
      </c>
      <c r="O41" s="30">
        <f t="shared" si="6"/>
        <v>1</v>
      </c>
      <c r="P41" s="31">
        <f t="shared" si="7"/>
        <v>0</v>
      </c>
      <c r="Q41" s="27">
        <f>COUNTIFS([2]InfCualitativo!$B$1:$B$6957,"VERDADERO",[2]InfCualitativo!$E$1:$E$6957,"Socorro",[2]InfCualitativo!$H$1:$H$6957,"electros")</f>
        <v>0</v>
      </c>
      <c r="R41" s="27">
        <f>COUNTIFS([2]InfCualitativo!$B$1:$B$6957,"FALSO",[2]InfCualitativo!$E$1:$E$6957,"Socorro",[2]InfCualitativo!$H$1:$H$6957,"electros")</f>
        <v>0</v>
      </c>
      <c r="S41" s="30">
        <f t="shared" si="8"/>
        <v>0</v>
      </c>
      <c r="T41" s="30">
        <f t="shared" si="9"/>
        <v>0</v>
      </c>
      <c r="U41" s="27">
        <f>COUNTIFS([2]InfCualitativo!$B$1:$B$6957,"VERDADERO",[2]InfCualitativo!$E$1:$E$6957,"Socorro",[2]InfCualitativo!$H$1:$H$6957,"rx")</f>
        <v>0</v>
      </c>
      <c r="V41" s="27">
        <f>COUNTIFS([2]InfCualitativo!$B$1:$B$6957,"FALSO",[2]InfCualitativo!$E$1:$E$6957,"Socorro",[2]InfCualitativo!$H$1:$H$6957,"rx")</f>
        <v>0</v>
      </c>
      <c r="W41" s="30">
        <f t="shared" si="10"/>
        <v>0</v>
      </c>
      <c r="X41" s="30">
        <f t="shared" si="11"/>
        <v>0</v>
      </c>
      <c r="Y41" s="27">
        <f>COUNTIFS([2]InfCualitativo!$B$1:$B$6957,"VERDADERO",[2]InfCualitativo!$E$1:$E$6957,"Socorro",[2]InfCualitativo!$H$1:$H$6957,"ecografias")</f>
        <v>24</v>
      </c>
      <c r="Z41" s="27">
        <f>COUNTIFS([2]InfCualitativo!$B$1:$B$6957,"FALSO",[2]InfCualitativo!$E$1:$E$6957,"Socorro",[2]InfCualitativo!$H$1:$H$6957,"ecografias")</f>
        <v>0</v>
      </c>
      <c r="AA41" s="30">
        <f t="shared" si="12"/>
        <v>1</v>
      </c>
      <c r="AB41" s="30">
        <f t="shared" si="13"/>
        <v>0</v>
      </c>
      <c r="AC41" s="27">
        <f>COUNTIFS([2]InfCualitativo!$B$1:$B$6957,"VERDADERO",[2]InfCualitativo!$E$1:$E$6957,"Socorro",[2]InfCualitativo!$H$1:$H$6957,"urgencia")</f>
        <v>0</v>
      </c>
      <c r="AD41" s="27">
        <f>COUNTIFS([2]InfCualitativo!$B$1:$B$6957,"FALSO",[2]InfCualitativo!$E$1:$E$6957,"Socorro",[2]InfCualitativo!$H$1:$H$6957,"urgencia")</f>
        <v>0</v>
      </c>
      <c r="AE41" s="30">
        <f t="shared" si="14"/>
        <v>0</v>
      </c>
      <c r="AF41" s="30">
        <f t="shared" si="15"/>
        <v>0</v>
      </c>
      <c r="AG41" s="27">
        <f>COUNTIFS([2]InfCualitativo!$B$1:$B$6957,"VERDADERO",[2]InfCualitativo!$E$1:$E$6957,"Socorro",[2]InfCualitativo!$H$1:$H$6957,"pediatria")</f>
        <v>0</v>
      </c>
      <c r="AH41" s="27">
        <f>COUNTIFS([2]InfCualitativo!$B$1:$B$6957,"FALSO",[2]InfCualitativo!$E$1:$E$6957,"Socorro",[2]InfCualitativo!$H$1:$H$6957,"pediatria")</f>
        <v>0</v>
      </c>
      <c r="AI41" s="30">
        <f t="shared" si="16"/>
        <v>0</v>
      </c>
      <c r="AJ41" s="30">
        <f t="shared" si="17"/>
        <v>0</v>
      </c>
      <c r="AK41" s="27">
        <f>COUNTIFS([2]InfCualitativo!$B$1:$B$6957,"VERDADERO",[2]InfCualitativo!$E$1:$E$6957,"Socorro",[2]InfCualitativo!$H$1:$H$6957,"medicina_interna")</f>
        <v>0</v>
      </c>
      <c r="AL41" s="27">
        <f>COUNTIFS([2]InfCualitativo!$B$1:$B$6957,"FALSO",[2]InfCualitativo!$E$1:$E$6957,"Socorro",[2]InfCualitativo!$H$1:$H$6957,"medicina_interna")</f>
        <v>0</v>
      </c>
      <c r="AM41" s="30">
        <f t="shared" si="18"/>
        <v>0</v>
      </c>
      <c r="AN41" s="30">
        <f t="shared" si="19"/>
        <v>0</v>
      </c>
      <c r="AO41" s="27">
        <f>COUNTIFS([2]InfCualitativo!$B$1:$B$6957,"VERDADERO",[2]InfCualitativo!$E$1:$E$6957,"Socorro",[2]InfCualitativo!$H$1:$H$6957,"ginecologia")</f>
        <v>0</v>
      </c>
      <c r="AP41" s="27">
        <f>COUNTIFS([2]InfCualitativo!$B$1:$B$6957,"FALSO",[2]InfCualitativo!$E$1:$E$6957,"Socorro",[2]InfCualitativo!$H$1:$H$6957,"ginecologia")</f>
        <v>0</v>
      </c>
      <c r="AQ41" s="30">
        <f t="shared" si="20"/>
        <v>0</v>
      </c>
      <c r="AR41" s="30">
        <f t="shared" si="21"/>
        <v>0</v>
      </c>
      <c r="AS41" s="27">
        <f t="shared" si="22"/>
        <v>134</v>
      </c>
      <c r="AT41" s="27">
        <f t="shared" si="22"/>
        <v>0</v>
      </c>
      <c r="AU41" s="32">
        <f t="shared" si="23"/>
        <v>1</v>
      </c>
      <c r="AV41" s="32">
        <f t="shared" si="24"/>
        <v>0</v>
      </c>
    </row>
    <row r="42" spans="1:48" ht="18.75" x14ac:dyDescent="0.3">
      <c r="A42" s="26" t="s">
        <v>62</v>
      </c>
      <c r="B42" s="27">
        <v>108</v>
      </c>
      <c r="C42" s="27">
        <f t="shared" si="1"/>
        <v>108</v>
      </c>
      <c r="D42" s="28">
        <f t="shared" si="0"/>
        <v>100</v>
      </c>
      <c r="E42" s="29">
        <f>COUNTIFS([2]InfCualitativo!$B$1:$B$6957,"VERDADERO",[2]InfCualitativo!$E$1:$E$6957,"Ternera",[2]InfCualitativo!$H$1:$H$6957,"consulta_externa")</f>
        <v>39</v>
      </c>
      <c r="F42" s="29">
        <f>COUNTIFS([2]InfCualitativo!$B$1:$B$6957,"FALSO",[2]InfCualitativo!$E$1:$E$6957,"Ternera",[2]InfCualitativo!$H$1:$H$6957,"consulta_externa")</f>
        <v>0</v>
      </c>
      <c r="G42" s="30">
        <f t="shared" si="2"/>
        <v>1</v>
      </c>
      <c r="H42" s="30">
        <f t="shared" si="3"/>
        <v>0</v>
      </c>
      <c r="I42" s="27">
        <f>COUNTIFS([2]InfCualitativo!$B$1:$B$6957,"VERDADERO",[2]InfCualitativo!$E$1:$E$6957,"Ternera",[2]InfCualitativo!$H$1:$H$6957,"salud_oral")</f>
        <v>35</v>
      </c>
      <c r="J42" s="27">
        <f>COUNTIFS([2]InfCualitativo!$B$1:$B$6957,"FALSO",[2]InfCualitativo!$E$1:$E$6957,"Ternera",[2]InfCualitativo!$H$1:$H$6957,"salud_oral")</f>
        <v>0</v>
      </c>
      <c r="K42" s="30">
        <f t="shared" si="4"/>
        <v>1</v>
      </c>
      <c r="L42" s="30">
        <f t="shared" si="5"/>
        <v>0</v>
      </c>
      <c r="M42" s="27">
        <f>COUNTIFS([2]InfCualitativo!$B$1:$B$6957,"VERDADERO",[2]InfCualitativo!$E$1:$E$6957,"Ternera",[2]InfCualitativo!$H$1:$H$6957,"laboratorio")</f>
        <v>34</v>
      </c>
      <c r="N42" s="27">
        <f>COUNTIFS([2]InfCualitativo!$B$1:$B$6957,"FALSO",[2]InfCualitativo!$E$1:$E$6957,"Ternera",[2]InfCualitativo!$H$1:$H$6957,"laboratorio")</f>
        <v>0</v>
      </c>
      <c r="O42" s="30">
        <f t="shared" si="6"/>
        <v>1</v>
      </c>
      <c r="P42" s="31">
        <f t="shared" si="7"/>
        <v>0</v>
      </c>
      <c r="Q42" s="27">
        <f>COUNTIFS([2]InfCualitativo!$B$1:$B$6957,"VERDADERO",[2]InfCualitativo!$E$1:$E$6957,"Ternera",[2]InfCualitativo!$H$1:$H$6957,"electros")</f>
        <v>0</v>
      </c>
      <c r="R42" s="27">
        <f>COUNTIFS([2]InfCualitativo!$B$1:$B$6957,"FALSO",[2]InfCualitativo!$E$1:$E$6957,"Ternera",[2]InfCualitativo!$H$1:$H$6957,"electros")</f>
        <v>0</v>
      </c>
      <c r="S42" s="30">
        <f t="shared" si="8"/>
        <v>0</v>
      </c>
      <c r="T42" s="30">
        <f t="shared" si="9"/>
        <v>0</v>
      </c>
      <c r="U42" s="27">
        <f>COUNTIFS([2]InfCualitativo!$B$1:$B$6957,"VERDADERO",[2]InfCualitativo!$E$1:$E$6957,"Ternera",[2]InfCualitativo!$H$1:$H$6957,"rx")</f>
        <v>0</v>
      </c>
      <c r="V42" s="27">
        <f>COUNTIFS([2]InfCualitativo!$B$1:$B$6957,"FALSO",[2]InfCualitativo!$E$1:$E$6957,"Ternera",[2]InfCualitativo!$H$1:$H$6957,"rx")</f>
        <v>0</v>
      </c>
      <c r="W42" s="30">
        <f t="shared" si="10"/>
        <v>0</v>
      </c>
      <c r="X42" s="30">
        <f t="shared" si="11"/>
        <v>0</v>
      </c>
      <c r="Y42" s="27">
        <f>COUNTIFS([2]InfCualitativo!$B$1:$B$6957,"VERDADERO",[2]InfCualitativo!$E$1:$E$6957,"Ternera",[2]InfCualitativo!$H$1:$H$6957,"ecografias")</f>
        <v>0</v>
      </c>
      <c r="Z42" s="27">
        <f>COUNTIFS([2]InfCualitativo!$B$1:$B$6957,"FALSO",[2]InfCualitativo!$E$1:$E$6957,"Ternera",[2]InfCualitativo!$H$1:$H$6957,"ecografias")</f>
        <v>0</v>
      </c>
      <c r="AA42" s="30">
        <f t="shared" si="12"/>
        <v>0</v>
      </c>
      <c r="AB42" s="30">
        <f t="shared" si="13"/>
        <v>0</v>
      </c>
      <c r="AC42" s="27">
        <f>COUNTIFS([2]InfCualitativo!$B$1:$B$6957,"VERDADERO",[2]InfCualitativo!$E$1:$E$6957,"Ternera",[2]InfCualitativo!$H$1:$H$6957,"urgencia")</f>
        <v>0</v>
      </c>
      <c r="AD42" s="27">
        <f>COUNTIFS([2]InfCualitativo!$B$1:$B$6957,"FALSO",[2]InfCualitativo!$E$1:$E$6957,"Ternera",[2]InfCualitativo!$H$1:$H$6957,"urgencia")</f>
        <v>0</v>
      </c>
      <c r="AE42" s="30">
        <f t="shared" si="14"/>
        <v>0</v>
      </c>
      <c r="AF42" s="30">
        <f t="shared" si="15"/>
        <v>0</v>
      </c>
      <c r="AG42" s="27">
        <f>COUNTIFS([2]InfCualitativo!$B$1:$B$6957,"VERDADERO",[2]InfCualitativo!$E$1:$E$6957,"Ternera",[2]InfCualitativo!$H$1:$H$6957,"pediatria")</f>
        <v>0</v>
      </c>
      <c r="AH42" s="27">
        <f>COUNTIFS([2]InfCualitativo!$B$1:$B$6957,"FALSO",[2]InfCualitativo!$E$1:$E$6957,"Ternera",[2]InfCualitativo!$H$1:$H$6957,"pediatria")</f>
        <v>0</v>
      </c>
      <c r="AI42" s="30">
        <f t="shared" si="16"/>
        <v>0</v>
      </c>
      <c r="AJ42" s="30">
        <f t="shared" si="17"/>
        <v>0</v>
      </c>
      <c r="AK42" s="27">
        <f>COUNTIFS([2]InfCualitativo!$B$1:$B$6957,"VERDADERO",[2]InfCualitativo!$E$1:$E$6957,"Ternera",[2]InfCualitativo!$H$1:$H$6957,"medicina_interna")</f>
        <v>0</v>
      </c>
      <c r="AL42" s="27">
        <f>COUNTIFS([2]InfCualitativo!$B$1:$B$6957,"FALSO",[2]InfCualitativo!$E$1:$E$6957,"Ternera",[2]InfCualitativo!$H$1:$H$6957,"medicina_interna")</f>
        <v>0</v>
      </c>
      <c r="AM42" s="30">
        <f t="shared" si="18"/>
        <v>0</v>
      </c>
      <c r="AN42" s="30">
        <f t="shared" si="19"/>
        <v>0</v>
      </c>
      <c r="AO42" s="27">
        <f>COUNTIFS([2]InfCualitativo!$B$1:$B$6957,"VERDADERO",[2]InfCualitativo!$E$1:$E$6957,"Ternera",[2]InfCualitativo!$H$1:$H$6957,"ginecologia")</f>
        <v>0</v>
      </c>
      <c r="AP42" s="27">
        <f>COUNTIFS([2]InfCualitativo!$B$1:$B$6957,"FALSO",[2]InfCualitativo!$E$1:$E$6957,"Ternera",[2]InfCualitativo!$H$1:$H$6957,"ginecologia")</f>
        <v>0</v>
      </c>
      <c r="AQ42" s="30">
        <f t="shared" si="20"/>
        <v>0</v>
      </c>
      <c r="AR42" s="30">
        <f t="shared" si="21"/>
        <v>0</v>
      </c>
      <c r="AS42" s="27">
        <f t="shared" si="22"/>
        <v>108</v>
      </c>
      <c r="AT42" s="27">
        <f t="shared" si="22"/>
        <v>0</v>
      </c>
      <c r="AU42" s="32">
        <f t="shared" si="23"/>
        <v>1</v>
      </c>
      <c r="AV42" s="32">
        <f t="shared" si="24"/>
        <v>0</v>
      </c>
    </row>
    <row r="43" spans="1:48" ht="18.75" x14ac:dyDescent="0.3">
      <c r="A43" s="26" t="s">
        <v>63</v>
      </c>
      <c r="B43" s="27">
        <v>96</v>
      </c>
      <c r="C43" s="27">
        <f t="shared" si="1"/>
        <v>94</v>
      </c>
      <c r="D43" s="28">
        <f t="shared" si="0"/>
        <v>97.916666666666671</v>
      </c>
      <c r="E43" s="29">
        <f>COUNTIFS([2]InfCualitativo!$B$1:$B$6957,"VERDADERO",[2]InfCualitativo!$E$1:$E$6957,"Tierra Baja",[2]InfCualitativo!$H$1:$H$6957,"consulta_externa")</f>
        <v>32</v>
      </c>
      <c r="F43" s="29">
        <f>COUNTIFS([2]InfCualitativo!$B$1:$B$6957,"FALSO",[2]InfCualitativo!$E$1:$E$6957,"Tierra Baja",[2]InfCualitativo!$H$1:$H$6957,"consulta_externa")</f>
        <v>0</v>
      </c>
      <c r="G43" s="30">
        <f t="shared" si="2"/>
        <v>1</v>
      </c>
      <c r="H43" s="30">
        <f t="shared" si="3"/>
        <v>0</v>
      </c>
      <c r="I43" s="27">
        <f>COUNTIFS([2]InfCualitativo!$B$1:$B$6957,"VERDADERO",[2]InfCualitativo!$E$1:$E$6957,"Tierra Baja",[2]InfCualitativo!$H$1:$H$6957,"salud_oral")</f>
        <v>30</v>
      </c>
      <c r="J43" s="27">
        <f>COUNTIFS([2]InfCualitativo!$B$1:$B$6957,"FALSO",[2]InfCualitativo!$E$1:$E$6957,"Tierra Baja",[2]InfCualitativo!$H$1:$H$6957,"salud_oral")</f>
        <v>0</v>
      </c>
      <c r="K43" s="30">
        <f t="shared" si="4"/>
        <v>1</v>
      </c>
      <c r="L43" s="30">
        <f t="shared" si="5"/>
        <v>0</v>
      </c>
      <c r="M43" s="27">
        <f>COUNTIFS([2]InfCualitativo!$B$1:$B$6957,"VERDADERO",[2]InfCualitativo!$E$1:$E$6957,"Tierra Baja",[2]InfCualitativo!$H$1:$H$6957,"laboratorio")</f>
        <v>30</v>
      </c>
      <c r="N43" s="27">
        <f>COUNTIFS([2]InfCualitativo!$B$1:$B$6957,"FALSO",[2]InfCualitativo!$E$1:$E$6957,"Tierra Baja",[2]InfCualitativo!$H$1:$H$6957,"laboratorio")</f>
        <v>2</v>
      </c>
      <c r="O43" s="30">
        <f t="shared" si="6"/>
        <v>0.9375</v>
      </c>
      <c r="P43" s="31">
        <f t="shared" si="7"/>
        <v>6.25E-2</v>
      </c>
      <c r="Q43" s="27">
        <f>COUNTIFS([2]InfCualitativo!$B$1:$B$6957,"VERDADERO",[2]InfCualitativo!$E$1:$E$6957,"Tierra Baja",[2]InfCualitativo!$H$1:$H$6957,"electros")</f>
        <v>0</v>
      </c>
      <c r="R43" s="27">
        <f>COUNTIFS([2]InfCualitativo!$B$1:$B$6957,"FALSO",[2]InfCualitativo!$E$1:$E$6957,"Tierra Baja",[2]InfCualitativo!$H$1:$H$6957,"electros")</f>
        <v>0</v>
      </c>
      <c r="S43" s="30">
        <f t="shared" si="8"/>
        <v>0</v>
      </c>
      <c r="T43" s="30">
        <f t="shared" si="9"/>
        <v>0</v>
      </c>
      <c r="U43" s="27">
        <f>COUNTIFS([2]InfCualitativo!$B$1:$B$6957,"VERDADERO",[2]InfCualitativo!$E$1:$E$6957,"Tierra Baja",[2]InfCualitativo!$H$1:$H$6957,"rx")</f>
        <v>0</v>
      </c>
      <c r="V43" s="27">
        <f>COUNTIFS([2]InfCualitativo!$B$1:$B$6957,"FALSO",[2]InfCualitativo!$E$1:$E$6957,"Tierra Baja",[2]InfCualitativo!$H$1:$H$6957,"rx")</f>
        <v>0</v>
      </c>
      <c r="W43" s="30">
        <f t="shared" si="10"/>
        <v>0</v>
      </c>
      <c r="X43" s="30">
        <f t="shared" si="11"/>
        <v>0</v>
      </c>
      <c r="Y43" s="27">
        <f>COUNTIFS([2]InfCualitativo!$B$1:$B$6957,"VERDADERO",[2]InfCualitativo!$E$1:$E$6957,"Tierra Baja",[2]InfCualitativo!$H$1:$H$6957,"ecografias")</f>
        <v>0</v>
      </c>
      <c r="Z43" s="27">
        <f>COUNTIFS([2]InfCualitativo!$B$1:$B$6957,"FALSO",[2]InfCualitativo!$E$1:$E$6957,"Tierra Baja",[2]InfCualitativo!$H$1:$H$6957,"ecografias")</f>
        <v>0</v>
      </c>
      <c r="AA43" s="30">
        <f t="shared" si="12"/>
        <v>0</v>
      </c>
      <c r="AB43" s="30">
        <f t="shared" si="13"/>
        <v>0</v>
      </c>
      <c r="AC43" s="27">
        <f>COUNTIFS([2]InfCualitativo!$B$1:$B$6957,"VERDADERO",[2]InfCualitativo!$E$1:$E$6957,"Tierra Baja",[2]InfCualitativo!$H$1:$H$6957,"urgencia")</f>
        <v>0</v>
      </c>
      <c r="AD43" s="27">
        <f>COUNTIFS([2]InfCualitativo!$B$1:$B$6957,"FALSO",[2]InfCualitativo!$E$1:$E$6957,"Tierra Baja",[2]InfCualitativo!$H$1:$H$6957,"urgencia")</f>
        <v>0</v>
      </c>
      <c r="AE43" s="30">
        <f t="shared" si="14"/>
        <v>0</v>
      </c>
      <c r="AF43" s="30">
        <f t="shared" si="15"/>
        <v>0</v>
      </c>
      <c r="AG43" s="27">
        <f>COUNTIFS([2]InfCualitativo!$B$1:$B$6957,"VERDADERO",[2]InfCualitativo!$E$1:$E$6957,"Tierra Baja",[2]InfCualitativo!$H$1:$H$6957,"pediatria")</f>
        <v>0</v>
      </c>
      <c r="AH43" s="27">
        <f>COUNTIFS([2]InfCualitativo!$B$1:$B$6957,"FALSO",[2]InfCualitativo!$E$1:$E$6957,"Tierra Baja",[2]InfCualitativo!$H$1:$H$6957,"pediatria")</f>
        <v>0</v>
      </c>
      <c r="AI43" s="30">
        <f t="shared" si="16"/>
        <v>0</v>
      </c>
      <c r="AJ43" s="30">
        <f t="shared" si="17"/>
        <v>0</v>
      </c>
      <c r="AK43" s="27">
        <f>COUNTIFS([2]InfCualitativo!$B$1:$B$6957,"VERDADERO",[2]InfCualitativo!$E$1:$E$6957,"Tierra Baja",[2]InfCualitativo!$H$1:$H$6957,"medicina_interna")</f>
        <v>0</v>
      </c>
      <c r="AL43" s="27">
        <f>COUNTIFS([2]InfCualitativo!$B$1:$B$6957,"FALSO",[2]InfCualitativo!$E$1:$E$6957,"Tierra Baja",[2]InfCualitativo!$H$1:$H$6957,"medicina_interna")</f>
        <v>0</v>
      </c>
      <c r="AM43" s="30">
        <f t="shared" si="18"/>
        <v>0</v>
      </c>
      <c r="AN43" s="30">
        <f t="shared" si="19"/>
        <v>0</v>
      </c>
      <c r="AO43" s="27">
        <f>COUNTIFS([2]InfCualitativo!$B$1:$B$6957,"VERDADERO",[2]InfCualitativo!$E$1:$E$6957,"Tierra Baja",[2]InfCualitativo!$H$1:$H$6957,"ginecologia")</f>
        <v>0</v>
      </c>
      <c r="AP43" s="27">
        <f>COUNTIFS([2]InfCualitativo!$B$1:$B$6957,"FALSO",[2]InfCualitativo!$E$1:$E$6957,"Tierra Baja",[2]InfCualitativo!$H$1:$H$6957,"ginecologia")</f>
        <v>0</v>
      </c>
      <c r="AQ43" s="30">
        <f t="shared" si="20"/>
        <v>0</v>
      </c>
      <c r="AR43" s="30">
        <f t="shared" si="21"/>
        <v>0</v>
      </c>
      <c r="AS43" s="27">
        <f t="shared" si="22"/>
        <v>92</v>
      </c>
      <c r="AT43" s="27">
        <f t="shared" si="22"/>
        <v>2</v>
      </c>
      <c r="AU43" s="32">
        <f t="shared" si="23"/>
        <v>0.97872340425531912</v>
      </c>
      <c r="AV43" s="32">
        <f t="shared" si="24"/>
        <v>2.1276595744680851E-2</v>
      </c>
    </row>
    <row r="44" spans="1:48" ht="18.75" x14ac:dyDescent="0.3">
      <c r="A44" s="26" t="s">
        <v>64</v>
      </c>
      <c r="B44" s="27">
        <v>120</v>
      </c>
      <c r="C44" s="27">
        <f t="shared" si="1"/>
        <v>115</v>
      </c>
      <c r="D44" s="28">
        <f t="shared" si="0"/>
        <v>95.833333333333329</v>
      </c>
      <c r="E44" s="29">
        <f>COUNTIFS([2]InfCualitativo!$B$1:$B$6957,"VERDADERO",[2]InfCualitativo!$E$1:$E$6957,"Tierra Bomba",[2]InfCualitativo!$H$1:$H$6957,"consulta_externa")</f>
        <v>41</v>
      </c>
      <c r="F44" s="29">
        <f>COUNTIFS([2]InfCualitativo!$B$1:$B$6957,"FALSO",[2]InfCualitativo!$E$1:$E$6957,"Tierra Bomba",[2]InfCualitativo!$H$1:$H$6957,"consulta_externa")</f>
        <v>3</v>
      </c>
      <c r="G44" s="30">
        <f t="shared" si="2"/>
        <v>0.93181818181818177</v>
      </c>
      <c r="H44" s="30">
        <f t="shared" si="3"/>
        <v>6.8181818181818177E-2</v>
      </c>
      <c r="I44" s="27">
        <f>COUNTIFS([2]InfCualitativo!$B$1:$B$6957,"VERDADERO",[2]InfCualitativo!$E$1:$E$6957,"Tierra Bomba",[2]InfCualitativo!$H$1:$H$6957,"salud_oral")</f>
        <v>29</v>
      </c>
      <c r="J44" s="27">
        <f>COUNTIFS([2]InfCualitativo!$B$1:$B$6957,"FALSO",[2]InfCualitativo!$E$1:$E$6957,"Tierra Bomba",[2]InfCualitativo!$H$1:$H$6957,"salud_oral")</f>
        <v>2</v>
      </c>
      <c r="K44" s="30">
        <f t="shared" si="4"/>
        <v>0.93548387096774188</v>
      </c>
      <c r="L44" s="30">
        <f t="shared" si="5"/>
        <v>6.4516129032258063E-2</v>
      </c>
      <c r="M44" s="27">
        <f>COUNTIFS([2]InfCualitativo!$B$1:$B$6957,"VERDADERO",[2]InfCualitativo!$E$1:$E$6957,"Tierra Bomba",[2]InfCualitativo!$H$1:$H$6957,"laboratorio")</f>
        <v>37</v>
      </c>
      <c r="N44" s="27">
        <f>COUNTIFS([2]InfCualitativo!$B$1:$B$6957,"FALSO",[2]InfCualitativo!$E$1:$E$6957,"Tierra Bomba",[2]InfCualitativo!$H$1:$H$6957,"laboratorio")</f>
        <v>3</v>
      </c>
      <c r="O44" s="30">
        <f t="shared" si="6"/>
        <v>0.92500000000000004</v>
      </c>
      <c r="P44" s="31">
        <f t="shared" si="7"/>
        <v>7.4999999999999997E-2</v>
      </c>
      <c r="Q44" s="27">
        <f>COUNTIFS([2]InfCualitativo!$B$1:$B$6957,"VERDADERO",[2]InfCualitativo!$E$1:$E$6957,"Tierra Bomba",[2]InfCualitativo!$H$1:$H$6957,"electros")</f>
        <v>0</v>
      </c>
      <c r="R44" s="27">
        <f>COUNTIFS([2]InfCualitativo!$B$1:$B$6957,"FALSO",[2]InfCualitativo!$E$1:$E$6957,"Tierra Bomba",[2]InfCualitativo!$H$1:$H$6957,"electros")</f>
        <v>0</v>
      </c>
      <c r="S44" s="30">
        <f t="shared" si="8"/>
        <v>0</v>
      </c>
      <c r="T44" s="30">
        <f t="shared" si="9"/>
        <v>0</v>
      </c>
      <c r="U44" s="27">
        <f>COUNTIFS([2]InfCualitativo!$B$1:$B$6957,"VERDADERO",[2]InfCualitativo!$E$1:$E$6957,"Tierra Bomba",[2]InfCualitativo!$H$1:$H$6957,"rx")</f>
        <v>0</v>
      </c>
      <c r="V44" s="27">
        <f>COUNTIFS([2]InfCualitativo!$B$1:$B$6957,"FALSO",[2]InfCualitativo!$E$1:$E$6957,"Tierra Bomba",[2]InfCualitativo!$H$1:$H$6957,"rx")</f>
        <v>0</v>
      </c>
      <c r="W44" s="30">
        <f t="shared" si="10"/>
        <v>0</v>
      </c>
      <c r="X44" s="30">
        <f t="shared" si="11"/>
        <v>0</v>
      </c>
      <c r="Y44" s="27">
        <f>COUNTIFS([2]InfCualitativo!$B$1:$B$6957,"VERDADERO",[2]InfCualitativo!$E$1:$E$6957,"Tierra Bomba",[2]InfCualitativo!$H$1:$H$6957,"ecografias")</f>
        <v>0</v>
      </c>
      <c r="Z44" s="27">
        <f>COUNTIFS([2]InfCualitativo!$B$1:$B$6957,"FALSO",[2]InfCualitativo!$E$1:$E$6957,"Tierra Bomba",[2]InfCualitativo!$H$1:$H$6957,"ecografias")</f>
        <v>0</v>
      </c>
      <c r="AA44" s="30">
        <f t="shared" si="12"/>
        <v>0</v>
      </c>
      <c r="AB44" s="30">
        <f t="shared" si="13"/>
        <v>0</v>
      </c>
      <c r="AC44" s="27">
        <f>COUNTIFS([2]InfCualitativo!$B$1:$B$6957,"VERDADERO",[2]InfCualitativo!$E$1:$E$6957,"Tierra Bomba",[2]InfCualitativo!$H$1:$H$6957,"urgencia")</f>
        <v>0</v>
      </c>
      <c r="AD44" s="27">
        <f>COUNTIFS([2]InfCualitativo!$B$1:$B$6957,"FALSO",[2]InfCualitativo!$E$1:$E$6957,"Tierra Bomba",[2]InfCualitativo!$H$1:$H$6957,"urgencia")</f>
        <v>0</v>
      </c>
      <c r="AE44" s="30">
        <f t="shared" si="14"/>
        <v>0</v>
      </c>
      <c r="AF44" s="30">
        <f t="shared" si="15"/>
        <v>0</v>
      </c>
      <c r="AG44" s="27">
        <f>COUNTIFS([2]InfCualitativo!$B$1:$B$6957,"VERDADERO",[2]InfCualitativo!$E$1:$E$6957,"Tierra Bomba",[2]InfCualitativo!$H$1:$H$6957,"pediatria")</f>
        <v>0</v>
      </c>
      <c r="AH44" s="27">
        <f>COUNTIFS([2]InfCualitativo!$B$1:$B$6957,"FALSO",[2]InfCualitativo!$E$1:$E$6957,"Tierra Bomba",[2]InfCualitativo!$H$1:$H$6957,"pediatria")</f>
        <v>0</v>
      </c>
      <c r="AI44" s="30">
        <f t="shared" si="16"/>
        <v>0</v>
      </c>
      <c r="AJ44" s="30">
        <f t="shared" si="17"/>
        <v>0</v>
      </c>
      <c r="AK44" s="27">
        <f>COUNTIFS([2]InfCualitativo!$B$1:$B$6957,"VERDADERO",[2]InfCualitativo!$E$1:$E$6957,"Tierra Bomba",[2]InfCualitativo!$H$1:$H$6957,"medicina_interna")</f>
        <v>0</v>
      </c>
      <c r="AL44" s="27">
        <f>COUNTIFS([2]InfCualitativo!$B$1:$B$6957,"FALSO",[2]InfCualitativo!$E$1:$E$6957,"Tierra Bomba",[2]InfCualitativo!$H$1:$H$6957,"medicina_interna")</f>
        <v>0</v>
      </c>
      <c r="AM44" s="30">
        <f t="shared" si="18"/>
        <v>0</v>
      </c>
      <c r="AN44" s="30">
        <f t="shared" si="19"/>
        <v>0</v>
      </c>
      <c r="AO44" s="27">
        <f>COUNTIFS([2]InfCualitativo!$B$1:$B$6957,"VERDADERO",[2]InfCualitativo!$E$1:$E$6957,"Tierra Bomba",[2]InfCualitativo!$H$1:$H$6957,"ginecologia")</f>
        <v>0</v>
      </c>
      <c r="AP44" s="27">
        <f>COUNTIFS([2]InfCualitativo!$B$1:$B$6957,"FALSO",[2]InfCualitativo!$E$1:$E$6957,"Tierra Bomba",[2]InfCualitativo!$H$1:$H$6957,"ginecologia")</f>
        <v>0</v>
      </c>
      <c r="AQ44" s="30">
        <f t="shared" si="20"/>
        <v>0</v>
      </c>
      <c r="AR44" s="30">
        <f t="shared" si="21"/>
        <v>0</v>
      </c>
      <c r="AS44" s="27">
        <f t="shared" si="22"/>
        <v>107</v>
      </c>
      <c r="AT44" s="27">
        <f t="shared" si="22"/>
        <v>8</v>
      </c>
      <c r="AU44" s="32">
        <f t="shared" si="23"/>
        <v>0.93043478260869561</v>
      </c>
      <c r="AV44" s="32">
        <f t="shared" si="24"/>
        <v>6.9565217391304349E-2</v>
      </c>
    </row>
    <row r="45" spans="1:48" ht="18.75" x14ac:dyDescent="0.3">
      <c r="A45" s="26" t="s">
        <v>65</v>
      </c>
      <c r="B45" s="27">
        <v>168</v>
      </c>
      <c r="C45" s="27">
        <f t="shared" si="1"/>
        <v>44</v>
      </c>
      <c r="D45" s="74">
        <f t="shared" si="0"/>
        <v>26.19047619047619</v>
      </c>
      <c r="E45" s="29">
        <f>COUNTIFS([2]InfCualitativo!$B$1:$B$6957,"VERDADERO",[2]InfCualitativo!$E$1:$E$6957,"Baru",[2]InfCualitativo!$H$1:$H$6957,"consulta_externa")</f>
        <v>13</v>
      </c>
      <c r="F45" s="29">
        <f>COUNTIFS([2]InfCualitativo!$B$1:$B$6957,"FALSO",[2]InfCualitativo!$E$1:$E$6957,"Baru",[2]InfCualitativo!$H$1:$H$6957,"consulta_externa")</f>
        <v>0</v>
      </c>
      <c r="G45" s="30">
        <f t="shared" si="2"/>
        <v>1</v>
      </c>
      <c r="H45" s="30">
        <f t="shared" si="3"/>
        <v>0</v>
      </c>
      <c r="I45" s="27">
        <f>COUNTIFS([2]InfCualitativo!$B$1:$B$6957,"VERDADERO",[2]InfCualitativo!$E$1:$E$6957,"Baru",[2]InfCualitativo!$H$1:$H$6957,"salud_oral")</f>
        <v>3</v>
      </c>
      <c r="J45" s="27">
        <f>COUNTIFS([2]InfCualitativo!$B$1:$B$6957,"FALSO",[2]InfCualitativo!$E$1:$E$6957,"Baru",[2]InfCualitativo!$H$1:$H$6957,"salud_oral")</f>
        <v>0</v>
      </c>
      <c r="K45" s="30">
        <f t="shared" si="4"/>
        <v>1</v>
      </c>
      <c r="L45" s="30">
        <f t="shared" si="5"/>
        <v>0</v>
      </c>
      <c r="M45" s="27">
        <f>COUNTIFS([2]InfCualitativo!$B$1:$B$6957,"VERDADERO",[2]InfCualitativo!$E$1:$E$6957,"Baru",[2]InfCualitativo!$H$1:$H$6957,"laboratorio")</f>
        <v>13</v>
      </c>
      <c r="N45" s="27">
        <f>COUNTIFS([2]InfCualitativo!$B$1:$B$6957,"FALSO",[2]InfCualitativo!$E$1:$E$6957,"Baru",[2]InfCualitativo!$H$1:$H$6957,"laboratorio")</f>
        <v>0</v>
      </c>
      <c r="O45" s="30">
        <f t="shared" si="6"/>
        <v>1</v>
      </c>
      <c r="P45" s="31">
        <f t="shared" si="7"/>
        <v>0</v>
      </c>
      <c r="Q45" s="27">
        <f>COUNTIFS([2]InfCualitativo!$B$1:$B$6957,"VERDADERO",[2]InfCualitativo!$E$1:$E$6957,"Baru",[2]InfCualitativo!$H$1:$H$6957,"electros")</f>
        <v>0</v>
      </c>
      <c r="R45" s="27">
        <f>COUNTIFS([2]InfCualitativo!$B$1:$B$6957,"FALSO",[2]InfCualitativo!$E$1:$E$6957,"Baru",[2]InfCualitativo!$H$1:$H$6957,"electros")</f>
        <v>0</v>
      </c>
      <c r="S45" s="30">
        <f t="shared" si="8"/>
        <v>0</v>
      </c>
      <c r="T45" s="30">
        <f t="shared" si="9"/>
        <v>0</v>
      </c>
      <c r="U45" s="27">
        <f>COUNTIFS([2]InfCualitativo!$B$1:$B$6957,"VERDADERO",[2]InfCualitativo!$E$1:$E$6957,"Baru",[2]InfCualitativo!$H$1:$H$6957,"rx")</f>
        <v>0</v>
      </c>
      <c r="V45" s="27">
        <f>COUNTIFS([2]InfCualitativo!$B$1:$B$6957,"FALSO",[2]InfCualitativo!$E$1:$E$6957,"Baru",[2]InfCualitativo!$H$1:$H$6957,"rx")</f>
        <v>0</v>
      </c>
      <c r="W45" s="30">
        <f t="shared" si="10"/>
        <v>0</v>
      </c>
      <c r="X45" s="30">
        <f t="shared" si="11"/>
        <v>0</v>
      </c>
      <c r="Y45" s="27">
        <f>COUNTIFS([2]InfCualitativo!$B$1:$B$6957,"VERDADERO",[2]InfCualitativo!$E$1:$E$6957,"Baru",[2]InfCualitativo!$H$1:$H$6957,"ecografias")</f>
        <v>0</v>
      </c>
      <c r="Z45" s="27">
        <f>COUNTIFS([2]InfCualitativo!$B$1:$B$6957,"FALSO",[2]InfCualitativo!$E$1:$E$6957,"Baru",[2]InfCualitativo!$H$1:$H$6957,"ecografias")</f>
        <v>0</v>
      </c>
      <c r="AA45" s="30">
        <f>IFERROR(Y45/(Y45+Z45),0)</f>
        <v>0</v>
      </c>
      <c r="AB45" s="30">
        <f>IFERROR(Z45/(Y45+Z45),0)</f>
        <v>0</v>
      </c>
      <c r="AC45" s="27">
        <f>COUNTIFS([2]InfCualitativo!$B$1:$B$6957,"VERDADERO",[2]InfCualitativo!$E$1:$E$6957,"Baru",[2]InfCualitativo!$H$1:$H$6957,"urgencia")</f>
        <v>15</v>
      </c>
      <c r="AD45" s="27">
        <f>COUNTIFS([2]InfCualitativo!$B$1:$B$6957,"FALSO",[2]InfCualitativo!$E$1:$E$6957,"Baru",[2]InfCualitativo!$H$1:$H$6957,"urgencia")</f>
        <v>0</v>
      </c>
      <c r="AE45" s="30">
        <f t="shared" si="14"/>
        <v>1</v>
      </c>
      <c r="AF45" s="30">
        <f t="shared" si="15"/>
        <v>0</v>
      </c>
      <c r="AG45" s="27">
        <f>COUNTIFS([2]InfCualitativo!$B$1:$B$6957,"VERDADERO",[2]InfCualitativo!$E$1:$E$6957,"Baru",[2]InfCualitativo!$H$1:$H$6957,"pediatria")</f>
        <v>0</v>
      </c>
      <c r="AH45" s="27">
        <f>COUNTIFS([2]InfCualitativo!$B$1:$B$6957,"FALSO",[2]InfCualitativo!$E$1:$E$6957,"Baru",[2]InfCualitativo!$H$1:$H$6957,"pediatria")</f>
        <v>0</v>
      </c>
      <c r="AI45" s="30">
        <f t="shared" si="16"/>
        <v>0</v>
      </c>
      <c r="AJ45" s="30">
        <f t="shared" si="17"/>
        <v>0</v>
      </c>
      <c r="AK45" s="27">
        <f>COUNTIFS([2]InfCualitativo!$B$1:$B$6957,"VERDADERO",[2]InfCualitativo!$E$1:$E$6957,"Baru",[2]InfCualitativo!$H$1:$H$6957,"medicina_interna")</f>
        <v>0</v>
      </c>
      <c r="AL45" s="27">
        <f>COUNTIFS([2]InfCualitativo!$B$1:$B$6957,"FALSO",[2]InfCualitativo!$E$1:$E$6957,"Baru",[2]InfCualitativo!$H$1:$H$6957,"medicina_interna")</f>
        <v>0</v>
      </c>
      <c r="AM45" s="30">
        <f t="shared" si="18"/>
        <v>0</v>
      </c>
      <c r="AN45" s="30">
        <f t="shared" si="19"/>
        <v>0</v>
      </c>
      <c r="AO45" s="27">
        <f>COUNTIFS([2]InfCualitativo!$B$1:$B$6957,"VERDADERO",[2]InfCualitativo!$E$1:$E$6957,"Baru",[2]InfCualitativo!$H$1:$H$6957,"ginecologia")</f>
        <v>0</v>
      </c>
      <c r="AP45" s="27">
        <f>COUNTIFS([2]InfCualitativo!$B$1:$B$6957,"FALSO",[2]InfCualitativo!$E$1:$E$6957,"Baru",[2]InfCualitativo!$H$1:$H$6957,"ginecologia")</f>
        <v>0</v>
      </c>
      <c r="AQ45" s="30">
        <f t="shared" si="20"/>
        <v>0</v>
      </c>
      <c r="AR45" s="30">
        <f t="shared" si="21"/>
        <v>0</v>
      </c>
      <c r="AS45" s="27">
        <f t="shared" si="22"/>
        <v>44</v>
      </c>
      <c r="AT45" s="27">
        <f t="shared" si="22"/>
        <v>0</v>
      </c>
      <c r="AU45" s="32">
        <f t="shared" si="23"/>
        <v>1</v>
      </c>
      <c r="AV45" s="32">
        <f t="shared" si="24"/>
        <v>0</v>
      </c>
    </row>
    <row r="46" spans="1:48" ht="18.75" x14ac:dyDescent="0.3">
      <c r="A46" s="26" t="s">
        <v>66</v>
      </c>
      <c r="B46" s="27">
        <v>61</v>
      </c>
      <c r="C46" s="27">
        <f t="shared" si="1"/>
        <v>61</v>
      </c>
      <c r="D46" s="28">
        <f t="shared" si="0"/>
        <v>100</v>
      </c>
      <c r="E46" s="29">
        <f>COUNTIFS([2]InfCualitativo!$B$1:$B$6957,"VERDADERO",[2]InfCualitativo!$E$1:$E$6957,"Isla Fuerte",[2]InfCualitativo!$H$1:$H$6957,"consulta_externa")</f>
        <v>21</v>
      </c>
      <c r="F46" s="29">
        <f>COUNTIFS([2]InfCualitativo!$B$1:$B$6957,"FALSO",[2]InfCualitativo!$E$1:$E$6957,"Isla Fuerte",[2]InfCualitativo!$H$1:$H$6957,"consulta_externa")</f>
        <v>0</v>
      </c>
      <c r="G46" s="30">
        <f t="shared" si="2"/>
        <v>1</v>
      </c>
      <c r="H46" s="30">
        <f t="shared" si="3"/>
        <v>0</v>
      </c>
      <c r="I46" s="27">
        <f>COUNTIFS([2]InfCualitativo!$B$1:$B$6957,"VERDADERO",[2]InfCualitativo!$E$1:$E$6957,"Isla Fuerte",[2]InfCualitativo!$H$1:$H$6957,"salud_oral")</f>
        <v>20</v>
      </c>
      <c r="J46" s="27">
        <f>COUNTIFS([2]InfCualitativo!$B$1:$B$6957,"FALSO",[2]InfCualitativo!$E$1:$E$6957,"Isla Fuerte",[2]InfCualitativo!$H$1:$H$6957,"salud_oral")</f>
        <v>0</v>
      </c>
      <c r="K46" s="30">
        <f t="shared" si="4"/>
        <v>1</v>
      </c>
      <c r="L46" s="30">
        <f t="shared" si="5"/>
        <v>0</v>
      </c>
      <c r="M46" s="27">
        <f>COUNTIFS([2]InfCualitativo!$B$1:$B$6957,"VERDADERO",[2]InfCualitativo!$E$1:$E$6957,"Isla Fuerte",[2]InfCualitativo!$H$1:$H$6957,"laboratorio")</f>
        <v>20</v>
      </c>
      <c r="N46" s="27">
        <f>COUNTIFS([2]InfCualitativo!$B$1:$B$6957,"FALSO",[2]InfCualitativo!$E$1:$E$6957,"Isla Fuerte",[2]InfCualitativo!$H$1:$H$6957,"laboratorio")</f>
        <v>0</v>
      </c>
      <c r="O46" s="30">
        <f t="shared" si="6"/>
        <v>1</v>
      </c>
      <c r="P46" s="31">
        <f t="shared" si="7"/>
        <v>0</v>
      </c>
      <c r="Q46" s="27">
        <f>COUNTIFS([2]InfCualitativo!$B$1:$B$6957,"VERDADERO",[2]InfCualitativo!$E$1:$E$6957,"Isla Fuerte",[2]InfCualitativo!$H$1:$H$6957,"electros")</f>
        <v>0</v>
      </c>
      <c r="R46" s="27">
        <f>COUNTIFS([2]InfCualitativo!$B$1:$B$6957,"FALSO",[2]InfCualitativo!$E$1:$E$6957,"Isla Fuerte",[2]InfCualitativo!$H$1:$H$6957,"electros")</f>
        <v>0</v>
      </c>
      <c r="S46" s="30">
        <f t="shared" si="8"/>
        <v>0</v>
      </c>
      <c r="T46" s="30">
        <f t="shared" si="9"/>
        <v>0</v>
      </c>
      <c r="U46" s="27">
        <f>COUNTIFS([2]InfCualitativo!$B$1:$B$6957,"VERDADERO",[2]InfCualitativo!$E$1:$E$6957,"Isla Fuerte",[2]InfCualitativo!$H$1:$H$6957,"rx")</f>
        <v>0</v>
      </c>
      <c r="V46" s="27">
        <f>COUNTIFS([2]InfCualitativo!$B$1:$B$6957,"FALSO",[2]InfCualitativo!$E$1:$E$6957,"Isla Fuerte",[2]InfCualitativo!$H$1:$H$6957,"rx")</f>
        <v>0</v>
      </c>
      <c r="W46" s="30">
        <f t="shared" si="10"/>
        <v>0</v>
      </c>
      <c r="X46" s="30">
        <f t="shared" si="11"/>
        <v>0</v>
      </c>
      <c r="Y46" s="27">
        <f>COUNTIFS([2]InfCualitativo!$B$1:$B$6957,"VERDADERO",[2]InfCualitativo!$E$1:$E$6957,"Isla Fuerte",[2]InfCualitativo!$H$1:$H$6957,"ecografias")</f>
        <v>0</v>
      </c>
      <c r="Z46" s="27">
        <f>COUNTIFS([2]InfCualitativo!$B$1:$B$6957,"FALSO",[2]InfCualitativo!$E$1:$E$6957,"Isla Fuerte",[2]InfCualitativo!$H$1:$H$6957,"ecografias")</f>
        <v>0</v>
      </c>
      <c r="AA46" s="30">
        <f>IFERROR(Y46/(Y46+Z46),0)</f>
        <v>0</v>
      </c>
      <c r="AB46" s="30">
        <f>IFERROR(Z46/(Y46+Z46),0)</f>
        <v>0</v>
      </c>
      <c r="AC46" s="27">
        <f>COUNTIFS([2]InfCualitativo!$B$1:$B$6957,"VERDADERO",[2]InfCualitativo!$E$1:$E$6957,"Isla Fuerte",[2]InfCualitativo!$H$1:$H$6957,"urgencia")</f>
        <v>0</v>
      </c>
      <c r="AD46" s="27">
        <f>COUNTIFS([2]InfCualitativo!$B$1:$B$6957,"FALSO",[2]InfCualitativo!$E$1:$E$6957,"Isla Fuerte",[2]InfCualitativo!$H$1:$H$6957,"urgencia")</f>
        <v>0</v>
      </c>
      <c r="AE46" s="30">
        <f t="shared" si="14"/>
        <v>0</v>
      </c>
      <c r="AF46" s="30">
        <f t="shared" si="15"/>
        <v>0</v>
      </c>
      <c r="AG46" s="27">
        <f>COUNTIFS([2]InfCualitativo!$B$1:$B$6957,"VERDADERO",[2]InfCualitativo!$E$1:$E$6957,"Isla Fuerte",[2]InfCualitativo!$H$1:$H$6957,"pediatria")</f>
        <v>0</v>
      </c>
      <c r="AH46" s="27">
        <f>COUNTIFS([2]InfCualitativo!$B$1:$B$6957,"FALSO",[2]InfCualitativo!$E$1:$E$6957,"Isla Fuerte",[2]InfCualitativo!$H$1:$H$6957,"pediatria")</f>
        <v>0</v>
      </c>
      <c r="AI46" s="30">
        <f t="shared" si="16"/>
        <v>0</v>
      </c>
      <c r="AJ46" s="30">
        <f t="shared" si="17"/>
        <v>0</v>
      </c>
      <c r="AK46" s="27">
        <f>COUNTIFS([2]InfCualitativo!$B$1:$B$6957,"VERDADERO",[2]InfCualitativo!$E$1:$E$6957,"Isla Fuerte",[2]InfCualitativo!$H$1:$H$6957,"medicina_interna")</f>
        <v>0</v>
      </c>
      <c r="AL46" s="27">
        <f>COUNTIFS([2]InfCualitativo!$B$1:$B$6957,"FALSO",[2]InfCualitativo!$E$1:$E$6957,"Isla Fuerte",[2]InfCualitativo!$H$1:$H$6957,"medicina_interna")</f>
        <v>0</v>
      </c>
      <c r="AM46" s="30">
        <f t="shared" si="18"/>
        <v>0</v>
      </c>
      <c r="AN46" s="30">
        <f t="shared" si="19"/>
        <v>0</v>
      </c>
      <c r="AO46" s="27">
        <f>COUNTIFS([2]InfCualitativo!$B$1:$B$6957,"VERDADERO",[2]InfCualitativo!$E$1:$E$6957,"Isla Fuerte",[2]InfCualitativo!$H$1:$H$6957,"ginecologia")</f>
        <v>0</v>
      </c>
      <c r="AP46" s="27">
        <f>COUNTIFS([2]InfCualitativo!$B$1:$B$6957,"FALSO",[2]InfCualitativo!$E$1:$E$6957,"Isla Fuerte",[2]InfCualitativo!$H$1:$H$6957,"ginecologia")</f>
        <v>0</v>
      </c>
      <c r="AQ46" s="30">
        <f t="shared" si="20"/>
        <v>0</v>
      </c>
      <c r="AR46" s="30">
        <f t="shared" si="21"/>
        <v>0</v>
      </c>
      <c r="AS46" s="27">
        <f t="shared" si="22"/>
        <v>61</v>
      </c>
      <c r="AT46" s="27">
        <f t="shared" si="22"/>
        <v>0</v>
      </c>
      <c r="AU46" s="32">
        <f t="shared" si="23"/>
        <v>1</v>
      </c>
      <c r="AV46" s="32">
        <f t="shared" si="24"/>
        <v>0</v>
      </c>
    </row>
    <row r="47" spans="1:48" ht="18.75" x14ac:dyDescent="0.3">
      <c r="A47" s="26" t="s">
        <v>67</v>
      </c>
      <c r="B47" s="27">
        <v>264</v>
      </c>
      <c r="C47" s="27">
        <f t="shared" si="1"/>
        <v>258</v>
      </c>
      <c r="D47" s="28">
        <f t="shared" si="0"/>
        <v>97.727272727272734</v>
      </c>
      <c r="E47" s="29">
        <f>COUNTIFS([2]InfCualitativo!$B$1:$B$6957,"VERDADERO",[2]InfCualitativo!$E$1:$E$6957,"Los Cerros",[2]InfCualitativo!$H$1:$H$6957,"consulta_externa")</f>
        <v>44</v>
      </c>
      <c r="F47" s="29">
        <f>COUNTIFS([2]InfCualitativo!$B$1:$B$6957,"FALSO",[2]InfCualitativo!$E$1:$E$6957,"Los Cerros",[2]InfCualitativo!$H$1:$H$6957,"consulta_externa")</f>
        <v>4</v>
      </c>
      <c r="G47" s="30">
        <f t="shared" si="2"/>
        <v>0.91666666666666663</v>
      </c>
      <c r="H47" s="30">
        <f t="shared" si="3"/>
        <v>8.3333333333333329E-2</v>
      </c>
      <c r="I47" s="27">
        <f>COUNTIFS([2]InfCualitativo!$B$1:$B$6957,"VERDADERO",[2]InfCualitativo!$E$1:$E$6957,"Los Cerros",[2]InfCualitativo!$H$1:$H$6957,"salud_oral")</f>
        <v>47</v>
      </c>
      <c r="J47" s="27">
        <f>COUNTIFS([2]InfCualitativo!$B$1:$B$6957,"FALSO",[2]InfCualitativo!$E$1:$E$6957,"Los Cerros",[2]InfCualitativo!$H$1:$H$6957,"salud_oral")</f>
        <v>1</v>
      </c>
      <c r="K47" s="30">
        <f t="shared" si="4"/>
        <v>0.97916666666666663</v>
      </c>
      <c r="L47" s="30">
        <f t="shared" si="5"/>
        <v>2.0833333333333332E-2</v>
      </c>
      <c r="M47" s="27">
        <f>COUNTIFS([2]InfCualitativo!$B$1:$B$6957,"VERDADERO",[2]InfCualitativo!$E$1:$E$6957,"Los Cerros",[2]InfCualitativo!$H$1:$H$6957,"laboratorio")</f>
        <v>45</v>
      </c>
      <c r="N47" s="27">
        <f>COUNTIFS([2]InfCualitativo!$B$1:$B$6957,"FALSO",[2]InfCualitativo!$E$1:$E$6957,"Los Cerros",[2]InfCualitativo!$H$1:$H$6957,"laboratorio")</f>
        <v>2</v>
      </c>
      <c r="O47" s="30">
        <f t="shared" si="6"/>
        <v>0.95744680851063835</v>
      </c>
      <c r="P47" s="31">
        <f t="shared" si="7"/>
        <v>4.2553191489361701E-2</v>
      </c>
      <c r="Q47" s="27">
        <f>COUNTIFS([2]InfCualitativo!$B$1:$B$6957,"VERDADERO",[2]InfCualitativo!$E$1:$E$6957,"Los Cerros",[2]InfCualitativo!$H$1:$H$6957,"electros")</f>
        <v>31</v>
      </c>
      <c r="R47" s="27">
        <f>COUNTIFS([2]InfCualitativo!$B$1:$B$6957,"FALSO",[2]InfCualitativo!$E$1:$E$6957,"Los Cerros",[2]InfCualitativo!$H$1:$H$6957,"electros")</f>
        <v>5</v>
      </c>
      <c r="S47" s="30">
        <f t="shared" si="8"/>
        <v>0.86111111111111116</v>
      </c>
      <c r="T47" s="30">
        <f t="shared" si="9"/>
        <v>0.1388888888888889</v>
      </c>
      <c r="U47" s="27">
        <f>COUNTIFS([2]InfCualitativo!$B$1:$B$6957,"VERDADERO",[2]InfCualitativo!$E$1:$E$6957,"Los Cerros",[2]InfCualitativo!$H$1:$H$6957,"rx")</f>
        <v>0</v>
      </c>
      <c r="V47" s="27">
        <f>COUNTIFS([2]InfCualitativo!$B$1:$B$6957,"FALSO",[2]InfCualitativo!$E$1:$E$6957,"Los Cerros",[2]InfCualitativo!$H$1:$H$6957,"rx")</f>
        <v>0</v>
      </c>
      <c r="W47" s="30">
        <f t="shared" si="10"/>
        <v>0</v>
      </c>
      <c r="X47" s="30">
        <f t="shared" si="11"/>
        <v>0</v>
      </c>
      <c r="Y47" s="27">
        <f>COUNTIFS([2]InfCualitativo!$B$1:$B$6957,"VERDADERO",[2]InfCualitativo!$E$1:$E$6957,"Los Cerros",[2]InfCualitativo!$H$1:$H$6957,"ecografias")</f>
        <v>4</v>
      </c>
      <c r="Z47" s="27">
        <f>COUNTIFS([2]InfCualitativo!$B$1:$B$6957,"FALSO",[2]InfCualitativo!$E$1:$E$6957,"Los Cerros",[2]InfCualitativo!$H$1:$H$6957,"ecografias")</f>
        <v>1</v>
      </c>
      <c r="AA47" s="30">
        <f>IFERROR(Y47/(Y47+Z47),0)</f>
        <v>0.8</v>
      </c>
      <c r="AB47" s="30">
        <f>IFERROR(Z47/(Y47+Z47),0)</f>
        <v>0.2</v>
      </c>
      <c r="AC47" s="27">
        <f>COUNTIFS([2]InfCualitativo!$B$1:$B$6957,"VERDADERO",[2]InfCualitativo!$E$1:$E$6957,"Los Cerros",[2]InfCualitativo!$H$1:$H$6957,"urgencia")</f>
        <v>0</v>
      </c>
      <c r="AD47" s="27">
        <f>COUNTIFS([2]InfCualitativo!$B$1:$B$6957,"FALSO",[2]InfCualitativo!$E$1:$E$6957,"Los Cerros",[2]InfCualitativo!$H$1:$H$6957,"urgencia")</f>
        <v>0</v>
      </c>
      <c r="AE47" s="30">
        <f t="shared" si="14"/>
        <v>0</v>
      </c>
      <c r="AF47" s="30">
        <f t="shared" si="15"/>
        <v>0</v>
      </c>
      <c r="AG47" s="27">
        <f>COUNTIFS([2]InfCualitativo!$B$1:$B$6957,"VERDADERO",[2]InfCualitativo!$E$1:$E$6957,"Los Cerros",[2]InfCualitativo!$H$1:$H$6957,"pediatria")</f>
        <v>28</v>
      </c>
      <c r="AH47" s="27">
        <f>COUNTIFS([2]InfCualitativo!$B$1:$B$6957,"FALSO",[2]InfCualitativo!$E$1:$E$6957,"Los Cerros",[2]InfCualitativo!$H$1:$H$6957,"pediatria")</f>
        <v>0</v>
      </c>
      <c r="AI47" s="30">
        <f t="shared" si="16"/>
        <v>1</v>
      </c>
      <c r="AJ47" s="30">
        <f t="shared" si="17"/>
        <v>0</v>
      </c>
      <c r="AK47" s="27">
        <f>COUNTIFS([2]InfCualitativo!$B$1:$B$6957,"VERDADERO",[2]InfCualitativo!$E$1:$E$6957,"Los Cerros",[2]InfCualitativo!$H$1:$H$6957,"medicina_interna")</f>
        <v>22</v>
      </c>
      <c r="AL47" s="27">
        <f>COUNTIFS([2]InfCualitativo!$B$1:$B$6957,"FALSO",[2]InfCualitativo!$E$1:$E$6957,"Los Cerros",[2]InfCualitativo!$H$1:$H$6957,"medicina_interna")</f>
        <v>2</v>
      </c>
      <c r="AM47" s="30">
        <f t="shared" si="18"/>
        <v>0.91666666666666663</v>
      </c>
      <c r="AN47" s="30">
        <f t="shared" si="19"/>
        <v>8.3333333333333329E-2</v>
      </c>
      <c r="AO47" s="27">
        <f>COUNTIFS([2]InfCualitativo!$B$1:$B$6957,"VERDADERO",[2]InfCualitativo!$E$1:$E$6957,"Los Cerros",[2]InfCualitativo!$H$1:$H$6957,"ginecologia")</f>
        <v>22</v>
      </c>
      <c r="AP47" s="27">
        <f>COUNTIFS([2]InfCualitativo!$B$1:$B$6957,"FALSO",[2]InfCualitativo!$E$1:$E$6957,"Los Cerros",[2]InfCualitativo!$H$1:$H$6957,"ginecologia")</f>
        <v>0</v>
      </c>
      <c r="AQ47" s="30">
        <f t="shared" si="20"/>
        <v>1</v>
      </c>
      <c r="AR47" s="30">
        <f t="shared" si="21"/>
        <v>0</v>
      </c>
      <c r="AS47" s="27">
        <f t="shared" si="22"/>
        <v>243</v>
      </c>
      <c r="AT47" s="27">
        <f t="shared" si="22"/>
        <v>15</v>
      </c>
      <c r="AU47" s="32">
        <f t="shared" si="23"/>
        <v>0.94186046511627908</v>
      </c>
      <c r="AV47" s="32">
        <f t="shared" si="24"/>
        <v>5.8139534883720929E-2</v>
      </c>
    </row>
    <row r="48" spans="1:48" ht="18.75" x14ac:dyDescent="0.3">
      <c r="A48" s="26" t="s">
        <v>68</v>
      </c>
      <c r="B48" s="27">
        <v>41</v>
      </c>
      <c r="C48" s="27">
        <f t="shared" si="1"/>
        <v>41</v>
      </c>
      <c r="D48" s="28">
        <f t="shared" si="0"/>
        <v>100</v>
      </c>
      <c r="E48" s="29">
        <f>COUNTIFS([2]InfCualitativo!$B$1:$B$6957,"VERDADERO",[2]InfCualitativo!$E$1:$E$6957,"Islote de San Bernardo",[2]InfCualitativo!$H$1:$H$6957,"consulta_externa")</f>
        <v>20</v>
      </c>
      <c r="F48" s="29">
        <f>COUNTIFS([2]InfCualitativo!$B$1:$B$6957,"FALSO",[2]InfCualitativo!$E$1:$E$6957,"Islote de San Bernardo",[2]InfCualitativo!$H$1:$H$6957,"consulta_externa")</f>
        <v>5</v>
      </c>
      <c r="G48" s="30">
        <f t="shared" si="2"/>
        <v>0.8</v>
      </c>
      <c r="H48" s="30">
        <f t="shared" si="3"/>
        <v>0.2</v>
      </c>
      <c r="I48" s="27">
        <f>COUNTIFS([2]InfCualitativo!$B$1:$B$6957,"VERDADERO",[2]InfCualitativo!$E$1:$E$6957,"Islote de San Bernardo",[2]InfCualitativo!$H$1:$H$6957,"salud_oral")</f>
        <v>0</v>
      </c>
      <c r="J48" s="27">
        <f>COUNTIFS([2]InfCualitativo!$B$1:$B$6957,"FALSO",[2]InfCualitativo!$E$1:$E$6957,"Islote de San Bernardo",[2]InfCualitativo!$H$1:$H$6957,"salud_oral")</f>
        <v>0</v>
      </c>
      <c r="K48" s="30">
        <f t="shared" si="4"/>
        <v>0</v>
      </c>
      <c r="L48" s="30">
        <f t="shared" si="5"/>
        <v>0</v>
      </c>
      <c r="M48" s="27">
        <f>COUNTIFS([2]InfCualitativo!$B$1:$B$6957,"VERDADERO",[2]InfCualitativo!$E$1:$E$6957,"Islote de San Bernardo",[2]InfCualitativo!$H$1:$H$6957,"laboratorio")</f>
        <v>10</v>
      </c>
      <c r="N48" s="27">
        <f>COUNTIFS([2]InfCualitativo!$B$1:$B$6957,"FALSO",[2]InfCualitativo!$E$1:$E$6957,"Islote de San Bernardo",[2]InfCualitativo!$H$1:$H$6957,"laboratorio")</f>
        <v>6</v>
      </c>
      <c r="O48" s="30">
        <f t="shared" si="6"/>
        <v>0.625</v>
      </c>
      <c r="P48" s="31">
        <f t="shared" si="7"/>
        <v>0.375</v>
      </c>
      <c r="Q48" s="27">
        <f>COUNTIFS([2]InfCualitativo!$B$1:$B$6957,"VERDADERO",[2]InfCualitativo!$E$1:$E$6957,"Islote de San Bernardo",[2]InfCualitativo!$H$1:$H$6957,"electros")</f>
        <v>0</v>
      </c>
      <c r="R48" s="27">
        <f>COUNTIFS([2]InfCualitativo!$B$1:$B$6957,"FALSO",[2]InfCualitativo!$E$1:$E$6957,"Islote de San Bernardo",[2]InfCualitativo!$H$1:$H$6957,"electros")</f>
        <v>0</v>
      </c>
      <c r="S48" s="30">
        <f t="shared" si="8"/>
        <v>0</v>
      </c>
      <c r="T48" s="30">
        <f t="shared" si="9"/>
        <v>0</v>
      </c>
      <c r="U48" s="27">
        <f>COUNTIFS([2]InfCualitativo!$B$1:$B$6957,"VERDADERO",[2]InfCualitativo!$E$1:$E$6957,"Islote de San Bernardo",[2]InfCualitativo!$H$1:$H$6957,"rx")</f>
        <v>0</v>
      </c>
      <c r="V48" s="27">
        <f>COUNTIFS([2]InfCualitativo!$B$1:$B$6957,"FALSO",[2]InfCualitativo!$E$1:$E$6957,"Islote de San Bernardo",[2]InfCualitativo!$H$1:$H$6957,"rx")</f>
        <v>0</v>
      </c>
      <c r="W48" s="30">
        <f t="shared" si="10"/>
        <v>0</v>
      </c>
      <c r="X48" s="30">
        <f t="shared" si="11"/>
        <v>0</v>
      </c>
      <c r="Y48" s="27">
        <f>COUNTIFS([2]InfCualitativo!$B$1:$B$6957,"VERDADERO",[2]InfCualitativo!$E$1:$E$6957,"Islote de San Bernardo",[2]InfCualitativo!$H$1:$H$6957,"ecografias")</f>
        <v>0</v>
      </c>
      <c r="Z48" s="27">
        <f>COUNTIFS([2]InfCualitativo!$B$1:$B$6957,"FALSO",[2]InfCualitativo!$E$1:$E$6957,"Islote de San Bernardo",[2]InfCualitativo!$H$1:$H$6957,"ecografias")</f>
        <v>0</v>
      </c>
      <c r="AA48" s="30">
        <f>IFERROR(Y48/(Y48+Z48),0)</f>
        <v>0</v>
      </c>
      <c r="AB48" s="30">
        <f>IFERROR(Z48/(Y48+Z48),0)</f>
        <v>0</v>
      </c>
      <c r="AC48" s="27">
        <f>COUNTIFS([2]InfCualitativo!$B$1:$B$6957,"VERDADERO",[2]InfCualitativo!$E$1:$E$6957,"Islote de San Bernardo",[2]InfCualitativo!$H$1:$H$6957,"urgencia")</f>
        <v>0</v>
      </c>
      <c r="AD48" s="27">
        <f>COUNTIFS([2]InfCualitativo!$B$1:$B$6957,"FALSO",[2]InfCualitativo!$E$1:$E$6957,"Islote de San Bernardo",[2]InfCualitativo!$H$1:$H$6957,"urgencia")</f>
        <v>0</v>
      </c>
      <c r="AE48" s="30">
        <f t="shared" si="14"/>
        <v>0</v>
      </c>
      <c r="AF48" s="30">
        <f t="shared" si="15"/>
        <v>0</v>
      </c>
      <c r="AG48" s="27">
        <f>COUNTIFS([2]InfCualitativo!$B$1:$B$6957,"VERDADERO",[2]InfCualitativo!$E$1:$E$6957,"Islote de San Bernardo",[2]InfCualitativo!$H$1:$H$6957,"pediatria")</f>
        <v>0</v>
      </c>
      <c r="AH48" s="27">
        <f>COUNTIFS([2]InfCualitativo!$B$1:$B$6957,"FALSO",[2]InfCualitativo!$E$1:$E$6957,"Islote de San Bernardo",[2]InfCualitativo!$H$1:$H$6957,"pediatria")</f>
        <v>0</v>
      </c>
      <c r="AI48" s="30">
        <f t="shared" si="16"/>
        <v>0</v>
      </c>
      <c r="AJ48" s="30">
        <f t="shared" si="17"/>
        <v>0</v>
      </c>
      <c r="AK48" s="27">
        <f>COUNTIFS([2]InfCualitativo!$B$1:$B$6957,"VERDADERO",[2]InfCualitativo!$E$1:$E$6957,"Islote de San Bernardo",[2]InfCualitativo!$H$1:$H$6957,"medicina_interna")</f>
        <v>0</v>
      </c>
      <c r="AL48" s="27">
        <f>COUNTIFS([2]InfCualitativo!$B$1:$B$6957,"FALSO",[2]InfCualitativo!$E$1:$E$6957,"Islote de San Bernardo",[2]InfCualitativo!$H$1:$H$6957,"medicina_interna")</f>
        <v>0</v>
      </c>
      <c r="AM48" s="30">
        <f t="shared" si="18"/>
        <v>0</v>
      </c>
      <c r="AN48" s="30">
        <f t="shared" si="19"/>
        <v>0</v>
      </c>
      <c r="AO48" s="27">
        <f>COUNTIFS([2]InfCualitativo!$B$1:$B$6957,"VERDADERO",[2]InfCualitativo!$E$1:$E$6957,"Islote de San Bernardo",[2]InfCualitativo!$H$1:$H$6957,"ginecologia")</f>
        <v>0</v>
      </c>
      <c r="AP48" s="27">
        <f>COUNTIFS([2]InfCualitativo!$B$1:$B$6957,"FALSO",[2]InfCualitativo!$E$1:$E$6957,"Islote de San Bernardo",[2]InfCualitativo!$H$1:$H$6957,"ginecologia")</f>
        <v>0</v>
      </c>
      <c r="AQ48" s="30">
        <f t="shared" si="20"/>
        <v>0</v>
      </c>
      <c r="AR48" s="30">
        <f t="shared" si="21"/>
        <v>0</v>
      </c>
      <c r="AS48" s="27">
        <f t="shared" si="22"/>
        <v>30</v>
      </c>
      <c r="AT48" s="27">
        <f t="shared" si="22"/>
        <v>11</v>
      </c>
      <c r="AU48" s="32">
        <f t="shared" si="23"/>
        <v>0.73170731707317072</v>
      </c>
      <c r="AV48" s="32">
        <f t="shared" si="24"/>
        <v>0.26829268292682928</v>
      </c>
    </row>
    <row r="49" spans="1:48" ht="19.5" thickBot="1" x14ac:dyDescent="0.35">
      <c r="A49" s="36" t="s">
        <v>69</v>
      </c>
      <c r="B49" s="27">
        <v>180</v>
      </c>
      <c r="C49" s="27">
        <f t="shared" si="1"/>
        <v>145</v>
      </c>
      <c r="D49" s="28">
        <f t="shared" si="0"/>
        <v>80.555555555555557</v>
      </c>
      <c r="E49" s="29">
        <f>COUNTIFS([2]InfCualitativo!$B$1:$B$6957,"VERDADERO",[2]InfCualitativo!$E$1:$E$6957,"Santa Ana",[2]InfCualitativo!$H$1:$H$6957,"consulta_externa")</f>
        <v>32</v>
      </c>
      <c r="F49" s="29">
        <f>COUNTIFS([2]InfCualitativo!$B$1:$B$6957,"FALSO",[2]InfCualitativo!$E$1:$E$6957,"Santa Ana",[2]InfCualitativo!$H$1:$H$6957,"consulta_externa")</f>
        <v>8</v>
      </c>
      <c r="G49" s="30">
        <f t="shared" si="2"/>
        <v>0.8</v>
      </c>
      <c r="H49" s="30">
        <f t="shared" si="3"/>
        <v>0.2</v>
      </c>
      <c r="I49" s="27">
        <f>COUNTIFS([2]InfCualitativo!$B$1:$B$6957,"VERDADERO",[2]InfCualitativo!$E$1:$E$6957,"Santa Ana",[2]InfCualitativo!$H$1:$H$6957,"salud_oral")</f>
        <v>35</v>
      </c>
      <c r="J49" s="27">
        <f>COUNTIFS([2]InfCualitativo!$B$1:$B$6957,"FALSO",[2]InfCualitativo!$E$1:$E$6957,"Santa Ana",[2]InfCualitativo!$H$1:$H$6957,"salud_oral")</f>
        <v>1</v>
      </c>
      <c r="K49" s="30">
        <f t="shared" si="4"/>
        <v>0.97222222222222221</v>
      </c>
      <c r="L49" s="30">
        <f t="shared" si="5"/>
        <v>2.7777777777777776E-2</v>
      </c>
      <c r="M49" s="27">
        <f>COUNTIFS([2]InfCualitativo!$B$1:$B$6957,"VERDADERO",[2]InfCualitativo!$E$1:$E$6957,"Santa Ana",[2]InfCualitativo!$H$1:$H$6957,"laboratorio")</f>
        <v>33</v>
      </c>
      <c r="N49" s="27">
        <f>COUNTIFS([2]InfCualitativo!$B$1:$B$6957,"FALSO",[2]InfCualitativo!$E$1:$E$6957,"Santa Ana",[2]InfCualitativo!$H$1:$H$6957,"laboratorio")</f>
        <v>3</v>
      </c>
      <c r="O49" s="30">
        <f t="shared" si="6"/>
        <v>0.91666666666666663</v>
      </c>
      <c r="P49" s="31">
        <f t="shared" si="7"/>
        <v>8.3333333333333329E-2</v>
      </c>
      <c r="Q49" s="27">
        <f>COUNTIFS([2]InfCualitativo!$B$1:$B$6957,"VERDADERO",[2]InfCualitativo!$E$1:$E$6957,"Santa Ana",[2]InfCualitativo!$H$1:$H$6957,"electros")</f>
        <v>0</v>
      </c>
      <c r="R49" s="27">
        <f>COUNTIFS([2]InfCualitativo!$B$1:$B$6957,"FALSO",[2]InfCualitativo!$E$1:$E$6957,"Santa Ana",[2]InfCualitativo!$H$1:$H$6957,"electros")</f>
        <v>0</v>
      </c>
      <c r="S49" s="30">
        <f t="shared" si="8"/>
        <v>0</v>
      </c>
      <c r="T49" s="30">
        <f t="shared" si="9"/>
        <v>0</v>
      </c>
      <c r="U49" s="27">
        <f>COUNTIFS([2]InfCualitativo!$B$1:$B$6957,"VERDADERO",[2]InfCualitativo!$E$1:$E$6957,"Santa Ana",[2]InfCualitativo!$H$1:$H$6957,"rx")</f>
        <v>0</v>
      </c>
      <c r="V49" s="27">
        <f>COUNTIFS([2]InfCualitativo!$B$1:$B$6957,"FALSO",[2]InfCualitativo!$E$1:$E$6957,"Santa Ana",[2]InfCualitativo!$H$1:$H$6957,"rx")</f>
        <v>0</v>
      </c>
      <c r="W49" s="30">
        <f t="shared" si="10"/>
        <v>0</v>
      </c>
      <c r="X49" s="30">
        <f t="shared" si="11"/>
        <v>0</v>
      </c>
      <c r="Y49" s="27">
        <f>COUNTIFS([2]InfCualitativo!$B$1:$B$6957,"VERDADERO",[2]InfCualitativo!$E$1:$E$6957,"Santa Ana",[2]InfCualitativo!$H$1:$H$6957,"ecografias")</f>
        <v>0</v>
      </c>
      <c r="Z49" s="27">
        <f>COUNTIFS([2]InfCualitativo!$B$1:$B$6957,"FALSO",[2]InfCualitativo!$E$1:$E$6957,"Santa Ana",[2]InfCualitativo!$H$1:$H$6957,"ecografias")</f>
        <v>0</v>
      </c>
      <c r="AA49" s="30">
        <f>IFERROR(Y49/(Y49+Z49),0)</f>
        <v>0</v>
      </c>
      <c r="AB49" s="30">
        <f>IFERROR(Z49/(Y49+Z49),0)</f>
        <v>0</v>
      </c>
      <c r="AC49" s="27">
        <f>COUNTIFS([2]InfCualitativo!$B$1:$B$6957,"VERDADERO",[2]InfCualitativo!$E$1:$E$6957,"Santa Ana",[2]InfCualitativo!$H$1:$H$6957,"urgencia")</f>
        <v>22</v>
      </c>
      <c r="AD49" s="27">
        <f>COUNTIFS([2]InfCualitativo!$B$1:$B$6957,"FALSO",[2]InfCualitativo!$E$1:$E$6957,"Santa Ana",[2]InfCualitativo!$H$1:$H$6957,"urgencia")</f>
        <v>11</v>
      </c>
      <c r="AE49" s="30">
        <f t="shared" si="14"/>
        <v>0.66666666666666663</v>
      </c>
      <c r="AF49" s="30">
        <f t="shared" si="15"/>
        <v>0.33333333333333331</v>
      </c>
      <c r="AG49" s="27">
        <f>COUNTIFS([2]InfCualitativo!$B$1:$B$6957,"VERDADERO",[2]InfCualitativo!$E$1:$E$6957,"Santa Ana",[2]InfCualitativo!$H$1:$H$6957,"pediatria")</f>
        <v>0</v>
      </c>
      <c r="AH49" s="27">
        <f>COUNTIFS([2]InfCualitativo!$B$1:$B$6957,"FALSO",[2]InfCualitativo!$E$1:$E$6957,"Santa Ana",[2]InfCualitativo!$H$1:$H$6957,"pediatria")</f>
        <v>0</v>
      </c>
      <c r="AI49" s="30">
        <f t="shared" si="16"/>
        <v>0</v>
      </c>
      <c r="AJ49" s="30">
        <f t="shared" si="17"/>
        <v>0</v>
      </c>
      <c r="AK49" s="27">
        <f>COUNTIFS([2]InfCualitativo!$B$1:$B$6957,"VERDADERO",[2]InfCualitativo!$E$1:$E$6957,"Santa Ana",[2]InfCualitativo!$H$1:$H$6957,"medicina_interna")</f>
        <v>0</v>
      </c>
      <c r="AL49" s="27">
        <f>COUNTIFS([2]InfCualitativo!$B$1:$B$6957,"FALSO",[2]InfCualitativo!$E$1:$E$6957,"Santa Ana",[2]InfCualitativo!$H$1:$H$6957,"medicina_interna")</f>
        <v>0</v>
      </c>
      <c r="AM49" s="30">
        <f t="shared" si="18"/>
        <v>0</v>
      </c>
      <c r="AN49" s="30">
        <f t="shared" si="19"/>
        <v>0</v>
      </c>
      <c r="AO49" s="27">
        <f>COUNTIFS([2]InfCualitativo!$B$1:$B$6957,"VERDADERO",[2]InfCualitativo!$E$1:$E$6957,"Santa Ana",[2]InfCualitativo!$H$1:$H$6957,"ginecologia")</f>
        <v>0</v>
      </c>
      <c r="AP49" s="27">
        <f>COUNTIFS([2]InfCualitativo!$B$1:$B$6957,"FALSO",[2]InfCualitativo!$E$1:$E$6957,"Santa Ana",[2]InfCualitativo!$H$1:$H$6957,"ginecologia")</f>
        <v>0</v>
      </c>
      <c r="AQ49" s="30">
        <f t="shared" si="20"/>
        <v>0</v>
      </c>
      <c r="AR49" s="30">
        <f t="shared" si="21"/>
        <v>0</v>
      </c>
      <c r="AS49" s="27">
        <f t="shared" si="22"/>
        <v>122</v>
      </c>
      <c r="AT49" s="27">
        <f t="shared" si="22"/>
        <v>23</v>
      </c>
      <c r="AU49" s="37">
        <f t="shared" si="23"/>
        <v>0.8413793103448276</v>
      </c>
      <c r="AV49" s="37">
        <f t="shared" si="24"/>
        <v>0.15862068965517243</v>
      </c>
    </row>
    <row r="50" spans="1:48" ht="24" thickBot="1" x14ac:dyDescent="0.4">
      <c r="A50" s="38"/>
      <c r="B50" s="39">
        <f>SUM(B3:B49)</f>
        <v>6111</v>
      </c>
      <c r="C50" s="40">
        <f t="shared" si="1"/>
        <v>5798</v>
      </c>
      <c r="D50" s="41">
        <f>C50/B50</f>
        <v>0.94878088692521678</v>
      </c>
      <c r="E50" s="42">
        <f>SUM(E3:E49)</f>
        <v>1740</v>
      </c>
      <c r="F50" s="43">
        <f>SUM(F3:F49)</f>
        <v>121</v>
      </c>
      <c r="G50" s="75">
        <f t="shared" si="2"/>
        <v>0.93498119290703918</v>
      </c>
      <c r="H50" s="75">
        <f t="shared" si="3"/>
        <v>6.5018807092960776E-2</v>
      </c>
      <c r="I50" s="45">
        <f>SUM(I3:I49)</f>
        <v>1394</v>
      </c>
      <c r="J50" s="46">
        <f>SUM(J3:J49)</f>
        <v>47</v>
      </c>
      <c r="K50" s="75">
        <f t="shared" si="4"/>
        <v>0.96738376127689107</v>
      </c>
      <c r="L50" s="75">
        <f t="shared" si="5"/>
        <v>3.2616238723108953E-2</v>
      </c>
      <c r="M50" s="45">
        <f>SUM(M3:M49)</f>
        <v>1384</v>
      </c>
      <c r="N50" s="46">
        <f>SUM(N3:N49)</f>
        <v>149</v>
      </c>
      <c r="O50" s="75">
        <f t="shared" si="6"/>
        <v>0.9028049575994781</v>
      </c>
      <c r="P50" s="76">
        <f t="shared" si="7"/>
        <v>9.7195042400521847E-2</v>
      </c>
      <c r="Q50" s="46">
        <f>SUM(Q3:Q49)</f>
        <v>103</v>
      </c>
      <c r="R50" s="46">
        <f>SUM(R3:R49)</f>
        <v>12</v>
      </c>
      <c r="S50" s="75">
        <f t="shared" si="8"/>
        <v>0.89565217391304353</v>
      </c>
      <c r="T50" s="75">
        <f t="shared" si="9"/>
        <v>0.10434782608695652</v>
      </c>
      <c r="U50" s="46">
        <f>SUM(U3:U49)</f>
        <v>39</v>
      </c>
      <c r="V50" s="46">
        <f>SUM(V3:V49)</f>
        <v>26</v>
      </c>
      <c r="W50" s="75">
        <f t="shared" si="10"/>
        <v>0.6</v>
      </c>
      <c r="X50" s="75">
        <f t="shared" si="11"/>
        <v>0.4</v>
      </c>
      <c r="Y50" s="46">
        <f>SUM(Y3:Y49)</f>
        <v>77</v>
      </c>
      <c r="Z50" s="46">
        <f>SUM(Z3:Z49)</f>
        <v>1</v>
      </c>
      <c r="AA50" s="75">
        <f t="shared" si="12"/>
        <v>0.98717948717948723</v>
      </c>
      <c r="AB50" s="75">
        <f t="shared" si="13"/>
        <v>1.282051282051282E-2</v>
      </c>
      <c r="AC50" s="45">
        <f>SUM(AC3:AC49)</f>
        <v>384</v>
      </c>
      <c r="AD50" s="46">
        <f>SUM(AD3:AD49)</f>
        <v>88</v>
      </c>
      <c r="AE50" s="75">
        <f t="shared" si="14"/>
        <v>0.81355932203389836</v>
      </c>
      <c r="AF50" s="75">
        <f t="shared" si="15"/>
        <v>0.1864406779661017</v>
      </c>
      <c r="AG50" s="45">
        <f>SUM(AG3:AG49)</f>
        <v>104</v>
      </c>
      <c r="AH50" s="46">
        <f>SUM(AH3:AH49)</f>
        <v>1</v>
      </c>
      <c r="AI50" s="75">
        <f t="shared" si="16"/>
        <v>0.99047619047619051</v>
      </c>
      <c r="AJ50" s="75">
        <f t="shared" si="17"/>
        <v>9.5238095238095247E-3</v>
      </c>
      <c r="AK50" s="45">
        <f>SUM(AK3:AK49)</f>
        <v>63</v>
      </c>
      <c r="AL50" s="46">
        <f>SUM(AL3:AL49)</f>
        <v>3</v>
      </c>
      <c r="AM50" s="75">
        <f t="shared" si="18"/>
        <v>0.95454545454545459</v>
      </c>
      <c r="AN50" s="75">
        <f t="shared" si="19"/>
        <v>4.5454545454545456E-2</v>
      </c>
      <c r="AO50" s="45">
        <f>SUM(AO3:AO49)</f>
        <v>61</v>
      </c>
      <c r="AP50" s="46">
        <v>1</v>
      </c>
      <c r="AQ50" s="75">
        <f t="shared" si="20"/>
        <v>0.9838709677419355</v>
      </c>
      <c r="AR50" s="75">
        <f t="shared" si="21"/>
        <v>1.6129032258064516E-2</v>
      </c>
      <c r="AS50" s="27">
        <f t="shared" si="22"/>
        <v>5349</v>
      </c>
      <c r="AT50" s="77">
        <f t="shared" si="22"/>
        <v>449</v>
      </c>
      <c r="AU50" s="78">
        <f t="shared" si="23"/>
        <v>0.9225595032769921</v>
      </c>
      <c r="AV50" s="79">
        <f t="shared" si="24"/>
        <v>7.7440496723007929E-2</v>
      </c>
    </row>
    <row r="51" spans="1:48" x14ac:dyDescent="0.25">
      <c r="C51" s="53"/>
      <c r="E51" s="54">
        <f>SUM(E50:F50)</f>
        <v>1861</v>
      </c>
      <c r="F51" s="55"/>
      <c r="I51" s="54">
        <f>SUM(I50:J50)</f>
        <v>1441</v>
      </c>
      <c r="J51" s="55"/>
      <c r="M51" s="54">
        <f>SUM(M50:N50)</f>
        <v>1533</v>
      </c>
      <c r="N51" s="55"/>
      <c r="Q51" s="55">
        <f>SUM(Q50:R50)</f>
        <v>115</v>
      </c>
      <c r="R51" s="55"/>
      <c r="U51" s="55">
        <f>SUM(U50:V50)</f>
        <v>65</v>
      </c>
      <c r="V51" s="55"/>
      <c r="Y51" s="55">
        <f>SUM(Y50:Z50)</f>
        <v>78</v>
      </c>
      <c r="Z51" s="55"/>
      <c r="AC51" s="55">
        <f>SUM(AC50:AD50)</f>
        <v>472</v>
      </c>
      <c r="AD51" s="55"/>
      <c r="AS51" s="53"/>
    </row>
    <row r="52" spans="1:48" x14ac:dyDescent="0.25"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</row>
    <row r="54" spans="1:48" ht="44.25" customHeight="1" x14ac:dyDescent="0.25">
      <c r="A54" s="56" t="s">
        <v>70</v>
      </c>
      <c r="B54" s="57"/>
      <c r="I54" s="58"/>
      <c r="J54" s="58"/>
      <c r="K54" s="58"/>
      <c r="L54" s="58"/>
      <c r="M54" s="58"/>
    </row>
    <row r="55" spans="1:48" x14ac:dyDescent="0.25">
      <c r="A55" s="59" t="s">
        <v>71</v>
      </c>
      <c r="B55" s="60">
        <f>COUNTIFS([2]InfCualitativo!$J$1:$J$6957,"muybueno")</f>
        <v>131</v>
      </c>
    </row>
    <row r="56" spans="1:48" x14ac:dyDescent="0.25">
      <c r="A56" s="59" t="s">
        <v>72</v>
      </c>
      <c r="B56" s="60">
        <f>COUNTIFS([2]InfCualitativo!$J$1:$J$6957,"bueno")</f>
        <v>5218</v>
      </c>
    </row>
    <row r="57" spans="1:48" x14ac:dyDescent="0.25">
      <c r="A57" s="59" t="s">
        <v>73</v>
      </c>
      <c r="B57" s="60">
        <f>COUNTIFS([2]InfCualitativo!$J$1:$J$6957,"regular")</f>
        <v>430</v>
      </c>
    </row>
    <row r="58" spans="1:48" x14ac:dyDescent="0.25">
      <c r="A58" s="59" t="s">
        <v>74</v>
      </c>
      <c r="B58" s="60">
        <f>COUNTIFS([2]InfCualitativo!$J$1:$J$6957,"malo")</f>
        <v>19</v>
      </c>
    </row>
    <row r="59" spans="1:48" x14ac:dyDescent="0.25">
      <c r="A59" s="59" t="s">
        <v>75</v>
      </c>
      <c r="B59" s="60">
        <f>COUNTIFS([2]InfCualitativo!$J$1:$J$6957,"muymalo")</f>
        <v>0</v>
      </c>
      <c r="C59">
        <f>SUM(B55:B59)</f>
        <v>5798</v>
      </c>
    </row>
    <row r="60" spans="1:48" ht="31.5" customHeight="1" x14ac:dyDescent="0.25">
      <c r="A60" s="59"/>
      <c r="B60" s="60"/>
    </row>
    <row r="61" spans="1:48" ht="42" customHeight="1" x14ac:dyDescent="0.25">
      <c r="A61" s="61" t="s">
        <v>76</v>
      </c>
      <c r="B61" s="62"/>
    </row>
    <row r="62" spans="1:48" x14ac:dyDescent="0.25">
      <c r="A62" s="59" t="s">
        <v>77</v>
      </c>
      <c r="B62" s="60">
        <f>COUNTIFS([2]InfCualitativo!$K$1:$K$6957,"defsi")</f>
        <v>2668</v>
      </c>
    </row>
    <row r="63" spans="1:48" x14ac:dyDescent="0.25">
      <c r="A63" s="59" t="s">
        <v>78</v>
      </c>
      <c r="B63" s="60">
        <f>COUNTIFS([2]InfCualitativo!$K$1:$K$6957,"probsi")</f>
        <v>3077</v>
      </c>
    </row>
    <row r="64" spans="1:48" x14ac:dyDescent="0.25">
      <c r="A64" s="59" t="s">
        <v>79</v>
      </c>
      <c r="B64" s="60">
        <f>COUNTIFS([2]InfCualitativo!$K$1:$K$6957,"defno")</f>
        <v>7</v>
      </c>
    </row>
    <row r="65" spans="1:2" x14ac:dyDescent="0.25">
      <c r="A65" s="63" t="s">
        <v>80</v>
      </c>
      <c r="B65" s="64">
        <f>COUNTIFS([2]InfCualitativo!$K$1:$K$6957,"probno")</f>
        <v>46</v>
      </c>
    </row>
    <row r="66" spans="1:2" x14ac:dyDescent="0.25">
      <c r="B66">
        <f>SUM(B62:B65)</f>
        <v>5798</v>
      </c>
    </row>
  </sheetData>
  <autoFilter ref="A1:D51" xr:uid="{00000000-0001-0000-0000-000000000000}"/>
  <mergeCells count="28">
    <mergeCell ref="AC51:AD51"/>
    <mergeCell ref="A54:B54"/>
    <mergeCell ref="I54:M54"/>
    <mergeCell ref="A61:B61"/>
    <mergeCell ref="E51:F51"/>
    <mergeCell ref="I51:J51"/>
    <mergeCell ref="M51:N51"/>
    <mergeCell ref="Q51:R51"/>
    <mergeCell ref="U51:V51"/>
    <mergeCell ref="Y51:Z51"/>
    <mergeCell ref="AK1:AN1"/>
    <mergeCell ref="AO1:AR1"/>
    <mergeCell ref="AS1:AS2"/>
    <mergeCell ref="AT1:AT2"/>
    <mergeCell ref="AU1:AU2"/>
    <mergeCell ref="AV1:AV2"/>
    <mergeCell ref="M1:P1"/>
    <mergeCell ref="Q1:T1"/>
    <mergeCell ref="V1:X1"/>
    <mergeCell ref="Y1:AB1"/>
    <mergeCell ref="AC1:AF1"/>
    <mergeCell ref="AG1:AJ1"/>
    <mergeCell ref="A1:A2"/>
    <mergeCell ref="B1:B2"/>
    <mergeCell ref="C1:C2"/>
    <mergeCell ref="D1:D2"/>
    <mergeCell ref="E1:H1"/>
    <mergeCell ref="I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D69CF-177A-43B3-9D7E-E0C37FBF048A}">
  <dimension ref="A1:AV66"/>
  <sheetViews>
    <sheetView zoomScale="80" zoomScaleNormal="80" workbookViewId="0">
      <selection activeCell="P54" sqref="P54"/>
    </sheetView>
  </sheetViews>
  <sheetFormatPr baseColWidth="10" defaultColWidth="11.42578125" defaultRowHeight="15" x14ac:dyDescent="0.25"/>
  <cols>
    <col min="1" max="1" width="27.28515625" bestFit="1" customWidth="1"/>
    <col min="2" max="2" width="21.85546875" customWidth="1"/>
    <col min="3" max="3" width="18.85546875" customWidth="1"/>
    <col min="4" max="4" width="20.5703125" customWidth="1"/>
    <col min="5" max="5" width="16" customWidth="1"/>
    <col min="6" max="6" width="14.7109375" customWidth="1"/>
    <col min="7" max="7" width="16.140625" customWidth="1"/>
    <col min="8" max="8" width="17.85546875" customWidth="1"/>
    <col min="9" max="9" width="16.140625" customWidth="1"/>
    <col min="10" max="11" width="17" customWidth="1"/>
    <col min="12" max="12" width="16.28515625" customWidth="1"/>
    <col min="13" max="13" width="15.28515625" customWidth="1"/>
    <col min="14" max="14" width="15.7109375" customWidth="1"/>
    <col min="15" max="15" width="15" customWidth="1"/>
    <col min="16" max="16" width="15.28515625" customWidth="1"/>
    <col min="17" max="17" width="15.42578125" customWidth="1"/>
    <col min="18" max="18" width="15.5703125" customWidth="1"/>
    <col min="19" max="19" width="15.42578125" customWidth="1"/>
    <col min="20" max="20" width="15.28515625" customWidth="1"/>
    <col min="21" max="21" width="14.85546875" customWidth="1"/>
    <col min="22" max="22" width="15.42578125" customWidth="1"/>
    <col min="23" max="24" width="15.140625" customWidth="1"/>
    <col min="25" max="25" width="15.28515625" customWidth="1"/>
    <col min="26" max="26" width="15" customWidth="1"/>
    <col min="27" max="27" width="15.42578125" customWidth="1"/>
    <col min="28" max="28" width="15.7109375" customWidth="1"/>
    <col min="29" max="29" width="15.140625" customWidth="1"/>
    <col min="30" max="31" width="15.85546875" customWidth="1"/>
    <col min="32" max="32" width="15.7109375" customWidth="1"/>
    <col min="33" max="33" width="15.5703125" customWidth="1"/>
    <col min="34" max="34" width="15" customWidth="1"/>
    <col min="35" max="35" width="14.85546875" customWidth="1"/>
    <col min="36" max="36" width="16.140625" customWidth="1"/>
    <col min="37" max="38" width="15" customWidth="1"/>
    <col min="39" max="39" width="14.85546875" customWidth="1"/>
    <col min="40" max="40" width="14.5703125" customWidth="1"/>
    <col min="41" max="41" width="14.85546875" customWidth="1"/>
    <col min="42" max="42" width="16" customWidth="1"/>
    <col min="43" max="44" width="14.85546875" customWidth="1"/>
    <col min="45" max="45" width="15.85546875" customWidth="1"/>
    <col min="46" max="46" width="15.28515625" customWidth="1"/>
    <col min="47" max="47" width="16.28515625" customWidth="1"/>
    <col min="48" max="48" width="16.5703125" customWidth="1"/>
  </cols>
  <sheetData>
    <row r="1" spans="1:48" ht="32.25" thickBot="1" x14ac:dyDescent="0.55000000000000004">
      <c r="A1" s="1" t="s">
        <v>0</v>
      </c>
      <c r="B1" s="65" t="s">
        <v>1</v>
      </c>
      <c r="C1" s="66" t="s">
        <v>2</v>
      </c>
      <c r="D1" s="67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5" t="s">
        <v>6</v>
      </c>
      <c r="N1" s="6"/>
      <c r="O1" s="6"/>
      <c r="P1" s="7"/>
      <c r="Q1" s="5" t="s">
        <v>7</v>
      </c>
      <c r="R1" s="6"/>
      <c r="S1" s="6"/>
      <c r="T1" s="7"/>
      <c r="U1" s="8"/>
      <c r="V1" s="6" t="s">
        <v>8</v>
      </c>
      <c r="W1" s="6"/>
      <c r="X1" s="7"/>
      <c r="Y1" s="5" t="s">
        <v>9</v>
      </c>
      <c r="Z1" s="6"/>
      <c r="AA1" s="6"/>
      <c r="AB1" s="7"/>
      <c r="AC1" s="5" t="s">
        <v>10</v>
      </c>
      <c r="AD1" s="6"/>
      <c r="AE1" s="6"/>
      <c r="AF1" s="6"/>
      <c r="AG1" s="9" t="s">
        <v>11</v>
      </c>
      <c r="AH1" s="9"/>
      <c r="AI1" s="9"/>
      <c r="AJ1" s="9"/>
      <c r="AK1" s="9" t="s">
        <v>12</v>
      </c>
      <c r="AL1" s="9"/>
      <c r="AM1" s="9"/>
      <c r="AN1" s="9"/>
      <c r="AO1" s="9" t="s">
        <v>13</v>
      </c>
      <c r="AP1" s="9"/>
      <c r="AQ1" s="9"/>
      <c r="AR1" s="9"/>
      <c r="AS1" s="10" t="s">
        <v>14</v>
      </c>
      <c r="AT1" s="11" t="s">
        <v>15</v>
      </c>
      <c r="AU1" s="12" t="s">
        <v>16</v>
      </c>
      <c r="AV1" s="12" t="s">
        <v>17</v>
      </c>
    </row>
    <row r="2" spans="1:48" ht="30" x14ac:dyDescent="0.25">
      <c r="A2" s="13"/>
      <c r="B2" s="70"/>
      <c r="C2" s="71"/>
      <c r="D2" s="72"/>
      <c r="E2" s="17" t="s">
        <v>18</v>
      </c>
      <c r="F2" s="18" t="s">
        <v>19</v>
      </c>
      <c r="G2" s="17" t="s">
        <v>20</v>
      </c>
      <c r="H2" s="17" t="s">
        <v>21</v>
      </c>
      <c r="I2" s="18" t="s">
        <v>18</v>
      </c>
      <c r="J2" s="19" t="s">
        <v>19</v>
      </c>
      <c r="K2" s="18" t="s">
        <v>20</v>
      </c>
      <c r="L2" s="19" t="s">
        <v>21</v>
      </c>
      <c r="M2" s="18" t="s">
        <v>18</v>
      </c>
      <c r="N2" s="17" t="s">
        <v>19</v>
      </c>
      <c r="O2" s="18" t="s">
        <v>20</v>
      </c>
      <c r="P2" s="17" t="s">
        <v>21</v>
      </c>
      <c r="Q2" s="18" t="s">
        <v>18</v>
      </c>
      <c r="R2" s="19" t="s">
        <v>19</v>
      </c>
      <c r="S2" s="18" t="s">
        <v>20</v>
      </c>
      <c r="T2" s="19" t="s">
        <v>21</v>
      </c>
      <c r="U2" s="18" t="s">
        <v>18</v>
      </c>
      <c r="V2" s="19" t="s">
        <v>19</v>
      </c>
      <c r="W2" s="18" t="s">
        <v>20</v>
      </c>
      <c r="X2" s="19" t="s">
        <v>21</v>
      </c>
      <c r="Y2" s="18" t="s">
        <v>18</v>
      </c>
      <c r="Z2" s="19" t="s">
        <v>19</v>
      </c>
      <c r="AA2" s="18" t="s">
        <v>20</v>
      </c>
      <c r="AB2" s="19" t="s">
        <v>21</v>
      </c>
      <c r="AC2" s="19" t="s">
        <v>18</v>
      </c>
      <c r="AD2" s="19" t="s">
        <v>19</v>
      </c>
      <c r="AE2" s="18" t="s">
        <v>20</v>
      </c>
      <c r="AF2" s="19" t="s">
        <v>21</v>
      </c>
      <c r="AG2" s="17" t="s">
        <v>18</v>
      </c>
      <c r="AH2" s="20" t="s">
        <v>19</v>
      </c>
      <c r="AI2" s="21" t="s">
        <v>20</v>
      </c>
      <c r="AJ2" s="22" t="s">
        <v>21</v>
      </c>
      <c r="AK2" s="17" t="s">
        <v>18</v>
      </c>
      <c r="AL2" s="17" t="s">
        <v>19</v>
      </c>
      <c r="AM2" s="18" t="s">
        <v>20</v>
      </c>
      <c r="AN2" s="17" t="s">
        <v>21</v>
      </c>
      <c r="AO2" s="17" t="s">
        <v>18</v>
      </c>
      <c r="AP2" s="17" t="s">
        <v>19</v>
      </c>
      <c r="AQ2" s="18" t="s">
        <v>20</v>
      </c>
      <c r="AR2" s="17" t="s">
        <v>21</v>
      </c>
      <c r="AS2" s="23"/>
      <c r="AT2" s="24"/>
      <c r="AU2" s="25"/>
      <c r="AV2" s="25"/>
    </row>
    <row r="3" spans="1:48" ht="18.75" x14ac:dyDescent="0.3">
      <c r="A3" s="26" t="s">
        <v>22</v>
      </c>
      <c r="B3" s="27">
        <v>97</v>
      </c>
      <c r="C3" s="27">
        <f>SUM(E3,F3,I3,J3,M3,N3,Q3,R3,U3,V3,Y3,Z3,AC3,AD3,AG3,AH3,AK3,AL3,AO3,AP3)</f>
        <v>97</v>
      </c>
      <c r="D3" s="28">
        <f t="shared" ref="D3:D49" si="0">(C3*100)/B3</f>
        <v>100</v>
      </c>
      <c r="E3" s="29">
        <f>COUNTIFS([3]InfCualitativo!$B$1:$B$6973,"VERDADERO",[3]InfCualitativo!$E$1:$E$6973,"Arroyo de las Canoas",[3]InfCualitativo!$H$1:$H$6973,"consulta_externa")</f>
        <v>36</v>
      </c>
      <c r="F3" s="29">
        <f>COUNTIFS([3]InfCualitativo!$B$1:$B$6973,"FALSO",[3]InfCualitativo!$E$1:$E$6973,"Arroyo de las Canoas",[3]InfCualitativo!$H$1:$H$6973,"consulta_externa")</f>
        <v>0</v>
      </c>
      <c r="G3" s="30">
        <f>IFERROR(E3/(E3+F3),0)</f>
        <v>1</v>
      </c>
      <c r="H3" s="30">
        <f>IFERROR(F3/(E3+F3),0)</f>
        <v>0</v>
      </c>
      <c r="I3" s="27">
        <f>COUNTIFS([3]InfCualitativo!$B$1:$B$6973,"VERDADERO",[3]InfCualitativo!$E$1:$E$6973,"Arroyo de las Canoas",[3]InfCualitativo!$H$1:$H$6973,"salud_oral")</f>
        <v>27</v>
      </c>
      <c r="J3" s="27">
        <f>COUNTIFS([3]InfCualitativo!$B$1:$B$6973,"FALSO",[3]InfCualitativo!$E$1:$E$6973,"Arroyo de las Canoas",[3]InfCualitativo!$H$1:$H$6973,"salud_oral")</f>
        <v>0</v>
      </c>
      <c r="K3" s="30">
        <f>IFERROR(I3/(I3+J3),0)</f>
        <v>1</v>
      </c>
      <c r="L3" s="30">
        <f>IFERROR(J3/(I3+J3),0)</f>
        <v>0</v>
      </c>
      <c r="M3" s="27">
        <f>COUNTIFS([3]InfCualitativo!$B$1:$B$6973,"VERDADERO",[3]InfCualitativo!$E$1:$E$6973,"Arroyo de las Canoas",[3]InfCualitativo!$H$1:$H$6973,"laboratorio")</f>
        <v>34</v>
      </c>
      <c r="N3" s="27">
        <f>COUNTIFS([3]InfCualitativo!$B$1:$B$6973,"FALSO",[3]InfCualitativo!$E$1:$E$6973,"Arroyo de las Canoas",[3]InfCualitativo!$H$1:$H$6973,"laboratorio")</f>
        <v>0</v>
      </c>
      <c r="O3" s="30">
        <f>IFERROR(M3/(M3+N3),0)</f>
        <v>1</v>
      </c>
      <c r="P3" s="31">
        <f>IFERROR(N3/(M3+N3),0)</f>
        <v>0</v>
      </c>
      <c r="Q3" s="27">
        <f>COUNTIFS([3]InfCualitativo!$B$1:$B$6973,"VERDADERO",[3]InfCualitativo!$E$1:$E$6973,"Arroyo de las Canoas",[3]InfCualitativo!$H$1:$H$6973,"electros")</f>
        <v>0</v>
      </c>
      <c r="R3" s="27">
        <f>COUNTIFS([3]InfCualitativo!$B$1:$B$6973,"FALSO",[3]InfCualitativo!$E$1:$E$6973,"Arroyo de las Canoas",[3]InfCualitativo!$H$1:$H$6973,"electros")</f>
        <v>0</v>
      </c>
      <c r="S3" s="30">
        <f>IFERROR(Q3/(Q3+R3),0)</f>
        <v>0</v>
      </c>
      <c r="T3" s="30">
        <f>IFERROR(R3/(Q3+R3),0)</f>
        <v>0</v>
      </c>
      <c r="U3" s="27">
        <f>COUNTIFS([3]InfCualitativo!$B$1:$B$6973,"VERDADERO",[3]InfCualitativo!$E$1:$E$6973,"Arroyo de las Canoas",[3]InfCualitativo!$H$1:$H$6973,"rx")</f>
        <v>0</v>
      </c>
      <c r="V3" s="27">
        <f>COUNTIFS([3]InfCualitativo!$B$1:$B$6973,"FALSO",[3]InfCualitativo!$E$1:$E$6973,"Arroyo de las Canoas",[3]InfCualitativo!$H$1:$H$6973,"rx")</f>
        <v>0</v>
      </c>
      <c r="W3" s="30">
        <f>IFERROR(U3/(U3+V3),0)</f>
        <v>0</v>
      </c>
      <c r="X3" s="30">
        <f>IFERROR(V3/(U3+V3),0)</f>
        <v>0</v>
      </c>
      <c r="Y3" s="27">
        <f>COUNTIFS([3]InfCualitativo!$B$1:$B$6973,"VERDADERO",[3]InfCualitativo!$E$1:$E$6973,"Arroyo de las Canoas",[3]InfCualitativo!$H$1:$H$6973,"ecografias")</f>
        <v>0</v>
      </c>
      <c r="Z3" s="27">
        <f>COUNTIFS([3]InfCualitativo!$B$1:$B$6973,"FALSO",[3]InfCualitativo!$E$1:$E$6973,"Arroyo de las Canoas",[3]InfCualitativo!$H$1:$H$6973,"ecografias")</f>
        <v>0</v>
      </c>
      <c r="AA3" s="30">
        <f>IFERROR(Y3/(Y3+Z3),0)</f>
        <v>0</v>
      </c>
      <c r="AB3" s="30">
        <f>IFERROR(Z3/(Y3+Z3),0)</f>
        <v>0</v>
      </c>
      <c r="AC3" s="27">
        <f>COUNTIFS([3]InfCualitativo!$B$1:$B$6973,"VERDADERO",[3]InfCualitativo!$E$1:$E$6973,"Arroyo de las Canoas",[3]InfCualitativo!$H$1:$H$6973,"urgencia")</f>
        <v>0</v>
      </c>
      <c r="AD3" s="27">
        <f>COUNTIFS([3]InfCualitativo!$B$1:$B$6973,"FALSO",[3]InfCualitativo!$E$1:$E$6973,"Arroyo de las Canoas",[3]InfCualitativo!$H$1:$H$6973,"urgencia")</f>
        <v>0</v>
      </c>
      <c r="AE3" s="30">
        <f>IFERROR(AC3/(AC3+AD3),0)</f>
        <v>0</v>
      </c>
      <c r="AF3" s="30">
        <f>IFERROR(AD3/(AC3+AD3),0)</f>
        <v>0</v>
      </c>
      <c r="AG3" s="27">
        <f>COUNTIFS([3]InfCualitativo!$B$1:$B$6973,"VERDADERO",[3]InfCualitativo!$E$1:$E$6973,"Arroyo de las Canoas",[3]InfCualitativo!$H$1:$H$6973,"pediatria")</f>
        <v>0</v>
      </c>
      <c r="AH3" s="27">
        <f>COUNTIFS([3]InfCualitativo!$B$1:$B$6973,"FALSO",[3]InfCualitativo!$E$1:$E$6973,"Arroyo de las Canoas",[3]InfCualitativo!$H$1:$H$6973,"pediatria")</f>
        <v>0</v>
      </c>
      <c r="AI3" s="30">
        <f>IFERROR(AG3/(AG3+AH3),0)</f>
        <v>0</v>
      </c>
      <c r="AJ3" s="30">
        <f>IFERROR(AH3/(AG3+AH3),0)</f>
        <v>0</v>
      </c>
      <c r="AK3" s="27">
        <f>COUNTIFS([3]InfCualitativo!$B$1:$B$6973,"VERDADERO",[3]InfCualitativo!$E$1:$E$6973,"Arroyo de las Canoas",[3]InfCualitativo!$H$1:$H$6973,"medicina_interna")</f>
        <v>0</v>
      </c>
      <c r="AL3" s="27">
        <f>COUNTIFS([3]InfCualitativo!$B$1:$B$6973,"FALSO",[3]InfCualitativo!$E$1:$E$6973,"Arroyo de las Canoas",[3]InfCualitativo!$H$1:$H$6973,"medicina_interna")</f>
        <v>0</v>
      </c>
      <c r="AM3" s="30">
        <f>IFERROR(AK3/(AK3+AL3),0)</f>
        <v>0</v>
      </c>
      <c r="AN3" s="30">
        <f>IFERROR(AL3/(AK3+AL3),0)</f>
        <v>0</v>
      </c>
      <c r="AO3" s="27">
        <f>COUNTIFS([3]InfCualitativo!$B$1:$B$6973,"VERDADERO",[3]InfCualitativo!$E$1:$E$6973,"Arroyo de las Canoas",[3]InfCualitativo!$H$1:$H$6973,"ginecologia")</f>
        <v>0</v>
      </c>
      <c r="AP3" s="27">
        <f>COUNTIFS([3]InfCualitativo!$B$1:$B$6973,"FALSO",[3]InfCualitativo!$E$1:$E$6973,"Arroyo de las Canoas",[3]InfCualitativo!$H$1:$H$6973,"ginecologia")</f>
        <v>0</v>
      </c>
      <c r="AQ3" s="30">
        <f>IFERROR(AO3/(AO3+AP3),0)</f>
        <v>0</v>
      </c>
      <c r="AR3" s="30">
        <f>IFERROR(AP3/(AO3+AP3),0)</f>
        <v>0</v>
      </c>
      <c r="AS3" s="27">
        <f>SUM(E3+I3+M3+Q3+U3+Y3+AC3+AG3+AK3+AO3)</f>
        <v>97</v>
      </c>
      <c r="AT3" s="27">
        <f>SUM(F3+J3+N3+R3+V3+Z3+AD3+AH3+AL3+AP3)</f>
        <v>0</v>
      </c>
      <c r="AU3" s="32">
        <f>IFERROR(AS3/(AS3+AT3),0)</f>
        <v>1</v>
      </c>
      <c r="AV3" s="32">
        <f>IFERROR(AT3/(AS3+AT3),0)</f>
        <v>0</v>
      </c>
    </row>
    <row r="4" spans="1:48" ht="18.75" x14ac:dyDescent="0.3">
      <c r="A4" s="26" t="s">
        <v>23</v>
      </c>
      <c r="B4" s="27">
        <v>126</v>
      </c>
      <c r="C4" s="27">
        <f t="shared" ref="C4:C50" si="1">SUM(E4,F4,I4,J4,M4,N4,Q4,R4,U4,V4,Y4,Z4,AC4,AD4,AG4,AH4,AK4,AL4,AO4,AP4)</f>
        <v>126</v>
      </c>
      <c r="D4" s="28">
        <f t="shared" si="0"/>
        <v>100</v>
      </c>
      <c r="E4" s="29">
        <f>COUNTIFS([3]InfCualitativo!$B$1:$B$6973,"VERDADERO",[3]InfCualitativo!$E$1:$E$6973,"Arroyo de Piedra",[3]InfCualitativo!$H$1:$H$6973,"consulta_externa")</f>
        <v>39</v>
      </c>
      <c r="F4" s="29">
        <f>COUNTIFS([3]InfCualitativo!$B$1:$B$6973,"FALSO",[3]InfCualitativo!$E$1:$E$6973,"Arroyo de Piedra",[3]InfCualitativo!$H$1:$H$6973,"consulta_externa")</f>
        <v>5</v>
      </c>
      <c r="G4" s="30">
        <f t="shared" ref="G4:G50" si="2">IFERROR(E4/(E4+F4),0)</f>
        <v>0.88636363636363635</v>
      </c>
      <c r="H4" s="30">
        <f t="shared" ref="H4:H50" si="3">IFERROR(F4/(E4+F4),0)</f>
        <v>0.11363636363636363</v>
      </c>
      <c r="I4" s="27">
        <f>COUNTIFS([3]InfCualitativo!$B$1:$B$6973,"VERDADERO",[3]InfCualitativo!$E$1:$E$6973,"Arroyo de Piedra",[3]InfCualitativo!$H$1:$H$6973,"salud_oral")</f>
        <v>34</v>
      </c>
      <c r="J4" s="27">
        <f>COUNTIFS([3]InfCualitativo!$B$1:$B$6973,"FALSO",[3]InfCualitativo!$E$1:$E$6973,"Arroyo de Piedra",[3]InfCualitativo!$H$1:$H$6973,"salud_oral")</f>
        <v>4</v>
      </c>
      <c r="K4" s="30">
        <f t="shared" ref="K4:K50" si="4">IFERROR(I4/(I4+J4),0)</f>
        <v>0.89473684210526316</v>
      </c>
      <c r="L4" s="30">
        <f t="shared" ref="L4:L50" si="5">IFERROR(J4/(I4+J4),0)</f>
        <v>0.10526315789473684</v>
      </c>
      <c r="M4" s="27">
        <f>COUNTIFS([3]InfCualitativo!$B$1:$B$6973,"VERDADERO",[3]InfCualitativo!$E$1:$E$6973,"Arroyo de Piedra",[3]InfCualitativo!$H$1:$H$6973,"laboratorio")</f>
        <v>37</v>
      </c>
      <c r="N4" s="27">
        <f>COUNTIFS([3]InfCualitativo!$B$1:$B$6973,"FALSO",[3]InfCualitativo!$E$1:$E$6973,"Arroyo de Piedra",[3]InfCualitativo!$H$1:$H$6973,"laboratorio")</f>
        <v>7</v>
      </c>
      <c r="O4" s="30">
        <f t="shared" ref="O4:O50" si="6">IFERROR(M4/(M4+N4),0)</f>
        <v>0.84090909090909094</v>
      </c>
      <c r="P4" s="31">
        <f t="shared" ref="P4:P50" si="7">IFERROR(N4/(M4+N4),0)</f>
        <v>0.15909090909090909</v>
      </c>
      <c r="Q4" s="27">
        <f>COUNTIFS([3]InfCualitativo!$B$1:$B$6973,"VERDADERO",[3]InfCualitativo!$E$1:$E$6973,"Arroyo de Piedra",[3]InfCualitativo!$H$1:$H$6973,"electros")</f>
        <v>0</v>
      </c>
      <c r="R4" s="27">
        <f>COUNTIFS([3]InfCualitativo!$B$1:$B$6973,"FALSO",[3]InfCualitativo!$E$1:$E$6973,"Arroyo de Piedra",[3]InfCualitativo!$H$1:$H$6973,"electros")</f>
        <v>0</v>
      </c>
      <c r="S4" s="30">
        <f t="shared" ref="S4:S50" si="8">IFERROR(Q4/(Q4+R4),0)</f>
        <v>0</v>
      </c>
      <c r="T4" s="30">
        <f t="shared" ref="T4:T50" si="9">IFERROR(R4/(Q4+R4),0)</f>
        <v>0</v>
      </c>
      <c r="U4" s="27">
        <f>COUNTIFS([3]InfCualitativo!$B$1:$B$6973,"VERDADERO",[3]InfCualitativo!$E$1:$E$6973,"Arroyo de Piedra",[3]InfCualitativo!$H$1:$H$6973,"rx")</f>
        <v>0</v>
      </c>
      <c r="V4" s="27">
        <f>COUNTIFS([3]InfCualitativo!$B$1:$B$6973,"FALSO",[3]InfCualitativo!$E$1:$E$6973,"Arroyo de Piedra",[3]InfCualitativo!$H$1:$H$6973,"rx")</f>
        <v>0</v>
      </c>
      <c r="W4" s="30">
        <f t="shared" ref="W4:W50" si="10">IFERROR(U4/(U4+V4),0)</f>
        <v>0</v>
      </c>
      <c r="X4" s="30">
        <f t="shared" ref="X4:X50" si="11">IFERROR(V4/(U4+V4),0)</f>
        <v>0</v>
      </c>
      <c r="Y4" s="27">
        <f>COUNTIFS([3]InfCualitativo!$B$1:$B$6973,"VERDADERO",[3]InfCualitativo!$E$1:$E$6973,"Arroyo de Piedra",[3]InfCualitativo!$H$1:$H$6973,"ecografias")</f>
        <v>0</v>
      </c>
      <c r="Z4" s="27">
        <f>COUNTIFS([3]InfCualitativo!$B$1:$B$6973,"FALSO",[3]InfCualitativo!$E$1:$E$6973,"Arroyo de Piedra",[3]InfCualitativo!$H$1:$H$6973,"ecografias")</f>
        <v>0</v>
      </c>
      <c r="AA4" s="30">
        <f t="shared" ref="AA4:AA50" si="12">IFERROR(Y4/(Y4+Z4),0)</f>
        <v>0</v>
      </c>
      <c r="AB4" s="30">
        <f t="shared" ref="AB4:AB50" si="13">IFERROR(Z4/(Y4+Z4),0)</f>
        <v>0</v>
      </c>
      <c r="AC4" s="27">
        <f>COUNTIFS([3]InfCualitativo!$B$1:$B$6973,"VERDADERO",[3]InfCualitativo!$E$1:$E$6973,"Arroyo de Piedra",[3]InfCualitativo!$H$1:$H$6973,"urgencia")</f>
        <v>0</v>
      </c>
      <c r="AD4" s="27">
        <f>COUNTIFS([3]InfCualitativo!$B$1:$B$6973,"FALSO",[3]InfCualitativo!$E$1:$E$6973,"Arroyo de Piedra",[3]InfCualitativo!$H$1:$H$6973,"urgencia")</f>
        <v>0</v>
      </c>
      <c r="AE4" s="30">
        <f t="shared" ref="AE4:AE50" si="14">IFERROR(AC4/(AC4+AD4),0)</f>
        <v>0</v>
      </c>
      <c r="AF4" s="30">
        <f t="shared" ref="AF4:AF50" si="15">IFERROR(AD4/(AC4+AD4),0)</f>
        <v>0</v>
      </c>
      <c r="AG4" s="27">
        <f>COUNTIFS([3]InfCualitativo!$B$1:$B$6973,"VERDADERO",[3]InfCualitativo!$E$1:$E$6973,"Arroyo de Piedra",[3]InfCualitativo!$H$1:$H$6973,"pediatria")</f>
        <v>0</v>
      </c>
      <c r="AH4" s="27">
        <f>COUNTIFS([3]InfCualitativo!$B$1:$B$6973,"FALSO",[3]InfCualitativo!$E$1:$E$6973,"Arroyo de Piedra",[3]InfCualitativo!$H$1:$H$6973,"pediatria")</f>
        <v>0</v>
      </c>
      <c r="AI4" s="30">
        <f t="shared" ref="AI4:AI50" si="16">IFERROR(AG4/(AG4+AH4),0)</f>
        <v>0</v>
      </c>
      <c r="AJ4" s="30">
        <f t="shared" ref="AJ4:AJ50" si="17">IFERROR(AH4/(AG4+AH4),0)</f>
        <v>0</v>
      </c>
      <c r="AK4" s="27">
        <f>COUNTIFS([3]InfCualitativo!$B$1:$B$6973,"VERDADERO",[3]InfCualitativo!$E$1:$E$6973,"Arroyo de Piedra",[3]InfCualitativo!$H$1:$H$6973,"medicina_interna")</f>
        <v>0</v>
      </c>
      <c r="AL4" s="27">
        <f>COUNTIFS([3]InfCualitativo!$B$1:$B$6973,"FALSO",[3]InfCualitativo!$E$1:$E$6973,"Arroyo de Piedra",[3]InfCualitativo!$H$1:$H$6973,"medicina_interna")</f>
        <v>0</v>
      </c>
      <c r="AM4" s="30">
        <f t="shared" ref="AM4:AM50" si="18">IFERROR(AK4/(AK4+AL4),0)</f>
        <v>0</v>
      </c>
      <c r="AN4" s="30">
        <f t="shared" ref="AN4:AN50" si="19">IFERROR(AL4/(AK4+AL4),0)</f>
        <v>0</v>
      </c>
      <c r="AO4" s="27">
        <f>COUNTIFS([3]InfCualitativo!$B$1:$B$6973,"VERDADERO",[3]InfCualitativo!$E$1:$E$6973,"Arroyo de Piedra",[3]InfCualitativo!$H$1:$H$6973,"ginecologia")</f>
        <v>0</v>
      </c>
      <c r="AP4" s="27">
        <f>COUNTIFS([3]InfCualitativo!$B$1:$B$6973,"FALSO",[3]InfCualitativo!$E$1:$E$6973,"Arroyo de Piedra",[3]InfCualitativo!$H$1:$H$6973,"ginecologia")</f>
        <v>0</v>
      </c>
      <c r="AQ4" s="30">
        <f t="shared" ref="AQ4:AQ50" si="20">IFERROR(AO4/(AO4+AP4),0)</f>
        <v>0</v>
      </c>
      <c r="AR4" s="30">
        <f t="shared" ref="AR4:AR50" si="21">IFERROR(AP4/(AO4+AP4),0)</f>
        <v>0</v>
      </c>
      <c r="AS4" s="27">
        <f t="shared" ref="AS4:AT50" si="22">SUM(E4+I4+M4+Q4+U4+Y4+AC4+AG4+AK4+AO4)</f>
        <v>110</v>
      </c>
      <c r="AT4" s="27">
        <f t="shared" si="22"/>
        <v>16</v>
      </c>
      <c r="AU4" s="32">
        <f t="shared" ref="AU4:AU50" si="23">IFERROR(AS4/(AS4+AT4),0)</f>
        <v>0.87301587301587302</v>
      </c>
      <c r="AV4" s="32">
        <f t="shared" ref="AV4:AV50" si="24">IFERROR(AT4/(AS4+AT4),0)</f>
        <v>0.12698412698412698</v>
      </c>
    </row>
    <row r="5" spans="1:48" ht="18.75" x14ac:dyDescent="0.3">
      <c r="A5" s="26" t="s">
        <v>24</v>
      </c>
      <c r="B5" s="27">
        <v>124</v>
      </c>
      <c r="C5" s="27">
        <f t="shared" si="1"/>
        <v>124</v>
      </c>
      <c r="D5" s="28">
        <f t="shared" si="0"/>
        <v>100</v>
      </c>
      <c r="E5" s="29">
        <f>COUNTIFS([3]InfCualitativo!$B$1:$B$6973,"VERDADERO",[3]InfCualitativo!$E$1:$E$6973,"Arroyo Grande",[3]InfCualitativo!$H$1:$H$6973,"consulta_externa")</f>
        <v>45</v>
      </c>
      <c r="F5" s="29">
        <f>COUNTIFS([3]InfCualitativo!$B$1:$B$6973,"FALSO",[3]InfCualitativo!$E$1:$E$6973,"Arroyo Grande",[3]InfCualitativo!$H$1:$H$6973,"consulta_externa")</f>
        <v>0</v>
      </c>
      <c r="G5" s="30">
        <f t="shared" si="2"/>
        <v>1</v>
      </c>
      <c r="H5" s="30">
        <f t="shared" si="3"/>
        <v>0</v>
      </c>
      <c r="I5" s="27">
        <f>COUNTIFS([3]InfCualitativo!$B$1:$B$6973,"VERDADERO",[3]InfCualitativo!$E$1:$E$6973,"Arroyo Grande",[3]InfCualitativo!$H$1:$H$6973,"salud_oral")</f>
        <v>35</v>
      </c>
      <c r="J5" s="27">
        <f>COUNTIFS([3]InfCualitativo!$B$1:$B$6973,"FALSO",[3]InfCualitativo!$E$1:$E$6973,"Arroyo Grande",[3]InfCualitativo!$H$1:$H$6973,"salud_oral")</f>
        <v>0</v>
      </c>
      <c r="K5" s="30">
        <f t="shared" si="4"/>
        <v>1</v>
      </c>
      <c r="L5" s="30">
        <f t="shared" si="5"/>
        <v>0</v>
      </c>
      <c r="M5" s="27">
        <f>COUNTIFS([3]InfCualitativo!$B$1:$B$6973,"VERDADERO",[3]InfCualitativo!$E$1:$E$6973,"Arroyo Grande",[3]InfCualitativo!$H$1:$H$6973,"laboratorio")</f>
        <v>43</v>
      </c>
      <c r="N5" s="27">
        <f>COUNTIFS([3]InfCualitativo!$B$1:$B$6973,"FALSO",[3]InfCualitativo!$E$1:$E$6973,"Arroyo Grande",[3]InfCualitativo!$H$1:$H$6973,"laboratorio")</f>
        <v>1</v>
      </c>
      <c r="O5" s="30">
        <f t="shared" si="6"/>
        <v>0.97727272727272729</v>
      </c>
      <c r="P5" s="31">
        <f t="shared" si="7"/>
        <v>2.2727272727272728E-2</v>
      </c>
      <c r="Q5" s="27">
        <f>COUNTIFS([3]InfCualitativo!$B$1:$B$6973,"VERDADERO",[3]InfCualitativo!$E$1:$E$6973,"Arroyo Grande",[3]InfCualitativo!$H$1:$H$6973,"electros")</f>
        <v>0</v>
      </c>
      <c r="R5" s="27">
        <f>COUNTIFS([3]InfCualitativo!$B$1:$B$6973,"FALSO",[3]InfCualitativo!$E$1:$E$6973,"Arroyo Grande",[3]InfCualitativo!$H$1:$H$6973,"electros")</f>
        <v>0</v>
      </c>
      <c r="S5" s="30">
        <f t="shared" si="8"/>
        <v>0</v>
      </c>
      <c r="T5" s="30">
        <f t="shared" si="9"/>
        <v>0</v>
      </c>
      <c r="U5" s="27">
        <f>COUNTIFS([3]InfCualitativo!$B$1:$B$6973,"VERDADERO",[3]InfCualitativo!$E$1:$E$6973,"Arroyo Grande",[3]InfCualitativo!$H$1:$H$6973,"rx")</f>
        <v>0</v>
      </c>
      <c r="V5" s="27">
        <f>COUNTIFS([3]InfCualitativo!$B$1:$B$6973,"FALSO",[3]InfCualitativo!$E$1:$E$6973,"Arroyo Grande",[3]InfCualitativo!$H$1:$H$6973,"rx")</f>
        <v>0</v>
      </c>
      <c r="W5" s="30">
        <f t="shared" si="10"/>
        <v>0</v>
      </c>
      <c r="X5" s="30">
        <f t="shared" si="11"/>
        <v>0</v>
      </c>
      <c r="Y5" s="27">
        <f>COUNTIFS([3]InfCualitativo!$B$1:$B$6973,"VERDADERO",[3]InfCualitativo!$E$1:$E$6973,"Arroyo Grande",[3]InfCualitativo!$H$1:$H$6973,"ecografias")</f>
        <v>0</v>
      </c>
      <c r="Z5" s="27">
        <f>COUNTIFS([3]InfCualitativo!$B$1:$B$6973,"FALSO",[3]InfCualitativo!$E$1:$E$6973,"Arroyo Grande",[3]InfCualitativo!$H$1:$H$6973,"ecografias")</f>
        <v>0</v>
      </c>
      <c r="AA5" s="30">
        <f t="shared" si="12"/>
        <v>0</v>
      </c>
      <c r="AB5" s="30">
        <f t="shared" si="13"/>
        <v>0</v>
      </c>
      <c r="AC5" s="27">
        <f>COUNTIFS([3]InfCualitativo!$B$1:$B$6973,"VERDADERO",[3]InfCualitativo!$E$1:$E$6973,"Arroyo Grande",[3]InfCualitativo!$H$1:$H$6973,"urgencia")</f>
        <v>0</v>
      </c>
      <c r="AD5" s="27">
        <f>COUNTIFS([3]InfCualitativo!$B$1:$B$6973,"FALSO",[3]InfCualitativo!$E$1:$E$6973,"Arroyo Grande",[3]InfCualitativo!$H$1:$H$6973,"urgencia")</f>
        <v>0</v>
      </c>
      <c r="AE5" s="30">
        <f t="shared" si="14"/>
        <v>0</v>
      </c>
      <c r="AF5" s="30">
        <f t="shared" si="15"/>
        <v>0</v>
      </c>
      <c r="AG5" s="27">
        <f>COUNTIFS([3]InfCualitativo!$B$1:$B$6973,"VERDADERO",[3]InfCualitativo!$E$1:$E$6973,"Arroyo Grande",[3]InfCualitativo!$H$1:$H$6973,"pediatria")</f>
        <v>0</v>
      </c>
      <c r="AH5" s="27">
        <f>COUNTIFS([3]InfCualitativo!$B$1:$B$6973,"FALSO",[3]InfCualitativo!$E$1:$E$6973,"Arroyo Grande",[3]InfCualitativo!$H$1:$H$6973,"pediatria")</f>
        <v>0</v>
      </c>
      <c r="AI5" s="30">
        <f t="shared" si="16"/>
        <v>0</v>
      </c>
      <c r="AJ5" s="30">
        <f t="shared" si="17"/>
        <v>0</v>
      </c>
      <c r="AK5" s="27">
        <f>COUNTIFS([3]InfCualitativo!$B$1:$B$6973,"VERDADERO",[3]InfCualitativo!$E$1:$E$6973,"Arroyo Grande",[3]InfCualitativo!$H$1:$H$6973,"medicina_interna")</f>
        <v>0</v>
      </c>
      <c r="AL5" s="27">
        <f>COUNTIFS([3]InfCualitativo!$B$1:$B$6973,"FALSO",[3]InfCualitativo!$E$1:$E$6973,"Arroyo Grande",[3]InfCualitativo!$H$1:$H$6973,"medicina_interna")</f>
        <v>0</v>
      </c>
      <c r="AM5" s="30">
        <f t="shared" si="18"/>
        <v>0</v>
      </c>
      <c r="AN5" s="30">
        <f t="shared" si="19"/>
        <v>0</v>
      </c>
      <c r="AO5" s="27">
        <f>COUNTIFS([3]InfCualitativo!$B$1:$B$6973,"VERDADERO",[3]InfCualitativo!$E$1:$E$6973,"Arroyo Grande",[3]InfCualitativo!$H$1:$H$6973,"ginecologia")</f>
        <v>0</v>
      </c>
      <c r="AP5" s="27">
        <f>COUNTIFS([3]InfCualitativo!$B$1:$B$6973,"FALSO",[3]InfCualitativo!$E$1:$E$6973,"Arroyo Grande",[3]InfCualitativo!$H$1:$H$6973,"ginecologia")</f>
        <v>0</v>
      </c>
      <c r="AQ5" s="30">
        <f t="shared" si="20"/>
        <v>0</v>
      </c>
      <c r="AR5" s="30">
        <f t="shared" si="21"/>
        <v>0</v>
      </c>
      <c r="AS5" s="27">
        <f t="shared" si="22"/>
        <v>123</v>
      </c>
      <c r="AT5" s="27">
        <f t="shared" si="22"/>
        <v>1</v>
      </c>
      <c r="AU5" s="32">
        <f t="shared" si="23"/>
        <v>0.99193548387096775</v>
      </c>
      <c r="AV5" s="32">
        <f t="shared" si="24"/>
        <v>8.0645161290322578E-3</v>
      </c>
    </row>
    <row r="6" spans="1:48" ht="18.75" x14ac:dyDescent="0.3">
      <c r="A6" s="26" t="s">
        <v>25</v>
      </c>
      <c r="B6" s="27">
        <v>236</v>
      </c>
      <c r="C6" s="27">
        <f t="shared" si="1"/>
        <v>209</v>
      </c>
      <c r="D6" s="28">
        <f t="shared" si="0"/>
        <v>88.559322033898312</v>
      </c>
      <c r="E6" s="29">
        <f>COUNTIFS([3]InfCualitativo!$B$1:$B$6973,"VERDADERO",[3]InfCualitativo!$E$1:$E$6973,"Arroz Barato",[3]InfCualitativo!$H$1:$H$6973,"consulta_externa")</f>
        <v>35</v>
      </c>
      <c r="F6" s="29">
        <f>COUNTIFS([3]InfCualitativo!$B$1:$B$6973,"FALSO",[3]InfCualitativo!$E$1:$E$6973,"Arroz Barato",[3]InfCualitativo!$H$1:$H$6973,"consulta_externa")</f>
        <v>11</v>
      </c>
      <c r="G6" s="30">
        <f t="shared" si="2"/>
        <v>0.76086956521739135</v>
      </c>
      <c r="H6" s="30">
        <f t="shared" si="3"/>
        <v>0.2391304347826087</v>
      </c>
      <c r="I6" s="27">
        <f>COUNTIFS([3]InfCualitativo!$B$1:$B$6973,"VERDADERO",[3]InfCualitativo!$E$1:$E$6973,"Arroz Barato",[3]InfCualitativo!$H$1:$H$6973,"salud_oral")</f>
        <v>44</v>
      </c>
      <c r="J6" s="27">
        <f>COUNTIFS([3]InfCualitativo!$B$1:$B$6973,"FALSO",[3]InfCualitativo!$E$1:$E$6973,"Arroz Barato",[3]InfCualitativo!$H$1:$H$6973,"salud_oral")</f>
        <v>2</v>
      </c>
      <c r="K6" s="30">
        <f t="shared" si="4"/>
        <v>0.95652173913043481</v>
      </c>
      <c r="L6" s="30">
        <f t="shared" si="5"/>
        <v>4.3478260869565216E-2</v>
      </c>
      <c r="M6" s="27">
        <f>COUNTIFS([3]InfCualitativo!$B$1:$B$6973,"VERDADERO",[3]InfCualitativo!$E$1:$E$6973,"Arroz Barato",[3]InfCualitativo!$H$1:$H$6973,"laboratorio")</f>
        <v>31</v>
      </c>
      <c r="N6" s="27">
        <f>COUNTIFS([3]InfCualitativo!$B$1:$B$6973,"FALSO",[3]InfCualitativo!$E$1:$E$6973,"Arroz Barato",[3]InfCualitativo!$H$1:$H$6973,"laboratorio")</f>
        <v>13</v>
      </c>
      <c r="O6" s="30">
        <f t="shared" si="6"/>
        <v>0.70454545454545459</v>
      </c>
      <c r="P6" s="31">
        <f t="shared" si="7"/>
        <v>0.29545454545454547</v>
      </c>
      <c r="Q6" s="27">
        <f>COUNTIFS([3]InfCualitativo!$B$1:$B$6973,"VERDADERO",[3]InfCualitativo!$E$1:$E$6973,"Arroz Barato",[3]InfCualitativo!$H$1:$H$6973,"electros")</f>
        <v>0</v>
      </c>
      <c r="R6" s="27">
        <f>COUNTIFS([3]InfCualitativo!$B$1:$B$6973,"FALSO",[3]InfCualitativo!$E$1:$E$6973,"Arroz Barato",[3]InfCualitativo!$H$1:$H$6973,"electros")</f>
        <v>0</v>
      </c>
      <c r="S6" s="30">
        <f t="shared" si="8"/>
        <v>0</v>
      </c>
      <c r="T6" s="30">
        <f t="shared" si="9"/>
        <v>0</v>
      </c>
      <c r="U6" s="27">
        <f>COUNTIFS([3]InfCualitativo!$B$1:$B$6973,"VERDADERO",[3]InfCualitativo!$E$1:$E$6973,"Arroz Barato",[3]InfCualitativo!$H$1:$H$6973,"rx")</f>
        <v>28</v>
      </c>
      <c r="V6" s="27">
        <f>COUNTIFS([3]InfCualitativo!$B$1:$B$6973,"FALSO",[3]InfCualitativo!$E$1:$E$6973,"Arroz Barato",[3]InfCualitativo!$H$1:$H$6973,"rx")</f>
        <v>1</v>
      </c>
      <c r="W6" s="30">
        <f t="shared" si="10"/>
        <v>0.96551724137931039</v>
      </c>
      <c r="X6" s="30">
        <f t="shared" si="11"/>
        <v>3.4482758620689655E-2</v>
      </c>
      <c r="Y6" s="27">
        <f>COUNTIFS([3]InfCualitativo!$B$1:$B$6973,"VERDADERO",[3]InfCualitativo!$E$1:$E$6973,"Arroz Barato",[3]InfCualitativo!$H$1:$H$6973,"ecografias")</f>
        <v>0</v>
      </c>
      <c r="Z6" s="27">
        <f>COUNTIFS([3]InfCualitativo!$B$1:$B$6973,"FALSO",[3]InfCualitativo!$E$1:$E$6973,"Arroz Barato",[3]InfCualitativo!$H$1:$H$6973,"ecografias")</f>
        <v>0</v>
      </c>
      <c r="AA6" s="30">
        <f t="shared" si="12"/>
        <v>0</v>
      </c>
      <c r="AB6" s="30">
        <f t="shared" si="13"/>
        <v>0</v>
      </c>
      <c r="AC6" s="27">
        <f>COUNTIFS([3]InfCualitativo!$B$1:$B$6973,"VERDADERO",[3]InfCualitativo!$E$1:$E$6973,"Arroz Barato",[3]InfCualitativo!$H$1:$H$6973,"urgencia")</f>
        <v>32</v>
      </c>
      <c r="AD6" s="27">
        <f>COUNTIFS([3]InfCualitativo!$B$1:$B$6973,"FALSO",[3]InfCualitativo!$E$1:$E$6973,"Arroz Barato",[3]InfCualitativo!$H$1:$H$6973,"urgencia")</f>
        <v>12</v>
      </c>
      <c r="AE6" s="30">
        <f t="shared" si="14"/>
        <v>0.72727272727272729</v>
      </c>
      <c r="AF6" s="30">
        <f t="shared" si="15"/>
        <v>0.27272727272727271</v>
      </c>
      <c r="AG6" s="27">
        <f>COUNTIFS([3]InfCualitativo!$B$1:$B$6973,"VERDADERO",[3]InfCualitativo!$E$1:$E$6973,"Arroz Barato",[3]InfCualitativo!$H$1:$H$6973,"pediatria")</f>
        <v>0</v>
      </c>
      <c r="AH6" s="27">
        <f>COUNTIFS([3]InfCualitativo!$B$1:$B$6973,"FALSO",[3]InfCualitativo!$E$1:$E$6973,"Arroz Barato",[3]InfCualitativo!$H$1:$H$6973,"pediatria")</f>
        <v>0</v>
      </c>
      <c r="AI6" s="30">
        <f t="shared" si="16"/>
        <v>0</v>
      </c>
      <c r="AJ6" s="30">
        <f t="shared" si="17"/>
        <v>0</v>
      </c>
      <c r="AK6" s="27">
        <f>COUNTIFS([3]InfCualitativo!$B$1:$B$6973,"VERDADERO",[3]InfCualitativo!$E$1:$E$6973,"Arroz Barato",[3]InfCualitativo!$H$1:$H$6973,"medicina_interna")</f>
        <v>0</v>
      </c>
      <c r="AL6" s="27">
        <f>COUNTIFS([3]InfCualitativo!$B$1:$B$6973,"FALSO",[3]InfCualitativo!$E$1:$E$6973,"Arroz Barato",[3]InfCualitativo!$H$1:$H$6973,"medicina_interna")</f>
        <v>0</v>
      </c>
      <c r="AM6" s="30">
        <f t="shared" si="18"/>
        <v>0</v>
      </c>
      <c r="AN6" s="30">
        <f t="shared" si="19"/>
        <v>0</v>
      </c>
      <c r="AO6" s="27">
        <f>COUNTIFS([3]InfCualitativo!$B$1:$B$6973,"VERDADERO",[3]InfCualitativo!$E$1:$E$6973,"Arroz Barato",[3]InfCualitativo!$H$1:$H$6973,"ginecologia")</f>
        <v>0</v>
      </c>
      <c r="AP6" s="27">
        <f>COUNTIFS([3]InfCualitativo!$B$1:$B$6973,"FALSO",[3]InfCualitativo!$E$1:$E$6973,"Arroz Barato",[3]InfCualitativo!$H$1:$H$6973,"ginecologia")</f>
        <v>0</v>
      </c>
      <c r="AQ6" s="30">
        <f t="shared" si="20"/>
        <v>0</v>
      </c>
      <c r="AR6" s="30">
        <f t="shared" si="21"/>
        <v>0</v>
      </c>
      <c r="AS6" s="27">
        <f t="shared" si="22"/>
        <v>170</v>
      </c>
      <c r="AT6" s="27">
        <f t="shared" si="22"/>
        <v>39</v>
      </c>
      <c r="AU6" s="32">
        <f t="shared" si="23"/>
        <v>0.8133971291866029</v>
      </c>
      <c r="AV6" s="32">
        <f t="shared" si="24"/>
        <v>0.18660287081339713</v>
      </c>
    </row>
    <row r="7" spans="1:48" ht="18.75" x14ac:dyDescent="0.3">
      <c r="A7" s="26" t="s">
        <v>26</v>
      </c>
      <c r="B7" s="27">
        <v>228</v>
      </c>
      <c r="C7" s="27">
        <f t="shared" si="1"/>
        <v>206</v>
      </c>
      <c r="D7" s="28">
        <f t="shared" si="0"/>
        <v>90.350877192982452</v>
      </c>
      <c r="E7" s="29">
        <f>COUNTIFS([3]InfCualitativo!$B$1:$B$6973,"VERDADERO",[3]InfCualitativo!$E$1:$E$6973,"Bayunca",[3]InfCualitativo!$H$1:$H$6973,"consulta_externa")</f>
        <v>45</v>
      </c>
      <c r="F7" s="29">
        <f>COUNTIFS([3]InfCualitativo!$B$1:$B$6973,"FALSO",[3]InfCualitativo!$E$1:$E$6973,"Bayunca",[3]InfCualitativo!$H$1:$H$6973,"consulta_externa")</f>
        <v>3</v>
      </c>
      <c r="G7" s="30">
        <f t="shared" si="2"/>
        <v>0.9375</v>
      </c>
      <c r="H7" s="30">
        <f t="shared" si="3"/>
        <v>6.25E-2</v>
      </c>
      <c r="I7" s="27">
        <f>COUNTIFS([3]InfCualitativo!$B$1:$B$6973,"VERDADERO",[3]InfCualitativo!$E$1:$E$6973,"Bayunca",[3]InfCualitativo!$H$1:$H$6973,"salud_oral")</f>
        <v>45</v>
      </c>
      <c r="J7" s="27">
        <f>COUNTIFS([3]InfCualitativo!$B$1:$B$6973,"FALSO",[3]InfCualitativo!$E$1:$E$6973,"Bayunca",[3]InfCualitativo!$H$1:$H$6973,"salud_oral")</f>
        <v>1</v>
      </c>
      <c r="K7" s="30">
        <f t="shared" si="4"/>
        <v>0.97826086956521741</v>
      </c>
      <c r="L7" s="30">
        <f t="shared" si="5"/>
        <v>2.1739130434782608E-2</v>
      </c>
      <c r="M7" s="27">
        <f>COUNTIFS([3]InfCualitativo!$B$1:$B$6973,"VERDADERO",[3]InfCualitativo!$E$1:$E$6973,"Bayunca",[3]InfCualitativo!$H$1:$H$6973,"laboratorio")</f>
        <v>33</v>
      </c>
      <c r="N7" s="27">
        <f>COUNTIFS([3]InfCualitativo!$B$1:$B$6973,"FALSO",[3]InfCualitativo!$E$1:$E$6973,"Bayunca",[3]InfCualitativo!$H$1:$H$6973,"laboratorio")</f>
        <v>11</v>
      </c>
      <c r="O7" s="30">
        <f t="shared" si="6"/>
        <v>0.75</v>
      </c>
      <c r="P7" s="31">
        <f t="shared" si="7"/>
        <v>0.25</v>
      </c>
      <c r="Q7" s="27">
        <f>COUNTIFS([3]InfCualitativo!$B$1:$B$6973,"VERDADERO",[3]InfCualitativo!$E$1:$E$6973,"Bayunca",[3]InfCualitativo!$H$1:$H$6973,"electros")</f>
        <v>0</v>
      </c>
      <c r="R7" s="27">
        <f>COUNTIFS([3]InfCualitativo!$B$1:$B$6973,"FALSO",[3]InfCualitativo!$E$1:$E$6973,"Bayunca",[3]InfCualitativo!$H$1:$H$6973,"electros")</f>
        <v>0</v>
      </c>
      <c r="S7" s="30">
        <f t="shared" si="8"/>
        <v>0</v>
      </c>
      <c r="T7" s="30">
        <f t="shared" si="9"/>
        <v>0</v>
      </c>
      <c r="U7" s="27">
        <f>COUNTIFS([3]InfCualitativo!$B$1:$B$6973,"VERDADERO",[3]InfCualitativo!$E$1:$E$6973,"Bayunca",[3]InfCualitativo!$H$1:$H$6973,"rx")</f>
        <v>0</v>
      </c>
      <c r="V7" s="27">
        <f>COUNTIFS([3]InfCualitativo!$B$1:$B$6973,"FALSO",[3]InfCualitativo!$E$1:$E$6973,"Bayunca",[3]InfCualitativo!$H$1:$H$6973,"rx")</f>
        <v>0</v>
      </c>
      <c r="W7" s="30">
        <f t="shared" si="10"/>
        <v>0</v>
      </c>
      <c r="X7" s="30">
        <f t="shared" si="11"/>
        <v>0</v>
      </c>
      <c r="Y7" s="27">
        <f>COUNTIFS([3]InfCualitativo!$B$1:$B$6973,"VERDADERO",[3]InfCualitativo!$E$1:$E$6973,"Bayunca",[3]InfCualitativo!$H$1:$H$6973,"ecografias")</f>
        <v>0</v>
      </c>
      <c r="Z7" s="27">
        <f>COUNTIFS([3]InfCualitativo!$B$1:$B$6973,"FALSO",[3]InfCualitativo!$E$1:$E$6973,"Bayunca",[3]InfCualitativo!$H$1:$H$6973,"ecografias")</f>
        <v>0</v>
      </c>
      <c r="AA7" s="30">
        <f t="shared" si="12"/>
        <v>0</v>
      </c>
      <c r="AB7" s="30">
        <f t="shared" si="13"/>
        <v>0</v>
      </c>
      <c r="AC7" s="27">
        <f>COUNTIFS([3]InfCualitativo!$B$1:$B$6973,"VERDADERO",[3]InfCualitativo!$E$1:$E$6973,"Bayunca",[3]InfCualitativo!$H$1:$H$6973,"urgencia")</f>
        <v>24</v>
      </c>
      <c r="AD7" s="27">
        <f>COUNTIFS([3]InfCualitativo!$B$1:$B$6973,"FALSO",[3]InfCualitativo!$E$1:$E$6973,"Bayunca",[3]InfCualitativo!$H$1:$H$6973,"urgencia")</f>
        <v>22</v>
      </c>
      <c r="AE7" s="30">
        <f t="shared" si="14"/>
        <v>0.52173913043478259</v>
      </c>
      <c r="AF7" s="30">
        <f t="shared" si="15"/>
        <v>0.47826086956521741</v>
      </c>
      <c r="AG7" s="27">
        <f>COUNTIFS([3]InfCualitativo!$B$1:$B$6973,"VERDADERO",[3]InfCualitativo!$E$1:$E$6973,"Bayunca",[3]InfCualitativo!$H$1:$H$6973,"pediatria")</f>
        <v>21</v>
      </c>
      <c r="AH7" s="27">
        <f>COUNTIFS([3]InfCualitativo!$B$1:$B$6973,"FALSO",[3]InfCualitativo!$E$1:$E$6973,"Bayunca",[3]InfCualitativo!$H$1:$H$6973,"pediatria")</f>
        <v>1</v>
      </c>
      <c r="AI7" s="30">
        <f t="shared" si="16"/>
        <v>0.95454545454545459</v>
      </c>
      <c r="AJ7" s="30">
        <f t="shared" si="17"/>
        <v>4.5454545454545456E-2</v>
      </c>
      <c r="AK7" s="27">
        <f>COUNTIFS([3]InfCualitativo!$B$1:$B$6973,"VERDADERO",[3]InfCualitativo!$E$1:$E$6973,"Bayunca",[3]InfCualitativo!$H$1:$H$6973,"medicina_interna")</f>
        <v>0</v>
      </c>
      <c r="AL7" s="27">
        <f>COUNTIFS([3]InfCualitativo!$B$1:$B$6973,"FALSO",[3]InfCualitativo!$E$1:$E$6973,"Bayunca",[3]InfCualitativo!$H$1:$H$6973,"medicina_interna")</f>
        <v>0</v>
      </c>
      <c r="AM7" s="30">
        <f t="shared" si="18"/>
        <v>0</v>
      </c>
      <c r="AN7" s="30">
        <f t="shared" si="19"/>
        <v>0</v>
      </c>
      <c r="AO7" s="27">
        <f>COUNTIFS([3]InfCualitativo!$B$1:$B$6973,"VERDADERO",[3]InfCualitativo!$E$1:$E$6973,"Bayunca",[3]InfCualitativo!$H$1:$H$6973,"ginecologia")</f>
        <v>0</v>
      </c>
      <c r="AP7" s="27">
        <f>COUNTIFS([3]InfCualitativo!$B$1:$B$6973,"FALSO",[3]InfCualitativo!$E$1:$E$6973,"Bayunca",[3]InfCualitativo!$H$1:$H$6973,"ginecologia")</f>
        <v>0</v>
      </c>
      <c r="AQ7" s="30">
        <f t="shared" si="20"/>
        <v>0</v>
      </c>
      <c r="AR7" s="30">
        <f t="shared" si="21"/>
        <v>0</v>
      </c>
      <c r="AS7" s="27">
        <f t="shared" si="22"/>
        <v>168</v>
      </c>
      <c r="AT7" s="27">
        <f t="shared" si="22"/>
        <v>38</v>
      </c>
      <c r="AU7" s="32">
        <f t="shared" si="23"/>
        <v>0.81553398058252424</v>
      </c>
      <c r="AV7" s="32">
        <f t="shared" si="24"/>
        <v>0.18446601941747573</v>
      </c>
    </row>
    <row r="8" spans="1:48" ht="18.75" x14ac:dyDescent="0.3">
      <c r="A8" s="26" t="s">
        <v>27</v>
      </c>
      <c r="B8" s="27">
        <v>236</v>
      </c>
      <c r="C8" s="27">
        <f t="shared" si="1"/>
        <v>177</v>
      </c>
      <c r="D8" s="28">
        <f t="shared" si="0"/>
        <v>75</v>
      </c>
      <c r="E8" s="29">
        <f>COUNTIFS([3]InfCualitativo!$B$1:$B$6973,"VERDADERO",[3]InfCualitativo!$E$1:$E$6973,"Bicentenario",[3]InfCualitativo!$H$1:$H$6973,"consulta_externa")</f>
        <v>36</v>
      </c>
      <c r="F8" s="29">
        <f>COUNTIFS([3]InfCualitativo!$B$1:$B$6973,"FALSO",[3]InfCualitativo!$E$1:$E$6973,"Bicentenario",[3]InfCualitativo!$H$1:$H$6973,"consulta_externa")</f>
        <v>1</v>
      </c>
      <c r="G8" s="30">
        <f t="shared" si="2"/>
        <v>0.97297297297297303</v>
      </c>
      <c r="H8" s="30">
        <f t="shared" si="3"/>
        <v>2.7027027027027029E-2</v>
      </c>
      <c r="I8" s="27">
        <f>COUNTIFS([3]InfCualitativo!$B$1:$B$6973,"VERDADERO",[3]InfCualitativo!$E$1:$E$6973,"Bicentenario",[3]InfCualitativo!$H$1:$H$6973,"salud_oral")</f>
        <v>36</v>
      </c>
      <c r="J8" s="27">
        <f>COUNTIFS([3]InfCualitativo!$B$1:$B$6973,"FALSO",[3]InfCualitativo!$E$1:$E$6973,"Bicentenario",[3]InfCualitativo!$H$1:$H$6973,"salud_oral")</f>
        <v>0</v>
      </c>
      <c r="K8" s="30">
        <f t="shared" si="4"/>
        <v>1</v>
      </c>
      <c r="L8" s="30">
        <f t="shared" si="5"/>
        <v>0</v>
      </c>
      <c r="M8" s="27">
        <f>COUNTIFS([3]InfCualitativo!$B$1:$B$6973,"VERDADERO",[3]InfCualitativo!$E$1:$E$6973,"Bicentenario",[3]InfCualitativo!$H$1:$H$6973,"laboratorio")</f>
        <v>35</v>
      </c>
      <c r="N8" s="27">
        <f>COUNTIFS([3]InfCualitativo!$B$1:$B$6973,"FALSO",[3]InfCualitativo!$E$1:$E$6973,"Bicentenario",[3]InfCualitativo!$H$1:$H$6973,"laboratorio")</f>
        <v>0</v>
      </c>
      <c r="O8" s="30">
        <f t="shared" si="6"/>
        <v>1</v>
      </c>
      <c r="P8" s="31">
        <f t="shared" si="7"/>
        <v>0</v>
      </c>
      <c r="Q8" s="27">
        <f>COUNTIFS([3]InfCualitativo!$B$1:$B$6973,"VERDADERO",[3]InfCualitativo!$E$1:$E$6973,"Bicentenario",[3]InfCualitativo!$H$1:$H$6973,"electros")</f>
        <v>0</v>
      </c>
      <c r="R8" s="27">
        <f>COUNTIFS([3]InfCualitativo!$B$1:$B$6973,"FALSO",[3]InfCualitativo!$E$1:$E$6973,"Bicentenario",[3]InfCualitativo!$H$1:$H$6973,"electros")</f>
        <v>0</v>
      </c>
      <c r="S8" s="30">
        <f t="shared" si="8"/>
        <v>0</v>
      </c>
      <c r="T8" s="30">
        <f t="shared" si="9"/>
        <v>0</v>
      </c>
      <c r="U8" s="27">
        <f>COUNTIFS([3]InfCualitativo!$B$1:$B$6973,"VERDADERO",[3]InfCualitativo!$E$1:$E$6973,"Bicentenario",[3]InfCualitativo!$H$1:$H$6973,"rx")</f>
        <v>33</v>
      </c>
      <c r="V8" s="27">
        <f>COUNTIFS([3]InfCualitativo!$B$1:$B$6973,"FALSO",[3]InfCualitativo!$E$1:$E$6973,"Bicentenario",[3]InfCualitativo!$H$1:$H$6973,"rx")</f>
        <v>0</v>
      </c>
      <c r="W8" s="30">
        <f t="shared" si="10"/>
        <v>1</v>
      </c>
      <c r="X8" s="30">
        <f t="shared" si="11"/>
        <v>0</v>
      </c>
      <c r="Y8" s="27">
        <f>COUNTIFS([3]InfCualitativo!$B$1:$B$6973,"VERDADERO",[3]InfCualitativo!$E$1:$E$6973,"Bicentenario",[3]InfCualitativo!$H$1:$H$6973,"ecografias")</f>
        <v>0</v>
      </c>
      <c r="Z8" s="27">
        <f>COUNTIFS([3]InfCualitativo!$B$1:$B$6973,"FALSO",[3]InfCualitativo!$E$1:$E$6973,"Bicentenario",[3]InfCualitativo!$H$1:$H$6973,"ecografias")</f>
        <v>0</v>
      </c>
      <c r="AA8" s="30">
        <f t="shared" si="12"/>
        <v>0</v>
      </c>
      <c r="AB8" s="30">
        <f t="shared" si="13"/>
        <v>0</v>
      </c>
      <c r="AC8" s="27">
        <f>COUNTIFS([3]InfCualitativo!$B$1:$B$6973,"VERDADERO",[3]InfCualitativo!$E$1:$E$6973,"Bicentenario",[3]InfCualitativo!$H$1:$H$6973,"urgencia")</f>
        <v>36</v>
      </c>
      <c r="AD8" s="27">
        <f>COUNTIFS([3]InfCualitativo!$B$1:$B$6973,"FALSO",[3]InfCualitativo!$E$1:$E$6973,"Bicentenario",[3]InfCualitativo!$H$1:$H$6973,"urgencia")</f>
        <v>0</v>
      </c>
      <c r="AE8" s="30">
        <f t="shared" si="14"/>
        <v>1</v>
      </c>
      <c r="AF8" s="30">
        <f t="shared" si="15"/>
        <v>0</v>
      </c>
      <c r="AG8" s="27">
        <f>COUNTIFS([3]InfCualitativo!$B$1:$B$6973,"VERDADERO",[3]InfCualitativo!$E$1:$E$6973,"Bicentenario",[3]InfCualitativo!$H$1:$H$6973,"pediatria")</f>
        <v>0</v>
      </c>
      <c r="AH8" s="27">
        <f>COUNTIFS([3]InfCualitativo!$B$1:$B$6973,"FALSO",[3]InfCualitativo!$E$1:$E$6973,"Bicentenario",[3]InfCualitativo!$H$1:$H$6973,"pediatria")</f>
        <v>0</v>
      </c>
      <c r="AI8" s="30">
        <f t="shared" si="16"/>
        <v>0</v>
      </c>
      <c r="AJ8" s="30">
        <f t="shared" si="17"/>
        <v>0</v>
      </c>
      <c r="AK8" s="27">
        <f>COUNTIFS([3]InfCualitativo!$B$1:$B$6973,"VERDADERO",[3]InfCualitativo!$E$1:$E$6973,"Bicentenario",[3]InfCualitativo!$H$1:$H$6973,"medicina_interna")</f>
        <v>0</v>
      </c>
      <c r="AL8" s="27">
        <f>COUNTIFS([3]InfCualitativo!$B$1:$B$6973,"FALSO",[3]InfCualitativo!$E$1:$E$6973,"Bicentenario",[3]InfCualitativo!$H$1:$H$6973,"medicina_interna")</f>
        <v>0</v>
      </c>
      <c r="AM8" s="30">
        <f t="shared" si="18"/>
        <v>0</v>
      </c>
      <c r="AN8" s="30">
        <f t="shared" si="19"/>
        <v>0</v>
      </c>
      <c r="AO8" s="27">
        <f>COUNTIFS([3]InfCualitativo!$B$1:$B$6973,"VERDADERO",[3]InfCualitativo!$E$1:$E$6973,"Bicentenario",[3]InfCualitativo!$H$1:$H$6973,"ginecologia")</f>
        <v>0</v>
      </c>
      <c r="AP8" s="27">
        <f>COUNTIFS([3]InfCualitativo!$B$1:$B$6973,"FALSO",[3]InfCualitativo!$E$1:$E$6973,"Bicentenario",[3]InfCualitativo!$H$1:$H$6973,"ginecologia")</f>
        <v>0</v>
      </c>
      <c r="AQ8" s="30">
        <f t="shared" si="20"/>
        <v>0</v>
      </c>
      <c r="AR8" s="30">
        <f t="shared" si="21"/>
        <v>0</v>
      </c>
      <c r="AS8" s="27">
        <f t="shared" si="22"/>
        <v>176</v>
      </c>
      <c r="AT8" s="27">
        <f t="shared" si="22"/>
        <v>1</v>
      </c>
      <c r="AU8" s="32">
        <f t="shared" si="23"/>
        <v>0.99435028248587576</v>
      </c>
      <c r="AV8" s="32">
        <f t="shared" si="24"/>
        <v>5.6497175141242938E-3</v>
      </c>
    </row>
    <row r="9" spans="1:48" ht="18.75" x14ac:dyDescent="0.3">
      <c r="A9" s="26" t="s">
        <v>28</v>
      </c>
      <c r="B9" s="27">
        <v>240</v>
      </c>
      <c r="C9" s="27">
        <f t="shared" si="1"/>
        <v>240</v>
      </c>
      <c r="D9" s="28">
        <f t="shared" si="0"/>
        <v>100</v>
      </c>
      <c r="E9" s="29">
        <f>COUNTIFS([3]InfCualitativo!$B$1:$B$6973,"VERDADERO",[3]InfCualitativo!$E$1:$E$6973,"Blasdelezo",[3]InfCualitativo!$H$1:$H$6973,"consulta_externa")</f>
        <v>78</v>
      </c>
      <c r="F9" s="29">
        <f>COUNTIFS([3]InfCualitativo!$B$1:$B$6973,"FALSO",[3]InfCualitativo!$E$1:$E$6973,"Blasdelezo",[3]InfCualitativo!$H$1:$H$6973,"consulta_externa")</f>
        <v>0</v>
      </c>
      <c r="G9" s="30">
        <f t="shared" si="2"/>
        <v>1</v>
      </c>
      <c r="H9" s="30">
        <f t="shared" si="3"/>
        <v>0</v>
      </c>
      <c r="I9" s="27">
        <f>COUNTIFS([3]InfCualitativo!$B$1:$B$6973,"VERDADERO",[3]InfCualitativo!$E$1:$E$6973,"Blasdelezo",[3]InfCualitativo!$H$1:$H$6973,"salud_oral")</f>
        <v>32</v>
      </c>
      <c r="J9" s="27">
        <f>COUNTIFS([3]InfCualitativo!$B$1:$B$6973,"FALSO",[3]InfCualitativo!$E$1:$E$6973,"Blasdelezo",[3]InfCualitativo!$H$1:$H$6973,"salud_oral")</f>
        <v>0</v>
      </c>
      <c r="K9" s="30">
        <f t="shared" si="4"/>
        <v>1</v>
      </c>
      <c r="L9" s="30">
        <f t="shared" si="5"/>
        <v>0</v>
      </c>
      <c r="M9" s="27">
        <f>COUNTIFS([3]InfCualitativo!$B$1:$B$6973,"VERDADERO",[3]InfCualitativo!$E$1:$E$6973,"Blasdelezo",[3]InfCualitativo!$H$1:$H$6973,"laboratorio")</f>
        <v>84</v>
      </c>
      <c r="N9" s="27">
        <f>COUNTIFS([3]InfCualitativo!$B$1:$B$6973,"FALSO",[3]InfCualitativo!$E$1:$E$6973,"Blasdelezo",[3]InfCualitativo!$H$1:$H$6973,"laboratorio")</f>
        <v>0</v>
      </c>
      <c r="O9" s="30">
        <f t="shared" si="6"/>
        <v>1</v>
      </c>
      <c r="P9" s="31">
        <f t="shared" si="7"/>
        <v>0</v>
      </c>
      <c r="Q9" s="27">
        <f>COUNTIFS([3]InfCualitativo!$B$1:$B$6973,"VERDADERO",[3]InfCualitativo!$E$1:$E$6973,"Blasdelezo",[3]InfCualitativo!$H$1:$H$6973,"electros")</f>
        <v>0</v>
      </c>
      <c r="R9" s="27">
        <f>COUNTIFS([3]InfCualitativo!$B$1:$B$6973,"FALSO",[3]InfCualitativo!$E$1:$E$6973,"Blasdelezo",[3]InfCualitativo!$H$1:$H$6973,"electros")</f>
        <v>0</v>
      </c>
      <c r="S9" s="30">
        <f t="shared" si="8"/>
        <v>0</v>
      </c>
      <c r="T9" s="30">
        <f t="shared" si="9"/>
        <v>0</v>
      </c>
      <c r="U9" s="27">
        <f>COUNTIFS([3]InfCualitativo!$B$1:$B$6973,"VERDADERO",[3]InfCualitativo!$E$1:$E$6973,"Blasdelezo",[3]InfCualitativo!$H$1:$H$6973,"rx")</f>
        <v>0</v>
      </c>
      <c r="V9" s="27">
        <f>COUNTIFS([3]InfCualitativo!$B$1:$B$6973,"FALSO",[3]InfCualitativo!$E$1:$E$6973,"Blasdelezo",[3]InfCualitativo!$H$1:$H$6973,"rx")</f>
        <v>0</v>
      </c>
      <c r="W9" s="30">
        <f t="shared" si="10"/>
        <v>0</v>
      </c>
      <c r="X9" s="30">
        <f t="shared" si="11"/>
        <v>0</v>
      </c>
      <c r="Y9" s="27">
        <f>COUNTIFS([3]InfCualitativo!$B$1:$B$6973,"VERDADERO",[3]InfCualitativo!$E$1:$E$6973,"Blasdelezo",[3]InfCualitativo!$H$1:$H$6973,"ecografias")</f>
        <v>0</v>
      </c>
      <c r="Z9" s="27">
        <f>COUNTIFS([3]InfCualitativo!$B$1:$B$6973,"FALSO",[3]InfCualitativo!$E$1:$E$6973,"Blasdelezo",[3]InfCualitativo!$H$1:$H$6973,"ecografias")</f>
        <v>0</v>
      </c>
      <c r="AA9" s="30">
        <f t="shared" si="12"/>
        <v>0</v>
      </c>
      <c r="AB9" s="30">
        <f t="shared" si="13"/>
        <v>0</v>
      </c>
      <c r="AC9" s="27">
        <f>COUNTIFS([3]InfCualitativo!$B$1:$B$6973,"VERDADERO",[3]InfCualitativo!$E$1:$E$6973,"Blasdelezo",[3]InfCualitativo!$H$1:$H$6973,"urgencia")</f>
        <v>34</v>
      </c>
      <c r="AD9" s="27">
        <f>COUNTIFS([3]InfCualitativo!$B$1:$B$6973,"FALSO",[3]InfCualitativo!$E$1:$E$6973,"Blasdelezo",[3]InfCualitativo!$H$1:$H$6973,"urgencia")</f>
        <v>0</v>
      </c>
      <c r="AE9" s="30">
        <f t="shared" si="14"/>
        <v>1</v>
      </c>
      <c r="AF9" s="30">
        <f t="shared" si="15"/>
        <v>0</v>
      </c>
      <c r="AG9" s="27">
        <f>COUNTIFS([3]InfCualitativo!$B$1:$B$6973,"VERDADERO",[3]InfCualitativo!$E$1:$E$6973,"Blasdelezo",[3]InfCualitativo!$H$1:$H$6973,"pediatria")</f>
        <v>12</v>
      </c>
      <c r="AH9" s="27">
        <f>COUNTIFS([3]InfCualitativo!$B$1:$B$6973,"FALSO",[3]InfCualitativo!$E$1:$E$6973,"Blasdelezo",[3]InfCualitativo!$H$1:$H$6973,"pediatria")</f>
        <v>0</v>
      </c>
      <c r="AI9" s="30">
        <f t="shared" si="16"/>
        <v>1</v>
      </c>
      <c r="AJ9" s="30">
        <f t="shared" si="17"/>
        <v>0</v>
      </c>
      <c r="AK9" s="27">
        <f>COUNTIFS([3]InfCualitativo!$B$1:$B$6973,"VERDADERO",[3]InfCualitativo!$E$1:$E$6973,"Blasdelezo",[3]InfCualitativo!$H$1:$H$6973,"medicina_interna")</f>
        <v>0</v>
      </c>
      <c r="AL9" s="27">
        <f>COUNTIFS([3]InfCualitativo!$B$1:$B$6973,"FALSO",[3]InfCualitativo!$E$1:$E$6973,"Blasdelezo",[3]InfCualitativo!$H$1:$H$6973,"medicina_interna")</f>
        <v>0</v>
      </c>
      <c r="AM9" s="30">
        <f t="shared" si="18"/>
        <v>0</v>
      </c>
      <c r="AN9" s="30">
        <f t="shared" si="19"/>
        <v>0</v>
      </c>
      <c r="AO9" s="27">
        <f>COUNTIFS([3]InfCualitativo!$B$1:$B$6973,"VERDADERO",[3]InfCualitativo!$E$1:$E$6973,"Blasdelezo",[3]InfCualitativo!$H$1:$H$6973,"ginecologia")</f>
        <v>0</v>
      </c>
      <c r="AP9" s="27">
        <f>COUNTIFS([3]InfCualitativo!$B$1:$B$6973,"FALSO",[3]InfCualitativo!$E$1:$E$6973,"Blasdelezo",[3]InfCualitativo!$H$1:$H$6973,"ginecologia")</f>
        <v>0</v>
      </c>
      <c r="AQ9" s="30">
        <f t="shared" si="20"/>
        <v>0</v>
      </c>
      <c r="AR9" s="30">
        <f t="shared" si="21"/>
        <v>0</v>
      </c>
      <c r="AS9" s="27">
        <f t="shared" si="22"/>
        <v>240</v>
      </c>
      <c r="AT9" s="27">
        <f t="shared" si="22"/>
        <v>0</v>
      </c>
      <c r="AU9" s="32">
        <f t="shared" si="23"/>
        <v>1</v>
      </c>
      <c r="AV9" s="32">
        <f t="shared" si="24"/>
        <v>0</v>
      </c>
    </row>
    <row r="10" spans="1:48" ht="18.75" x14ac:dyDescent="0.3">
      <c r="A10" s="26" t="s">
        <v>29</v>
      </c>
      <c r="B10" s="27">
        <v>176</v>
      </c>
      <c r="C10" s="27">
        <f t="shared" si="1"/>
        <v>126</v>
      </c>
      <c r="D10" s="28">
        <f t="shared" si="0"/>
        <v>71.590909090909093</v>
      </c>
      <c r="E10" s="29">
        <f>COUNTIFS([3]InfCualitativo!$B$1:$B$6973,"VERDADERO",[3]InfCualitativo!$E$1:$E$6973,"Bocachica",[3]InfCualitativo!$H$1:$H$6973,"consulta_externa")</f>
        <v>32</v>
      </c>
      <c r="F10" s="29">
        <f>COUNTIFS([3]InfCualitativo!$B$1:$B$6973,"FALSO",[3]InfCualitativo!$E$1:$E$6973,"Bocachica",[3]InfCualitativo!$H$1:$H$6973,"consulta_externa")</f>
        <v>0</v>
      </c>
      <c r="G10" s="30">
        <f t="shared" si="2"/>
        <v>1</v>
      </c>
      <c r="H10" s="30">
        <f t="shared" si="3"/>
        <v>0</v>
      </c>
      <c r="I10" s="27">
        <f>COUNTIFS([3]InfCualitativo!$B$1:$B$6973,"VERDADERO",[3]InfCualitativo!$E$1:$E$6973,"Bocachica",[3]InfCualitativo!$H$1:$H$6973,"salud_oral")</f>
        <v>32</v>
      </c>
      <c r="J10" s="27">
        <f>COUNTIFS([3]InfCualitativo!$B$1:$B$6973,"FALSO",[3]InfCualitativo!$E$1:$E$6973,"Bocachica",[3]InfCualitativo!$H$1:$H$6973,"salud_oral")</f>
        <v>0</v>
      </c>
      <c r="K10" s="30">
        <f t="shared" si="4"/>
        <v>1</v>
      </c>
      <c r="L10" s="30">
        <f t="shared" si="5"/>
        <v>0</v>
      </c>
      <c r="M10" s="27">
        <f>COUNTIFS([3]InfCualitativo!$B$1:$B$6973,"VERDADERO",[3]InfCualitativo!$E$1:$E$6973,"Bocachica",[3]InfCualitativo!$H$1:$H$6973,"laboratorio")</f>
        <v>33</v>
      </c>
      <c r="N10" s="27">
        <f>COUNTIFS([3]InfCualitativo!$B$1:$B$6973,"FALSO",[3]InfCualitativo!$E$1:$E$6973,"Bocachica",[3]InfCualitativo!$H$1:$H$6973,"laboratorio")</f>
        <v>0</v>
      </c>
      <c r="O10" s="30">
        <f t="shared" si="6"/>
        <v>1</v>
      </c>
      <c r="P10" s="31">
        <f t="shared" si="7"/>
        <v>0</v>
      </c>
      <c r="Q10" s="27">
        <f>COUNTIFS([3]InfCualitativo!$B$1:$B$6973,"VERDADERO",[3]InfCualitativo!$E$1:$E$6973,"Bocachica",[3]InfCualitativo!$H$1:$H$6973,"electros")</f>
        <v>0</v>
      </c>
      <c r="R10" s="27">
        <f>COUNTIFS([3]InfCualitativo!$B$1:$B$6973,"FALSO",[3]InfCualitativo!$E$1:$E$6973,"Bocachica",[3]InfCualitativo!$H$1:$H$6973,"electros")</f>
        <v>0</v>
      </c>
      <c r="S10" s="30">
        <f t="shared" si="8"/>
        <v>0</v>
      </c>
      <c r="T10" s="30">
        <f t="shared" si="9"/>
        <v>0</v>
      </c>
      <c r="U10" s="27">
        <f>COUNTIFS([3]InfCualitativo!$B$1:$B$6973,"VERDADERO",[3]InfCualitativo!$E$1:$E$6973,"Bocachica",[3]InfCualitativo!$H$1:$H$6973,"rx")</f>
        <v>0</v>
      </c>
      <c r="V10" s="27">
        <f>COUNTIFS([3]InfCualitativo!$B$1:$B$6973,"FALSO",[3]InfCualitativo!$E$1:$E$6973,"Bocachica",[3]InfCualitativo!$H$1:$H$6973,"rx")</f>
        <v>0</v>
      </c>
      <c r="W10" s="30">
        <f t="shared" si="10"/>
        <v>0</v>
      </c>
      <c r="X10" s="30">
        <f t="shared" si="11"/>
        <v>0</v>
      </c>
      <c r="Y10" s="27">
        <f>COUNTIFS([3]InfCualitativo!$B$1:$B$6973,"VERDADERO",[3]InfCualitativo!$E$1:$E$6973,"Bocachica",[3]InfCualitativo!$H$1:$H$6973,"ecografias")</f>
        <v>0</v>
      </c>
      <c r="Z10" s="27">
        <f>COUNTIFS([3]InfCualitativo!$B$1:$B$6973,"FALSO",[3]InfCualitativo!$E$1:$E$6973,"Bocachica",[3]InfCualitativo!$H$1:$H$6973,"ecografias")</f>
        <v>0</v>
      </c>
      <c r="AA10" s="30">
        <f t="shared" si="12"/>
        <v>0</v>
      </c>
      <c r="AB10" s="30">
        <f t="shared" si="13"/>
        <v>0</v>
      </c>
      <c r="AC10" s="27">
        <f>COUNTIFS([3]InfCualitativo!$B$1:$B$6973,"VERDADERO",[3]InfCualitativo!$E$1:$E$6973,"Bocachica",[3]InfCualitativo!$H$1:$H$6973,"urgencia")</f>
        <v>29</v>
      </c>
      <c r="AD10" s="27">
        <f>COUNTIFS([3]InfCualitativo!$B$1:$B$6973,"FALSO",[3]InfCualitativo!$E$1:$E$6973,"Bocachica",[3]InfCualitativo!$H$1:$H$6973,"urgencia")</f>
        <v>0</v>
      </c>
      <c r="AE10" s="30">
        <f t="shared" si="14"/>
        <v>1</v>
      </c>
      <c r="AF10" s="30">
        <f t="shared" si="15"/>
        <v>0</v>
      </c>
      <c r="AG10" s="27">
        <f>COUNTIFS([3]InfCualitativo!$B$1:$B$6973,"VERDADERO",[3]InfCualitativo!$E$1:$E$6973,"Bocachica",[3]InfCualitativo!$H$1:$H$6973,"pediatria")</f>
        <v>0</v>
      </c>
      <c r="AH10" s="27">
        <f>COUNTIFS([3]InfCualitativo!$B$1:$B$6973,"FALSO",[3]InfCualitativo!$E$1:$E$6973,"Bocachica",[3]InfCualitativo!$H$1:$H$6973,"pediatria")</f>
        <v>0</v>
      </c>
      <c r="AI10" s="30">
        <f t="shared" si="16"/>
        <v>0</v>
      </c>
      <c r="AJ10" s="30">
        <f t="shared" si="17"/>
        <v>0</v>
      </c>
      <c r="AK10" s="27">
        <f>COUNTIFS([3]InfCualitativo!$B$1:$B$6973,"VERDADERO",[3]InfCualitativo!$E$1:$E$6973,"Bocachica",[3]InfCualitativo!$H$1:$H$6973,"medicina_interna")</f>
        <v>0</v>
      </c>
      <c r="AL10" s="27">
        <f>COUNTIFS([3]InfCualitativo!$B$1:$B$6973,"FALSO",[3]InfCualitativo!$E$1:$E$6973,"Bocachica",[3]InfCualitativo!$H$1:$H$6973,"medicina_interna")</f>
        <v>0</v>
      </c>
      <c r="AM10" s="30">
        <f t="shared" si="18"/>
        <v>0</v>
      </c>
      <c r="AN10" s="30">
        <f t="shared" si="19"/>
        <v>0</v>
      </c>
      <c r="AO10" s="27">
        <f>COUNTIFS([3]InfCualitativo!$B$1:$B$6973,"VERDADERO",[3]InfCualitativo!$E$1:$E$6973,"Bocachica",[3]InfCualitativo!$H$1:$H$6973,"ginecologia")</f>
        <v>0</v>
      </c>
      <c r="AP10" s="27">
        <f>COUNTIFS([3]InfCualitativo!$B$1:$B$6973,"FALSO",[3]InfCualitativo!$E$1:$E$6973,"Bocachica",[3]InfCualitativo!$H$1:$H$6973,"ginecologia")</f>
        <v>0</v>
      </c>
      <c r="AQ10" s="30">
        <f t="shared" si="20"/>
        <v>0</v>
      </c>
      <c r="AR10" s="30">
        <f t="shared" si="21"/>
        <v>0</v>
      </c>
      <c r="AS10" s="27">
        <f t="shared" si="22"/>
        <v>126</v>
      </c>
      <c r="AT10" s="27">
        <f t="shared" si="22"/>
        <v>0</v>
      </c>
      <c r="AU10" s="32">
        <f t="shared" si="23"/>
        <v>1</v>
      </c>
      <c r="AV10" s="32">
        <f t="shared" si="24"/>
        <v>0</v>
      </c>
    </row>
    <row r="11" spans="1:48" ht="18.75" x14ac:dyDescent="0.3">
      <c r="A11" s="26" t="s">
        <v>30</v>
      </c>
      <c r="B11" s="27">
        <v>188</v>
      </c>
      <c r="C11" s="27">
        <f t="shared" si="1"/>
        <v>159</v>
      </c>
      <c r="D11" s="28">
        <f t="shared" si="0"/>
        <v>84.574468085106389</v>
      </c>
      <c r="E11" s="29">
        <f>COUNTIFS([3]InfCualitativo!$B$1:$B$6973,"VERDADERO",[3]InfCualitativo!$E$1:$E$6973,"Boquilla",[3]InfCualitativo!$H$1:$H$6973,"consulta_externa")</f>
        <v>45</v>
      </c>
      <c r="F11" s="29">
        <f>COUNTIFS([3]InfCualitativo!$B$1:$B$6973,"FALSO",[3]InfCualitativo!$E$1:$E$6973,"Boquilla",[3]InfCualitativo!$H$1:$H$6973,"consulta_externa")</f>
        <v>0</v>
      </c>
      <c r="G11" s="30">
        <f t="shared" si="2"/>
        <v>1</v>
      </c>
      <c r="H11" s="30">
        <f t="shared" si="3"/>
        <v>0</v>
      </c>
      <c r="I11" s="27">
        <f>COUNTIFS([3]InfCualitativo!$B$1:$B$6973,"VERDADERO",[3]InfCualitativo!$E$1:$E$6973,"Boquilla",[3]InfCualitativo!$H$1:$H$6973,"salud_oral")</f>
        <v>39</v>
      </c>
      <c r="J11" s="27">
        <f>COUNTIFS([3]InfCualitativo!$B$1:$B$6973,"FALSO",[3]InfCualitativo!$E$1:$E$6973,"Boquilla",[3]InfCualitativo!$H$1:$H$6973,"salud_oral")</f>
        <v>0</v>
      </c>
      <c r="K11" s="30">
        <f t="shared" si="4"/>
        <v>1</v>
      </c>
      <c r="L11" s="30">
        <f t="shared" si="5"/>
        <v>0</v>
      </c>
      <c r="M11" s="27">
        <f>COUNTIFS([3]InfCualitativo!$B$1:$B$6973,"VERDADERO",[3]InfCualitativo!$E$1:$E$6973,"Boquilla",[3]InfCualitativo!$H$1:$H$6973,"laboratorio")</f>
        <v>38</v>
      </c>
      <c r="N11" s="27">
        <f>COUNTIFS([3]InfCualitativo!$B$1:$B$6973,"FALSO",[3]InfCualitativo!$E$1:$E$6973,"Boquilla",[3]InfCualitativo!$H$1:$H$6973,"laboratorio")</f>
        <v>0</v>
      </c>
      <c r="O11" s="30">
        <f t="shared" si="6"/>
        <v>1</v>
      </c>
      <c r="P11" s="31">
        <f t="shared" si="7"/>
        <v>0</v>
      </c>
      <c r="Q11" s="27">
        <f>COUNTIFS([3]InfCualitativo!$B$1:$B$6973,"VERDADERO",[3]InfCualitativo!$E$1:$E$6973,"Boquilla",[3]InfCualitativo!$H$1:$H$6973,"electros")</f>
        <v>0</v>
      </c>
      <c r="R11" s="27">
        <f>COUNTIFS([3]InfCualitativo!$B$1:$B$6973,"FALSO",[3]InfCualitativo!$E$1:$E$6973,"Boquilla",[3]InfCualitativo!$H$1:$H$6973,"electros")</f>
        <v>0</v>
      </c>
      <c r="S11" s="30">
        <f t="shared" si="8"/>
        <v>0</v>
      </c>
      <c r="T11" s="30">
        <f t="shared" si="9"/>
        <v>0</v>
      </c>
      <c r="U11" s="27">
        <f>COUNTIFS([3]InfCualitativo!$B$1:$B$6973,"VERDADERO",[3]InfCualitativo!$E$1:$E$6973,"Boquilla",[3]InfCualitativo!$H$1:$H$6973,"rx")</f>
        <v>0</v>
      </c>
      <c r="V11" s="27">
        <f>COUNTIFS([3]InfCualitativo!$B$1:$B$6973,"FALSO",[3]InfCualitativo!$E$1:$E$6973,"Boquilla",[3]InfCualitativo!$H$1:$H$6973,"rx")</f>
        <v>0</v>
      </c>
      <c r="W11" s="30">
        <f t="shared" si="10"/>
        <v>0</v>
      </c>
      <c r="X11" s="30">
        <f t="shared" si="11"/>
        <v>0</v>
      </c>
      <c r="Y11" s="27">
        <f>COUNTIFS([3]InfCualitativo!$B$1:$B$6973,"VERDADERO",[3]InfCualitativo!$E$1:$E$6973,"Boquilla",[3]InfCualitativo!$H$1:$H$6973,"ecografias")</f>
        <v>0</v>
      </c>
      <c r="Z11" s="27">
        <f>COUNTIFS([3]InfCualitativo!$B$1:$B$6973,"FALSO",[3]InfCualitativo!$E$1:$E$6973,"Boquilla",[3]InfCualitativo!$H$1:$H$6973,"ecografias")</f>
        <v>0</v>
      </c>
      <c r="AA11" s="30">
        <f t="shared" si="12"/>
        <v>0</v>
      </c>
      <c r="AB11" s="30">
        <f t="shared" si="13"/>
        <v>0</v>
      </c>
      <c r="AC11" s="27">
        <f>COUNTIFS([3]InfCualitativo!$B$1:$B$6973,"VERDADERO",[3]InfCualitativo!$E$1:$E$6973,"Boquilla",[3]InfCualitativo!$H$1:$H$6973,"urgencia")</f>
        <v>37</v>
      </c>
      <c r="AD11" s="27">
        <f>COUNTIFS([3]InfCualitativo!$B$1:$B$6973,"FALSO",[3]InfCualitativo!$E$1:$E$6973,"Boquilla",[3]InfCualitativo!$H$1:$H$6973,"urgencia")</f>
        <v>0</v>
      </c>
      <c r="AE11" s="30">
        <f t="shared" si="14"/>
        <v>1</v>
      </c>
      <c r="AF11" s="30">
        <f t="shared" si="15"/>
        <v>0</v>
      </c>
      <c r="AG11" s="27">
        <f>COUNTIFS([3]InfCualitativo!$B$1:$B$6973,"VERDADERO",[3]InfCualitativo!$E$1:$E$6973,"Boquilla",[3]InfCualitativo!$H$1:$H$6973,"pediatria")</f>
        <v>0</v>
      </c>
      <c r="AH11" s="27">
        <f>COUNTIFS([3]InfCualitativo!$B$1:$B$6973,"FALSO",[3]InfCualitativo!$E$1:$E$6973,"Boquilla",[3]InfCualitativo!$H$1:$H$6973,"pediatria")</f>
        <v>0</v>
      </c>
      <c r="AI11" s="30">
        <f t="shared" si="16"/>
        <v>0</v>
      </c>
      <c r="AJ11" s="30">
        <f t="shared" si="17"/>
        <v>0</v>
      </c>
      <c r="AK11" s="27">
        <f>COUNTIFS([3]InfCualitativo!$B$1:$B$6973,"VERDADERO",[3]InfCualitativo!$E$1:$E$6973,"Boquilla",[3]InfCualitativo!$H$1:$H$6973,"medicina_interna")</f>
        <v>0</v>
      </c>
      <c r="AL11" s="27">
        <f>COUNTIFS([3]InfCualitativo!$B$1:$B$6973,"FALSO",[3]InfCualitativo!$E$1:$E$6973,"Boquilla",[3]InfCualitativo!$H$1:$H$6973,"medicina_interna")</f>
        <v>0</v>
      </c>
      <c r="AM11" s="30">
        <f t="shared" si="18"/>
        <v>0</v>
      </c>
      <c r="AN11" s="30">
        <f t="shared" si="19"/>
        <v>0</v>
      </c>
      <c r="AO11" s="27">
        <f>COUNTIFS([3]InfCualitativo!$B$1:$B$6973,"VERDADERO",[3]InfCualitativo!$E$1:$E$6973,"Boquilla",[3]InfCualitativo!$H$1:$H$6973,"ginecologia")</f>
        <v>0</v>
      </c>
      <c r="AP11" s="27">
        <f>COUNTIFS([3]InfCualitativo!$B$1:$B$6973,"FALSO",[3]InfCualitativo!$E$1:$E$6973,"Boquilla",[3]InfCualitativo!$H$1:$H$6973,"ginecologia")</f>
        <v>0</v>
      </c>
      <c r="AQ11" s="30">
        <f t="shared" si="20"/>
        <v>0</v>
      </c>
      <c r="AR11" s="30">
        <f t="shared" si="21"/>
        <v>0</v>
      </c>
      <c r="AS11" s="27">
        <f t="shared" si="22"/>
        <v>159</v>
      </c>
      <c r="AT11" s="27">
        <f t="shared" si="22"/>
        <v>0</v>
      </c>
      <c r="AU11" s="32">
        <f t="shared" si="23"/>
        <v>1</v>
      </c>
      <c r="AV11" s="32">
        <f t="shared" si="24"/>
        <v>0</v>
      </c>
    </row>
    <row r="12" spans="1:48" ht="18.75" x14ac:dyDescent="0.3">
      <c r="A12" s="26" t="s">
        <v>31</v>
      </c>
      <c r="B12" s="27">
        <v>138</v>
      </c>
      <c r="C12" s="27">
        <f t="shared" si="1"/>
        <v>138</v>
      </c>
      <c r="D12" s="28">
        <f t="shared" si="0"/>
        <v>100</v>
      </c>
      <c r="E12" s="29">
        <f>COUNTIFS([3]InfCualitativo!$B$1:$B$6973,"VERDADERO",[3]InfCualitativo!$E$1:$E$6973,"Bosque",[3]InfCualitativo!$H$1:$H$6973,"consulta_externa")</f>
        <v>64</v>
      </c>
      <c r="F12" s="29">
        <f>COUNTIFS([3]InfCualitativo!$B$1:$B$6973,"FALSO",[3]InfCualitativo!$E$1:$E$6973,"Bosque",[3]InfCualitativo!$H$1:$H$6973,"consulta_externa")</f>
        <v>0</v>
      </c>
      <c r="G12" s="30">
        <f t="shared" si="2"/>
        <v>1</v>
      </c>
      <c r="H12" s="30">
        <f t="shared" si="3"/>
        <v>0</v>
      </c>
      <c r="I12" s="27">
        <f>COUNTIFS([3]InfCualitativo!$B$1:$B$6973,"VERDADERO",[3]InfCualitativo!$E$1:$E$6973,"Bosque",[3]InfCualitativo!$H$1:$H$6973,"salud_oral")</f>
        <v>22</v>
      </c>
      <c r="J12" s="27">
        <f>COUNTIFS([3]InfCualitativo!$B$1:$B$6973,"FALSO",[3]InfCualitativo!$E$1:$E$6973,"Bosque",[3]InfCualitativo!$H$1:$H$6973,"salud_oral")</f>
        <v>0</v>
      </c>
      <c r="K12" s="30">
        <f t="shared" si="4"/>
        <v>1</v>
      </c>
      <c r="L12" s="30">
        <f t="shared" si="5"/>
        <v>0</v>
      </c>
      <c r="M12" s="27">
        <f>COUNTIFS([3]InfCualitativo!$B$1:$B$6973,"VERDADERO",[3]InfCualitativo!$E$1:$E$6973,"Bosque",[3]InfCualitativo!$H$1:$H$6973,"laboratorio")</f>
        <v>52</v>
      </c>
      <c r="N12" s="27">
        <f>COUNTIFS([3]InfCualitativo!$B$1:$B$6973,"FALSO",[3]InfCualitativo!$E$1:$E$6973,"Bosque",[3]InfCualitativo!$H$1:$H$6973,"laboratorio")</f>
        <v>0</v>
      </c>
      <c r="O12" s="30">
        <f t="shared" si="6"/>
        <v>1</v>
      </c>
      <c r="P12" s="31">
        <f t="shared" si="7"/>
        <v>0</v>
      </c>
      <c r="Q12" s="27">
        <f>COUNTIFS([3]InfCualitativo!$B$1:$B$6973,"VERDADERO",[3]InfCualitativo!$E$1:$E$6973,"Bosque",[3]InfCualitativo!$H$1:$H$6973,"electros")</f>
        <v>0</v>
      </c>
      <c r="R12" s="27">
        <f>COUNTIFS([3]InfCualitativo!$B$1:$B$6973,"FALSO",[3]InfCualitativo!$E$1:$E$6973,"Bosque",[3]InfCualitativo!$H$1:$H$6973,"electros")</f>
        <v>0</v>
      </c>
      <c r="S12" s="30">
        <f t="shared" si="8"/>
        <v>0</v>
      </c>
      <c r="T12" s="30">
        <f t="shared" si="9"/>
        <v>0</v>
      </c>
      <c r="U12" s="27">
        <f>COUNTIFS([3]InfCualitativo!$B$1:$B$6973,"VERDADERO",[3]InfCualitativo!$E$1:$E$6973,"Bosque",[3]InfCualitativo!$H$1:$H$6973,"rx")</f>
        <v>0</v>
      </c>
      <c r="V12" s="27">
        <f>COUNTIFS([3]InfCualitativo!$B$1:$B$6973,"FALSO",[3]InfCualitativo!$E$1:$E$6973,"Bosque",[3]InfCualitativo!$H$1:$H$6973,"rx")</f>
        <v>0</v>
      </c>
      <c r="W12" s="30">
        <f t="shared" si="10"/>
        <v>0</v>
      </c>
      <c r="X12" s="30">
        <f t="shared" si="11"/>
        <v>0</v>
      </c>
      <c r="Y12" s="27">
        <f>COUNTIFS([3]InfCualitativo!$B$1:$B$6973,"VERDADERO",[3]InfCualitativo!$E$1:$E$6973,"Bosque",[3]InfCualitativo!$H$1:$H$6973,"ecografias")</f>
        <v>0</v>
      </c>
      <c r="Z12" s="27">
        <f>COUNTIFS([3]InfCualitativo!$B$1:$B$6973,"FALSO",[3]InfCualitativo!$E$1:$E$6973,"Bosque",[3]InfCualitativo!$H$1:$H$6973,"ecografias")</f>
        <v>0</v>
      </c>
      <c r="AA12" s="30">
        <f t="shared" si="12"/>
        <v>0</v>
      </c>
      <c r="AB12" s="30">
        <f t="shared" si="13"/>
        <v>0</v>
      </c>
      <c r="AC12" s="27">
        <f>COUNTIFS([3]InfCualitativo!$B$1:$B$6973,"VERDADERO",[3]InfCualitativo!$E$1:$E$6973,"Bosque",[3]InfCualitativo!$H$1:$H$6973,"urgencia")</f>
        <v>0</v>
      </c>
      <c r="AD12" s="27">
        <f>COUNTIFS([3]InfCualitativo!$B$1:$B$6973,"FALSO",[3]InfCualitativo!$E$1:$E$6973,"Bosque",[3]InfCualitativo!$H$1:$H$6973,"urgencia")</f>
        <v>0</v>
      </c>
      <c r="AE12" s="30">
        <f t="shared" si="14"/>
        <v>0</v>
      </c>
      <c r="AF12" s="30">
        <f t="shared" si="15"/>
        <v>0</v>
      </c>
      <c r="AG12" s="27">
        <f>COUNTIFS([3]InfCualitativo!$B$1:$B$6973,"VERDADERO",[3]InfCualitativo!$E$1:$E$6973,"Bosque",[3]InfCualitativo!$H$1:$H$6973,"pediatria")</f>
        <v>0</v>
      </c>
      <c r="AH12" s="27">
        <f>COUNTIFS([3]InfCualitativo!$B$1:$B$6973,"FALSO",[3]InfCualitativo!$E$1:$E$6973,"Bosque",[3]InfCualitativo!$H$1:$H$6973,"pediatria")</f>
        <v>0</v>
      </c>
      <c r="AI12" s="30">
        <f t="shared" si="16"/>
        <v>0</v>
      </c>
      <c r="AJ12" s="30">
        <f t="shared" si="17"/>
        <v>0</v>
      </c>
      <c r="AK12" s="27">
        <f>COUNTIFS([3]InfCualitativo!$B$1:$B$6973,"VERDADERO",[3]InfCualitativo!$E$1:$E$6973,"Bosque",[3]InfCualitativo!$H$1:$H$6973,"medicina_interna")</f>
        <v>0</v>
      </c>
      <c r="AL12" s="27">
        <f>COUNTIFS([3]InfCualitativo!$B$1:$B$6973,"FALSO",[3]InfCualitativo!$E$1:$E$6973,"Bosque",[3]InfCualitativo!$H$1:$H$6973,"medicina_interna")</f>
        <v>0</v>
      </c>
      <c r="AM12" s="30">
        <f t="shared" si="18"/>
        <v>0</v>
      </c>
      <c r="AN12" s="30">
        <f t="shared" si="19"/>
        <v>0</v>
      </c>
      <c r="AO12" s="27">
        <f>COUNTIFS([3]InfCualitativo!$B$1:$B$6973,"VERDADERO",[3]InfCualitativo!$E$1:$E$6973,"Bosque",[3]InfCualitativo!$H$1:$H$6973,"ginecologia")</f>
        <v>0</v>
      </c>
      <c r="AP12" s="27">
        <f>COUNTIFS([3]InfCualitativo!$B$1:$B$6973,"FALSO",[3]InfCualitativo!$E$1:$E$6973,"Bosque",[3]InfCualitativo!$H$1:$H$6973,"ginecologia")</f>
        <v>0</v>
      </c>
      <c r="AQ12" s="30">
        <f t="shared" si="20"/>
        <v>0</v>
      </c>
      <c r="AR12" s="30">
        <f t="shared" si="21"/>
        <v>0</v>
      </c>
      <c r="AS12" s="27">
        <f t="shared" si="22"/>
        <v>138</v>
      </c>
      <c r="AT12" s="27">
        <f t="shared" si="22"/>
        <v>0</v>
      </c>
      <c r="AU12" s="32">
        <f t="shared" si="23"/>
        <v>1</v>
      </c>
      <c r="AV12" s="32">
        <f t="shared" si="24"/>
        <v>0</v>
      </c>
    </row>
    <row r="13" spans="1:48" ht="18.75" x14ac:dyDescent="0.3">
      <c r="A13" s="26" t="s">
        <v>32</v>
      </c>
      <c r="B13" s="27">
        <v>44</v>
      </c>
      <c r="C13" s="27">
        <f t="shared" si="1"/>
        <v>44</v>
      </c>
      <c r="D13" s="28">
        <f t="shared" si="0"/>
        <v>100</v>
      </c>
      <c r="E13" s="29">
        <f>COUNTIFS([3]InfCualitativo!$B$1:$B$6973,"VERDADERO",[3]InfCualitativo!$E$1:$E$6973,"Boston",[3]InfCualitativo!$H$1:$H$6973,"consulta_externa")</f>
        <v>43</v>
      </c>
      <c r="F13" s="29">
        <f>COUNTIFS([3]InfCualitativo!$B$1:$B$6973,"FALSO",[3]InfCualitativo!$E$1:$E$6973,"Boston",[3]InfCualitativo!$H$1:$H$6973,"consulta_externa")</f>
        <v>1</v>
      </c>
      <c r="G13" s="30">
        <f t="shared" si="2"/>
        <v>0.97727272727272729</v>
      </c>
      <c r="H13" s="30">
        <f t="shared" si="3"/>
        <v>2.2727272727272728E-2</v>
      </c>
      <c r="I13" s="27">
        <f>COUNTIFS([3]InfCualitativo!$B$1:$B$6973,"VERDADERO",[3]InfCualitativo!$E$1:$E$6973,"Boston",[3]InfCualitativo!$H$1:$H$6973,"salud_oral")</f>
        <v>0</v>
      </c>
      <c r="J13" s="27">
        <f>COUNTIFS([3]InfCualitativo!$B$1:$B$6973,"FALSO",[3]InfCualitativo!$E$1:$E$6973,"Boston",[3]InfCualitativo!$H$1:$H$6973,"salud_oral")</f>
        <v>0</v>
      </c>
      <c r="K13" s="30">
        <f t="shared" si="4"/>
        <v>0</v>
      </c>
      <c r="L13" s="30">
        <f t="shared" si="5"/>
        <v>0</v>
      </c>
      <c r="M13" s="27">
        <f>COUNTIFS([3]InfCualitativo!$B$1:$B$6973,"VERDADERO",[3]InfCualitativo!$E$1:$E$6973,"Boston",[3]InfCualitativo!$H$1:$H$6973,"laboratorio")</f>
        <v>0</v>
      </c>
      <c r="N13" s="27">
        <f>COUNTIFS([3]InfCualitativo!$B$1:$B$6973,"FALSO",[3]InfCualitativo!$E$1:$E$6973,"Boston",[3]InfCualitativo!$H$1:$H$6973,"laboratorio")</f>
        <v>0</v>
      </c>
      <c r="O13" s="30">
        <f t="shared" si="6"/>
        <v>0</v>
      </c>
      <c r="P13" s="31">
        <f t="shared" si="7"/>
        <v>0</v>
      </c>
      <c r="Q13" s="27">
        <f>COUNTIFS([3]InfCualitativo!$B$1:$B$6973,"VERDADERO",[3]InfCualitativo!$E$1:$E$6973,"Boston",[3]InfCualitativo!$H$1:$H$6973,"electros")</f>
        <v>0</v>
      </c>
      <c r="R13" s="27">
        <f>COUNTIFS([3]InfCualitativo!$B$1:$B$6973,"FALSO",[3]InfCualitativo!$E$1:$E$6973,"Boston",[3]InfCualitativo!$H$1:$H$6973,"electros")</f>
        <v>0</v>
      </c>
      <c r="S13" s="30">
        <f t="shared" si="8"/>
        <v>0</v>
      </c>
      <c r="T13" s="30">
        <f t="shared" si="9"/>
        <v>0</v>
      </c>
      <c r="U13" s="27">
        <f>COUNTIFS([3]InfCualitativo!$B$1:$B$6973,"VERDADERO",[3]InfCualitativo!$E$1:$E$6973,"Boston",[3]InfCualitativo!$H$1:$H$6973,"rx")</f>
        <v>0</v>
      </c>
      <c r="V13" s="27">
        <f>COUNTIFS([3]InfCualitativo!$B$1:$B$6973,"FALSO",[3]InfCualitativo!$E$1:$E$6973,"Boston",[3]InfCualitativo!$H$1:$H$6973,"rx")</f>
        <v>0</v>
      </c>
      <c r="W13" s="30">
        <f t="shared" si="10"/>
        <v>0</v>
      </c>
      <c r="X13" s="30">
        <f t="shared" si="11"/>
        <v>0</v>
      </c>
      <c r="Y13" s="27">
        <f>COUNTIFS([3]InfCualitativo!$B$1:$B$6973,"VERDADERO",[3]InfCualitativo!$E$1:$E$6973,"Boston",[3]InfCualitativo!$H$1:$H$6973,"ecografias")</f>
        <v>0</v>
      </c>
      <c r="Z13" s="27">
        <f>COUNTIFS([3]InfCualitativo!$B$1:$B$6973,"FALSO",[3]InfCualitativo!$E$1:$E$6973,"Boston",[3]InfCualitativo!$H$1:$H$6973,"ecografias")</f>
        <v>0</v>
      </c>
      <c r="AA13" s="30">
        <f t="shared" si="12"/>
        <v>0</v>
      </c>
      <c r="AB13" s="30">
        <f t="shared" si="13"/>
        <v>0</v>
      </c>
      <c r="AC13" s="27">
        <f>COUNTIFS([3]InfCualitativo!$B$1:$B$6973,"VERDADERO",[3]InfCualitativo!$E$1:$E$6973,"Boston",[3]InfCualitativo!$H$1:$H$6973,"urgencia")</f>
        <v>0</v>
      </c>
      <c r="AD13" s="27">
        <f>COUNTIFS([3]InfCualitativo!$B$1:$B$6973,"FALSO",[3]InfCualitativo!$E$1:$E$6973,"Boston",[3]InfCualitativo!$H$1:$H$6973,"urgencia")</f>
        <v>0</v>
      </c>
      <c r="AE13" s="30">
        <f t="shared" si="14"/>
        <v>0</v>
      </c>
      <c r="AF13" s="30">
        <f t="shared" si="15"/>
        <v>0</v>
      </c>
      <c r="AG13" s="27">
        <f>COUNTIFS([3]InfCualitativo!$B$1:$B$6973,"VERDADERO",[3]InfCualitativo!$E$1:$E$6973,"Boston",[3]InfCualitativo!$H$1:$H$6973,"pediatria")</f>
        <v>0</v>
      </c>
      <c r="AH13" s="27">
        <f>COUNTIFS([3]InfCualitativo!$B$1:$B$6973,"FALSO",[3]InfCualitativo!$E$1:$E$6973,"Boston",[3]InfCualitativo!$H$1:$H$6973,"pediatria")</f>
        <v>0</v>
      </c>
      <c r="AI13" s="30">
        <f t="shared" si="16"/>
        <v>0</v>
      </c>
      <c r="AJ13" s="30">
        <f t="shared" si="17"/>
        <v>0</v>
      </c>
      <c r="AK13" s="27">
        <f>COUNTIFS([3]InfCualitativo!$B$1:$B$6973,"VERDADERO",[3]InfCualitativo!$E$1:$E$6973,"Boston",[3]InfCualitativo!$H$1:$H$6973,"medicina_interna")</f>
        <v>0</v>
      </c>
      <c r="AL13" s="27">
        <f>COUNTIFS([3]InfCualitativo!$B$1:$B$6973,"FALSO",[3]InfCualitativo!$E$1:$E$6973,"Boston",[3]InfCualitativo!$H$1:$H$6973,"medicina_interna")</f>
        <v>0</v>
      </c>
      <c r="AM13" s="30">
        <f t="shared" si="18"/>
        <v>0</v>
      </c>
      <c r="AN13" s="30">
        <f t="shared" si="19"/>
        <v>0</v>
      </c>
      <c r="AO13" s="27">
        <f>COUNTIFS([3]InfCualitativo!$B$1:$B$6973,"VERDADERO",[3]InfCualitativo!$E$1:$E$6973,"Boston",[3]InfCualitativo!$H$1:$H$6973,"ginecologia")</f>
        <v>0</v>
      </c>
      <c r="AP13" s="27">
        <f>COUNTIFS([3]InfCualitativo!$B$1:$B$6973,"FALSO",[3]InfCualitativo!$E$1:$E$6973,"Boston",[3]InfCualitativo!$H$1:$H$6973,"ginecologia")</f>
        <v>0</v>
      </c>
      <c r="AQ13" s="30">
        <f t="shared" si="20"/>
        <v>0</v>
      </c>
      <c r="AR13" s="30">
        <f t="shared" si="21"/>
        <v>0</v>
      </c>
      <c r="AS13" s="27">
        <f t="shared" si="22"/>
        <v>43</v>
      </c>
      <c r="AT13" s="27">
        <f t="shared" si="22"/>
        <v>1</v>
      </c>
      <c r="AU13" s="32">
        <f t="shared" si="23"/>
        <v>0.97727272727272729</v>
      </c>
      <c r="AV13" s="32">
        <f t="shared" si="24"/>
        <v>2.2727272727272728E-2</v>
      </c>
    </row>
    <row r="14" spans="1:48" ht="18.75" x14ac:dyDescent="0.3">
      <c r="A14" s="26" t="s">
        <v>33</v>
      </c>
      <c r="B14" s="27">
        <v>140</v>
      </c>
      <c r="C14" s="27">
        <f t="shared" si="1"/>
        <v>136</v>
      </c>
      <c r="D14" s="28">
        <f t="shared" si="0"/>
        <v>97.142857142857139</v>
      </c>
      <c r="E14" s="29">
        <f>COUNTIFS([3]InfCualitativo!$B$1:$B$6973,"VERDADERO",[3]InfCualitativo!$E$1:$E$6973,"Canapote",[3]InfCualitativo!$H$1:$H$6973,"consulta_externa")</f>
        <v>48</v>
      </c>
      <c r="F14" s="29">
        <f>COUNTIFS([3]InfCualitativo!$B$1:$B$6973,"FALSO",[3]InfCualitativo!$E$1:$E$6973,"Canapote",[3]InfCualitativo!$H$1:$H$6973,"consulta_externa")</f>
        <v>0</v>
      </c>
      <c r="G14" s="30">
        <f t="shared" si="2"/>
        <v>1</v>
      </c>
      <c r="H14" s="30">
        <f t="shared" si="3"/>
        <v>0</v>
      </c>
      <c r="I14" s="27">
        <f>COUNTIFS([3]InfCualitativo!$B$1:$B$6973,"VERDADERO",[3]InfCualitativo!$E$1:$E$6973,"Canapote",[3]InfCualitativo!$H$1:$H$6973,"salud_oral")</f>
        <v>45</v>
      </c>
      <c r="J14" s="27">
        <f>COUNTIFS([3]InfCualitativo!$B$1:$B$6973,"FALSO",[3]InfCualitativo!$E$1:$E$6973,"Canapote",[3]InfCualitativo!$H$1:$H$6973,"salud_oral")</f>
        <v>0</v>
      </c>
      <c r="K14" s="30">
        <f t="shared" si="4"/>
        <v>1</v>
      </c>
      <c r="L14" s="30">
        <f t="shared" si="5"/>
        <v>0</v>
      </c>
      <c r="M14" s="27">
        <f>COUNTIFS([3]InfCualitativo!$B$1:$B$6973,"VERDADERO",[3]InfCualitativo!$E$1:$E$6973,"Canapote",[3]InfCualitativo!$H$1:$H$6973,"laboratorio")</f>
        <v>43</v>
      </c>
      <c r="N14" s="27">
        <f>COUNTIFS([3]InfCualitativo!$B$1:$B$6973,"FALSO",[3]InfCualitativo!$E$1:$E$6973,"Canapote",[3]InfCualitativo!$H$1:$H$6973,"laboratorio")</f>
        <v>0</v>
      </c>
      <c r="O14" s="30">
        <f t="shared" si="6"/>
        <v>1</v>
      </c>
      <c r="P14" s="31">
        <f t="shared" si="7"/>
        <v>0</v>
      </c>
      <c r="Q14" s="27">
        <f>COUNTIFS([3]InfCualitativo!$B$1:$B$6973,"VERDADERO",[3]InfCualitativo!$E$1:$E$6973,"Canapote",[3]InfCualitativo!$H$1:$H$6973,"electros")</f>
        <v>0</v>
      </c>
      <c r="R14" s="27">
        <f>COUNTIFS([3]InfCualitativo!$B$1:$B$6973,"FALSO",[3]InfCualitativo!$E$1:$E$6973,"Canapote",[3]InfCualitativo!$H$1:$H$6973,"electros")</f>
        <v>0</v>
      </c>
      <c r="S14" s="30">
        <f t="shared" si="8"/>
        <v>0</v>
      </c>
      <c r="T14" s="30">
        <f t="shared" si="9"/>
        <v>0</v>
      </c>
      <c r="U14" s="27">
        <f>COUNTIFS([3]InfCualitativo!$B$1:$B$6973,"VERDADERO",[3]InfCualitativo!$E$1:$E$6973,"Canapote",[3]InfCualitativo!$H$1:$H$6973,"rx")</f>
        <v>0</v>
      </c>
      <c r="V14" s="27">
        <f>COUNTIFS([3]InfCualitativo!$B$1:$B$6973,"FALSO",[3]InfCualitativo!$E$1:$E$6973,"Canapote",[3]InfCualitativo!$H$1:$H$6973,"rx")</f>
        <v>0</v>
      </c>
      <c r="W14" s="30">
        <f t="shared" si="10"/>
        <v>0</v>
      </c>
      <c r="X14" s="30">
        <f t="shared" si="11"/>
        <v>0</v>
      </c>
      <c r="Y14" s="27">
        <f>COUNTIFS([3]InfCualitativo!$B$1:$B$6973,"VERDADERO",[3]InfCualitativo!$E$1:$E$6973,"Canapote",[3]InfCualitativo!$H$1:$H$6973,"ecografias")</f>
        <v>0</v>
      </c>
      <c r="Z14" s="27">
        <f>COUNTIFS([3]InfCualitativo!$B$1:$B$6973,"FALSO",[3]InfCualitativo!$E$1:$E$6973,"Canapote",[3]InfCualitativo!$H$1:$H$6973,"ecografias")</f>
        <v>0</v>
      </c>
      <c r="AA14" s="30">
        <f t="shared" si="12"/>
        <v>0</v>
      </c>
      <c r="AB14" s="30">
        <f t="shared" si="13"/>
        <v>0</v>
      </c>
      <c r="AC14" s="27">
        <f>COUNTIFS([3]InfCualitativo!$B$1:$B$6973,"VERDADERO",[3]InfCualitativo!$E$1:$E$6973,"Canapote",[3]InfCualitativo!$H$1:$H$6973,"urgencia")</f>
        <v>0</v>
      </c>
      <c r="AD14" s="27">
        <f>COUNTIFS([3]InfCualitativo!$B$1:$B$6973,"FALSO",[3]InfCualitativo!$E$1:$E$6973,"Canapote",[3]InfCualitativo!$H$1:$H$6973,"urgencia")</f>
        <v>0</v>
      </c>
      <c r="AE14" s="30">
        <f t="shared" si="14"/>
        <v>0</v>
      </c>
      <c r="AF14" s="30">
        <f t="shared" si="15"/>
        <v>0</v>
      </c>
      <c r="AG14" s="27">
        <f>COUNTIFS([3]InfCualitativo!$B$1:$B$6973,"VERDADERO",[3]InfCualitativo!$E$1:$E$6973,"Canapote",[3]InfCualitativo!$H$1:$H$6973,"pediatria")</f>
        <v>0</v>
      </c>
      <c r="AH14" s="27">
        <f>COUNTIFS([3]InfCualitativo!$B$1:$B$6973,"FALSO",[3]InfCualitativo!$E$1:$E$6973,"Canapote",[3]InfCualitativo!$H$1:$H$6973,"pediatria")</f>
        <v>0</v>
      </c>
      <c r="AI14" s="30">
        <f t="shared" si="16"/>
        <v>0</v>
      </c>
      <c r="AJ14" s="30">
        <f t="shared" si="17"/>
        <v>0</v>
      </c>
      <c r="AK14" s="27">
        <f>COUNTIFS([3]InfCualitativo!$B$1:$B$6973,"VERDADERO",[3]InfCualitativo!$E$1:$E$6973,"Canapote",[3]InfCualitativo!$H$1:$H$6973,"medicina_interna")</f>
        <v>0</v>
      </c>
      <c r="AL14" s="27">
        <f>COUNTIFS([3]InfCualitativo!$B$1:$B$6973,"FALSO",[3]InfCualitativo!$E$1:$E$6973,"Canapote",[3]InfCualitativo!$H$1:$H$6973,"medicina_interna")</f>
        <v>0</v>
      </c>
      <c r="AM14" s="30">
        <f t="shared" si="18"/>
        <v>0</v>
      </c>
      <c r="AN14" s="30">
        <f t="shared" si="19"/>
        <v>0</v>
      </c>
      <c r="AO14" s="27">
        <f>COUNTIFS([3]InfCualitativo!$B$1:$B$6973,"VERDADERO",[3]InfCualitativo!$E$1:$E$6973,"Canapote",[3]InfCualitativo!$H$1:$H$6973,"ginecologia")</f>
        <v>0</v>
      </c>
      <c r="AP14" s="27">
        <f>COUNTIFS([3]InfCualitativo!$B$1:$B$6973,"FALSO",[3]InfCualitativo!$E$1:$E$6973,"Canapote",[3]InfCualitativo!$H$1:$H$6973,"ginecologia")</f>
        <v>0</v>
      </c>
      <c r="AQ14" s="30">
        <f t="shared" si="20"/>
        <v>0</v>
      </c>
      <c r="AR14" s="30">
        <f t="shared" si="21"/>
        <v>0</v>
      </c>
      <c r="AS14" s="27">
        <f t="shared" si="22"/>
        <v>136</v>
      </c>
      <c r="AT14" s="27">
        <f t="shared" si="22"/>
        <v>0</v>
      </c>
      <c r="AU14" s="32">
        <f t="shared" si="23"/>
        <v>1</v>
      </c>
      <c r="AV14" s="32">
        <f t="shared" si="24"/>
        <v>0</v>
      </c>
    </row>
    <row r="15" spans="1:48" ht="18.75" x14ac:dyDescent="0.3">
      <c r="A15" s="26" t="s">
        <v>34</v>
      </c>
      <c r="B15" s="27">
        <v>284</v>
      </c>
      <c r="C15" s="27">
        <f t="shared" si="1"/>
        <v>265</v>
      </c>
      <c r="D15" s="28">
        <f t="shared" si="0"/>
        <v>93.309859154929583</v>
      </c>
      <c r="E15" s="29">
        <f>COUNTIFS([3]InfCualitativo!$B$1:$B$6973,"VERDADERO",[3]InfCualitativo!$E$1:$E$6973,"Candelaria",[3]InfCualitativo!$H$1:$H$6973,"consulta_externa")</f>
        <v>46</v>
      </c>
      <c r="F15" s="29">
        <f>COUNTIFS([3]InfCualitativo!$B$1:$B$6973,"FALSO",[3]InfCualitativo!$E$1:$E$6973,"Candelaria",[3]InfCualitativo!$H$1:$H$6973,"consulta_externa")</f>
        <v>5</v>
      </c>
      <c r="G15" s="30">
        <f t="shared" si="2"/>
        <v>0.90196078431372551</v>
      </c>
      <c r="H15" s="30">
        <f t="shared" si="3"/>
        <v>9.8039215686274508E-2</v>
      </c>
      <c r="I15" s="27">
        <f>COUNTIFS([3]InfCualitativo!$B$1:$B$6973,"VERDADERO",[3]InfCualitativo!$E$1:$E$6973,"Candelaria",[3]InfCualitativo!$H$1:$H$6973,"salud_oral")</f>
        <v>34</v>
      </c>
      <c r="J15" s="27">
        <f>COUNTIFS([3]InfCualitativo!$B$1:$B$6973,"FALSO",[3]InfCualitativo!$E$1:$E$6973,"Candelaria",[3]InfCualitativo!$H$1:$H$6973,"salud_oral")</f>
        <v>5</v>
      </c>
      <c r="K15" s="30">
        <f t="shared" si="4"/>
        <v>0.87179487179487181</v>
      </c>
      <c r="L15" s="30">
        <f t="shared" si="5"/>
        <v>0.12820512820512819</v>
      </c>
      <c r="M15" s="27">
        <f>COUNTIFS([3]InfCualitativo!$B$1:$B$6973,"VERDADERO",[3]InfCualitativo!$E$1:$E$6973,"Candelaria",[3]InfCualitativo!$H$1:$H$6973,"laboratorio")</f>
        <v>42</v>
      </c>
      <c r="N15" s="27">
        <f>COUNTIFS([3]InfCualitativo!$B$1:$B$6973,"FALSO",[3]InfCualitativo!$E$1:$E$6973,"Candelaria",[3]InfCualitativo!$H$1:$H$6973,"laboratorio")</f>
        <v>7</v>
      </c>
      <c r="O15" s="30">
        <f t="shared" si="6"/>
        <v>0.8571428571428571</v>
      </c>
      <c r="P15" s="31">
        <f t="shared" si="7"/>
        <v>0.14285714285714285</v>
      </c>
      <c r="Q15" s="27">
        <f>COUNTIFS([3]InfCualitativo!$B$1:$B$6973,"VERDADERO",[3]InfCualitativo!$E$1:$E$6973,"Candelaria",[3]InfCualitativo!$H$1:$H$6973,"electros")</f>
        <v>37</v>
      </c>
      <c r="R15" s="27">
        <f>COUNTIFS([3]InfCualitativo!$B$1:$B$6973,"FALSO",[3]InfCualitativo!$E$1:$E$6973,"Candelaria",[3]InfCualitativo!$H$1:$H$6973,"electros")</f>
        <v>5</v>
      </c>
      <c r="S15" s="30">
        <f t="shared" si="8"/>
        <v>0.88095238095238093</v>
      </c>
      <c r="T15" s="30">
        <f t="shared" si="9"/>
        <v>0.11904761904761904</v>
      </c>
      <c r="U15" s="27">
        <f>COUNTIFS([3]InfCualitativo!$B$1:$B$6973,"VERDADERO",[3]InfCualitativo!$E$1:$E$6973,"Candelaria",[3]InfCualitativo!$H$1:$H$6973,"rx")</f>
        <v>0</v>
      </c>
      <c r="V15" s="27">
        <f>COUNTIFS([3]InfCualitativo!$B$1:$B$6973,"FALSO",[3]InfCualitativo!$E$1:$E$6973,"Candelaria",[3]InfCualitativo!$H$1:$H$6973,"rx")</f>
        <v>0</v>
      </c>
      <c r="W15" s="30">
        <f t="shared" si="10"/>
        <v>0</v>
      </c>
      <c r="X15" s="30">
        <f t="shared" si="11"/>
        <v>0</v>
      </c>
      <c r="Y15" s="27">
        <f>COUNTIFS([3]InfCualitativo!$B$1:$B$6973,"VERDADERO",[3]InfCualitativo!$E$1:$E$6973,"Candelaria",[3]InfCualitativo!$H$1:$H$6973,"ecografias")</f>
        <v>0</v>
      </c>
      <c r="Z15" s="27">
        <f>COUNTIFS([3]InfCualitativo!$B$1:$B$6973,"FALSO",[3]InfCualitativo!$E$1:$E$6973,"Candelaria",[3]InfCualitativo!$H$1:$H$6973,"ecografias")</f>
        <v>0</v>
      </c>
      <c r="AA15" s="30">
        <f t="shared" si="12"/>
        <v>0</v>
      </c>
      <c r="AB15" s="30">
        <f t="shared" si="13"/>
        <v>0</v>
      </c>
      <c r="AC15" s="27">
        <f>COUNTIFS([3]InfCualitativo!$B$1:$B$6973,"VERDADERO",[3]InfCualitativo!$E$1:$E$6973,"Candelaria",[3]InfCualitativo!$H$1:$H$6973,"urgencia")</f>
        <v>29</v>
      </c>
      <c r="AD15" s="27">
        <f>COUNTIFS([3]InfCualitativo!$B$1:$B$6973,"FALSO",[3]InfCualitativo!$E$1:$E$6973,"Candelaria",[3]InfCualitativo!$H$1:$H$6973,"urgencia")</f>
        <v>16</v>
      </c>
      <c r="AE15" s="30">
        <f t="shared" si="14"/>
        <v>0.64444444444444449</v>
      </c>
      <c r="AF15" s="30">
        <f t="shared" si="15"/>
        <v>0.35555555555555557</v>
      </c>
      <c r="AG15" s="27">
        <f>COUNTIFS([3]InfCualitativo!$B$1:$B$6973,"VERDADERO",[3]InfCualitativo!$E$1:$E$6973,"Candelaria",[3]InfCualitativo!$H$1:$H$6973,"pediatria")</f>
        <v>16</v>
      </c>
      <c r="AH15" s="27">
        <f>COUNTIFS([3]InfCualitativo!$B$1:$B$6973,"FALSO",[3]InfCualitativo!$E$1:$E$6973,"Candelaria",[3]InfCualitativo!$H$1:$H$6973,"pediatria")</f>
        <v>0</v>
      </c>
      <c r="AI15" s="30">
        <f t="shared" si="16"/>
        <v>1</v>
      </c>
      <c r="AJ15" s="30">
        <f t="shared" si="17"/>
        <v>0</v>
      </c>
      <c r="AK15" s="27">
        <f>COUNTIFS([3]InfCualitativo!$B$1:$B$6973,"VERDADERO",[3]InfCualitativo!$E$1:$E$6973,"Candelaria",[3]InfCualitativo!$H$1:$H$6973,"medicina_interna")</f>
        <v>18</v>
      </c>
      <c r="AL15" s="27">
        <f>COUNTIFS([3]InfCualitativo!$B$1:$B$6973,"FALSO",[3]InfCualitativo!$E$1:$E$6973,"Candelaria",[3]InfCualitativo!$H$1:$H$6973,"medicina_interna")</f>
        <v>5</v>
      </c>
      <c r="AM15" s="30">
        <f t="shared" si="18"/>
        <v>0.78260869565217395</v>
      </c>
      <c r="AN15" s="30">
        <f t="shared" si="19"/>
        <v>0.21739130434782608</v>
      </c>
      <c r="AO15" s="27">
        <f>COUNTIFS([3]InfCualitativo!$B$1:$B$6973,"VERDADERO",[3]InfCualitativo!$E$1:$E$6973,"Candelaria",[3]InfCualitativo!$H$1:$H$6973,"ginecologia")</f>
        <v>0</v>
      </c>
      <c r="AP15" s="27">
        <f>COUNTIFS([3]InfCualitativo!$B$1:$B$6973,"FALSO",[3]InfCualitativo!$E$1:$E$6973,"Candelaria",[3]InfCualitativo!$H$1:$H$6973,"ginecologia")</f>
        <v>0</v>
      </c>
      <c r="AQ15" s="30">
        <f t="shared" si="20"/>
        <v>0</v>
      </c>
      <c r="AR15" s="30">
        <f t="shared" si="21"/>
        <v>0</v>
      </c>
      <c r="AS15" s="27">
        <f t="shared" si="22"/>
        <v>222</v>
      </c>
      <c r="AT15" s="27">
        <f t="shared" si="22"/>
        <v>43</v>
      </c>
      <c r="AU15" s="32">
        <f t="shared" si="23"/>
        <v>0.83773584905660381</v>
      </c>
      <c r="AV15" s="32">
        <f t="shared" si="24"/>
        <v>0.16226415094339622</v>
      </c>
    </row>
    <row r="16" spans="1:48" ht="18.75" x14ac:dyDescent="0.3">
      <c r="A16" s="26" t="s">
        <v>35</v>
      </c>
      <c r="B16" s="27">
        <v>118</v>
      </c>
      <c r="C16" s="27">
        <f t="shared" si="1"/>
        <v>118</v>
      </c>
      <c r="D16" s="28">
        <f t="shared" si="0"/>
        <v>100</v>
      </c>
      <c r="E16" s="29">
        <f>COUNTIFS([3]InfCualitativo!$B$1:$B$6973,"VERDADERO",[3]InfCualitativo!$E$1:$E$6973,"Cano de oro",[3]InfCualitativo!$H$1:$H$6973,"consulta_externa")</f>
        <v>40</v>
      </c>
      <c r="F16" s="29">
        <f>COUNTIFS([3]InfCualitativo!$B$1:$B$6973,"FALSO",[3]InfCualitativo!$E$1:$E$6973,"Cano de oro",[3]InfCualitativo!$H$1:$H$6973,"consulta_externa")</f>
        <v>0</v>
      </c>
      <c r="G16" s="30">
        <f t="shared" si="2"/>
        <v>1</v>
      </c>
      <c r="H16" s="30">
        <f t="shared" si="3"/>
        <v>0</v>
      </c>
      <c r="I16" s="27">
        <f>COUNTIFS([3]InfCualitativo!$B$1:$B$6973,"VERDADERO",[3]InfCualitativo!$E$1:$E$6973,"Cano de oro",[3]InfCualitativo!$H$1:$H$6973,"salud_oral")</f>
        <v>35</v>
      </c>
      <c r="J16" s="27">
        <f>COUNTIFS([3]InfCualitativo!$B$1:$B$6973,"FALSO",[3]InfCualitativo!$E$1:$E$6973,"Cano de oro",[3]InfCualitativo!$H$1:$H$6973,"salud_oral")</f>
        <v>0</v>
      </c>
      <c r="K16" s="30">
        <f t="shared" si="4"/>
        <v>1</v>
      </c>
      <c r="L16" s="30">
        <f t="shared" si="5"/>
        <v>0</v>
      </c>
      <c r="M16" s="27">
        <f>COUNTIFS([3]InfCualitativo!$B$1:$B$6973,"VERDADERO",[3]InfCualitativo!$E$1:$E$6973,"Cano de oro",[3]InfCualitativo!$H$1:$H$6973,"laboratorio")</f>
        <v>43</v>
      </c>
      <c r="N16" s="27">
        <f>COUNTIFS([3]InfCualitativo!$B$1:$B$6973,"FALSO",[3]InfCualitativo!$E$1:$E$6973,"Cano de oro",[3]InfCualitativo!$H$1:$H$6973,"laboratorio")</f>
        <v>0</v>
      </c>
      <c r="O16" s="30">
        <f t="shared" si="6"/>
        <v>1</v>
      </c>
      <c r="P16" s="31">
        <f t="shared" si="7"/>
        <v>0</v>
      </c>
      <c r="Q16" s="27">
        <f>COUNTIFS([3]InfCualitativo!$B$1:$B$6973,"VERDADERO",[3]InfCualitativo!$E$1:$E$6973,"Cano de oro",[3]InfCualitativo!$H$1:$H$6973,"electros")</f>
        <v>0</v>
      </c>
      <c r="R16" s="27">
        <f>COUNTIFS([3]InfCualitativo!$B$1:$B$6973,"FALSO",[3]InfCualitativo!$E$1:$E$6973,"Cano de oro",[3]InfCualitativo!$H$1:$H$6973,"electros")</f>
        <v>0</v>
      </c>
      <c r="S16" s="30">
        <f t="shared" si="8"/>
        <v>0</v>
      </c>
      <c r="T16" s="30">
        <f t="shared" si="9"/>
        <v>0</v>
      </c>
      <c r="U16" s="27">
        <f>COUNTIFS([3]InfCualitativo!$B$1:$B$6973,"VERDADERO",[3]InfCualitativo!$E$1:$E$6973,"Cano de oro",[3]InfCualitativo!$H$1:$H$6973,"rx")</f>
        <v>0</v>
      </c>
      <c r="V16" s="27">
        <f>COUNTIFS([3]InfCualitativo!$B$1:$B$6973,"FALSO",[3]InfCualitativo!$E$1:$E$6973,"Cano de oro",[3]InfCualitativo!$H$1:$H$6973,"rx")</f>
        <v>0</v>
      </c>
      <c r="W16" s="30">
        <f t="shared" si="10"/>
        <v>0</v>
      </c>
      <c r="X16" s="30">
        <f t="shared" si="11"/>
        <v>0</v>
      </c>
      <c r="Y16" s="27">
        <f>COUNTIFS([3]InfCualitativo!$B$1:$B$6973,"VERDADERO",[3]InfCualitativo!$E$1:$E$6973,"Cano de oro",[3]InfCualitativo!$H$1:$H$6973,"ecografias")</f>
        <v>0</v>
      </c>
      <c r="Z16" s="27">
        <f>COUNTIFS([3]InfCualitativo!$B$1:$B$6973,"FALSO",[3]InfCualitativo!$E$1:$E$6973,"Cano de oro",[3]InfCualitativo!$H$1:$H$6973,"ecografias")</f>
        <v>0</v>
      </c>
      <c r="AA16" s="30">
        <f t="shared" si="12"/>
        <v>0</v>
      </c>
      <c r="AB16" s="30">
        <f t="shared" si="13"/>
        <v>0</v>
      </c>
      <c r="AC16" s="27">
        <f>COUNTIFS([3]InfCualitativo!$B$1:$B$6973,"VERDADERO",[3]InfCualitativo!$E$1:$E$6973,"Cano de oro",[3]InfCualitativo!$H$1:$H$6973,"urgencia")</f>
        <v>0</v>
      </c>
      <c r="AD16" s="27">
        <f>COUNTIFS([3]InfCualitativo!$B$1:$B$6973,"FALSO",[3]InfCualitativo!$E$1:$E$6973,"Cano de oro",[3]InfCualitativo!$H$1:$H$6973,"urgencia")</f>
        <v>0</v>
      </c>
      <c r="AE16" s="30">
        <f t="shared" si="14"/>
        <v>0</v>
      </c>
      <c r="AF16" s="30">
        <f t="shared" si="15"/>
        <v>0</v>
      </c>
      <c r="AG16" s="27">
        <f>COUNTIFS([3]InfCualitativo!$B$1:$B$6973,"VERDADERO",[3]InfCualitativo!$E$1:$E$6973,"Cano de oro",[3]InfCualitativo!$H$1:$H$6973,"pediatria")</f>
        <v>0</v>
      </c>
      <c r="AH16" s="27">
        <f>COUNTIFS([3]InfCualitativo!$B$1:$B$6973,"FALSO",[3]InfCualitativo!$E$1:$E$6973,"Cano de oro",[3]InfCualitativo!$H$1:$H$6973,"pediatria")</f>
        <v>0</v>
      </c>
      <c r="AI16" s="30">
        <f t="shared" si="16"/>
        <v>0</v>
      </c>
      <c r="AJ16" s="30">
        <f t="shared" si="17"/>
        <v>0</v>
      </c>
      <c r="AK16" s="27">
        <f>COUNTIFS([3]InfCualitativo!$B$1:$B$6973,"VERDADERO",[3]InfCualitativo!$E$1:$E$6973,"Cano de oro",[3]InfCualitativo!$H$1:$H$6973,"medicina_interna")</f>
        <v>0</v>
      </c>
      <c r="AL16" s="27">
        <f>COUNTIFS([3]InfCualitativo!$B$1:$B$6973,"FALSO",[3]InfCualitativo!$E$1:$E$6973,"Cano de oro",[3]InfCualitativo!$H$1:$H$6973,"medicina_interna")</f>
        <v>0</v>
      </c>
      <c r="AM16" s="30">
        <f t="shared" si="18"/>
        <v>0</v>
      </c>
      <c r="AN16" s="30">
        <f t="shared" si="19"/>
        <v>0</v>
      </c>
      <c r="AO16" s="27">
        <f>COUNTIFS([3]InfCualitativo!$B$1:$B$6973,"VERDADERO",[3]InfCualitativo!$E$1:$E$6973,"Cano de oro",[3]InfCualitativo!$H$1:$H$6973,"ginecologia")</f>
        <v>0</v>
      </c>
      <c r="AP16" s="27">
        <f>COUNTIFS([3]InfCualitativo!$B$1:$B$6973,"FALSO",[3]InfCualitativo!$E$1:$E$6973,"Cano de oro",[3]InfCualitativo!$H$1:$H$6973,"ginecologia")</f>
        <v>0</v>
      </c>
      <c r="AQ16" s="30">
        <f t="shared" si="20"/>
        <v>0</v>
      </c>
      <c r="AR16" s="30">
        <f t="shared" si="21"/>
        <v>0</v>
      </c>
      <c r="AS16" s="27">
        <f t="shared" si="22"/>
        <v>118</v>
      </c>
      <c r="AT16" s="27">
        <f t="shared" si="22"/>
        <v>0</v>
      </c>
      <c r="AU16" s="32">
        <f t="shared" si="23"/>
        <v>1</v>
      </c>
      <c r="AV16" s="32">
        <f t="shared" si="24"/>
        <v>0</v>
      </c>
    </row>
    <row r="17" spans="1:48" ht="18.75" x14ac:dyDescent="0.3">
      <c r="A17" s="26" t="s">
        <v>36</v>
      </c>
      <c r="B17" s="27">
        <v>140</v>
      </c>
      <c r="C17" s="27">
        <f t="shared" si="1"/>
        <v>140</v>
      </c>
      <c r="D17" s="28">
        <f t="shared" si="0"/>
        <v>100</v>
      </c>
      <c r="E17" s="29">
        <f>COUNTIFS([3]InfCualitativo!$B$1:$B$6973,"VERDADERO",[3]InfCualitativo!$E$1:$E$6973,"Daniel Lemaitre",[3]InfCualitativo!$H$1:$H$6973,"consulta_externa")</f>
        <v>47</v>
      </c>
      <c r="F17" s="29">
        <f>COUNTIFS([3]InfCualitativo!$B$1:$B$6973,"FALSO",[3]InfCualitativo!$E$1:$E$6973,"Daniel Lemaitre",[3]InfCualitativo!$H$1:$H$6973,"consulta_externa")</f>
        <v>0</v>
      </c>
      <c r="G17" s="30">
        <f t="shared" si="2"/>
        <v>1</v>
      </c>
      <c r="H17" s="30">
        <f t="shared" si="3"/>
        <v>0</v>
      </c>
      <c r="I17" s="27">
        <f>COUNTIFS([3]InfCualitativo!$B$1:$B$6973,"VERDADERO",[3]InfCualitativo!$E$1:$E$6973,"Daniel Lemaitre",[3]InfCualitativo!$H$1:$H$6973,"salud_oral")</f>
        <v>47</v>
      </c>
      <c r="J17" s="27">
        <f>COUNTIFS([3]InfCualitativo!$B$1:$B$6973,"FALSO",[3]InfCualitativo!$E$1:$E$6973,"Daniel Lemaitre",[3]InfCualitativo!$H$1:$H$6973,"salud_oral")</f>
        <v>0</v>
      </c>
      <c r="K17" s="30">
        <f t="shared" si="4"/>
        <v>1</v>
      </c>
      <c r="L17" s="30">
        <f t="shared" si="5"/>
        <v>0</v>
      </c>
      <c r="M17" s="27">
        <f>COUNTIFS([3]InfCualitativo!$B$1:$B$6973,"VERDADERO",[3]InfCualitativo!$E$1:$E$6973,"Daniel Lemaitre",[3]InfCualitativo!$H$1:$H$6973,"laboratorio")</f>
        <v>46</v>
      </c>
      <c r="N17" s="27">
        <f>COUNTIFS([3]InfCualitativo!$B$1:$B$6973,"FALSO",[3]InfCualitativo!$E$1:$E$6973,"Daniel Lemaitre",[3]InfCualitativo!$H$1:$H$6973,"laboratorio")</f>
        <v>0</v>
      </c>
      <c r="O17" s="30">
        <f t="shared" si="6"/>
        <v>1</v>
      </c>
      <c r="P17" s="31">
        <f t="shared" si="7"/>
        <v>0</v>
      </c>
      <c r="Q17" s="27">
        <f>COUNTIFS([3]InfCualitativo!$B$1:$B$6973,"VERDADERO",[3]InfCualitativo!$E$1:$E$6973,"Daniel Lemaitre",[3]InfCualitativo!$H$1:$H$6973,"electros")</f>
        <v>0</v>
      </c>
      <c r="R17" s="27">
        <f>COUNTIFS([3]InfCualitativo!$B$1:$B$6973,"FALSO",[3]InfCualitativo!$E$1:$E$6973,"Daniel Lemaitre",[3]InfCualitativo!$H$1:$H$6973,"electros")</f>
        <v>0</v>
      </c>
      <c r="S17" s="30">
        <f t="shared" si="8"/>
        <v>0</v>
      </c>
      <c r="T17" s="30">
        <f t="shared" si="9"/>
        <v>0</v>
      </c>
      <c r="U17" s="27">
        <f>COUNTIFS([3]InfCualitativo!$B$1:$B$6973,"VERDADERO",[3]InfCualitativo!$E$1:$E$6973,"Daniel Lemaitre",[3]InfCualitativo!$H$1:$H$6973,"rx")</f>
        <v>0</v>
      </c>
      <c r="V17" s="27">
        <f>COUNTIFS([3]InfCualitativo!$B$1:$B$6973,"FALSO",[3]InfCualitativo!$E$1:$E$6973,"Daniel Lemaitre",[3]InfCualitativo!$H$1:$H$6973,"rx")</f>
        <v>0</v>
      </c>
      <c r="W17" s="30">
        <f t="shared" si="10"/>
        <v>0</v>
      </c>
      <c r="X17" s="30">
        <f t="shared" si="11"/>
        <v>0</v>
      </c>
      <c r="Y17" s="27">
        <f>COUNTIFS([3]InfCualitativo!$B$1:$B$6973,"VERDADERO",[3]InfCualitativo!$E$1:$E$6973,"Daniel Lemaitre",[3]InfCualitativo!$H$1:$H$6973,"ecografias")</f>
        <v>0</v>
      </c>
      <c r="Z17" s="27">
        <f>COUNTIFS([3]InfCualitativo!$B$1:$B$6973,"FALSO",[3]InfCualitativo!$E$1:$E$6973,"Daniel Lemaitre",[3]InfCualitativo!$H$1:$H$6973,"ecografias")</f>
        <v>0</v>
      </c>
      <c r="AA17" s="30">
        <f t="shared" si="12"/>
        <v>0</v>
      </c>
      <c r="AB17" s="30">
        <f t="shared" si="13"/>
        <v>0</v>
      </c>
      <c r="AC17" s="27">
        <f>COUNTIFS([3]InfCualitativo!$B$1:$B$6973,"VERDADERO",[3]InfCualitativo!$E$1:$E$6973,"Daniel Lemaitre",[3]InfCualitativo!$H$1:$H$6973,"urgencia")</f>
        <v>0</v>
      </c>
      <c r="AD17" s="27">
        <f>COUNTIFS([3]InfCualitativo!$B$1:$B$6973,"FALSO",[3]InfCualitativo!$E$1:$E$6973,"Daniel Lemaitre",[3]InfCualitativo!$H$1:$H$6973,"urgencia")</f>
        <v>0</v>
      </c>
      <c r="AE17" s="30">
        <f t="shared" si="14"/>
        <v>0</v>
      </c>
      <c r="AF17" s="30">
        <f t="shared" si="15"/>
        <v>0</v>
      </c>
      <c r="AG17" s="27">
        <f>COUNTIFS([3]InfCualitativo!$B$1:$B$6973,"VERDADERO",[3]InfCualitativo!$E$1:$E$6973,"Daniel Lemaitre",[3]InfCualitativo!$H$1:$H$6973,"pediatria")</f>
        <v>0</v>
      </c>
      <c r="AH17" s="27">
        <f>COUNTIFS([3]InfCualitativo!$B$1:$B$6973,"FALSO",[3]InfCualitativo!$E$1:$E$6973,"Daniel Lemaitre",[3]InfCualitativo!$H$1:$H$6973,"pediatria")</f>
        <v>0</v>
      </c>
      <c r="AI17" s="30">
        <f t="shared" si="16"/>
        <v>0</v>
      </c>
      <c r="AJ17" s="30">
        <f t="shared" si="17"/>
        <v>0</v>
      </c>
      <c r="AK17" s="27">
        <f>COUNTIFS([3]InfCualitativo!$B$1:$B$6973,"VERDADERO",[3]InfCualitativo!$E$1:$E$6973,"Daniel Lemaitre",[3]InfCualitativo!$H$1:$H$6973,"medicina_interna")</f>
        <v>0</v>
      </c>
      <c r="AL17" s="27">
        <f>COUNTIFS([3]InfCualitativo!$B$1:$B$6973,"FALSO",[3]InfCualitativo!$E$1:$E$6973,"Daniel Lemaitre",[3]InfCualitativo!$H$1:$H$6973,"medicina_interna")</f>
        <v>0</v>
      </c>
      <c r="AM17" s="30">
        <f t="shared" si="18"/>
        <v>0</v>
      </c>
      <c r="AN17" s="30">
        <f t="shared" si="19"/>
        <v>0</v>
      </c>
      <c r="AO17" s="27">
        <f>COUNTIFS([3]InfCualitativo!$B$1:$B$6973,"VERDADERO",[3]InfCualitativo!$E$1:$E$6973,"Daniel Lemaitre",[3]InfCualitativo!$H$1:$H$6973,"ginecologia")</f>
        <v>0</v>
      </c>
      <c r="AP17" s="27">
        <f>COUNTIFS([3]InfCualitativo!$B$1:$B$6973,"FALSO",[3]InfCualitativo!$E$1:$E$6973,"Daniel Lemaitre",[3]InfCualitativo!$H$1:$H$6973,"ginecologia")</f>
        <v>0</v>
      </c>
      <c r="AQ17" s="30">
        <f t="shared" si="20"/>
        <v>0</v>
      </c>
      <c r="AR17" s="30">
        <f t="shared" si="21"/>
        <v>0</v>
      </c>
      <c r="AS17" s="27">
        <f t="shared" si="22"/>
        <v>140</v>
      </c>
      <c r="AT17" s="27">
        <f t="shared" si="22"/>
        <v>0</v>
      </c>
      <c r="AU17" s="32">
        <f t="shared" si="23"/>
        <v>1</v>
      </c>
      <c r="AV17" s="32">
        <f t="shared" si="24"/>
        <v>0</v>
      </c>
    </row>
    <row r="18" spans="1:48" ht="18.75" x14ac:dyDescent="0.3">
      <c r="A18" s="26" t="s">
        <v>37</v>
      </c>
      <c r="B18" s="27">
        <v>236</v>
      </c>
      <c r="C18" s="27">
        <f>SUM(E18,F18,I18,J18,M18,N18,Q18,R18,U18,V18,Y18,Z18,AC18,AD18,AG18,AH18,AK18,AL18,AO18,AP18)</f>
        <v>200</v>
      </c>
      <c r="D18" s="28">
        <f t="shared" si="0"/>
        <v>84.745762711864401</v>
      </c>
      <c r="E18" s="29">
        <f>COUNTIFS([3]InfCualitativo!$B$1:$B$6973,"VERDADERO",[3]InfCualitativo!$E$1:$E$6973,"Esperanza",[3]InfCualitativo!$H$1:$H$6973,"consulta_externa")</f>
        <v>44</v>
      </c>
      <c r="F18" s="29">
        <f>COUNTIFS([3]InfCualitativo!$B$1:$B$6973,"FALSO",[3]InfCualitativo!$E$1:$E$6973,"Esperanza",[3]InfCualitativo!$H$1:$H$6973,"consulta_externa")</f>
        <v>0</v>
      </c>
      <c r="G18" s="30">
        <f t="shared" si="2"/>
        <v>1</v>
      </c>
      <c r="H18" s="30">
        <f t="shared" si="3"/>
        <v>0</v>
      </c>
      <c r="I18" s="27">
        <f>COUNTIFS([3]InfCualitativo!$B$1:$B$6973,"VERDADERO",[3]InfCualitativo!$E$1:$E$6973,"Esperanza",[3]InfCualitativo!$H$1:$H$6973,"salud_oral")</f>
        <v>40</v>
      </c>
      <c r="J18" s="27">
        <f>COUNTIFS([3]InfCualitativo!$B$1:$B$6973,"FALSO",[3]InfCualitativo!$E$1:$E$6973,"Esperanza",[3]InfCualitativo!$H$1:$H$6973,"salud_oral")</f>
        <v>0</v>
      </c>
      <c r="K18" s="30">
        <f t="shared" si="4"/>
        <v>1</v>
      </c>
      <c r="L18" s="30">
        <f t="shared" si="5"/>
        <v>0</v>
      </c>
      <c r="M18" s="27">
        <f>COUNTIFS([3]InfCualitativo!$B$1:$B$6973,"VERDADERO",[3]InfCualitativo!$E$1:$E$6973,"Esperanza",[3]InfCualitativo!$H$1:$H$6973,"laboratorio")</f>
        <v>40</v>
      </c>
      <c r="N18" s="27">
        <f>COUNTIFS([3]InfCualitativo!$B$1:$B$6973,"FALSO",[3]InfCualitativo!$E$1:$E$6973,"Esperanza",[3]InfCualitativo!$H$1:$H$6973,"laboratorio")</f>
        <v>0</v>
      </c>
      <c r="O18" s="30">
        <f t="shared" si="6"/>
        <v>1</v>
      </c>
      <c r="P18" s="31">
        <f t="shared" si="7"/>
        <v>0</v>
      </c>
      <c r="Q18" s="27">
        <f>COUNTIFS([3]InfCualitativo!$B$1:$B$6973,"VERDADERO",[3]InfCualitativo!$E$1:$E$6973,"Esperanza",[3]InfCualitativo!$H$1:$H$6973,"electros")</f>
        <v>37</v>
      </c>
      <c r="R18" s="27">
        <f>COUNTIFS([3]InfCualitativo!$B$1:$B$6973,"FALSO",[3]InfCualitativo!$E$1:$E$6973,"Esperanza",[3]InfCualitativo!$H$1:$H$6973,"electros")</f>
        <v>0</v>
      </c>
      <c r="S18" s="30">
        <f t="shared" si="8"/>
        <v>1</v>
      </c>
      <c r="T18" s="30">
        <f t="shared" si="9"/>
        <v>0</v>
      </c>
      <c r="U18" s="27">
        <f>COUNTIFS([3]InfCualitativo!$B$1:$B$6973,"VERDADERO",[3]InfCualitativo!$E$1:$E$6973,"Esperanza",[3]InfCualitativo!$H$1:$H$6973,"rx")</f>
        <v>0</v>
      </c>
      <c r="V18" s="27">
        <f>COUNTIFS([3]InfCualitativo!$B$1:$B$6973,"FALSO",[3]InfCualitativo!$E$1:$E$6973,"Esperanza",[3]InfCualitativo!$H$1:$H$6973,"rx")</f>
        <v>0</v>
      </c>
      <c r="W18" s="30">
        <f t="shared" si="10"/>
        <v>0</v>
      </c>
      <c r="X18" s="30">
        <f t="shared" si="11"/>
        <v>0</v>
      </c>
      <c r="Y18" s="27">
        <f>COUNTIFS([3]InfCualitativo!$B$1:$B$6973,"VERDADERO",[3]InfCualitativo!$E$1:$E$6973,"Esperanza",[3]InfCualitativo!$H$1:$H$6973,"ecografias")</f>
        <v>0</v>
      </c>
      <c r="Z18" s="27">
        <f>COUNTIFS([3]InfCualitativo!$B$1:$B$6973,"FALSO",[3]InfCualitativo!$E$1:$E$6973,"Esperanza",[3]InfCualitativo!$H$1:$H$6973,"ecografias")</f>
        <v>0</v>
      </c>
      <c r="AA18" s="30">
        <f t="shared" si="12"/>
        <v>0</v>
      </c>
      <c r="AB18" s="30">
        <f t="shared" si="13"/>
        <v>0</v>
      </c>
      <c r="AC18" s="27">
        <f>COUNTIFS([3]InfCualitativo!$B$1:$B$6973,"VERDADERO",[3]InfCualitativo!$E$1:$E$6973,"Esperanza",[3]InfCualitativo!$H$1:$H$6973,"urgencia")</f>
        <v>39</v>
      </c>
      <c r="AD18" s="27">
        <f>COUNTIFS([3]InfCualitativo!$B$1:$B$6973,"FALSO",[3]InfCualitativo!$E$1:$E$6973,"Esperanza",[3]InfCualitativo!$H$1:$H$6973,"urgencia")</f>
        <v>0</v>
      </c>
      <c r="AE18" s="30">
        <f t="shared" si="14"/>
        <v>1</v>
      </c>
      <c r="AF18" s="30">
        <f t="shared" si="15"/>
        <v>0</v>
      </c>
      <c r="AG18" s="27">
        <f>COUNTIFS([3]InfCualitativo!$B$1:$B$6973,"VERDADERO",[3]InfCualitativo!$E$1:$E$6973,"Esperanza",[3]InfCualitativo!$H$1:$H$6973,"pediatria")</f>
        <v>0</v>
      </c>
      <c r="AH18" s="27">
        <f>COUNTIFS([3]InfCualitativo!$B$1:$B$6973,"FALSO",[3]InfCualitativo!$E$1:$E$6973,"Esperanza",[3]InfCualitativo!$H$1:$H$6973,"pediatria")</f>
        <v>0</v>
      </c>
      <c r="AI18" s="30">
        <f t="shared" si="16"/>
        <v>0</v>
      </c>
      <c r="AJ18" s="30">
        <f t="shared" si="17"/>
        <v>0</v>
      </c>
      <c r="AK18" s="27">
        <f>COUNTIFS([3]InfCualitativo!$B$1:$B$6973,"VERDADERO",[3]InfCualitativo!$E$1:$E$6973,"Esperanza",[3]InfCualitativo!$H$1:$H$6973,"medicina_interna")</f>
        <v>0</v>
      </c>
      <c r="AL18" s="27">
        <f>COUNTIFS([3]InfCualitativo!$B$1:$B$6973,"FALSO",[3]InfCualitativo!$E$1:$E$6973,"Esperanza",[3]InfCualitativo!$H$1:$H$6973,"medicina_interna")</f>
        <v>0</v>
      </c>
      <c r="AM18" s="30">
        <f t="shared" si="18"/>
        <v>0</v>
      </c>
      <c r="AN18" s="30">
        <f t="shared" si="19"/>
        <v>0</v>
      </c>
      <c r="AO18" s="27">
        <f>COUNTIFS([3]InfCualitativo!$B$1:$B$6973,"VERDADERO",[3]InfCualitativo!$E$1:$E$6973,"Esperanza",[3]InfCualitativo!$H$1:$H$6973,"ginecologia")</f>
        <v>0</v>
      </c>
      <c r="AP18" s="27">
        <f>COUNTIFS([3]InfCualitativo!$B$1:$B$6973,"FALSO",[3]InfCualitativo!$E$1:$E$6973,"Esperanza",[3]InfCualitativo!$H$1:$H$6973,"ginecologia")</f>
        <v>0</v>
      </c>
      <c r="AQ18" s="30">
        <f t="shared" si="20"/>
        <v>0</v>
      </c>
      <c r="AR18" s="30">
        <f t="shared" si="21"/>
        <v>0</v>
      </c>
      <c r="AS18" s="27">
        <f t="shared" si="22"/>
        <v>200</v>
      </c>
      <c r="AT18" s="27">
        <f t="shared" si="22"/>
        <v>0</v>
      </c>
      <c r="AU18" s="32">
        <f t="shared" si="23"/>
        <v>1</v>
      </c>
      <c r="AV18" s="32">
        <f t="shared" si="24"/>
        <v>0</v>
      </c>
    </row>
    <row r="19" spans="1:48" ht="18.75" x14ac:dyDescent="0.3">
      <c r="A19" s="26" t="s">
        <v>38</v>
      </c>
      <c r="B19" s="35" t="s">
        <v>39</v>
      </c>
      <c r="C19" s="35" t="s">
        <v>39</v>
      </c>
      <c r="D19" s="35" t="s">
        <v>39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5" t="s">
        <v>39</v>
      </c>
      <c r="P19" s="35" t="s">
        <v>39</v>
      </c>
      <c r="Q19" s="35" t="s">
        <v>39</v>
      </c>
      <c r="R19" s="35" t="s">
        <v>39</v>
      </c>
      <c r="S19" s="35" t="s">
        <v>39</v>
      </c>
      <c r="T19" s="35" t="s">
        <v>39</v>
      </c>
      <c r="U19" s="35" t="s">
        <v>39</v>
      </c>
      <c r="V19" s="35" t="s">
        <v>39</v>
      </c>
      <c r="W19" s="35" t="s">
        <v>39</v>
      </c>
      <c r="X19" s="35" t="s">
        <v>39</v>
      </c>
      <c r="Y19" s="35" t="s">
        <v>39</v>
      </c>
      <c r="Z19" s="35" t="s">
        <v>39</v>
      </c>
      <c r="AA19" s="35" t="s">
        <v>39</v>
      </c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 t="s">
        <v>39</v>
      </c>
      <c r="AH19" s="35" t="s">
        <v>39</v>
      </c>
      <c r="AI19" s="35" t="s">
        <v>39</v>
      </c>
      <c r="AJ19" s="35" t="s">
        <v>39</v>
      </c>
      <c r="AK19" s="35" t="s">
        <v>39</v>
      </c>
      <c r="AL19" s="35" t="s">
        <v>39</v>
      </c>
      <c r="AM19" s="35" t="s">
        <v>39</v>
      </c>
      <c r="AN19" s="35" t="s">
        <v>39</v>
      </c>
      <c r="AO19" s="35" t="s">
        <v>39</v>
      </c>
      <c r="AP19" s="35" t="s">
        <v>39</v>
      </c>
      <c r="AQ19" s="35" t="s">
        <v>39</v>
      </c>
      <c r="AR19" s="35" t="s">
        <v>39</v>
      </c>
      <c r="AS19" s="35" t="s">
        <v>39</v>
      </c>
      <c r="AT19" s="35" t="s">
        <v>39</v>
      </c>
      <c r="AU19" s="35" t="s">
        <v>39</v>
      </c>
      <c r="AV19" s="35" t="s">
        <v>39</v>
      </c>
    </row>
    <row r="20" spans="1:48" ht="18.75" x14ac:dyDescent="0.3">
      <c r="A20" s="26" t="s">
        <v>40</v>
      </c>
      <c r="B20" s="27">
        <v>136</v>
      </c>
      <c r="C20" s="27">
        <f t="shared" si="1"/>
        <v>127</v>
      </c>
      <c r="D20" s="28">
        <f t="shared" si="0"/>
        <v>93.382352941176464</v>
      </c>
      <c r="E20" s="29">
        <f>COUNTIFS([3]InfCualitativo!$B$1:$B$6973,"VERDADERO",[3]InfCualitativo!$E$1:$E$6973,"Foco Rojo",[3]InfCualitativo!$H$1:$H$6973,"consulta_externa")</f>
        <v>47</v>
      </c>
      <c r="F20" s="29">
        <f>COUNTIFS([3]InfCualitativo!$B$1:$B$6973,"FALSO",[3]InfCualitativo!$E$1:$E$6973,"Foco Rojo",[3]InfCualitativo!$H$1:$H$6973,"consulta_externa")</f>
        <v>0</v>
      </c>
      <c r="G20" s="30">
        <f t="shared" si="2"/>
        <v>1</v>
      </c>
      <c r="H20" s="30">
        <f t="shared" si="3"/>
        <v>0</v>
      </c>
      <c r="I20" s="27">
        <f>COUNTIFS([3]InfCualitativo!$B$1:$B$6973,"VERDADERO",[3]InfCualitativo!$E$1:$E$6973,"Foco Rojo",[3]InfCualitativo!$H$1:$H$6973,"salud_oral")</f>
        <v>37</v>
      </c>
      <c r="J20" s="27">
        <f>COUNTIFS([3]InfCualitativo!$B$1:$B$6973,"FALSO",[3]InfCualitativo!$E$1:$E$6973,"Foco Rojo",[3]InfCualitativo!$H$1:$H$6973,"salud_oral")</f>
        <v>0</v>
      </c>
      <c r="K20" s="30">
        <f t="shared" si="4"/>
        <v>1</v>
      </c>
      <c r="L20" s="30">
        <f t="shared" si="5"/>
        <v>0</v>
      </c>
      <c r="M20" s="27">
        <f>COUNTIFS([3]InfCualitativo!$B$1:$B$6973,"VERDADERO",[3]InfCualitativo!$E$1:$E$6973,"Foco Rojo",[3]InfCualitativo!$H$1:$H$6973,"laboratorio")</f>
        <v>37</v>
      </c>
      <c r="N20" s="27">
        <f>COUNTIFS([3]InfCualitativo!$B$1:$B$6973,"FALSO",[3]InfCualitativo!$E$1:$E$6973,"Foco Rojo",[3]InfCualitativo!$H$1:$H$6973,"laboratorio")</f>
        <v>6</v>
      </c>
      <c r="O20" s="30">
        <f t="shared" si="6"/>
        <v>0.86046511627906974</v>
      </c>
      <c r="P20" s="31">
        <f t="shared" si="7"/>
        <v>0.13953488372093023</v>
      </c>
      <c r="Q20" s="27">
        <f>COUNTIFS([3]InfCualitativo!$B$1:$B$6973,"VERDADERO",[3]InfCualitativo!$E$1:$E$6973,"Foco Rojo",[3]InfCualitativo!$H$1:$H$6973,"electros")</f>
        <v>0</v>
      </c>
      <c r="R20" s="27">
        <f>COUNTIFS([3]InfCualitativo!$B$1:$B$6973,"FALSO",[3]InfCualitativo!$E$1:$E$6973,"Foco Rojo",[3]InfCualitativo!$H$1:$H$6973,"electros")</f>
        <v>0</v>
      </c>
      <c r="S20" s="30">
        <f t="shared" si="8"/>
        <v>0</v>
      </c>
      <c r="T20" s="30">
        <f t="shared" si="9"/>
        <v>0</v>
      </c>
      <c r="U20" s="27">
        <f>COUNTIFS([3]InfCualitativo!$B$1:$B$6973,"VERDADERO",[3]InfCualitativo!$E$1:$E$6973,"Foco Rojo",[3]InfCualitativo!$H$1:$H$6973,"rx")</f>
        <v>0</v>
      </c>
      <c r="V20" s="27">
        <f>COUNTIFS([3]InfCualitativo!$B$1:$B$6973,"FALSO",[3]InfCualitativo!$E$1:$E$6973,"Foco Rojo",[3]InfCualitativo!$H$1:$H$6973,"rx")</f>
        <v>0</v>
      </c>
      <c r="W20" s="30">
        <f t="shared" si="10"/>
        <v>0</v>
      </c>
      <c r="X20" s="30">
        <f t="shared" si="11"/>
        <v>0</v>
      </c>
      <c r="Y20" s="27">
        <f>COUNTIFS([3]InfCualitativo!$B$1:$B$6973,"VERDADERO",[3]InfCualitativo!$E$1:$E$6973,"Foco Rojo",[3]InfCualitativo!$H$1:$H$6973,"ecografias")</f>
        <v>0</v>
      </c>
      <c r="Z20" s="27">
        <f>COUNTIFS([3]InfCualitativo!$B$1:$B$6973,"FALSO",[3]InfCualitativo!$E$1:$E$6973,"Foco Rojo",[3]InfCualitativo!$H$1:$H$6973,"ecografias")</f>
        <v>0</v>
      </c>
      <c r="AA20" s="30">
        <f t="shared" si="12"/>
        <v>0</v>
      </c>
      <c r="AB20" s="30">
        <f t="shared" si="13"/>
        <v>0</v>
      </c>
      <c r="AC20" s="27">
        <f>COUNTIFS([3]InfCualitativo!$B$1:$B$6973,"VERDADERO",[3]InfCualitativo!$E$1:$E$6973,"Foco Rojo",[3]InfCualitativo!$H$1:$H$6973,"urgencia")</f>
        <v>0</v>
      </c>
      <c r="AD20" s="27">
        <f>COUNTIFS([3]InfCualitativo!$B$1:$B$6973,"FALSO",[3]InfCualitativo!$E$1:$E$6973,"Foco Rojo",[3]InfCualitativo!$H$1:$H$6973,"urgencia")</f>
        <v>0</v>
      </c>
      <c r="AE20" s="30">
        <f t="shared" si="14"/>
        <v>0</v>
      </c>
      <c r="AF20" s="30">
        <f t="shared" si="15"/>
        <v>0</v>
      </c>
      <c r="AG20" s="27">
        <f>COUNTIFS([3]InfCualitativo!$B$1:$B$6973,"VERDADERO",[3]InfCualitativo!$E$1:$E$6973,"Foco Rojo",[3]InfCualitativo!$H$1:$H$6973,"pediatria")</f>
        <v>0</v>
      </c>
      <c r="AH20" s="27">
        <f>COUNTIFS([3]InfCualitativo!$B$1:$B$6973,"FALSO",[3]InfCualitativo!$E$1:$E$6973,"Foco Rojo",[3]InfCualitativo!$H$1:$H$6973,"pediatria")</f>
        <v>0</v>
      </c>
      <c r="AI20" s="30">
        <f t="shared" si="16"/>
        <v>0</v>
      </c>
      <c r="AJ20" s="30">
        <f t="shared" si="17"/>
        <v>0</v>
      </c>
      <c r="AK20" s="27">
        <f>COUNTIFS([3]InfCualitativo!$B$1:$B$6973,"VERDADERO",[3]InfCualitativo!$E$1:$E$6973,"Foco Rojo",[3]InfCualitativo!$H$1:$H$6973,"medicina_interna")</f>
        <v>0</v>
      </c>
      <c r="AL20" s="27">
        <f>COUNTIFS([3]InfCualitativo!$B$1:$B$6973,"FALSO",[3]InfCualitativo!$E$1:$E$6973,"Foco Rojo",[3]InfCualitativo!$H$1:$H$6973,"medicina_interna")</f>
        <v>0</v>
      </c>
      <c r="AM20" s="30">
        <f t="shared" si="18"/>
        <v>0</v>
      </c>
      <c r="AN20" s="30">
        <f t="shared" si="19"/>
        <v>0</v>
      </c>
      <c r="AO20" s="27">
        <f>COUNTIFS([3]InfCualitativo!$B$1:$B$6973,"VERDADERO",[3]InfCualitativo!$E$1:$E$6973,"Foco Rojo",[3]InfCualitativo!$H$1:$H$6973,"ginecologia")</f>
        <v>0</v>
      </c>
      <c r="AP20" s="27">
        <f>COUNTIFS([3]InfCualitativo!$B$1:$B$6973,"FALSO",[3]InfCualitativo!$E$1:$E$6973,"Foco Rojo",[3]InfCualitativo!$H$1:$H$6973,"ginecologia")</f>
        <v>0</v>
      </c>
      <c r="AQ20" s="30">
        <f t="shared" si="20"/>
        <v>0</v>
      </c>
      <c r="AR20" s="30">
        <f t="shared" si="21"/>
        <v>0</v>
      </c>
      <c r="AS20" s="27">
        <f t="shared" si="22"/>
        <v>121</v>
      </c>
      <c r="AT20" s="27">
        <f t="shared" si="22"/>
        <v>6</v>
      </c>
      <c r="AU20" s="32">
        <f t="shared" si="23"/>
        <v>0.952755905511811</v>
      </c>
      <c r="AV20" s="32">
        <f t="shared" si="24"/>
        <v>4.7244094488188976E-2</v>
      </c>
    </row>
    <row r="21" spans="1:48" ht="18.75" x14ac:dyDescent="0.3">
      <c r="A21" s="26" t="s">
        <v>41</v>
      </c>
      <c r="B21" s="27">
        <v>140</v>
      </c>
      <c r="C21" s="27">
        <f t="shared" si="1"/>
        <v>140</v>
      </c>
      <c r="D21" s="28">
        <f t="shared" si="0"/>
        <v>100</v>
      </c>
      <c r="E21" s="29">
        <f>COUNTIFS([3]InfCualitativo!$B$1:$B$6973,"VERDADERO",[3]InfCualitativo!$E$1:$E$6973,"Fredonia",[3]InfCualitativo!$H$1:$H$6973,"consulta_externa")</f>
        <v>41</v>
      </c>
      <c r="F21" s="29">
        <f>COUNTIFS([3]InfCualitativo!$B$1:$B$6973,"FALSO",[3]InfCualitativo!$E$1:$E$6973,"Fredonia",[3]InfCualitativo!$H$1:$H$6973,"consulta_externa")</f>
        <v>7</v>
      </c>
      <c r="G21" s="30">
        <f t="shared" si="2"/>
        <v>0.85416666666666663</v>
      </c>
      <c r="H21" s="30">
        <f t="shared" si="3"/>
        <v>0.14583333333333334</v>
      </c>
      <c r="I21" s="27">
        <f>COUNTIFS([3]InfCualitativo!$B$1:$B$6973,"VERDADERO",[3]InfCualitativo!$E$1:$E$6973,"Fredonia",[3]InfCualitativo!$H$1:$H$6973,"salud_oral")</f>
        <v>41</v>
      </c>
      <c r="J21" s="27">
        <f>COUNTIFS([3]InfCualitativo!$B$1:$B$6973,"FALSO",[3]InfCualitativo!$E$1:$E$6973,"Fredonia",[3]InfCualitativo!$H$1:$H$6973,"salud_oral")</f>
        <v>3</v>
      </c>
      <c r="K21" s="30">
        <f t="shared" si="4"/>
        <v>0.93181818181818177</v>
      </c>
      <c r="L21" s="30">
        <f t="shared" si="5"/>
        <v>6.8181818181818177E-2</v>
      </c>
      <c r="M21" s="27">
        <f>COUNTIFS([3]InfCualitativo!$B$1:$B$6973,"VERDADERO",[3]InfCualitativo!$E$1:$E$6973,"Fredonia",[3]InfCualitativo!$H$1:$H$6973,"laboratorio")</f>
        <v>36</v>
      </c>
      <c r="N21" s="27">
        <f>COUNTIFS([3]InfCualitativo!$B$1:$B$6973,"FALSO",[3]InfCualitativo!$E$1:$E$6973,"Fredonia",[3]InfCualitativo!$H$1:$H$6973,"laboratorio")</f>
        <v>12</v>
      </c>
      <c r="O21" s="30">
        <f t="shared" si="6"/>
        <v>0.75</v>
      </c>
      <c r="P21" s="31">
        <f t="shared" si="7"/>
        <v>0.25</v>
      </c>
      <c r="Q21" s="27">
        <f>COUNTIFS([3]InfCualitativo!$B$1:$B$6973,"VERDADERO",[3]InfCualitativo!$E$1:$E$6973,"Fredonia",[3]InfCualitativo!$H$1:$H$6973,"electros")</f>
        <v>0</v>
      </c>
      <c r="R21" s="27">
        <f>COUNTIFS([3]InfCualitativo!$B$1:$B$6973,"FALSO",[3]InfCualitativo!$E$1:$E$6973,"Fredonia",[3]InfCualitativo!$H$1:$H$6973,"electros")</f>
        <v>0</v>
      </c>
      <c r="S21" s="30">
        <f t="shared" si="8"/>
        <v>0</v>
      </c>
      <c r="T21" s="30">
        <f t="shared" si="9"/>
        <v>0</v>
      </c>
      <c r="U21" s="27">
        <f>COUNTIFS([3]InfCualitativo!$B$1:$B$6973,"VERDADERO",[3]InfCualitativo!$E$1:$E$6973,"Fredonia",[3]InfCualitativo!$H$1:$H$6973,"rx")</f>
        <v>0</v>
      </c>
      <c r="V21" s="27">
        <f>COUNTIFS([3]InfCualitativo!$B$1:$B$6973,"FALSO",[3]InfCualitativo!$E$1:$E$6973,"Fredonia",[3]InfCualitativo!$H$1:$H$6973,"rx")</f>
        <v>0</v>
      </c>
      <c r="W21" s="30">
        <f t="shared" si="10"/>
        <v>0</v>
      </c>
      <c r="X21" s="30">
        <f t="shared" si="11"/>
        <v>0</v>
      </c>
      <c r="Y21" s="27">
        <f>COUNTIFS([3]InfCualitativo!$B$1:$B$6973,"VERDADERO",[3]InfCualitativo!$E$1:$E$6973,"Fredonia",[3]InfCualitativo!$H$1:$H$6973,"ecografias")</f>
        <v>0</v>
      </c>
      <c r="Z21" s="27">
        <f>COUNTIFS([3]InfCualitativo!$B$1:$B$6973,"FALSO",[3]InfCualitativo!$E$1:$E$6973,"Fredonia",[3]InfCualitativo!$H$1:$H$6973,"ecografias")</f>
        <v>0</v>
      </c>
      <c r="AA21" s="30">
        <f t="shared" si="12"/>
        <v>0</v>
      </c>
      <c r="AB21" s="30">
        <f t="shared" si="13"/>
        <v>0</v>
      </c>
      <c r="AC21" s="27">
        <f>COUNTIFS([3]InfCualitativo!$B$1:$B$6973,"VERDADERO",[3]InfCualitativo!$E$1:$E$6973,"Fredonia",[3]InfCualitativo!$H$1:$H$6973,"urgencia")</f>
        <v>0</v>
      </c>
      <c r="AD21" s="27">
        <f>COUNTIFS([3]InfCualitativo!$B$1:$B$6973,"FALSO",[3]InfCualitativo!$E$1:$E$6973,"Fredonia",[3]InfCualitativo!$H$1:$H$6973,"urgencia")</f>
        <v>0</v>
      </c>
      <c r="AE21" s="30">
        <f t="shared" si="14"/>
        <v>0</v>
      </c>
      <c r="AF21" s="30">
        <f t="shared" si="15"/>
        <v>0</v>
      </c>
      <c r="AG21" s="27">
        <f>COUNTIFS([3]InfCualitativo!$B$1:$B$6973,"VERDADERO",[3]InfCualitativo!$E$1:$E$6973,"Fredonia",[3]InfCualitativo!$H$1:$H$6973,"pediatria")</f>
        <v>0</v>
      </c>
      <c r="AH21" s="27">
        <f>COUNTIFS([3]InfCualitativo!$B$1:$B$6973,"FALSO",[3]InfCualitativo!$E$1:$E$6973,"Fredonia",[3]InfCualitativo!$H$1:$H$6973,"pediatria")</f>
        <v>0</v>
      </c>
      <c r="AI21" s="30">
        <f t="shared" si="16"/>
        <v>0</v>
      </c>
      <c r="AJ21" s="30">
        <f t="shared" si="17"/>
        <v>0</v>
      </c>
      <c r="AK21" s="27">
        <f>COUNTIFS([3]InfCualitativo!$B$1:$B$6973,"VERDADERO",[3]InfCualitativo!$E$1:$E$6973,"Fredonia",[3]InfCualitativo!$H$1:$H$6973,"medicina_interna")</f>
        <v>0</v>
      </c>
      <c r="AL21" s="27">
        <f>COUNTIFS([3]InfCualitativo!$B$1:$B$6973,"FALSO",[3]InfCualitativo!$E$1:$E$6973,"Fredonia",[3]InfCualitativo!$H$1:$H$6973,"medicina_interna")</f>
        <v>0</v>
      </c>
      <c r="AM21" s="30">
        <f t="shared" si="18"/>
        <v>0</v>
      </c>
      <c r="AN21" s="30">
        <f t="shared" si="19"/>
        <v>0</v>
      </c>
      <c r="AO21" s="27">
        <f>COUNTIFS([3]InfCualitativo!$B$1:$B$6973,"VERDADERO",[3]InfCualitativo!$E$1:$E$6973,"Fredonia",[3]InfCualitativo!$H$1:$H$6973,"ginecologia")</f>
        <v>0</v>
      </c>
      <c r="AP21" s="27">
        <f>COUNTIFS([3]InfCualitativo!$B$1:$B$6973,"FALSO",[3]InfCualitativo!$E$1:$E$6973,"Fredonia",[3]InfCualitativo!$H$1:$H$6973,"ginecologia")</f>
        <v>0</v>
      </c>
      <c r="AQ21" s="30">
        <f t="shared" si="20"/>
        <v>0</v>
      </c>
      <c r="AR21" s="30">
        <f t="shared" si="21"/>
        <v>0</v>
      </c>
      <c r="AS21" s="27">
        <f t="shared" si="22"/>
        <v>118</v>
      </c>
      <c r="AT21" s="27">
        <f t="shared" si="22"/>
        <v>22</v>
      </c>
      <c r="AU21" s="32">
        <f t="shared" si="23"/>
        <v>0.84285714285714286</v>
      </c>
      <c r="AV21" s="32">
        <f t="shared" si="24"/>
        <v>0.15714285714285714</v>
      </c>
    </row>
    <row r="22" spans="1:48" ht="18.75" x14ac:dyDescent="0.3">
      <c r="A22" s="26" t="s">
        <v>42</v>
      </c>
      <c r="B22" s="27">
        <v>149</v>
      </c>
      <c r="C22" s="27">
        <f t="shared" si="1"/>
        <v>149</v>
      </c>
      <c r="D22" s="28">
        <f t="shared" si="0"/>
        <v>100</v>
      </c>
      <c r="E22" s="29">
        <f>COUNTIFS([3]InfCualitativo!$B$1:$B$6973,"VERDADERO",[3]InfCualitativo!$E$1:$E$6973,"Gaviotas",[3]InfCualitativo!$H$1:$H$6973,"consulta_externa")</f>
        <v>47</v>
      </c>
      <c r="F22" s="29">
        <f>COUNTIFS([3]InfCualitativo!$B$1:$B$6973,"FALSO",[3]InfCualitativo!$E$1:$E$6973,"Gaviotas",[3]InfCualitativo!$H$1:$H$6973,"consulta_externa")</f>
        <v>2</v>
      </c>
      <c r="G22" s="30">
        <f t="shared" si="2"/>
        <v>0.95918367346938771</v>
      </c>
      <c r="H22" s="30">
        <f t="shared" si="3"/>
        <v>4.0816326530612242E-2</v>
      </c>
      <c r="I22" s="27">
        <f>COUNTIFS([3]InfCualitativo!$B$1:$B$6973,"VERDADERO",[3]InfCualitativo!$E$1:$E$6973,"Gaviotas",[3]InfCualitativo!$H$1:$H$6973,"salud_oral")</f>
        <v>44</v>
      </c>
      <c r="J22" s="27">
        <f>COUNTIFS([3]InfCualitativo!$B$1:$B$6973,"FALSO",[3]InfCualitativo!$E$1:$E$6973,"Gaviotas",[3]InfCualitativo!$H$1:$H$6973,"salud_oral")</f>
        <v>0</v>
      </c>
      <c r="K22" s="30">
        <f t="shared" si="4"/>
        <v>1</v>
      </c>
      <c r="L22" s="30">
        <f t="shared" si="5"/>
        <v>0</v>
      </c>
      <c r="M22" s="27">
        <f>COUNTIFS([3]InfCualitativo!$B$1:$B$6973,"VERDADERO",[3]InfCualitativo!$E$1:$E$6973,"Gaviotas",[3]InfCualitativo!$H$1:$H$6973,"laboratorio")</f>
        <v>45</v>
      </c>
      <c r="N22" s="27">
        <f>COUNTIFS([3]InfCualitativo!$B$1:$B$6973,"FALSO",[3]InfCualitativo!$E$1:$E$6973,"Gaviotas",[3]InfCualitativo!$H$1:$H$6973,"laboratorio")</f>
        <v>3</v>
      </c>
      <c r="O22" s="30">
        <f t="shared" si="6"/>
        <v>0.9375</v>
      </c>
      <c r="P22" s="31">
        <f t="shared" si="7"/>
        <v>6.25E-2</v>
      </c>
      <c r="Q22" s="27">
        <f>COUNTIFS([3]InfCualitativo!$B$1:$B$6973,"VERDADERO",[3]InfCualitativo!$E$1:$E$6973,"Gaviotas",[3]InfCualitativo!$H$1:$H$6973,"electros")</f>
        <v>0</v>
      </c>
      <c r="R22" s="27">
        <f>COUNTIFS([3]InfCualitativo!$B$1:$B$6973,"FALSO",[3]InfCualitativo!$E$1:$E$6973,"Gaviotas",[3]InfCualitativo!$H$1:$H$6973,"electros")</f>
        <v>0</v>
      </c>
      <c r="S22" s="30">
        <f t="shared" si="8"/>
        <v>0</v>
      </c>
      <c r="T22" s="30">
        <f t="shared" si="9"/>
        <v>0</v>
      </c>
      <c r="U22" s="27">
        <f>COUNTIFS([3]InfCualitativo!$B$1:$B$6973,"VERDADERO",[3]InfCualitativo!$E$1:$E$6973,"Gaviotas",[3]InfCualitativo!$H$1:$H$6973,"rx")</f>
        <v>0</v>
      </c>
      <c r="V22" s="27">
        <f>COUNTIFS([3]InfCualitativo!$B$1:$B$6973,"FALSO",[3]InfCualitativo!$E$1:$E$6973,"Gaviotas",[3]InfCualitativo!$H$1:$H$6973,"rx")</f>
        <v>0</v>
      </c>
      <c r="W22" s="30">
        <f t="shared" si="10"/>
        <v>0</v>
      </c>
      <c r="X22" s="30">
        <f t="shared" si="11"/>
        <v>0</v>
      </c>
      <c r="Y22" s="27">
        <f>COUNTIFS([3]InfCualitativo!$B$1:$B$6973,"VERDADERO",[3]InfCualitativo!$E$1:$E$6973,"Gaviotas",[3]InfCualitativo!$H$1:$H$6973,"ecografias")</f>
        <v>0</v>
      </c>
      <c r="Z22" s="27">
        <f>COUNTIFS([3]InfCualitativo!$B$1:$B$6973,"FALSO",[3]InfCualitativo!$E$1:$E$6973,"Gaviotas",[3]InfCualitativo!$H$1:$H$6973,"ecografias")</f>
        <v>0</v>
      </c>
      <c r="AA22" s="30">
        <f t="shared" si="12"/>
        <v>0</v>
      </c>
      <c r="AB22" s="30">
        <f t="shared" si="13"/>
        <v>0</v>
      </c>
      <c r="AC22" s="27">
        <f>COUNTIFS([3]InfCualitativo!$B$1:$B$6973,"VERDADERO",[3]InfCualitativo!$E$1:$E$6973,"Gaviotas",[3]InfCualitativo!$H$1:$H$6973,"urgencia")</f>
        <v>0</v>
      </c>
      <c r="AD22" s="27">
        <f>COUNTIFS([3]InfCualitativo!$B$1:$B$6973,"FALSO",[3]InfCualitativo!$E$1:$E$6973,"Gaviotas",[3]InfCualitativo!$H$1:$H$6973,"urgencia")</f>
        <v>0</v>
      </c>
      <c r="AE22" s="30">
        <f t="shared" si="14"/>
        <v>0</v>
      </c>
      <c r="AF22" s="30">
        <f t="shared" si="15"/>
        <v>0</v>
      </c>
      <c r="AG22" s="27">
        <f>COUNTIFS([3]InfCualitativo!$B$1:$B$6973,"VERDADERO",[3]InfCualitativo!$E$1:$E$6973,"Gaviotas",[3]InfCualitativo!$H$1:$H$6973,"pediatria")</f>
        <v>8</v>
      </c>
      <c r="AH22" s="27">
        <f>COUNTIFS([3]InfCualitativo!$B$1:$B$6973,"FALSO",[3]InfCualitativo!$E$1:$E$6973,"Gaviotas",[3]InfCualitativo!$H$1:$H$6973,"pediatria")</f>
        <v>0</v>
      </c>
      <c r="AI22" s="30">
        <f t="shared" si="16"/>
        <v>1</v>
      </c>
      <c r="AJ22" s="30">
        <f t="shared" si="17"/>
        <v>0</v>
      </c>
      <c r="AK22" s="27">
        <f>COUNTIFS([3]InfCualitativo!$B$1:$B$6973,"VERDADERO",[3]InfCualitativo!$E$1:$E$6973,"Gaviotas",[3]InfCualitativo!$H$1:$H$6973,"medicina_interna")</f>
        <v>0</v>
      </c>
      <c r="AL22" s="27">
        <f>COUNTIFS([3]InfCualitativo!$B$1:$B$6973,"FALSO",[3]InfCualitativo!$E$1:$E$6973,"Gaviotas",[3]InfCualitativo!$H$1:$H$6973,"medicina_interna")</f>
        <v>0</v>
      </c>
      <c r="AM22" s="30">
        <f t="shared" si="18"/>
        <v>0</v>
      </c>
      <c r="AN22" s="30">
        <f t="shared" si="19"/>
        <v>0</v>
      </c>
      <c r="AO22" s="27">
        <f>COUNTIFS([3]InfCualitativo!$B$1:$B$6973,"VERDADERO",[3]InfCualitativo!$E$1:$E$6973,"Gaviotas",[3]InfCualitativo!$H$1:$H$6973,"ginecologia")</f>
        <v>0</v>
      </c>
      <c r="AP22" s="27">
        <f>COUNTIFS([3]InfCualitativo!$B$1:$B$6973,"FALSO",[3]InfCualitativo!$E$1:$E$6973,"Gaviotas",[3]InfCualitativo!$H$1:$H$6973,"ginecologia")</f>
        <v>0</v>
      </c>
      <c r="AQ22" s="30">
        <f t="shared" si="20"/>
        <v>0</v>
      </c>
      <c r="AR22" s="30">
        <f t="shared" si="21"/>
        <v>0</v>
      </c>
      <c r="AS22" s="27">
        <f t="shared" si="22"/>
        <v>144</v>
      </c>
      <c r="AT22" s="27">
        <f t="shared" si="22"/>
        <v>5</v>
      </c>
      <c r="AU22" s="32">
        <f t="shared" si="23"/>
        <v>0.96644295302013428</v>
      </c>
      <c r="AV22" s="32">
        <f t="shared" si="24"/>
        <v>3.3557046979865772E-2</v>
      </c>
    </row>
    <row r="23" spans="1:48" ht="18.75" x14ac:dyDescent="0.3">
      <c r="A23" s="26" t="s">
        <v>43</v>
      </c>
      <c r="B23" s="27">
        <v>88</v>
      </c>
      <c r="C23" s="27">
        <f t="shared" si="1"/>
        <v>80</v>
      </c>
      <c r="D23" s="28">
        <f t="shared" si="0"/>
        <v>90.909090909090907</v>
      </c>
      <c r="E23" s="29">
        <f>COUNTIFS([3]InfCualitativo!$B$1:$B$6973,"VERDADERO",[3]InfCualitativo!$E$1:$E$6973,"Isla del Rosario",[3]InfCualitativo!$H$1:$H$6973,"consulta_externa")</f>
        <v>37</v>
      </c>
      <c r="F23" s="29">
        <f>COUNTIFS([3]InfCualitativo!$B$1:$B$6973,"FALSO",[3]InfCualitativo!$E$1:$E$6973,"Isla del Rosario",[3]InfCualitativo!$H$1:$H$6973,"consulta_externa")</f>
        <v>1</v>
      </c>
      <c r="G23" s="30">
        <f t="shared" si="2"/>
        <v>0.97368421052631582</v>
      </c>
      <c r="H23" s="30">
        <f t="shared" si="3"/>
        <v>2.6315789473684209E-2</v>
      </c>
      <c r="I23" s="27">
        <f>COUNTIFS([3]InfCualitativo!$B$1:$B$6973,"VERDADERO",[3]InfCualitativo!$E$1:$E$6973,"Isla del Rosario",[3]InfCualitativo!$H$1:$H$6973,"salud_oral")</f>
        <v>14</v>
      </c>
      <c r="J23" s="27">
        <f>COUNTIFS([3]InfCualitativo!$B$1:$B$6973,"FALSO",[3]InfCualitativo!$E$1:$E$6973,"Isla del Rosario",[3]InfCualitativo!$H$1:$H$6973,"salud_oral")</f>
        <v>2</v>
      </c>
      <c r="K23" s="30">
        <f t="shared" si="4"/>
        <v>0.875</v>
      </c>
      <c r="L23" s="30">
        <f t="shared" si="5"/>
        <v>0.125</v>
      </c>
      <c r="M23" s="27">
        <f>COUNTIFS([3]InfCualitativo!$B$1:$B$6973,"VERDADERO",[3]InfCualitativo!$E$1:$E$6973,"Isla del Rosario",[3]InfCualitativo!$H$1:$H$6973,"laboratorio")</f>
        <v>26</v>
      </c>
      <c r="N23" s="27">
        <f>COUNTIFS([3]InfCualitativo!$B$1:$B$6973,"FALSO",[3]InfCualitativo!$E$1:$E$6973,"Isla del Rosario",[3]InfCualitativo!$H$1:$H$6973,"laboratorio")</f>
        <v>0</v>
      </c>
      <c r="O23" s="30">
        <f t="shared" si="6"/>
        <v>1</v>
      </c>
      <c r="P23" s="31">
        <f t="shared" si="7"/>
        <v>0</v>
      </c>
      <c r="Q23" s="27">
        <f>COUNTIFS([3]InfCualitativo!$B$1:$B$6973,"VERDADERO",[3]InfCualitativo!$E$1:$E$6973,"Isla del Rosario",[3]InfCualitativo!$H$1:$H$6973,"electros")</f>
        <v>0</v>
      </c>
      <c r="R23" s="27">
        <f>COUNTIFS([3]InfCualitativo!$B$1:$B$6973,"FALSO",[3]InfCualitativo!$E$1:$E$6973,"Isla del Rosario",[3]InfCualitativo!$H$1:$H$6973,"electros")</f>
        <v>0</v>
      </c>
      <c r="S23" s="30">
        <f t="shared" si="8"/>
        <v>0</v>
      </c>
      <c r="T23" s="30">
        <f t="shared" si="9"/>
        <v>0</v>
      </c>
      <c r="U23" s="27">
        <f>COUNTIFS([3]InfCualitativo!$B$1:$B$6973,"VERDADERO",[3]InfCualitativo!$E$1:$E$6973,"Isla del Rosario",[3]InfCualitativo!$H$1:$H$6973,"rx")</f>
        <v>0</v>
      </c>
      <c r="V23" s="27">
        <f>COUNTIFS([3]InfCualitativo!$B$1:$B$6973,"FALSO",[3]InfCualitativo!$E$1:$E$6973,"Isla del Rosario",[3]InfCualitativo!$H$1:$H$6973,"rx")</f>
        <v>0</v>
      </c>
      <c r="W23" s="30">
        <f t="shared" si="10"/>
        <v>0</v>
      </c>
      <c r="X23" s="30">
        <f t="shared" si="11"/>
        <v>0</v>
      </c>
      <c r="Y23" s="27">
        <f>COUNTIFS([3]InfCualitativo!$B$1:$B$6973,"VERDADERO",[3]InfCualitativo!$E$1:$E$6973,"Isla del Rosario",[3]InfCualitativo!$H$1:$H$6973,"ecografias")</f>
        <v>0</v>
      </c>
      <c r="Z23" s="27">
        <f>COUNTIFS([3]InfCualitativo!$B$1:$B$6973,"FALSO",[3]InfCualitativo!$E$1:$E$6973,"Isla del Rosario",[3]InfCualitativo!$H$1:$H$6973,"ecografias")</f>
        <v>0</v>
      </c>
      <c r="AA23" s="30">
        <f t="shared" si="12"/>
        <v>0</v>
      </c>
      <c r="AB23" s="30">
        <f t="shared" si="13"/>
        <v>0</v>
      </c>
      <c r="AC23" s="27">
        <f>COUNTIFS([3]InfCualitativo!$B$1:$B$6973,"VERDADERO",[3]InfCualitativo!$E$1:$E$6973,"Isla del Rosario",[3]InfCualitativo!$H$1:$H$6973,"urgencia")</f>
        <v>0</v>
      </c>
      <c r="AD23" s="27">
        <f>COUNTIFS([3]InfCualitativo!$B$1:$B$6973,"FALSO",[3]InfCualitativo!$E$1:$E$6973,"Isla del Rosario",[3]InfCualitativo!$H$1:$H$6973,"urgencia")</f>
        <v>0</v>
      </c>
      <c r="AE23" s="30">
        <f t="shared" si="14"/>
        <v>0</v>
      </c>
      <c r="AF23" s="30">
        <f t="shared" si="15"/>
        <v>0</v>
      </c>
      <c r="AG23" s="27">
        <f>COUNTIFS([3]InfCualitativo!$B$1:$B$6973,"VERDADERO",[3]InfCualitativo!$E$1:$E$6973,"Isla del Rosario",[3]InfCualitativo!$H$1:$H$6973,"pediatria")</f>
        <v>0</v>
      </c>
      <c r="AH23" s="27">
        <f>COUNTIFS([3]InfCualitativo!$B$1:$B$6973,"FALSO",[3]InfCualitativo!$E$1:$E$6973,"Isla del Rosario",[3]InfCualitativo!$H$1:$H$6973,"pediatria")</f>
        <v>0</v>
      </c>
      <c r="AI23" s="30">
        <f t="shared" si="16"/>
        <v>0</v>
      </c>
      <c r="AJ23" s="30">
        <f t="shared" si="17"/>
        <v>0</v>
      </c>
      <c r="AK23" s="27">
        <f>COUNTIFS([3]InfCualitativo!$B$1:$B$6973,"VERDADERO",[3]InfCualitativo!$E$1:$E$6973,"Isla del Rosario",[3]InfCualitativo!$H$1:$H$6973,"medicina_interna")</f>
        <v>0</v>
      </c>
      <c r="AL23" s="27">
        <f>COUNTIFS([3]InfCualitativo!$B$1:$B$6973,"FALSO",[3]InfCualitativo!$E$1:$E$6973,"Isla del Rosario",[3]InfCualitativo!$H$1:$H$6973,"medicina_interna")</f>
        <v>0</v>
      </c>
      <c r="AM23" s="30">
        <f t="shared" si="18"/>
        <v>0</v>
      </c>
      <c r="AN23" s="30">
        <f t="shared" si="19"/>
        <v>0</v>
      </c>
      <c r="AO23" s="27">
        <f>COUNTIFS([3]InfCualitativo!$B$1:$B$6973,"VERDADERO",[3]InfCualitativo!$E$1:$E$6973,"Isla del Rosario",[3]InfCualitativo!$H$1:$H$6973,"ginecologia")</f>
        <v>0</v>
      </c>
      <c r="AP23" s="27">
        <f>COUNTIFS([3]InfCualitativo!$B$1:$B$6973,"FALSO",[3]InfCualitativo!$E$1:$E$6973,"Isla del Rosario",[3]InfCualitativo!$H$1:$H$6973,"ginecologia")</f>
        <v>0</v>
      </c>
      <c r="AQ23" s="30">
        <f t="shared" si="20"/>
        <v>0</v>
      </c>
      <c r="AR23" s="30">
        <f t="shared" si="21"/>
        <v>0</v>
      </c>
      <c r="AS23" s="27">
        <f t="shared" si="22"/>
        <v>77</v>
      </c>
      <c r="AT23" s="27">
        <f t="shared" si="22"/>
        <v>3</v>
      </c>
      <c r="AU23" s="32">
        <f t="shared" si="23"/>
        <v>0.96250000000000002</v>
      </c>
      <c r="AV23" s="32">
        <f t="shared" si="24"/>
        <v>3.7499999999999999E-2</v>
      </c>
    </row>
    <row r="24" spans="1:48" ht="18.75" x14ac:dyDescent="0.3">
      <c r="A24" s="26" t="s">
        <v>44</v>
      </c>
      <c r="B24" s="27">
        <v>142</v>
      </c>
      <c r="C24" s="27">
        <f t="shared" si="1"/>
        <v>142</v>
      </c>
      <c r="D24" s="28">
        <f t="shared" si="0"/>
        <v>100</v>
      </c>
      <c r="E24" s="29">
        <f>COUNTIFS([3]InfCualitativo!$B$1:$B$6973,"VERDADERO",[3]InfCualitativo!$E$1:$E$6973,"Las Reinas",[3]InfCualitativo!$H$1:$H$6973,"consulta_externa")</f>
        <v>41</v>
      </c>
      <c r="F24" s="29">
        <f>COUNTIFS([3]InfCualitativo!$B$1:$B$6973,"FALSO",[3]InfCualitativo!$E$1:$E$6973,"Las Reinas",[3]InfCualitativo!$H$1:$H$6973,"consulta_externa")</f>
        <v>8</v>
      </c>
      <c r="G24" s="30">
        <f t="shared" si="2"/>
        <v>0.83673469387755106</v>
      </c>
      <c r="H24" s="30">
        <f t="shared" si="3"/>
        <v>0.16326530612244897</v>
      </c>
      <c r="I24" s="27">
        <f>COUNTIFS([3]InfCualitativo!$B$1:$B$6973,"VERDADERO",[3]InfCualitativo!$E$1:$E$6973,"Las Reinas",[3]InfCualitativo!$H$1:$H$6973,"salud_oral")</f>
        <v>39</v>
      </c>
      <c r="J24" s="27">
        <f>COUNTIFS([3]InfCualitativo!$B$1:$B$6973,"FALSO",[3]InfCualitativo!$E$1:$E$6973,"Las Reinas",[3]InfCualitativo!$H$1:$H$6973,"salud_oral")</f>
        <v>6</v>
      </c>
      <c r="K24" s="30">
        <f t="shared" si="4"/>
        <v>0.8666666666666667</v>
      </c>
      <c r="L24" s="30">
        <f t="shared" si="5"/>
        <v>0.13333333333333333</v>
      </c>
      <c r="M24" s="27">
        <f>COUNTIFS([3]InfCualitativo!$B$1:$B$6973,"VERDADERO",[3]InfCualitativo!$E$1:$E$6973,"Las Reinas",[3]InfCualitativo!$H$1:$H$6973,"laboratorio")</f>
        <v>36</v>
      </c>
      <c r="N24" s="27">
        <f>COUNTIFS([3]InfCualitativo!$B$1:$B$6973,"FALSO",[3]InfCualitativo!$E$1:$E$6973,"Las Reinas",[3]InfCualitativo!$H$1:$H$6973,"laboratorio")</f>
        <v>12</v>
      </c>
      <c r="O24" s="30">
        <f t="shared" si="6"/>
        <v>0.75</v>
      </c>
      <c r="P24" s="31">
        <f t="shared" si="7"/>
        <v>0.25</v>
      </c>
      <c r="Q24" s="27">
        <f>COUNTIFS([3]InfCualitativo!$B$1:$B$6973,"VERDADERO",[3]InfCualitativo!$E$1:$E$6973,"Las Reinas",[3]InfCualitativo!$H$1:$H$6973,"electros")</f>
        <v>0</v>
      </c>
      <c r="R24" s="27">
        <f>COUNTIFS([3]InfCualitativo!$B$1:$B$6973,"FALSO",[3]InfCualitativo!$E$1:$E$6973,"Las Reinas",[3]InfCualitativo!$H$1:$H$6973,"electros")</f>
        <v>0</v>
      </c>
      <c r="S24" s="30">
        <f t="shared" si="8"/>
        <v>0</v>
      </c>
      <c r="T24" s="30">
        <f t="shared" si="9"/>
        <v>0</v>
      </c>
      <c r="U24" s="27">
        <f>COUNTIFS([3]InfCualitativo!$B$1:$B$6973,"VERDADERO",[3]InfCualitativo!$E$1:$E$6973,"Las Reinas",[3]InfCualitativo!$H$1:$H$6973,"rx")</f>
        <v>0</v>
      </c>
      <c r="V24" s="27">
        <f>COUNTIFS([3]InfCualitativo!$B$1:$B$6973,"FALSO",[3]InfCualitativo!$E$1:$E$6973,"Las Reinas",[3]InfCualitativo!$H$1:$H$6973,"rx")</f>
        <v>0</v>
      </c>
      <c r="W24" s="30">
        <f t="shared" si="10"/>
        <v>0</v>
      </c>
      <c r="X24" s="30">
        <f t="shared" si="11"/>
        <v>0</v>
      </c>
      <c r="Y24" s="27">
        <f>COUNTIFS([3]InfCualitativo!$B$1:$B$6973,"VERDADERO",[3]InfCualitativo!$E$1:$E$6973,"Las Reinas",[3]InfCualitativo!$H$1:$H$6973,"ecografias")</f>
        <v>0</v>
      </c>
      <c r="Z24" s="27">
        <f>COUNTIFS([3]InfCualitativo!$B$1:$B$6973,"FALSO",[3]InfCualitativo!$E$1:$E$6973,"Las Reinas",[3]InfCualitativo!$H$1:$H$6973,"ecografias")</f>
        <v>0</v>
      </c>
      <c r="AA24" s="30">
        <f t="shared" si="12"/>
        <v>0</v>
      </c>
      <c r="AB24" s="30">
        <f t="shared" si="13"/>
        <v>0</v>
      </c>
      <c r="AC24" s="27">
        <f>COUNTIFS([3]InfCualitativo!$B$1:$B$6973,"VERDADERO",[3]InfCualitativo!$E$1:$E$6973,"Las Reinas",[3]InfCualitativo!$H$1:$H$6973,"urgencia")</f>
        <v>0</v>
      </c>
      <c r="AD24" s="27">
        <f>COUNTIFS([3]InfCualitativo!$B$1:$B$6973,"FALSO",[3]InfCualitativo!$E$1:$E$6973,"Las Reinas",[3]InfCualitativo!$H$1:$H$6973,"urgencia")</f>
        <v>0</v>
      </c>
      <c r="AE24" s="30">
        <f t="shared" si="14"/>
        <v>0</v>
      </c>
      <c r="AF24" s="30">
        <f t="shared" si="15"/>
        <v>0</v>
      </c>
      <c r="AG24" s="27">
        <f>COUNTIFS([3]InfCualitativo!$B$1:$B$6973,"VERDADERO",[3]InfCualitativo!$E$1:$E$6973,"Las Reinas",[3]InfCualitativo!$H$1:$H$6973,"pediatria")</f>
        <v>0</v>
      </c>
      <c r="AH24" s="27">
        <f>COUNTIFS([3]InfCualitativo!$B$1:$B$6973,"FALSO",[3]InfCualitativo!$E$1:$E$6973,"Las Reinas",[3]InfCualitativo!$H$1:$H$6973,"pediatria")</f>
        <v>0</v>
      </c>
      <c r="AI24" s="30">
        <f t="shared" si="16"/>
        <v>0</v>
      </c>
      <c r="AJ24" s="30">
        <f t="shared" si="17"/>
        <v>0</v>
      </c>
      <c r="AK24" s="27">
        <f>COUNTIFS([3]InfCualitativo!$B$1:$B$6973,"VERDADERO",[3]InfCualitativo!$E$1:$E$6973,"Las Reinas",[3]InfCualitativo!$H$1:$H$6973,"medicina_interna")</f>
        <v>0</v>
      </c>
      <c r="AL24" s="27">
        <f>COUNTIFS([3]InfCualitativo!$B$1:$B$6973,"FALSO",[3]InfCualitativo!$E$1:$E$6973,"Las Reinas",[3]InfCualitativo!$H$1:$H$6973,"medicina_interna")</f>
        <v>0</v>
      </c>
      <c r="AM24" s="30">
        <f t="shared" si="18"/>
        <v>0</v>
      </c>
      <c r="AN24" s="30">
        <f t="shared" si="19"/>
        <v>0</v>
      </c>
      <c r="AO24" s="27">
        <f>COUNTIFS([3]InfCualitativo!$B$1:$B$6973,"VERDADERO",[3]InfCualitativo!$E$1:$E$6973,"Las Reinas",[3]InfCualitativo!$H$1:$H$6973,"ginecologia")</f>
        <v>0</v>
      </c>
      <c r="AP24" s="27">
        <f>COUNTIFS([3]InfCualitativo!$B$1:$B$6973,"FALSO",[3]InfCualitativo!$E$1:$E$6973,"Las Reinas",[3]InfCualitativo!$H$1:$H$6973,"ginecologia")</f>
        <v>0</v>
      </c>
      <c r="AQ24" s="30">
        <f t="shared" si="20"/>
        <v>0</v>
      </c>
      <c r="AR24" s="30">
        <f t="shared" si="21"/>
        <v>0</v>
      </c>
      <c r="AS24" s="27">
        <f t="shared" si="22"/>
        <v>116</v>
      </c>
      <c r="AT24" s="27">
        <f t="shared" si="22"/>
        <v>26</v>
      </c>
      <c r="AU24" s="32">
        <f t="shared" si="23"/>
        <v>0.81690140845070425</v>
      </c>
      <c r="AV24" s="32">
        <f t="shared" si="24"/>
        <v>0.18309859154929578</v>
      </c>
    </row>
    <row r="25" spans="1:48" ht="18.75" x14ac:dyDescent="0.3">
      <c r="A25" s="26" t="s">
        <v>45</v>
      </c>
      <c r="B25" s="27">
        <v>236</v>
      </c>
      <c r="C25" s="27">
        <f t="shared" si="1"/>
        <v>209</v>
      </c>
      <c r="D25" s="28">
        <f t="shared" si="0"/>
        <v>88.559322033898312</v>
      </c>
      <c r="E25" s="29">
        <f>COUNTIFS([3]InfCualitativo!$B$1:$B$6973,"VERDADERO",[3]InfCualitativo!$E$1:$E$6973,"Libano",[3]InfCualitativo!$H$1:$H$6973,"consulta_externa")</f>
        <v>60</v>
      </c>
      <c r="F25" s="29">
        <f>COUNTIFS([3]InfCualitativo!$B$1:$B$6973,"FALSO",[3]InfCualitativo!$E$1:$E$6973,"Libano",[3]InfCualitativo!$H$1:$H$6973,"consulta_externa")</f>
        <v>0</v>
      </c>
      <c r="G25" s="30">
        <f t="shared" si="2"/>
        <v>1</v>
      </c>
      <c r="H25" s="30">
        <f t="shared" si="3"/>
        <v>0</v>
      </c>
      <c r="I25" s="27">
        <f>COUNTIFS([3]InfCualitativo!$B$1:$B$6973,"VERDADERO",[3]InfCualitativo!$E$1:$E$6973,"Libano",[3]InfCualitativo!$H$1:$H$6973,"salud_oral")</f>
        <v>43</v>
      </c>
      <c r="J25" s="27">
        <f>COUNTIFS([3]InfCualitativo!$B$1:$B$6973,"FALSO",[3]InfCualitativo!$E$1:$E$6973,"Libano",[3]InfCualitativo!$H$1:$H$6973,"salud_oral")</f>
        <v>0</v>
      </c>
      <c r="K25" s="30">
        <f t="shared" si="4"/>
        <v>1</v>
      </c>
      <c r="L25" s="30">
        <f t="shared" si="5"/>
        <v>0</v>
      </c>
      <c r="M25" s="27">
        <f>COUNTIFS([3]InfCualitativo!$B$1:$B$6973,"VERDADERO",[3]InfCualitativo!$E$1:$E$6973,"Libano",[3]InfCualitativo!$H$1:$H$6973,"laboratorio")</f>
        <v>56</v>
      </c>
      <c r="N25" s="27">
        <f>COUNTIFS([3]InfCualitativo!$B$1:$B$6973,"FALSO",[3]InfCualitativo!$E$1:$E$6973,"Libano",[3]InfCualitativo!$H$1:$H$6973,"laboratorio")</f>
        <v>0</v>
      </c>
      <c r="O25" s="30">
        <f t="shared" si="6"/>
        <v>1</v>
      </c>
      <c r="P25" s="31">
        <f t="shared" si="7"/>
        <v>0</v>
      </c>
      <c r="Q25" s="27">
        <f>COUNTIFS([3]InfCualitativo!$B$1:$B$6973,"VERDADERO",[3]InfCualitativo!$E$1:$E$6973,"Libano",[3]InfCualitativo!$H$1:$H$6973,"electros")</f>
        <v>0</v>
      </c>
      <c r="R25" s="27">
        <f>COUNTIFS([3]InfCualitativo!$B$1:$B$6973,"FALSO",[3]InfCualitativo!$E$1:$E$6973,"Libano",[3]InfCualitativo!$H$1:$H$6973,"electros")</f>
        <v>0</v>
      </c>
      <c r="S25" s="30">
        <f t="shared" si="8"/>
        <v>0</v>
      </c>
      <c r="T25" s="30">
        <f t="shared" si="9"/>
        <v>0</v>
      </c>
      <c r="U25" s="27">
        <f>COUNTIFS([3]InfCualitativo!$B$1:$B$6973,"VERDADERO",[3]InfCualitativo!$E$1:$E$6973,"Libano",[3]InfCualitativo!$H$1:$H$6973,"rx")</f>
        <v>0</v>
      </c>
      <c r="V25" s="27">
        <f>COUNTIFS([3]InfCualitativo!$B$1:$B$6973,"FALSO",[3]InfCualitativo!$E$1:$E$6973,"Libano",[3]InfCualitativo!$H$1:$H$6973,"rx")</f>
        <v>0</v>
      </c>
      <c r="W25" s="30">
        <f t="shared" si="10"/>
        <v>0</v>
      </c>
      <c r="X25" s="30">
        <f t="shared" si="11"/>
        <v>0</v>
      </c>
      <c r="Y25" s="27">
        <f>COUNTIFS([3]InfCualitativo!$B$1:$B$6973,"VERDADERO",[3]InfCualitativo!$E$1:$E$6973,"Libano",[3]InfCualitativo!$H$1:$H$6973,"ecografias")</f>
        <v>13</v>
      </c>
      <c r="Z25" s="27">
        <f>COUNTIFS([3]InfCualitativo!$B$1:$B$6973,"FALSO",[3]InfCualitativo!$E$1:$E$6973,"Libano",[3]InfCualitativo!$H$1:$H$6973,"ecografias")</f>
        <v>0</v>
      </c>
      <c r="AA25" s="30">
        <f t="shared" si="12"/>
        <v>1</v>
      </c>
      <c r="AB25" s="30">
        <f t="shared" si="13"/>
        <v>0</v>
      </c>
      <c r="AC25" s="27">
        <f>COUNTIFS([3]InfCualitativo!$B$1:$B$6973,"VERDADERO",[3]InfCualitativo!$E$1:$E$6973,"Libano",[3]InfCualitativo!$H$1:$H$6973,"urgencia")</f>
        <v>0</v>
      </c>
      <c r="AD25" s="27">
        <f>COUNTIFS([3]InfCualitativo!$B$1:$B$6973,"FALSO",[3]InfCualitativo!$E$1:$E$6973,"Libano",[3]InfCualitativo!$H$1:$H$6973,"urgencia")</f>
        <v>0</v>
      </c>
      <c r="AE25" s="30">
        <f t="shared" si="14"/>
        <v>0</v>
      </c>
      <c r="AF25" s="30">
        <f t="shared" si="15"/>
        <v>0</v>
      </c>
      <c r="AG25" s="27">
        <f>COUNTIFS([3]InfCualitativo!$B$1:$B$6973,"VERDADERO",[3]InfCualitativo!$E$1:$E$6973,"Libano",[3]InfCualitativo!$H$1:$H$6973,"pediatria")</f>
        <v>27</v>
      </c>
      <c r="AH25" s="27">
        <f>COUNTIFS([3]InfCualitativo!$B$1:$B$6973,"FALSO",[3]InfCualitativo!$E$1:$E$6973,"Libano",[3]InfCualitativo!$H$1:$H$6973,"pediatria")</f>
        <v>0</v>
      </c>
      <c r="AI25" s="30">
        <f t="shared" si="16"/>
        <v>1</v>
      </c>
      <c r="AJ25" s="30">
        <f t="shared" si="17"/>
        <v>0</v>
      </c>
      <c r="AK25" s="27">
        <f>COUNTIFS([3]InfCualitativo!$B$1:$B$6973,"VERDADERO",[3]InfCualitativo!$E$1:$E$6973,"Libano",[3]InfCualitativo!$H$1:$H$6973,"medicina_interna")</f>
        <v>0</v>
      </c>
      <c r="AL25" s="27">
        <f>COUNTIFS([3]InfCualitativo!$B$1:$B$6973,"FALSO",[3]InfCualitativo!$E$1:$E$6973,"Libano",[3]InfCualitativo!$H$1:$H$6973,"medicina_interna")</f>
        <v>0</v>
      </c>
      <c r="AM25" s="30">
        <f t="shared" si="18"/>
        <v>0</v>
      </c>
      <c r="AN25" s="30">
        <f t="shared" si="19"/>
        <v>0</v>
      </c>
      <c r="AO25" s="27">
        <f>COUNTIFS([3]InfCualitativo!$B$1:$B$6973,"VERDADERO",[3]InfCualitativo!$E$1:$E$6973,"Libano",[3]InfCualitativo!$H$1:$H$6973,"ginecologia")</f>
        <v>10</v>
      </c>
      <c r="AP25" s="27">
        <f>COUNTIFS([3]InfCualitativo!$B$1:$B$6973,"FALSO",[3]InfCualitativo!$E$1:$E$6973,"Libano",[3]InfCualitativo!$H$1:$H$6973,"ginecologia")</f>
        <v>0</v>
      </c>
      <c r="AQ25" s="30">
        <f t="shared" si="20"/>
        <v>1</v>
      </c>
      <c r="AR25" s="30">
        <f t="shared" si="21"/>
        <v>0</v>
      </c>
      <c r="AS25" s="27">
        <f t="shared" si="22"/>
        <v>209</v>
      </c>
      <c r="AT25" s="27">
        <f t="shared" si="22"/>
        <v>0</v>
      </c>
      <c r="AU25" s="32">
        <f t="shared" si="23"/>
        <v>1</v>
      </c>
      <c r="AV25" s="32">
        <f t="shared" si="24"/>
        <v>0</v>
      </c>
    </row>
    <row r="26" spans="1:48" ht="18.75" x14ac:dyDescent="0.3">
      <c r="A26" s="26" t="s">
        <v>46</v>
      </c>
      <c r="B26" s="27">
        <v>108</v>
      </c>
      <c r="C26" s="27">
        <f t="shared" si="1"/>
        <v>102</v>
      </c>
      <c r="D26" s="28">
        <f t="shared" si="0"/>
        <v>94.444444444444443</v>
      </c>
      <c r="E26" s="29">
        <f>COUNTIFS([3]InfCualitativo!$B$1:$B$6973,"VERDADERO",[3]InfCualitativo!$E$1:$E$6973,"Manzanillo",[3]InfCualitativo!$H$1:$H$6973,"consulta_externa")</f>
        <v>34</v>
      </c>
      <c r="F26" s="29">
        <f>COUNTIFS([3]InfCualitativo!$B$1:$B$6973,"FALSO",[3]InfCualitativo!$E$1:$E$6973,"Manzanillo",[3]InfCualitativo!$H$1:$H$6973,"consulta_externa")</f>
        <v>0</v>
      </c>
      <c r="G26" s="30">
        <f t="shared" si="2"/>
        <v>1</v>
      </c>
      <c r="H26" s="30">
        <f t="shared" si="3"/>
        <v>0</v>
      </c>
      <c r="I26" s="27">
        <f>COUNTIFS([3]InfCualitativo!$B$1:$B$6973,"VERDADERO",[3]InfCualitativo!$E$1:$E$6973,"Manzanillo",[3]InfCualitativo!$H$1:$H$6973,"salud_oral")</f>
        <v>34</v>
      </c>
      <c r="J26" s="27">
        <f>COUNTIFS([3]InfCualitativo!$B$1:$B$6973,"FALSO",[3]InfCualitativo!$E$1:$E$6973,"Manzanillo",[3]InfCualitativo!$H$1:$H$6973,"salud_oral")</f>
        <v>0</v>
      </c>
      <c r="K26" s="30">
        <f t="shared" si="4"/>
        <v>1</v>
      </c>
      <c r="L26" s="30">
        <f t="shared" si="5"/>
        <v>0</v>
      </c>
      <c r="M26" s="27">
        <f>COUNTIFS([3]InfCualitativo!$B$1:$B$6973,"VERDADERO",[3]InfCualitativo!$E$1:$E$6973,"Manzanillo",[3]InfCualitativo!$H$1:$H$6973,"laboratorio")</f>
        <v>34</v>
      </c>
      <c r="N26" s="27">
        <f>COUNTIFS([3]InfCualitativo!$B$1:$B$6973,"FALSO",[3]InfCualitativo!$E$1:$E$6973,"Manzanillo",[3]InfCualitativo!$H$1:$H$6973,"laboratorio")</f>
        <v>0</v>
      </c>
      <c r="O26" s="30">
        <f t="shared" si="6"/>
        <v>1</v>
      </c>
      <c r="P26" s="31">
        <f t="shared" si="7"/>
        <v>0</v>
      </c>
      <c r="Q26" s="27">
        <f>COUNTIFS([3]InfCualitativo!$B$1:$B$6973,"VERDADERO",[3]InfCualitativo!$E$1:$E$6973,"Manzanillo",[3]InfCualitativo!$H$1:$H$6973,"electros")</f>
        <v>0</v>
      </c>
      <c r="R26" s="27">
        <f>COUNTIFS([3]InfCualitativo!$B$1:$B$6973,"FALSO",[3]InfCualitativo!$E$1:$E$6973,"Manzanillo",[3]InfCualitativo!$H$1:$H$6973,"electros")</f>
        <v>0</v>
      </c>
      <c r="S26" s="30">
        <f t="shared" si="8"/>
        <v>0</v>
      </c>
      <c r="T26" s="30">
        <f t="shared" si="9"/>
        <v>0</v>
      </c>
      <c r="U26" s="27">
        <f>COUNTIFS([3]InfCualitativo!$B$1:$B$6973,"VERDADERO",[3]InfCualitativo!$E$1:$E$6973,"Manzanillo",[3]InfCualitativo!$H$1:$H$6973,"rx")</f>
        <v>0</v>
      </c>
      <c r="V26" s="27">
        <f>COUNTIFS([3]InfCualitativo!$B$1:$B$6973,"FALSO",[3]InfCualitativo!$E$1:$E$6973,"Manzanillo",[3]InfCualitativo!$H$1:$H$6973,"rx")</f>
        <v>0</v>
      </c>
      <c r="W26" s="30">
        <f t="shared" si="10"/>
        <v>0</v>
      </c>
      <c r="X26" s="30">
        <f t="shared" si="11"/>
        <v>0</v>
      </c>
      <c r="Y26" s="27">
        <f>COUNTIFS([3]InfCualitativo!$B$1:$B$6973,"VERDADERO",[3]InfCualitativo!$E$1:$E$6973,"Manzanillo",[3]InfCualitativo!$H$1:$H$6973,"ecografias")</f>
        <v>0</v>
      </c>
      <c r="Z26" s="27">
        <f>COUNTIFS([3]InfCualitativo!$B$1:$B$6973,"FALSO",[3]InfCualitativo!$E$1:$E$6973,"Manzanillo",[3]InfCualitativo!$H$1:$H$6973,"ecografias")</f>
        <v>0</v>
      </c>
      <c r="AA26" s="30">
        <f t="shared" si="12"/>
        <v>0</v>
      </c>
      <c r="AB26" s="30">
        <f t="shared" si="13"/>
        <v>0</v>
      </c>
      <c r="AC26" s="27">
        <f>COUNTIFS([3]InfCualitativo!$B$1:$B$6973,"VERDADERO",[3]InfCualitativo!$E$1:$E$6973,"Manzanillo",[3]InfCualitativo!$H$1:$H$6973,"urgencia")</f>
        <v>0</v>
      </c>
      <c r="AD26" s="27">
        <f>COUNTIFS([3]InfCualitativo!$B$1:$B$6973,"FALSO",[3]InfCualitativo!$E$1:$E$6973,"Manzanillo",[3]InfCualitativo!$H$1:$H$6973,"urgencia")</f>
        <v>0</v>
      </c>
      <c r="AE26" s="30">
        <f t="shared" si="14"/>
        <v>0</v>
      </c>
      <c r="AF26" s="30">
        <f t="shared" si="15"/>
        <v>0</v>
      </c>
      <c r="AG26" s="27">
        <f>COUNTIFS([3]InfCualitativo!$B$1:$B$6973,"VERDADERO",[3]InfCualitativo!$E$1:$E$6973,"Manzanillo",[3]InfCualitativo!$H$1:$H$6973,"pediatria")</f>
        <v>0</v>
      </c>
      <c r="AH26" s="27">
        <f>COUNTIFS([3]InfCualitativo!$B$1:$B$6973,"FALSO",[3]InfCualitativo!$E$1:$E$6973,"Manzanillo",[3]InfCualitativo!$H$1:$H$6973,"pediatria")</f>
        <v>0</v>
      </c>
      <c r="AI26" s="30">
        <f t="shared" si="16"/>
        <v>0</v>
      </c>
      <c r="AJ26" s="30">
        <f t="shared" si="17"/>
        <v>0</v>
      </c>
      <c r="AK26" s="27">
        <f>COUNTIFS([3]InfCualitativo!$B$1:$B$6973,"VERDADERO",[3]InfCualitativo!$E$1:$E$6973,"Manzanillo",[3]InfCualitativo!$H$1:$H$6973,"medicina_interna")</f>
        <v>0</v>
      </c>
      <c r="AL26" s="27">
        <f>COUNTIFS([3]InfCualitativo!$B$1:$B$6973,"FALSO",[3]InfCualitativo!$E$1:$E$6973,"Manzanillo",[3]InfCualitativo!$H$1:$H$6973,"medicina_interna")</f>
        <v>0</v>
      </c>
      <c r="AM26" s="30">
        <f t="shared" si="18"/>
        <v>0</v>
      </c>
      <c r="AN26" s="30">
        <f t="shared" si="19"/>
        <v>0</v>
      </c>
      <c r="AO26" s="27">
        <f>COUNTIFS([3]InfCualitativo!$B$1:$B$6973,"VERDADERO",[3]InfCualitativo!$E$1:$E$6973,"Manzanillo",[3]InfCualitativo!$H$1:$H$6973,"ginecologia")</f>
        <v>0</v>
      </c>
      <c r="AP26" s="27">
        <f>COUNTIFS([3]InfCualitativo!$B$1:$B$6973,"FALSO",[3]InfCualitativo!$E$1:$E$6973,"Manzanillo",[3]InfCualitativo!$H$1:$H$6973,"ginecologia")</f>
        <v>0</v>
      </c>
      <c r="AQ26" s="30">
        <f t="shared" si="20"/>
        <v>0</v>
      </c>
      <c r="AR26" s="30">
        <f t="shared" si="21"/>
        <v>0</v>
      </c>
      <c r="AS26" s="27">
        <f t="shared" si="22"/>
        <v>102</v>
      </c>
      <c r="AT26" s="27">
        <f t="shared" si="22"/>
        <v>0</v>
      </c>
      <c r="AU26" s="32">
        <f t="shared" si="23"/>
        <v>1</v>
      </c>
      <c r="AV26" s="32">
        <f t="shared" si="24"/>
        <v>0</v>
      </c>
    </row>
    <row r="27" spans="1:48" ht="18.75" x14ac:dyDescent="0.3">
      <c r="A27" s="26" t="s">
        <v>47</v>
      </c>
      <c r="B27" s="27">
        <v>188</v>
      </c>
      <c r="C27" s="27">
        <f t="shared" si="1"/>
        <v>188</v>
      </c>
      <c r="D27" s="28">
        <f t="shared" si="0"/>
        <v>100</v>
      </c>
      <c r="E27" s="29">
        <f>COUNTIFS([3]InfCualitativo!$B$1:$B$6973,"VERDADERO",[3]InfCualitativo!$E$1:$E$6973,"Nelson Mandela UPA",[3]InfCualitativo!$H$1:$H$6973,"consulta_externa")</f>
        <v>38</v>
      </c>
      <c r="F27" s="29">
        <f>COUNTIFS([3]InfCualitativo!$B$1:$B$6973,"FALSO",[3]InfCualitativo!$E$1:$E$6973,"Nelson Mandela UPA",[3]InfCualitativo!$H$1:$H$6973,"consulta_externa")</f>
        <v>12</v>
      </c>
      <c r="G27" s="30">
        <f t="shared" si="2"/>
        <v>0.76</v>
      </c>
      <c r="H27" s="30">
        <f t="shared" si="3"/>
        <v>0.24</v>
      </c>
      <c r="I27" s="27">
        <f>COUNTIFS([3]InfCualitativo!$B$1:$B$6973,"VERDADERO",[3]InfCualitativo!$E$1:$E$6973,"Nelson Mandela UPA",[3]InfCualitativo!$H$1:$H$6973,"salud_oral")</f>
        <v>43</v>
      </c>
      <c r="J27" s="27">
        <f>COUNTIFS([3]InfCualitativo!$B$1:$B$6973,"FALSO",[3]InfCualitativo!$E$1:$E$6973,"Nelson Mandela UPA",[3]InfCualitativo!$H$1:$H$6973,"salud_oral")</f>
        <v>1</v>
      </c>
      <c r="K27" s="30">
        <f t="shared" si="4"/>
        <v>0.97727272727272729</v>
      </c>
      <c r="L27" s="30">
        <f t="shared" si="5"/>
        <v>2.2727272727272728E-2</v>
      </c>
      <c r="M27" s="27">
        <f>COUNTIFS([3]InfCualitativo!$B$1:$B$6973,"VERDADERO",[3]InfCualitativo!$E$1:$E$6973,"Nelson Mandela UPA",[3]InfCualitativo!$H$1:$H$6973,"laboratorio")</f>
        <v>36</v>
      </c>
      <c r="N27" s="27">
        <f>COUNTIFS([3]InfCualitativo!$B$1:$B$6973,"FALSO",[3]InfCualitativo!$E$1:$E$6973,"Nelson Mandela UPA",[3]InfCualitativo!$H$1:$H$6973,"laboratorio")</f>
        <v>12</v>
      </c>
      <c r="O27" s="30">
        <f t="shared" si="6"/>
        <v>0.75</v>
      </c>
      <c r="P27" s="31">
        <f t="shared" si="7"/>
        <v>0.25</v>
      </c>
      <c r="Q27" s="27">
        <f>COUNTIFS([3]InfCualitativo!$B$1:$B$6973,"VERDADERO",[3]InfCualitativo!$E$1:$E$6973,"Nelson Mandela UPA",[3]InfCualitativo!$H$1:$H$6973,"electros")</f>
        <v>0</v>
      </c>
      <c r="R27" s="27">
        <f>COUNTIFS([3]InfCualitativo!$B$1:$B$6973,"FALSO",[3]InfCualitativo!$E$1:$E$6973,"Nelson Mandela UPA",[3]InfCualitativo!$H$1:$H$6973,"electros")</f>
        <v>0</v>
      </c>
      <c r="S27" s="30">
        <f t="shared" si="8"/>
        <v>0</v>
      </c>
      <c r="T27" s="30">
        <f t="shared" si="9"/>
        <v>0</v>
      </c>
      <c r="U27" s="27">
        <f>COUNTIFS([3]InfCualitativo!$B$1:$B$6973,"VERDADERO",[3]InfCualitativo!$E$1:$E$6973,"Nelson Mandela UPA",[3]InfCualitativo!$H$1:$H$6973,"rx")</f>
        <v>0</v>
      </c>
      <c r="V27" s="27">
        <f>COUNTIFS([3]InfCualitativo!$B$1:$B$6973,"FALSO",[3]InfCualitativo!$E$1:$E$6973,"Nelson Mandela UPA",[3]InfCualitativo!$H$1:$H$6973,"rx")</f>
        <v>0</v>
      </c>
      <c r="W27" s="30">
        <f t="shared" si="10"/>
        <v>0</v>
      </c>
      <c r="X27" s="30">
        <f t="shared" si="11"/>
        <v>0</v>
      </c>
      <c r="Y27" s="27">
        <f>COUNTIFS([3]InfCualitativo!$B$1:$B$6973,"VERDADERO",[3]InfCualitativo!$E$1:$E$6973,"Nelson Mandela UPA",[3]InfCualitativo!$H$1:$H$6973,"ecografias")</f>
        <v>0</v>
      </c>
      <c r="Z27" s="27">
        <f>COUNTIFS([3]InfCualitativo!$B$1:$B$6973,"FALSO",[3]InfCualitativo!$E$1:$E$6973,"Nelson Mandela UPA",[3]InfCualitativo!$H$1:$H$6973,"ecografias")</f>
        <v>0</v>
      </c>
      <c r="AA27" s="30">
        <f t="shared" si="12"/>
        <v>0</v>
      </c>
      <c r="AB27" s="30">
        <f t="shared" si="13"/>
        <v>0</v>
      </c>
      <c r="AC27" s="27">
        <f>COUNTIFS([3]InfCualitativo!$B$1:$B$6973,"VERDADERO",[3]InfCualitativo!$E$1:$E$6973,"Nelson Mandela UPA",[3]InfCualitativo!$H$1:$H$6973,"urgencia")</f>
        <v>37</v>
      </c>
      <c r="AD27" s="27">
        <f>COUNTIFS([3]InfCualitativo!$B$1:$B$6973,"FALSO",[3]InfCualitativo!$E$1:$E$6973,"Nelson Mandela UPA",[3]InfCualitativo!$H$1:$H$6973,"urgencia")</f>
        <v>9</v>
      </c>
      <c r="AE27" s="30">
        <f t="shared" si="14"/>
        <v>0.80434782608695654</v>
      </c>
      <c r="AF27" s="30">
        <f t="shared" si="15"/>
        <v>0.19565217391304349</v>
      </c>
      <c r="AG27" s="27">
        <f>COUNTIFS([3]InfCualitativo!$B$1:$B$6973,"VERDADERO",[3]InfCualitativo!$E$1:$E$6973,"Nelson Mandela UPA",[3]InfCualitativo!$H$1:$H$6973,"pediatria")</f>
        <v>0</v>
      </c>
      <c r="AH27" s="27">
        <f>COUNTIFS([3]InfCualitativo!$B$1:$B$6973,"FALSO",[3]InfCualitativo!$E$1:$E$6973,"Nelson Mandela UPA",[3]InfCualitativo!$H$1:$H$6973,"pediatria")</f>
        <v>0</v>
      </c>
      <c r="AI27" s="30">
        <f t="shared" si="16"/>
        <v>0</v>
      </c>
      <c r="AJ27" s="30">
        <f t="shared" si="17"/>
        <v>0</v>
      </c>
      <c r="AK27" s="27">
        <f>COUNTIFS([3]InfCualitativo!$B$1:$B$6973,"VERDADERO",[3]InfCualitativo!$E$1:$E$6973,"Nelson Mandela UPA",[3]InfCualitativo!$H$1:$H$6973,"medicina_interna")</f>
        <v>0</v>
      </c>
      <c r="AL27" s="27">
        <f>COUNTIFS([3]InfCualitativo!$B$1:$B$6973,"FALSO",[3]InfCualitativo!$E$1:$E$6973,"Nelson Mandela UPA",[3]InfCualitativo!$H$1:$H$6973,"medicina_interna")</f>
        <v>0</v>
      </c>
      <c r="AM27" s="30">
        <f t="shared" si="18"/>
        <v>0</v>
      </c>
      <c r="AN27" s="30">
        <f t="shared" si="19"/>
        <v>0</v>
      </c>
      <c r="AO27" s="27">
        <f>COUNTIFS([3]InfCualitativo!$B$1:$B$6973,"VERDADERO",[3]InfCualitativo!$E$1:$E$6973,"Nelson Mandela UPA",[3]InfCualitativo!$H$1:$H$6973,"ginecologia")</f>
        <v>0</v>
      </c>
      <c r="AP27" s="27">
        <f>COUNTIFS([3]InfCualitativo!$B$1:$B$6973,"FALSO",[3]InfCualitativo!$E$1:$E$6973,"Nelson Mandela UPA",[3]InfCualitativo!$H$1:$H$6973,"ginecologia")</f>
        <v>0</v>
      </c>
      <c r="AQ27" s="30">
        <f t="shared" si="20"/>
        <v>0</v>
      </c>
      <c r="AR27" s="30">
        <f t="shared" si="21"/>
        <v>0</v>
      </c>
      <c r="AS27" s="27">
        <f t="shared" si="22"/>
        <v>154</v>
      </c>
      <c r="AT27" s="27">
        <f t="shared" si="22"/>
        <v>34</v>
      </c>
      <c r="AU27" s="32">
        <f t="shared" si="23"/>
        <v>0.81914893617021278</v>
      </c>
      <c r="AV27" s="32">
        <f t="shared" si="24"/>
        <v>0.18085106382978725</v>
      </c>
    </row>
    <row r="28" spans="1:48" ht="18.75" x14ac:dyDescent="0.3">
      <c r="A28" s="26" t="s">
        <v>48</v>
      </c>
      <c r="B28" s="35" t="s">
        <v>39</v>
      </c>
      <c r="C28" s="35" t="s">
        <v>39</v>
      </c>
      <c r="D28" s="35" t="s">
        <v>39</v>
      </c>
      <c r="E28" s="35" t="s">
        <v>39</v>
      </c>
      <c r="F28" s="35" t="s">
        <v>39</v>
      </c>
      <c r="G28" s="35" t="s">
        <v>39</v>
      </c>
      <c r="H28" s="35" t="s">
        <v>39</v>
      </c>
      <c r="I28" s="35" t="s">
        <v>39</v>
      </c>
      <c r="J28" s="35" t="s">
        <v>39</v>
      </c>
      <c r="K28" s="35" t="s">
        <v>39</v>
      </c>
      <c r="L28" s="35" t="s">
        <v>39</v>
      </c>
      <c r="M28" s="35" t="s">
        <v>39</v>
      </c>
      <c r="N28" s="35" t="s">
        <v>39</v>
      </c>
      <c r="O28" s="35" t="s">
        <v>39</v>
      </c>
      <c r="P28" s="35" t="s">
        <v>39</v>
      </c>
      <c r="Q28" s="35" t="s">
        <v>39</v>
      </c>
      <c r="R28" s="35" t="s">
        <v>39</v>
      </c>
      <c r="S28" s="35" t="s">
        <v>39</v>
      </c>
      <c r="T28" s="35" t="s">
        <v>39</v>
      </c>
      <c r="U28" s="35" t="s">
        <v>39</v>
      </c>
      <c r="V28" s="35" t="s">
        <v>39</v>
      </c>
      <c r="W28" s="35" t="s">
        <v>39</v>
      </c>
      <c r="X28" s="35" t="s">
        <v>39</v>
      </c>
      <c r="Y28" s="35" t="s">
        <v>39</v>
      </c>
      <c r="Z28" s="35" t="s">
        <v>39</v>
      </c>
      <c r="AA28" s="35" t="s">
        <v>39</v>
      </c>
      <c r="AB28" s="35" t="s">
        <v>39</v>
      </c>
      <c r="AC28" s="35" t="s">
        <v>39</v>
      </c>
      <c r="AD28" s="35" t="s">
        <v>39</v>
      </c>
      <c r="AE28" s="35" t="s">
        <v>39</v>
      </c>
      <c r="AF28" s="35" t="s">
        <v>39</v>
      </c>
      <c r="AG28" s="35" t="s">
        <v>39</v>
      </c>
      <c r="AH28" s="35" t="s">
        <v>39</v>
      </c>
      <c r="AI28" s="35" t="s">
        <v>39</v>
      </c>
      <c r="AJ28" s="35" t="s">
        <v>39</v>
      </c>
      <c r="AK28" s="35" t="s">
        <v>39</v>
      </c>
      <c r="AL28" s="35" t="s">
        <v>39</v>
      </c>
      <c r="AM28" s="35" t="s">
        <v>39</v>
      </c>
      <c r="AN28" s="35" t="s">
        <v>39</v>
      </c>
      <c r="AO28" s="35" t="s">
        <v>39</v>
      </c>
      <c r="AP28" s="35" t="s">
        <v>39</v>
      </c>
      <c r="AQ28" s="35" t="s">
        <v>39</v>
      </c>
      <c r="AR28" s="35" t="s">
        <v>39</v>
      </c>
      <c r="AS28" s="35" t="s">
        <v>39</v>
      </c>
      <c r="AT28" s="35" t="s">
        <v>39</v>
      </c>
      <c r="AU28" s="35" t="s">
        <v>39</v>
      </c>
      <c r="AV28" s="35" t="s">
        <v>39</v>
      </c>
    </row>
    <row r="29" spans="1:48" ht="18.75" x14ac:dyDescent="0.3">
      <c r="A29" s="26" t="s">
        <v>49</v>
      </c>
      <c r="B29" s="27">
        <v>141</v>
      </c>
      <c r="C29" s="27">
        <f t="shared" si="1"/>
        <v>141</v>
      </c>
      <c r="D29" s="28">
        <f t="shared" si="0"/>
        <v>100</v>
      </c>
      <c r="E29" s="29">
        <f>COUNTIFS([3]InfCualitativo!$B$1:$B$6973,"VERDADERO",[3]InfCualitativo!$E$1:$E$6973,"Nuevo Porvenir",[3]InfCualitativo!$H$1:$H$6973,"consulta_externa")</f>
        <v>47</v>
      </c>
      <c r="F29" s="29">
        <f>COUNTIFS([3]InfCualitativo!$B$1:$B$6973,"FALSO",[3]InfCualitativo!$E$1:$E$6973,"Nuevo Porvenir",[3]InfCualitativo!$H$1:$H$6973,"consulta_externa")</f>
        <v>1</v>
      </c>
      <c r="G29" s="30">
        <f t="shared" si="2"/>
        <v>0.97916666666666663</v>
      </c>
      <c r="H29" s="30">
        <f t="shared" si="3"/>
        <v>2.0833333333333332E-2</v>
      </c>
      <c r="I29" s="27">
        <f>COUNTIFS([3]InfCualitativo!$B$1:$B$6973,"VERDADERO",[3]InfCualitativo!$E$1:$E$6973,"Nuevo Porvenir",[3]InfCualitativo!$H$1:$H$6973,"salud_oral")</f>
        <v>45</v>
      </c>
      <c r="J29" s="27">
        <f>COUNTIFS([3]InfCualitativo!$B$1:$B$6973,"FALSO",[3]InfCualitativo!$E$1:$E$6973,"Nuevo Porvenir",[3]InfCualitativo!$H$1:$H$6973,"salud_oral")</f>
        <v>0</v>
      </c>
      <c r="K29" s="30">
        <f t="shared" si="4"/>
        <v>1</v>
      </c>
      <c r="L29" s="30">
        <f t="shared" si="5"/>
        <v>0</v>
      </c>
      <c r="M29" s="27">
        <f>COUNTIFS([3]InfCualitativo!$B$1:$B$6973,"VERDADERO",[3]InfCualitativo!$E$1:$E$6973,"Nuevo Porvenir",[3]InfCualitativo!$H$1:$H$6973,"laboratorio")</f>
        <v>45</v>
      </c>
      <c r="N29" s="27">
        <f>COUNTIFS([3]InfCualitativo!$B$1:$B$6973,"FALSO",[3]InfCualitativo!$E$1:$E$6973,"Nuevo Porvenir",[3]InfCualitativo!$H$1:$H$6973,"laboratorio")</f>
        <v>3</v>
      </c>
      <c r="O29" s="30">
        <f t="shared" si="6"/>
        <v>0.9375</v>
      </c>
      <c r="P29" s="31">
        <f t="shared" si="7"/>
        <v>6.25E-2</v>
      </c>
      <c r="Q29" s="27">
        <f>COUNTIFS([3]InfCualitativo!$B$1:$B$6973,"VERDADERO",[3]InfCualitativo!$E$1:$E$6973,"Nuevo Porvenir",[3]InfCualitativo!$H$1:$H$6973,"electros")</f>
        <v>0</v>
      </c>
      <c r="R29" s="27">
        <f>COUNTIFS([3]InfCualitativo!$B$1:$B$6973,"FALSO",[3]InfCualitativo!$E$1:$E$6973,"Nuevo Porvenir",[3]InfCualitativo!$H$1:$H$6973,"electros")</f>
        <v>0</v>
      </c>
      <c r="S29" s="30">
        <f t="shared" si="8"/>
        <v>0</v>
      </c>
      <c r="T29" s="30">
        <f t="shared" si="9"/>
        <v>0</v>
      </c>
      <c r="U29" s="27">
        <f>COUNTIFS([3]InfCualitativo!$B$1:$B$6973,"VERDADERO",[3]InfCualitativo!$E$1:$E$6973,"Nuevo Porvenir",[3]InfCualitativo!$H$1:$H$6973,"rx")</f>
        <v>0</v>
      </c>
      <c r="V29" s="27">
        <f>COUNTIFS([3]InfCualitativo!$B$1:$B$6973,"FALSO",[3]InfCualitativo!$E$1:$E$6973,"Nuevo Porvenir",[3]InfCualitativo!$H$1:$H$6973,"rx")</f>
        <v>0</v>
      </c>
      <c r="W29" s="30">
        <f t="shared" si="10"/>
        <v>0</v>
      </c>
      <c r="X29" s="30">
        <f t="shared" si="11"/>
        <v>0</v>
      </c>
      <c r="Y29" s="27">
        <f>COUNTIFS([3]InfCualitativo!$B$1:$B$6973,"VERDADERO",[3]InfCualitativo!$E$1:$E$6973,"Nuevo Porvenir",[3]InfCualitativo!$H$1:$H$6973,"ecografias")</f>
        <v>0</v>
      </c>
      <c r="Z29" s="27">
        <f>COUNTIFS([3]InfCualitativo!$B$1:$B$6973,"FALSO",[3]InfCualitativo!$E$1:$E$6973,"Nuevo Porvenir",[3]InfCualitativo!$H$1:$H$6973,"ecografias")</f>
        <v>0</v>
      </c>
      <c r="AA29" s="30">
        <f t="shared" si="12"/>
        <v>0</v>
      </c>
      <c r="AB29" s="30">
        <f t="shared" si="13"/>
        <v>0</v>
      </c>
      <c r="AC29" s="27">
        <f>COUNTIFS([3]InfCualitativo!$B$1:$B$6973,"VERDADERO",[3]InfCualitativo!$E$1:$E$6973,"Nuevo Porvenir",[3]InfCualitativo!$H$1:$H$6973,"urgencia")</f>
        <v>0</v>
      </c>
      <c r="AD29" s="27">
        <f>COUNTIFS([3]InfCualitativo!$B$1:$B$6973,"FALSO",[3]InfCualitativo!$E$1:$E$6973,"Nuevo Porvenir",[3]InfCualitativo!$H$1:$H$6973,"urgencia")</f>
        <v>0</v>
      </c>
      <c r="AE29" s="30">
        <f t="shared" si="14"/>
        <v>0</v>
      </c>
      <c r="AF29" s="30">
        <f t="shared" si="15"/>
        <v>0</v>
      </c>
      <c r="AG29" s="27">
        <f>COUNTIFS([3]InfCualitativo!$B$1:$B$6973,"VERDADERO",[3]InfCualitativo!$E$1:$E$6973,"Nuevo Porvenir",[3]InfCualitativo!$H$1:$H$6973,"pediatria")</f>
        <v>0</v>
      </c>
      <c r="AH29" s="27">
        <f>COUNTIFS([3]InfCualitativo!$B$1:$B$6973,"FALSO",[3]InfCualitativo!$E$1:$E$6973,"Nuevo Porvenir",[3]InfCualitativo!$H$1:$H$6973,"pediatria")</f>
        <v>0</v>
      </c>
      <c r="AI29" s="30">
        <f t="shared" si="16"/>
        <v>0</v>
      </c>
      <c r="AJ29" s="30">
        <f t="shared" si="17"/>
        <v>0</v>
      </c>
      <c r="AK29" s="27">
        <f>COUNTIFS([3]InfCualitativo!$B$1:$B$6973,"VERDADERO",[3]InfCualitativo!$E$1:$E$6973,"Nuevo Porvenir",[3]InfCualitativo!$H$1:$H$6973,"medicina_interna")</f>
        <v>0</v>
      </c>
      <c r="AL29" s="27">
        <f>COUNTIFS([3]InfCualitativo!$B$1:$B$6973,"FALSO",[3]InfCualitativo!$E$1:$E$6973,"Nuevo Porvenir",[3]InfCualitativo!$H$1:$H$6973,"medicina_interna")</f>
        <v>0</v>
      </c>
      <c r="AM29" s="30">
        <f t="shared" si="18"/>
        <v>0</v>
      </c>
      <c r="AN29" s="30">
        <f t="shared" si="19"/>
        <v>0</v>
      </c>
      <c r="AO29" s="27">
        <f>COUNTIFS([3]InfCualitativo!$B$1:$B$6973,"VERDADERO",[3]InfCualitativo!$E$1:$E$6973,"Nuevo Porvenir",[3]InfCualitativo!$H$1:$H$6973,"ginecologia")</f>
        <v>0</v>
      </c>
      <c r="AP29" s="27">
        <f>COUNTIFS([3]InfCualitativo!$B$1:$B$6973,"FALSO",[3]InfCualitativo!$E$1:$E$6973,"Nuevo Porvenir",[3]InfCualitativo!$H$1:$H$6973,"ginecologia")</f>
        <v>0</v>
      </c>
      <c r="AQ29" s="30">
        <f t="shared" si="20"/>
        <v>0</v>
      </c>
      <c r="AR29" s="30">
        <f t="shared" si="21"/>
        <v>0</v>
      </c>
      <c r="AS29" s="27">
        <f t="shared" si="22"/>
        <v>137</v>
      </c>
      <c r="AT29" s="27">
        <f t="shared" si="22"/>
        <v>4</v>
      </c>
      <c r="AU29" s="32">
        <f t="shared" si="23"/>
        <v>0.97163120567375882</v>
      </c>
      <c r="AV29" s="32">
        <f t="shared" si="24"/>
        <v>2.8368794326241134E-2</v>
      </c>
    </row>
    <row r="30" spans="1:48" ht="18.75" x14ac:dyDescent="0.3">
      <c r="A30" s="26" t="s">
        <v>50</v>
      </c>
      <c r="B30" s="35" t="s">
        <v>39</v>
      </c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35" t="s">
        <v>39</v>
      </c>
      <c r="P30" s="35" t="s">
        <v>39</v>
      </c>
      <c r="Q30" s="35" t="s">
        <v>39</v>
      </c>
      <c r="R30" s="35" t="s">
        <v>39</v>
      </c>
      <c r="S30" s="35" t="s">
        <v>39</v>
      </c>
      <c r="T30" s="35" t="s">
        <v>39</v>
      </c>
      <c r="U30" s="35" t="s">
        <v>39</v>
      </c>
      <c r="V30" s="35" t="s">
        <v>39</v>
      </c>
      <c r="W30" s="35" t="s">
        <v>39</v>
      </c>
      <c r="X30" s="35" t="s">
        <v>39</v>
      </c>
      <c r="Y30" s="35" t="s">
        <v>39</v>
      </c>
      <c r="Z30" s="35" t="s">
        <v>39</v>
      </c>
      <c r="AA30" s="35" t="s">
        <v>39</v>
      </c>
      <c r="AB30" s="35" t="s">
        <v>39</v>
      </c>
      <c r="AC30" s="35" t="s">
        <v>39</v>
      </c>
      <c r="AD30" s="35" t="s">
        <v>39</v>
      </c>
      <c r="AE30" s="35" t="s">
        <v>39</v>
      </c>
      <c r="AF30" s="35" t="s">
        <v>39</v>
      </c>
      <c r="AG30" s="35" t="s">
        <v>39</v>
      </c>
      <c r="AH30" s="35" t="s">
        <v>39</v>
      </c>
      <c r="AI30" s="35" t="s">
        <v>39</v>
      </c>
      <c r="AJ30" s="35" t="s">
        <v>39</v>
      </c>
      <c r="AK30" s="35" t="s">
        <v>39</v>
      </c>
      <c r="AL30" s="35" t="s">
        <v>39</v>
      </c>
      <c r="AM30" s="35" t="s">
        <v>39</v>
      </c>
      <c r="AN30" s="35" t="s">
        <v>39</v>
      </c>
      <c r="AO30" s="35" t="s">
        <v>39</v>
      </c>
      <c r="AP30" s="35" t="s">
        <v>39</v>
      </c>
      <c r="AQ30" s="35" t="s">
        <v>39</v>
      </c>
      <c r="AR30" s="35" t="s">
        <v>39</v>
      </c>
      <c r="AS30" s="35" t="s">
        <v>39</v>
      </c>
      <c r="AT30" s="35" t="s">
        <v>39</v>
      </c>
      <c r="AU30" s="35" t="s">
        <v>39</v>
      </c>
      <c r="AV30" s="35" t="s">
        <v>39</v>
      </c>
    </row>
    <row r="31" spans="1:48" ht="18.75" x14ac:dyDescent="0.3">
      <c r="A31" s="26" t="s">
        <v>51</v>
      </c>
      <c r="B31" s="27">
        <v>200</v>
      </c>
      <c r="C31" s="27">
        <f t="shared" si="1"/>
        <v>173</v>
      </c>
      <c r="D31" s="28">
        <f t="shared" si="0"/>
        <v>86.5</v>
      </c>
      <c r="E31" s="29">
        <f>COUNTIFS([3]InfCualitativo!$B$1:$B$6973,"VERDADERO",[3]InfCualitativo!$E$1:$E$6973,"Pasacaballos",[3]InfCualitativo!$H$1:$H$6973,"consulta_externa")</f>
        <v>33</v>
      </c>
      <c r="F31" s="29">
        <f>COUNTIFS([3]InfCualitativo!$B$1:$B$6973,"FALSO",[3]InfCualitativo!$E$1:$E$6973,"Pasacaballos",[3]InfCualitativo!$H$1:$H$6973,"consulta_externa")</f>
        <v>14</v>
      </c>
      <c r="G31" s="30">
        <f t="shared" si="2"/>
        <v>0.7021276595744681</v>
      </c>
      <c r="H31" s="30">
        <f t="shared" si="3"/>
        <v>0.2978723404255319</v>
      </c>
      <c r="I31" s="27">
        <f>COUNTIFS([3]InfCualitativo!$B$1:$B$6973,"VERDADERO",[3]InfCualitativo!$E$1:$E$6973,"Pasacaballos",[3]InfCualitativo!$H$1:$H$6973,"salud_oral")</f>
        <v>36</v>
      </c>
      <c r="J31" s="27">
        <f>COUNTIFS([3]InfCualitativo!$B$1:$B$6973,"FALSO",[3]InfCualitativo!$E$1:$E$6973,"Pasacaballos",[3]InfCualitativo!$H$1:$H$6973,"salud_oral")</f>
        <v>5</v>
      </c>
      <c r="K31" s="30">
        <f t="shared" si="4"/>
        <v>0.87804878048780488</v>
      </c>
      <c r="L31" s="30">
        <f t="shared" si="5"/>
        <v>0.12195121951219512</v>
      </c>
      <c r="M31" s="27">
        <f>COUNTIFS([3]InfCualitativo!$B$1:$B$6973,"VERDADERO",[3]InfCualitativo!$E$1:$E$6973,"Pasacaballos",[3]InfCualitativo!$H$1:$H$6973,"laboratorio")</f>
        <v>28</v>
      </c>
      <c r="N31" s="27">
        <f>COUNTIFS([3]InfCualitativo!$B$1:$B$6973,"FALSO",[3]InfCualitativo!$E$1:$E$6973,"Pasacaballos",[3]InfCualitativo!$H$1:$H$6973,"laboratorio")</f>
        <v>17</v>
      </c>
      <c r="O31" s="30">
        <f t="shared" si="6"/>
        <v>0.62222222222222223</v>
      </c>
      <c r="P31" s="31">
        <f t="shared" si="7"/>
        <v>0.37777777777777777</v>
      </c>
      <c r="Q31" s="27">
        <f>COUNTIFS([3]InfCualitativo!$B$1:$B$6973,"VERDADERO",[3]InfCualitativo!$E$1:$E$6973,"Pasacaballos",[3]InfCualitativo!$H$1:$H$6973,"electros")</f>
        <v>0</v>
      </c>
      <c r="R31" s="27">
        <f>COUNTIFS([3]InfCualitativo!$B$1:$B$6973,"FALSO",[3]InfCualitativo!$E$1:$E$6973,"Pasacaballos",[3]InfCualitativo!$H$1:$H$6973,"electros")</f>
        <v>0</v>
      </c>
      <c r="S31" s="30">
        <f t="shared" si="8"/>
        <v>0</v>
      </c>
      <c r="T31" s="30">
        <f t="shared" si="9"/>
        <v>0</v>
      </c>
      <c r="U31" s="27">
        <f>COUNTIFS([3]InfCualitativo!$B$1:$B$6973,"VERDADERO",[3]InfCualitativo!$E$1:$E$6973,"Pasacaballos",[3]InfCualitativo!$H$1:$H$6973,"rx")</f>
        <v>0</v>
      </c>
      <c r="V31" s="27">
        <f>COUNTIFS([3]InfCualitativo!$B$1:$B$6973,"FALSO",[3]InfCualitativo!$E$1:$E$6973,"Pasacaballos",[3]InfCualitativo!$H$1:$H$6973,"rx")</f>
        <v>0</v>
      </c>
      <c r="W31" s="30">
        <f t="shared" si="10"/>
        <v>0</v>
      </c>
      <c r="X31" s="30">
        <f t="shared" si="11"/>
        <v>0</v>
      </c>
      <c r="Y31" s="27">
        <f>COUNTIFS([3]InfCualitativo!$B$1:$B$6973,"VERDADERO",[3]InfCualitativo!$E$1:$E$6973,"Pasacaballos",[3]InfCualitativo!$H$1:$H$6973,"ecografias")</f>
        <v>0</v>
      </c>
      <c r="Z31" s="27">
        <f>COUNTIFS([3]InfCualitativo!$B$1:$B$6973,"FALSO",[3]InfCualitativo!$E$1:$E$6973,"Pasacaballos",[3]InfCualitativo!$H$1:$H$6973,"ecografias")</f>
        <v>0</v>
      </c>
      <c r="AA31" s="30">
        <f t="shared" si="12"/>
        <v>0</v>
      </c>
      <c r="AB31" s="30">
        <f t="shared" si="13"/>
        <v>0</v>
      </c>
      <c r="AC31" s="27">
        <f>COUNTIFS([3]InfCualitativo!$B$1:$B$6973,"VERDADERO",[3]InfCualitativo!$E$1:$E$6973,"Pasacaballos",[3]InfCualitativo!$H$1:$H$6973,"urgencia")</f>
        <v>28</v>
      </c>
      <c r="AD31" s="27">
        <f>COUNTIFS([3]InfCualitativo!$B$1:$B$6973,"FALSO",[3]InfCualitativo!$E$1:$E$6973,"Pasacaballos",[3]InfCualitativo!$H$1:$H$6973,"urgencia")</f>
        <v>12</v>
      </c>
      <c r="AE31" s="30">
        <f t="shared" si="14"/>
        <v>0.7</v>
      </c>
      <c r="AF31" s="30">
        <f t="shared" si="15"/>
        <v>0.3</v>
      </c>
      <c r="AG31" s="27">
        <f>COUNTIFS([3]InfCualitativo!$B$1:$B$6973,"VERDADERO",[3]InfCualitativo!$E$1:$E$6973,"Pasacaballos",[3]InfCualitativo!$H$1:$H$6973,"pediatria")</f>
        <v>0</v>
      </c>
      <c r="AH31" s="27">
        <f>COUNTIFS([3]InfCualitativo!$B$1:$B$6973,"FALSO",[3]InfCualitativo!$E$1:$E$6973,"Pasacaballos",[3]InfCualitativo!$H$1:$H$6973,"pediatria")</f>
        <v>0</v>
      </c>
      <c r="AI31" s="30">
        <f t="shared" si="16"/>
        <v>0</v>
      </c>
      <c r="AJ31" s="30">
        <f t="shared" si="17"/>
        <v>0</v>
      </c>
      <c r="AK31" s="27">
        <f>COUNTIFS([3]InfCualitativo!$B$1:$B$6973,"VERDADERO",[3]InfCualitativo!$E$1:$E$6973,"Pasacaballos",[3]InfCualitativo!$H$1:$H$6973,"medicina_interna")</f>
        <v>0</v>
      </c>
      <c r="AL31" s="27">
        <f>COUNTIFS([3]InfCualitativo!$B$1:$B$6973,"FALSO",[3]InfCualitativo!$E$1:$E$6973,"Pasacaballos",[3]InfCualitativo!$H$1:$H$6973,"medicina_interna")</f>
        <v>0</v>
      </c>
      <c r="AM31" s="30">
        <f t="shared" si="18"/>
        <v>0</v>
      </c>
      <c r="AN31" s="30">
        <f t="shared" si="19"/>
        <v>0</v>
      </c>
      <c r="AO31" s="27">
        <f>COUNTIFS([3]InfCualitativo!$B$1:$B$6973,"VERDADERO",[3]InfCualitativo!$E$1:$E$6973,"Pasacaballos",[3]InfCualitativo!$H$1:$H$6973,"ginecologia")</f>
        <v>0</v>
      </c>
      <c r="AP31" s="27">
        <f>COUNTIFS([3]InfCualitativo!$B$1:$B$6973,"FALSO",[3]InfCualitativo!$E$1:$E$6973,"Pasacaballos",[3]InfCualitativo!$H$1:$H$6973,"ginecologia")</f>
        <v>0</v>
      </c>
      <c r="AQ31" s="30">
        <f t="shared" si="20"/>
        <v>0</v>
      </c>
      <c r="AR31" s="30">
        <f t="shared" si="21"/>
        <v>0</v>
      </c>
      <c r="AS31" s="27">
        <f t="shared" si="22"/>
        <v>125</v>
      </c>
      <c r="AT31" s="27">
        <f t="shared" si="22"/>
        <v>48</v>
      </c>
      <c r="AU31" s="32">
        <f t="shared" si="23"/>
        <v>0.7225433526011561</v>
      </c>
      <c r="AV31" s="32">
        <f t="shared" si="24"/>
        <v>0.2774566473988439</v>
      </c>
    </row>
    <row r="32" spans="1:48" ht="18.75" x14ac:dyDescent="0.3">
      <c r="A32" s="26" t="s">
        <v>52</v>
      </c>
      <c r="B32" s="27">
        <v>80</v>
      </c>
      <c r="C32" s="27">
        <f t="shared" si="1"/>
        <v>77</v>
      </c>
      <c r="D32" s="28">
        <f t="shared" si="0"/>
        <v>96.25</v>
      </c>
      <c r="E32" s="29">
        <f>COUNTIFS([3]InfCualitativo!$B$1:$B$6973,"VERDADERO",[3]InfCualitativo!$E$1:$E$6973,"Pontezuela",[3]InfCualitativo!$H$1:$H$6973,"consulta_externa")</f>
        <v>41</v>
      </c>
      <c r="F32" s="29">
        <f>COUNTIFS([3]InfCualitativo!$B$1:$B$6973,"FALSO",[3]InfCualitativo!$E$1:$E$6973,"Pontezuela",[3]InfCualitativo!$H$1:$H$6973,"consulta_externa")</f>
        <v>1</v>
      </c>
      <c r="G32" s="30">
        <f t="shared" si="2"/>
        <v>0.97619047619047616</v>
      </c>
      <c r="H32" s="30">
        <f t="shared" si="3"/>
        <v>2.3809523809523808E-2</v>
      </c>
      <c r="I32" s="27">
        <f>COUNTIFS([3]InfCualitativo!$B$1:$B$6973,"VERDADERO",[3]InfCualitativo!$E$1:$E$6973,"Pontezuela",[3]InfCualitativo!$H$1:$H$6973,"salud_oral")</f>
        <v>33</v>
      </c>
      <c r="J32" s="27">
        <f>COUNTIFS([3]InfCualitativo!$B$1:$B$6973,"FALSO",[3]InfCualitativo!$E$1:$E$6973,"Pontezuela",[3]InfCualitativo!$H$1:$H$6973,"salud_oral")</f>
        <v>2</v>
      </c>
      <c r="K32" s="30">
        <f t="shared" si="4"/>
        <v>0.94285714285714284</v>
      </c>
      <c r="L32" s="30">
        <f t="shared" si="5"/>
        <v>5.7142857142857141E-2</v>
      </c>
      <c r="M32" s="27">
        <f>COUNTIFS([3]InfCualitativo!$B$1:$B$6973,"VERDADERO",[3]InfCualitativo!$E$1:$E$6973,"Pontezuela",[3]InfCualitativo!$H$1:$H$6973,"laboratorio")</f>
        <v>0</v>
      </c>
      <c r="N32" s="27">
        <f>COUNTIFS([3]InfCualitativo!$B$1:$B$6973,"FALSO",[3]InfCualitativo!$E$1:$E$6973,"Pontezuela",[3]InfCualitativo!$H$1:$H$6973,"laboratorio")</f>
        <v>0</v>
      </c>
      <c r="O32" s="30">
        <f t="shared" si="6"/>
        <v>0</v>
      </c>
      <c r="P32" s="31">
        <f t="shared" si="7"/>
        <v>0</v>
      </c>
      <c r="Q32" s="27">
        <f>COUNTIFS([3]InfCualitativo!$B$1:$B$6973,"VERDADERO",[3]InfCualitativo!$E$1:$E$6973,"Pontezuela",[3]InfCualitativo!$H$1:$H$6973,"electros")</f>
        <v>0</v>
      </c>
      <c r="R32" s="27">
        <f>COUNTIFS([3]InfCualitativo!$B$1:$B$6973,"FALSO",[3]InfCualitativo!$E$1:$E$6973,"Pontezuela",[3]InfCualitativo!$H$1:$H$6973,"electros")</f>
        <v>0</v>
      </c>
      <c r="S32" s="30">
        <f t="shared" si="8"/>
        <v>0</v>
      </c>
      <c r="T32" s="30">
        <f t="shared" si="9"/>
        <v>0</v>
      </c>
      <c r="U32" s="27">
        <f>COUNTIFS([3]InfCualitativo!$B$1:$B$6973,"VERDADERO",[3]InfCualitativo!$E$1:$E$6973,"Pontezuela",[3]InfCualitativo!$H$1:$H$6973,"rx")</f>
        <v>0</v>
      </c>
      <c r="V32" s="27">
        <f>COUNTIFS([3]InfCualitativo!$B$1:$B$6973,"FALSO",[3]InfCualitativo!$E$1:$E$6973,"Pontezuela",[3]InfCualitativo!$H$1:$H$6973,"rx")</f>
        <v>0</v>
      </c>
      <c r="W32" s="30">
        <f t="shared" si="10"/>
        <v>0</v>
      </c>
      <c r="X32" s="30">
        <f t="shared" si="11"/>
        <v>0</v>
      </c>
      <c r="Y32" s="27">
        <f>COUNTIFS([3]InfCualitativo!$B$1:$B$6973,"VERDADERO",[3]InfCualitativo!$E$1:$E$6973,"Pontezuela",[3]InfCualitativo!$H$1:$H$6973,"ecografias")</f>
        <v>0</v>
      </c>
      <c r="Z32" s="27">
        <f>COUNTIFS([3]InfCualitativo!$B$1:$B$6973,"FALSO",[3]InfCualitativo!$E$1:$E$6973,"Pontezuela",[3]InfCualitativo!$H$1:$H$6973,"ecografias")</f>
        <v>0</v>
      </c>
      <c r="AA32" s="30">
        <f t="shared" si="12"/>
        <v>0</v>
      </c>
      <c r="AB32" s="30">
        <f t="shared" si="13"/>
        <v>0</v>
      </c>
      <c r="AC32" s="27">
        <f>COUNTIFS([3]InfCualitativo!$B$1:$B$6973,"VERDADERO",[3]InfCualitativo!$E$1:$E$6973,"Pontezuela",[3]InfCualitativo!$H$1:$H$6973,"urgencia")</f>
        <v>0</v>
      </c>
      <c r="AD32" s="27">
        <f>COUNTIFS([3]InfCualitativo!$B$1:$B$6973,"FALSO",[3]InfCualitativo!$E$1:$E$6973,"Pontezuela",[3]InfCualitativo!$H$1:$H$6973,"urgencia")</f>
        <v>0</v>
      </c>
      <c r="AE32" s="30">
        <f t="shared" si="14"/>
        <v>0</v>
      </c>
      <c r="AF32" s="30">
        <f t="shared" si="15"/>
        <v>0</v>
      </c>
      <c r="AG32" s="27">
        <f>COUNTIFS([3]InfCualitativo!$B$1:$B$6973,"VERDADERO",[3]InfCualitativo!$E$1:$E$6973,"Pontezuela",[3]InfCualitativo!$H$1:$H$6973,"pediatria")</f>
        <v>0</v>
      </c>
      <c r="AH32" s="27">
        <f>COUNTIFS([3]InfCualitativo!$B$1:$B$6973,"FALSO",[3]InfCualitativo!$E$1:$E$6973,"Pontezuela",[3]InfCualitativo!$H$1:$H$6973,"pediatria")</f>
        <v>0</v>
      </c>
      <c r="AI32" s="30">
        <f t="shared" si="16"/>
        <v>0</v>
      </c>
      <c r="AJ32" s="30">
        <f t="shared" si="17"/>
        <v>0</v>
      </c>
      <c r="AK32" s="27">
        <f>COUNTIFS([3]InfCualitativo!$B$1:$B$6973,"VERDADERO",[3]InfCualitativo!$E$1:$E$6973,"Pontezuela",[3]InfCualitativo!$H$1:$H$6973,"medicina_interna")</f>
        <v>0</v>
      </c>
      <c r="AL32" s="27">
        <f>COUNTIFS([3]InfCualitativo!$B$1:$B$6973,"FALSO",[3]InfCualitativo!$E$1:$E$6973,"Pontezuela",[3]InfCualitativo!$H$1:$H$6973,"medicina_interna")</f>
        <v>0</v>
      </c>
      <c r="AM32" s="30">
        <f t="shared" si="18"/>
        <v>0</v>
      </c>
      <c r="AN32" s="30">
        <f t="shared" si="19"/>
        <v>0</v>
      </c>
      <c r="AO32" s="27">
        <f>COUNTIFS([3]InfCualitativo!$B$1:$B$6973,"VERDADERO",[3]InfCualitativo!$E$1:$E$6973,"Pontezuela",[3]InfCualitativo!$H$1:$H$6973,"ginecologia")</f>
        <v>0</v>
      </c>
      <c r="AP32" s="27">
        <f>COUNTIFS([3]InfCualitativo!$B$1:$B$6973,"FALSO",[3]InfCualitativo!$E$1:$E$6973,"Pontezuela",[3]InfCualitativo!$H$1:$H$6973,"ginecologia")</f>
        <v>0</v>
      </c>
      <c r="AQ32" s="30">
        <f t="shared" si="20"/>
        <v>0</v>
      </c>
      <c r="AR32" s="30">
        <f t="shared" si="21"/>
        <v>0</v>
      </c>
      <c r="AS32" s="27">
        <f t="shared" si="22"/>
        <v>74</v>
      </c>
      <c r="AT32" s="27">
        <f t="shared" si="22"/>
        <v>3</v>
      </c>
      <c r="AU32" s="32">
        <f t="shared" si="23"/>
        <v>0.96103896103896103</v>
      </c>
      <c r="AV32" s="32">
        <f t="shared" si="24"/>
        <v>3.896103896103896E-2</v>
      </c>
    </row>
    <row r="33" spans="1:48" ht="18.75" x14ac:dyDescent="0.3">
      <c r="A33" s="26" t="s">
        <v>53</v>
      </c>
      <c r="B33" s="27">
        <v>292</v>
      </c>
      <c r="C33" s="27">
        <f t="shared" si="1"/>
        <v>210</v>
      </c>
      <c r="D33" s="28">
        <f t="shared" si="0"/>
        <v>71.917808219178085</v>
      </c>
      <c r="E33" s="29">
        <f>COUNTIFS([3]InfCualitativo!$B$1:$B$6973,"VERDADERO",[3]InfCualitativo!$E$1:$E$6973,"Hospital Pozon",[3]InfCualitativo!$H$1:$H$6973,"consulta_externa")</f>
        <v>34</v>
      </c>
      <c r="F33" s="29">
        <f>COUNTIFS([3]InfCualitativo!$B$1:$B$6973,"FALSO",[3]InfCualitativo!$E$1:$E$6973,"Hospital Pozon",[3]InfCualitativo!$H$1:$H$6973,"consulta_externa")</f>
        <v>0</v>
      </c>
      <c r="G33" s="30">
        <f t="shared" si="2"/>
        <v>1</v>
      </c>
      <c r="H33" s="30">
        <f t="shared" si="3"/>
        <v>0</v>
      </c>
      <c r="I33" s="27">
        <f>COUNTIFS([3]InfCualitativo!$B$1:$B$6973,"VERDADERO",[3]InfCualitativo!$E$1:$E$6973,"Hospital Pozon",[3]InfCualitativo!$H$1:$H$6973,"salud_oral")</f>
        <v>35</v>
      </c>
      <c r="J33" s="27">
        <f>COUNTIFS([3]InfCualitativo!$B$1:$B$6973,"FALSO",[3]InfCualitativo!$E$1:$E$6973,"Hospital Pozon",[3]InfCualitativo!$H$1:$H$6973,"salud_oral")</f>
        <v>0</v>
      </c>
      <c r="K33" s="30">
        <f t="shared" si="4"/>
        <v>1</v>
      </c>
      <c r="L33" s="30">
        <f t="shared" si="5"/>
        <v>0</v>
      </c>
      <c r="M33" s="27">
        <f>COUNTIFS([3]InfCualitativo!$B$1:$B$6973,"VERDADERO",[3]InfCualitativo!$E$1:$E$6973,"Hospital Pozon",[3]InfCualitativo!$H$1:$H$6973,"laboratorio")</f>
        <v>35</v>
      </c>
      <c r="N33" s="27">
        <f>COUNTIFS([3]InfCualitativo!$B$1:$B$6973,"FALSO",[3]InfCualitativo!$E$1:$E$6973,"Hospital Pozon",[3]InfCualitativo!$H$1:$H$6973,"laboratorio")</f>
        <v>0</v>
      </c>
      <c r="O33" s="30">
        <f t="shared" si="6"/>
        <v>1</v>
      </c>
      <c r="P33" s="31">
        <f t="shared" si="7"/>
        <v>0</v>
      </c>
      <c r="Q33" s="27">
        <f>COUNTIFS([3]InfCualitativo!$B$1:$B$6973,"VERDADERO",[3]InfCualitativo!$E$1:$E$6973,"Hospital Pozon",[3]InfCualitativo!$H$1:$H$6973,"electros")</f>
        <v>0</v>
      </c>
      <c r="R33" s="27">
        <f>COUNTIFS([3]InfCualitativo!$B$1:$B$6973,"FALSO",[3]InfCualitativo!$E$1:$E$6973,"Hospital Pozon",[3]InfCualitativo!$H$1:$H$6973,"electros")</f>
        <v>0</v>
      </c>
      <c r="S33" s="30">
        <f t="shared" si="8"/>
        <v>0</v>
      </c>
      <c r="T33" s="30">
        <f t="shared" si="9"/>
        <v>0</v>
      </c>
      <c r="U33" s="27">
        <f>COUNTIFS([3]InfCualitativo!$B$1:$B$6973,"VERDADERO",[3]InfCualitativo!$E$1:$E$6973,"Hospital Pozon",[3]InfCualitativo!$H$1:$H$6973,"rx")</f>
        <v>10</v>
      </c>
      <c r="V33" s="27">
        <f>COUNTIFS([3]InfCualitativo!$B$1:$B$6973,"FALSO",[3]InfCualitativo!$E$1:$E$6973,"Hospital Pozon",[3]InfCualitativo!$H$1:$H$6973,"rx")</f>
        <v>0</v>
      </c>
      <c r="W33" s="30">
        <f t="shared" si="10"/>
        <v>1</v>
      </c>
      <c r="X33" s="30">
        <f t="shared" si="11"/>
        <v>0</v>
      </c>
      <c r="Y33" s="27">
        <f>COUNTIFS([3]InfCualitativo!$B$1:$B$6973,"VERDADERO",[3]InfCualitativo!$E$1:$E$6973,"Hospital Pozon",[3]InfCualitativo!$H$1:$H$6973,"ecografias")</f>
        <v>20</v>
      </c>
      <c r="Z33" s="27">
        <f>COUNTIFS([3]InfCualitativo!$B$1:$B$6973,"FALSO",[3]InfCualitativo!$E$1:$E$6973,"Hospital Pozon",[3]InfCualitativo!$H$1:$H$6973,"ecografias")</f>
        <v>0</v>
      </c>
      <c r="AA33" s="30">
        <f t="shared" si="12"/>
        <v>1</v>
      </c>
      <c r="AB33" s="30">
        <f t="shared" si="13"/>
        <v>0</v>
      </c>
      <c r="AC33" s="27">
        <f>COUNTIFS([3]InfCualitativo!$B$1:$B$6973,"VERDADERO",[3]InfCualitativo!$E$1:$E$6973,"Hospital Pozon",[3]InfCualitativo!$H$1:$H$6973,"urgencia")</f>
        <v>30</v>
      </c>
      <c r="AD33" s="27">
        <f>COUNTIFS([3]InfCualitativo!$B$1:$B$6973,"FALSO",[3]InfCualitativo!$E$1:$E$6973,"Hospital Pozon",[3]InfCualitativo!$H$1:$H$6973,"urgencia")</f>
        <v>0</v>
      </c>
      <c r="AE33" s="30">
        <f t="shared" si="14"/>
        <v>1</v>
      </c>
      <c r="AF33" s="30">
        <f t="shared" si="15"/>
        <v>0</v>
      </c>
      <c r="AG33" s="27">
        <f>COUNTIFS([3]InfCualitativo!$B$1:$B$6973,"VERDADERO",[3]InfCualitativo!$E$1:$E$6973,"Hospital Pozon",[3]InfCualitativo!$H$1:$H$6973,"pediatria")</f>
        <v>26</v>
      </c>
      <c r="AH33" s="27">
        <f>COUNTIFS([3]InfCualitativo!$B$1:$B$6973,"FALSO",[3]InfCualitativo!$E$1:$E$6973,"Hospital Pozon",[3]InfCualitativo!$H$1:$H$6973,"pediatria")</f>
        <v>0</v>
      </c>
      <c r="AI33" s="30">
        <f t="shared" si="16"/>
        <v>1</v>
      </c>
      <c r="AJ33" s="30">
        <f t="shared" si="17"/>
        <v>0</v>
      </c>
      <c r="AK33" s="27">
        <f>COUNTIFS([3]InfCualitativo!$B$1:$B$6973,"VERDADERO",[3]InfCualitativo!$E$1:$E$6973,"Hospital Pozon",[3]InfCualitativo!$H$1:$H$6973,"medicina_interna")</f>
        <v>0</v>
      </c>
      <c r="AL33" s="27">
        <f>COUNTIFS([3]InfCualitativo!$B$1:$B$6973,"FALSO",[3]InfCualitativo!$E$1:$E$6973,"Hospital Pozon",[3]InfCualitativo!$H$1:$H$6973,"medicina_interna")</f>
        <v>0</v>
      </c>
      <c r="AM33" s="30">
        <f t="shared" si="18"/>
        <v>0</v>
      </c>
      <c r="AN33" s="30">
        <f t="shared" si="19"/>
        <v>0</v>
      </c>
      <c r="AO33" s="27">
        <f>COUNTIFS([3]InfCualitativo!$B$1:$B$6973,"VERDADERO",[3]InfCualitativo!$E$1:$E$6973,"Hospital Pozon",[3]InfCualitativo!$H$1:$H$6973,"ginecologia")</f>
        <v>20</v>
      </c>
      <c r="AP33" s="27">
        <f>COUNTIFS([3]InfCualitativo!$B$1:$B$6973,"FALSO",[3]InfCualitativo!$E$1:$E$6973,"Hospital Pozon",[3]InfCualitativo!$H$1:$H$6973,"ginecologia")</f>
        <v>0</v>
      </c>
      <c r="AQ33" s="30">
        <f t="shared" si="20"/>
        <v>1</v>
      </c>
      <c r="AR33" s="30">
        <f t="shared" si="21"/>
        <v>0</v>
      </c>
      <c r="AS33" s="27">
        <f t="shared" ref="AS33" si="25">SUM(E33+I33+M33+Q33+U33+Y33+AC33+AG33+AK33+AO33)</f>
        <v>210</v>
      </c>
      <c r="AT33" s="27">
        <f t="shared" si="22"/>
        <v>0</v>
      </c>
      <c r="AU33" s="32">
        <f t="shared" si="23"/>
        <v>1</v>
      </c>
      <c r="AV33" s="32">
        <f t="shared" si="24"/>
        <v>0</v>
      </c>
    </row>
    <row r="34" spans="1:48" ht="18.75" x14ac:dyDescent="0.3">
      <c r="A34" s="26" t="s">
        <v>54</v>
      </c>
      <c r="B34" s="27">
        <v>140</v>
      </c>
      <c r="C34" s="27">
        <f t="shared" si="1"/>
        <v>124</v>
      </c>
      <c r="D34" s="28">
        <f t="shared" si="0"/>
        <v>88.571428571428569</v>
      </c>
      <c r="E34" s="29">
        <f>COUNTIFS([3]InfCualitativo!$B$1:$B$6973,"VERDADERO",[3]InfCualitativo!$E$1:$E$6973,"Pozon",[3]InfCualitativo!$H$1:$H$6973,"consulta_externa")</f>
        <v>42</v>
      </c>
      <c r="F34" s="29">
        <f>COUNTIFS([3]InfCualitativo!$B$1:$B$6973,"FALSO",[3]InfCualitativo!$E$1:$E$6973,"Pozon",[3]InfCualitativo!$H$1:$H$6973,"consulta_externa")</f>
        <v>0</v>
      </c>
      <c r="G34" s="30">
        <f t="shared" si="2"/>
        <v>1</v>
      </c>
      <c r="H34" s="30">
        <f t="shared" si="3"/>
        <v>0</v>
      </c>
      <c r="I34" s="27">
        <f>COUNTIFS([3]InfCualitativo!$B$1:$B$6973,"VERDADERO",[3]InfCualitativo!$E$1:$E$6973,"Pozon",[3]InfCualitativo!$H$1:$H$6973,"salud_oral")</f>
        <v>41</v>
      </c>
      <c r="J34" s="27">
        <f>COUNTIFS([3]InfCualitativo!$B$1:$B$6973,"FALSO",[3]InfCualitativo!$E$1:$E$6973,"Pozon",[3]InfCualitativo!$H$1:$H$6973,"salud_oral")</f>
        <v>0</v>
      </c>
      <c r="K34" s="30">
        <f t="shared" si="4"/>
        <v>1</v>
      </c>
      <c r="L34" s="30">
        <f t="shared" si="5"/>
        <v>0</v>
      </c>
      <c r="M34" s="27">
        <f>COUNTIFS([3]InfCualitativo!$B$1:$B$6973,"VERDADERO",[3]InfCualitativo!$E$1:$E$6973,"Pozon",[3]InfCualitativo!$H$1:$H$6973,"laboratorio")</f>
        <v>41</v>
      </c>
      <c r="N34" s="27">
        <f>COUNTIFS([3]InfCualitativo!$B$1:$B$6973,"FALSO",[3]InfCualitativo!$E$1:$E$6973,"Pozon",[3]InfCualitativo!$H$1:$H$6973,"laboratorio")</f>
        <v>0</v>
      </c>
      <c r="O34" s="30">
        <f t="shared" si="6"/>
        <v>1</v>
      </c>
      <c r="P34" s="31">
        <f t="shared" si="7"/>
        <v>0</v>
      </c>
      <c r="Q34" s="27">
        <f>COUNTIFS([3]InfCualitativo!$B$1:$B$6973,"VERDADERO",[3]InfCualitativo!$E$1:$E$6973,"Pozon",[3]InfCualitativo!$H$1:$H$6973,"electros")</f>
        <v>0</v>
      </c>
      <c r="R34" s="27">
        <f>COUNTIFS([3]InfCualitativo!$B$1:$B$6973,"FALSO",[3]InfCualitativo!$E$1:$E$6973,"Pozon",[3]InfCualitativo!$H$1:$H$6973,"electros")</f>
        <v>0</v>
      </c>
      <c r="S34" s="30">
        <f t="shared" si="8"/>
        <v>0</v>
      </c>
      <c r="T34" s="30">
        <f t="shared" si="9"/>
        <v>0</v>
      </c>
      <c r="U34" s="27">
        <f>COUNTIFS([3]InfCualitativo!$B$1:$B$6973,"VERDADERO",[3]InfCualitativo!$E$1:$E$6973,"Pozon",[3]InfCualitativo!$H$1:$H$6973,"rx")</f>
        <v>0</v>
      </c>
      <c r="V34" s="27">
        <f>COUNTIFS([3]InfCualitativo!$B$1:$B$6973,"FALSO",[3]InfCualitativo!$E$1:$E$6973,"Pozon",[3]InfCualitativo!$H$1:$H$6973,"rx")</f>
        <v>0</v>
      </c>
      <c r="W34" s="30">
        <f t="shared" si="10"/>
        <v>0</v>
      </c>
      <c r="X34" s="30">
        <f t="shared" si="11"/>
        <v>0</v>
      </c>
      <c r="Y34" s="27">
        <f>COUNTIFS([3]InfCualitativo!$B$1:$B$6973,"VERDADERO",[3]InfCualitativo!$E$1:$E$6973,"Pozon",[3]InfCualitativo!$H$1:$H$6973,"ecografias")</f>
        <v>0</v>
      </c>
      <c r="Z34" s="27">
        <f>COUNTIFS([3]InfCualitativo!$B$1:$B$6973,"FALSO",[3]InfCualitativo!$E$1:$E$6973,"Pozon",[3]InfCualitativo!$H$1:$H$6973,"ecografias")</f>
        <v>0</v>
      </c>
      <c r="AA34" s="30">
        <f t="shared" si="12"/>
        <v>0</v>
      </c>
      <c r="AB34" s="30">
        <f t="shared" si="13"/>
        <v>0</v>
      </c>
      <c r="AC34" s="27">
        <f>COUNTIFS([3]InfCualitativo!$B$1:$B$6973,"VERDADERO",[3]InfCualitativo!$E$1:$E$6973,"Pozon",[3]InfCualitativo!$H$1:$H$6973,"urgencia")</f>
        <v>0</v>
      </c>
      <c r="AD34" s="27">
        <f>COUNTIFS([3]InfCualitativo!$B$1:$B$6973,"FALSO",[3]InfCualitativo!$E$1:$E$6973,"Pozon",[3]InfCualitativo!$H$1:$H$6973,"urgencia")</f>
        <v>0</v>
      </c>
      <c r="AE34" s="30">
        <f t="shared" si="14"/>
        <v>0</v>
      </c>
      <c r="AF34" s="30">
        <f t="shared" si="15"/>
        <v>0</v>
      </c>
      <c r="AG34" s="27">
        <f>COUNTIFS([3]InfCualitativo!$B$1:$B$6973,"VERDADERO",[3]InfCualitativo!$E$1:$E$6973,"Pozon",[3]InfCualitativo!$H$1:$H$6973,"pediatria")</f>
        <v>0</v>
      </c>
      <c r="AH34" s="27">
        <f>COUNTIFS([3]InfCualitativo!$B$1:$B$6973,"FALSO",[3]InfCualitativo!$E$1:$E$6973,"Pozon",[3]InfCualitativo!$H$1:$H$6973,"pediatria")</f>
        <v>0</v>
      </c>
      <c r="AI34" s="30">
        <f t="shared" si="16"/>
        <v>0</v>
      </c>
      <c r="AJ34" s="30">
        <f t="shared" si="17"/>
        <v>0</v>
      </c>
      <c r="AK34" s="27">
        <f>COUNTIFS([3]InfCualitativo!$B$1:$B$6973,"VERDADERO",[3]InfCualitativo!$E$1:$E$6973,"Pozon",[3]InfCualitativo!$H$1:$H$6973,"medicina_interna")</f>
        <v>0</v>
      </c>
      <c r="AL34" s="27">
        <f>COUNTIFS([3]InfCualitativo!$B$1:$B$6973,"FALSO",[3]InfCualitativo!$E$1:$E$6973,"Pozon",[3]InfCualitativo!$H$1:$H$6973,"medicina_interna")</f>
        <v>0</v>
      </c>
      <c r="AM34" s="30">
        <f t="shared" si="18"/>
        <v>0</v>
      </c>
      <c r="AN34" s="30">
        <f t="shared" si="19"/>
        <v>0</v>
      </c>
      <c r="AO34" s="27">
        <f>COUNTIFS([3]InfCualitativo!$B$1:$B$6973,"VERDADERO",[3]InfCualitativo!$E$1:$E$6973,"Pozon",[3]InfCualitativo!$H$1:$H$6973,"ginecologia")</f>
        <v>0</v>
      </c>
      <c r="AP34" s="27">
        <f>COUNTIFS([3]InfCualitativo!$B$1:$B$6973,"FALSO",[3]InfCualitativo!$E$1:$E$6973,"Pozon",[3]InfCualitativo!$H$1:$H$6973,"ginecologia")</f>
        <v>0</v>
      </c>
      <c r="AQ34" s="30">
        <f t="shared" si="20"/>
        <v>0</v>
      </c>
      <c r="AR34" s="30">
        <f t="shared" si="21"/>
        <v>0</v>
      </c>
      <c r="AS34" s="27">
        <f t="shared" si="22"/>
        <v>124</v>
      </c>
      <c r="AT34" s="27">
        <f t="shared" si="22"/>
        <v>0</v>
      </c>
      <c r="AU34" s="32">
        <f t="shared" si="23"/>
        <v>1</v>
      </c>
      <c r="AV34" s="32">
        <f t="shared" si="24"/>
        <v>0</v>
      </c>
    </row>
    <row r="35" spans="1:48" ht="18.75" x14ac:dyDescent="0.3">
      <c r="A35" s="26" t="s">
        <v>55</v>
      </c>
      <c r="B35" s="27">
        <v>112</v>
      </c>
      <c r="C35" s="27">
        <f t="shared" si="1"/>
        <v>112</v>
      </c>
      <c r="D35" s="28">
        <f t="shared" si="0"/>
        <v>100</v>
      </c>
      <c r="E35" s="29">
        <f>COUNTIFS([3]InfCualitativo!$B$1:$B$6973,"VERDADERO",[3]InfCualitativo!$E$1:$E$6973,"Puerto Rey",[3]InfCualitativo!$H$1:$H$6973,"consulta_externa")</f>
        <v>56</v>
      </c>
      <c r="F35" s="29">
        <f>COUNTIFS([3]InfCualitativo!$B$1:$B$6973,"FALSO",[3]InfCualitativo!$E$1:$E$6973,"Puerto Rey",[3]InfCualitativo!$H$1:$H$6973,"consulta_externa")</f>
        <v>0</v>
      </c>
      <c r="G35" s="30">
        <f t="shared" si="2"/>
        <v>1</v>
      </c>
      <c r="H35" s="30">
        <f t="shared" si="3"/>
        <v>0</v>
      </c>
      <c r="I35" s="27">
        <f>COUNTIFS([3]InfCualitativo!$B$1:$B$6973,"VERDADERO",[3]InfCualitativo!$E$1:$E$6973,"Puerto Rey",[3]InfCualitativo!$H$1:$H$6973,"salud_oral")</f>
        <v>29</v>
      </c>
      <c r="J35" s="27">
        <f>COUNTIFS([3]InfCualitativo!$B$1:$B$6973,"FALSO",[3]InfCualitativo!$E$1:$E$6973,"Puerto Rey",[3]InfCualitativo!$H$1:$H$6973,"salud_oral")</f>
        <v>0</v>
      </c>
      <c r="K35" s="30">
        <f t="shared" si="4"/>
        <v>1</v>
      </c>
      <c r="L35" s="30">
        <f t="shared" si="5"/>
        <v>0</v>
      </c>
      <c r="M35" s="27">
        <f>COUNTIFS([3]InfCualitativo!$B$1:$B$6973,"VERDADERO",[3]InfCualitativo!$E$1:$E$6973,"Puerto Rey",[3]InfCualitativo!$H$1:$H$6973,"laboratorio")</f>
        <v>27</v>
      </c>
      <c r="N35" s="27">
        <f>COUNTIFS([3]InfCualitativo!$B$1:$B$6973,"FALSO",[3]InfCualitativo!$E$1:$E$6973,"Puerto Rey",[3]InfCualitativo!$H$1:$H$6973,"laboratorio")</f>
        <v>0</v>
      </c>
      <c r="O35" s="30">
        <f t="shared" si="6"/>
        <v>1</v>
      </c>
      <c r="P35" s="31">
        <f t="shared" si="7"/>
        <v>0</v>
      </c>
      <c r="Q35" s="27">
        <f>COUNTIFS([3]InfCualitativo!$B$1:$B$6973,"VERDADERO",[3]InfCualitativo!$E$1:$E$6973,"Puerto Rey",[3]InfCualitativo!$H$1:$H$6973,"electros")</f>
        <v>0</v>
      </c>
      <c r="R35" s="27">
        <f>COUNTIFS([3]InfCualitativo!$B$1:$B$6973,"FALSO",[3]InfCualitativo!$E$1:$E$6973,"Puerto Rey",[3]InfCualitativo!$H$1:$H$6973,"electros")</f>
        <v>0</v>
      </c>
      <c r="S35" s="30">
        <f t="shared" si="8"/>
        <v>0</v>
      </c>
      <c r="T35" s="30">
        <f t="shared" si="9"/>
        <v>0</v>
      </c>
      <c r="U35" s="27">
        <f>COUNTIFS([3]InfCualitativo!$B$1:$B$6973,"VERDADERO",[3]InfCualitativo!$E$1:$E$6973,"Puerto Rey",[3]InfCualitativo!$H$1:$H$6973,"rx")</f>
        <v>0</v>
      </c>
      <c r="V35" s="27">
        <f>COUNTIFS([3]InfCualitativo!$B$1:$B$6973,"FALSO",[3]InfCualitativo!$E$1:$E$6973,"Puerto Rey",[3]InfCualitativo!$H$1:$H$6973,"rx")</f>
        <v>0</v>
      </c>
      <c r="W35" s="30">
        <f t="shared" si="10"/>
        <v>0</v>
      </c>
      <c r="X35" s="30">
        <f t="shared" si="11"/>
        <v>0</v>
      </c>
      <c r="Y35" s="27">
        <f>COUNTIFS([3]InfCualitativo!$B$1:$B$6973,"VERDADERO",[3]InfCualitativo!$E$1:$E$6973,"Puerto Rey",[3]InfCualitativo!$H$1:$H$6973,"ecografias")</f>
        <v>0</v>
      </c>
      <c r="Z35" s="27">
        <f>COUNTIFS([3]InfCualitativo!$B$1:$B$6973,"FALSO",[3]InfCualitativo!$E$1:$E$6973,"Puerto Rey",[3]InfCualitativo!$H$1:$H$6973,"ecografias")</f>
        <v>0</v>
      </c>
      <c r="AA35" s="30">
        <f t="shared" si="12"/>
        <v>0</v>
      </c>
      <c r="AB35" s="30">
        <f t="shared" si="13"/>
        <v>0</v>
      </c>
      <c r="AC35" s="27">
        <f>COUNTIFS([3]InfCualitativo!$B$1:$B$6973,"VERDADERO",[3]InfCualitativo!$E$1:$E$6973,"Puerto Rey",[3]InfCualitativo!$H$1:$H$6973,"urgencia")</f>
        <v>0</v>
      </c>
      <c r="AD35" s="27">
        <f>COUNTIFS([3]InfCualitativo!$B$1:$B$6973,"FALSO",[3]InfCualitativo!$E$1:$E$6973,"Puerto Rey",[3]InfCualitativo!$H$1:$H$6973,"urgencia")</f>
        <v>0</v>
      </c>
      <c r="AE35" s="30">
        <f t="shared" si="14"/>
        <v>0</v>
      </c>
      <c r="AF35" s="30">
        <f t="shared" si="15"/>
        <v>0</v>
      </c>
      <c r="AG35" s="27">
        <f>COUNTIFS([3]InfCualitativo!$B$1:$B$6973,"VERDADERO",[3]InfCualitativo!$E$1:$E$6973,"Puerto Rey",[3]InfCualitativo!$H$1:$H$6973,"pediatria")</f>
        <v>0</v>
      </c>
      <c r="AH35" s="27">
        <f>COUNTIFS([3]InfCualitativo!$B$1:$B$6973,"FALSO",[3]InfCualitativo!$E$1:$E$6973,"Puerto Rey",[3]InfCualitativo!$H$1:$H$6973,"pediatria")</f>
        <v>0</v>
      </c>
      <c r="AI35" s="30">
        <f t="shared" si="16"/>
        <v>0</v>
      </c>
      <c r="AJ35" s="30">
        <f t="shared" si="17"/>
        <v>0</v>
      </c>
      <c r="AK35" s="27">
        <f>COUNTIFS([3]InfCualitativo!$B$1:$B$6973,"VERDADERO",[3]InfCualitativo!$E$1:$E$6973,"Puerto Rey",[3]InfCualitativo!$H$1:$H$6973,"medicina_interna")</f>
        <v>0</v>
      </c>
      <c r="AL35" s="27">
        <f>COUNTIFS([3]InfCualitativo!$B$1:$B$6973,"FALSO",[3]InfCualitativo!$E$1:$E$6973,"Puerto Rey",[3]InfCualitativo!$H$1:$H$6973,"medicina_interna")</f>
        <v>0</v>
      </c>
      <c r="AM35" s="30">
        <f t="shared" si="18"/>
        <v>0</v>
      </c>
      <c r="AN35" s="30">
        <f t="shared" si="19"/>
        <v>0</v>
      </c>
      <c r="AO35" s="27">
        <f>COUNTIFS([3]InfCualitativo!$B$1:$B$6973,"VERDADERO",[3]InfCualitativo!$E$1:$E$6973,"Puerto Rey",[3]InfCualitativo!$H$1:$H$6973,"ginecologia")</f>
        <v>0</v>
      </c>
      <c r="AP35" s="27">
        <f>COUNTIFS([3]InfCualitativo!$B$1:$B$6973,"FALSO",[3]InfCualitativo!$E$1:$E$6973,"Puerto Rey",[3]InfCualitativo!$H$1:$H$6973,"ginecologia")</f>
        <v>0</v>
      </c>
      <c r="AQ35" s="30">
        <f t="shared" si="20"/>
        <v>0</v>
      </c>
      <c r="AR35" s="30">
        <f t="shared" si="21"/>
        <v>0</v>
      </c>
      <c r="AS35" s="27">
        <f t="shared" si="22"/>
        <v>112</v>
      </c>
      <c r="AT35" s="27">
        <f t="shared" si="22"/>
        <v>0</v>
      </c>
      <c r="AU35" s="32">
        <f t="shared" si="23"/>
        <v>1</v>
      </c>
      <c r="AV35" s="32">
        <f t="shared" si="24"/>
        <v>0</v>
      </c>
    </row>
    <row r="36" spans="1:48" ht="18.75" x14ac:dyDescent="0.3">
      <c r="A36" s="26" t="s">
        <v>56</v>
      </c>
      <c r="B36" s="27">
        <v>88</v>
      </c>
      <c r="C36" s="27">
        <f t="shared" si="1"/>
        <v>79</v>
      </c>
      <c r="D36" s="28">
        <f t="shared" si="0"/>
        <v>89.772727272727266</v>
      </c>
      <c r="E36" s="29">
        <f>COUNTIFS([3]InfCualitativo!$B$1:$B$6973,"VERDADERO",[3]InfCualitativo!$E$1:$E$6973,"Punta Arena",[3]InfCualitativo!$H$1:$H$6973,"consulta_externa")</f>
        <v>27</v>
      </c>
      <c r="F36" s="29">
        <f>COUNTIFS([3]InfCualitativo!$B$1:$B$6973,"FALSO",[3]InfCualitativo!$E$1:$E$6973,"Punta Arena",[3]InfCualitativo!$H$1:$H$6973,"consulta_externa")</f>
        <v>0</v>
      </c>
      <c r="G36" s="30">
        <f t="shared" si="2"/>
        <v>1</v>
      </c>
      <c r="H36" s="30">
        <f t="shared" si="3"/>
        <v>0</v>
      </c>
      <c r="I36" s="27">
        <f>COUNTIFS([3]InfCualitativo!$B$1:$B$6973,"VERDADERO",[3]InfCualitativo!$E$1:$E$6973,"Punta Arena",[3]InfCualitativo!$H$1:$H$6973,"salud_oral")</f>
        <v>23</v>
      </c>
      <c r="J36" s="27">
        <f>COUNTIFS([3]InfCualitativo!$B$1:$B$6973,"FALSO",[3]InfCualitativo!$E$1:$E$6973,"Punta Arena",[3]InfCualitativo!$H$1:$H$6973,"salud_oral")</f>
        <v>0</v>
      </c>
      <c r="K36" s="30">
        <f t="shared" si="4"/>
        <v>1</v>
      </c>
      <c r="L36" s="30">
        <f t="shared" si="5"/>
        <v>0</v>
      </c>
      <c r="M36" s="27">
        <f>COUNTIFS([3]InfCualitativo!$B$1:$B$6973,"VERDADERO",[3]InfCualitativo!$E$1:$E$6973,"Punta Arena",[3]InfCualitativo!$H$1:$H$6973,"laboratorio")</f>
        <v>29</v>
      </c>
      <c r="N36" s="27">
        <f>COUNTIFS([3]InfCualitativo!$B$1:$B$6973,"FALSO",[3]InfCualitativo!$E$1:$E$6973,"Punta Arena",[3]InfCualitativo!$H$1:$H$6973,"laboratorio")</f>
        <v>0</v>
      </c>
      <c r="O36" s="30">
        <f t="shared" si="6"/>
        <v>1</v>
      </c>
      <c r="P36" s="31">
        <f t="shared" si="7"/>
        <v>0</v>
      </c>
      <c r="Q36" s="27">
        <f>COUNTIFS([3]InfCualitativo!$B$1:$B$6973,"VERDADERO",[3]InfCualitativo!$E$1:$E$6973,"Punta Arena",[3]InfCualitativo!$H$1:$H$6973,"electros")</f>
        <v>0</v>
      </c>
      <c r="R36" s="27">
        <f>COUNTIFS([3]InfCualitativo!$B$1:$B$6973,"FALSO",[3]InfCualitativo!$E$1:$E$6973,"Punta Arena",[3]InfCualitativo!$H$1:$H$6973,"electros")</f>
        <v>0</v>
      </c>
      <c r="S36" s="30">
        <f t="shared" si="8"/>
        <v>0</v>
      </c>
      <c r="T36" s="30">
        <f t="shared" si="9"/>
        <v>0</v>
      </c>
      <c r="U36" s="27">
        <f>COUNTIFS([3]InfCualitativo!$B$1:$B$6973,"VERDADERO",[3]InfCualitativo!$E$1:$E$6973,"Punta Arena",[3]InfCualitativo!$H$1:$H$6973,"rx")</f>
        <v>0</v>
      </c>
      <c r="V36" s="27">
        <f>COUNTIFS([3]InfCualitativo!$B$1:$B$6973,"FALSO",[3]InfCualitativo!$E$1:$E$6973,"Punta Arena",[3]InfCualitativo!$H$1:$H$6973,"rx")</f>
        <v>0</v>
      </c>
      <c r="W36" s="30">
        <f t="shared" si="10"/>
        <v>0</v>
      </c>
      <c r="X36" s="30">
        <f t="shared" si="11"/>
        <v>0</v>
      </c>
      <c r="Y36" s="27">
        <f>COUNTIFS([3]InfCualitativo!$B$1:$B$6973,"VERDADERO",[3]InfCualitativo!$E$1:$E$6973,"Punta Arena",[3]InfCualitativo!$H$1:$H$6973,"ecografias")</f>
        <v>0</v>
      </c>
      <c r="Z36" s="27">
        <f>COUNTIFS([3]InfCualitativo!$B$1:$B$6973,"FALSO",[3]InfCualitativo!$E$1:$E$6973,"Punta Arena",[3]InfCualitativo!$H$1:$H$6973,"ecografias")</f>
        <v>0</v>
      </c>
      <c r="AA36" s="30">
        <f t="shared" si="12"/>
        <v>0</v>
      </c>
      <c r="AB36" s="30">
        <f t="shared" si="13"/>
        <v>0</v>
      </c>
      <c r="AC36" s="27">
        <f>COUNTIFS([3]InfCualitativo!$B$1:$B$6973,"VERDADERO",[3]InfCualitativo!$E$1:$E$6973,"Punta Arena",[3]InfCualitativo!$H$1:$H$6973,"urgencia")</f>
        <v>0</v>
      </c>
      <c r="AD36" s="27">
        <f>COUNTIFS([3]InfCualitativo!$B$1:$B$6973,"FALSO",[3]InfCualitativo!$E$1:$E$6973,"Punta Arena",[3]InfCualitativo!$H$1:$H$6973,"urgencia")</f>
        <v>0</v>
      </c>
      <c r="AE36" s="30">
        <f t="shared" si="14"/>
        <v>0</v>
      </c>
      <c r="AF36" s="30">
        <f t="shared" si="15"/>
        <v>0</v>
      </c>
      <c r="AG36" s="27">
        <f>COUNTIFS([3]InfCualitativo!$B$1:$B$6973,"VERDADERO",[3]InfCualitativo!$E$1:$E$6973,"Punta Arena",[3]InfCualitativo!$H$1:$H$6973,"pediatria")</f>
        <v>0</v>
      </c>
      <c r="AH36" s="27">
        <f>COUNTIFS([3]InfCualitativo!$B$1:$B$6973,"FALSO",[3]InfCualitativo!$E$1:$E$6973,"Punta Arena",[3]InfCualitativo!$H$1:$H$6973,"pediatria")</f>
        <v>0</v>
      </c>
      <c r="AI36" s="30">
        <f t="shared" si="16"/>
        <v>0</v>
      </c>
      <c r="AJ36" s="30">
        <f t="shared" si="17"/>
        <v>0</v>
      </c>
      <c r="AK36" s="27">
        <f>COUNTIFS([3]InfCualitativo!$B$1:$B$6973,"VERDADERO",[3]InfCualitativo!$E$1:$E$6973,"Punta Arena",[3]InfCualitativo!$H$1:$H$6973,"medicina_interna")</f>
        <v>0</v>
      </c>
      <c r="AL36" s="27">
        <f>COUNTIFS([3]InfCualitativo!$B$1:$B$6973,"FALSO",[3]InfCualitativo!$E$1:$E$6973,"Punta Arena",[3]InfCualitativo!$H$1:$H$6973,"medicina_interna")</f>
        <v>0</v>
      </c>
      <c r="AM36" s="30">
        <f t="shared" si="18"/>
        <v>0</v>
      </c>
      <c r="AN36" s="30">
        <f t="shared" si="19"/>
        <v>0</v>
      </c>
      <c r="AO36" s="27">
        <f>COUNTIFS([3]InfCualitativo!$B$1:$B$6973,"VERDADERO",[3]InfCualitativo!$E$1:$E$6973,"Punta Arena",[3]InfCualitativo!$H$1:$H$6973,"ginecologia")</f>
        <v>0</v>
      </c>
      <c r="AP36" s="27">
        <f>COUNTIFS([3]InfCualitativo!$B$1:$B$6973,"FALSO",[3]InfCualitativo!$E$1:$E$6973,"Punta Arena",[3]InfCualitativo!$H$1:$H$6973,"ginecologia")</f>
        <v>0</v>
      </c>
      <c r="AQ36" s="30">
        <f t="shared" si="20"/>
        <v>0</v>
      </c>
      <c r="AR36" s="30">
        <f t="shared" si="21"/>
        <v>0</v>
      </c>
      <c r="AS36" s="27">
        <f t="shared" si="22"/>
        <v>79</v>
      </c>
      <c r="AT36" s="27">
        <f t="shared" si="22"/>
        <v>0</v>
      </c>
      <c r="AU36" s="32">
        <f t="shared" si="23"/>
        <v>1</v>
      </c>
      <c r="AV36" s="32">
        <f t="shared" si="24"/>
        <v>0</v>
      </c>
    </row>
    <row r="37" spans="1:48" ht="18.75" x14ac:dyDescent="0.3">
      <c r="A37" s="26" t="s">
        <v>57</v>
      </c>
      <c r="B37" s="27">
        <v>114</v>
      </c>
      <c r="C37" s="27">
        <f t="shared" si="1"/>
        <v>114</v>
      </c>
      <c r="D37" s="28">
        <f t="shared" si="0"/>
        <v>100</v>
      </c>
      <c r="E37" s="29">
        <f>COUNTIFS([3]InfCualitativo!$B$1:$B$6973,"VERDADERO",[3]InfCualitativo!$E$1:$E$6973,"Punta Canoa",[3]InfCualitativo!$H$1:$H$6973,"consulta_externa")</f>
        <v>37</v>
      </c>
      <c r="F37" s="29">
        <f>COUNTIFS([3]InfCualitativo!$B$1:$B$6973,"FALSO",[3]InfCualitativo!$E$1:$E$6973,"Punta Canoa",[3]InfCualitativo!$H$1:$H$6973,"consulta_externa")</f>
        <v>1</v>
      </c>
      <c r="G37" s="30">
        <f t="shared" si="2"/>
        <v>0.97368421052631582</v>
      </c>
      <c r="H37" s="30">
        <f t="shared" si="3"/>
        <v>2.6315789473684209E-2</v>
      </c>
      <c r="I37" s="27">
        <f>COUNTIFS([3]InfCualitativo!$B$1:$B$6973,"VERDADERO",[3]InfCualitativo!$E$1:$E$6973,"Punta Canoa",[3]InfCualitativo!$H$1:$H$6973,"salud_oral")</f>
        <v>34</v>
      </c>
      <c r="J37" s="27">
        <f>COUNTIFS([3]InfCualitativo!$B$1:$B$6973,"FALSO",[3]InfCualitativo!$E$1:$E$6973,"Punta Canoa",[3]InfCualitativo!$H$1:$H$6973,"salud_oral")</f>
        <v>1</v>
      </c>
      <c r="K37" s="30">
        <f t="shared" si="4"/>
        <v>0.97142857142857142</v>
      </c>
      <c r="L37" s="30">
        <f t="shared" si="5"/>
        <v>2.8571428571428571E-2</v>
      </c>
      <c r="M37" s="27">
        <f>COUNTIFS([3]InfCualitativo!$B$1:$B$6973,"VERDADERO",[3]InfCualitativo!$E$1:$E$6973,"Punta Canoa",[3]InfCualitativo!$H$1:$H$6973,"laboratorio")</f>
        <v>35</v>
      </c>
      <c r="N37" s="27">
        <f>COUNTIFS([3]InfCualitativo!$B$1:$B$6973,"FALSO",[3]InfCualitativo!$E$1:$E$6973,"Punta Canoa",[3]InfCualitativo!$H$1:$H$6973,"laboratorio")</f>
        <v>6</v>
      </c>
      <c r="O37" s="30">
        <f t="shared" si="6"/>
        <v>0.85365853658536583</v>
      </c>
      <c r="P37" s="31">
        <f t="shared" si="7"/>
        <v>0.14634146341463414</v>
      </c>
      <c r="Q37" s="27">
        <f>COUNTIFS([3]InfCualitativo!$B$1:$B$6973,"VERDADERO",[3]InfCualitativo!$E$1:$E$6973,"Punta Canoa",[3]InfCualitativo!$H$1:$H$6973,"electros")</f>
        <v>0</v>
      </c>
      <c r="R37" s="27">
        <f>COUNTIFS([3]InfCualitativo!$B$1:$B$6973,"FALSO",[3]InfCualitativo!$E$1:$E$6973,"Punta Canoa",[3]InfCualitativo!$H$1:$H$6973,"electros")</f>
        <v>0</v>
      </c>
      <c r="S37" s="30">
        <f t="shared" si="8"/>
        <v>0</v>
      </c>
      <c r="T37" s="30">
        <f t="shared" si="9"/>
        <v>0</v>
      </c>
      <c r="U37" s="27">
        <f>COUNTIFS([3]InfCualitativo!$B$1:$B$6973,"VERDADERO",[3]InfCualitativo!$E$1:$E$6973,"Punta Canoa",[3]InfCualitativo!$H$1:$H$6973,"rx")</f>
        <v>0</v>
      </c>
      <c r="V37" s="27">
        <f>COUNTIFS([3]InfCualitativo!$B$1:$B$6973,"FALSO",[3]InfCualitativo!$E$1:$E$6973,"Punta Canoa",[3]InfCualitativo!$H$1:$H$6973,"rx")</f>
        <v>0</v>
      </c>
      <c r="W37" s="30">
        <f t="shared" si="10"/>
        <v>0</v>
      </c>
      <c r="X37" s="30">
        <f t="shared" si="11"/>
        <v>0</v>
      </c>
      <c r="Y37" s="27">
        <f>COUNTIFS([3]InfCualitativo!$B$1:$B$6973,"VERDADERO",[3]InfCualitativo!$E$1:$E$6973,"Punta Canoa",[3]InfCualitativo!$H$1:$H$6973,"ecografias")</f>
        <v>0</v>
      </c>
      <c r="Z37" s="27">
        <f>COUNTIFS([3]InfCualitativo!$B$1:$B$6973,"FALSO",[3]InfCualitativo!$E$1:$E$6973,"Punta Canoa",[3]InfCualitativo!$H$1:$H$6973,"ecografias")</f>
        <v>0</v>
      </c>
      <c r="AA37" s="30">
        <f t="shared" si="12"/>
        <v>0</v>
      </c>
      <c r="AB37" s="30">
        <f t="shared" si="13"/>
        <v>0</v>
      </c>
      <c r="AC37" s="27">
        <f>COUNTIFS([3]InfCualitativo!$B$1:$B$6973,"VERDADERO",[3]InfCualitativo!$E$1:$E$6973,"Punta Canoa",[3]InfCualitativo!$H$1:$H$6973,"urgencia")</f>
        <v>0</v>
      </c>
      <c r="AD37" s="27">
        <f>COUNTIFS([3]InfCualitativo!$B$1:$B$6973,"FALSO",[3]InfCualitativo!$E$1:$E$6973,"Punta Canoa",[3]InfCualitativo!$H$1:$H$6973,"urgencia")</f>
        <v>0</v>
      </c>
      <c r="AE37" s="30">
        <f t="shared" si="14"/>
        <v>0</v>
      </c>
      <c r="AF37" s="30">
        <f t="shared" si="15"/>
        <v>0</v>
      </c>
      <c r="AG37" s="27">
        <f>COUNTIFS([3]InfCualitativo!$B$1:$B$6973,"VERDADERO",[3]InfCualitativo!$E$1:$E$6973,"Punta Canoa",[3]InfCualitativo!$H$1:$H$6973,"pediatria")</f>
        <v>0</v>
      </c>
      <c r="AH37" s="27">
        <f>COUNTIFS([3]InfCualitativo!$B$1:$B$6973,"FALSO",[3]InfCualitativo!$E$1:$E$6973,"Punta Canoa",[3]InfCualitativo!$H$1:$H$6973,"pediatria")</f>
        <v>0</v>
      </c>
      <c r="AI37" s="30">
        <f t="shared" si="16"/>
        <v>0</v>
      </c>
      <c r="AJ37" s="30">
        <f t="shared" si="17"/>
        <v>0</v>
      </c>
      <c r="AK37" s="27">
        <f>COUNTIFS([3]InfCualitativo!$B$1:$B$6973,"VERDADERO",[3]InfCualitativo!$E$1:$E$6973,"Punta Canoa",[3]InfCualitativo!$H$1:$H$6973,"medicina_interna")</f>
        <v>0</v>
      </c>
      <c r="AL37" s="27">
        <f>COUNTIFS([3]InfCualitativo!$B$1:$B$6973,"FALSO",[3]InfCualitativo!$E$1:$E$6973,"Punta Canoa",[3]InfCualitativo!$H$1:$H$6973,"medicina_interna")</f>
        <v>0</v>
      </c>
      <c r="AM37" s="30">
        <f t="shared" si="18"/>
        <v>0</v>
      </c>
      <c r="AN37" s="30">
        <f t="shared" si="19"/>
        <v>0</v>
      </c>
      <c r="AO37" s="27">
        <f>COUNTIFS([3]InfCualitativo!$B$1:$B$6973,"VERDADERO",[3]InfCualitativo!$E$1:$E$6973,"Punta Canoa",[3]InfCualitativo!$H$1:$H$6973,"ginecologia")</f>
        <v>0</v>
      </c>
      <c r="AP37" s="27">
        <f>COUNTIFS([3]InfCualitativo!$B$1:$B$6973,"FALSO",[3]InfCualitativo!$E$1:$E$6973,"Punta Canoa",[3]InfCualitativo!$H$1:$H$6973,"ginecologia")</f>
        <v>0</v>
      </c>
      <c r="AQ37" s="30">
        <f t="shared" si="20"/>
        <v>0</v>
      </c>
      <c r="AR37" s="30">
        <f t="shared" si="21"/>
        <v>0</v>
      </c>
      <c r="AS37" s="27">
        <f t="shared" si="22"/>
        <v>106</v>
      </c>
      <c r="AT37" s="27">
        <f t="shared" si="22"/>
        <v>8</v>
      </c>
      <c r="AU37" s="32">
        <f t="shared" si="23"/>
        <v>0.92982456140350878</v>
      </c>
      <c r="AV37" s="32">
        <f t="shared" si="24"/>
        <v>7.0175438596491224E-2</v>
      </c>
    </row>
    <row r="38" spans="1:48" ht="18.75" x14ac:dyDescent="0.3">
      <c r="A38" s="26" t="s">
        <v>58</v>
      </c>
      <c r="B38" s="27">
        <v>140</v>
      </c>
      <c r="C38" s="27">
        <f t="shared" si="1"/>
        <v>138</v>
      </c>
      <c r="D38" s="28">
        <f t="shared" si="0"/>
        <v>98.571428571428569</v>
      </c>
      <c r="E38" s="29">
        <f>COUNTIFS([3]InfCualitativo!$B$1:$B$6973,"VERDADERO",[3]InfCualitativo!$E$1:$E$6973,"San Francisco I",[3]InfCualitativo!$H$1:$H$6973,"consulta_externa")</f>
        <v>48</v>
      </c>
      <c r="F38" s="29">
        <f>COUNTIFS([3]InfCualitativo!$B$1:$B$6973,"FALSO",[3]InfCualitativo!$E$1:$E$6973,"San Francisco I",[3]InfCualitativo!$H$1:$H$6973,"consulta_externa")</f>
        <v>0</v>
      </c>
      <c r="G38" s="30">
        <f t="shared" si="2"/>
        <v>1</v>
      </c>
      <c r="H38" s="30">
        <f t="shared" si="3"/>
        <v>0</v>
      </c>
      <c r="I38" s="27">
        <f>COUNTIFS([3]InfCualitativo!$B$1:$B$6973,"VERDADERO",[3]InfCualitativo!$E$1:$E$6973,"San Francisco I",[3]InfCualitativo!$H$1:$H$6973,"salud_oral")</f>
        <v>46</v>
      </c>
      <c r="J38" s="27">
        <f>COUNTIFS([3]InfCualitativo!$B$1:$B$6973,"FALSO",[3]InfCualitativo!$E$1:$E$6973,"San Francisco I",[3]InfCualitativo!$H$1:$H$6973,"salud_oral")</f>
        <v>0</v>
      </c>
      <c r="K38" s="30">
        <f t="shared" si="4"/>
        <v>1</v>
      </c>
      <c r="L38" s="30">
        <f t="shared" si="5"/>
        <v>0</v>
      </c>
      <c r="M38" s="27">
        <f>COUNTIFS([3]InfCualitativo!$B$1:$B$6973,"VERDADERO",[3]InfCualitativo!$E$1:$E$6973,"San Francisco I",[3]InfCualitativo!$H$1:$H$6973,"laboratorio")</f>
        <v>44</v>
      </c>
      <c r="N38" s="27">
        <f>COUNTIFS([3]InfCualitativo!$B$1:$B$6973,"FALSO",[3]InfCualitativo!$E$1:$E$6973,"San Francisco I",[3]InfCualitativo!$H$1:$H$6973,"laboratorio")</f>
        <v>0</v>
      </c>
      <c r="O38" s="30">
        <f t="shared" si="6"/>
        <v>1</v>
      </c>
      <c r="P38" s="31">
        <f t="shared" si="7"/>
        <v>0</v>
      </c>
      <c r="Q38" s="27">
        <f>COUNTIFS([3]InfCualitativo!$B$1:$B$6973,"VERDADERO",[3]InfCualitativo!$E$1:$E$6973,"San Francisco I",[3]InfCualitativo!$H$1:$H$6973,"electros")</f>
        <v>0</v>
      </c>
      <c r="R38" s="27">
        <f>COUNTIFS([3]InfCualitativo!$B$1:$B$6973,"FALSO",[3]InfCualitativo!$E$1:$E$6973,"San Francisco I",[3]InfCualitativo!$H$1:$H$6973,"electros")</f>
        <v>0</v>
      </c>
      <c r="S38" s="30">
        <f t="shared" si="8"/>
        <v>0</v>
      </c>
      <c r="T38" s="30">
        <f t="shared" si="9"/>
        <v>0</v>
      </c>
      <c r="U38" s="27">
        <f>COUNTIFS([3]InfCualitativo!$B$1:$B$6973,"VERDADERO",[3]InfCualitativo!$E$1:$E$6973,"San Francisco I",[3]InfCualitativo!$H$1:$H$6973,"rx")</f>
        <v>0</v>
      </c>
      <c r="V38" s="27">
        <f>COUNTIFS([3]InfCualitativo!$B$1:$B$6973,"FALSO",[3]InfCualitativo!$E$1:$E$6973,"San Francisco I",[3]InfCualitativo!$H$1:$H$6973,"rx")</f>
        <v>0</v>
      </c>
      <c r="W38" s="30">
        <f t="shared" si="10"/>
        <v>0</v>
      </c>
      <c r="X38" s="30">
        <f t="shared" si="11"/>
        <v>0</v>
      </c>
      <c r="Y38" s="27">
        <f>COUNTIFS([3]InfCualitativo!$B$1:$B$6973,"VERDADERO",[3]InfCualitativo!$E$1:$E$6973,"San Francisco I",[3]InfCualitativo!$H$1:$H$6973,"ecografias")</f>
        <v>0</v>
      </c>
      <c r="Z38" s="27">
        <f>COUNTIFS([3]InfCualitativo!$B$1:$B$6973,"FALSO",[3]InfCualitativo!$E$1:$E$6973,"San Francisco I",[3]InfCualitativo!$H$1:$H$6973,"ecografias")</f>
        <v>0</v>
      </c>
      <c r="AA38" s="30">
        <f t="shared" si="12"/>
        <v>0</v>
      </c>
      <c r="AB38" s="30">
        <f t="shared" si="13"/>
        <v>0</v>
      </c>
      <c r="AC38" s="27">
        <f>COUNTIFS([3]InfCualitativo!$B$1:$B$6973,"VERDADERO",[3]InfCualitativo!$E$1:$E$6973,"San Francisco I",[3]InfCualitativo!$H$1:$H$6973,"urgencia")</f>
        <v>0</v>
      </c>
      <c r="AD38" s="27">
        <f>COUNTIFS([3]InfCualitativo!$B$1:$B$6973,"FALSO",[3]InfCualitativo!$E$1:$E$6973,"San Francisco I",[3]InfCualitativo!$H$1:$H$6973,"urgencia")</f>
        <v>0</v>
      </c>
      <c r="AE38" s="30">
        <f t="shared" si="14"/>
        <v>0</v>
      </c>
      <c r="AF38" s="30">
        <f t="shared" si="15"/>
        <v>0</v>
      </c>
      <c r="AG38" s="27">
        <f>COUNTIFS([3]InfCualitativo!$B$1:$B$6973,"VERDADERO",[3]InfCualitativo!$E$1:$E$6973,"San Francisco I",[3]InfCualitativo!$H$1:$H$6973,"pediatria")</f>
        <v>0</v>
      </c>
      <c r="AH38" s="27">
        <f>COUNTIFS([3]InfCualitativo!$B$1:$B$6973,"FALSO",[3]InfCualitativo!$E$1:$E$6973,"San Francisco I",[3]InfCualitativo!$H$1:$H$6973,"pediatria")</f>
        <v>0</v>
      </c>
      <c r="AI38" s="30">
        <f t="shared" si="16"/>
        <v>0</v>
      </c>
      <c r="AJ38" s="30">
        <f t="shared" si="17"/>
        <v>0</v>
      </c>
      <c r="AK38" s="27">
        <f>COUNTIFS([3]InfCualitativo!$B$1:$B$6973,"VERDADERO",[3]InfCualitativo!$E$1:$E$6973,"San Francisco I",[3]InfCualitativo!$H$1:$H$6973,"medicina_interna")</f>
        <v>0</v>
      </c>
      <c r="AL38" s="27">
        <f>COUNTIFS([3]InfCualitativo!$B$1:$B$6973,"FALSO",[3]InfCualitativo!$E$1:$E$6973,"San Francisco I",[3]InfCualitativo!$H$1:$H$6973,"medicina_interna")</f>
        <v>0</v>
      </c>
      <c r="AM38" s="30">
        <f t="shared" si="18"/>
        <v>0</v>
      </c>
      <c r="AN38" s="30">
        <f t="shared" si="19"/>
        <v>0</v>
      </c>
      <c r="AO38" s="27">
        <f>COUNTIFS([3]InfCualitativo!$B$1:$B$6973,"VERDADERO",[3]InfCualitativo!$E$1:$E$6973,"San Francisco I",[3]InfCualitativo!$H$1:$H$6973,"ginecologia")</f>
        <v>0</v>
      </c>
      <c r="AP38" s="27">
        <f>COUNTIFS([3]InfCualitativo!$B$1:$B$6973,"FALSO",[3]InfCualitativo!$E$1:$E$6973,"San Francisco I",[3]InfCualitativo!$H$1:$H$6973,"ginecologia")</f>
        <v>0</v>
      </c>
      <c r="AQ38" s="30">
        <f t="shared" si="20"/>
        <v>0</v>
      </c>
      <c r="AR38" s="30">
        <f t="shared" si="21"/>
        <v>0</v>
      </c>
      <c r="AS38" s="27">
        <f t="shared" si="22"/>
        <v>138</v>
      </c>
      <c r="AT38" s="27">
        <f t="shared" si="22"/>
        <v>0</v>
      </c>
      <c r="AU38" s="32">
        <f t="shared" si="23"/>
        <v>1</v>
      </c>
      <c r="AV38" s="32">
        <f t="shared" si="24"/>
        <v>0</v>
      </c>
    </row>
    <row r="39" spans="1:48" ht="18.75" x14ac:dyDescent="0.3">
      <c r="A39" s="26" t="s">
        <v>59</v>
      </c>
      <c r="B39" s="27">
        <v>136</v>
      </c>
      <c r="C39" s="27">
        <f t="shared" si="1"/>
        <v>136</v>
      </c>
      <c r="D39" s="28">
        <f t="shared" si="0"/>
        <v>100</v>
      </c>
      <c r="E39" s="29">
        <f>COUNTIFS([3]InfCualitativo!$B$1:$B$6973,"VERDADERO",[3]InfCualitativo!$E$1:$E$6973,"San Pedro y Libertad",[3]InfCualitativo!$H$1:$H$6973,"consulta_externa")</f>
        <v>47</v>
      </c>
      <c r="F39" s="29">
        <f>COUNTIFS([3]InfCualitativo!$B$1:$B$6973,"FALSO",[3]InfCualitativo!$E$1:$E$6973,"San Pedro y Libertad",[3]InfCualitativo!$H$1:$H$6973,"consulta_externa")</f>
        <v>0</v>
      </c>
      <c r="G39" s="30">
        <f t="shared" si="2"/>
        <v>1</v>
      </c>
      <c r="H39" s="30">
        <f t="shared" si="3"/>
        <v>0</v>
      </c>
      <c r="I39" s="27">
        <f>COUNTIFS([3]InfCualitativo!$B$1:$B$6973,"VERDADERO",[3]InfCualitativo!$E$1:$E$6973,"San Pedro y Libertad",[3]InfCualitativo!$H$1:$H$6973,"salud_oral")</f>
        <v>46</v>
      </c>
      <c r="J39" s="27">
        <f>COUNTIFS([3]InfCualitativo!$B$1:$B$6973,"FALSO",[3]InfCualitativo!$E$1:$E$6973,"San Pedro y Libertad",[3]InfCualitativo!$H$1:$H$6973,"salud_oral")</f>
        <v>0</v>
      </c>
      <c r="K39" s="30">
        <f t="shared" si="4"/>
        <v>1</v>
      </c>
      <c r="L39" s="30">
        <f t="shared" si="5"/>
        <v>0</v>
      </c>
      <c r="M39" s="27">
        <f>COUNTIFS([3]InfCualitativo!$B$1:$B$6973,"VERDADERO",[3]InfCualitativo!$E$1:$E$6973,"San Pedro y Libertad",[3]InfCualitativo!$H$1:$H$6973,"laboratorio")</f>
        <v>43</v>
      </c>
      <c r="N39" s="27">
        <f>COUNTIFS([3]InfCualitativo!$B$1:$B$6973,"FALSO",[3]InfCualitativo!$E$1:$E$6973,"San Pedro y Libertad",[3]InfCualitativo!$H$1:$H$6973,"laboratorio")</f>
        <v>0</v>
      </c>
      <c r="O39" s="30">
        <f t="shared" si="6"/>
        <v>1</v>
      </c>
      <c r="P39" s="31">
        <f t="shared" si="7"/>
        <v>0</v>
      </c>
      <c r="Q39" s="27">
        <f>COUNTIFS([3]InfCualitativo!$B$1:$B$6973,"VERDADERO",[3]InfCualitativo!$E$1:$E$6973,"San Pedro y Libertad",[3]InfCualitativo!$H$1:$H$6973,"electros")</f>
        <v>0</v>
      </c>
      <c r="R39" s="27">
        <f>COUNTIFS([3]InfCualitativo!$B$1:$B$6973,"FALSO",[3]InfCualitativo!$E$1:$E$6973,"San Pedro y Libertad",[3]InfCualitativo!$H$1:$H$6973,"electros")</f>
        <v>0</v>
      </c>
      <c r="S39" s="30">
        <f t="shared" si="8"/>
        <v>0</v>
      </c>
      <c r="T39" s="30">
        <f t="shared" si="9"/>
        <v>0</v>
      </c>
      <c r="U39" s="27">
        <f>COUNTIFS([3]InfCualitativo!$B$1:$B$6973,"VERDADERO",[3]InfCualitativo!$E$1:$E$6973,"San Pedro y Libertad",[3]InfCualitativo!$H$1:$H$6973,"rx")</f>
        <v>0</v>
      </c>
      <c r="V39" s="27">
        <f>COUNTIFS([3]InfCualitativo!$B$1:$B$6973,"FALSO",[3]InfCualitativo!$E$1:$E$6973,"San Pedro y Libertad",[3]InfCualitativo!$H$1:$H$6973,"rx")</f>
        <v>0</v>
      </c>
      <c r="W39" s="30">
        <f t="shared" si="10"/>
        <v>0</v>
      </c>
      <c r="X39" s="30">
        <f t="shared" si="11"/>
        <v>0</v>
      </c>
      <c r="Y39" s="27">
        <f>COUNTIFS([3]InfCualitativo!$B$1:$B$6973,"VERDADERO",[3]InfCualitativo!$E$1:$E$6973,"San Pedro y Libertad",[3]InfCualitativo!$H$1:$H$6973,"ecografias")</f>
        <v>0</v>
      </c>
      <c r="Z39" s="27">
        <f>COUNTIFS([3]InfCualitativo!$B$1:$B$6973,"FALSO",[3]InfCualitativo!$E$1:$E$6973,"San Pedro y Libertad",[3]InfCualitativo!$H$1:$H$6973,"ecografias")</f>
        <v>0</v>
      </c>
      <c r="AA39" s="30">
        <f t="shared" si="12"/>
        <v>0</v>
      </c>
      <c r="AB39" s="30">
        <f t="shared" si="13"/>
        <v>0</v>
      </c>
      <c r="AC39" s="27">
        <f>COUNTIFS([3]InfCualitativo!$B$1:$B$6973,"VERDADERO",[3]InfCualitativo!$E$1:$E$6973,"San Pedro y Libertad",[3]InfCualitativo!$H$1:$H$6973,"urgencia")</f>
        <v>0</v>
      </c>
      <c r="AD39" s="27">
        <f>COUNTIFS([3]InfCualitativo!$B$1:$B$6973,"FALSO",[3]InfCualitativo!$E$1:$E$6973,"San Pedro y Libertad",[3]InfCualitativo!$H$1:$H$6973,"urgencia")</f>
        <v>0</v>
      </c>
      <c r="AE39" s="30">
        <f t="shared" si="14"/>
        <v>0</v>
      </c>
      <c r="AF39" s="30">
        <f t="shared" si="15"/>
        <v>0</v>
      </c>
      <c r="AG39" s="27">
        <f>COUNTIFS([3]InfCualitativo!$B$1:$B$6973,"VERDADERO",[3]InfCualitativo!$E$1:$E$6973,"San Pedro y Libertad",[3]InfCualitativo!$H$1:$H$6973,"pediatria")</f>
        <v>0</v>
      </c>
      <c r="AH39" s="27">
        <f>COUNTIFS([3]InfCualitativo!$B$1:$B$6973,"FALSO",[3]InfCualitativo!$E$1:$E$6973,"San Pedro y Libertad",[3]InfCualitativo!$H$1:$H$6973,"pediatria")</f>
        <v>0</v>
      </c>
      <c r="AI39" s="30">
        <f t="shared" si="16"/>
        <v>0</v>
      </c>
      <c r="AJ39" s="30">
        <f t="shared" si="17"/>
        <v>0</v>
      </c>
      <c r="AK39" s="27">
        <f>COUNTIFS([3]InfCualitativo!$B$1:$B$6973,"VERDADERO",[3]InfCualitativo!$E$1:$E$6973,"San Pedro y Libertad",[3]InfCualitativo!$H$1:$H$6973,"medicina_interna")</f>
        <v>0</v>
      </c>
      <c r="AL39" s="27">
        <f>COUNTIFS([3]InfCualitativo!$B$1:$B$6973,"FALSO",[3]InfCualitativo!$E$1:$E$6973,"San Pedro y Libertad",[3]InfCualitativo!$H$1:$H$6973,"medicina_interna")</f>
        <v>0</v>
      </c>
      <c r="AM39" s="30">
        <f t="shared" si="18"/>
        <v>0</v>
      </c>
      <c r="AN39" s="30">
        <f t="shared" si="19"/>
        <v>0</v>
      </c>
      <c r="AO39" s="27">
        <f>COUNTIFS([3]InfCualitativo!$B$1:$B$6973,"VERDADERO",[3]InfCualitativo!$E$1:$E$6973,"San Pedro y Libertad",[3]InfCualitativo!$H$1:$H$6973,"ginecologia")</f>
        <v>0</v>
      </c>
      <c r="AP39" s="27">
        <f>COUNTIFS([3]InfCualitativo!$B$1:$B$6973,"FALSO",[3]InfCualitativo!$E$1:$E$6973,"San Pedro y Libertad",[3]InfCualitativo!$H$1:$H$6973,"ginecologia")</f>
        <v>0</v>
      </c>
      <c r="AQ39" s="30">
        <f t="shared" si="20"/>
        <v>0</v>
      </c>
      <c r="AR39" s="30">
        <f t="shared" si="21"/>
        <v>0</v>
      </c>
      <c r="AS39" s="27">
        <f t="shared" si="22"/>
        <v>136</v>
      </c>
      <c r="AT39" s="27">
        <f t="shared" si="22"/>
        <v>0</v>
      </c>
      <c r="AU39" s="32">
        <f t="shared" si="23"/>
        <v>1</v>
      </c>
      <c r="AV39" s="32">
        <f t="shared" si="24"/>
        <v>0</v>
      </c>
    </row>
    <row r="40" spans="1:48" ht="18.75" x14ac:dyDescent="0.3">
      <c r="A40" s="26" t="s">
        <v>60</v>
      </c>
      <c r="B40" s="27">
        <v>136</v>
      </c>
      <c r="C40" s="27">
        <f t="shared" si="1"/>
        <v>136</v>
      </c>
      <c r="D40" s="28">
        <f t="shared" si="0"/>
        <v>100</v>
      </c>
      <c r="E40" s="29">
        <f>COUNTIFS([3]InfCualitativo!$B$1:$B$6973,"VERDADERO",[3]InfCualitativo!$E$1:$E$6973,"San Vicente de Paul",[3]InfCualitativo!$H$1:$H$6973,"consulta_externa")</f>
        <v>62</v>
      </c>
      <c r="F40" s="29">
        <f>COUNTIFS([3]InfCualitativo!$B$1:$B$6973,"FALSO",[3]InfCualitativo!$E$1:$E$6973,"San Vicente de Paul",[3]InfCualitativo!$H$1:$H$6973,"consulta_externa")</f>
        <v>0</v>
      </c>
      <c r="G40" s="30">
        <f t="shared" si="2"/>
        <v>1</v>
      </c>
      <c r="H40" s="30">
        <f t="shared" si="3"/>
        <v>0</v>
      </c>
      <c r="I40" s="27">
        <f>COUNTIFS([3]InfCualitativo!$B$1:$B$6973,"VERDADERO",[3]InfCualitativo!$E$1:$E$6973,"San Vicente de Paul",[3]InfCualitativo!$H$1:$H$6973,"salud_oral")</f>
        <v>16</v>
      </c>
      <c r="J40" s="27">
        <f>COUNTIFS([3]InfCualitativo!$B$1:$B$6973,"FALSO",[3]InfCualitativo!$E$1:$E$6973,"San Vicente de Paul",[3]InfCualitativo!$H$1:$H$6973,"salud_oral")</f>
        <v>0</v>
      </c>
      <c r="K40" s="30">
        <f t="shared" si="4"/>
        <v>1</v>
      </c>
      <c r="L40" s="30">
        <f t="shared" si="5"/>
        <v>0</v>
      </c>
      <c r="M40" s="27">
        <f>COUNTIFS([3]InfCualitativo!$B$1:$B$6973,"VERDADERO",[3]InfCualitativo!$E$1:$E$6973,"San Vicente de Paul",[3]InfCualitativo!$H$1:$H$6973,"laboratorio")</f>
        <v>58</v>
      </c>
      <c r="N40" s="27">
        <f>COUNTIFS([3]InfCualitativo!$B$1:$B$6973,"FALSO",[3]InfCualitativo!$E$1:$E$6973,"San Vicente de Paul",[3]InfCualitativo!$H$1:$H$6973,"laboratorio")</f>
        <v>0</v>
      </c>
      <c r="O40" s="30">
        <f t="shared" si="6"/>
        <v>1</v>
      </c>
      <c r="P40" s="31">
        <f t="shared" si="7"/>
        <v>0</v>
      </c>
      <c r="Q40" s="27">
        <f>COUNTIFS([3]InfCualitativo!$B$1:$B$6973,"VERDADERO",[3]InfCualitativo!$E$1:$E$6973,"San Vicente de Paul",[3]InfCualitativo!$H$1:$H$6973,"electros")</f>
        <v>0</v>
      </c>
      <c r="R40" s="27">
        <f>COUNTIFS([3]InfCualitativo!$B$1:$B$6973,"FALSO",[3]InfCualitativo!$E$1:$E$6973,"San Vicente de Paul",[3]InfCualitativo!$H$1:$H$6973,"electros")</f>
        <v>0</v>
      </c>
      <c r="S40" s="30">
        <f t="shared" si="8"/>
        <v>0</v>
      </c>
      <c r="T40" s="30">
        <f t="shared" si="9"/>
        <v>0</v>
      </c>
      <c r="U40" s="27">
        <f>COUNTIFS([3]InfCualitativo!$B$1:$B$6973,"VERDADERO",[3]InfCualitativo!$E$1:$E$6973,"San Vicente de Paul",[3]InfCualitativo!$H$1:$H$6973,"rx")</f>
        <v>0</v>
      </c>
      <c r="V40" s="27">
        <f>COUNTIFS([3]InfCualitativo!$B$1:$B$6973,"FALSO",[3]InfCualitativo!$E$1:$E$6973,"San Vicente de Paul",[3]InfCualitativo!$H$1:$H$6973,"rx")</f>
        <v>0</v>
      </c>
      <c r="W40" s="30">
        <f t="shared" si="10"/>
        <v>0</v>
      </c>
      <c r="X40" s="30">
        <f t="shared" si="11"/>
        <v>0</v>
      </c>
      <c r="Y40" s="27">
        <f>COUNTIFS([3]InfCualitativo!$B$1:$B$6973,"VERDADERO",[3]InfCualitativo!$E$1:$E$6973,"San Vicente de Paul",[3]InfCualitativo!$H$1:$H$6973,"ecografias")</f>
        <v>0</v>
      </c>
      <c r="Z40" s="27">
        <f>COUNTIFS([3]InfCualitativo!$B$1:$B$6973,"FALSO",[3]InfCualitativo!$E$1:$E$6973,"San Vicente de Paul",[3]InfCualitativo!$H$1:$H$6973,"ecografias")</f>
        <v>0</v>
      </c>
      <c r="AA40" s="30">
        <f t="shared" si="12"/>
        <v>0</v>
      </c>
      <c r="AB40" s="30">
        <f t="shared" si="13"/>
        <v>0</v>
      </c>
      <c r="AC40" s="27">
        <f>COUNTIFS([3]InfCualitativo!$B$1:$B$6973,"VERDADERO",[3]InfCualitativo!$E$1:$E$6973,"San Vicente de Paul",[3]InfCualitativo!$H$1:$H$6973,"urgencia")</f>
        <v>0</v>
      </c>
      <c r="AD40" s="27">
        <f>COUNTIFS([3]InfCualitativo!$B$1:$B$6973,"FALSO",[3]InfCualitativo!$E$1:$E$6973,"San Vicente de Paul",[3]InfCualitativo!$H$1:$H$6973,"urgencia")</f>
        <v>0</v>
      </c>
      <c r="AE40" s="30">
        <f t="shared" si="14"/>
        <v>0</v>
      </c>
      <c r="AF40" s="30">
        <f t="shared" si="15"/>
        <v>0</v>
      </c>
      <c r="AG40" s="27">
        <f>COUNTIFS([3]InfCualitativo!$B$1:$B$6973,"VERDADERO",[3]InfCualitativo!$E$1:$E$6973,"San Vicente de Paul",[3]InfCualitativo!$H$1:$H$6973,"pediatria")</f>
        <v>0</v>
      </c>
      <c r="AH40" s="27">
        <f>COUNTIFS([3]InfCualitativo!$B$1:$B$6973,"FALSO",[3]InfCualitativo!$E$1:$E$6973,"San Vicente de Paul",[3]InfCualitativo!$H$1:$H$6973,"pediatria")</f>
        <v>0</v>
      </c>
      <c r="AI40" s="30">
        <f t="shared" si="16"/>
        <v>0</v>
      </c>
      <c r="AJ40" s="30">
        <f t="shared" si="17"/>
        <v>0</v>
      </c>
      <c r="AK40" s="27">
        <f>COUNTIFS([3]InfCualitativo!$B$1:$B$6973,"VERDADERO",[3]InfCualitativo!$E$1:$E$6973,"San Vicente de Paul",[3]InfCualitativo!$H$1:$H$6973,"medicina_interna")</f>
        <v>0</v>
      </c>
      <c r="AL40" s="27">
        <f>COUNTIFS([3]InfCualitativo!$B$1:$B$6973,"FALSO",[3]InfCualitativo!$E$1:$E$6973,"San Vicente de Paul",[3]InfCualitativo!$H$1:$H$6973,"medicina_interna")</f>
        <v>0</v>
      </c>
      <c r="AM40" s="30">
        <f t="shared" si="18"/>
        <v>0</v>
      </c>
      <c r="AN40" s="30">
        <f t="shared" si="19"/>
        <v>0</v>
      </c>
      <c r="AO40" s="27">
        <f>COUNTIFS([3]InfCualitativo!$B$1:$B$6973,"VERDADERO",[3]InfCualitativo!$E$1:$E$6973,"San Vicente de Paul",[3]InfCualitativo!$H$1:$H$6973,"ginecologia")</f>
        <v>0</v>
      </c>
      <c r="AP40" s="27">
        <f>COUNTIFS([3]InfCualitativo!$B$1:$B$6973,"FALSO",[3]InfCualitativo!$E$1:$E$6973,"San Vicente de Paul",[3]InfCualitativo!$H$1:$H$6973,"ginecologia")</f>
        <v>0</v>
      </c>
      <c r="AQ40" s="30">
        <f t="shared" si="20"/>
        <v>0</v>
      </c>
      <c r="AR40" s="30">
        <f t="shared" si="21"/>
        <v>0</v>
      </c>
      <c r="AS40" s="27">
        <f t="shared" si="22"/>
        <v>136</v>
      </c>
      <c r="AT40" s="27">
        <f t="shared" si="22"/>
        <v>0</v>
      </c>
      <c r="AU40" s="32">
        <f t="shared" si="23"/>
        <v>1</v>
      </c>
      <c r="AV40" s="32">
        <f t="shared" si="24"/>
        <v>0</v>
      </c>
    </row>
    <row r="41" spans="1:48" ht="18.75" x14ac:dyDescent="0.3">
      <c r="A41" s="26" t="s">
        <v>61</v>
      </c>
      <c r="B41" s="27">
        <v>168</v>
      </c>
      <c r="C41" s="27">
        <f t="shared" si="1"/>
        <v>165</v>
      </c>
      <c r="D41" s="28">
        <f t="shared" si="0"/>
        <v>98.214285714285708</v>
      </c>
      <c r="E41" s="29">
        <f>COUNTIFS([3]InfCualitativo!$B$1:$B$6973,"VERDADERO",[3]InfCualitativo!$E$1:$E$6973,"Socorro",[3]InfCualitativo!$H$1:$H$6973,"consulta_externa")</f>
        <v>38</v>
      </c>
      <c r="F41" s="29">
        <f>COUNTIFS([3]InfCualitativo!$B$1:$B$6973,"FALSO",[3]InfCualitativo!$E$1:$E$6973,"Socorro",[3]InfCualitativo!$H$1:$H$6973,"consulta_externa")</f>
        <v>9</v>
      </c>
      <c r="G41" s="30">
        <f t="shared" si="2"/>
        <v>0.80851063829787229</v>
      </c>
      <c r="H41" s="30">
        <f t="shared" si="3"/>
        <v>0.19148936170212766</v>
      </c>
      <c r="I41" s="27">
        <f>COUNTIFS([3]InfCualitativo!$B$1:$B$6973,"VERDADERO",[3]InfCualitativo!$E$1:$E$6973,"Socorro",[3]InfCualitativo!$H$1:$H$6973,"salud_oral")</f>
        <v>41</v>
      </c>
      <c r="J41" s="27">
        <f>COUNTIFS([3]InfCualitativo!$B$1:$B$6973,"FALSO",[3]InfCualitativo!$E$1:$E$6973,"Socorro",[3]InfCualitativo!$H$1:$H$6973,"salud_oral")</f>
        <v>5</v>
      </c>
      <c r="K41" s="30">
        <f t="shared" si="4"/>
        <v>0.89130434782608692</v>
      </c>
      <c r="L41" s="30">
        <f t="shared" si="5"/>
        <v>0.10869565217391304</v>
      </c>
      <c r="M41" s="27">
        <f>COUNTIFS([3]InfCualitativo!$B$1:$B$6973,"VERDADERO",[3]InfCualitativo!$E$1:$E$6973,"Socorro",[3]InfCualitativo!$H$1:$H$6973,"laboratorio")</f>
        <v>42</v>
      </c>
      <c r="N41" s="27">
        <f>COUNTIFS([3]InfCualitativo!$B$1:$B$6973,"FALSO",[3]InfCualitativo!$E$1:$E$6973,"Socorro",[3]InfCualitativo!$H$1:$H$6973,"laboratorio")</f>
        <v>7</v>
      </c>
      <c r="O41" s="30">
        <f t="shared" si="6"/>
        <v>0.8571428571428571</v>
      </c>
      <c r="P41" s="31">
        <f t="shared" si="7"/>
        <v>0.14285714285714285</v>
      </c>
      <c r="Q41" s="27">
        <f>COUNTIFS([3]InfCualitativo!$B$1:$B$6973,"VERDADERO",[3]InfCualitativo!$E$1:$E$6973,"Socorro",[3]InfCualitativo!$H$1:$H$6973,"electros")</f>
        <v>0</v>
      </c>
      <c r="R41" s="27">
        <f>COUNTIFS([3]InfCualitativo!$B$1:$B$6973,"FALSO",[3]InfCualitativo!$E$1:$E$6973,"Socorro",[3]InfCualitativo!$H$1:$H$6973,"electros")</f>
        <v>0</v>
      </c>
      <c r="S41" s="30">
        <f t="shared" si="8"/>
        <v>0</v>
      </c>
      <c r="T41" s="30">
        <f t="shared" si="9"/>
        <v>0</v>
      </c>
      <c r="U41" s="27">
        <f>COUNTIFS([3]InfCualitativo!$B$1:$B$6973,"VERDADERO",[3]InfCualitativo!$E$1:$E$6973,"Socorro",[3]InfCualitativo!$H$1:$H$6973,"rx")</f>
        <v>0</v>
      </c>
      <c r="V41" s="27">
        <f>COUNTIFS([3]InfCualitativo!$B$1:$B$6973,"FALSO",[3]InfCualitativo!$E$1:$E$6973,"Socorro",[3]InfCualitativo!$H$1:$H$6973,"rx")</f>
        <v>0</v>
      </c>
      <c r="W41" s="30">
        <f t="shared" si="10"/>
        <v>0</v>
      </c>
      <c r="X41" s="30">
        <f t="shared" si="11"/>
        <v>0</v>
      </c>
      <c r="Y41" s="27">
        <f>COUNTIFS([3]InfCualitativo!$B$1:$B$6973,"VERDADERO",[3]InfCualitativo!$E$1:$E$6973,"Socorro",[3]InfCualitativo!$H$1:$H$6973,"ecografias")</f>
        <v>22</v>
      </c>
      <c r="Z41" s="27">
        <f>COUNTIFS([3]InfCualitativo!$B$1:$B$6973,"FALSO",[3]InfCualitativo!$E$1:$E$6973,"Socorro",[3]InfCualitativo!$H$1:$H$6973,"ecografias")</f>
        <v>1</v>
      </c>
      <c r="AA41" s="30">
        <f t="shared" si="12"/>
        <v>0.95652173913043481</v>
      </c>
      <c r="AB41" s="30">
        <f t="shared" si="13"/>
        <v>4.3478260869565216E-2</v>
      </c>
      <c r="AC41" s="27">
        <f>COUNTIFS([3]InfCualitativo!$B$1:$B$6973,"VERDADERO",[3]InfCualitativo!$E$1:$E$6973,"Socorro",[3]InfCualitativo!$H$1:$H$6973,"urgencia")</f>
        <v>0</v>
      </c>
      <c r="AD41" s="27">
        <f>COUNTIFS([3]InfCualitativo!$B$1:$B$6973,"FALSO",[3]InfCualitativo!$E$1:$E$6973,"Socorro",[3]InfCualitativo!$H$1:$H$6973,"urgencia")</f>
        <v>0</v>
      </c>
      <c r="AE41" s="30">
        <f t="shared" si="14"/>
        <v>0</v>
      </c>
      <c r="AF41" s="30">
        <f t="shared" si="15"/>
        <v>0</v>
      </c>
      <c r="AG41" s="27">
        <f>COUNTIFS([3]InfCualitativo!$B$1:$B$6973,"VERDADERO",[3]InfCualitativo!$E$1:$E$6973,"Socorro",[3]InfCualitativo!$H$1:$H$6973,"pediatria")</f>
        <v>0</v>
      </c>
      <c r="AH41" s="27">
        <f>COUNTIFS([3]InfCualitativo!$B$1:$B$6973,"FALSO",[3]InfCualitativo!$E$1:$E$6973,"Socorro",[3]InfCualitativo!$H$1:$H$6973,"pediatria")</f>
        <v>0</v>
      </c>
      <c r="AI41" s="30">
        <f t="shared" si="16"/>
        <v>0</v>
      </c>
      <c r="AJ41" s="30">
        <f t="shared" si="17"/>
        <v>0</v>
      </c>
      <c r="AK41" s="27">
        <f>COUNTIFS([3]InfCualitativo!$B$1:$B$6973,"VERDADERO",[3]InfCualitativo!$E$1:$E$6973,"Socorro",[3]InfCualitativo!$H$1:$H$6973,"medicina_interna")</f>
        <v>0</v>
      </c>
      <c r="AL41" s="27">
        <f>COUNTIFS([3]InfCualitativo!$B$1:$B$6973,"FALSO",[3]InfCualitativo!$E$1:$E$6973,"Socorro",[3]InfCualitativo!$H$1:$H$6973,"medicina_interna")</f>
        <v>0</v>
      </c>
      <c r="AM41" s="30">
        <f t="shared" si="18"/>
        <v>0</v>
      </c>
      <c r="AN41" s="30">
        <f t="shared" si="19"/>
        <v>0</v>
      </c>
      <c r="AO41" s="27">
        <f>COUNTIFS([3]InfCualitativo!$B$1:$B$6973,"VERDADERO",[3]InfCualitativo!$E$1:$E$6973,"Socorro",[3]InfCualitativo!$H$1:$H$6973,"ginecologia")</f>
        <v>0</v>
      </c>
      <c r="AP41" s="27">
        <f>COUNTIFS([3]InfCualitativo!$B$1:$B$6973,"FALSO",[3]InfCualitativo!$E$1:$E$6973,"Socorro",[3]InfCualitativo!$H$1:$H$6973,"ginecologia")</f>
        <v>0</v>
      </c>
      <c r="AQ41" s="30">
        <f t="shared" si="20"/>
        <v>0</v>
      </c>
      <c r="AR41" s="30">
        <f t="shared" si="21"/>
        <v>0</v>
      </c>
      <c r="AS41" s="27">
        <f t="shared" si="22"/>
        <v>143</v>
      </c>
      <c r="AT41" s="27">
        <f t="shared" si="22"/>
        <v>22</v>
      </c>
      <c r="AU41" s="32">
        <f t="shared" si="23"/>
        <v>0.8666666666666667</v>
      </c>
      <c r="AV41" s="32">
        <f t="shared" si="24"/>
        <v>0.13333333333333333</v>
      </c>
    </row>
    <row r="42" spans="1:48" ht="18.75" x14ac:dyDescent="0.3">
      <c r="A42" s="26" t="s">
        <v>62</v>
      </c>
      <c r="B42" s="27">
        <v>144</v>
      </c>
      <c r="C42" s="27">
        <f t="shared" si="1"/>
        <v>135</v>
      </c>
      <c r="D42" s="28">
        <f t="shared" si="0"/>
        <v>93.75</v>
      </c>
      <c r="E42" s="29">
        <f>COUNTIFS([3]InfCualitativo!$B$1:$B$6973,"VERDADERO",[3]InfCualitativo!$E$1:$E$6973,"Ternera",[3]InfCualitativo!$H$1:$H$6973,"consulta_externa")</f>
        <v>42</v>
      </c>
      <c r="F42" s="29">
        <f>COUNTIFS([3]InfCualitativo!$B$1:$B$6973,"FALSO",[3]InfCualitativo!$E$1:$E$6973,"Ternera",[3]InfCualitativo!$H$1:$H$6973,"consulta_externa")</f>
        <v>4</v>
      </c>
      <c r="G42" s="30">
        <f t="shared" si="2"/>
        <v>0.91304347826086951</v>
      </c>
      <c r="H42" s="30">
        <f t="shared" si="3"/>
        <v>8.6956521739130432E-2</v>
      </c>
      <c r="I42" s="27">
        <f>COUNTIFS([3]InfCualitativo!$B$1:$B$6973,"VERDADERO",[3]InfCualitativo!$E$1:$E$6973,"Ternera",[3]InfCualitativo!$H$1:$H$6973,"salud_oral")</f>
        <v>41</v>
      </c>
      <c r="J42" s="27">
        <f>COUNTIFS([3]InfCualitativo!$B$1:$B$6973,"FALSO",[3]InfCualitativo!$E$1:$E$6973,"Ternera",[3]InfCualitativo!$H$1:$H$6973,"salud_oral")</f>
        <v>3</v>
      </c>
      <c r="K42" s="30">
        <f t="shared" si="4"/>
        <v>0.93181818181818177</v>
      </c>
      <c r="L42" s="30">
        <f t="shared" si="5"/>
        <v>6.8181818181818177E-2</v>
      </c>
      <c r="M42" s="27">
        <f>COUNTIFS([3]InfCualitativo!$B$1:$B$6973,"VERDADERO",[3]InfCualitativo!$E$1:$E$6973,"Ternera",[3]InfCualitativo!$H$1:$H$6973,"laboratorio")</f>
        <v>38</v>
      </c>
      <c r="N42" s="27">
        <f>COUNTIFS([3]InfCualitativo!$B$1:$B$6973,"FALSO",[3]InfCualitativo!$E$1:$E$6973,"Ternera",[3]InfCualitativo!$H$1:$H$6973,"laboratorio")</f>
        <v>7</v>
      </c>
      <c r="O42" s="30">
        <f t="shared" si="6"/>
        <v>0.84444444444444444</v>
      </c>
      <c r="P42" s="31">
        <f t="shared" si="7"/>
        <v>0.15555555555555556</v>
      </c>
      <c r="Q42" s="27">
        <f>COUNTIFS([3]InfCualitativo!$B$1:$B$6973,"VERDADERO",[3]InfCualitativo!$E$1:$E$6973,"Ternera",[3]InfCualitativo!$H$1:$H$6973,"electros")</f>
        <v>0</v>
      </c>
      <c r="R42" s="27">
        <f>COUNTIFS([3]InfCualitativo!$B$1:$B$6973,"FALSO",[3]InfCualitativo!$E$1:$E$6973,"Ternera",[3]InfCualitativo!$H$1:$H$6973,"electros")</f>
        <v>0</v>
      </c>
      <c r="S42" s="30">
        <f t="shared" si="8"/>
        <v>0</v>
      </c>
      <c r="T42" s="30">
        <f t="shared" si="9"/>
        <v>0</v>
      </c>
      <c r="U42" s="27">
        <f>COUNTIFS([3]InfCualitativo!$B$1:$B$6973,"VERDADERO",[3]InfCualitativo!$E$1:$E$6973,"Ternera",[3]InfCualitativo!$H$1:$H$6973,"rx")</f>
        <v>0</v>
      </c>
      <c r="V42" s="27">
        <f>COUNTIFS([3]InfCualitativo!$B$1:$B$6973,"FALSO",[3]InfCualitativo!$E$1:$E$6973,"Ternera",[3]InfCualitativo!$H$1:$H$6973,"rx")</f>
        <v>0</v>
      </c>
      <c r="W42" s="30">
        <f t="shared" si="10"/>
        <v>0</v>
      </c>
      <c r="X42" s="30">
        <f t="shared" si="11"/>
        <v>0</v>
      </c>
      <c r="Y42" s="27">
        <f>COUNTIFS([3]InfCualitativo!$B$1:$B$6973,"VERDADERO",[3]InfCualitativo!$E$1:$E$6973,"Ternera",[3]InfCualitativo!$H$1:$H$6973,"ecografias")</f>
        <v>0</v>
      </c>
      <c r="Z42" s="27">
        <f>COUNTIFS([3]InfCualitativo!$B$1:$B$6973,"FALSO",[3]InfCualitativo!$E$1:$E$6973,"Ternera",[3]InfCualitativo!$H$1:$H$6973,"ecografias")</f>
        <v>0</v>
      </c>
      <c r="AA42" s="30">
        <f t="shared" si="12"/>
        <v>0</v>
      </c>
      <c r="AB42" s="30">
        <f t="shared" si="13"/>
        <v>0</v>
      </c>
      <c r="AC42" s="27">
        <f>COUNTIFS([3]InfCualitativo!$B$1:$B$6973,"VERDADERO",[3]InfCualitativo!$E$1:$E$6973,"Ternera",[3]InfCualitativo!$H$1:$H$6973,"urgencia")</f>
        <v>0</v>
      </c>
      <c r="AD42" s="27">
        <f>COUNTIFS([3]InfCualitativo!$B$1:$B$6973,"FALSO",[3]InfCualitativo!$E$1:$E$6973,"Ternera",[3]InfCualitativo!$H$1:$H$6973,"urgencia")</f>
        <v>0</v>
      </c>
      <c r="AE42" s="30">
        <f t="shared" si="14"/>
        <v>0</v>
      </c>
      <c r="AF42" s="30">
        <f t="shared" si="15"/>
        <v>0</v>
      </c>
      <c r="AG42" s="27">
        <f>COUNTIFS([3]InfCualitativo!$B$1:$B$6973,"VERDADERO",[3]InfCualitativo!$E$1:$E$6973,"Ternera",[3]InfCualitativo!$H$1:$H$6973,"pediatria")</f>
        <v>0</v>
      </c>
      <c r="AH42" s="27">
        <f>COUNTIFS([3]InfCualitativo!$B$1:$B$6973,"FALSO",[3]InfCualitativo!$E$1:$E$6973,"Ternera",[3]InfCualitativo!$H$1:$H$6973,"pediatria")</f>
        <v>0</v>
      </c>
      <c r="AI42" s="30">
        <f t="shared" si="16"/>
        <v>0</v>
      </c>
      <c r="AJ42" s="30">
        <f t="shared" si="17"/>
        <v>0</v>
      </c>
      <c r="AK42" s="27">
        <f>COUNTIFS([3]InfCualitativo!$B$1:$B$6973,"VERDADERO",[3]InfCualitativo!$E$1:$E$6973,"Ternera",[3]InfCualitativo!$H$1:$H$6973,"medicina_interna")</f>
        <v>0</v>
      </c>
      <c r="AL42" s="27">
        <f>COUNTIFS([3]InfCualitativo!$B$1:$B$6973,"FALSO",[3]InfCualitativo!$E$1:$E$6973,"Ternera",[3]InfCualitativo!$H$1:$H$6973,"medicina_interna")</f>
        <v>0</v>
      </c>
      <c r="AM42" s="30">
        <f t="shared" si="18"/>
        <v>0</v>
      </c>
      <c r="AN42" s="30">
        <f t="shared" si="19"/>
        <v>0</v>
      </c>
      <c r="AO42" s="27">
        <f>COUNTIFS([3]InfCualitativo!$B$1:$B$6973,"VERDADERO",[3]InfCualitativo!$E$1:$E$6973,"Ternera",[3]InfCualitativo!$H$1:$H$6973,"ginecologia")</f>
        <v>0</v>
      </c>
      <c r="AP42" s="27">
        <f>COUNTIFS([3]InfCualitativo!$B$1:$B$6973,"FALSO",[3]InfCualitativo!$E$1:$E$6973,"Ternera",[3]InfCualitativo!$H$1:$H$6973,"ginecologia")</f>
        <v>0</v>
      </c>
      <c r="AQ42" s="30">
        <f t="shared" si="20"/>
        <v>0</v>
      </c>
      <c r="AR42" s="30">
        <f t="shared" si="21"/>
        <v>0</v>
      </c>
      <c r="AS42" s="27">
        <f t="shared" si="22"/>
        <v>121</v>
      </c>
      <c r="AT42" s="27">
        <f t="shared" si="22"/>
        <v>14</v>
      </c>
      <c r="AU42" s="32">
        <f t="shared" si="23"/>
        <v>0.89629629629629626</v>
      </c>
      <c r="AV42" s="32">
        <f t="shared" si="24"/>
        <v>0.1037037037037037</v>
      </c>
    </row>
    <row r="43" spans="1:48" ht="18.75" x14ac:dyDescent="0.3">
      <c r="A43" s="26" t="s">
        <v>63</v>
      </c>
      <c r="B43" s="27">
        <v>120</v>
      </c>
      <c r="C43" s="27">
        <f t="shared" si="1"/>
        <v>120</v>
      </c>
      <c r="D43" s="28">
        <f t="shared" si="0"/>
        <v>100</v>
      </c>
      <c r="E43" s="29">
        <f>COUNTIFS([3]InfCualitativo!$B$1:$B$6973,"VERDADERO",[3]InfCualitativo!$E$1:$E$6973,"Tierra Baja",[3]InfCualitativo!$H$1:$H$6973,"consulta_externa")</f>
        <v>38</v>
      </c>
      <c r="F43" s="29">
        <f>COUNTIFS([3]InfCualitativo!$B$1:$B$6973,"FALSO",[3]InfCualitativo!$E$1:$E$6973,"Tierra Baja",[3]InfCualitativo!$H$1:$H$6973,"consulta_externa")</f>
        <v>0</v>
      </c>
      <c r="G43" s="30">
        <f t="shared" si="2"/>
        <v>1</v>
      </c>
      <c r="H43" s="30">
        <f t="shared" si="3"/>
        <v>0</v>
      </c>
      <c r="I43" s="27">
        <f>COUNTIFS([3]InfCualitativo!$B$1:$B$6973,"VERDADERO",[3]InfCualitativo!$E$1:$E$6973,"Tierra Baja",[3]InfCualitativo!$H$1:$H$6973,"salud_oral")</f>
        <v>41</v>
      </c>
      <c r="J43" s="27">
        <f>COUNTIFS([3]InfCualitativo!$B$1:$B$6973,"FALSO",[3]InfCualitativo!$E$1:$E$6973,"Tierra Baja",[3]InfCualitativo!$H$1:$H$6973,"salud_oral")</f>
        <v>0</v>
      </c>
      <c r="K43" s="30">
        <f t="shared" si="4"/>
        <v>1</v>
      </c>
      <c r="L43" s="30">
        <f t="shared" si="5"/>
        <v>0</v>
      </c>
      <c r="M43" s="27">
        <f>COUNTIFS([3]InfCualitativo!$B$1:$B$6973,"VERDADERO",[3]InfCualitativo!$E$1:$E$6973,"Tierra Baja",[3]InfCualitativo!$H$1:$H$6973,"laboratorio")</f>
        <v>41</v>
      </c>
      <c r="N43" s="27">
        <f>COUNTIFS([3]InfCualitativo!$B$1:$B$6973,"FALSO",[3]InfCualitativo!$E$1:$E$6973,"Tierra Baja",[3]InfCualitativo!$H$1:$H$6973,"laboratorio")</f>
        <v>0</v>
      </c>
      <c r="O43" s="30">
        <f t="shared" si="6"/>
        <v>1</v>
      </c>
      <c r="P43" s="31">
        <f t="shared" si="7"/>
        <v>0</v>
      </c>
      <c r="Q43" s="27">
        <f>COUNTIFS([3]InfCualitativo!$B$1:$B$6973,"VERDADERO",[3]InfCualitativo!$E$1:$E$6973,"Tierra Baja",[3]InfCualitativo!$H$1:$H$6973,"electros")</f>
        <v>0</v>
      </c>
      <c r="R43" s="27">
        <f>COUNTIFS([3]InfCualitativo!$B$1:$B$6973,"FALSO",[3]InfCualitativo!$E$1:$E$6973,"Tierra Baja",[3]InfCualitativo!$H$1:$H$6973,"electros")</f>
        <v>0</v>
      </c>
      <c r="S43" s="30">
        <f t="shared" si="8"/>
        <v>0</v>
      </c>
      <c r="T43" s="30">
        <f t="shared" si="9"/>
        <v>0</v>
      </c>
      <c r="U43" s="27">
        <f>COUNTIFS([3]InfCualitativo!$B$1:$B$6973,"VERDADERO",[3]InfCualitativo!$E$1:$E$6973,"Tierra Baja",[3]InfCualitativo!$H$1:$H$6973,"rx")</f>
        <v>0</v>
      </c>
      <c r="V43" s="27">
        <f>COUNTIFS([3]InfCualitativo!$B$1:$B$6973,"FALSO",[3]InfCualitativo!$E$1:$E$6973,"Tierra Baja",[3]InfCualitativo!$H$1:$H$6973,"rx")</f>
        <v>0</v>
      </c>
      <c r="W43" s="30">
        <f t="shared" si="10"/>
        <v>0</v>
      </c>
      <c r="X43" s="30">
        <f t="shared" si="11"/>
        <v>0</v>
      </c>
      <c r="Y43" s="27">
        <f>COUNTIFS([3]InfCualitativo!$B$1:$B$6973,"VERDADERO",[3]InfCualitativo!$E$1:$E$6973,"Tierra Baja",[3]InfCualitativo!$H$1:$H$6973,"ecografias")</f>
        <v>0</v>
      </c>
      <c r="Z43" s="27">
        <f>COUNTIFS([3]InfCualitativo!$B$1:$B$6973,"FALSO",[3]InfCualitativo!$E$1:$E$6973,"Tierra Baja",[3]InfCualitativo!$H$1:$H$6973,"ecografias")</f>
        <v>0</v>
      </c>
      <c r="AA43" s="30">
        <f t="shared" si="12"/>
        <v>0</v>
      </c>
      <c r="AB43" s="30">
        <f t="shared" si="13"/>
        <v>0</v>
      </c>
      <c r="AC43" s="27">
        <f>COUNTIFS([3]InfCualitativo!$B$1:$B$6973,"VERDADERO",[3]InfCualitativo!$E$1:$E$6973,"Tierra Baja",[3]InfCualitativo!$H$1:$H$6973,"urgencia")</f>
        <v>0</v>
      </c>
      <c r="AD43" s="27">
        <f>COUNTIFS([3]InfCualitativo!$B$1:$B$6973,"FALSO",[3]InfCualitativo!$E$1:$E$6973,"Tierra Baja",[3]InfCualitativo!$H$1:$H$6973,"urgencia")</f>
        <v>0</v>
      </c>
      <c r="AE43" s="30">
        <f t="shared" si="14"/>
        <v>0</v>
      </c>
      <c r="AF43" s="30">
        <f t="shared" si="15"/>
        <v>0</v>
      </c>
      <c r="AG43" s="27">
        <f>COUNTIFS([3]InfCualitativo!$B$1:$B$6973,"VERDADERO",[3]InfCualitativo!$E$1:$E$6973,"Tierra Baja",[3]InfCualitativo!$H$1:$H$6973,"pediatria")</f>
        <v>0</v>
      </c>
      <c r="AH43" s="27">
        <f>COUNTIFS([3]InfCualitativo!$B$1:$B$6973,"FALSO",[3]InfCualitativo!$E$1:$E$6973,"Tierra Baja",[3]InfCualitativo!$H$1:$H$6973,"pediatria")</f>
        <v>0</v>
      </c>
      <c r="AI43" s="30">
        <f t="shared" si="16"/>
        <v>0</v>
      </c>
      <c r="AJ43" s="30">
        <f t="shared" si="17"/>
        <v>0</v>
      </c>
      <c r="AK43" s="27">
        <f>COUNTIFS([3]InfCualitativo!$B$1:$B$6973,"VERDADERO",[3]InfCualitativo!$E$1:$E$6973,"Tierra Baja",[3]InfCualitativo!$H$1:$H$6973,"medicina_interna")</f>
        <v>0</v>
      </c>
      <c r="AL43" s="27">
        <f>COUNTIFS([3]InfCualitativo!$B$1:$B$6973,"FALSO",[3]InfCualitativo!$E$1:$E$6973,"Tierra Baja",[3]InfCualitativo!$H$1:$H$6973,"medicina_interna")</f>
        <v>0</v>
      </c>
      <c r="AM43" s="30">
        <f t="shared" si="18"/>
        <v>0</v>
      </c>
      <c r="AN43" s="30">
        <f t="shared" si="19"/>
        <v>0</v>
      </c>
      <c r="AO43" s="27">
        <f>COUNTIFS([3]InfCualitativo!$B$1:$B$6973,"VERDADERO",[3]InfCualitativo!$E$1:$E$6973,"Tierra Baja",[3]InfCualitativo!$H$1:$H$6973,"ginecologia")</f>
        <v>0</v>
      </c>
      <c r="AP43" s="27">
        <f>COUNTIFS([3]InfCualitativo!$B$1:$B$6973,"FALSO",[3]InfCualitativo!$E$1:$E$6973,"Tierra Baja",[3]InfCualitativo!$H$1:$H$6973,"ginecologia")</f>
        <v>0</v>
      </c>
      <c r="AQ43" s="30">
        <f t="shared" si="20"/>
        <v>0</v>
      </c>
      <c r="AR43" s="30">
        <f t="shared" si="21"/>
        <v>0</v>
      </c>
      <c r="AS43" s="27">
        <f t="shared" si="22"/>
        <v>120</v>
      </c>
      <c r="AT43" s="27">
        <f t="shared" si="22"/>
        <v>0</v>
      </c>
      <c r="AU43" s="32">
        <f t="shared" si="23"/>
        <v>1</v>
      </c>
      <c r="AV43" s="32">
        <f t="shared" si="24"/>
        <v>0</v>
      </c>
    </row>
    <row r="44" spans="1:48" ht="18.75" x14ac:dyDescent="0.3">
      <c r="A44" s="26" t="s">
        <v>64</v>
      </c>
      <c r="B44" s="27">
        <v>120</v>
      </c>
      <c r="C44" s="27">
        <f t="shared" si="1"/>
        <v>119</v>
      </c>
      <c r="D44" s="28">
        <f t="shared" si="0"/>
        <v>99.166666666666671</v>
      </c>
      <c r="E44" s="29">
        <f>COUNTIFS([3]InfCualitativo!$B$1:$B$6973,"VERDADERO",[3]InfCualitativo!$E$1:$E$6973,"Tierra Bomba",[3]InfCualitativo!$H$1:$H$6973,"consulta_externa")</f>
        <v>46</v>
      </c>
      <c r="F44" s="29">
        <f>COUNTIFS([3]InfCualitativo!$B$1:$B$6973,"FALSO",[3]InfCualitativo!$E$1:$E$6973,"Tierra Bomba",[3]InfCualitativo!$H$1:$H$6973,"consulta_externa")</f>
        <v>0</v>
      </c>
      <c r="G44" s="30">
        <f t="shared" si="2"/>
        <v>1</v>
      </c>
      <c r="H44" s="30">
        <f t="shared" si="3"/>
        <v>0</v>
      </c>
      <c r="I44" s="27">
        <f>COUNTIFS([3]InfCualitativo!$B$1:$B$6973,"VERDADERO",[3]InfCualitativo!$E$1:$E$6973,"Tierra Bomba",[3]InfCualitativo!$H$1:$H$6973,"salud_oral")</f>
        <v>26</v>
      </c>
      <c r="J44" s="27">
        <f>COUNTIFS([3]InfCualitativo!$B$1:$B$6973,"FALSO",[3]InfCualitativo!$E$1:$E$6973,"Tierra Bomba",[3]InfCualitativo!$H$1:$H$6973,"salud_oral")</f>
        <v>0</v>
      </c>
      <c r="K44" s="30">
        <f t="shared" si="4"/>
        <v>1</v>
      </c>
      <c r="L44" s="30">
        <f t="shared" si="5"/>
        <v>0</v>
      </c>
      <c r="M44" s="27">
        <f>COUNTIFS([3]InfCualitativo!$B$1:$B$6973,"VERDADERO",[3]InfCualitativo!$E$1:$E$6973,"Tierra Bomba",[3]InfCualitativo!$H$1:$H$6973,"laboratorio")</f>
        <v>47</v>
      </c>
      <c r="N44" s="27">
        <f>COUNTIFS([3]InfCualitativo!$B$1:$B$6973,"FALSO",[3]InfCualitativo!$E$1:$E$6973,"Tierra Bomba",[3]InfCualitativo!$H$1:$H$6973,"laboratorio")</f>
        <v>0</v>
      </c>
      <c r="O44" s="30">
        <f t="shared" si="6"/>
        <v>1</v>
      </c>
      <c r="P44" s="31">
        <f t="shared" si="7"/>
        <v>0</v>
      </c>
      <c r="Q44" s="27">
        <f>COUNTIFS([3]InfCualitativo!$B$1:$B$6973,"VERDADERO",[3]InfCualitativo!$E$1:$E$6973,"Tierra Bomba",[3]InfCualitativo!$H$1:$H$6973,"electros")</f>
        <v>0</v>
      </c>
      <c r="R44" s="27">
        <f>COUNTIFS([3]InfCualitativo!$B$1:$B$6973,"FALSO",[3]InfCualitativo!$E$1:$E$6973,"Tierra Bomba",[3]InfCualitativo!$H$1:$H$6973,"electros")</f>
        <v>0</v>
      </c>
      <c r="S44" s="30">
        <f t="shared" si="8"/>
        <v>0</v>
      </c>
      <c r="T44" s="30">
        <f t="shared" si="9"/>
        <v>0</v>
      </c>
      <c r="U44" s="27">
        <f>COUNTIFS([3]InfCualitativo!$B$1:$B$6973,"VERDADERO",[3]InfCualitativo!$E$1:$E$6973,"Tierra Bomba",[3]InfCualitativo!$H$1:$H$6973,"rx")</f>
        <v>0</v>
      </c>
      <c r="V44" s="27">
        <f>COUNTIFS([3]InfCualitativo!$B$1:$B$6973,"FALSO",[3]InfCualitativo!$E$1:$E$6973,"Tierra Bomba",[3]InfCualitativo!$H$1:$H$6973,"rx")</f>
        <v>0</v>
      </c>
      <c r="W44" s="30">
        <f t="shared" si="10"/>
        <v>0</v>
      </c>
      <c r="X44" s="30">
        <f t="shared" si="11"/>
        <v>0</v>
      </c>
      <c r="Y44" s="27">
        <f>COUNTIFS([3]InfCualitativo!$B$1:$B$6973,"VERDADERO",[3]InfCualitativo!$E$1:$E$6973,"Tierra Bomba",[3]InfCualitativo!$H$1:$H$6973,"ecografias")</f>
        <v>0</v>
      </c>
      <c r="Z44" s="27">
        <f>COUNTIFS([3]InfCualitativo!$B$1:$B$6973,"FALSO",[3]InfCualitativo!$E$1:$E$6973,"Tierra Bomba",[3]InfCualitativo!$H$1:$H$6973,"ecografias")</f>
        <v>0</v>
      </c>
      <c r="AA44" s="30">
        <f t="shared" si="12"/>
        <v>0</v>
      </c>
      <c r="AB44" s="30">
        <f t="shared" si="13"/>
        <v>0</v>
      </c>
      <c r="AC44" s="27">
        <f>COUNTIFS([3]InfCualitativo!$B$1:$B$6973,"VERDADERO",[3]InfCualitativo!$E$1:$E$6973,"Tierra Bomba",[3]InfCualitativo!$H$1:$H$6973,"urgencia")</f>
        <v>0</v>
      </c>
      <c r="AD44" s="27">
        <f>COUNTIFS([3]InfCualitativo!$B$1:$B$6973,"FALSO",[3]InfCualitativo!$E$1:$E$6973,"Tierra Bomba",[3]InfCualitativo!$H$1:$H$6973,"urgencia")</f>
        <v>0</v>
      </c>
      <c r="AE44" s="30">
        <f t="shared" si="14"/>
        <v>0</v>
      </c>
      <c r="AF44" s="30">
        <f t="shared" si="15"/>
        <v>0</v>
      </c>
      <c r="AG44" s="27">
        <f>COUNTIFS([3]InfCualitativo!$B$1:$B$6973,"VERDADERO",[3]InfCualitativo!$E$1:$E$6973,"Tierra Bomba",[3]InfCualitativo!$H$1:$H$6973,"pediatria")</f>
        <v>0</v>
      </c>
      <c r="AH44" s="27">
        <f>COUNTIFS([3]InfCualitativo!$B$1:$B$6973,"FALSO",[3]InfCualitativo!$E$1:$E$6973,"Tierra Bomba",[3]InfCualitativo!$H$1:$H$6973,"pediatria")</f>
        <v>0</v>
      </c>
      <c r="AI44" s="30">
        <f t="shared" si="16"/>
        <v>0</v>
      </c>
      <c r="AJ44" s="30">
        <f t="shared" si="17"/>
        <v>0</v>
      </c>
      <c r="AK44" s="27">
        <f>COUNTIFS([3]InfCualitativo!$B$1:$B$6973,"VERDADERO",[3]InfCualitativo!$E$1:$E$6973,"Tierra Bomba",[3]InfCualitativo!$H$1:$H$6973,"medicina_interna")</f>
        <v>0</v>
      </c>
      <c r="AL44" s="27">
        <f>COUNTIFS([3]InfCualitativo!$B$1:$B$6973,"FALSO",[3]InfCualitativo!$E$1:$E$6973,"Tierra Bomba",[3]InfCualitativo!$H$1:$H$6973,"medicina_interna")</f>
        <v>0</v>
      </c>
      <c r="AM44" s="30">
        <f t="shared" si="18"/>
        <v>0</v>
      </c>
      <c r="AN44" s="30">
        <f t="shared" si="19"/>
        <v>0</v>
      </c>
      <c r="AO44" s="27">
        <f>COUNTIFS([3]InfCualitativo!$B$1:$B$6973,"VERDADERO",[3]InfCualitativo!$E$1:$E$6973,"Tierra Bomba",[3]InfCualitativo!$H$1:$H$6973,"ginecologia")</f>
        <v>0</v>
      </c>
      <c r="AP44" s="27">
        <f>COUNTIFS([3]InfCualitativo!$B$1:$B$6973,"FALSO",[3]InfCualitativo!$E$1:$E$6973,"Tierra Bomba",[3]InfCualitativo!$H$1:$H$6973,"ginecologia")</f>
        <v>0</v>
      </c>
      <c r="AQ44" s="30">
        <f t="shared" si="20"/>
        <v>0</v>
      </c>
      <c r="AR44" s="30">
        <f t="shared" si="21"/>
        <v>0</v>
      </c>
      <c r="AS44" s="27">
        <f t="shared" si="22"/>
        <v>119</v>
      </c>
      <c r="AT44" s="27">
        <f t="shared" si="22"/>
        <v>0</v>
      </c>
      <c r="AU44" s="32">
        <f t="shared" si="23"/>
        <v>1</v>
      </c>
      <c r="AV44" s="32">
        <f t="shared" si="24"/>
        <v>0</v>
      </c>
    </row>
    <row r="45" spans="1:48" ht="18.75" x14ac:dyDescent="0.3">
      <c r="A45" s="26" t="s">
        <v>65</v>
      </c>
      <c r="B45" s="27">
        <v>163</v>
      </c>
      <c r="C45" s="27">
        <f t="shared" si="1"/>
        <v>163</v>
      </c>
      <c r="D45" s="28">
        <f t="shared" si="0"/>
        <v>100</v>
      </c>
      <c r="E45" s="29">
        <f>COUNTIFS([3]InfCualitativo!$B$1:$B$6973,"VERDADERO",[3]InfCualitativo!$E$1:$E$6973,"Baru",[3]InfCualitativo!$H$1:$H$6973,"consulta_externa")</f>
        <v>29</v>
      </c>
      <c r="F45" s="29">
        <f>COUNTIFS([3]InfCualitativo!$B$1:$B$6973,"FALSO",[3]InfCualitativo!$E$1:$E$6973,"Baru",[3]InfCualitativo!$H$1:$H$6973,"consulta_externa")</f>
        <v>15</v>
      </c>
      <c r="G45" s="30">
        <f t="shared" si="2"/>
        <v>0.65909090909090906</v>
      </c>
      <c r="H45" s="30">
        <f t="shared" si="3"/>
        <v>0.34090909090909088</v>
      </c>
      <c r="I45" s="27">
        <f>COUNTIFS([3]InfCualitativo!$B$1:$B$6973,"VERDADERO",[3]InfCualitativo!$E$1:$E$6973,"Baru",[3]InfCualitativo!$H$1:$H$6973,"salud_oral")</f>
        <v>36</v>
      </c>
      <c r="J45" s="27">
        <f>COUNTIFS([3]InfCualitativo!$B$1:$B$6973,"FALSO",[3]InfCualitativo!$E$1:$E$6973,"Baru",[3]InfCualitativo!$H$1:$H$6973,"salud_oral")</f>
        <v>3</v>
      </c>
      <c r="K45" s="30">
        <f t="shared" si="4"/>
        <v>0.92307692307692313</v>
      </c>
      <c r="L45" s="30">
        <f t="shared" si="5"/>
        <v>7.6923076923076927E-2</v>
      </c>
      <c r="M45" s="27">
        <f>COUNTIFS([3]InfCualitativo!$B$1:$B$6973,"VERDADERO",[3]InfCualitativo!$E$1:$E$6973,"Baru",[3]InfCualitativo!$H$1:$H$6973,"laboratorio")</f>
        <v>31</v>
      </c>
      <c r="N45" s="27">
        <f>COUNTIFS([3]InfCualitativo!$B$1:$B$6973,"FALSO",[3]InfCualitativo!$E$1:$E$6973,"Baru",[3]InfCualitativo!$H$1:$H$6973,"laboratorio")</f>
        <v>13</v>
      </c>
      <c r="O45" s="30">
        <f t="shared" si="6"/>
        <v>0.70454545454545459</v>
      </c>
      <c r="P45" s="31">
        <f t="shared" si="7"/>
        <v>0.29545454545454547</v>
      </c>
      <c r="Q45" s="27">
        <f>COUNTIFS([3]InfCualitativo!$B$1:$B$6973,"VERDADERO",[3]InfCualitativo!$E$1:$E$6973,"Baru",[3]InfCualitativo!$H$1:$H$6973,"electros")</f>
        <v>0</v>
      </c>
      <c r="R45" s="27">
        <f>COUNTIFS([3]InfCualitativo!$B$1:$B$6973,"FALSO",[3]InfCualitativo!$E$1:$E$6973,"Baru",[3]InfCualitativo!$H$1:$H$6973,"electros")</f>
        <v>0</v>
      </c>
      <c r="S45" s="30">
        <f t="shared" si="8"/>
        <v>0</v>
      </c>
      <c r="T45" s="30">
        <f t="shared" si="9"/>
        <v>0</v>
      </c>
      <c r="U45" s="27">
        <f>COUNTIFS([3]InfCualitativo!$B$1:$B$6973,"VERDADERO",[3]InfCualitativo!$E$1:$E$6973,"Baru",[3]InfCualitativo!$H$1:$H$6973,"rx")</f>
        <v>0</v>
      </c>
      <c r="V45" s="27">
        <f>COUNTIFS([3]InfCualitativo!$B$1:$B$6973,"FALSO",[3]InfCualitativo!$E$1:$E$6973,"Baru",[3]InfCualitativo!$H$1:$H$6973,"rx")</f>
        <v>0</v>
      </c>
      <c r="W45" s="30">
        <f t="shared" si="10"/>
        <v>0</v>
      </c>
      <c r="X45" s="30">
        <f t="shared" si="11"/>
        <v>0</v>
      </c>
      <c r="Y45" s="27">
        <f>COUNTIFS([3]InfCualitativo!$B$1:$B$6973,"VERDADERO",[3]InfCualitativo!$E$1:$E$6973,"Baru",[3]InfCualitativo!$H$1:$H$6973,"ecografias")</f>
        <v>0</v>
      </c>
      <c r="Z45" s="27">
        <f>COUNTIFS([3]InfCualitativo!$B$1:$B$6973,"FALSO",[3]InfCualitativo!$E$1:$E$6973,"Baru",[3]InfCualitativo!$H$1:$H$6973,"ecografias")</f>
        <v>0</v>
      </c>
      <c r="AA45" s="30">
        <f>IFERROR(Y45/(Y45+Z45),0)</f>
        <v>0</v>
      </c>
      <c r="AB45" s="30">
        <f>IFERROR(Z45/(Y45+Z45),0)</f>
        <v>0</v>
      </c>
      <c r="AC45" s="27">
        <f>COUNTIFS([3]InfCualitativo!$B$1:$B$6973,"VERDADERO",[3]InfCualitativo!$E$1:$E$6973,"Baru",[3]InfCualitativo!$H$1:$H$6973,"urgencia")</f>
        <v>17</v>
      </c>
      <c r="AD45" s="27">
        <f>COUNTIFS([3]InfCualitativo!$B$1:$B$6973,"FALSO",[3]InfCualitativo!$E$1:$E$6973,"Baru",[3]InfCualitativo!$H$1:$H$6973,"urgencia")</f>
        <v>19</v>
      </c>
      <c r="AE45" s="30">
        <f t="shared" si="14"/>
        <v>0.47222222222222221</v>
      </c>
      <c r="AF45" s="30">
        <f t="shared" si="15"/>
        <v>0.52777777777777779</v>
      </c>
      <c r="AG45" s="27">
        <f>COUNTIFS([3]InfCualitativo!$B$1:$B$6973,"VERDADERO",[3]InfCualitativo!$E$1:$E$6973,"Baru",[3]InfCualitativo!$H$1:$H$6973,"pediatria")</f>
        <v>0</v>
      </c>
      <c r="AH45" s="27">
        <f>COUNTIFS([3]InfCualitativo!$B$1:$B$6973,"FALSO",[3]InfCualitativo!$E$1:$E$6973,"Baru",[3]InfCualitativo!$H$1:$H$6973,"pediatria")</f>
        <v>0</v>
      </c>
      <c r="AI45" s="30">
        <f t="shared" si="16"/>
        <v>0</v>
      </c>
      <c r="AJ45" s="30">
        <f t="shared" si="17"/>
        <v>0</v>
      </c>
      <c r="AK45" s="27">
        <f>COUNTIFS([3]InfCualitativo!$B$1:$B$6973,"VERDADERO",[3]InfCualitativo!$E$1:$E$6973,"Baru",[3]InfCualitativo!$H$1:$H$6973,"medicina_interna")</f>
        <v>0</v>
      </c>
      <c r="AL45" s="27">
        <f>COUNTIFS([3]InfCualitativo!$B$1:$B$6973,"FALSO",[3]InfCualitativo!$E$1:$E$6973,"Baru",[3]InfCualitativo!$H$1:$H$6973,"medicina_interna")</f>
        <v>0</v>
      </c>
      <c r="AM45" s="30">
        <f t="shared" si="18"/>
        <v>0</v>
      </c>
      <c r="AN45" s="30">
        <f t="shared" si="19"/>
        <v>0</v>
      </c>
      <c r="AO45" s="27">
        <f>COUNTIFS([3]InfCualitativo!$B$1:$B$6973,"VERDADERO",[3]InfCualitativo!$E$1:$E$6973,"Baru",[3]InfCualitativo!$H$1:$H$6973,"ginecologia")</f>
        <v>0</v>
      </c>
      <c r="AP45" s="27">
        <f>COUNTIFS([3]InfCualitativo!$B$1:$B$6973,"FALSO",[3]InfCualitativo!$E$1:$E$6973,"Baru",[3]InfCualitativo!$H$1:$H$6973,"ginecologia")</f>
        <v>0</v>
      </c>
      <c r="AQ45" s="30">
        <f t="shared" si="20"/>
        <v>0</v>
      </c>
      <c r="AR45" s="30">
        <f t="shared" si="21"/>
        <v>0</v>
      </c>
      <c r="AS45" s="27">
        <f t="shared" si="22"/>
        <v>113</v>
      </c>
      <c r="AT45" s="27">
        <f t="shared" si="22"/>
        <v>50</v>
      </c>
      <c r="AU45" s="32">
        <f t="shared" si="23"/>
        <v>0.69325153374233128</v>
      </c>
      <c r="AV45" s="32">
        <f t="shared" si="24"/>
        <v>0.30674846625766872</v>
      </c>
    </row>
    <row r="46" spans="1:48" ht="18.75" x14ac:dyDescent="0.3">
      <c r="A46" s="26" t="s">
        <v>66</v>
      </c>
      <c r="B46" s="27">
        <v>60</v>
      </c>
      <c r="C46" s="27">
        <f t="shared" si="1"/>
        <v>60</v>
      </c>
      <c r="D46" s="28">
        <f t="shared" si="0"/>
        <v>100</v>
      </c>
      <c r="E46" s="29">
        <f>COUNTIFS([3]InfCualitativo!$B$1:$B$6973,"VERDADERO",[3]InfCualitativo!$E$1:$E$6973,"Isla Fuerte",[3]InfCualitativo!$H$1:$H$6973,"consulta_externa")</f>
        <v>23</v>
      </c>
      <c r="F46" s="29">
        <f>COUNTIFS([3]InfCualitativo!$B$1:$B$6973,"FALSO",[3]InfCualitativo!$E$1:$E$6973,"Isla Fuerte",[3]InfCualitativo!$H$1:$H$6973,"consulta_externa")</f>
        <v>5</v>
      </c>
      <c r="G46" s="30">
        <f t="shared" si="2"/>
        <v>0.8214285714285714</v>
      </c>
      <c r="H46" s="30">
        <f t="shared" si="3"/>
        <v>0.17857142857142858</v>
      </c>
      <c r="I46" s="27">
        <f>COUNTIFS([3]InfCualitativo!$B$1:$B$6973,"VERDADERO",[3]InfCualitativo!$E$1:$E$6973,"Isla Fuerte",[3]InfCualitativo!$H$1:$H$6973,"salud_oral")</f>
        <v>16</v>
      </c>
      <c r="J46" s="27">
        <f>COUNTIFS([3]InfCualitativo!$B$1:$B$6973,"FALSO",[3]InfCualitativo!$E$1:$E$6973,"Isla Fuerte",[3]InfCualitativo!$H$1:$H$6973,"salud_oral")</f>
        <v>0</v>
      </c>
      <c r="K46" s="30">
        <f t="shared" si="4"/>
        <v>1</v>
      </c>
      <c r="L46" s="30">
        <f t="shared" si="5"/>
        <v>0</v>
      </c>
      <c r="M46" s="27">
        <f>COUNTIFS([3]InfCualitativo!$B$1:$B$6973,"VERDADERO",[3]InfCualitativo!$E$1:$E$6973,"Isla Fuerte",[3]InfCualitativo!$H$1:$H$6973,"laboratorio")</f>
        <v>15</v>
      </c>
      <c r="N46" s="27">
        <f>COUNTIFS([3]InfCualitativo!$B$1:$B$6973,"FALSO",[3]InfCualitativo!$E$1:$E$6973,"Isla Fuerte",[3]InfCualitativo!$H$1:$H$6973,"laboratorio")</f>
        <v>1</v>
      </c>
      <c r="O46" s="30">
        <f t="shared" si="6"/>
        <v>0.9375</v>
      </c>
      <c r="P46" s="31">
        <f t="shared" si="7"/>
        <v>6.25E-2</v>
      </c>
      <c r="Q46" s="27">
        <f>COUNTIFS([3]InfCualitativo!$B$1:$B$6973,"VERDADERO",[3]InfCualitativo!$E$1:$E$6973,"Isla Fuerte",[3]InfCualitativo!$H$1:$H$6973,"electros")</f>
        <v>0</v>
      </c>
      <c r="R46" s="27">
        <f>COUNTIFS([3]InfCualitativo!$B$1:$B$6973,"FALSO",[3]InfCualitativo!$E$1:$E$6973,"Isla Fuerte",[3]InfCualitativo!$H$1:$H$6973,"electros")</f>
        <v>0</v>
      </c>
      <c r="S46" s="30">
        <f t="shared" si="8"/>
        <v>0</v>
      </c>
      <c r="T46" s="30">
        <f t="shared" si="9"/>
        <v>0</v>
      </c>
      <c r="U46" s="27">
        <f>COUNTIFS([3]InfCualitativo!$B$1:$B$6973,"VERDADERO",[3]InfCualitativo!$E$1:$E$6973,"Isla Fuerte",[3]InfCualitativo!$H$1:$H$6973,"rx")</f>
        <v>0</v>
      </c>
      <c r="V46" s="27">
        <f>COUNTIFS([3]InfCualitativo!$B$1:$B$6973,"FALSO",[3]InfCualitativo!$E$1:$E$6973,"Isla Fuerte",[3]InfCualitativo!$H$1:$H$6973,"rx")</f>
        <v>0</v>
      </c>
      <c r="W46" s="30">
        <f t="shared" si="10"/>
        <v>0</v>
      </c>
      <c r="X46" s="30">
        <f t="shared" si="11"/>
        <v>0</v>
      </c>
      <c r="Y46" s="27">
        <f>COUNTIFS([3]InfCualitativo!$B$1:$B$6973,"VERDADERO",[3]InfCualitativo!$E$1:$E$6973,"Isla Fuerte",[3]InfCualitativo!$H$1:$H$6973,"ecografias")</f>
        <v>0</v>
      </c>
      <c r="Z46" s="27">
        <f>COUNTIFS([3]InfCualitativo!$B$1:$B$6973,"FALSO",[3]InfCualitativo!$E$1:$E$6973,"Isla Fuerte",[3]InfCualitativo!$H$1:$H$6973,"ecografias")</f>
        <v>0</v>
      </c>
      <c r="AA46" s="30">
        <f>IFERROR(Y46/(Y46+Z46),0)</f>
        <v>0</v>
      </c>
      <c r="AB46" s="30">
        <f>IFERROR(Z46/(Y46+Z46),0)</f>
        <v>0</v>
      </c>
      <c r="AC46" s="27">
        <f>COUNTIFS([3]InfCualitativo!$B$1:$B$6973,"VERDADERO",[3]InfCualitativo!$E$1:$E$6973,"Isla Fuerte",[3]InfCualitativo!$H$1:$H$6973,"urgencia")</f>
        <v>0</v>
      </c>
      <c r="AD46" s="27">
        <f>COUNTIFS([3]InfCualitativo!$B$1:$B$6973,"FALSO",[3]InfCualitativo!$E$1:$E$6973,"Isla Fuerte",[3]InfCualitativo!$H$1:$H$6973,"urgencia")</f>
        <v>0</v>
      </c>
      <c r="AE46" s="30">
        <f t="shared" si="14"/>
        <v>0</v>
      </c>
      <c r="AF46" s="30">
        <f t="shared" si="15"/>
        <v>0</v>
      </c>
      <c r="AG46" s="27">
        <f>COUNTIFS([3]InfCualitativo!$B$1:$B$6973,"VERDADERO",[3]InfCualitativo!$E$1:$E$6973,"Isla Fuerte",[3]InfCualitativo!$H$1:$H$6973,"pediatria")</f>
        <v>0</v>
      </c>
      <c r="AH46" s="27">
        <f>COUNTIFS([3]InfCualitativo!$B$1:$B$6973,"FALSO",[3]InfCualitativo!$E$1:$E$6973,"Isla Fuerte",[3]InfCualitativo!$H$1:$H$6973,"pediatria")</f>
        <v>0</v>
      </c>
      <c r="AI46" s="30">
        <f t="shared" si="16"/>
        <v>0</v>
      </c>
      <c r="AJ46" s="30">
        <f t="shared" si="17"/>
        <v>0</v>
      </c>
      <c r="AK46" s="27">
        <f>COUNTIFS([3]InfCualitativo!$B$1:$B$6973,"VERDADERO",[3]InfCualitativo!$E$1:$E$6973,"Isla Fuerte",[3]InfCualitativo!$H$1:$H$6973,"medicina_interna")</f>
        <v>0</v>
      </c>
      <c r="AL46" s="27">
        <f>COUNTIFS([3]InfCualitativo!$B$1:$B$6973,"FALSO",[3]InfCualitativo!$E$1:$E$6973,"Isla Fuerte",[3]InfCualitativo!$H$1:$H$6973,"medicina_interna")</f>
        <v>0</v>
      </c>
      <c r="AM46" s="30">
        <f t="shared" si="18"/>
        <v>0</v>
      </c>
      <c r="AN46" s="30">
        <f t="shared" si="19"/>
        <v>0</v>
      </c>
      <c r="AO46" s="27">
        <f>COUNTIFS([3]InfCualitativo!$B$1:$B$6973,"VERDADERO",[3]InfCualitativo!$E$1:$E$6973,"Isla Fuerte",[3]InfCualitativo!$H$1:$H$6973,"ginecologia")</f>
        <v>0</v>
      </c>
      <c r="AP46" s="27">
        <f>COUNTIFS([3]InfCualitativo!$B$1:$B$6973,"FALSO",[3]InfCualitativo!$E$1:$E$6973,"Isla Fuerte",[3]InfCualitativo!$H$1:$H$6973,"ginecologia")</f>
        <v>0</v>
      </c>
      <c r="AQ46" s="30">
        <f t="shared" si="20"/>
        <v>0</v>
      </c>
      <c r="AR46" s="30">
        <f t="shared" si="21"/>
        <v>0</v>
      </c>
      <c r="AS46" s="27">
        <f t="shared" si="22"/>
        <v>54</v>
      </c>
      <c r="AT46" s="27">
        <f t="shared" si="22"/>
        <v>6</v>
      </c>
      <c r="AU46" s="32">
        <f t="shared" si="23"/>
        <v>0.9</v>
      </c>
      <c r="AV46" s="32">
        <f t="shared" si="24"/>
        <v>0.1</v>
      </c>
    </row>
    <row r="47" spans="1:48" ht="18.75" x14ac:dyDescent="0.3">
      <c r="A47" s="26" t="s">
        <v>67</v>
      </c>
      <c r="B47" s="27">
        <v>261</v>
      </c>
      <c r="C47" s="27">
        <f t="shared" si="1"/>
        <v>261</v>
      </c>
      <c r="D47" s="28">
        <f t="shared" si="0"/>
        <v>100</v>
      </c>
      <c r="E47" s="29">
        <f>COUNTIFS([3]InfCualitativo!$B$1:$B$6973,"VERDADERO",[3]InfCualitativo!$E$1:$E$6973,"Los Cerros",[3]InfCualitativo!$H$1:$H$6973,"consulta_externa")</f>
        <v>81</v>
      </c>
      <c r="F47" s="29">
        <f>COUNTIFS([3]InfCualitativo!$B$1:$B$6973,"FALSO",[3]InfCualitativo!$E$1:$E$6973,"Los Cerros",[3]InfCualitativo!$H$1:$H$6973,"consulta_externa")</f>
        <v>1</v>
      </c>
      <c r="G47" s="30">
        <f t="shared" si="2"/>
        <v>0.98780487804878048</v>
      </c>
      <c r="H47" s="30">
        <f t="shared" si="3"/>
        <v>1.2195121951219513E-2</v>
      </c>
      <c r="I47" s="27">
        <f>COUNTIFS([3]InfCualitativo!$B$1:$B$6973,"VERDADERO",[3]InfCualitativo!$E$1:$E$6973,"Los Cerros",[3]InfCualitativo!$H$1:$H$6973,"salud_oral")</f>
        <v>37</v>
      </c>
      <c r="J47" s="27">
        <f>COUNTIFS([3]InfCualitativo!$B$1:$B$6973,"FALSO",[3]InfCualitativo!$E$1:$E$6973,"Los Cerros",[3]InfCualitativo!$H$1:$H$6973,"salud_oral")</f>
        <v>9</v>
      </c>
      <c r="K47" s="30">
        <f t="shared" si="4"/>
        <v>0.80434782608695654</v>
      </c>
      <c r="L47" s="30">
        <f t="shared" si="5"/>
        <v>0.19565217391304349</v>
      </c>
      <c r="M47" s="27">
        <f>COUNTIFS([3]InfCualitativo!$B$1:$B$6973,"VERDADERO",[3]InfCualitativo!$E$1:$E$6973,"Los Cerros",[3]InfCualitativo!$H$1:$H$6973,"laboratorio")</f>
        <v>64</v>
      </c>
      <c r="N47" s="27">
        <f>COUNTIFS([3]InfCualitativo!$B$1:$B$6973,"FALSO",[3]InfCualitativo!$E$1:$E$6973,"Los Cerros",[3]InfCualitativo!$H$1:$H$6973,"laboratorio")</f>
        <v>3</v>
      </c>
      <c r="O47" s="30">
        <f t="shared" si="6"/>
        <v>0.95522388059701491</v>
      </c>
      <c r="P47" s="31">
        <f t="shared" si="7"/>
        <v>4.4776119402985072E-2</v>
      </c>
      <c r="Q47" s="27">
        <f>COUNTIFS([3]InfCualitativo!$B$1:$B$6973,"VERDADERO",[3]InfCualitativo!$E$1:$E$6973,"Los Cerros",[3]InfCualitativo!$H$1:$H$6973,"electros")</f>
        <v>0</v>
      </c>
      <c r="R47" s="27">
        <f>COUNTIFS([3]InfCualitativo!$B$1:$B$6973,"FALSO",[3]InfCualitativo!$E$1:$E$6973,"Los Cerros",[3]InfCualitativo!$H$1:$H$6973,"electros")</f>
        <v>0</v>
      </c>
      <c r="S47" s="30">
        <f t="shared" si="8"/>
        <v>0</v>
      </c>
      <c r="T47" s="30">
        <f t="shared" si="9"/>
        <v>0</v>
      </c>
      <c r="U47" s="27">
        <f>COUNTIFS([3]InfCualitativo!$B$1:$B$6973,"VERDADERO",[3]InfCualitativo!$E$1:$E$6973,"Los Cerros",[3]InfCualitativo!$H$1:$H$6973,"rx")</f>
        <v>0</v>
      </c>
      <c r="V47" s="27">
        <f>COUNTIFS([3]InfCualitativo!$B$1:$B$6973,"FALSO",[3]InfCualitativo!$E$1:$E$6973,"Los Cerros",[3]InfCualitativo!$H$1:$H$6973,"rx")</f>
        <v>0</v>
      </c>
      <c r="W47" s="30">
        <f t="shared" si="10"/>
        <v>0</v>
      </c>
      <c r="X47" s="30">
        <f t="shared" si="11"/>
        <v>0</v>
      </c>
      <c r="Y47" s="27">
        <f>COUNTIFS([3]InfCualitativo!$B$1:$B$6973,"VERDADERO",[3]InfCualitativo!$E$1:$E$6973,"Los Cerros",[3]InfCualitativo!$H$1:$H$6973,"ecografias")</f>
        <v>11</v>
      </c>
      <c r="Z47" s="27">
        <f>COUNTIFS([3]InfCualitativo!$B$1:$B$6973,"FALSO",[3]InfCualitativo!$E$1:$E$6973,"Los Cerros",[3]InfCualitativo!$H$1:$H$6973,"ecografias")</f>
        <v>5</v>
      </c>
      <c r="AA47" s="30">
        <f>IFERROR(Y47/(Y47+Z47),0)</f>
        <v>0.6875</v>
      </c>
      <c r="AB47" s="30">
        <f>IFERROR(Z47/(Y47+Z47),0)</f>
        <v>0.3125</v>
      </c>
      <c r="AC47" s="27">
        <f>COUNTIFS([3]InfCualitativo!$B$1:$B$6973,"VERDADERO",[3]InfCualitativo!$E$1:$E$6973,"Los Cerros",[3]InfCualitativo!$H$1:$H$6973,"urgencia")</f>
        <v>0</v>
      </c>
      <c r="AD47" s="27">
        <f>COUNTIFS([3]InfCualitativo!$B$1:$B$6973,"FALSO",[3]InfCualitativo!$E$1:$E$6973,"Los Cerros",[3]InfCualitativo!$H$1:$H$6973,"urgencia")</f>
        <v>0</v>
      </c>
      <c r="AE47" s="30">
        <f t="shared" si="14"/>
        <v>0</v>
      </c>
      <c r="AF47" s="30">
        <f t="shared" si="15"/>
        <v>0</v>
      </c>
      <c r="AG47" s="27">
        <f>COUNTIFS([3]InfCualitativo!$B$1:$B$6973,"VERDADERO",[3]InfCualitativo!$E$1:$E$6973,"Los Cerros",[3]InfCualitativo!$H$1:$H$6973,"pediatria")</f>
        <v>17</v>
      </c>
      <c r="AH47" s="27">
        <f>COUNTIFS([3]InfCualitativo!$B$1:$B$6973,"FALSO",[3]InfCualitativo!$E$1:$E$6973,"Los Cerros",[3]InfCualitativo!$H$1:$H$6973,"pediatria")</f>
        <v>10</v>
      </c>
      <c r="AI47" s="30">
        <f t="shared" si="16"/>
        <v>0.62962962962962965</v>
      </c>
      <c r="AJ47" s="30">
        <f t="shared" si="17"/>
        <v>0.37037037037037035</v>
      </c>
      <c r="AK47" s="27">
        <f>COUNTIFS([3]InfCualitativo!$B$1:$B$6973,"VERDADERO",[3]InfCualitativo!$E$1:$E$6973,"Los Cerros",[3]InfCualitativo!$H$1:$H$6973,"medicina_interna")</f>
        <v>6</v>
      </c>
      <c r="AL47" s="27">
        <f>COUNTIFS([3]InfCualitativo!$B$1:$B$6973,"FALSO",[3]InfCualitativo!$E$1:$E$6973,"Los Cerros",[3]InfCualitativo!$H$1:$H$6973,"medicina_interna")</f>
        <v>2</v>
      </c>
      <c r="AM47" s="30">
        <f t="shared" si="18"/>
        <v>0.75</v>
      </c>
      <c r="AN47" s="30">
        <f t="shared" si="19"/>
        <v>0.25</v>
      </c>
      <c r="AO47" s="27">
        <f>COUNTIFS([3]InfCualitativo!$B$1:$B$6973,"VERDADERO",[3]InfCualitativo!$E$1:$E$6973,"Los Cerros",[3]InfCualitativo!$H$1:$H$6973,"ginecologia")</f>
        <v>15</v>
      </c>
      <c r="AP47" s="27">
        <f>COUNTIFS([3]InfCualitativo!$B$1:$B$6973,"FALSO",[3]InfCualitativo!$E$1:$E$6973,"Los Cerros",[3]InfCualitativo!$H$1:$H$6973,"ginecologia")</f>
        <v>0</v>
      </c>
      <c r="AQ47" s="30">
        <f t="shared" si="20"/>
        <v>1</v>
      </c>
      <c r="AR47" s="30">
        <f t="shared" si="21"/>
        <v>0</v>
      </c>
      <c r="AS47" s="27">
        <f t="shared" si="22"/>
        <v>231</v>
      </c>
      <c r="AT47" s="27">
        <f t="shared" si="22"/>
        <v>30</v>
      </c>
      <c r="AU47" s="32">
        <f t="shared" si="23"/>
        <v>0.88505747126436785</v>
      </c>
      <c r="AV47" s="32">
        <f t="shared" si="24"/>
        <v>0.11494252873563218</v>
      </c>
    </row>
    <row r="48" spans="1:48" ht="18.75" x14ac:dyDescent="0.3">
      <c r="A48" s="26" t="s">
        <v>68</v>
      </c>
      <c r="B48" s="27">
        <v>36</v>
      </c>
      <c r="C48" s="27">
        <f t="shared" si="1"/>
        <v>36</v>
      </c>
      <c r="D48" s="28">
        <f t="shared" si="0"/>
        <v>100</v>
      </c>
      <c r="E48" s="29">
        <f>COUNTIFS([3]InfCualitativo!$B$1:$B$6973,"VERDADERO",[3]InfCualitativo!$E$1:$E$6973,"Islote de San Bernardo",[3]InfCualitativo!$H$1:$H$6973,"consulta_externa")</f>
        <v>17</v>
      </c>
      <c r="F48" s="29">
        <f>COUNTIFS([3]InfCualitativo!$B$1:$B$6973,"FALSO",[3]InfCualitativo!$E$1:$E$6973,"Islote de San Bernardo",[3]InfCualitativo!$H$1:$H$6973,"consulta_externa")</f>
        <v>0</v>
      </c>
      <c r="G48" s="30">
        <f t="shared" si="2"/>
        <v>1</v>
      </c>
      <c r="H48" s="30">
        <f t="shared" si="3"/>
        <v>0</v>
      </c>
      <c r="I48" s="27">
        <f>COUNTIFS([3]InfCualitativo!$B$1:$B$6973,"VERDADERO",[3]InfCualitativo!$E$1:$E$6973,"Islote de San Bernardo",[3]InfCualitativo!$H$1:$H$6973,"salud_oral")</f>
        <v>11</v>
      </c>
      <c r="J48" s="27">
        <f>COUNTIFS([3]InfCualitativo!$B$1:$B$6973,"FALSO",[3]InfCualitativo!$E$1:$E$6973,"Islote de San Bernardo",[3]InfCualitativo!$H$1:$H$6973,"salud_oral")</f>
        <v>0</v>
      </c>
      <c r="K48" s="30">
        <f t="shared" si="4"/>
        <v>1</v>
      </c>
      <c r="L48" s="30">
        <f t="shared" si="5"/>
        <v>0</v>
      </c>
      <c r="M48" s="27">
        <f>COUNTIFS([3]InfCualitativo!$B$1:$B$6973,"VERDADERO",[3]InfCualitativo!$E$1:$E$6973,"Islote de San Bernardo",[3]InfCualitativo!$H$1:$H$6973,"laboratorio")</f>
        <v>8</v>
      </c>
      <c r="N48" s="27">
        <f>COUNTIFS([3]InfCualitativo!$B$1:$B$6973,"FALSO",[3]InfCualitativo!$E$1:$E$6973,"Islote de San Bernardo",[3]InfCualitativo!$H$1:$H$6973,"laboratorio")</f>
        <v>0</v>
      </c>
      <c r="O48" s="30">
        <f t="shared" si="6"/>
        <v>1</v>
      </c>
      <c r="P48" s="31">
        <f t="shared" si="7"/>
        <v>0</v>
      </c>
      <c r="Q48" s="27">
        <f>COUNTIFS([3]InfCualitativo!$B$1:$B$6973,"VERDADERO",[3]InfCualitativo!$E$1:$E$6973,"Islote de San Bernardo",[3]InfCualitativo!$H$1:$H$6973,"electros")</f>
        <v>0</v>
      </c>
      <c r="R48" s="27">
        <f>COUNTIFS([3]InfCualitativo!$B$1:$B$6973,"FALSO",[3]InfCualitativo!$E$1:$E$6973,"Islote de San Bernardo",[3]InfCualitativo!$H$1:$H$6973,"electros")</f>
        <v>0</v>
      </c>
      <c r="S48" s="30">
        <f t="shared" si="8"/>
        <v>0</v>
      </c>
      <c r="T48" s="30">
        <f t="shared" si="9"/>
        <v>0</v>
      </c>
      <c r="U48" s="27">
        <f>COUNTIFS([3]InfCualitativo!$B$1:$B$6973,"VERDADERO",[3]InfCualitativo!$E$1:$E$6973,"Islote de San Bernardo",[3]InfCualitativo!$H$1:$H$6973,"rx")</f>
        <v>0</v>
      </c>
      <c r="V48" s="27">
        <f>COUNTIFS([3]InfCualitativo!$B$1:$B$6973,"FALSO",[3]InfCualitativo!$E$1:$E$6973,"Islote de San Bernardo",[3]InfCualitativo!$H$1:$H$6973,"rx")</f>
        <v>0</v>
      </c>
      <c r="W48" s="30">
        <f t="shared" si="10"/>
        <v>0</v>
      </c>
      <c r="X48" s="30">
        <f t="shared" si="11"/>
        <v>0</v>
      </c>
      <c r="Y48" s="27">
        <f>COUNTIFS([3]InfCualitativo!$B$1:$B$6973,"VERDADERO",[3]InfCualitativo!$E$1:$E$6973,"Islote de San Bernardo",[3]InfCualitativo!$H$1:$H$6973,"ecografias")</f>
        <v>0</v>
      </c>
      <c r="Z48" s="27">
        <f>COUNTIFS([3]InfCualitativo!$B$1:$B$6973,"FALSO",[3]InfCualitativo!$E$1:$E$6973,"Islote de San Bernardo",[3]InfCualitativo!$H$1:$H$6973,"ecografias")</f>
        <v>0</v>
      </c>
      <c r="AA48" s="30">
        <f>IFERROR(Y48/(Y48+Z48),0)</f>
        <v>0</v>
      </c>
      <c r="AB48" s="30">
        <f>IFERROR(Z48/(Y48+Z48),0)</f>
        <v>0</v>
      </c>
      <c r="AC48" s="27">
        <f>COUNTIFS([3]InfCualitativo!$B$1:$B$6973,"VERDADERO",[3]InfCualitativo!$E$1:$E$6973,"Islote de San Bernardo",[3]InfCualitativo!$H$1:$H$6973,"urgencia")</f>
        <v>0</v>
      </c>
      <c r="AD48" s="27">
        <f>COUNTIFS([3]InfCualitativo!$B$1:$B$6973,"FALSO",[3]InfCualitativo!$E$1:$E$6973,"Islote de San Bernardo",[3]InfCualitativo!$H$1:$H$6973,"urgencia")</f>
        <v>0</v>
      </c>
      <c r="AE48" s="30">
        <f t="shared" si="14"/>
        <v>0</v>
      </c>
      <c r="AF48" s="30">
        <f t="shared" si="15"/>
        <v>0</v>
      </c>
      <c r="AG48" s="27">
        <f>COUNTIFS([3]InfCualitativo!$B$1:$B$6973,"VERDADERO",[3]InfCualitativo!$E$1:$E$6973,"Islote de San Bernardo",[3]InfCualitativo!$H$1:$H$6973,"pediatria")</f>
        <v>0</v>
      </c>
      <c r="AH48" s="27">
        <f>COUNTIFS([3]InfCualitativo!$B$1:$B$6973,"FALSO",[3]InfCualitativo!$E$1:$E$6973,"Islote de San Bernardo",[3]InfCualitativo!$H$1:$H$6973,"pediatria")</f>
        <v>0</v>
      </c>
      <c r="AI48" s="30">
        <f t="shared" si="16"/>
        <v>0</v>
      </c>
      <c r="AJ48" s="30">
        <f t="shared" si="17"/>
        <v>0</v>
      </c>
      <c r="AK48" s="27">
        <f>COUNTIFS([3]InfCualitativo!$B$1:$B$6973,"VERDADERO",[3]InfCualitativo!$E$1:$E$6973,"Islote de San Bernardo",[3]InfCualitativo!$H$1:$H$6973,"medicina_interna")</f>
        <v>0</v>
      </c>
      <c r="AL48" s="27">
        <f>COUNTIFS([3]InfCualitativo!$B$1:$B$6973,"FALSO",[3]InfCualitativo!$E$1:$E$6973,"Islote de San Bernardo",[3]InfCualitativo!$H$1:$H$6973,"medicina_interna")</f>
        <v>0</v>
      </c>
      <c r="AM48" s="30">
        <f t="shared" si="18"/>
        <v>0</v>
      </c>
      <c r="AN48" s="30">
        <f t="shared" si="19"/>
        <v>0</v>
      </c>
      <c r="AO48" s="27">
        <f>COUNTIFS([3]InfCualitativo!$B$1:$B$6973,"VERDADERO",[3]InfCualitativo!$E$1:$E$6973,"Islote de San Bernardo",[3]InfCualitativo!$H$1:$H$6973,"ginecologia")</f>
        <v>0</v>
      </c>
      <c r="AP48" s="27">
        <f>COUNTIFS([3]InfCualitativo!$B$1:$B$6973,"FALSO",[3]InfCualitativo!$E$1:$E$6973,"Islote de San Bernardo",[3]InfCualitativo!$H$1:$H$6973,"ginecologia")</f>
        <v>0</v>
      </c>
      <c r="AQ48" s="30">
        <f t="shared" si="20"/>
        <v>0</v>
      </c>
      <c r="AR48" s="30">
        <f t="shared" si="21"/>
        <v>0</v>
      </c>
      <c r="AS48" s="27">
        <f t="shared" si="22"/>
        <v>36</v>
      </c>
      <c r="AT48" s="27">
        <f t="shared" si="22"/>
        <v>0</v>
      </c>
      <c r="AU48" s="32">
        <f t="shared" si="23"/>
        <v>1</v>
      </c>
      <c r="AV48" s="32">
        <f t="shared" si="24"/>
        <v>0</v>
      </c>
    </row>
    <row r="49" spans="1:48" ht="18.75" x14ac:dyDescent="0.3">
      <c r="A49" s="36" t="s">
        <v>69</v>
      </c>
      <c r="B49" s="27">
        <v>176</v>
      </c>
      <c r="C49" s="27">
        <f t="shared" si="1"/>
        <v>176</v>
      </c>
      <c r="D49" s="28">
        <f t="shared" si="0"/>
        <v>100</v>
      </c>
      <c r="E49" s="29">
        <f>COUNTIFS([3]InfCualitativo!$B$1:$B$6973,"VERDADERO",[3]InfCualitativo!$E$1:$E$6973,"Santa Ana",[3]InfCualitativo!$H$1:$H$6973,"consulta_externa")</f>
        <v>67</v>
      </c>
      <c r="F49" s="29">
        <f>COUNTIFS([3]InfCualitativo!$B$1:$B$6973,"FALSO",[3]InfCualitativo!$E$1:$E$6973,"Santa Ana",[3]InfCualitativo!$H$1:$H$6973,"consulta_externa")</f>
        <v>0</v>
      </c>
      <c r="G49" s="30">
        <f t="shared" si="2"/>
        <v>1</v>
      </c>
      <c r="H49" s="30">
        <f t="shared" si="3"/>
        <v>0</v>
      </c>
      <c r="I49" s="27">
        <f>COUNTIFS([3]InfCualitativo!$B$1:$B$6973,"VERDADERO",[3]InfCualitativo!$E$1:$E$6973,"Santa Ana",[3]InfCualitativo!$H$1:$H$6973,"salud_oral")</f>
        <v>32</v>
      </c>
      <c r="J49" s="27">
        <f>COUNTIFS([3]InfCualitativo!$B$1:$B$6973,"FALSO",[3]InfCualitativo!$E$1:$E$6973,"Santa Ana",[3]InfCualitativo!$H$1:$H$6973,"salud_oral")</f>
        <v>0</v>
      </c>
      <c r="K49" s="30">
        <f t="shared" si="4"/>
        <v>1</v>
      </c>
      <c r="L49" s="30">
        <f t="shared" si="5"/>
        <v>0</v>
      </c>
      <c r="M49" s="27">
        <f>COUNTIFS([3]InfCualitativo!$B$1:$B$6973,"VERDADERO",[3]InfCualitativo!$E$1:$E$6973,"Santa Ana",[3]InfCualitativo!$H$1:$H$6973,"laboratorio")</f>
        <v>52</v>
      </c>
      <c r="N49" s="27">
        <f>COUNTIFS([3]InfCualitativo!$B$1:$B$6973,"FALSO",[3]InfCualitativo!$E$1:$E$6973,"Santa Ana",[3]InfCualitativo!$H$1:$H$6973,"laboratorio")</f>
        <v>0</v>
      </c>
      <c r="O49" s="30">
        <f t="shared" si="6"/>
        <v>1</v>
      </c>
      <c r="P49" s="31">
        <f t="shared" si="7"/>
        <v>0</v>
      </c>
      <c r="Q49" s="27">
        <f>COUNTIFS([3]InfCualitativo!$B$1:$B$6973,"VERDADERO",[3]InfCualitativo!$E$1:$E$6973,"Santa Ana",[3]InfCualitativo!$H$1:$H$6973,"electros")</f>
        <v>0</v>
      </c>
      <c r="R49" s="27">
        <f>COUNTIFS([3]InfCualitativo!$B$1:$B$6973,"FALSO",[3]InfCualitativo!$E$1:$E$6973,"Santa Ana",[3]InfCualitativo!$H$1:$H$6973,"electros")</f>
        <v>0</v>
      </c>
      <c r="S49" s="30">
        <f t="shared" si="8"/>
        <v>0</v>
      </c>
      <c r="T49" s="30">
        <f t="shared" si="9"/>
        <v>0</v>
      </c>
      <c r="U49" s="27">
        <f>COUNTIFS([3]InfCualitativo!$B$1:$B$6973,"VERDADERO",[3]InfCualitativo!$E$1:$E$6973,"Santa Ana",[3]InfCualitativo!$H$1:$H$6973,"rx")</f>
        <v>0</v>
      </c>
      <c r="V49" s="27">
        <f>COUNTIFS([3]InfCualitativo!$B$1:$B$6973,"FALSO",[3]InfCualitativo!$E$1:$E$6973,"Santa Ana",[3]InfCualitativo!$H$1:$H$6973,"rx")</f>
        <v>0</v>
      </c>
      <c r="W49" s="30">
        <f t="shared" si="10"/>
        <v>0</v>
      </c>
      <c r="X49" s="30">
        <f t="shared" si="11"/>
        <v>0</v>
      </c>
      <c r="Y49" s="27">
        <f>COUNTIFS([3]InfCualitativo!$B$1:$B$6973,"VERDADERO",[3]InfCualitativo!$E$1:$E$6973,"Santa Ana",[3]InfCualitativo!$H$1:$H$6973,"ecografias")</f>
        <v>0</v>
      </c>
      <c r="Z49" s="27">
        <f>COUNTIFS([3]InfCualitativo!$B$1:$B$6973,"FALSO",[3]InfCualitativo!$E$1:$E$6973,"Santa Ana",[3]InfCualitativo!$H$1:$H$6973,"ecografias")</f>
        <v>0</v>
      </c>
      <c r="AA49" s="30">
        <f>IFERROR(Y49/(Y49+Z49),0)</f>
        <v>0</v>
      </c>
      <c r="AB49" s="30">
        <f>IFERROR(Z49/(Y49+Z49),0)</f>
        <v>0</v>
      </c>
      <c r="AC49" s="27">
        <f>COUNTIFS([3]InfCualitativo!$B$1:$B$6973,"VERDADERO",[3]InfCualitativo!$E$1:$E$6973,"Santa Ana",[3]InfCualitativo!$H$1:$H$6973,"urgencia")</f>
        <v>25</v>
      </c>
      <c r="AD49" s="27">
        <f>COUNTIFS([3]InfCualitativo!$B$1:$B$6973,"FALSO",[3]InfCualitativo!$E$1:$E$6973,"Santa Ana",[3]InfCualitativo!$H$1:$H$6973,"urgencia")</f>
        <v>0</v>
      </c>
      <c r="AE49" s="30">
        <f t="shared" si="14"/>
        <v>1</v>
      </c>
      <c r="AF49" s="30">
        <f t="shared" si="15"/>
        <v>0</v>
      </c>
      <c r="AG49" s="27">
        <f>COUNTIFS([3]InfCualitativo!$B$1:$B$6973,"VERDADERO",[3]InfCualitativo!$E$1:$E$6973,"Santa Ana",[3]InfCualitativo!$H$1:$H$6973,"pediatria")</f>
        <v>0</v>
      </c>
      <c r="AH49" s="27">
        <f>COUNTIFS([3]InfCualitativo!$B$1:$B$6973,"FALSO",[3]InfCualitativo!$E$1:$E$6973,"Santa Ana",[3]InfCualitativo!$H$1:$H$6973,"pediatria")</f>
        <v>0</v>
      </c>
      <c r="AI49" s="30">
        <f t="shared" si="16"/>
        <v>0</v>
      </c>
      <c r="AJ49" s="30">
        <f t="shared" si="17"/>
        <v>0</v>
      </c>
      <c r="AK49" s="27">
        <f>COUNTIFS([3]InfCualitativo!$B$1:$B$6973,"VERDADERO",[3]InfCualitativo!$E$1:$E$6973,"Santa Ana",[3]InfCualitativo!$H$1:$H$6973,"medicina_interna")</f>
        <v>0</v>
      </c>
      <c r="AL49" s="27">
        <f>COUNTIFS([3]InfCualitativo!$B$1:$B$6973,"FALSO",[3]InfCualitativo!$E$1:$E$6973,"Santa Ana",[3]InfCualitativo!$H$1:$H$6973,"medicina_interna")</f>
        <v>0</v>
      </c>
      <c r="AM49" s="30">
        <f t="shared" si="18"/>
        <v>0</v>
      </c>
      <c r="AN49" s="30">
        <f t="shared" si="19"/>
        <v>0</v>
      </c>
      <c r="AO49" s="27">
        <f>COUNTIFS([3]InfCualitativo!$B$1:$B$6973,"VERDADERO",[3]InfCualitativo!$E$1:$E$6973,"Santa Ana",[3]InfCualitativo!$H$1:$H$6973,"ginecologia")</f>
        <v>0</v>
      </c>
      <c r="AP49" s="27">
        <f>COUNTIFS([3]InfCualitativo!$B$1:$B$6973,"FALSO",[3]InfCualitativo!$E$1:$E$6973,"Santa Ana",[3]InfCualitativo!$H$1:$H$6973,"ginecologia")</f>
        <v>0</v>
      </c>
      <c r="AQ49" s="30">
        <f t="shared" si="20"/>
        <v>0</v>
      </c>
      <c r="AR49" s="30">
        <f t="shared" si="21"/>
        <v>0</v>
      </c>
      <c r="AS49" s="27">
        <f t="shared" si="22"/>
        <v>176</v>
      </c>
      <c r="AT49" s="27">
        <f t="shared" si="22"/>
        <v>0</v>
      </c>
      <c r="AU49" s="32">
        <f t="shared" si="23"/>
        <v>1</v>
      </c>
      <c r="AV49" s="32">
        <f t="shared" si="24"/>
        <v>0</v>
      </c>
    </row>
    <row r="50" spans="1:48" ht="23.25" x14ac:dyDescent="0.35">
      <c r="A50" s="38"/>
      <c r="B50" s="39">
        <f>SUM(B3:B49)</f>
        <v>6765</v>
      </c>
      <c r="C50" s="81">
        <f t="shared" si="1"/>
        <v>6317</v>
      </c>
      <c r="D50" s="41">
        <f>C50/B50</f>
        <v>0.93377679231337762</v>
      </c>
      <c r="E50" s="42">
        <f>SUM(E3:E49)</f>
        <v>1923</v>
      </c>
      <c r="F50" s="43">
        <f>SUM(F3:F49)</f>
        <v>107</v>
      </c>
      <c r="G50" s="75">
        <f t="shared" si="2"/>
        <v>0.94729064039408872</v>
      </c>
      <c r="H50" s="75">
        <f t="shared" si="3"/>
        <v>5.2709359605911332E-2</v>
      </c>
      <c r="I50" s="45">
        <f>SUM(I3:I49)</f>
        <v>1507</v>
      </c>
      <c r="J50" s="46">
        <f>SUM(J3:J49)</f>
        <v>52</v>
      </c>
      <c r="K50" s="75">
        <f t="shared" si="4"/>
        <v>0.96664528543938422</v>
      </c>
      <c r="L50" s="75">
        <f t="shared" si="5"/>
        <v>3.3354714560615777E-2</v>
      </c>
      <c r="M50" s="45">
        <f>SUM(M3:M49)</f>
        <v>1663</v>
      </c>
      <c r="N50" s="46">
        <f>SUM(N3:N49)</f>
        <v>141</v>
      </c>
      <c r="O50" s="75">
        <f t="shared" si="6"/>
        <v>0.92184035476718407</v>
      </c>
      <c r="P50" s="76">
        <f t="shared" si="7"/>
        <v>7.8159645232815961E-2</v>
      </c>
      <c r="Q50" s="46">
        <f>SUM(Q3:Q49)</f>
        <v>74</v>
      </c>
      <c r="R50" s="46">
        <f>SUM(R3:R49)</f>
        <v>5</v>
      </c>
      <c r="S50" s="75">
        <f t="shared" si="8"/>
        <v>0.93670886075949367</v>
      </c>
      <c r="T50" s="75">
        <f t="shared" si="9"/>
        <v>6.3291139240506333E-2</v>
      </c>
      <c r="U50" s="46">
        <f>SUM(U3:U49)</f>
        <v>71</v>
      </c>
      <c r="V50" s="46">
        <f>SUM(V3:V49)</f>
        <v>1</v>
      </c>
      <c r="W50" s="75">
        <f t="shared" si="10"/>
        <v>0.98611111111111116</v>
      </c>
      <c r="X50" s="75">
        <f t="shared" si="11"/>
        <v>1.3888888888888888E-2</v>
      </c>
      <c r="Y50" s="46">
        <f>SUM(Y3:Y49)</f>
        <v>66</v>
      </c>
      <c r="Z50" s="46">
        <f>SUM(Z3:Z49)</f>
        <v>6</v>
      </c>
      <c r="AA50" s="75">
        <f t="shared" si="12"/>
        <v>0.91666666666666663</v>
      </c>
      <c r="AB50" s="75">
        <f t="shared" si="13"/>
        <v>8.3333333333333329E-2</v>
      </c>
      <c r="AC50" s="45">
        <f>SUM(AC3:AC49)</f>
        <v>397</v>
      </c>
      <c r="AD50" s="46">
        <f>SUM(AD3:AD49)</f>
        <v>90</v>
      </c>
      <c r="AE50" s="75">
        <f t="shared" si="14"/>
        <v>0.8151950718685832</v>
      </c>
      <c r="AF50" s="75">
        <f t="shared" si="15"/>
        <v>0.18480492813141683</v>
      </c>
      <c r="AG50" s="45">
        <f>SUM(AG3:AG49)</f>
        <v>127</v>
      </c>
      <c r="AH50" s="46">
        <f>SUM(AH3:AH49)</f>
        <v>11</v>
      </c>
      <c r="AI50" s="75">
        <f t="shared" si="16"/>
        <v>0.92028985507246375</v>
      </c>
      <c r="AJ50" s="75">
        <f t="shared" si="17"/>
        <v>7.9710144927536225E-2</v>
      </c>
      <c r="AK50" s="45">
        <f>SUM(AK3:AK49)</f>
        <v>24</v>
      </c>
      <c r="AL50" s="46">
        <f>SUM(AL3:AL49)</f>
        <v>7</v>
      </c>
      <c r="AM50" s="75">
        <f t="shared" si="18"/>
        <v>0.77419354838709675</v>
      </c>
      <c r="AN50" s="75">
        <f t="shared" si="19"/>
        <v>0.22580645161290322</v>
      </c>
      <c r="AO50" s="45">
        <f>SUM(AO3:AO49)</f>
        <v>45</v>
      </c>
      <c r="AP50" s="46">
        <v>0</v>
      </c>
      <c r="AQ50" s="75">
        <f t="shared" si="20"/>
        <v>1</v>
      </c>
      <c r="AR50" s="75">
        <f t="shared" si="21"/>
        <v>0</v>
      </c>
      <c r="AS50" s="27">
        <f t="shared" si="22"/>
        <v>5897</v>
      </c>
      <c r="AT50" s="27">
        <f t="shared" si="22"/>
        <v>420</v>
      </c>
      <c r="AU50" s="82">
        <f t="shared" si="23"/>
        <v>0.93351274339085011</v>
      </c>
      <c r="AV50" s="82">
        <f t="shared" si="24"/>
        <v>6.648725660914992E-2</v>
      </c>
    </row>
    <row r="51" spans="1:48" x14ac:dyDescent="0.25">
      <c r="C51" s="53"/>
      <c r="E51" s="54">
        <f>SUM(E50:F50)</f>
        <v>2030</v>
      </c>
      <c r="F51" s="55"/>
      <c r="I51" s="54">
        <f>SUM(I50:J50)</f>
        <v>1559</v>
      </c>
      <c r="J51" s="55"/>
      <c r="M51" s="54">
        <f>SUM(M50:N50)</f>
        <v>1804</v>
      </c>
      <c r="N51" s="55"/>
      <c r="Q51" s="55">
        <f>SUM(Q50:R50)</f>
        <v>79</v>
      </c>
      <c r="R51" s="55"/>
      <c r="U51" s="55">
        <f>SUM(U50:V50)</f>
        <v>72</v>
      </c>
      <c r="V51" s="55"/>
      <c r="Y51" s="55">
        <f>SUM(Y50:Z50)</f>
        <v>72</v>
      </c>
      <c r="Z51" s="55"/>
      <c r="AC51" s="55">
        <f>SUM(AC50:AD50)</f>
        <v>487</v>
      </c>
      <c r="AD51" s="55"/>
      <c r="AG51" s="55">
        <v>138</v>
      </c>
      <c r="AH51" s="55"/>
      <c r="AK51" s="55">
        <v>31</v>
      </c>
      <c r="AL51" s="55"/>
      <c r="AO51" s="55">
        <v>45</v>
      </c>
      <c r="AP51" s="55"/>
      <c r="AS51" s="53"/>
    </row>
    <row r="54" spans="1:48" ht="44.25" customHeight="1" x14ac:dyDescent="0.25">
      <c r="A54" s="56" t="s">
        <v>70</v>
      </c>
      <c r="B54" s="57"/>
      <c r="I54" s="58"/>
      <c r="J54" s="58"/>
      <c r="K54" s="58"/>
      <c r="L54" s="58"/>
      <c r="M54" s="58"/>
    </row>
    <row r="55" spans="1:48" x14ac:dyDescent="0.25">
      <c r="A55" s="59" t="s">
        <v>71</v>
      </c>
      <c r="B55" s="60">
        <f>COUNTIFS([3]InfCualitativo!$J$1:$J$6973,"muybueno")</f>
        <v>175</v>
      </c>
    </row>
    <row r="56" spans="1:48" x14ac:dyDescent="0.25">
      <c r="A56" s="59" t="s">
        <v>72</v>
      </c>
      <c r="B56" s="60">
        <f>COUNTIFS([3]InfCualitativo!$J$1:$J$6973,"bueno")</f>
        <v>5722</v>
      </c>
    </row>
    <row r="57" spans="1:48" x14ac:dyDescent="0.25">
      <c r="A57" s="59" t="s">
        <v>73</v>
      </c>
      <c r="B57" s="60">
        <f>COUNTIFS([3]InfCualitativo!$J$1:$J$6973,"regular")</f>
        <v>374</v>
      </c>
    </row>
    <row r="58" spans="1:48" x14ac:dyDescent="0.25">
      <c r="A58" s="59" t="s">
        <v>74</v>
      </c>
      <c r="B58" s="60">
        <f>COUNTIFS([3]InfCualitativo!$J$1:$J$6973,"malo")</f>
        <v>16</v>
      </c>
    </row>
    <row r="59" spans="1:48" x14ac:dyDescent="0.25">
      <c r="A59" s="59" t="s">
        <v>75</v>
      </c>
      <c r="B59" s="60">
        <f>COUNTIFS([3]InfCualitativo!$J$1:$J$6973,"muymalo")</f>
        <v>30</v>
      </c>
      <c r="C59">
        <f>SUM(B55:B59)</f>
        <v>6317</v>
      </c>
    </row>
    <row r="60" spans="1:48" ht="31.5" customHeight="1" x14ac:dyDescent="0.25">
      <c r="A60" s="59"/>
      <c r="B60" s="60"/>
    </row>
    <row r="61" spans="1:48" ht="42" customHeight="1" x14ac:dyDescent="0.25">
      <c r="A61" s="61" t="s">
        <v>76</v>
      </c>
      <c r="B61" s="62"/>
    </row>
    <row r="62" spans="1:48" x14ac:dyDescent="0.25">
      <c r="A62" s="59" t="s">
        <v>77</v>
      </c>
      <c r="B62" s="60">
        <f>COUNTIFS([3]InfCualitativo!$K$1:$K$6973,"defsi")</f>
        <v>3294</v>
      </c>
    </row>
    <row r="63" spans="1:48" x14ac:dyDescent="0.25">
      <c r="A63" s="59" t="s">
        <v>78</v>
      </c>
      <c r="B63" s="60">
        <f>COUNTIFS([3]InfCualitativo!$K$1:$K$6973,"probsi")</f>
        <v>2983</v>
      </c>
    </row>
    <row r="64" spans="1:48" x14ac:dyDescent="0.25">
      <c r="A64" s="59" t="s">
        <v>79</v>
      </c>
      <c r="B64" s="60">
        <f>COUNTIFS([3]InfCualitativo!$K$1:$K$6973,"defno")</f>
        <v>7</v>
      </c>
    </row>
    <row r="65" spans="1:2" x14ac:dyDescent="0.25">
      <c r="A65" s="63" t="s">
        <v>80</v>
      </c>
      <c r="B65" s="64">
        <f>COUNTIFS([3]InfCualitativo!$K$1:$K$6973,"probno")</f>
        <v>32</v>
      </c>
    </row>
    <row r="66" spans="1:2" x14ac:dyDescent="0.25">
      <c r="B66">
        <f>SUM(B62:B65)</f>
        <v>6316</v>
      </c>
    </row>
  </sheetData>
  <autoFilter ref="A1:D2" xr:uid="{00000000-0001-0000-0000-000000000000}"/>
  <mergeCells count="31">
    <mergeCell ref="A61:B61"/>
    <mergeCell ref="AC51:AD51"/>
    <mergeCell ref="AG51:AH51"/>
    <mergeCell ref="AK51:AL51"/>
    <mergeCell ref="AO51:AP51"/>
    <mergeCell ref="A54:B54"/>
    <mergeCell ref="I54:M54"/>
    <mergeCell ref="E51:F51"/>
    <mergeCell ref="I51:J51"/>
    <mergeCell ref="M51:N51"/>
    <mergeCell ref="Q51:R51"/>
    <mergeCell ref="U51:V51"/>
    <mergeCell ref="Y51:Z51"/>
    <mergeCell ref="AK1:AN1"/>
    <mergeCell ref="AO1:AR1"/>
    <mergeCell ref="AS1:AS2"/>
    <mergeCell ref="AT1:AT2"/>
    <mergeCell ref="AU1:AU2"/>
    <mergeCell ref="AV1:AV2"/>
    <mergeCell ref="M1:P1"/>
    <mergeCell ref="Q1:T1"/>
    <mergeCell ref="V1:X1"/>
    <mergeCell ref="Y1:AB1"/>
    <mergeCell ref="AC1:AF1"/>
    <mergeCell ref="AG1:AJ1"/>
    <mergeCell ref="A1:A2"/>
    <mergeCell ref="B1:B2"/>
    <mergeCell ref="C1:C2"/>
    <mergeCell ref="D1:D2"/>
    <mergeCell ref="E1:H1"/>
    <mergeCell ref="I1: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AE0F5-BDE3-4E5B-91D0-ADC9266BBEFE}">
  <dimension ref="A1:AV66"/>
  <sheetViews>
    <sheetView topLeftCell="A42" zoomScale="80" zoomScaleNormal="80" workbookViewId="0">
      <selection activeCell="AR57" sqref="AR57"/>
    </sheetView>
  </sheetViews>
  <sheetFormatPr baseColWidth="10" defaultColWidth="11.42578125" defaultRowHeight="15" x14ac:dyDescent="0.25"/>
  <cols>
    <col min="1" max="1" width="27.28515625" bestFit="1" customWidth="1"/>
    <col min="2" max="2" width="24.85546875" customWidth="1"/>
    <col min="3" max="3" width="22.140625" customWidth="1"/>
    <col min="4" max="4" width="23.5703125" customWidth="1"/>
    <col min="5" max="5" width="16" customWidth="1"/>
    <col min="6" max="6" width="14.7109375" customWidth="1"/>
    <col min="7" max="7" width="16.140625" customWidth="1"/>
    <col min="8" max="8" width="17.85546875" customWidth="1"/>
    <col min="9" max="9" width="16.140625" customWidth="1"/>
    <col min="10" max="11" width="17" customWidth="1"/>
    <col min="12" max="12" width="16.28515625" customWidth="1"/>
    <col min="13" max="13" width="15.28515625" customWidth="1"/>
    <col min="14" max="14" width="15.7109375" customWidth="1"/>
    <col min="15" max="15" width="15" customWidth="1"/>
    <col min="16" max="16" width="15.28515625" customWidth="1"/>
    <col min="17" max="17" width="15.42578125" customWidth="1"/>
    <col min="18" max="18" width="15.5703125" customWidth="1"/>
    <col min="19" max="19" width="15.42578125" customWidth="1"/>
    <col min="20" max="20" width="15.28515625" customWidth="1"/>
    <col min="21" max="21" width="14.85546875" customWidth="1"/>
    <col min="22" max="22" width="15.42578125" customWidth="1"/>
    <col min="23" max="24" width="15.140625" customWidth="1"/>
    <col min="25" max="25" width="15.28515625" customWidth="1"/>
    <col min="26" max="26" width="15" customWidth="1"/>
    <col min="27" max="27" width="15.42578125" customWidth="1"/>
    <col min="28" max="28" width="15.7109375" customWidth="1"/>
    <col min="29" max="29" width="15.140625" customWidth="1"/>
    <col min="30" max="31" width="15.85546875" customWidth="1"/>
    <col min="32" max="32" width="15.7109375" customWidth="1"/>
    <col min="33" max="33" width="15.5703125" customWidth="1"/>
    <col min="34" max="34" width="15" customWidth="1"/>
    <col min="35" max="35" width="14.85546875" customWidth="1"/>
    <col min="36" max="36" width="16.140625" customWidth="1"/>
    <col min="37" max="38" width="15" customWidth="1"/>
    <col min="39" max="39" width="14.85546875" customWidth="1"/>
    <col min="40" max="40" width="14.5703125" customWidth="1"/>
    <col min="41" max="41" width="14.85546875" customWidth="1"/>
    <col min="42" max="42" width="16" customWidth="1"/>
    <col min="43" max="44" width="14.85546875" customWidth="1"/>
    <col min="45" max="45" width="15.85546875" customWidth="1"/>
    <col min="46" max="46" width="19" customWidth="1"/>
    <col min="47" max="47" width="16.28515625" customWidth="1"/>
    <col min="48" max="48" width="16.5703125" customWidth="1"/>
  </cols>
  <sheetData>
    <row r="1" spans="1:48" ht="32.25" thickBot="1" x14ac:dyDescent="0.55000000000000004">
      <c r="A1" s="1" t="s">
        <v>0</v>
      </c>
      <c r="B1" s="65" t="s">
        <v>1</v>
      </c>
      <c r="C1" s="66" t="s">
        <v>2</v>
      </c>
      <c r="D1" s="67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5" t="s">
        <v>6</v>
      </c>
      <c r="N1" s="6"/>
      <c r="O1" s="6"/>
      <c r="P1" s="7"/>
      <c r="Q1" s="5" t="s">
        <v>7</v>
      </c>
      <c r="R1" s="6"/>
      <c r="S1" s="6"/>
      <c r="T1" s="7"/>
      <c r="U1" s="8"/>
      <c r="V1" s="6" t="s">
        <v>8</v>
      </c>
      <c r="W1" s="6"/>
      <c r="X1" s="7"/>
      <c r="Y1" s="5" t="s">
        <v>9</v>
      </c>
      <c r="Z1" s="6"/>
      <c r="AA1" s="6"/>
      <c r="AB1" s="7"/>
      <c r="AC1" s="5" t="s">
        <v>10</v>
      </c>
      <c r="AD1" s="6"/>
      <c r="AE1" s="6"/>
      <c r="AF1" s="6"/>
      <c r="AG1" s="9" t="s">
        <v>11</v>
      </c>
      <c r="AH1" s="9"/>
      <c r="AI1" s="9"/>
      <c r="AJ1" s="9"/>
      <c r="AK1" s="9" t="s">
        <v>12</v>
      </c>
      <c r="AL1" s="9"/>
      <c r="AM1" s="9"/>
      <c r="AN1" s="9"/>
      <c r="AO1" s="9" t="s">
        <v>13</v>
      </c>
      <c r="AP1" s="9"/>
      <c r="AQ1" s="9"/>
      <c r="AR1" s="9"/>
      <c r="AS1" s="10" t="s">
        <v>14</v>
      </c>
      <c r="AT1" s="11" t="s">
        <v>15</v>
      </c>
      <c r="AU1" s="12" t="s">
        <v>16</v>
      </c>
      <c r="AV1" s="12" t="s">
        <v>17</v>
      </c>
    </row>
    <row r="2" spans="1:48" x14ac:dyDescent="0.25">
      <c r="A2" s="13"/>
      <c r="B2" s="70"/>
      <c r="C2" s="71"/>
      <c r="D2" s="72"/>
      <c r="E2" s="17" t="s">
        <v>18</v>
      </c>
      <c r="F2" s="18" t="s">
        <v>19</v>
      </c>
      <c r="G2" s="17" t="s">
        <v>20</v>
      </c>
      <c r="H2" s="17" t="s">
        <v>21</v>
      </c>
      <c r="I2" s="18" t="s">
        <v>18</v>
      </c>
      <c r="J2" s="19" t="s">
        <v>19</v>
      </c>
      <c r="K2" s="18" t="s">
        <v>20</v>
      </c>
      <c r="L2" s="19" t="s">
        <v>21</v>
      </c>
      <c r="M2" s="18" t="s">
        <v>18</v>
      </c>
      <c r="N2" s="17" t="s">
        <v>19</v>
      </c>
      <c r="O2" s="18" t="s">
        <v>20</v>
      </c>
      <c r="P2" s="17" t="s">
        <v>21</v>
      </c>
      <c r="Q2" s="18" t="s">
        <v>18</v>
      </c>
      <c r="R2" s="19" t="s">
        <v>19</v>
      </c>
      <c r="S2" s="18" t="s">
        <v>20</v>
      </c>
      <c r="T2" s="19" t="s">
        <v>21</v>
      </c>
      <c r="U2" s="18" t="s">
        <v>18</v>
      </c>
      <c r="V2" s="19" t="s">
        <v>19</v>
      </c>
      <c r="W2" s="18" t="s">
        <v>20</v>
      </c>
      <c r="X2" s="19" t="s">
        <v>21</v>
      </c>
      <c r="Y2" s="18" t="s">
        <v>18</v>
      </c>
      <c r="Z2" s="19" t="s">
        <v>19</v>
      </c>
      <c r="AA2" s="18" t="s">
        <v>20</v>
      </c>
      <c r="AB2" s="19" t="s">
        <v>21</v>
      </c>
      <c r="AC2" s="19" t="s">
        <v>18</v>
      </c>
      <c r="AD2" s="19" t="s">
        <v>19</v>
      </c>
      <c r="AE2" s="18" t="s">
        <v>20</v>
      </c>
      <c r="AF2" s="19" t="s">
        <v>21</v>
      </c>
      <c r="AG2" s="17" t="s">
        <v>18</v>
      </c>
      <c r="AH2" s="20" t="s">
        <v>19</v>
      </c>
      <c r="AI2" s="21" t="s">
        <v>20</v>
      </c>
      <c r="AJ2" s="22" t="s">
        <v>21</v>
      </c>
      <c r="AK2" s="17" t="s">
        <v>18</v>
      </c>
      <c r="AL2" s="17" t="s">
        <v>19</v>
      </c>
      <c r="AM2" s="18" t="s">
        <v>20</v>
      </c>
      <c r="AN2" s="17" t="s">
        <v>21</v>
      </c>
      <c r="AO2" s="17" t="s">
        <v>18</v>
      </c>
      <c r="AP2" s="17" t="s">
        <v>19</v>
      </c>
      <c r="AQ2" s="18" t="s">
        <v>20</v>
      </c>
      <c r="AR2" s="17" t="s">
        <v>21</v>
      </c>
      <c r="AS2" s="23"/>
      <c r="AT2" s="24"/>
      <c r="AU2" s="25"/>
      <c r="AV2" s="25"/>
    </row>
    <row r="3" spans="1:48" ht="18.75" x14ac:dyDescent="0.3">
      <c r="A3" s="26" t="s">
        <v>22</v>
      </c>
      <c r="B3" s="27">
        <v>100</v>
      </c>
      <c r="C3" s="27">
        <f>SUM(E3,F3,I3,J3,M3,N3,Q3,R3,U3,V3,Y3,Z3,AC3,AD3,AG3,AH3,AK3,AL3,AO3,AP3)</f>
        <v>100</v>
      </c>
      <c r="D3" s="28">
        <f t="shared" ref="D3:D49" si="0">(C3*100)/B3</f>
        <v>100</v>
      </c>
      <c r="E3" s="29">
        <f>COUNTIFS([4]InfCualitativo!$B$1:$B$6973,"VERDADERO",[4]InfCualitativo!$E$1:$E$6973,"Arroyo de las Canoas",[4]InfCualitativo!$H$1:$H$6973,"consulta_externa")</f>
        <v>37</v>
      </c>
      <c r="F3" s="29">
        <f>COUNTIFS([4]InfCualitativo!$B$1:$B$6973,"FALSO",[4]InfCualitativo!$E$1:$E$6973,"Arroyo de las Canoas",[4]InfCualitativo!$H$1:$H$6973,"consulta_externa")</f>
        <v>0</v>
      </c>
      <c r="G3" s="30">
        <f>IFERROR(E3/(E3+F3),0)</f>
        <v>1</v>
      </c>
      <c r="H3" s="30">
        <f>IFERROR(F3/(E3+F3),0)</f>
        <v>0</v>
      </c>
      <c r="I3" s="27">
        <f>COUNTIFS([4]InfCualitativo!$B$1:$B$6973,"VERDADERO",[4]InfCualitativo!$E$1:$E$6973,"Arroyo de las Canoas",[4]InfCualitativo!$H$1:$H$6973,"salud_oral")</f>
        <v>33</v>
      </c>
      <c r="J3" s="27">
        <f>COUNTIFS([4]InfCualitativo!$B$1:$B$6973,"FALSO",[4]InfCualitativo!$E$1:$E$6973,"Arroyo de las Canoas",[4]InfCualitativo!$H$1:$H$6973,"salud_oral")</f>
        <v>0</v>
      </c>
      <c r="K3" s="30">
        <f>IFERROR(I3/(I3+J3),0)</f>
        <v>1</v>
      </c>
      <c r="L3" s="30">
        <f>IFERROR(J3/(I3+J3),0)</f>
        <v>0</v>
      </c>
      <c r="M3" s="27">
        <f>COUNTIFS([4]InfCualitativo!$B$1:$B$6973,"VERDADERO",[4]InfCualitativo!$E$1:$E$6973,"Arroyo de las Canoas",[4]InfCualitativo!$H$1:$H$6973,"laboratorio")</f>
        <v>30</v>
      </c>
      <c r="N3" s="27">
        <f>COUNTIFS([4]InfCualitativo!$B$1:$B$6973,"FALSO",[4]InfCualitativo!$E$1:$E$6973,"Arroyo de las Canoas",[4]InfCualitativo!$H$1:$H$6973,"laboratorio")</f>
        <v>0</v>
      </c>
      <c r="O3" s="30">
        <f>IFERROR(M3/(M3+N3),0)</f>
        <v>1</v>
      </c>
      <c r="P3" s="31">
        <f>IFERROR(N3/(M3+N3),0)</f>
        <v>0</v>
      </c>
      <c r="Q3" s="27">
        <f>COUNTIFS([4]InfCualitativo!$B$1:$B$6973,"VERDADERO",[4]InfCualitativo!$E$1:$E$6973,"Arroyo de las Canoas",[4]InfCualitativo!$H$1:$H$6973,"electros")</f>
        <v>0</v>
      </c>
      <c r="R3" s="27">
        <f>COUNTIFS([4]InfCualitativo!$B$1:$B$6973,"FALSO",[4]InfCualitativo!$E$1:$E$6973,"Arroyo de las Canoas",[4]InfCualitativo!$H$1:$H$6973,"electros")</f>
        <v>0</v>
      </c>
      <c r="S3" s="30">
        <f>IFERROR(Q3/(Q3+R3),0)</f>
        <v>0</v>
      </c>
      <c r="T3" s="30">
        <f>IFERROR(R3/(Q3+R3),0)</f>
        <v>0</v>
      </c>
      <c r="U3" s="27">
        <f>COUNTIFS([4]InfCualitativo!$B$1:$B$6973,"VERDADERO",[4]InfCualitativo!$E$1:$E$6973,"Arroyo de las Canoas",[4]InfCualitativo!$H$1:$H$6973,"rx")</f>
        <v>0</v>
      </c>
      <c r="V3" s="27">
        <f>COUNTIFS([4]InfCualitativo!$B$1:$B$6973,"FALSO",[4]InfCualitativo!$E$1:$E$6973,"Arroyo de las Canoas",[4]InfCualitativo!$H$1:$H$6973,"rx")</f>
        <v>0</v>
      </c>
      <c r="W3" s="30">
        <f>IFERROR(U3/(U3+V3),0)</f>
        <v>0</v>
      </c>
      <c r="X3" s="30">
        <f>IFERROR(V3/(U3+V3),0)</f>
        <v>0</v>
      </c>
      <c r="Y3" s="27">
        <f>COUNTIFS([4]InfCualitativo!$B$1:$B$6973,"VERDADERO",[4]InfCualitativo!$E$1:$E$6973,"Arroyo de las Canoas",[4]InfCualitativo!$H$1:$H$6973,"ecografias")</f>
        <v>0</v>
      </c>
      <c r="Z3" s="27">
        <f>COUNTIFS([4]InfCualitativo!$B$1:$B$6973,"FALSO",[4]InfCualitativo!$E$1:$E$6973,"Arroyo de las Canoas",[4]InfCualitativo!$H$1:$H$6973,"ecografias")</f>
        <v>0</v>
      </c>
      <c r="AA3" s="30">
        <f>IFERROR(Y3/(Y3+Z3),0)</f>
        <v>0</v>
      </c>
      <c r="AB3" s="30">
        <f>IFERROR(Z3/(Y3+Z3),0)</f>
        <v>0</v>
      </c>
      <c r="AC3" s="27">
        <f>COUNTIFS([4]InfCualitativo!$B$1:$B$6973,"VERDADERO",[4]InfCualitativo!$E$1:$E$6973,"Arroyo de las Canoas",[4]InfCualitativo!$H$1:$H$6973,"urgencia")</f>
        <v>0</v>
      </c>
      <c r="AD3" s="27">
        <f>COUNTIFS([4]InfCualitativo!$B$1:$B$6973,"FALSO",[4]InfCualitativo!$E$1:$E$6973,"Arroyo de las Canoas",[4]InfCualitativo!$H$1:$H$6973,"urgencia")</f>
        <v>0</v>
      </c>
      <c r="AE3" s="30">
        <f>IFERROR(AC3/(AC3+AD3),0)</f>
        <v>0</v>
      </c>
      <c r="AF3" s="30">
        <f>IFERROR(AD3/(AC3+AD3),0)</f>
        <v>0</v>
      </c>
      <c r="AG3" s="27">
        <f>COUNTIFS([4]InfCualitativo!$B$1:$B$6973,"VERDADERO",[4]InfCualitativo!$E$1:$E$6973,"Arroyo de las Canoas",[4]InfCualitativo!$H$1:$H$6973,"pediatria")</f>
        <v>0</v>
      </c>
      <c r="AH3" s="27">
        <f>COUNTIFS([4]InfCualitativo!$B$1:$B$6973,"FALSO",[4]InfCualitativo!$E$1:$E$6973,"Arroyo de las Canoas",[4]InfCualitativo!$H$1:$H$6973,"pediatria")</f>
        <v>0</v>
      </c>
      <c r="AI3" s="30">
        <f>IFERROR(AG3/(AG3+AH3),0)</f>
        <v>0</v>
      </c>
      <c r="AJ3" s="30">
        <f>IFERROR(AH3/(AG3+AH3),0)</f>
        <v>0</v>
      </c>
      <c r="AK3" s="27">
        <f>COUNTIFS([4]InfCualitativo!$B$1:$B$6973,"VERDADERO",[4]InfCualitativo!$E$1:$E$6973,"Arroyo de las Canoas",[4]InfCualitativo!$H$1:$H$6973,"medicina_interna")</f>
        <v>0</v>
      </c>
      <c r="AL3" s="27">
        <f>COUNTIFS([4]InfCualitativo!$B$1:$B$6973,"FALSO",[4]InfCualitativo!$E$1:$E$6973,"Arroyo de las Canoas",[4]InfCualitativo!$H$1:$H$6973,"medicina_interna")</f>
        <v>0</v>
      </c>
      <c r="AM3" s="30">
        <f>IFERROR(AK3/(AK3+AL3),0)</f>
        <v>0</v>
      </c>
      <c r="AN3" s="30">
        <f>IFERROR(AL3/(AK3+AL3),0)</f>
        <v>0</v>
      </c>
      <c r="AO3" s="27">
        <f>COUNTIFS([4]InfCualitativo!$B$1:$B$6973,"VERDADERO",[4]InfCualitativo!$E$1:$E$6973,"Arroyo de las Canoas",[4]InfCualitativo!$H$1:$H$6973,"ginecologia")</f>
        <v>0</v>
      </c>
      <c r="AP3" s="27">
        <f>COUNTIFS([4]InfCualitativo!$B$1:$B$6973,"FALSO",[4]InfCualitativo!$E$1:$E$6973,"Arroyo de las Canoas",[4]InfCualitativo!$H$1:$H$6973,"ginecologia")</f>
        <v>0</v>
      </c>
      <c r="AQ3" s="30">
        <f>IFERROR(AO3/(AO3+AP3),0)</f>
        <v>0</v>
      </c>
      <c r="AR3" s="30">
        <f>IFERROR(AP3/(AO3+AP3),0)</f>
        <v>0</v>
      </c>
      <c r="AS3" s="27">
        <f>SUM(E3+I3+M3+Q3+U3+Y3+AC3+AG3+AK3+AO3)</f>
        <v>100</v>
      </c>
      <c r="AT3" s="27">
        <f>SUM(F3+J3+N3+R3+V3+Z3+AD3+AH3+AL3+AP3)</f>
        <v>0</v>
      </c>
      <c r="AU3" s="32">
        <f>IFERROR(AS3/(AS3+AT3),0)</f>
        <v>1</v>
      </c>
      <c r="AV3" s="32">
        <f>IFERROR(AT3/(AS3+AT3),0)</f>
        <v>0</v>
      </c>
    </row>
    <row r="4" spans="1:48" ht="18.75" x14ac:dyDescent="0.3">
      <c r="A4" s="26" t="s">
        <v>23</v>
      </c>
      <c r="B4" s="27">
        <v>116</v>
      </c>
      <c r="C4" s="27">
        <f t="shared" ref="C4:C50" si="1">SUM(E4,F4,I4,J4,M4,N4,Q4,R4,U4,V4,Y4,Z4,AC4,AD4,AG4,AH4,AK4,AL4,AO4,AP4)</f>
        <v>116</v>
      </c>
      <c r="D4" s="28">
        <f t="shared" si="0"/>
        <v>100</v>
      </c>
      <c r="E4" s="29">
        <f>COUNTIFS([4]InfCualitativo!$B$1:$B$6973,"VERDADERO",[4]InfCualitativo!$E$1:$E$6973,"Arroyo de Piedra",[4]InfCualitativo!$H$1:$H$6973,"consulta_externa")</f>
        <v>39</v>
      </c>
      <c r="F4" s="29">
        <f>COUNTIFS([4]InfCualitativo!$B$1:$B$6973,"FALSO",[4]InfCualitativo!$E$1:$E$6973,"Arroyo de Piedra",[4]InfCualitativo!$H$1:$H$6973,"consulta_externa")</f>
        <v>0</v>
      </c>
      <c r="G4" s="30">
        <f t="shared" ref="G4:G50" si="2">IFERROR(E4/(E4+F4),0)</f>
        <v>1</v>
      </c>
      <c r="H4" s="30">
        <f t="shared" ref="H4:H50" si="3">IFERROR(F4/(E4+F4),0)</f>
        <v>0</v>
      </c>
      <c r="I4" s="27">
        <f>COUNTIFS([4]InfCualitativo!$B$1:$B$6973,"VERDADERO",[4]InfCualitativo!$E$1:$E$6973,"Arroyo de Piedra",[4]InfCualitativo!$H$1:$H$6973,"salud_oral")</f>
        <v>38</v>
      </c>
      <c r="J4" s="27">
        <f>COUNTIFS([4]InfCualitativo!$B$1:$B$6973,"FALSO",[4]InfCualitativo!$E$1:$E$6973,"Arroyo de Piedra",[4]InfCualitativo!$H$1:$H$6973,"salud_oral")</f>
        <v>0</v>
      </c>
      <c r="K4" s="30">
        <f t="shared" ref="K4:K50" si="4">IFERROR(I4/(I4+J4),0)</f>
        <v>1</v>
      </c>
      <c r="L4" s="30">
        <f t="shared" ref="L4:L50" si="5">IFERROR(J4/(I4+J4),0)</f>
        <v>0</v>
      </c>
      <c r="M4" s="27">
        <f>COUNTIFS([4]InfCualitativo!$B$1:$B$6973,"VERDADERO",[4]InfCualitativo!$E$1:$E$6973,"Arroyo de Piedra",[4]InfCualitativo!$H$1:$H$6973,"laboratorio")</f>
        <v>39</v>
      </c>
      <c r="N4" s="27">
        <f>COUNTIFS([4]InfCualitativo!$B$1:$B$6973,"FALSO",[4]InfCualitativo!$E$1:$E$6973,"Arroyo de Piedra",[4]InfCualitativo!$H$1:$H$6973,"laboratorio")</f>
        <v>0</v>
      </c>
      <c r="O4" s="30">
        <f t="shared" ref="O4:O50" si="6">IFERROR(M4/(M4+N4),0)</f>
        <v>1</v>
      </c>
      <c r="P4" s="31">
        <f t="shared" ref="P4:P50" si="7">IFERROR(N4/(M4+N4),0)</f>
        <v>0</v>
      </c>
      <c r="Q4" s="27">
        <f>COUNTIFS([4]InfCualitativo!$B$1:$B$6973,"VERDADERO",[4]InfCualitativo!$E$1:$E$6973,"Arroyo de Piedra",[4]InfCualitativo!$H$1:$H$6973,"electros")</f>
        <v>0</v>
      </c>
      <c r="R4" s="27">
        <f>COUNTIFS([4]InfCualitativo!$B$1:$B$6973,"FALSO",[4]InfCualitativo!$E$1:$E$6973,"Arroyo de Piedra",[4]InfCualitativo!$H$1:$H$6973,"electros")</f>
        <v>0</v>
      </c>
      <c r="S4" s="30">
        <f t="shared" ref="S4:S50" si="8">IFERROR(Q4/(Q4+R4),0)</f>
        <v>0</v>
      </c>
      <c r="T4" s="30">
        <f t="shared" ref="T4:T50" si="9">IFERROR(R4/(Q4+R4),0)</f>
        <v>0</v>
      </c>
      <c r="U4" s="27">
        <f>COUNTIFS([4]InfCualitativo!$B$1:$B$6973,"VERDADERO",[4]InfCualitativo!$E$1:$E$6973,"Arroyo de Piedra",[4]InfCualitativo!$H$1:$H$6973,"rx")</f>
        <v>0</v>
      </c>
      <c r="V4" s="27">
        <f>COUNTIFS([4]InfCualitativo!$B$1:$B$6973,"FALSO",[4]InfCualitativo!$E$1:$E$6973,"Arroyo de Piedra",[4]InfCualitativo!$H$1:$H$6973,"rx")</f>
        <v>0</v>
      </c>
      <c r="W4" s="30">
        <f t="shared" ref="W4:W50" si="10">IFERROR(U4/(U4+V4),0)</f>
        <v>0</v>
      </c>
      <c r="X4" s="30">
        <f t="shared" ref="X4:X50" si="11">IFERROR(V4/(U4+V4),0)</f>
        <v>0</v>
      </c>
      <c r="Y4" s="27">
        <f>COUNTIFS([4]InfCualitativo!$B$1:$B$6973,"VERDADERO",[4]InfCualitativo!$E$1:$E$6973,"Arroyo de Piedra",[4]InfCualitativo!$H$1:$H$6973,"ecografias")</f>
        <v>0</v>
      </c>
      <c r="Z4" s="27">
        <f>COUNTIFS([4]InfCualitativo!$B$1:$B$6973,"FALSO",[4]InfCualitativo!$E$1:$E$6973,"Arroyo de Piedra",[4]InfCualitativo!$H$1:$H$6973,"ecografias")</f>
        <v>0</v>
      </c>
      <c r="AA4" s="30">
        <f t="shared" ref="AA4:AA50" si="12">IFERROR(Y4/(Y4+Z4),0)</f>
        <v>0</v>
      </c>
      <c r="AB4" s="30">
        <f t="shared" ref="AB4:AB50" si="13">IFERROR(Z4/(Y4+Z4),0)</f>
        <v>0</v>
      </c>
      <c r="AC4" s="27">
        <f>COUNTIFS([4]InfCualitativo!$B$1:$B$6973,"VERDADERO",[4]InfCualitativo!$E$1:$E$6973,"Arroyo de Piedra",[4]InfCualitativo!$H$1:$H$6973,"urgencia")</f>
        <v>0</v>
      </c>
      <c r="AD4" s="27">
        <f>COUNTIFS([4]InfCualitativo!$B$1:$B$6973,"FALSO",[4]InfCualitativo!$E$1:$E$6973,"Arroyo de Piedra",[4]InfCualitativo!$H$1:$H$6973,"urgencia")</f>
        <v>0</v>
      </c>
      <c r="AE4" s="30">
        <f t="shared" ref="AE4:AE50" si="14">IFERROR(AC4/(AC4+AD4),0)</f>
        <v>0</v>
      </c>
      <c r="AF4" s="30">
        <f t="shared" ref="AF4:AF50" si="15">IFERROR(AD4/(AC4+AD4),0)</f>
        <v>0</v>
      </c>
      <c r="AG4" s="27">
        <f>COUNTIFS([4]InfCualitativo!$B$1:$B$6973,"VERDADERO",[4]InfCualitativo!$E$1:$E$6973,"Arroyo de Piedra",[4]InfCualitativo!$H$1:$H$6973,"pediatria")</f>
        <v>0</v>
      </c>
      <c r="AH4" s="27">
        <f>COUNTIFS([4]InfCualitativo!$B$1:$B$6973,"FALSO",[4]InfCualitativo!$E$1:$E$6973,"Arroyo de Piedra",[4]InfCualitativo!$H$1:$H$6973,"pediatria")</f>
        <v>0</v>
      </c>
      <c r="AI4" s="30">
        <f t="shared" ref="AI4:AI50" si="16">IFERROR(AG4/(AG4+AH4),0)</f>
        <v>0</v>
      </c>
      <c r="AJ4" s="30">
        <f t="shared" ref="AJ4:AJ50" si="17">IFERROR(AH4/(AG4+AH4),0)</f>
        <v>0</v>
      </c>
      <c r="AK4" s="27">
        <f>COUNTIFS([4]InfCualitativo!$B$1:$B$6973,"VERDADERO",[4]InfCualitativo!$E$1:$E$6973,"Arroyo de Piedra",[4]InfCualitativo!$H$1:$H$6973,"medicina_interna")</f>
        <v>0</v>
      </c>
      <c r="AL4" s="27">
        <f>COUNTIFS([4]InfCualitativo!$B$1:$B$6973,"FALSO",[4]InfCualitativo!$E$1:$E$6973,"Arroyo de Piedra",[4]InfCualitativo!$H$1:$H$6973,"medicina_interna")</f>
        <v>0</v>
      </c>
      <c r="AM4" s="30">
        <f t="shared" ref="AM4:AM50" si="18">IFERROR(AK4/(AK4+AL4),0)</f>
        <v>0</v>
      </c>
      <c r="AN4" s="30">
        <f t="shared" ref="AN4:AN50" si="19">IFERROR(AL4/(AK4+AL4),0)</f>
        <v>0</v>
      </c>
      <c r="AO4" s="27">
        <f>COUNTIFS([4]InfCualitativo!$B$1:$B$6973,"VERDADERO",[4]InfCualitativo!$E$1:$E$6973,"Arroyo de Piedra",[4]InfCualitativo!$H$1:$H$6973,"ginecologia")</f>
        <v>0</v>
      </c>
      <c r="AP4" s="27">
        <f>COUNTIFS([4]InfCualitativo!$B$1:$B$6973,"FALSO",[4]InfCualitativo!$E$1:$E$6973,"Arroyo de Piedra",[4]InfCualitativo!$H$1:$H$6973,"ginecologia")</f>
        <v>0</v>
      </c>
      <c r="AQ4" s="30">
        <f t="shared" ref="AQ4:AQ50" si="20">IFERROR(AO4/(AO4+AP4),0)</f>
        <v>0</v>
      </c>
      <c r="AR4" s="30">
        <f t="shared" ref="AR4:AR50" si="21">IFERROR(AP4/(AO4+AP4),0)</f>
        <v>0</v>
      </c>
      <c r="AS4" s="27">
        <f t="shared" ref="AS4:AT50" si="22">SUM(E4+I4+M4+Q4+U4+Y4+AC4+AG4+AK4+AO4)</f>
        <v>116</v>
      </c>
      <c r="AT4" s="27">
        <f t="shared" si="22"/>
        <v>0</v>
      </c>
      <c r="AU4" s="32">
        <f t="shared" ref="AU4:AU50" si="23">IFERROR(AS4/(AS4+AT4),0)</f>
        <v>1</v>
      </c>
      <c r="AV4" s="32">
        <f t="shared" ref="AV4:AV50" si="24">IFERROR(AT4/(AS4+AT4),0)</f>
        <v>0</v>
      </c>
    </row>
    <row r="5" spans="1:48" ht="18.75" x14ac:dyDescent="0.3">
      <c r="A5" s="26" t="s">
        <v>24</v>
      </c>
      <c r="B5" s="27">
        <v>128</v>
      </c>
      <c r="C5" s="27">
        <f t="shared" si="1"/>
        <v>128</v>
      </c>
      <c r="D5" s="28">
        <f t="shared" si="0"/>
        <v>100</v>
      </c>
      <c r="E5" s="29">
        <f>COUNTIFS([4]InfCualitativo!$B$1:$B$6973,"VERDADERO",[4]InfCualitativo!$E$1:$E$6973,"Arroyo Grande",[4]InfCualitativo!$H$1:$H$6973,"consulta_externa")</f>
        <v>46</v>
      </c>
      <c r="F5" s="29">
        <f>COUNTIFS([4]InfCualitativo!$B$1:$B$6973,"FALSO",[4]InfCualitativo!$E$1:$E$6973,"Arroyo Grande",[4]InfCualitativo!$H$1:$H$6973,"consulta_externa")</f>
        <v>0</v>
      </c>
      <c r="G5" s="30">
        <f t="shared" si="2"/>
        <v>1</v>
      </c>
      <c r="H5" s="30">
        <f t="shared" si="3"/>
        <v>0</v>
      </c>
      <c r="I5" s="27">
        <f>COUNTIFS([4]InfCualitativo!$B$1:$B$6973,"VERDADERO",[4]InfCualitativo!$E$1:$E$6973,"Arroyo Grande",[4]InfCualitativo!$H$1:$H$6973,"salud_oral")</f>
        <v>43</v>
      </c>
      <c r="J5" s="27">
        <f>COUNTIFS([4]InfCualitativo!$B$1:$B$6973,"FALSO",[4]InfCualitativo!$E$1:$E$6973,"Arroyo Grande",[4]InfCualitativo!$H$1:$H$6973,"salud_oral")</f>
        <v>0</v>
      </c>
      <c r="K5" s="30">
        <f t="shared" si="4"/>
        <v>1</v>
      </c>
      <c r="L5" s="30">
        <f t="shared" si="5"/>
        <v>0</v>
      </c>
      <c r="M5" s="27">
        <f>COUNTIFS([4]InfCualitativo!$B$1:$B$6973,"VERDADERO",[4]InfCualitativo!$E$1:$E$6973,"Arroyo Grande",[4]InfCualitativo!$H$1:$H$6973,"laboratorio")</f>
        <v>39</v>
      </c>
      <c r="N5" s="27">
        <f>COUNTIFS([4]InfCualitativo!$B$1:$B$6973,"FALSO",[4]InfCualitativo!$E$1:$E$6973,"Arroyo Grande",[4]InfCualitativo!$H$1:$H$6973,"laboratorio")</f>
        <v>0</v>
      </c>
      <c r="O5" s="30">
        <f t="shared" si="6"/>
        <v>1</v>
      </c>
      <c r="P5" s="31">
        <f t="shared" si="7"/>
        <v>0</v>
      </c>
      <c r="Q5" s="27">
        <f>COUNTIFS([4]InfCualitativo!$B$1:$B$6973,"VERDADERO",[4]InfCualitativo!$E$1:$E$6973,"Arroyo Grande",[4]InfCualitativo!$H$1:$H$6973,"electros")</f>
        <v>0</v>
      </c>
      <c r="R5" s="27">
        <f>COUNTIFS([4]InfCualitativo!$B$1:$B$6973,"FALSO",[4]InfCualitativo!$E$1:$E$6973,"Arroyo Grande",[4]InfCualitativo!$H$1:$H$6973,"electros")</f>
        <v>0</v>
      </c>
      <c r="S5" s="30">
        <f t="shared" si="8"/>
        <v>0</v>
      </c>
      <c r="T5" s="30">
        <f t="shared" si="9"/>
        <v>0</v>
      </c>
      <c r="U5" s="27">
        <f>COUNTIFS([4]InfCualitativo!$B$1:$B$6973,"VERDADERO",[4]InfCualitativo!$E$1:$E$6973,"Arroyo Grande",[4]InfCualitativo!$H$1:$H$6973,"rx")</f>
        <v>0</v>
      </c>
      <c r="V5" s="27">
        <f>COUNTIFS([4]InfCualitativo!$B$1:$B$6973,"FALSO",[4]InfCualitativo!$E$1:$E$6973,"Arroyo Grande",[4]InfCualitativo!$H$1:$H$6973,"rx")</f>
        <v>0</v>
      </c>
      <c r="W5" s="30">
        <f t="shared" si="10"/>
        <v>0</v>
      </c>
      <c r="X5" s="30">
        <f t="shared" si="11"/>
        <v>0</v>
      </c>
      <c r="Y5" s="27">
        <f>COUNTIFS([4]InfCualitativo!$B$1:$B$6973,"VERDADERO",[4]InfCualitativo!$E$1:$E$6973,"Arroyo Grande",[4]InfCualitativo!$H$1:$H$6973,"ecografias")</f>
        <v>0</v>
      </c>
      <c r="Z5" s="27">
        <f>COUNTIFS([4]InfCualitativo!$B$1:$B$6973,"FALSO",[4]InfCualitativo!$E$1:$E$6973,"Arroyo Grande",[4]InfCualitativo!$H$1:$H$6973,"ecografias")</f>
        <v>0</v>
      </c>
      <c r="AA5" s="30">
        <f t="shared" si="12"/>
        <v>0</v>
      </c>
      <c r="AB5" s="30">
        <f t="shared" si="13"/>
        <v>0</v>
      </c>
      <c r="AC5" s="27">
        <f>COUNTIFS([4]InfCualitativo!$B$1:$B$6973,"VERDADERO",[4]InfCualitativo!$E$1:$E$6973,"Arroyo Grande",[4]InfCualitativo!$H$1:$H$6973,"urgencia")</f>
        <v>0</v>
      </c>
      <c r="AD5" s="27">
        <f>COUNTIFS([4]InfCualitativo!$B$1:$B$6973,"FALSO",[4]InfCualitativo!$E$1:$E$6973,"Arroyo Grande",[4]InfCualitativo!$H$1:$H$6973,"urgencia")</f>
        <v>0</v>
      </c>
      <c r="AE5" s="30">
        <f t="shared" si="14"/>
        <v>0</v>
      </c>
      <c r="AF5" s="30">
        <f t="shared" si="15"/>
        <v>0</v>
      </c>
      <c r="AG5" s="27">
        <f>COUNTIFS([4]InfCualitativo!$B$1:$B$6973,"VERDADERO",[4]InfCualitativo!$E$1:$E$6973,"Arroyo Grande",[4]InfCualitativo!$H$1:$H$6973,"pediatria")</f>
        <v>0</v>
      </c>
      <c r="AH5" s="27">
        <f>COUNTIFS([4]InfCualitativo!$B$1:$B$6973,"FALSO",[4]InfCualitativo!$E$1:$E$6973,"Arroyo Grande",[4]InfCualitativo!$H$1:$H$6973,"pediatria")</f>
        <v>0</v>
      </c>
      <c r="AI5" s="30">
        <f t="shared" si="16"/>
        <v>0</v>
      </c>
      <c r="AJ5" s="30">
        <f t="shared" si="17"/>
        <v>0</v>
      </c>
      <c r="AK5" s="27">
        <f>COUNTIFS([4]InfCualitativo!$B$1:$B$6973,"VERDADERO",[4]InfCualitativo!$E$1:$E$6973,"Arroyo Grande",[4]InfCualitativo!$H$1:$H$6973,"medicina_interna")</f>
        <v>0</v>
      </c>
      <c r="AL5" s="27">
        <f>COUNTIFS([4]InfCualitativo!$B$1:$B$6973,"FALSO",[4]InfCualitativo!$E$1:$E$6973,"Arroyo Grande",[4]InfCualitativo!$H$1:$H$6973,"medicina_interna")</f>
        <v>0</v>
      </c>
      <c r="AM5" s="30">
        <f t="shared" si="18"/>
        <v>0</v>
      </c>
      <c r="AN5" s="30">
        <f t="shared" si="19"/>
        <v>0</v>
      </c>
      <c r="AO5" s="27">
        <f>COUNTIFS([4]InfCualitativo!$B$1:$B$6973,"VERDADERO",[4]InfCualitativo!$E$1:$E$6973,"Arroyo Grande",[4]InfCualitativo!$H$1:$H$6973,"ginecologia")</f>
        <v>0</v>
      </c>
      <c r="AP5" s="27">
        <f>COUNTIFS([4]InfCualitativo!$B$1:$B$6973,"FALSO",[4]InfCualitativo!$E$1:$E$6973,"Arroyo Grande",[4]InfCualitativo!$H$1:$H$6973,"ginecologia")</f>
        <v>0</v>
      </c>
      <c r="AQ5" s="30">
        <f t="shared" si="20"/>
        <v>0</v>
      </c>
      <c r="AR5" s="30">
        <f t="shared" si="21"/>
        <v>0</v>
      </c>
      <c r="AS5" s="27">
        <f t="shared" si="22"/>
        <v>128</v>
      </c>
      <c r="AT5" s="27">
        <f t="shared" si="22"/>
        <v>0</v>
      </c>
      <c r="AU5" s="32">
        <f t="shared" si="23"/>
        <v>1</v>
      </c>
      <c r="AV5" s="32">
        <f t="shared" si="24"/>
        <v>0</v>
      </c>
    </row>
    <row r="6" spans="1:48" ht="18.75" x14ac:dyDescent="0.3">
      <c r="A6" s="26" t="s">
        <v>25</v>
      </c>
      <c r="B6" s="27">
        <v>236</v>
      </c>
      <c r="C6" s="27">
        <f t="shared" si="1"/>
        <v>236</v>
      </c>
      <c r="D6" s="28">
        <f t="shared" si="0"/>
        <v>100</v>
      </c>
      <c r="E6" s="29">
        <f>COUNTIFS([4]InfCualitativo!$B$1:$B$6973,"VERDADERO",[4]InfCualitativo!$E$1:$E$6973,"Arroz Barato",[4]InfCualitativo!$H$1:$H$6973,"consulta_externa")</f>
        <v>31</v>
      </c>
      <c r="F6" s="29">
        <f>COUNTIFS([4]InfCualitativo!$B$1:$B$6973,"FALSO",[4]InfCualitativo!$E$1:$E$6973,"Arroz Barato",[4]InfCualitativo!$H$1:$H$6973,"consulta_externa")</f>
        <v>17</v>
      </c>
      <c r="G6" s="30">
        <f t="shared" si="2"/>
        <v>0.64583333333333337</v>
      </c>
      <c r="H6" s="30">
        <f t="shared" si="3"/>
        <v>0.35416666666666669</v>
      </c>
      <c r="I6" s="27">
        <f>COUNTIFS([4]InfCualitativo!$B$1:$B$6973,"VERDADERO",[4]InfCualitativo!$E$1:$E$6973,"Arroz Barato",[4]InfCualitativo!$H$1:$H$6973,"salud_oral")</f>
        <v>34</v>
      </c>
      <c r="J6" s="27">
        <f>COUNTIFS([4]InfCualitativo!$B$1:$B$6973,"FALSO",[4]InfCualitativo!$E$1:$E$6973,"Arroz Barato",[4]InfCualitativo!$H$1:$H$6973,"salud_oral")</f>
        <v>14</v>
      </c>
      <c r="K6" s="30">
        <f t="shared" si="4"/>
        <v>0.70833333333333337</v>
      </c>
      <c r="L6" s="30">
        <f t="shared" si="5"/>
        <v>0.29166666666666669</v>
      </c>
      <c r="M6" s="27">
        <f>COUNTIFS([4]InfCualitativo!$B$1:$B$6973,"VERDADERO",[4]InfCualitativo!$E$1:$E$6973,"Arroz Barato",[4]InfCualitativo!$H$1:$H$6973,"laboratorio")</f>
        <v>43</v>
      </c>
      <c r="N6" s="27">
        <f>COUNTIFS([4]InfCualitativo!$B$1:$B$6973,"FALSO",[4]InfCualitativo!$E$1:$E$6973,"Arroz Barato",[4]InfCualitativo!$H$1:$H$6973,"laboratorio")</f>
        <v>5</v>
      </c>
      <c r="O6" s="30">
        <f t="shared" si="6"/>
        <v>0.89583333333333337</v>
      </c>
      <c r="P6" s="31">
        <f t="shared" si="7"/>
        <v>0.10416666666666667</v>
      </c>
      <c r="Q6" s="27">
        <f>COUNTIFS([4]InfCualitativo!$B$1:$B$6973,"VERDADERO",[4]InfCualitativo!$E$1:$E$6973,"Arroz Barato",[4]InfCualitativo!$H$1:$H$6973,"electros")</f>
        <v>0</v>
      </c>
      <c r="R6" s="27">
        <f>COUNTIFS([4]InfCualitativo!$B$1:$B$6973,"FALSO",[4]InfCualitativo!$E$1:$E$6973,"Arroz Barato",[4]InfCualitativo!$H$1:$H$6973,"electros")</f>
        <v>0</v>
      </c>
      <c r="S6" s="30">
        <f t="shared" si="8"/>
        <v>0</v>
      </c>
      <c r="T6" s="30">
        <f t="shared" si="9"/>
        <v>0</v>
      </c>
      <c r="U6" s="27">
        <f>COUNTIFS([4]InfCualitativo!$B$1:$B$6973,"VERDADERO",[4]InfCualitativo!$E$1:$E$6973,"Arroz Barato",[4]InfCualitativo!$H$1:$H$6973,"rx")</f>
        <v>47</v>
      </c>
      <c r="V6" s="27">
        <f>COUNTIFS([4]InfCualitativo!$B$1:$B$6973,"FALSO",[4]InfCualitativo!$E$1:$E$6973,"Arroz Barato",[4]InfCualitativo!$H$1:$H$6973,"rx")</f>
        <v>1</v>
      </c>
      <c r="W6" s="30">
        <f t="shared" si="10"/>
        <v>0.97916666666666663</v>
      </c>
      <c r="X6" s="30">
        <f t="shared" si="11"/>
        <v>2.0833333333333332E-2</v>
      </c>
      <c r="Y6" s="27">
        <f>COUNTIFS([4]InfCualitativo!$B$1:$B$6973,"VERDADERO",[4]InfCualitativo!$E$1:$E$6973,"Arroz Barato",[4]InfCualitativo!$H$1:$H$6973,"ecografias")</f>
        <v>0</v>
      </c>
      <c r="Z6" s="27">
        <f>COUNTIFS([4]InfCualitativo!$B$1:$B$6973,"FALSO",[4]InfCualitativo!$E$1:$E$6973,"Arroz Barato",[4]InfCualitativo!$H$1:$H$6973,"ecografias")</f>
        <v>0</v>
      </c>
      <c r="AA6" s="30">
        <f t="shared" si="12"/>
        <v>0</v>
      </c>
      <c r="AB6" s="30">
        <f t="shared" si="13"/>
        <v>0</v>
      </c>
      <c r="AC6" s="27">
        <f>COUNTIFS([4]InfCualitativo!$B$1:$B$6973,"VERDADERO",[4]InfCualitativo!$E$1:$E$6973,"Arroz Barato",[4]InfCualitativo!$H$1:$H$6973,"urgencia")</f>
        <v>32</v>
      </c>
      <c r="AD6" s="27">
        <f>COUNTIFS([4]InfCualitativo!$B$1:$B$6973,"FALSO",[4]InfCualitativo!$E$1:$E$6973,"Arroz Barato",[4]InfCualitativo!$H$1:$H$6973,"urgencia")</f>
        <v>12</v>
      </c>
      <c r="AE6" s="30">
        <f t="shared" si="14"/>
        <v>0.72727272727272729</v>
      </c>
      <c r="AF6" s="30">
        <f t="shared" si="15"/>
        <v>0.27272727272727271</v>
      </c>
      <c r="AG6" s="27">
        <f>COUNTIFS([4]InfCualitativo!$B$1:$B$6973,"VERDADERO",[4]InfCualitativo!$E$1:$E$6973,"Arroz Barato",[4]InfCualitativo!$H$1:$H$6973,"pediatria")</f>
        <v>0</v>
      </c>
      <c r="AH6" s="27">
        <f>COUNTIFS([4]InfCualitativo!$B$1:$B$6973,"FALSO",[4]InfCualitativo!$E$1:$E$6973,"Arroz Barato",[4]InfCualitativo!$H$1:$H$6973,"pediatria")</f>
        <v>0</v>
      </c>
      <c r="AI6" s="30">
        <f t="shared" si="16"/>
        <v>0</v>
      </c>
      <c r="AJ6" s="30">
        <f t="shared" si="17"/>
        <v>0</v>
      </c>
      <c r="AK6" s="27">
        <f>COUNTIFS([4]InfCualitativo!$B$1:$B$6973,"VERDADERO",[4]InfCualitativo!$E$1:$E$6973,"Arroz Barato",[4]InfCualitativo!$H$1:$H$6973,"medicina_interna")</f>
        <v>0</v>
      </c>
      <c r="AL6" s="27">
        <f>COUNTIFS([4]InfCualitativo!$B$1:$B$6973,"FALSO",[4]InfCualitativo!$E$1:$E$6973,"Arroz Barato",[4]InfCualitativo!$H$1:$H$6973,"medicina_interna")</f>
        <v>0</v>
      </c>
      <c r="AM6" s="30">
        <f t="shared" si="18"/>
        <v>0</v>
      </c>
      <c r="AN6" s="30">
        <f t="shared" si="19"/>
        <v>0</v>
      </c>
      <c r="AO6" s="27">
        <f>COUNTIFS([4]InfCualitativo!$B$1:$B$6973,"VERDADERO",[4]InfCualitativo!$E$1:$E$6973,"Arroz Barato",[4]InfCualitativo!$H$1:$H$6973,"ginecologia")</f>
        <v>0</v>
      </c>
      <c r="AP6" s="27">
        <f>COUNTIFS([4]InfCualitativo!$B$1:$B$6973,"FALSO",[4]InfCualitativo!$E$1:$E$6973,"Arroz Barato",[4]InfCualitativo!$H$1:$H$6973,"ginecologia")</f>
        <v>0</v>
      </c>
      <c r="AQ6" s="30">
        <f t="shared" si="20"/>
        <v>0</v>
      </c>
      <c r="AR6" s="30">
        <f t="shared" si="21"/>
        <v>0</v>
      </c>
      <c r="AS6" s="27">
        <f t="shared" si="22"/>
        <v>187</v>
      </c>
      <c r="AT6" s="27">
        <f t="shared" si="22"/>
        <v>49</v>
      </c>
      <c r="AU6" s="32">
        <f t="shared" si="23"/>
        <v>0.7923728813559322</v>
      </c>
      <c r="AV6" s="32">
        <f t="shared" si="24"/>
        <v>0.2076271186440678</v>
      </c>
    </row>
    <row r="7" spans="1:48" ht="18.75" x14ac:dyDescent="0.3">
      <c r="A7" s="26" t="s">
        <v>26</v>
      </c>
      <c r="B7" s="27">
        <v>224</v>
      </c>
      <c r="C7" s="27">
        <f t="shared" si="1"/>
        <v>188</v>
      </c>
      <c r="D7" s="28">
        <f t="shared" si="0"/>
        <v>83.928571428571431</v>
      </c>
      <c r="E7" s="29">
        <f>COUNTIFS([4]InfCualitativo!$B$1:$B$6973,"VERDADERO",[4]InfCualitativo!$E$1:$E$6973,"Bayunca",[4]InfCualitativo!$H$1:$H$6973,"consulta_externa")</f>
        <v>47</v>
      </c>
      <c r="F7" s="29">
        <f>COUNTIFS([4]InfCualitativo!$B$1:$B$6973,"FALSO",[4]InfCualitativo!$E$1:$E$6973,"Bayunca",[4]InfCualitativo!$H$1:$H$6973,"consulta_externa")</f>
        <v>0</v>
      </c>
      <c r="G7" s="30">
        <f t="shared" si="2"/>
        <v>1</v>
      </c>
      <c r="H7" s="30">
        <f t="shared" si="3"/>
        <v>0</v>
      </c>
      <c r="I7" s="27">
        <f>COUNTIFS([4]InfCualitativo!$B$1:$B$6973,"VERDADERO",[4]InfCualitativo!$E$1:$E$6973,"Bayunca",[4]InfCualitativo!$H$1:$H$6973,"salud_oral")</f>
        <v>48</v>
      </c>
      <c r="J7" s="27">
        <f>COUNTIFS([4]InfCualitativo!$B$1:$B$6973,"FALSO",[4]InfCualitativo!$E$1:$E$6973,"Bayunca",[4]InfCualitativo!$H$1:$H$6973,"salud_oral")</f>
        <v>0</v>
      </c>
      <c r="K7" s="30">
        <f t="shared" si="4"/>
        <v>1</v>
      </c>
      <c r="L7" s="30">
        <f t="shared" si="5"/>
        <v>0</v>
      </c>
      <c r="M7" s="27">
        <f>COUNTIFS([4]InfCualitativo!$B$1:$B$6973,"VERDADERO",[4]InfCualitativo!$E$1:$E$6973,"Bayunca",[4]InfCualitativo!$H$1:$H$6973,"laboratorio")</f>
        <v>48</v>
      </c>
      <c r="N7" s="27">
        <f>COUNTIFS([4]InfCualitativo!$B$1:$B$6973,"FALSO",[4]InfCualitativo!$E$1:$E$6973,"Bayunca",[4]InfCualitativo!$H$1:$H$6973,"laboratorio")</f>
        <v>0</v>
      </c>
      <c r="O7" s="30">
        <f t="shared" si="6"/>
        <v>1</v>
      </c>
      <c r="P7" s="31">
        <f t="shared" si="7"/>
        <v>0</v>
      </c>
      <c r="Q7" s="27">
        <f>COUNTIFS([4]InfCualitativo!$B$1:$B$6973,"VERDADERO",[4]InfCualitativo!$E$1:$E$6973,"Bayunca",[4]InfCualitativo!$H$1:$H$6973,"electros")</f>
        <v>0</v>
      </c>
      <c r="R7" s="27">
        <f>COUNTIFS([4]InfCualitativo!$B$1:$B$6973,"FALSO",[4]InfCualitativo!$E$1:$E$6973,"Bayunca",[4]InfCualitativo!$H$1:$H$6973,"electros")</f>
        <v>0</v>
      </c>
      <c r="S7" s="30">
        <f t="shared" si="8"/>
        <v>0</v>
      </c>
      <c r="T7" s="30">
        <f t="shared" si="9"/>
        <v>0</v>
      </c>
      <c r="U7" s="27">
        <f>COUNTIFS([4]InfCualitativo!$B$1:$B$6973,"VERDADERO",[4]InfCualitativo!$E$1:$E$6973,"Bayunca",[4]InfCualitativo!$H$1:$H$6973,"rx")</f>
        <v>0</v>
      </c>
      <c r="V7" s="27">
        <f>COUNTIFS([4]InfCualitativo!$B$1:$B$6973,"FALSO",[4]InfCualitativo!$E$1:$E$6973,"Bayunca",[4]InfCualitativo!$H$1:$H$6973,"rx")</f>
        <v>0</v>
      </c>
      <c r="W7" s="30">
        <f t="shared" si="10"/>
        <v>0</v>
      </c>
      <c r="X7" s="30">
        <f t="shared" si="11"/>
        <v>0</v>
      </c>
      <c r="Y7" s="27">
        <f>COUNTIFS([4]InfCualitativo!$B$1:$B$6973,"VERDADERO",[4]InfCualitativo!$E$1:$E$6973,"Bayunca",[4]InfCualitativo!$H$1:$H$6973,"ecografias")</f>
        <v>0</v>
      </c>
      <c r="Z7" s="27">
        <f>COUNTIFS([4]InfCualitativo!$B$1:$B$6973,"FALSO",[4]InfCualitativo!$E$1:$E$6973,"Bayunca",[4]InfCualitativo!$H$1:$H$6973,"ecografias")</f>
        <v>0</v>
      </c>
      <c r="AA7" s="30">
        <f t="shared" si="12"/>
        <v>0</v>
      </c>
      <c r="AB7" s="30">
        <f t="shared" si="13"/>
        <v>0</v>
      </c>
      <c r="AC7" s="27">
        <f>COUNTIFS([4]InfCualitativo!$B$1:$B$6973,"VERDADERO",[4]InfCualitativo!$E$1:$E$6973,"Bayunca",[4]InfCualitativo!$H$1:$H$6973,"urgencia")</f>
        <v>45</v>
      </c>
      <c r="AD7" s="27">
        <f>COUNTIFS([4]InfCualitativo!$B$1:$B$6973,"FALSO",[4]InfCualitativo!$E$1:$E$6973,"Bayunca",[4]InfCualitativo!$H$1:$H$6973,"urgencia")</f>
        <v>0</v>
      </c>
      <c r="AE7" s="30">
        <f t="shared" si="14"/>
        <v>1</v>
      </c>
      <c r="AF7" s="30">
        <f t="shared" si="15"/>
        <v>0</v>
      </c>
      <c r="AG7" s="27">
        <f>COUNTIFS([4]InfCualitativo!$B$1:$B$6973,"VERDADERO",[4]InfCualitativo!$E$1:$E$6973,"Bayunca",[4]InfCualitativo!$H$1:$H$6973,"pediatria")</f>
        <v>0</v>
      </c>
      <c r="AH7" s="27">
        <f>COUNTIFS([4]InfCualitativo!$B$1:$B$6973,"FALSO",[4]InfCualitativo!$E$1:$E$6973,"Bayunca",[4]InfCualitativo!$H$1:$H$6973,"pediatria")</f>
        <v>0</v>
      </c>
      <c r="AI7" s="30">
        <f t="shared" si="16"/>
        <v>0</v>
      </c>
      <c r="AJ7" s="30">
        <f t="shared" si="17"/>
        <v>0</v>
      </c>
      <c r="AK7" s="27">
        <f>COUNTIFS([4]InfCualitativo!$B$1:$B$6973,"VERDADERO",[4]InfCualitativo!$E$1:$E$6973,"Bayunca",[4]InfCualitativo!$H$1:$H$6973,"medicina_interna")</f>
        <v>0</v>
      </c>
      <c r="AL7" s="27">
        <f>COUNTIFS([4]InfCualitativo!$B$1:$B$6973,"FALSO",[4]InfCualitativo!$E$1:$E$6973,"Bayunca",[4]InfCualitativo!$H$1:$H$6973,"medicina_interna")</f>
        <v>0</v>
      </c>
      <c r="AM7" s="30">
        <f t="shared" si="18"/>
        <v>0</v>
      </c>
      <c r="AN7" s="30">
        <f t="shared" si="19"/>
        <v>0</v>
      </c>
      <c r="AO7" s="27">
        <f>COUNTIFS([4]InfCualitativo!$B$1:$B$6973,"VERDADERO",[4]InfCualitativo!$E$1:$E$6973,"Bayunca",[4]InfCualitativo!$H$1:$H$6973,"ginecologia")</f>
        <v>0</v>
      </c>
      <c r="AP7" s="27">
        <f>COUNTIFS([4]InfCualitativo!$B$1:$B$6973,"FALSO",[4]InfCualitativo!$E$1:$E$6973,"Bayunca",[4]InfCualitativo!$H$1:$H$6973,"ginecologia")</f>
        <v>0</v>
      </c>
      <c r="AQ7" s="30">
        <f t="shared" si="20"/>
        <v>0</v>
      </c>
      <c r="AR7" s="30">
        <f t="shared" si="21"/>
        <v>0</v>
      </c>
      <c r="AS7" s="27">
        <f t="shared" si="22"/>
        <v>188</v>
      </c>
      <c r="AT7" s="27">
        <f t="shared" si="22"/>
        <v>0</v>
      </c>
      <c r="AU7" s="32">
        <f t="shared" si="23"/>
        <v>1</v>
      </c>
      <c r="AV7" s="32">
        <f t="shared" si="24"/>
        <v>0</v>
      </c>
    </row>
    <row r="8" spans="1:48" ht="18.75" x14ac:dyDescent="0.3">
      <c r="A8" s="26" t="s">
        <v>27</v>
      </c>
      <c r="B8" s="27">
        <v>236</v>
      </c>
      <c r="C8" s="27">
        <f t="shared" si="1"/>
        <v>223</v>
      </c>
      <c r="D8" s="28">
        <f t="shared" si="0"/>
        <v>94.491525423728817</v>
      </c>
      <c r="E8" s="29">
        <f>COUNTIFS([4]InfCualitativo!$B$1:$B$6973,"VERDADERO",[4]InfCualitativo!$E$1:$E$6973,"Bicentenario",[4]InfCualitativo!$H$1:$H$6973,"consulta_externa")</f>
        <v>33</v>
      </c>
      <c r="F8" s="29">
        <f>COUNTIFS([4]InfCualitativo!$B$1:$B$6973,"FALSO",[4]InfCualitativo!$E$1:$E$6973,"Bicentenario",[4]InfCualitativo!$H$1:$H$6973,"consulta_externa")</f>
        <v>16</v>
      </c>
      <c r="G8" s="30">
        <f t="shared" si="2"/>
        <v>0.67346938775510201</v>
      </c>
      <c r="H8" s="30">
        <f t="shared" si="3"/>
        <v>0.32653061224489793</v>
      </c>
      <c r="I8" s="27">
        <f>COUNTIFS([4]InfCualitativo!$B$1:$B$6973,"VERDADERO",[4]InfCualitativo!$E$1:$E$6973,"Bicentenario",[4]InfCualitativo!$H$1:$H$6973,"salud_oral")</f>
        <v>40</v>
      </c>
      <c r="J8" s="27">
        <f>COUNTIFS([4]InfCualitativo!$B$1:$B$6973,"FALSO",[4]InfCualitativo!$E$1:$E$6973,"Bicentenario",[4]InfCualitativo!$H$1:$H$6973,"salud_oral")</f>
        <v>4</v>
      </c>
      <c r="K8" s="30">
        <f t="shared" si="4"/>
        <v>0.90909090909090906</v>
      </c>
      <c r="L8" s="30">
        <f t="shared" si="5"/>
        <v>9.0909090909090912E-2</v>
      </c>
      <c r="M8" s="27">
        <f>COUNTIFS([4]InfCualitativo!$B$1:$B$6973,"VERDADERO",[4]InfCualitativo!$E$1:$E$6973,"Bicentenario",[4]InfCualitativo!$H$1:$H$6973,"laboratorio")</f>
        <v>30</v>
      </c>
      <c r="N8" s="27">
        <f>COUNTIFS([4]InfCualitativo!$B$1:$B$6973,"FALSO",[4]InfCualitativo!$E$1:$E$6973,"Bicentenario",[4]InfCualitativo!$H$1:$H$6973,"laboratorio")</f>
        <v>13</v>
      </c>
      <c r="O8" s="30">
        <f t="shared" si="6"/>
        <v>0.69767441860465118</v>
      </c>
      <c r="P8" s="31">
        <f t="shared" si="7"/>
        <v>0.30232558139534882</v>
      </c>
      <c r="Q8" s="27">
        <f>COUNTIFS([4]InfCualitativo!$B$1:$B$6973,"VERDADERO",[4]InfCualitativo!$E$1:$E$6973,"Bicentenario",[4]InfCualitativo!$H$1:$H$6973,"electros")</f>
        <v>0</v>
      </c>
      <c r="R8" s="27">
        <f>COUNTIFS([4]InfCualitativo!$B$1:$B$6973,"FALSO",[4]InfCualitativo!$E$1:$E$6973,"Bicentenario",[4]InfCualitativo!$H$1:$H$6973,"electros")</f>
        <v>0</v>
      </c>
      <c r="S8" s="30">
        <f t="shared" si="8"/>
        <v>0</v>
      </c>
      <c r="T8" s="30">
        <f t="shared" si="9"/>
        <v>0</v>
      </c>
      <c r="U8" s="27">
        <f>COUNTIFS([4]InfCualitativo!$B$1:$B$6973,"VERDADERO",[4]InfCualitativo!$E$1:$E$6973,"Bicentenario",[4]InfCualitativo!$H$1:$H$6973,"rx")</f>
        <v>37</v>
      </c>
      <c r="V8" s="27">
        <f>COUNTIFS([4]InfCualitativo!$B$1:$B$6973,"FALSO",[4]InfCualitativo!$E$1:$E$6973,"Bicentenario",[4]InfCualitativo!$H$1:$H$6973,"rx")</f>
        <v>6</v>
      </c>
      <c r="W8" s="30">
        <f t="shared" si="10"/>
        <v>0.86046511627906974</v>
      </c>
      <c r="X8" s="30">
        <f t="shared" si="11"/>
        <v>0.13953488372093023</v>
      </c>
      <c r="Y8" s="27">
        <f>COUNTIFS([4]InfCualitativo!$B$1:$B$6973,"VERDADERO",[4]InfCualitativo!$E$1:$E$6973,"Bicentenario",[4]InfCualitativo!$H$1:$H$6973,"ecografias")</f>
        <v>0</v>
      </c>
      <c r="Z8" s="27">
        <f>COUNTIFS([4]InfCualitativo!$B$1:$B$6973,"FALSO",[4]InfCualitativo!$E$1:$E$6973,"Bicentenario",[4]InfCualitativo!$H$1:$H$6973,"ecografias")</f>
        <v>0</v>
      </c>
      <c r="AA8" s="30">
        <f t="shared" si="12"/>
        <v>0</v>
      </c>
      <c r="AB8" s="30">
        <f t="shared" si="13"/>
        <v>0</v>
      </c>
      <c r="AC8" s="27">
        <f>COUNTIFS([4]InfCualitativo!$B$1:$B$6973,"VERDADERO",[4]InfCualitativo!$E$1:$E$6973,"Bicentenario",[4]InfCualitativo!$H$1:$H$6973,"urgencia")</f>
        <v>27</v>
      </c>
      <c r="AD8" s="27">
        <f>COUNTIFS([4]InfCualitativo!$B$1:$B$6973,"FALSO",[4]InfCualitativo!$E$1:$E$6973,"Bicentenario",[4]InfCualitativo!$H$1:$H$6973,"urgencia")</f>
        <v>17</v>
      </c>
      <c r="AE8" s="30">
        <f t="shared" si="14"/>
        <v>0.61363636363636365</v>
      </c>
      <c r="AF8" s="30">
        <f t="shared" si="15"/>
        <v>0.38636363636363635</v>
      </c>
      <c r="AG8" s="27">
        <f>COUNTIFS([4]InfCualitativo!$B$1:$B$6973,"VERDADERO",[4]InfCualitativo!$E$1:$E$6973,"Bicentenario",[4]InfCualitativo!$H$1:$H$6973,"pediatria")</f>
        <v>0</v>
      </c>
      <c r="AH8" s="27">
        <f>COUNTIFS([4]InfCualitativo!$B$1:$B$6973,"FALSO",[4]InfCualitativo!$E$1:$E$6973,"Bicentenario",[4]InfCualitativo!$H$1:$H$6973,"pediatria")</f>
        <v>0</v>
      </c>
      <c r="AI8" s="30">
        <f t="shared" si="16"/>
        <v>0</v>
      </c>
      <c r="AJ8" s="30">
        <f t="shared" si="17"/>
        <v>0</v>
      </c>
      <c r="AK8" s="27">
        <f>COUNTIFS([4]InfCualitativo!$B$1:$B$6973,"VERDADERO",[4]InfCualitativo!$E$1:$E$6973,"Bicentenario",[4]InfCualitativo!$H$1:$H$6973,"medicina_interna")</f>
        <v>0</v>
      </c>
      <c r="AL8" s="27">
        <f>COUNTIFS([4]InfCualitativo!$B$1:$B$6973,"FALSO",[4]InfCualitativo!$E$1:$E$6973,"Bicentenario",[4]InfCualitativo!$H$1:$H$6973,"medicina_interna")</f>
        <v>0</v>
      </c>
      <c r="AM8" s="30">
        <f t="shared" si="18"/>
        <v>0</v>
      </c>
      <c r="AN8" s="30">
        <f t="shared" si="19"/>
        <v>0</v>
      </c>
      <c r="AO8" s="27">
        <f>COUNTIFS([4]InfCualitativo!$B$1:$B$6973,"VERDADERO",[4]InfCualitativo!$E$1:$E$6973,"Bicentenario",[4]InfCualitativo!$H$1:$H$6973,"ginecologia")</f>
        <v>0</v>
      </c>
      <c r="AP8" s="27">
        <f>COUNTIFS([4]InfCualitativo!$B$1:$B$6973,"FALSO",[4]InfCualitativo!$E$1:$E$6973,"Bicentenario",[4]InfCualitativo!$H$1:$H$6973,"ginecologia")</f>
        <v>0</v>
      </c>
      <c r="AQ8" s="30">
        <f t="shared" si="20"/>
        <v>0</v>
      </c>
      <c r="AR8" s="30">
        <f t="shared" si="21"/>
        <v>0</v>
      </c>
      <c r="AS8" s="27">
        <f t="shared" si="22"/>
        <v>167</v>
      </c>
      <c r="AT8" s="27">
        <f t="shared" si="22"/>
        <v>56</v>
      </c>
      <c r="AU8" s="32">
        <f t="shared" si="23"/>
        <v>0.7488789237668162</v>
      </c>
      <c r="AV8" s="32">
        <f t="shared" si="24"/>
        <v>0.25112107623318386</v>
      </c>
    </row>
    <row r="9" spans="1:48" ht="18.75" x14ac:dyDescent="0.3">
      <c r="A9" s="26" t="s">
        <v>28</v>
      </c>
      <c r="B9" s="27">
        <v>240</v>
      </c>
      <c r="C9" s="27">
        <f t="shared" si="1"/>
        <v>233</v>
      </c>
      <c r="D9" s="28">
        <f t="shared" si="0"/>
        <v>97.083333333333329</v>
      </c>
      <c r="E9" s="29">
        <f>COUNTIFS([4]InfCualitativo!$B$1:$B$6973,"VERDADERO",[4]InfCualitativo!$E$1:$E$6973,"Blasdelezo",[4]InfCualitativo!$H$1:$H$6973,"consulta_externa")</f>
        <v>33</v>
      </c>
      <c r="F9" s="29">
        <f>COUNTIFS([4]InfCualitativo!$B$1:$B$6973,"FALSO",[4]InfCualitativo!$E$1:$E$6973,"Blasdelezo",[4]InfCualitativo!$H$1:$H$6973,"consulta_externa")</f>
        <v>15</v>
      </c>
      <c r="G9" s="30">
        <f t="shared" si="2"/>
        <v>0.6875</v>
      </c>
      <c r="H9" s="30">
        <f t="shared" si="3"/>
        <v>0.3125</v>
      </c>
      <c r="I9" s="27">
        <f>COUNTIFS([4]InfCualitativo!$B$1:$B$6973,"VERDADERO",[4]InfCualitativo!$E$1:$E$6973,"Blasdelezo",[4]InfCualitativo!$H$1:$H$6973,"salud_oral")</f>
        <v>42</v>
      </c>
      <c r="J9" s="27">
        <f>COUNTIFS([4]InfCualitativo!$B$1:$B$6973,"FALSO",[4]InfCualitativo!$E$1:$E$6973,"Blasdelezo",[4]InfCualitativo!$H$1:$H$6973,"salud_oral")</f>
        <v>7</v>
      </c>
      <c r="K9" s="30">
        <f t="shared" si="4"/>
        <v>0.8571428571428571</v>
      </c>
      <c r="L9" s="30">
        <f t="shared" si="5"/>
        <v>0.14285714285714285</v>
      </c>
      <c r="M9" s="27">
        <f>COUNTIFS([4]InfCualitativo!$B$1:$B$6973,"VERDADERO",[4]InfCualitativo!$E$1:$E$6973,"Blasdelezo",[4]InfCualitativo!$H$1:$H$6973,"laboratorio")</f>
        <v>32</v>
      </c>
      <c r="N9" s="27">
        <f>COUNTIFS([4]InfCualitativo!$B$1:$B$6973,"FALSO",[4]InfCualitativo!$E$1:$E$6973,"Blasdelezo",[4]InfCualitativo!$H$1:$H$6973,"laboratorio")</f>
        <v>16</v>
      </c>
      <c r="O9" s="30">
        <f t="shared" si="6"/>
        <v>0.66666666666666663</v>
      </c>
      <c r="P9" s="31">
        <f t="shared" si="7"/>
        <v>0.33333333333333331</v>
      </c>
      <c r="Q9" s="27">
        <f>COUNTIFS([4]InfCualitativo!$B$1:$B$6973,"VERDADERO",[4]InfCualitativo!$E$1:$E$6973,"Blasdelezo",[4]InfCualitativo!$H$1:$H$6973,"electros")</f>
        <v>0</v>
      </c>
      <c r="R9" s="27">
        <f>COUNTIFS([4]InfCualitativo!$B$1:$B$6973,"FALSO",[4]InfCualitativo!$E$1:$E$6973,"Blasdelezo",[4]InfCualitativo!$H$1:$H$6973,"electros")</f>
        <v>0</v>
      </c>
      <c r="S9" s="30">
        <f t="shared" si="8"/>
        <v>0</v>
      </c>
      <c r="T9" s="30">
        <f t="shared" si="9"/>
        <v>0</v>
      </c>
      <c r="U9" s="27">
        <f>COUNTIFS([4]InfCualitativo!$B$1:$B$6973,"VERDADERO",[4]InfCualitativo!$E$1:$E$6973,"Blasdelezo",[4]InfCualitativo!$H$1:$H$6973,"rx")</f>
        <v>0</v>
      </c>
      <c r="V9" s="27">
        <f>COUNTIFS([4]InfCualitativo!$B$1:$B$6973,"FALSO",[4]InfCualitativo!$E$1:$E$6973,"Blasdelezo",[4]InfCualitativo!$H$1:$H$6973,"rx")</f>
        <v>0</v>
      </c>
      <c r="W9" s="30">
        <f t="shared" si="10"/>
        <v>0</v>
      </c>
      <c r="X9" s="30">
        <f t="shared" si="11"/>
        <v>0</v>
      </c>
      <c r="Y9" s="27">
        <f>COUNTIFS([4]InfCualitativo!$B$1:$B$6973,"VERDADERO",[4]InfCualitativo!$E$1:$E$6973,"Blasdelezo",[4]InfCualitativo!$H$1:$H$6973,"ecografias")</f>
        <v>0</v>
      </c>
      <c r="Z9" s="27">
        <f>COUNTIFS([4]InfCualitativo!$B$1:$B$6973,"FALSO",[4]InfCualitativo!$E$1:$E$6973,"Blasdelezo",[4]InfCualitativo!$H$1:$H$6973,"ecografias")</f>
        <v>0</v>
      </c>
      <c r="AA9" s="30">
        <f t="shared" si="12"/>
        <v>0</v>
      </c>
      <c r="AB9" s="30">
        <f t="shared" si="13"/>
        <v>0</v>
      </c>
      <c r="AC9" s="27">
        <f>COUNTIFS([4]InfCualitativo!$B$1:$B$6973,"VERDADERO",[4]InfCualitativo!$E$1:$E$6973,"Blasdelezo",[4]InfCualitativo!$H$1:$H$6973,"urgencia")</f>
        <v>34</v>
      </c>
      <c r="AD9" s="27">
        <f>COUNTIFS([4]InfCualitativo!$B$1:$B$6973,"FALSO",[4]InfCualitativo!$E$1:$E$6973,"Blasdelezo",[4]InfCualitativo!$H$1:$H$6973,"urgencia")</f>
        <v>14</v>
      </c>
      <c r="AE9" s="30">
        <f t="shared" si="14"/>
        <v>0.70833333333333337</v>
      </c>
      <c r="AF9" s="30">
        <f t="shared" si="15"/>
        <v>0.29166666666666669</v>
      </c>
      <c r="AG9" s="27">
        <f>COUNTIFS([4]InfCualitativo!$B$1:$B$6973,"VERDADERO",[4]InfCualitativo!$E$1:$E$6973,"Blasdelezo",[4]InfCualitativo!$H$1:$H$6973,"pediatria")</f>
        <v>18</v>
      </c>
      <c r="AH9" s="27">
        <f>COUNTIFS([4]InfCualitativo!$B$1:$B$6973,"FALSO",[4]InfCualitativo!$E$1:$E$6973,"Blasdelezo",[4]InfCualitativo!$H$1:$H$6973,"pediatria")</f>
        <v>3</v>
      </c>
      <c r="AI9" s="30">
        <f t="shared" si="16"/>
        <v>0.8571428571428571</v>
      </c>
      <c r="AJ9" s="30">
        <f t="shared" si="17"/>
        <v>0.14285714285714285</v>
      </c>
      <c r="AK9" s="27">
        <f>COUNTIFS([4]InfCualitativo!$B$1:$B$6973,"VERDADERO",[4]InfCualitativo!$E$1:$E$6973,"Blasdelezo",[4]InfCualitativo!$H$1:$H$6973,"medicina_interna")</f>
        <v>18</v>
      </c>
      <c r="AL9" s="27">
        <f>COUNTIFS([4]InfCualitativo!$B$1:$B$6973,"FALSO",[4]InfCualitativo!$E$1:$E$6973,"Blasdelezo",[4]InfCualitativo!$H$1:$H$6973,"medicina_interna")</f>
        <v>1</v>
      </c>
      <c r="AM9" s="30">
        <f t="shared" si="18"/>
        <v>0.94736842105263153</v>
      </c>
      <c r="AN9" s="30">
        <f t="shared" si="19"/>
        <v>5.2631578947368418E-2</v>
      </c>
      <c r="AO9" s="27">
        <f>COUNTIFS([4]InfCualitativo!$B$1:$B$6973,"VERDADERO",[4]InfCualitativo!$E$1:$E$6973,"Blasdelezo",[4]InfCualitativo!$H$1:$H$6973,"ginecologia")</f>
        <v>0</v>
      </c>
      <c r="AP9" s="27">
        <f>COUNTIFS([4]InfCualitativo!$B$1:$B$6973,"FALSO",[4]InfCualitativo!$E$1:$E$6973,"Blasdelezo",[4]InfCualitativo!$H$1:$H$6973,"ginecologia")</f>
        <v>0</v>
      </c>
      <c r="AQ9" s="30">
        <f t="shared" si="20"/>
        <v>0</v>
      </c>
      <c r="AR9" s="30">
        <f t="shared" si="21"/>
        <v>0</v>
      </c>
      <c r="AS9" s="27">
        <f t="shared" si="22"/>
        <v>177</v>
      </c>
      <c r="AT9" s="27">
        <f t="shared" si="22"/>
        <v>56</v>
      </c>
      <c r="AU9" s="32">
        <f t="shared" si="23"/>
        <v>0.75965665236051505</v>
      </c>
      <c r="AV9" s="32">
        <f t="shared" si="24"/>
        <v>0.24034334763948498</v>
      </c>
    </row>
    <row r="10" spans="1:48" ht="18.75" x14ac:dyDescent="0.3">
      <c r="A10" s="26" t="s">
        <v>29</v>
      </c>
      <c r="B10" s="27">
        <v>178</v>
      </c>
      <c r="C10" s="27">
        <f t="shared" si="1"/>
        <v>178</v>
      </c>
      <c r="D10" s="28">
        <f t="shared" si="0"/>
        <v>100</v>
      </c>
      <c r="E10" s="29">
        <f>COUNTIFS([4]InfCualitativo!$B$1:$B$6973,"VERDADERO",[4]InfCualitativo!$E$1:$E$6973,"Bocachica",[4]InfCualitativo!$H$1:$H$6973,"consulta_externa")</f>
        <v>92</v>
      </c>
      <c r="F10" s="29">
        <f>COUNTIFS([4]InfCualitativo!$B$1:$B$6973,"FALSO",[4]InfCualitativo!$E$1:$E$6973,"Bocachica",[4]InfCualitativo!$H$1:$H$6973,"consulta_externa")</f>
        <v>1</v>
      </c>
      <c r="G10" s="30">
        <f t="shared" si="2"/>
        <v>0.989247311827957</v>
      </c>
      <c r="H10" s="30">
        <f t="shared" si="3"/>
        <v>1.0752688172043012E-2</v>
      </c>
      <c r="I10" s="27">
        <f>COUNTIFS([4]InfCualitativo!$B$1:$B$6973,"VERDADERO",[4]InfCualitativo!$E$1:$E$6973,"Bocachica",[4]InfCualitativo!$H$1:$H$6973,"salud_oral")</f>
        <v>36</v>
      </c>
      <c r="J10" s="27">
        <f>COUNTIFS([4]InfCualitativo!$B$1:$B$6973,"FALSO",[4]InfCualitativo!$E$1:$E$6973,"Bocachica",[4]InfCualitativo!$H$1:$H$6973,"salud_oral")</f>
        <v>0</v>
      </c>
      <c r="K10" s="30">
        <f t="shared" si="4"/>
        <v>1</v>
      </c>
      <c r="L10" s="30">
        <f t="shared" si="5"/>
        <v>0</v>
      </c>
      <c r="M10" s="27">
        <f>COUNTIFS([4]InfCualitativo!$B$1:$B$6973,"VERDADERO",[4]InfCualitativo!$E$1:$E$6973,"Bocachica",[4]InfCualitativo!$H$1:$H$6973,"laboratorio")</f>
        <v>45</v>
      </c>
      <c r="N10" s="27">
        <f>COUNTIFS([4]InfCualitativo!$B$1:$B$6973,"FALSO",[4]InfCualitativo!$E$1:$E$6973,"Bocachica",[4]InfCualitativo!$H$1:$H$6973,"laboratorio")</f>
        <v>0</v>
      </c>
      <c r="O10" s="30">
        <f t="shared" si="6"/>
        <v>1</v>
      </c>
      <c r="P10" s="31">
        <f t="shared" si="7"/>
        <v>0</v>
      </c>
      <c r="Q10" s="27">
        <f>COUNTIFS([4]InfCualitativo!$B$1:$B$6973,"VERDADERO",[4]InfCualitativo!$E$1:$E$6973,"Bocachica",[4]InfCualitativo!$H$1:$H$6973,"electros")</f>
        <v>0</v>
      </c>
      <c r="R10" s="27">
        <f>COUNTIFS([4]InfCualitativo!$B$1:$B$6973,"FALSO",[4]InfCualitativo!$E$1:$E$6973,"Bocachica",[4]InfCualitativo!$H$1:$H$6973,"electros")</f>
        <v>0</v>
      </c>
      <c r="S10" s="30">
        <f t="shared" si="8"/>
        <v>0</v>
      </c>
      <c r="T10" s="30">
        <f t="shared" si="9"/>
        <v>0</v>
      </c>
      <c r="U10" s="27">
        <f>COUNTIFS([4]InfCualitativo!$B$1:$B$6973,"VERDADERO",[4]InfCualitativo!$E$1:$E$6973,"Bocachica",[4]InfCualitativo!$H$1:$H$6973,"rx")</f>
        <v>0</v>
      </c>
      <c r="V10" s="27">
        <f>COUNTIFS([4]InfCualitativo!$B$1:$B$6973,"FALSO",[4]InfCualitativo!$E$1:$E$6973,"Bocachica",[4]InfCualitativo!$H$1:$H$6973,"rx")</f>
        <v>0</v>
      </c>
      <c r="W10" s="30">
        <f t="shared" si="10"/>
        <v>0</v>
      </c>
      <c r="X10" s="30">
        <f t="shared" si="11"/>
        <v>0</v>
      </c>
      <c r="Y10" s="27">
        <f>COUNTIFS([4]InfCualitativo!$B$1:$B$6973,"VERDADERO",[4]InfCualitativo!$E$1:$E$6973,"Bocachica",[4]InfCualitativo!$H$1:$H$6973,"ecografias")</f>
        <v>0</v>
      </c>
      <c r="Z10" s="27">
        <f>COUNTIFS([4]InfCualitativo!$B$1:$B$6973,"FALSO",[4]InfCualitativo!$E$1:$E$6973,"Bocachica",[4]InfCualitativo!$H$1:$H$6973,"ecografias")</f>
        <v>0</v>
      </c>
      <c r="AA10" s="30">
        <f t="shared" si="12"/>
        <v>0</v>
      </c>
      <c r="AB10" s="30">
        <f t="shared" si="13"/>
        <v>0</v>
      </c>
      <c r="AC10" s="27">
        <f>COUNTIFS([4]InfCualitativo!$B$1:$B$6973,"VERDADERO",[4]InfCualitativo!$E$1:$E$6973,"Bocachica",[4]InfCualitativo!$H$1:$H$6973,"urgencia")</f>
        <v>4</v>
      </c>
      <c r="AD10" s="27">
        <f>COUNTIFS([4]InfCualitativo!$B$1:$B$6973,"FALSO",[4]InfCualitativo!$E$1:$E$6973,"Bocachica",[4]InfCualitativo!$H$1:$H$6973,"urgencia")</f>
        <v>0</v>
      </c>
      <c r="AE10" s="30">
        <f t="shared" si="14"/>
        <v>1</v>
      </c>
      <c r="AF10" s="30">
        <f t="shared" si="15"/>
        <v>0</v>
      </c>
      <c r="AG10" s="27">
        <f>COUNTIFS([4]InfCualitativo!$B$1:$B$6973,"VERDADERO",[4]InfCualitativo!$E$1:$E$6973,"Bocachica",[4]InfCualitativo!$H$1:$H$6973,"pediatria")</f>
        <v>0</v>
      </c>
      <c r="AH10" s="27">
        <f>COUNTIFS([4]InfCualitativo!$B$1:$B$6973,"FALSO",[4]InfCualitativo!$E$1:$E$6973,"Bocachica",[4]InfCualitativo!$H$1:$H$6973,"pediatria")</f>
        <v>0</v>
      </c>
      <c r="AI10" s="30">
        <f t="shared" si="16"/>
        <v>0</v>
      </c>
      <c r="AJ10" s="30">
        <f t="shared" si="17"/>
        <v>0</v>
      </c>
      <c r="AK10" s="27">
        <f>COUNTIFS([4]InfCualitativo!$B$1:$B$6973,"VERDADERO",[4]InfCualitativo!$E$1:$E$6973,"Bocachica",[4]InfCualitativo!$H$1:$H$6973,"medicina_interna")</f>
        <v>0</v>
      </c>
      <c r="AL10" s="27">
        <f>COUNTIFS([4]InfCualitativo!$B$1:$B$6973,"FALSO",[4]InfCualitativo!$E$1:$E$6973,"Bocachica",[4]InfCualitativo!$H$1:$H$6973,"medicina_interna")</f>
        <v>0</v>
      </c>
      <c r="AM10" s="30">
        <f t="shared" si="18"/>
        <v>0</v>
      </c>
      <c r="AN10" s="30">
        <f t="shared" si="19"/>
        <v>0</v>
      </c>
      <c r="AO10" s="27">
        <f>COUNTIFS([4]InfCualitativo!$B$1:$B$6973,"VERDADERO",[4]InfCualitativo!$E$1:$E$6973,"Bocachica",[4]InfCualitativo!$H$1:$H$6973,"ginecologia")</f>
        <v>0</v>
      </c>
      <c r="AP10" s="27">
        <f>COUNTIFS([4]InfCualitativo!$B$1:$B$6973,"FALSO",[4]InfCualitativo!$E$1:$E$6973,"Bocachica",[4]InfCualitativo!$H$1:$H$6973,"ginecologia")</f>
        <v>0</v>
      </c>
      <c r="AQ10" s="30">
        <f t="shared" si="20"/>
        <v>0</v>
      </c>
      <c r="AR10" s="30">
        <f t="shared" si="21"/>
        <v>0</v>
      </c>
      <c r="AS10" s="27">
        <f t="shared" si="22"/>
        <v>177</v>
      </c>
      <c r="AT10" s="27">
        <f t="shared" si="22"/>
        <v>1</v>
      </c>
      <c r="AU10" s="32">
        <f t="shared" si="23"/>
        <v>0.9943820224719101</v>
      </c>
      <c r="AV10" s="32">
        <f t="shared" si="24"/>
        <v>5.6179775280898875E-3</v>
      </c>
    </row>
    <row r="11" spans="1:48" ht="18.75" x14ac:dyDescent="0.3">
      <c r="A11" s="26" t="s">
        <v>30</v>
      </c>
      <c r="B11" s="27">
        <v>200</v>
      </c>
      <c r="C11" s="27">
        <f t="shared" si="1"/>
        <v>181</v>
      </c>
      <c r="D11" s="28">
        <f t="shared" si="0"/>
        <v>90.5</v>
      </c>
      <c r="E11" s="29">
        <f>COUNTIFS([4]InfCualitativo!$B$1:$B$6973,"VERDADERO",[4]InfCualitativo!$E$1:$E$6973,"Boquilla",[4]InfCualitativo!$H$1:$H$6973,"consulta_externa")</f>
        <v>42</v>
      </c>
      <c r="F11" s="29">
        <f>COUNTIFS([4]InfCualitativo!$B$1:$B$6973,"FALSO",[4]InfCualitativo!$E$1:$E$6973,"Boquilla",[4]InfCualitativo!$H$1:$H$6973,"consulta_externa")</f>
        <v>5</v>
      </c>
      <c r="G11" s="30">
        <f t="shared" si="2"/>
        <v>0.8936170212765957</v>
      </c>
      <c r="H11" s="30">
        <f t="shared" si="3"/>
        <v>0.10638297872340426</v>
      </c>
      <c r="I11" s="27">
        <f>COUNTIFS([4]InfCualitativo!$B$1:$B$6973,"VERDADERO",[4]InfCualitativo!$E$1:$E$6973,"Boquilla",[4]InfCualitativo!$H$1:$H$6973,"salud_oral")</f>
        <v>39</v>
      </c>
      <c r="J11" s="27">
        <f>COUNTIFS([4]InfCualitativo!$B$1:$B$6973,"FALSO",[4]InfCualitativo!$E$1:$E$6973,"Boquilla",[4]InfCualitativo!$H$1:$H$6973,"salud_oral")</f>
        <v>6</v>
      </c>
      <c r="K11" s="30">
        <f t="shared" si="4"/>
        <v>0.8666666666666667</v>
      </c>
      <c r="L11" s="30">
        <f t="shared" si="5"/>
        <v>0.13333333333333333</v>
      </c>
      <c r="M11" s="27">
        <f>COUNTIFS([4]InfCualitativo!$B$1:$B$6973,"VERDADERO",[4]InfCualitativo!$E$1:$E$6973,"Boquilla",[4]InfCualitativo!$H$1:$H$6973,"laboratorio")</f>
        <v>37</v>
      </c>
      <c r="N11" s="27">
        <f>COUNTIFS([4]InfCualitativo!$B$1:$B$6973,"FALSO",[4]InfCualitativo!$E$1:$E$6973,"Boquilla",[4]InfCualitativo!$H$1:$H$6973,"laboratorio")</f>
        <v>9</v>
      </c>
      <c r="O11" s="30">
        <f t="shared" si="6"/>
        <v>0.80434782608695654</v>
      </c>
      <c r="P11" s="31">
        <f t="shared" si="7"/>
        <v>0.19565217391304349</v>
      </c>
      <c r="Q11" s="27">
        <f>COUNTIFS([4]InfCualitativo!$B$1:$B$6973,"VERDADERO",[4]InfCualitativo!$E$1:$E$6973,"Boquilla",[4]InfCualitativo!$H$1:$H$6973,"electros")</f>
        <v>0</v>
      </c>
      <c r="R11" s="27">
        <f>COUNTIFS([4]InfCualitativo!$B$1:$B$6973,"FALSO",[4]InfCualitativo!$E$1:$E$6973,"Boquilla",[4]InfCualitativo!$H$1:$H$6973,"electros")</f>
        <v>0</v>
      </c>
      <c r="S11" s="30">
        <f t="shared" si="8"/>
        <v>0</v>
      </c>
      <c r="T11" s="30">
        <f t="shared" si="9"/>
        <v>0</v>
      </c>
      <c r="U11" s="27">
        <f>COUNTIFS([4]InfCualitativo!$B$1:$B$6973,"VERDADERO",[4]InfCualitativo!$E$1:$E$6973,"Boquilla",[4]InfCualitativo!$H$1:$H$6973,"rx")</f>
        <v>0</v>
      </c>
      <c r="V11" s="27">
        <f>COUNTIFS([4]InfCualitativo!$B$1:$B$6973,"FALSO",[4]InfCualitativo!$E$1:$E$6973,"Boquilla",[4]InfCualitativo!$H$1:$H$6973,"rx")</f>
        <v>0</v>
      </c>
      <c r="W11" s="30">
        <f t="shared" si="10"/>
        <v>0</v>
      </c>
      <c r="X11" s="30">
        <f t="shared" si="11"/>
        <v>0</v>
      </c>
      <c r="Y11" s="27">
        <f>COUNTIFS([4]InfCualitativo!$B$1:$B$6973,"VERDADERO",[4]InfCualitativo!$E$1:$E$6973,"Boquilla",[4]InfCualitativo!$H$1:$H$6973,"ecografias")</f>
        <v>0</v>
      </c>
      <c r="Z11" s="27">
        <f>COUNTIFS([4]InfCualitativo!$B$1:$B$6973,"FALSO",[4]InfCualitativo!$E$1:$E$6973,"Boquilla",[4]InfCualitativo!$H$1:$H$6973,"ecografias")</f>
        <v>0</v>
      </c>
      <c r="AA11" s="30">
        <f t="shared" si="12"/>
        <v>0</v>
      </c>
      <c r="AB11" s="30">
        <f t="shared" si="13"/>
        <v>0</v>
      </c>
      <c r="AC11" s="27">
        <f>COUNTIFS([4]InfCualitativo!$B$1:$B$6973,"VERDADERO",[4]InfCualitativo!$E$1:$E$6973,"Boquilla",[4]InfCualitativo!$H$1:$H$6973,"urgencia")</f>
        <v>32</v>
      </c>
      <c r="AD11" s="27">
        <f>COUNTIFS([4]InfCualitativo!$B$1:$B$6973,"FALSO",[4]InfCualitativo!$E$1:$E$6973,"Boquilla",[4]InfCualitativo!$H$1:$H$6973,"urgencia")</f>
        <v>11</v>
      </c>
      <c r="AE11" s="30">
        <f t="shared" si="14"/>
        <v>0.7441860465116279</v>
      </c>
      <c r="AF11" s="30">
        <f t="shared" si="15"/>
        <v>0.2558139534883721</v>
      </c>
      <c r="AG11" s="27">
        <f>COUNTIFS([4]InfCualitativo!$B$1:$B$6973,"VERDADERO",[4]InfCualitativo!$E$1:$E$6973,"Boquilla",[4]InfCualitativo!$H$1:$H$6973,"pediatria")</f>
        <v>0</v>
      </c>
      <c r="AH11" s="27">
        <f>COUNTIFS([4]InfCualitativo!$B$1:$B$6973,"FALSO",[4]InfCualitativo!$E$1:$E$6973,"Boquilla",[4]InfCualitativo!$H$1:$H$6973,"pediatria")</f>
        <v>0</v>
      </c>
      <c r="AI11" s="30">
        <f t="shared" si="16"/>
        <v>0</v>
      </c>
      <c r="AJ11" s="30">
        <f t="shared" si="17"/>
        <v>0</v>
      </c>
      <c r="AK11" s="27">
        <f>COUNTIFS([4]InfCualitativo!$B$1:$B$6973,"VERDADERO",[4]InfCualitativo!$E$1:$E$6973,"Boquilla",[4]InfCualitativo!$H$1:$H$6973,"medicina_interna")</f>
        <v>0</v>
      </c>
      <c r="AL11" s="27">
        <f>COUNTIFS([4]InfCualitativo!$B$1:$B$6973,"FALSO",[4]InfCualitativo!$E$1:$E$6973,"Boquilla",[4]InfCualitativo!$H$1:$H$6973,"medicina_interna")</f>
        <v>0</v>
      </c>
      <c r="AM11" s="30">
        <f t="shared" si="18"/>
        <v>0</v>
      </c>
      <c r="AN11" s="30">
        <f t="shared" si="19"/>
        <v>0</v>
      </c>
      <c r="AO11" s="27">
        <f>COUNTIFS([4]InfCualitativo!$B$1:$B$6973,"VERDADERO",[4]InfCualitativo!$E$1:$E$6973,"Boquilla",[4]InfCualitativo!$H$1:$H$6973,"ginecologia")</f>
        <v>0</v>
      </c>
      <c r="AP11" s="27">
        <f>COUNTIFS([4]InfCualitativo!$B$1:$B$6973,"FALSO",[4]InfCualitativo!$E$1:$E$6973,"Boquilla",[4]InfCualitativo!$H$1:$H$6973,"ginecologia")</f>
        <v>0</v>
      </c>
      <c r="AQ11" s="30">
        <f t="shared" si="20"/>
        <v>0</v>
      </c>
      <c r="AR11" s="30">
        <f t="shared" si="21"/>
        <v>0</v>
      </c>
      <c r="AS11" s="27">
        <f t="shared" si="22"/>
        <v>150</v>
      </c>
      <c r="AT11" s="27">
        <f t="shared" si="22"/>
        <v>31</v>
      </c>
      <c r="AU11" s="32">
        <f t="shared" si="23"/>
        <v>0.82872928176795579</v>
      </c>
      <c r="AV11" s="32">
        <f t="shared" si="24"/>
        <v>0.17127071823204421</v>
      </c>
    </row>
    <row r="12" spans="1:48" ht="18.75" x14ac:dyDescent="0.3">
      <c r="A12" s="26" t="s">
        <v>31</v>
      </c>
      <c r="B12" s="27">
        <v>136</v>
      </c>
      <c r="C12" s="27">
        <f t="shared" si="1"/>
        <v>135</v>
      </c>
      <c r="D12" s="28">
        <f t="shared" si="0"/>
        <v>99.264705882352942</v>
      </c>
      <c r="E12" s="29">
        <f>COUNTIFS([4]InfCualitativo!$B$1:$B$6973,"VERDADERO",[4]InfCualitativo!$E$1:$E$6973,"Bosque",[4]InfCualitativo!$H$1:$H$6973,"consulta_externa")</f>
        <v>48</v>
      </c>
      <c r="F12" s="29">
        <f>COUNTIFS([4]InfCualitativo!$B$1:$B$6973,"FALSO",[4]InfCualitativo!$E$1:$E$6973,"Bosque",[4]InfCualitativo!$H$1:$H$6973,"consulta_externa")</f>
        <v>0</v>
      </c>
      <c r="G12" s="30">
        <f t="shared" si="2"/>
        <v>1</v>
      </c>
      <c r="H12" s="30">
        <f t="shared" si="3"/>
        <v>0</v>
      </c>
      <c r="I12" s="27">
        <f>COUNTIFS([4]InfCualitativo!$B$1:$B$6973,"VERDADERO",[4]InfCualitativo!$E$1:$E$6973,"Bosque",[4]InfCualitativo!$H$1:$H$6973,"salud_oral")</f>
        <v>44</v>
      </c>
      <c r="J12" s="27">
        <f>COUNTIFS([4]InfCualitativo!$B$1:$B$6973,"FALSO",[4]InfCualitativo!$E$1:$E$6973,"Bosque",[4]InfCualitativo!$H$1:$H$6973,"salud_oral")</f>
        <v>0</v>
      </c>
      <c r="K12" s="30">
        <f t="shared" si="4"/>
        <v>1</v>
      </c>
      <c r="L12" s="30">
        <f t="shared" si="5"/>
        <v>0</v>
      </c>
      <c r="M12" s="27">
        <f>COUNTIFS([4]InfCualitativo!$B$1:$B$6973,"VERDADERO",[4]InfCualitativo!$E$1:$E$6973,"Bosque",[4]InfCualitativo!$H$1:$H$6973,"laboratorio")</f>
        <v>43</v>
      </c>
      <c r="N12" s="27">
        <f>COUNTIFS([4]InfCualitativo!$B$1:$B$6973,"FALSO",[4]InfCualitativo!$E$1:$E$6973,"Bosque",[4]InfCualitativo!$H$1:$H$6973,"laboratorio")</f>
        <v>0</v>
      </c>
      <c r="O12" s="30">
        <f t="shared" si="6"/>
        <v>1</v>
      </c>
      <c r="P12" s="31">
        <f t="shared" si="7"/>
        <v>0</v>
      </c>
      <c r="Q12" s="27">
        <f>COUNTIFS([4]InfCualitativo!$B$1:$B$6973,"VERDADERO",[4]InfCualitativo!$E$1:$E$6973,"Bosque",[4]InfCualitativo!$H$1:$H$6973,"electros")</f>
        <v>0</v>
      </c>
      <c r="R12" s="27">
        <f>COUNTIFS([4]InfCualitativo!$B$1:$B$6973,"FALSO",[4]InfCualitativo!$E$1:$E$6973,"Bosque",[4]InfCualitativo!$H$1:$H$6973,"electros")</f>
        <v>0</v>
      </c>
      <c r="S12" s="30">
        <f t="shared" si="8"/>
        <v>0</v>
      </c>
      <c r="T12" s="30">
        <f t="shared" si="9"/>
        <v>0</v>
      </c>
      <c r="U12" s="27">
        <f>COUNTIFS([4]InfCualitativo!$B$1:$B$6973,"VERDADERO",[4]InfCualitativo!$E$1:$E$6973,"Bosque",[4]InfCualitativo!$H$1:$H$6973,"rx")</f>
        <v>0</v>
      </c>
      <c r="V12" s="27">
        <f>COUNTIFS([4]InfCualitativo!$B$1:$B$6973,"FALSO",[4]InfCualitativo!$E$1:$E$6973,"Bosque",[4]InfCualitativo!$H$1:$H$6973,"rx")</f>
        <v>0</v>
      </c>
      <c r="W12" s="30">
        <f t="shared" si="10"/>
        <v>0</v>
      </c>
      <c r="X12" s="30">
        <f t="shared" si="11"/>
        <v>0</v>
      </c>
      <c r="Y12" s="27">
        <f>COUNTIFS([4]InfCualitativo!$B$1:$B$6973,"VERDADERO",[4]InfCualitativo!$E$1:$E$6973,"Bosque",[4]InfCualitativo!$H$1:$H$6973,"ecografias")</f>
        <v>0</v>
      </c>
      <c r="Z12" s="27">
        <f>COUNTIFS([4]InfCualitativo!$B$1:$B$6973,"FALSO",[4]InfCualitativo!$E$1:$E$6973,"Bosque",[4]InfCualitativo!$H$1:$H$6973,"ecografias")</f>
        <v>0</v>
      </c>
      <c r="AA12" s="30">
        <f t="shared" si="12"/>
        <v>0</v>
      </c>
      <c r="AB12" s="30">
        <f t="shared" si="13"/>
        <v>0</v>
      </c>
      <c r="AC12" s="27">
        <f>COUNTIFS([4]InfCualitativo!$B$1:$B$6973,"VERDADERO",[4]InfCualitativo!$E$1:$E$6973,"Bosque",[4]InfCualitativo!$H$1:$H$6973,"urgencia")</f>
        <v>0</v>
      </c>
      <c r="AD12" s="27">
        <f>COUNTIFS([4]InfCualitativo!$B$1:$B$6973,"FALSO",[4]InfCualitativo!$E$1:$E$6973,"Bosque",[4]InfCualitativo!$H$1:$H$6973,"urgencia")</f>
        <v>0</v>
      </c>
      <c r="AE12" s="30">
        <f t="shared" si="14"/>
        <v>0</v>
      </c>
      <c r="AF12" s="30">
        <f t="shared" si="15"/>
        <v>0</v>
      </c>
      <c r="AG12" s="27">
        <f>COUNTIFS([4]InfCualitativo!$B$1:$B$6973,"VERDADERO",[4]InfCualitativo!$E$1:$E$6973,"Bosque",[4]InfCualitativo!$H$1:$H$6973,"pediatria")</f>
        <v>0</v>
      </c>
      <c r="AH12" s="27">
        <f>COUNTIFS([4]InfCualitativo!$B$1:$B$6973,"FALSO",[4]InfCualitativo!$E$1:$E$6973,"Bosque",[4]InfCualitativo!$H$1:$H$6973,"pediatria")</f>
        <v>0</v>
      </c>
      <c r="AI12" s="30">
        <f t="shared" si="16"/>
        <v>0</v>
      </c>
      <c r="AJ12" s="30">
        <f t="shared" si="17"/>
        <v>0</v>
      </c>
      <c r="AK12" s="27">
        <f>COUNTIFS([4]InfCualitativo!$B$1:$B$6973,"VERDADERO",[4]InfCualitativo!$E$1:$E$6973,"Bosque",[4]InfCualitativo!$H$1:$H$6973,"medicina_interna")</f>
        <v>0</v>
      </c>
      <c r="AL12" s="27">
        <f>COUNTIFS([4]InfCualitativo!$B$1:$B$6973,"FALSO",[4]InfCualitativo!$E$1:$E$6973,"Bosque",[4]InfCualitativo!$H$1:$H$6973,"medicina_interna")</f>
        <v>0</v>
      </c>
      <c r="AM12" s="30">
        <f t="shared" si="18"/>
        <v>0</v>
      </c>
      <c r="AN12" s="30">
        <f t="shared" si="19"/>
        <v>0</v>
      </c>
      <c r="AO12" s="27">
        <f>COUNTIFS([4]InfCualitativo!$B$1:$B$6973,"VERDADERO",[4]InfCualitativo!$E$1:$E$6973,"Bosque",[4]InfCualitativo!$H$1:$H$6973,"ginecologia")</f>
        <v>0</v>
      </c>
      <c r="AP12" s="27">
        <f>COUNTIFS([4]InfCualitativo!$B$1:$B$6973,"FALSO",[4]InfCualitativo!$E$1:$E$6973,"Bosque",[4]InfCualitativo!$H$1:$H$6973,"ginecologia")</f>
        <v>0</v>
      </c>
      <c r="AQ12" s="30">
        <f t="shared" si="20"/>
        <v>0</v>
      </c>
      <c r="AR12" s="30">
        <f t="shared" si="21"/>
        <v>0</v>
      </c>
      <c r="AS12" s="27">
        <f t="shared" si="22"/>
        <v>135</v>
      </c>
      <c r="AT12" s="27">
        <f t="shared" si="22"/>
        <v>0</v>
      </c>
      <c r="AU12" s="32">
        <f t="shared" si="23"/>
        <v>1</v>
      </c>
      <c r="AV12" s="32">
        <f t="shared" si="24"/>
        <v>0</v>
      </c>
    </row>
    <row r="13" spans="1:48" ht="18.75" x14ac:dyDescent="0.3">
      <c r="A13" s="26" t="s">
        <v>32</v>
      </c>
      <c r="B13" s="27">
        <v>44</v>
      </c>
      <c r="C13" s="27">
        <f t="shared" si="1"/>
        <v>44</v>
      </c>
      <c r="D13" s="28">
        <f t="shared" si="0"/>
        <v>100</v>
      </c>
      <c r="E13" s="29">
        <f>COUNTIFS([4]InfCualitativo!$B$1:$B$6973,"VERDADERO",[4]InfCualitativo!$E$1:$E$6973,"Boston",[4]InfCualitativo!$H$1:$H$6973,"consulta_externa")</f>
        <v>42</v>
      </c>
      <c r="F13" s="29">
        <f>COUNTIFS([4]InfCualitativo!$B$1:$B$6973,"FALSO",[4]InfCualitativo!$E$1:$E$6973,"Boston",[4]InfCualitativo!$H$1:$H$6973,"consulta_externa")</f>
        <v>2</v>
      </c>
      <c r="G13" s="30">
        <f t="shared" si="2"/>
        <v>0.95454545454545459</v>
      </c>
      <c r="H13" s="30">
        <f t="shared" si="3"/>
        <v>4.5454545454545456E-2</v>
      </c>
      <c r="I13" s="27">
        <f>COUNTIFS([4]InfCualitativo!$B$1:$B$6973,"VERDADERO",[4]InfCualitativo!$E$1:$E$6973,"Boston",[4]InfCualitativo!$H$1:$H$6973,"salud_oral")</f>
        <v>0</v>
      </c>
      <c r="J13" s="27">
        <f>COUNTIFS([4]InfCualitativo!$B$1:$B$6973,"FALSO",[4]InfCualitativo!$E$1:$E$6973,"Boston",[4]InfCualitativo!$H$1:$H$6973,"salud_oral")</f>
        <v>0</v>
      </c>
      <c r="K13" s="30">
        <f t="shared" si="4"/>
        <v>0</v>
      </c>
      <c r="L13" s="30">
        <f t="shared" si="5"/>
        <v>0</v>
      </c>
      <c r="M13" s="27">
        <f>COUNTIFS([4]InfCualitativo!$B$1:$B$6973,"VERDADERO",[4]InfCualitativo!$E$1:$E$6973,"Boston",[4]InfCualitativo!$H$1:$H$6973,"laboratorio")</f>
        <v>0</v>
      </c>
      <c r="N13" s="27">
        <f>COUNTIFS([4]InfCualitativo!$B$1:$B$6973,"FALSO",[4]InfCualitativo!$E$1:$E$6973,"Boston",[4]InfCualitativo!$H$1:$H$6973,"laboratorio")</f>
        <v>0</v>
      </c>
      <c r="O13" s="30">
        <f t="shared" si="6"/>
        <v>0</v>
      </c>
      <c r="P13" s="31">
        <f t="shared" si="7"/>
        <v>0</v>
      </c>
      <c r="Q13" s="27">
        <f>COUNTIFS([4]InfCualitativo!$B$1:$B$6973,"VERDADERO",[4]InfCualitativo!$E$1:$E$6973,"Boston",[4]InfCualitativo!$H$1:$H$6973,"electros")</f>
        <v>0</v>
      </c>
      <c r="R13" s="27">
        <f>COUNTIFS([4]InfCualitativo!$B$1:$B$6973,"FALSO",[4]InfCualitativo!$E$1:$E$6973,"Boston",[4]InfCualitativo!$H$1:$H$6973,"electros")</f>
        <v>0</v>
      </c>
      <c r="S13" s="30">
        <f t="shared" si="8"/>
        <v>0</v>
      </c>
      <c r="T13" s="30">
        <f t="shared" si="9"/>
        <v>0</v>
      </c>
      <c r="U13" s="27">
        <f>COUNTIFS([4]InfCualitativo!$B$1:$B$6973,"VERDADERO",[4]InfCualitativo!$E$1:$E$6973,"Boston",[4]InfCualitativo!$H$1:$H$6973,"rx")</f>
        <v>0</v>
      </c>
      <c r="V13" s="27">
        <f>COUNTIFS([4]InfCualitativo!$B$1:$B$6973,"FALSO",[4]InfCualitativo!$E$1:$E$6973,"Boston",[4]InfCualitativo!$H$1:$H$6973,"rx")</f>
        <v>0</v>
      </c>
      <c r="W13" s="30">
        <f t="shared" si="10"/>
        <v>0</v>
      </c>
      <c r="X13" s="30">
        <f t="shared" si="11"/>
        <v>0</v>
      </c>
      <c r="Y13" s="27">
        <f>COUNTIFS([4]InfCualitativo!$B$1:$B$6973,"VERDADERO",[4]InfCualitativo!$E$1:$E$6973,"Boston",[4]InfCualitativo!$H$1:$H$6973,"ecografias")</f>
        <v>0</v>
      </c>
      <c r="Z13" s="27">
        <f>COUNTIFS([4]InfCualitativo!$B$1:$B$6973,"FALSO",[4]InfCualitativo!$E$1:$E$6973,"Boston",[4]InfCualitativo!$H$1:$H$6973,"ecografias")</f>
        <v>0</v>
      </c>
      <c r="AA13" s="30">
        <f t="shared" si="12"/>
        <v>0</v>
      </c>
      <c r="AB13" s="30">
        <f t="shared" si="13"/>
        <v>0</v>
      </c>
      <c r="AC13" s="27">
        <f>COUNTIFS([4]InfCualitativo!$B$1:$B$6973,"VERDADERO",[4]InfCualitativo!$E$1:$E$6973,"Boston",[4]InfCualitativo!$H$1:$H$6973,"urgencia")</f>
        <v>0</v>
      </c>
      <c r="AD13" s="27">
        <f>COUNTIFS([4]InfCualitativo!$B$1:$B$6973,"FALSO",[4]InfCualitativo!$E$1:$E$6973,"Boston",[4]InfCualitativo!$H$1:$H$6973,"urgencia")</f>
        <v>0</v>
      </c>
      <c r="AE13" s="30">
        <f t="shared" si="14"/>
        <v>0</v>
      </c>
      <c r="AF13" s="30">
        <f t="shared" si="15"/>
        <v>0</v>
      </c>
      <c r="AG13" s="27">
        <f>COUNTIFS([4]InfCualitativo!$B$1:$B$6973,"VERDADERO",[4]InfCualitativo!$E$1:$E$6973,"Boston",[4]InfCualitativo!$H$1:$H$6973,"pediatria")</f>
        <v>0</v>
      </c>
      <c r="AH13" s="27">
        <f>COUNTIFS([4]InfCualitativo!$B$1:$B$6973,"FALSO",[4]InfCualitativo!$E$1:$E$6973,"Boston",[4]InfCualitativo!$H$1:$H$6973,"pediatria")</f>
        <v>0</v>
      </c>
      <c r="AI13" s="30">
        <f t="shared" si="16"/>
        <v>0</v>
      </c>
      <c r="AJ13" s="30">
        <f t="shared" si="17"/>
        <v>0</v>
      </c>
      <c r="AK13" s="27">
        <f>COUNTIFS([4]InfCualitativo!$B$1:$B$6973,"VERDADERO",[4]InfCualitativo!$E$1:$E$6973,"Boston",[4]InfCualitativo!$H$1:$H$6973,"medicina_interna")</f>
        <v>0</v>
      </c>
      <c r="AL13" s="27">
        <f>COUNTIFS([4]InfCualitativo!$B$1:$B$6973,"FALSO",[4]InfCualitativo!$E$1:$E$6973,"Boston",[4]InfCualitativo!$H$1:$H$6973,"medicina_interna")</f>
        <v>0</v>
      </c>
      <c r="AM13" s="30">
        <f t="shared" si="18"/>
        <v>0</v>
      </c>
      <c r="AN13" s="30">
        <f t="shared" si="19"/>
        <v>0</v>
      </c>
      <c r="AO13" s="27">
        <f>COUNTIFS([4]InfCualitativo!$B$1:$B$6973,"VERDADERO",[4]InfCualitativo!$E$1:$E$6973,"Boston",[4]InfCualitativo!$H$1:$H$6973,"ginecologia")</f>
        <v>0</v>
      </c>
      <c r="AP13" s="27">
        <f>COUNTIFS([4]InfCualitativo!$B$1:$B$6973,"FALSO",[4]InfCualitativo!$E$1:$E$6973,"Boston",[4]InfCualitativo!$H$1:$H$6973,"ginecologia")</f>
        <v>0</v>
      </c>
      <c r="AQ13" s="30">
        <f t="shared" si="20"/>
        <v>0</v>
      </c>
      <c r="AR13" s="30">
        <f t="shared" si="21"/>
        <v>0</v>
      </c>
      <c r="AS13" s="27">
        <f t="shared" si="22"/>
        <v>42</v>
      </c>
      <c r="AT13" s="27">
        <f t="shared" si="22"/>
        <v>2</v>
      </c>
      <c r="AU13" s="32">
        <f t="shared" si="23"/>
        <v>0.95454545454545459</v>
      </c>
      <c r="AV13" s="32">
        <f t="shared" si="24"/>
        <v>4.5454545454545456E-2</v>
      </c>
    </row>
    <row r="14" spans="1:48" ht="18.75" x14ac:dyDescent="0.3">
      <c r="A14" s="26" t="s">
        <v>33</v>
      </c>
      <c r="B14" s="27">
        <v>140</v>
      </c>
      <c r="C14" s="27">
        <f t="shared" si="1"/>
        <v>131</v>
      </c>
      <c r="D14" s="28">
        <f t="shared" si="0"/>
        <v>93.571428571428569</v>
      </c>
      <c r="E14" s="29">
        <f>COUNTIFS([4]InfCualitativo!$B$1:$B$6973,"VERDADERO",[4]InfCualitativo!$E$1:$E$6973,"Canapote",[4]InfCualitativo!$H$1:$H$6973,"consulta_externa")</f>
        <v>44</v>
      </c>
      <c r="F14" s="29">
        <f>COUNTIFS([4]InfCualitativo!$B$1:$B$6973,"FALSO",[4]InfCualitativo!$E$1:$E$6973,"Canapote",[4]InfCualitativo!$H$1:$H$6973,"consulta_externa")</f>
        <v>2</v>
      </c>
      <c r="G14" s="30">
        <f t="shared" si="2"/>
        <v>0.95652173913043481</v>
      </c>
      <c r="H14" s="30">
        <f t="shared" si="3"/>
        <v>4.3478260869565216E-2</v>
      </c>
      <c r="I14" s="27">
        <f>COUNTIFS([4]InfCualitativo!$B$1:$B$6973,"VERDADERO",[4]InfCualitativo!$E$1:$E$6973,"Canapote",[4]InfCualitativo!$H$1:$H$6973,"salud_oral")</f>
        <v>39</v>
      </c>
      <c r="J14" s="27">
        <f>COUNTIFS([4]InfCualitativo!$B$1:$B$6973,"FALSO",[4]InfCualitativo!$E$1:$E$6973,"Canapote",[4]InfCualitativo!$H$1:$H$6973,"salud_oral")</f>
        <v>4</v>
      </c>
      <c r="K14" s="30">
        <f t="shared" si="4"/>
        <v>0.90697674418604646</v>
      </c>
      <c r="L14" s="30">
        <f t="shared" si="5"/>
        <v>9.3023255813953487E-2</v>
      </c>
      <c r="M14" s="27">
        <f>COUNTIFS([4]InfCualitativo!$B$1:$B$6973,"VERDADERO",[4]InfCualitativo!$E$1:$E$6973,"Canapote",[4]InfCualitativo!$H$1:$H$6973,"laboratorio")</f>
        <v>37</v>
      </c>
      <c r="N14" s="27">
        <f>COUNTIFS([4]InfCualitativo!$B$1:$B$6973,"FALSO",[4]InfCualitativo!$E$1:$E$6973,"Canapote",[4]InfCualitativo!$H$1:$H$6973,"laboratorio")</f>
        <v>5</v>
      </c>
      <c r="O14" s="30">
        <f t="shared" si="6"/>
        <v>0.88095238095238093</v>
      </c>
      <c r="P14" s="31">
        <f t="shared" si="7"/>
        <v>0.11904761904761904</v>
      </c>
      <c r="Q14" s="27">
        <f>COUNTIFS([4]InfCualitativo!$B$1:$B$6973,"VERDADERO",[4]InfCualitativo!$E$1:$E$6973,"Canapote",[4]InfCualitativo!$H$1:$H$6973,"electros")</f>
        <v>0</v>
      </c>
      <c r="R14" s="27">
        <f>COUNTIFS([4]InfCualitativo!$B$1:$B$6973,"FALSO",[4]InfCualitativo!$E$1:$E$6973,"Canapote",[4]InfCualitativo!$H$1:$H$6973,"electros")</f>
        <v>0</v>
      </c>
      <c r="S14" s="30">
        <f t="shared" si="8"/>
        <v>0</v>
      </c>
      <c r="T14" s="30">
        <f t="shared" si="9"/>
        <v>0</v>
      </c>
      <c r="U14" s="27">
        <f>COUNTIFS([4]InfCualitativo!$B$1:$B$6973,"VERDADERO",[4]InfCualitativo!$E$1:$E$6973,"Canapote",[4]InfCualitativo!$H$1:$H$6973,"rx")</f>
        <v>0</v>
      </c>
      <c r="V14" s="27">
        <f>COUNTIFS([4]InfCualitativo!$B$1:$B$6973,"FALSO",[4]InfCualitativo!$E$1:$E$6973,"Canapote",[4]InfCualitativo!$H$1:$H$6973,"rx")</f>
        <v>0</v>
      </c>
      <c r="W14" s="30">
        <f t="shared" si="10"/>
        <v>0</v>
      </c>
      <c r="X14" s="30">
        <f t="shared" si="11"/>
        <v>0</v>
      </c>
      <c r="Y14" s="27">
        <f>COUNTIFS([4]InfCualitativo!$B$1:$B$6973,"VERDADERO",[4]InfCualitativo!$E$1:$E$6973,"Canapote",[4]InfCualitativo!$H$1:$H$6973,"ecografias")</f>
        <v>0</v>
      </c>
      <c r="Z14" s="27">
        <f>COUNTIFS([4]InfCualitativo!$B$1:$B$6973,"FALSO",[4]InfCualitativo!$E$1:$E$6973,"Canapote",[4]InfCualitativo!$H$1:$H$6973,"ecografias")</f>
        <v>0</v>
      </c>
      <c r="AA14" s="30">
        <f t="shared" si="12"/>
        <v>0</v>
      </c>
      <c r="AB14" s="30">
        <f t="shared" si="13"/>
        <v>0</v>
      </c>
      <c r="AC14" s="27">
        <f>COUNTIFS([4]InfCualitativo!$B$1:$B$6973,"VERDADERO",[4]InfCualitativo!$E$1:$E$6973,"Canapote",[4]InfCualitativo!$H$1:$H$6973,"urgencia")</f>
        <v>0</v>
      </c>
      <c r="AD14" s="27">
        <f>COUNTIFS([4]InfCualitativo!$B$1:$B$6973,"FALSO",[4]InfCualitativo!$E$1:$E$6973,"Canapote",[4]InfCualitativo!$H$1:$H$6973,"urgencia")</f>
        <v>0</v>
      </c>
      <c r="AE14" s="30">
        <f t="shared" si="14"/>
        <v>0</v>
      </c>
      <c r="AF14" s="30">
        <f t="shared" si="15"/>
        <v>0</v>
      </c>
      <c r="AG14" s="27">
        <f>COUNTIFS([4]InfCualitativo!$B$1:$B$6973,"VERDADERO",[4]InfCualitativo!$E$1:$E$6973,"Canapote",[4]InfCualitativo!$H$1:$H$6973,"pediatria")</f>
        <v>0</v>
      </c>
      <c r="AH14" s="27">
        <f>COUNTIFS([4]InfCualitativo!$B$1:$B$6973,"FALSO",[4]InfCualitativo!$E$1:$E$6973,"Canapote",[4]InfCualitativo!$H$1:$H$6973,"pediatria")</f>
        <v>0</v>
      </c>
      <c r="AI14" s="30">
        <f t="shared" si="16"/>
        <v>0</v>
      </c>
      <c r="AJ14" s="30">
        <f t="shared" si="17"/>
        <v>0</v>
      </c>
      <c r="AK14" s="27">
        <f>COUNTIFS([4]InfCualitativo!$B$1:$B$6973,"VERDADERO",[4]InfCualitativo!$E$1:$E$6973,"Canapote",[4]InfCualitativo!$H$1:$H$6973,"medicina_interna")</f>
        <v>0</v>
      </c>
      <c r="AL14" s="27">
        <f>COUNTIFS([4]InfCualitativo!$B$1:$B$6973,"FALSO",[4]InfCualitativo!$E$1:$E$6973,"Canapote",[4]InfCualitativo!$H$1:$H$6973,"medicina_interna")</f>
        <v>0</v>
      </c>
      <c r="AM14" s="30">
        <f t="shared" si="18"/>
        <v>0</v>
      </c>
      <c r="AN14" s="30">
        <f t="shared" si="19"/>
        <v>0</v>
      </c>
      <c r="AO14" s="27">
        <f>COUNTIFS([4]InfCualitativo!$B$1:$B$6973,"VERDADERO",[4]InfCualitativo!$E$1:$E$6973,"Canapote",[4]InfCualitativo!$H$1:$H$6973,"ginecologia")</f>
        <v>0</v>
      </c>
      <c r="AP14" s="27">
        <f>COUNTIFS([4]InfCualitativo!$B$1:$B$6973,"FALSO",[4]InfCualitativo!$E$1:$E$6973,"Canapote",[4]InfCualitativo!$H$1:$H$6973,"ginecologia")</f>
        <v>0</v>
      </c>
      <c r="AQ14" s="30">
        <f t="shared" si="20"/>
        <v>0</v>
      </c>
      <c r="AR14" s="30">
        <f t="shared" si="21"/>
        <v>0</v>
      </c>
      <c r="AS14" s="27">
        <f t="shared" si="22"/>
        <v>120</v>
      </c>
      <c r="AT14" s="27">
        <f t="shared" si="22"/>
        <v>11</v>
      </c>
      <c r="AU14" s="32">
        <f t="shared" si="23"/>
        <v>0.91603053435114501</v>
      </c>
      <c r="AV14" s="32">
        <f t="shared" si="24"/>
        <v>8.3969465648854963E-2</v>
      </c>
    </row>
    <row r="15" spans="1:48" ht="18.75" x14ac:dyDescent="0.3">
      <c r="A15" s="26" t="s">
        <v>34</v>
      </c>
      <c r="B15" s="27">
        <v>280</v>
      </c>
      <c r="C15" s="27">
        <f t="shared" si="1"/>
        <v>280</v>
      </c>
      <c r="D15" s="28">
        <f t="shared" si="0"/>
        <v>100</v>
      </c>
      <c r="E15" s="29">
        <f>COUNTIFS([4]InfCualitativo!$B$1:$B$6973,"VERDADERO",[4]InfCualitativo!$E$1:$E$6973,"Candelaria",[4]InfCualitativo!$H$1:$H$6973,"consulta_externa")</f>
        <v>51</v>
      </c>
      <c r="F15" s="29">
        <f>COUNTIFS([4]InfCualitativo!$B$1:$B$6973,"FALSO",[4]InfCualitativo!$E$1:$E$6973,"Candelaria",[4]InfCualitativo!$H$1:$H$6973,"consulta_externa")</f>
        <v>0</v>
      </c>
      <c r="G15" s="30">
        <f t="shared" si="2"/>
        <v>1</v>
      </c>
      <c r="H15" s="30">
        <f t="shared" si="3"/>
        <v>0</v>
      </c>
      <c r="I15" s="27">
        <f>COUNTIFS([4]InfCualitativo!$B$1:$B$6973,"VERDADERO",[4]InfCualitativo!$E$1:$E$6973,"Candelaria",[4]InfCualitativo!$H$1:$H$6973,"salud_oral")</f>
        <v>48</v>
      </c>
      <c r="J15" s="27">
        <f>COUNTIFS([4]InfCualitativo!$B$1:$B$6973,"FALSO",[4]InfCualitativo!$E$1:$E$6973,"Candelaria",[4]InfCualitativo!$H$1:$H$6973,"salud_oral")</f>
        <v>0</v>
      </c>
      <c r="K15" s="30">
        <f t="shared" si="4"/>
        <v>1</v>
      </c>
      <c r="L15" s="30">
        <f t="shared" si="5"/>
        <v>0</v>
      </c>
      <c r="M15" s="27">
        <f>COUNTIFS([4]InfCualitativo!$B$1:$B$6973,"VERDADERO",[4]InfCualitativo!$E$1:$E$6973,"Candelaria",[4]InfCualitativo!$H$1:$H$6973,"laboratorio")</f>
        <v>48</v>
      </c>
      <c r="N15" s="27">
        <f>COUNTIFS([4]InfCualitativo!$B$1:$B$6973,"FALSO",[4]InfCualitativo!$E$1:$E$6973,"Candelaria",[4]InfCualitativo!$H$1:$H$6973,"laboratorio")</f>
        <v>0</v>
      </c>
      <c r="O15" s="30">
        <f t="shared" si="6"/>
        <v>1</v>
      </c>
      <c r="P15" s="31">
        <f t="shared" si="7"/>
        <v>0</v>
      </c>
      <c r="Q15" s="27">
        <f>COUNTIFS([4]InfCualitativo!$B$1:$B$6973,"VERDADERO",[4]InfCualitativo!$E$1:$E$6973,"Candelaria",[4]InfCualitativo!$H$1:$H$6973,"electros")</f>
        <v>42</v>
      </c>
      <c r="R15" s="27">
        <f>COUNTIFS([4]InfCualitativo!$B$1:$B$6973,"FALSO",[4]InfCualitativo!$E$1:$E$6973,"Candelaria",[4]InfCualitativo!$H$1:$H$6973,"electros")</f>
        <v>0</v>
      </c>
      <c r="S15" s="30">
        <f t="shared" si="8"/>
        <v>1</v>
      </c>
      <c r="T15" s="30">
        <f t="shared" si="9"/>
        <v>0</v>
      </c>
      <c r="U15" s="27">
        <f>COUNTIFS([4]InfCualitativo!$B$1:$B$6973,"VERDADERO",[4]InfCualitativo!$E$1:$E$6973,"Candelaria",[4]InfCualitativo!$H$1:$H$6973,"rx")</f>
        <v>0</v>
      </c>
      <c r="V15" s="27">
        <f>COUNTIFS([4]InfCualitativo!$B$1:$B$6973,"FALSO",[4]InfCualitativo!$E$1:$E$6973,"Candelaria",[4]InfCualitativo!$H$1:$H$6973,"rx")</f>
        <v>0</v>
      </c>
      <c r="W15" s="30">
        <f t="shared" si="10"/>
        <v>0</v>
      </c>
      <c r="X15" s="30">
        <f t="shared" si="11"/>
        <v>0</v>
      </c>
      <c r="Y15" s="27">
        <f>COUNTIFS([4]InfCualitativo!$B$1:$B$6973,"VERDADERO",[4]InfCualitativo!$E$1:$E$6973,"Candelaria",[4]InfCualitativo!$H$1:$H$6973,"ecografias")</f>
        <v>0</v>
      </c>
      <c r="Z15" s="27">
        <f>COUNTIFS([4]InfCualitativo!$B$1:$B$6973,"FALSO",[4]InfCualitativo!$E$1:$E$6973,"Candelaria",[4]InfCualitativo!$H$1:$H$6973,"ecografias")</f>
        <v>0</v>
      </c>
      <c r="AA15" s="30">
        <f t="shared" si="12"/>
        <v>0</v>
      </c>
      <c r="AB15" s="30">
        <f t="shared" si="13"/>
        <v>0</v>
      </c>
      <c r="AC15" s="27">
        <f>COUNTIFS([4]InfCualitativo!$B$1:$B$6973,"VERDADERO",[4]InfCualitativo!$E$1:$E$6973,"Candelaria",[4]InfCualitativo!$H$1:$H$6973,"urgencia")</f>
        <v>47</v>
      </c>
      <c r="AD15" s="27">
        <f>COUNTIFS([4]InfCualitativo!$B$1:$B$6973,"FALSO",[4]InfCualitativo!$E$1:$E$6973,"Candelaria",[4]InfCualitativo!$H$1:$H$6973,"urgencia")</f>
        <v>0</v>
      </c>
      <c r="AE15" s="30">
        <f t="shared" si="14"/>
        <v>1</v>
      </c>
      <c r="AF15" s="30">
        <f t="shared" si="15"/>
        <v>0</v>
      </c>
      <c r="AG15" s="27">
        <f>COUNTIFS([4]InfCualitativo!$B$1:$B$6973,"VERDADERO",[4]InfCualitativo!$E$1:$E$6973,"Candelaria",[4]InfCualitativo!$H$1:$H$6973,"pediatria")</f>
        <v>20</v>
      </c>
      <c r="AH15" s="27">
        <f>COUNTIFS([4]InfCualitativo!$B$1:$B$6973,"FALSO",[4]InfCualitativo!$E$1:$E$6973,"Candelaria",[4]InfCualitativo!$H$1:$H$6973,"pediatria")</f>
        <v>0</v>
      </c>
      <c r="AI15" s="30">
        <f t="shared" si="16"/>
        <v>1</v>
      </c>
      <c r="AJ15" s="30">
        <f t="shared" si="17"/>
        <v>0</v>
      </c>
      <c r="AK15" s="27">
        <f>COUNTIFS([4]InfCualitativo!$B$1:$B$6973,"VERDADERO",[4]InfCualitativo!$E$1:$E$6973,"Candelaria",[4]InfCualitativo!$H$1:$H$6973,"medicina_interna")</f>
        <v>24</v>
      </c>
      <c r="AL15" s="27">
        <f>COUNTIFS([4]InfCualitativo!$B$1:$B$6973,"FALSO",[4]InfCualitativo!$E$1:$E$6973,"Candelaria",[4]InfCualitativo!$H$1:$H$6973,"medicina_interna")</f>
        <v>0</v>
      </c>
      <c r="AM15" s="30">
        <f t="shared" si="18"/>
        <v>1</v>
      </c>
      <c r="AN15" s="30">
        <f t="shared" si="19"/>
        <v>0</v>
      </c>
      <c r="AO15" s="27">
        <f>COUNTIFS([4]InfCualitativo!$B$1:$B$6973,"VERDADERO",[4]InfCualitativo!$E$1:$E$6973,"Candelaria",[4]InfCualitativo!$H$1:$H$6973,"ginecologia")</f>
        <v>0</v>
      </c>
      <c r="AP15" s="27">
        <f>COUNTIFS([4]InfCualitativo!$B$1:$B$6973,"FALSO",[4]InfCualitativo!$E$1:$E$6973,"Candelaria",[4]InfCualitativo!$H$1:$H$6973,"ginecologia")</f>
        <v>0</v>
      </c>
      <c r="AQ15" s="30">
        <f t="shared" si="20"/>
        <v>0</v>
      </c>
      <c r="AR15" s="30">
        <f t="shared" si="21"/>
        <v>0</v>
      </c>
      <c r="AS15" s="27">
        <f t="shared" si="22"/>
        <v>280</v>
      </c>
      <c r="AT15" s="27">
        <f t="shared" si="22"/>
        <v>0</v>
      </c>
      <c r="AU15" s="32">
        <f t="shared" si="23"/>
        <v>1</v>
      </c>
      <c r="AV15" s="32">
        <f t="shared" si="24"/>
        <v>0</v>
      </c>
    </row>
    <row r="16" spans="1:48" ht="18.75" x14ac:dyDescent="0.3">
      <c r="A16" s="26" t="s">
        <v>35</v>
      </c>
      <c r="B16" s="27">
        <v>113</v>
      </c>
      <c r="C16" s="27">
        <f t="shared" si="1"/>
        <v>113</v>
      </c>
      <c r="D16" s="28">
        <f t="shared" si="0"/>
        <v>100</v>
      </c>
      <c r="E16" s="29">
        <f>COUNTIFS([4]InfCualitativo!$B$1:$B$6973,"VERDADERO",[4]InfCualitativo!$E$1:$E$6973,"Cano de oro",[4]InfCualitativo!$H$1:$H$6973,"consulta_externa")</f>
        <v>55</v>
      </c>
      <c r="F16" s="29">
        <f>COUNTIFS([4]InfCualitativo!$B$1:$B$6973,"FALSO",[4]InfCualitativo!$E$1:$E$6973,"Cano de oro",[4]InfCualitativo!$H$1:$H$6973,"consulta_externa")</f>
        <v>1</v>
      </c>
      <c r="G16" s="30">
        <f t="shared" si="2"/>
        <v>0.9821428571428571</v>
      </c>
      <c r="H16" s="30">
        <f t="shared" si="3"/>
        <v>1.7857142857142856E-2</v>
      </c>
      <c r="I16" s="27">
        <f>COUNTIFS([4]InfCualitativo!$B$1:$B$6973,"VERDADERO",[4]InfCualitativo!$E$1:$E$6973,"Cano de oro",[4]InfCualitativo!$H$1:$H$6973,"salud_oral")</f>
        <v>21</v>
      </c>
      <c r="J16" s="27">
        <f>COUNTIFS([4]InfCualitativo!$B$1:$B$6973,"FALSO",[4]InfCualitativo!$E$1:$E$6973,"Cano de oro",[4]InfCualitativo!$H$1:$H$6973,"salud_oral")</f>
        <v>0</v>
      </c>
      <c r="K16" s="30">
        <f t="shared" si="4"/>
        <v>1</v>
      </c>
      <c r="L16" s="30">
        <f t="shared" si="5"/>
        <v>0</v>
      </c>
      <c r="M16" s="27">
        <f>COUNTIFS([4]InfCualitativo!$B$1:$B$6973,"VERDADERO",[4]InfCualitativo!$E$1:$E$6973,"Cano de oro",[4]InfCualitativo!$H$1:$H$6973,"laboratorio")</f>
        <v>33</v>
      </c>
      <c r="N16" s="27">
        <f>COUNTIFS([4]InfCualitativo!$B$1:$B$6973,"FALSO",[4]InfCualitativo!$E$1:$E$6973,"Cano de oro",[4]InfCualitativo!$H$1:$H$6973,"laboratorio")</f>
        <v>1</v>
      </c>
      <c r="O16" s="30">
        <f t="shared" si="6"/>
        <v>0.97058823529411764</v>
      </c>
      <c r="P16" s="31">
        <f t="shared" si="7"/>
        <v>2.9411764705882353E-2</v>
      </c>
      <c r="Q16" s="27">
        <f>COUNTIFS([4]InfCualitativo!$B$1:$B$6973,"VERDADERO",[4]InfCualitativo!$E$1:$E$6973,"Cano de oro",[4]InfCualitativo!$H$1:$H$6973,"electros")</f>
        <v>0</v>
      </c>
      <c r="R16" s="27">
        <f>COUNTIFS([4]InfCualitativo!$B$1:$B$6973,"FALSO",[4]InfCualitativo!$E$1:$E$6973,"Cano de oro",[4]InfCualitativo!$H$1:$H$6973,"electros")</f>
        <v>0</v>
      </c>
      <c r="S16" s="30">
        <f t="shared" si="8"/>
        <v>0</v>
      </c>
      <c r="T16" s="30">
        <f t="shared" si="9"/>
        <v>0</v>
      </c>
      <c r="U16" s="27">
        <f>COUNTIFS([4]InfCualitativo!$B$1:$B$6973,"VERDADERO",[4]InfCualitativo!$E$1:$E$6973,"Cano de oro",[4]InfCualitativo!$H$1:$H$6973,"rx")</f>
        <v>0</v>
      </c>
      <c r="V16" s="27">
        <f>COUNTIFS([4]InfCualitativo!$B$1:$B$6973,"FALSO",[4]InfCualitativo!$E$1:$E$6973,"Cano de oro",[4]InfCualitativo!$H$1:$H$6973,"rx")</f>
        <v>0</v>
      </c>
      <c r="W16" s="30">
        <f t="shared" si="10"/>
        <v>0</v>
      </c>
      <c r="X16" s="30">
        <f t="shared" si="11"/>
        <v>0</v>
      </c>
      <c r="Y16" s="27">
        <f>COUNTIFS([4]InfCualitativo!$B$1:$B$6973,"VERDADERO",[4]InfCualitativo!$E$1:$E$6973,"Cano de oro",[4]InfCualitativo!$H$1:$H$6973,"ecografias")</f>
        <v>0</v>
      </c>
      <c r="Z16" s="27">
        <f>COUNTIFS([4]InfCualitativo!$B$1:$B$6973,"FALSO",[4]InfCualitativo!$E$1:$E$6973,"Cano de oro",[4]InfCualitativo!$H$1:$H$6973,"ecografias")</f>
        <v>0</v>
      </c>
      <c r="AA16" s="30">
        <f t="shared" si="12"/>
        <v>0</v>
      </c>
      <c r="AB16" s="30">
        <f t="shared" si="13"/>
        <v>0</v>
      </c>
      <c r="AC16" s="27">
        <f>COUNTIFS([4]InfCualitativo!$B$1:$B$6973,"VERDADERO",[4]InfCualitativo!$E$1:$E$6973,"Cano de oro",[4]InfCualitativo!$H$1:$H$6973,"urgencia")</f>
        <v>1</v>
      </c>
      <c r="AD16" s="27">
        <f>COUNTIFS([4]InfCualitativo!$B$1:$B$6973,"FALSO",[4]InfCualitativo!$E$1:$E$6973,"Cano de oro",[4]InfCualitativo!$H$1:$H$6973,"urgencia")</f>
        <v>1</v>
      </c>
      <c r="AE16" s="30">
        <f t="shared" si="14"/>
        <v>0.5</v>
      </c>
      <c r="AF16" s="30">
        <f t="shared" si="15"/>
        <v>0.5</v>
      </c>
      <c r="AG16" s="27">
        <f>COUNTIFS([4]InfCualitativo!$B$1:$B$6973,"VERDADERO",[4]InfCualitativo!$E$1:$E$6973,"Cano de oro",[4]InfCualitativo!$H$1:$H$6973,"pediatria")</f>
        <v>0</v>
      </c>
      <c r="AH16" s="27">
        <f>COUNTIFS([4]InfCualitativo!$B$1:$B$6973,"FALSO",[4]InfCualitativo!$E$1:$E$6973,"Cano de oro",[4]InfCualitativo!$H$1:$H$6973,"pediatria")</f>
        <v>0</v>
      </c>
      <c r="AI16" s="30">
        <f t="shared" si="16"/>
        <v>0</v>
      </c>
      <c r="AJ16" s="30">
        <f t="shared" si="17"/>
        <v>0</v>
      </c>
      <c r="AK16" s="27">
        <f>COUNTIFS([4]InfCualitativo!$B$1:$B$6973,"VERDADERO",[4]InfCualitativo!$E$1:$E$6973,"Cano de oro",[4]InfCualitativo!$H$1:$H$6973,"medicina_interna")</f>
        <v>0</v>
      </c>
      <c r="AL16" s="27">
        <f>COUNTIFS([4]InfCualitativo!$B$1:$B$6973,"FALSO",[4]InfCualitativo!$E$1:$E$6973,"Cano de oro",[4]InfCualitativo!$H$1:$H$6973,"medicina_interna")</f>
        <v>0</v>
      </c>
      <c r="AM16" s="30">
        <f t="shared" si="18"/>
        <v>0</v>
      </c>
      <c r="AN16" s="30">
        <f t="shared" si="19"/>
        <v>0</v>
      </c>
      <c r="AO16" s="27">
        <f>COUNTIFS([4]InfCualitativo!$B$1:$B$6973,"VERDADERO",[4]InfCualitativo!$E$1:$E$6973,"Cano de oro",[4]InfCualitativo!$H$1:$H$6973,"ginecologia")</f>
        <v>0</v>
      </c>
      <c r="AP16" s="27">
        <f>COUNTIFS([4]InfCualitativo!$B$1:$B$6973,"FALSO",[4]InfCualitativo!$E$1:$E$6973,"Cano de oro",[4]InfCualitativo!$H$1:$H$6973,"ginecologia")</f>
        <v>0</v>
      </c>
      <c r="AQ16" s="30">
        <f t="shared" si="20"/>
        <v>0</v>
      </c>
      <c r="AR16" s="30">
        <f t="shared" si="21"/>
        <v>0</v>
      </c>
      <c r="AS16" s="27">
        <f t="shared" si="22"/>
        <v>110</v>
      </c>
      <c r="AT16" s="27">
        <f t="shared" si="22"/>
        <v>3</v>
      </c>
      <c r="AU16" s="32">
        <f t="shared" si="23"/>
        <v>0.97345132743362828</v>
      </c>
      <c r="AV16" s="32">
        <f t="shared" si="24"/>
        <v>2.6548672566371681E-2</v>
      </c>
    </row>
    <row r="17" spans="1:48" ht="18.75" x14ac:dyDescent="0.3">
      <c r="A17" s="26" t="s">
        <v>36</v>
      </c>
      <c r="B17" s="27">
        <v>144</v>
      </c>
      <c r="C17" s="27">
        <f t="shared" si="1"/>
        <v>135</v>
      </c>
      <c r="D17" s="28">
        <f t="shared" si="0"/>
        <v>93.75</v>
      </c>
      <c r="E17" s="29">
        <f>COUNTIFS([4]InfCualitativo!$B$1:$B$6973,"VERDADERO",[4]InfCualitativo!$E$1:$E$6973,"Daniel Lemaitre",[4]InfCualitativo!$H$1:$H$6973,"consulta_externa")</f>
        <v>40</v>
      </c>
      <c r="F17" s="29">
        <f>COUNTIFS([4]InfCualitativo!$B$1:$B$6973,"FALSO",[4]InfCualitativo!$E$1:$E$6973,"Daniel Lemaitre",[4]InfCualitativo!$H$1:$H$6973,"consulta_externa")</f>
        <v>7</v>
      </c>
      <c r="G17" s="30">
        <f t="shared" si="2"/>
        <v>0.85106382978723405</v>
      </c>
      <c r="H17" s="30">
        <f t="shared" si="3"/>
        <v>0.14893617021276595</v>
      </c>
      <c r="I17" s="27">
        <f>COUNTIFS([4]InfCualitativo!$B$1:$B$6973,"VERDADERO",[4]InfCualitativo!$E$1:$E$6973,"Daniel Lemaitre",[4]InfCualitativo!$H$1:$H$6973,"salud_oral")</f>
        <v>34</v>
      </c>
      <c r="J17" s="27">
        <f>COUNTIFS([4]InfCualitativo!$B$1:$B$6973,"FALSO",[4]InfCualitativo!$E$1:$E$6973,"Daniel Lemaitre",[4]InfCualitativo!$H$1:$H$6973,"salud_oral")</f>
        <v>9</v>
      </c>
      <c r="K17" s="30">
        <f t="shared" si="4"/>
        <v>0.79069767441860461</v>
      </c>
      <c r="L17" s="30">
        <f t="shared" si="5"/>
        <v>0.20930232558139536</v>
      </c>
      <c r="M17" s="27">
        <f>COUNTIFS([4]InfCualitativo!$B$1:$B$6973,"VERDADERO",[4]InfCualitativo!$E$1:$E$6973,"Daniel Lemaitre",[4]InfCualitativo!$H$1:$H$6973,"laboratorio")</f>
        <v>39</v>
      </c>
      <c r="N17" s="27">
        <f>COUNTIFS([4]InfCualitativo!$B$1:$B$6973,"FALSO",[4]InfCualitativo!$E$1:$E$6973,"Daniel Lemaitre",[4]InfCualitativo!$H$1:$H$6973,"laboratorio")</f>
        <v>6</v>
      </c>
      <c r="O17" s="30">
        <f t="shared" si="6"/>
        <v>0.8666666666666667</v>
      </c>
      <c r="P17" s="31">
        <f t="shared" si="7"/>
        <v>0.13333333333333333</v>
      </c>
      <c r="Q17" s="27">
        <f>COUNTIFS([4]InfCualitativo!$B$1:$B$6973,"VERDADERO",[4]InfCualitativo!$E$1:$E$6973,"Daniel Lemaitre",[4]InfCualitativo!$H$1:$H$6973,"electros")</f>
        <v>0</v>
      </c>
      <c r="R17" s="27">
        <f>COUNTIFS([4]InfCualitativo!$B$1:$B$6973,"FALSO",[4]InfCualitativo!$E$1:$E$6973,"Daniel Lemaitre",[4]InfCualitativo!$H$1:$H$6973,"electros")</f>
        <v>0</v>
      </c>
      <c r="S17" s="30">
        <f t="shared" si="8"/>
        <v>0</v>
      </c>
      <c r="T17" s="30">
        <f t="shared" si="9"/>
        <v>0</v>
      </c>
      <c r="U17" s="27">
        <f>COUNTIFS([4]InfCualitativo!$B$1:$B$6973,"VERDADERO",[4]InfCualitativo!$E$1:$E$6973,"Daniel Lemaitre",[4]InfCualitativo!$H$1:$H$6973,"rx")</f>
        <v>0</v>
      </c>
      <c r="V17" s="27">
        <f>COUNTIFS([4]InfCualitativo!$B$1:$B$6973,"FALSO",[4]InfCualitativo!$E$1:$E$6973,"Daniel Lemaitre",[4]InfCualitativo!$H$1:$H$6973,"rx")</f>
        <v>0</v>
      </c>
      <c r="W17" s="30">
        <f t="shared" si="10"/>
        <v>0</v>
      </c>
      <c r="X17" s="30">
        <f t="shared" si="11"/>
        <v>0</v>
      </c>
      <c r="Y17" s="27">
        <f>COUNTIFS([4]InfCualitativo!$B$1:$B$6973,"VERDADERO",[4]InfCualitativo!$E$1:$E$6973,"Daniel Lemaitre",[4]InfCualitativo!$H$1:$H$6973,"ecografias")</f>
        <v>0</v>
      </c>
      <c r="Z17" s="27">
        <f>COUNTIFS([4]InfCualitativo!$B$1:$B$6973,"FALSO",[4]InfCualitativo!$E$1:$E$6973,"Daniel Lemaitre",[4]InfCualitativo!$H$1:$H$6973,"ecografias")</f>
        <v>0</v>
      </c>
      <c r="AA17" s="30">
        <f t="shared" si="12"/>
        <v>0</v>
      </c>
      <c r="AB17" s="30">
        <f t="shared" si="13"/>
        <v>0</v>
      </c>
      <c r="AC17" s="27">
        <f>COUNTIFS([4]InfCualitativo!$B$1:$B$6973,"VERDADERO",[4]InfCualitativo!$E$1:$E$6973,"Daniel Lemaitre",[4]InfCualitativo!$H$1:$H$6973,"urgencia")</f>
        <v>0</v>
      </c>
      <c r="AD17" s="27">
        <f>COUNTIFS([4]InfCualitativo!$B$1:$B$6973,"FALSO",[4]InfCualitativo!$E$1:$E$6973,"Daniel Lemaitre",[4]InfCualitativo!$H$1:$H$6973,"urgencia")</f>
        <v>0</v>
      </c>
      <c r="AE17" s="30">
        <f t="shared" si="14"/>
        <v>0</v>
      </c>
      <c r="AF17" s="30">
        <f t="shared" si="15"/>
        <v>0</v>
      </c>
      <c r="AG17" s="27">
        <f>COUNTIFS([4]InfCualitativo!$B$1:$B$6973,"VERDADERO",[4]InfCualitativo!$E$1:$E$6973,"Daniel Lemaitre",[4]InfCualitativo!$H$1:$H$6973,"pediatria")</f>
        <v>0</v>
      </c>
      <c r="AH17" s="27">
        <f>COUNTIFS([4]InfCualitativo!$B$1:$B$6973,"FALSO",[4]InfCualitativo!$E$1:$E$6973,"Daniel Lemaitre",[4]InfCualitativo!$H$1:$H$6973,"pediatria")</f>
        <v>0</v>
      </c>
      <c r="AI17" s="30">
        <f t="shared" si="16"/>
        <v>0</v>
      </c>
      <c r="AJ17" s="30">
        <f t="shared" si="17"/>
        <v>0</v>
      </c>
      <c r="AK17" s="27">
        <f>COUNTIFS([4]InfCualitativo!$B$1:$B$6973,"VERDADERO",[4]InfCualitativo!$E$1:$E$6973,"Daniel Lemaitre",[4]InfCualitativo!$H$1:$H$6973,"medicina_interna")</f>
        <v>0</v>
      </c>
      <c r="AL17" s="27">
        <f>COUNTIFS([4]InfCualitativo!$B$1:$B$6973,"FALSO",[4]InfCualitativo!$E$1:$E$6973,"Daniel Lemaitre",[4]InfCualitativo!$H$1:$H$6973,"medicina_interna")</f>
        <v>0</v>
      </c>
      <c r="AM17" s="30">
        <f t="shared" si="18"/>
        <v>0</v>
      </c>
      <c r="AN17" s="30">
        <f t="shared" si="19"/>
        <v>0</v>
      </c>
      <c r="AO17" s="27">
        <f>COUNTIFS([4]InfCualitativo!$B$1:$B$6973,"VERDADERO",[4]InfCualitativo!$E$1:$E$6973,"Daniel Lemaitre",[4]InfCualitativo!$H$1:$H$6973,"ginecologia")</f>
        <v>0</v>
      </c>
      <c r="AP17" s="27">
        <f>COUNTIFS([4]InfCualitativo!$B$1:$B$6973,"FALSO",[4]InfCualitativo!$E$1:$E$6973,"Daniel Lemaitre",[4]InfCualitativo!$H$1:$H$6973,"ginecologia")</f>
        <v>0</v>
      </c>
      <c r="AQ17" s="30">
        <f t="shared" si="20"/>
        <v>0</v>
      </c>
      <c r="AR17" s="30">
        <f t="shared" si="21"/>
        <v>0</v>
      </c>
      <c r="AS17" s="27">
        <f t="shared" si="22"/>
        <v>113</v>
      </c>
      <c r="AT17" s="27">
        <f t="shared" si="22"/>
        <v>22</v>
      </c>
      <c r="AU17" s="32">
        <f t="shared" si="23"/>
        <v>0.83703703703703702</v>
      </c>
      <c r="AV17" s="32">
        <f t="shared" si="24"/>
        <v>0.16296296296296298</v>
      </c>
    </row>
    <row r="18" spans="1:48" ht="18.75" x14ac:dyDescent="0.3">
      <c r="A18" s="26" t="s">
        <v>37</v>
      </c>
      <c r="B18" s="27">
        <v>236</v>
      </c>
      <c r="C18" s="27">
        <f>SUM(E18,F18,I18,J18,M18,N18,Q18,R18,U18,V18,Y18,Z18,AC18,AD18,AG18,AH18,AK18,AL18,AO18,AP18)</f>
        <v>203</v>
      </c>
      <c r="D18" s="28">
        <f t="shared" si="0"/>
        <v>86.016949152542367</v>
      </c>
      <c r="E18" s="29">
        <f>COUNTIFS([4]InfCualitativo!$B$1:$B$6973,"VERDADERO",[4]InfCualitativo!$E$1:$E$6973,"Esperanza",[4]InfCualitativo!$H$1:$H$6973,"consulta_externa")</f>
        <v>43</v>
      </c>
      <c r="F18" s="29">
        <f>COUNTIFS([4]InfCualitativo!$B$1:$B$6973,"FALSO",[4]InfCualitativo!$E$1:$E$6973,"Esperanza",[4]InfCualitativo!$H$1:$H$6973,"consulta_externa")</f>
        <v>5</v>
      </c>
      <c r="G18" s="30">
        <f t="shared" si="2"/>
        <v>0.89583333333333337</v>
      </c>
      <c r="H18" s="30">
        <f t="shared" si="3"/>
        <v>0.10416666666666667</v>
      </c>
      <c r="I18" s="27">
        <f>COUNTIFS([4]InfCualitativo!$B$1:$B$6973,"VERDADERO",[4]InfCualitativo!$E$1:$E$6973,"Esperanza",[4]InfCualitativo!$H$1:$H$6973,"salud_oral")</f>
        <v>39</v>
      </c>
      <c r="J18" s="27">
        <f>COUNTIFS([4]InfCualitativo!$B$1:$B$6973,"FALSO",[4]InfCualitativo!$E$1:$E$6973,"Esperanza",[4]InfCualitativo!$H$1:$H$6973,"salud_oral")</f>
        <v>5</v>
      </c>
      <c r="K18" s="30">
        <f t="shared" si="4"/>
        <v>0.88636363636363635</v>
      </c>
      <c r="L18" s="30">
        <f t="shared" si="5"/>
        <v>0.11363636363636363</v>
      </c>
      <c r="M18" s="27">
        <f>COUNTIFS([4]InfCualitativo!$B$1:$B$6973,"VERDADERO",[4]InfCualitativo!$E$1:$E$6973,"Esperanza",[4]InfCualitativo!$H$1:$H$6973,"laboratorio")</f>
        <v>41</v>
      </c>
      <c r="N18" s="27">
        <f>COUNTIFS([4]InfCualitativo!$B$1:$B$6973,"FALSO",[4]InfCualitativo!$E$1:$E$6973,"Esperanza",[4]InfCualitativo!$H$1:$H$6973,"laboratorio")</f>
        <v>2</v>
      </c>
      <c r="O18" s="30">
        <f t="shared" si="6"/>
        <v>0.95348837209302328</v>
      </c>
      <c r="P18" s="31">
        <f t="shared" si="7"/>
        <v>4.6511627906976744E-2</v>
      </c>
      <c r="Q18" s="27">
        <f>COUNTIFS([4]InfCualitativo!$B$1:$B$6973,"VERDADERO",[4]InfCualitativo!$E$1:$E$6973,"Esperanza",[4]InfCualitativo!$H$1:$H$6973,"electros")</f>
        <v>34</v>
      </c>
      <c r="R18" s="27">
        <f>COUNTIFS([4]InfCualitativo!$B$1:$B$6973,"FALSO",[4]InfCualitativo!$E$1:$E$6973,"Esperanza",[4]InfCualitativo!$H$1:$H$6973,"electros")</f>
        <v>2</v>
      </c>
      <c r="S18" s="30">
        <f t="shared" si="8"/>
        <v>0.94444444444444442</v>
      </c>
      <c r="T18" s="30">
        <f t="shared" si="9"/>
        <v>5.5555555555555552E-2</v>
      </c>
      <c r="U18" s="27">
        <f>COUNTIFS([4]InfCualitativo!$B$1:$B$6973,"VERDADERO",[4]InfCualitativo!$E$1:$E$6973,"Esperanza",[4]InfCualitativo!$H$1:$H$6973,"rx")</f>
        <v>0</v>
      </c>
      <c r="V18" s="27">
        <f>COUNTIFS([4]InfCualitativo!$B$1:$B$6973,"FALSO",[4]InfCualitativo!$E$1:$E$6973,"Esperanza",[4]InfCualitativo!$H$1:$H$6973,"rx")</f>
        <v>0</v>
      </c>
      <c r="W18" s="30">
        <f t="shared" si="10"/>
        <v>0</v>
      </c>
      <c r="X18" s="30">
        <f t="shared" si="11"/>
        <v>0</v>
      </c>
      <c r="Y18" s="27">
        <f>COUNTIFS([4]InfCualitativo!$B$1:$B$6973,"VERDADERO",[4]InfCualitativo!$E$1:$E$6973,"Esperanza",[4]InfCualitativo!$H$1:$H$6973,"ecografias")</f>
        <v>0</v>
      </c>
      <c r="Z18" s="27">
        <f>COUNTIFS([4]InfCualitativo!$B$1:$B$6973,"FALSO",[4]InfCualitativo!$E$1:$E$6973,"Esperanza",[4]InfCualitativo!$H$1:$H$6973,"ecografias")</f>
        <v>0</v>
      </c>
      <c r="AA18" s="30">
        <f t="shared" si="12"/>
        <v>0</v>
      </c>
      <c r="AB18" s="30">
        <f t="shared" si="13"/>
        <v>0</v>
      </c>
      <c r="AC18" s="27">
        <f>COUNTIFS([4]InfCualitativo!$B$1:$B$6973,"VERDADERO",[4]InfCualitativo!$E$1:$E$6973,"Esperanza",[4]InfCualitativo!$H$1:$H$6973,"urgencia")</f>
        <v>24</v>
      </c>
      <c r="AD18" s="27">
        <f>COUNTIFS([4]InfCualitativo!$B$1:$B$6973,"FALSO",[4]InfCualitativo!$E$1:$E$6973,"Esperanza",[4]InfCualitativo!$H$1:$H$6973,"urgencia")</f>
        <v>8</v>
      </c>
      <c r="AE18" s="30">
        <f t="shared" si="14"/>
        <v>0.75</v>
      </c>
      <c r="AF18" s="30">
        <f t="shared" si="15"/>
        <v>0.25</v>
      </c>
      <c r="AG18" s="27">
        <f>COUNTIFS([4]InfCualitativo!$B$1:$B$6973,"VERDADERO",[4]InfCualitativo!$E$1:$E$6973,"Esperanza",[4]InfCualitativo!$H$1:$H$6973,"pediatria")</f>
        <v>0</v>
      </c>
      <c r="AH18" s="27">
        <f>COUNTIFS([4]InfCualitativo!$B$1:$B$6973,"FALSO",[4]InfCualitativo!$E$1:$E$6973,"Esperanza",[4]InfCualitativo!$H$1:$H$6973,"pediatria")</f>
        <v>0</v>
      </c>
      <c r="AI18" s="30">
        <f t="shared" si="16"/>
        <v>0</v>
      </c>
      <c r="AJ18" s="30">
        <f t="shared" si="17"/>
        <v>0</v>
      </c>
      <c r="AK18" s="27">
        <f>COUNTIFS([4]InfCualitativo!$B$1:$B$6973,"VERDADERO",[4]InfCualitativo!$E$1:$E$6973,"Esperanza",[4]InfCualitativo!$H$1:$H$6973,"medicina_interna")</f>
        <v>0</v>
      </c>
      <c r="AL18" s="27">
        <f>COUNTIFS([4]InfCualitativo!$B$1:$B$6973,"FALSO",[4]InfCualitativo!$E$1:$E$6973,"Esperanza",[4]InfCualitativo!$H$1:$H$6973,"medicina_interna")</f>
        <v>0</v>
      </c>
      <c r="AM18" s="30">
        <f t="shared" si="18"/>
        <v>0</v>
      </c>
      <c r="AN18" s="30">
        <f t="shared" si="19"/>
        <v>0</v>
      </c>
      <c r="AO18" s="27">
        <f>COUNTIFS([4]InfCualitativo!$B$1:$B$6973,"VERDADERO",[4]InfCualitativo!$E$1:$E$6973,"Esperanza",[4]InfCualitativo!$H$1:$H$6973,"ginecologia")</f>
        <v>0</v>
      </c>
      <c r="AP18" s="27">
        <f>COUNTIFS([4]InfCualitativo!$B$1:$B$6973,"FALSO",[4]InfCualitativo!$E$1:$E$6973,"Esperanza",[4]InfCualitativo!$H$1:$H$6973,"ginecologia")</f>
        <v>0</v>
      </c>
      <c r="AQ18" s="30">
        <f t="shared" si="20"/>
        <v>0</v>
      </c>
      <c r="AR18" s="30">
        <f t="shared" si="21"/>
        <v>0</v>
      </c>
      <c r="AS18" s="27">
        <f t="shared" si="22"/>
        <v>181</v>
      </c>
      <c r="AT18" s="27">
        <f t="shared" si="22"/>
        <v>22</v>
      </c>
      <c r="AU18" s="32">
        <f t="shared" si="23"/>
        <v>0.89162561576354682</v>
      </c>
      <c r="AV18" s="32">
        <f t="shared" si="24"/>
        <v>0.10837438423645321</v>
      </c>
    </row>
    <row r="19" spans="1:48" ht="18.75" x14ac:dyDescent="0.3">
      <c r="A19" s="26" t="s">
        <v>38</v>
      </c>
      <c r="B19" s="35" t="s">
        <v>39</v>
      </c>
      <c r="C19" s="35" t="s">
        <v>39</v>
      </c>
      <c r="D19" s="35" t="s">
        <v>39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5" t="s">
        <v>39</v>
      </c>
      <c r="P19" s="35" t="s">
        <v>39</v>
      </c>
      <c r="Q19" s="35" t="s">
        <v>39</v>
      </c>
      <c r="R19" s="35" t="s">
        <v>39</v>
      </c>
      <c r="S19" s="35" t="s">
        <v>39</v>
      </c>
      <c r="T19" s="35" t="s">
        <v>39</v>
      </c>
      <c r="U19" s="35" t="s">
        <v>39</v>
      </c>
      <c r="V19" s="35" t="s">
        <v>39</v>
      </c>
      <c r="W19" s="35" t="s">
        <v>39</v>
      </c>
      <c r="X19" s="35" t="s">
        <v>39</v>
      </c>
      <c r="Y19" s="35" t="s">
        <v>39</v>
      </c>
      <c r="Z19" s="35" t="s">
        <v>39</v>
      </c>
      <c r="AA19" s="35" t="s">
        <v>39</v>
      </c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 t="s">
        <v>39</v>
      </c>
      <c r="AH19" s="35" t="s">
        <v>39</v>
      </c>
      <c r="AI19" s="35" t="s">
        <v>39</v>
      </c>
      <c r="AJ19" s="35" t="s">
        <v>39</v>
      </c>
      <c r="AK19" s="35" t="s">
        <v>39</v>
      </c>
      <c r="AL19" s="35" t="s">
        <v>39</v>
      </c>
      <c r="AM19" s="35" t="s">
        <v>39</v>
      </c>
      <c r="AN19" s="35" t="s">
        <v>39</v>
      </c>
      <c r="AO19" s="35" t="s">
        <v>39</v>
      </c>
      <c r="AP19" s="35" t="s">
        <v>39</v>
      </c>
      <c r="AQ19" s="35" t="s">
        <v>39</v>
      </c>
      <c r="AR19" s="35" t="s">
        <v>39</v>
      </c>
      <c r="AS19" s="35" t="s">
        <v>39</v>
      </c>
      <c r="AT19" s="35" t="s">
        <v>39</v>
      </c>
      <c r="AU19" s="35" t="s">
        <v>39</v>
      </c>
      <c r="AV19" s="35" t="s">
        <v>39</v>
      </c>
    </row>
    <row r="20" spans="1:48" ht="18.75" x14ac:dyDescent="0.3">
      <c r="A20" s="26" t="s">
        <v>40</v>
      </c>
      <c r="B20" s="27">
        <v>140</v>
      </c>
      <c r="C20" s="27">
        <f t="shared" si="1"/>
        <v>135</v>
      </c>
      <c r="D20" s="28">
        <f t="shared" si="0"/>
        <v>96.428571428571431</v>
      </c>
      <c r="E20" s="29">
        <f>COUNTIFS([4]InfCualitativo!$B$1:$B$6973,"VERDADERO",[4]InfCualitativo!$E$1:$E$6973,"Foco Rojo",[4]InfCualitativo!$H$1:$H$6973,"consulta_externa")</f>
        <v>46</v>
      </c>
      <c r="F20" s="29">
        <f>COUNTIFS([4]InfCualitativo!$B$1:$B$6973,"FALSO",[4]InfCualitativo!$E$1:$E$6973,"Foco Rojo",[4]InfCualitativo!$H$1:$H$6973,"consulta_externa")</f>
        <v>0</v>
      </c>
      <c r="G20" s="30">
        <f t="shared" si="2"/>
        <v>1</v>
      </c>
      <c r="H20" s="30">
        <f t="shared" si="3"/>
        <v>0</v>
      </c>
      <c r="I20" s="27">
        <f>COUNTIFS([4]InfCualitativo!$B$1:$B$6973,"VERDADERO",[4]InfCualitativo!$E$1:$E$6973,"Foco Rojo",[4]InfCualitativo!$H$1:$H$6973,"salud_oral")</f>
        <v>45</v>
      </c>
      <c r="J20" s="27">
        <f>COUNTIFS([4]InfCualitativo!$B$1:$B$6973,"FALSO",[4]InfCualitativo!$E$1:$E$6973,"Foco Rojo",[4]InfCualitativo!$H$1:$H$6973,"salud_oral")</f>
        <v>0</v>
      </c>
      <c r="K20" s="30">
        <f t="shared" si="4"/>
        <v>1</v>
      </c>
      <c r="L20" s="30">
        <f t="shared" si="5"/>
        <v>0</v>
      </c>
      <c r="M20" s="27">
        <f>COUNTIFS([4]InfCualitativo!$B$1:$B$6973,"VERDADERO",[4]InfCualitativo!$E$1:$E$6973,"Foco Rojo",[4]InfCualitativo!$H$1:$H$6973,"laboratorio")</f>
        <v>44</v>
      </c>
      <c r="N20" s="27">
        <f>COUNTIFS([4]InfCualitativo!$B$1:$B$6973,"FALSO",[4]InfCualitativo!$E$1:$E$6973,"Foco Rojo",[4]InfCualitativo!$H$1:$H$6973,"laboratorio")</f>
        <v>0</v>
      </c>
      <c r="O20" s="30">
        <f t="shared" si="6"/>
        <v>1</v>
      </c>
      <c r="P20" s="31">
        <f t="shared" si="7"/>
        <v>0</v>
      </c>
      <c r="Q20" s="27">
        <f>COUNTIFS([4]InfCualitativo!$B$1:$B$6973,"VERDADERO",[4]InfCualitativo!$E$1:$E$6973,"Foco Rojo",[4]InfCualitativo!$H$1:$H$6973,"electros")</f>
        <v>0</v>
      </c>
      <c r="R20" s="27">
        <f>COUNTIFS([4]InfCualitativo!$B$1:$B$6973,"FALSO",[4]InfCualitativo!$E$1:$E$6973,"Foco Rojo",[4]InfCualitativo!$H$1:$H$6973,"electros")</f>
        <v>0</v>
      </c>
      <c r="S20" s="30">
        <f t="shared" si="8"/>
        <v>0</v>
      </c>
      <c r="T20" s="30">
        <f t="shared" si="9"/>
        <v>0</v>
      </c>
      <c r="U20" s="27">
        <f>COUNTIFS([4]InfCualitativo!$B$1:$B$6973,"VERDADERO",[4]InfCualitativo!$E$1:$E$6973,"Foco Rojo",[4]InfCualitativo!$H$1:$H$6973,"rx")</f>
        <v>0</v>
      </c>
      <c r="V20" s="27">
        <f>COUNTIFS([4]InfCualitativo!$B$1:$B$6973,"FALSO",[4]InfCualitativo!$E$1:$E$6973,"Foco Rojo",[4]InfCualitativo!$H$1:$H$6973,"rx")</f>
        <v>0</v>
      </c>
      <c r="W20" s="30">
        <f t="shared" si="10"/>
        <v>0</v>
      </c>
      <c r="X20" s="30">
        <f t="shared" si="11"/>
        <v>0</v>
      </c>
      <c r="Y20" s="27">
        <f>COUNTIFS([4]InfCualitativo!$B$1:$B$6973,"VERDADERO",[4]InfCualitativo!$E$1:$E$6973,"Foco Rojo",[4]InfCualitativo!$H$1:$H$6973,"ecografias")</f>
        <v>0</v>
      </c>
      <c r="Z20" s="27">
        <f>COUNTIFS([4]InfCualitativo!$B$1:$B$6973,"FALSO",[4]InfCualitativo!$E$1:$E$6973,"Foco Rojo",[4]InfCualitativo!$H$1:$H$6973,"ecografias")</f>
        <v>0</v>
      </c>
      <c r="AA20" s="30">
        <f t="shared" si="12"/>
        <v>0</v>
      </c>
      <c r="AB20" s="30">
        <f t="shared" si="13"/>
        <v>0</v>
      </c>
      <c r="AC20" s="27">
        <f>COUNTIFS([4]InfCualitativo!$B$1:$B$6973,"VERDADERO",[4]InfCualitativo!$E$1:$E$6973,"Foco Rojo",[4]InfCualitativo!$H$1:$H$6973,"urgencia")</f>
        <v>0</v>
      </c>
      <c r="AD20" s="27">
        <f>COUNTIFS([4]InfCualitativo!$B$1:$B$6973,"FALSO",[4]InfCualitativo!$E$1:$E$6973,"Foco Rojo",[4]InfCualitativo!$H$1:$H$6973,"urgencia")</f>
        <v>0</v>
      </c>
      <c r="AE20" s="30">
        <f t="shared" si="14"/>
        <v>0</v>
      </c>
      <c r="AF20" s="30">
        <f t="shared" si="15"/>
        <v>0</v>
      </c>
      <c r="AG20" s="27">
        <f>COUNTIFS([4]InfCualitativo!$B$1:$B$6973,"VERDADERO",[4]InfCualitativo!$E$1:$E$6973,"Foco Rojo",[4]InfCualitativo!$H$1:$H$6973,"pediatria")</f>
        <v>0</v>
      </c>
      <c r="AH20" s="27">
        <f>COUNTIFS([4]InfCualitativo!$B$1:$B$6973,"FALSO",[4]InfCualitativo!$E$1:$E$6973,"Foco Rojo",[4]InfCualitativo!$H$1:$H$6973,"pediatria")</f>
        <v>0</v>
      </c>
      <c r="AI20" s="30">
        <f t="shared" si="16"/>
        <v>0</v>
      </c>
      <c r="AJ20" s="30">
        <f t="shared" si="17"/>
        <v>0</v>
      </c>
      <c r="AK20" s="27">
        <f>COUNTIFS([4]InfCualitativo!$B$1:$B$6973,"VERDADERO",[4]InfCualitativo!$E$1:$E$6973,"Foco Rojo",[4]InfCualitativo!$H$1:$H$6973,"medicina_interna")</f>
        <v>0</v>
      </c>
      <c r="AL20" s="27">
        <f>COUNTIFS([4]InfCualitativo!$B$1:$B$6973,"FALSO",[4]InfCualitativo!$E$1:$E$6973,"Foco Rojo",[4]InfCualitativo!$H$1:$H$6973,"medicina_interna")</f>
        <v>0</v>
      </c>
      <c r="AM20" s="30">
        <f t="shared" si="18"/>
        <v>0</v>
      </c>
      <c r="AN20" s="30">
        <f t="shared" si="19"/>
        <v>0</v>
      </c>
      <c r="AO20" s="27">
        <f>COUNTIFS([4]InfCualitativo!$B$1:$B$6973,"VERDADERO",[4]InfCualitativo!$E$1:$E$6973,"Foco Rojo",[4]InfCualitativo!$H$1:$H$6973,"ginecologia")</f>
        <v>0</v>
      </c>
      <c r="AP20" s="27">
        <f>COUNTIFS([4]InfCualitativo!$B$1:$B$6973,"FALSO",[4]InfCualitativo!$E$1:$E$6973,"Foco Rojo",[4]InfCualitativo!$H$1:$H$6973,"ginecologia")</f>
        <v>0</v>
      </c>
      <c r="AQ20" s="30">
        <f t="shared" si="20"/>
        <v>0</v>
      </c>
      <c r="AR20" s="30">
        <f t="shared" si="21"/>
        <v>0</v>
      </c>
      <c r="AS20" s="27">
        <f t="shared" si="22"/>
        <v>135</v>
      </c>
      <c r="AT20" s="27">
        <f t="shared" si="22"/>
        <v>0</v>
      </c>
      <c r="AU20" s="32">
        <f t="shared" si="23"/>
        <v>1</v>
      </c>
      <c r="AV20" s="32">
        <f t="shared" si="24"/>
        <v>0</v>
      </c>
    </row>
    <row r="21" spans="1:48" ht="18.75" x14ac:dyDescent="0.3">
      <c r="A21" s="26" t="s">
        <v>41</v>
      </c>
      <c r="B21" s="27">
        <v>144</v>
      </c>
      <c r="C21" s="27">
        <f t="shared" si="1"/>
        <v>132</v>
      </c>
      <c r="D21" s="28">
        <f t="shared" si="0"/>
        <v>91.666666666666671</v>
      </c>
      <c r="E21" s="29">
        <f>COUNTIFS([4]InfCualitativo!$B$1:$B$6973,"VERDADERO",[4]InfCualitativo!$E$1:$E$6973,"Fredonia",[4]InfCualitativo!$H$1:$H$6973,"consulta_externa")</f>
        <v>44</v>
      </c>
      <c r="F21" s="29">
        <f>COUNTIFS([4]InfCualitativo!$B$1:$B$6973,"FALSO",[4]InfCualitativo!$E$1:$E$6973,"Fredonia",[4]InfCualitativo!$H$1:$H$6973,"consulta_externa")</f>
        <v>0</v>
      </c>
      <c r="G21" s="30">
        <f t="shared" si="2"/>
        <v>1</v>
      </c>
      <c r="H21" s="30">
        <f t="shared" si="3"/>
        <v>0</v>
      </c>
      <c r="I21" s="27">
        <f>COUNTIFS([4]InfCualitativo!$B$1:$B$6973,"VERDADERO",[4]InfCualitativo!$E$1:$E$6973,"Fredonia",[4]InfCualitativo!$H$1:$H$6973,"salud_oral")</f>
        <v>45</v>
      </c>
      <c r="J21" s="27">
        <f>COUNTIFS([4]InfCualitativo!$B$1:$B$6973,"FALSO",[4]InfCualitativo!$E$1:$E$6973,"Fredonia",[4]InfCualitativo!$H$1:$H$6973,"salud_oral")</f>
        <v>0</v>
      </c>
      <c r="K21" s="30">
        <f t="shared" si="4"/>
        <v>1</v>
      </c>
      <c r="L21" s="30">
        <f t="shared" si="5"/>
        <v>0</v>
      </c>
      <c r="M21" s="27">
        <f>COUNTIFS([4]InfCualitativo!$B$1:$B$6973,"VERDADERO",[4]InfCualitativo!$E$1:$E$6973,"Fredonia",[4]InfCualitativo!$H$1:$H$6973,"laboratorio")</f>
        <v>43</v>
      </c>
      <c r="N21" s="27">
        <f>COUNTIFS([4]InfCualitativo!$B$1:$B$6973,"FALSO",[4]InfCualitativo!$E$1:$E$6973,"Fredonia",[4]InfCualitativo!$H$1:$H$6973,"laboratorio")</f>
        <v>0</v>
      </c>
      <c r="O21" s="30">
        <f t="shared" si="6"/>
        <v>1</v>
      </c>
      <c r="P21" s="31">
        <f t="shared" si="7"/>
        <v>0</v>
      </c>
      <c r="Q21" s="27">
        <f>COUNTIFS([4]InfCualitativo!$B$1:$B$6973,"VERDADERO",[4]InfCualitativo!$E$1:$E$6973,"Fredonia",[4]InfCualitativo!$H$1:$H$6973,"electros")</f>
        <v>0</v>
      </c>
      <c r="R21" s="27">
        <f>COUNTIFS([4]InfCualitativo!$B$1:$B$6973,"FALSO",[4]InfCualitativo!$E$1:$E$6973,"Fredonia",[4]InfCualitativo!$H$1:$H$6973,"electros")</f>
        <v>0</v>
      </c>
      <c r="S21" s="30">
        <f t="shared" si="8"/>
        <v>0</v>
      </c>
      <c r="T21" s="30">
        <f t="shared" si="9"/>
        <v>0</v>
      </c>
      <c r="U21" s="27">
        <f>COUNTIFS([4]InfCualitativo!$B$1:$B$6973,"VERDADERO",[4]InfCualitativo!$E$1:$E$6973,"Fredonia",[4]InfCualitativo!$H$1:$H$6973,"rx")</f>
        <v>0</v>
      </c>
      <c r="V21" s="27">
        <f>COUNTIFS([4]InfCualitativo!$B$1:$B$6973,"FALSO",[4]InfCualitativo!$E$1:$E$6973,"Fredonia",[4]InfCualitativo!$H$1:$H$6973,"rx")</f>
        <v>0</v>
      </c>
      <c r="W21" s="30">
        <f t="shared" si="10"/>
        <v>0</v>
      </c>
      <c r="X21" s="30">
        <f t="shared" si="11"/>
        <v>0</v>
      </c>
      <c r="Y21" s="27">
        <f>COUNTIFS([4]InfCualitativo!$B$1:$B$6973,"VERDADERO",[4]InfCualitativo!$E$1:$E$6973,"Fredonia",[4]InfCualitativo!$H$1:$H$6973,"ecografias")</f>
        <v>0</v>
      </c>
      <c r="Z21" s="27">
        <f>COUNTIFS([4]InfCualitativo!$B$1:$B$6973,"FALSO",[4]InfCualitativo!$E$1:$E$6973,"Fredonia",[4]InfCualitativo!$H$1:$H$6973,"ecografias")</f>
        <v>0</v>
      </c>
      <c r="AA21" s="30">
        <f t="shared" si="12"/>
        <v>0</v>
      </c>
      <c r="AB21" s="30">
        <f t="shared" si="13"/>
        <v>0</v>
      </c>
      <c r="AC21" s="27">
        <f>COUNTIFS([4]InfCualitativo!$B$1:$B$6973,"VERDADERO",[4]InfCualitativo!$E$1:$E$6973,"Fredonia",[4]InfCualitativo!$H$1:$H$6973,"urgencia")</f>
        <v>0</v>
      </c>
      <c r="AD21" s="27">
        <f>COUNTIFS([4]InfCualitativo!$B$1:$B$6973,"FALSO",[4]InfCualitativo!$E$1:$E$6973,"Fredonia",[4]InfCualitativo!$H$1:$H$6973,"urgencia")</f>
        <v>0</v>
      </c>
      <c r="AE21" s="30">
        <f t="shared" si="14"/>
        <v>0</v>
      </c>
      <c r="AF21" s="30">
        <f t="shared" si="15"/>
        <v>0</v>
      </c>
      <c r="AG21" s="27">
        <f>COUNTIFS([4]InfCualitativo!$B$1:$B$6973,"VERDADERO",[4]InfCualitativo!$E$1:$E$6973,"Fredonia",[4]InfCualitativo!$H$1:$H$6973,"pediatria")</f>
        <v>0</v>
      </c>
      <c r="AH21" s="27">
        <f>COUNTIFS([4]InfCualitativo!$B$1:$B$6973,"FALSO",[4]InfCualitativo!$E$1:$E$6973,"Fredonia",[4]InfCualitativo!$H$1:$H$6973,"pediatria")</f>
        <v>0</v>
      </c>
      <c r="AI21" s="30">
        <f t="shared" si="16"/>
        <v>0</v>
      </c>
      <c r="AJ21" s="30">
        <f t="shared" si="17"/>
        <v>0</v>
      </c>
      <c r="AK21" s="27">
        <f>COUNTIFS([4]InfCualitativo!$B$1:$B$6973,"VERDADERO",[4]InfCualitativo!$E$1:$E$6973,"Fredonia",[4]InfCualitativo!$H$1:$H$6973,"medicina_interna")</f>
        <v>0</v>
      </c>
      <c r="AL21" s="27">
        <f>COUNTIFS([4]InfCualitativo!$B$1:$B$6973,"FALSO",[4]InfCualitativo!$E$1:$E$6973,"Fredonia",[4]InfCualitativo!$H$1:$H$6973,"medicina_interna")</f>
        <v>0</v>
      </c>
      <c r="AM21" s="30">
        <f t="shared" si="18"/>
        <v>0</v>
      </c>
      <c r="AN21" s="30">
        <f t="shared" si="19"/>
        <v>0</v>
      </c>
      <c r="AO21" s="27">
        <f>COUNTIFS([4]InfCualitativo!$B$1:$B$6973,"VERDADERO",[4]InfCualitativo!$E$1:$E$6973,"Fredonia",[4]InfCualitativo!$H$1:$H$6973,"ginecologia")</f>
        <v>0</v>
      </c>
      <c r="AP21" s="27">
        <f>COUNTIFS([4]InfCualitativo!$B$1:$B$6973,"FALSO",[4]InfCualitativo!$E$1:$E$6973,"Fredonia",[4]InfCualitativo!$H$1:$H$6973,"ginecologia")</f>
        <v>0</v>
      </c>
      <c r="AQ21" s="30">
        <f t="shared" si="20"/>
        <v>0</v>
      </c>
      <c r="AR21" s="30">
        <f t="shared" si="21"/>
        <v>0</v>
      </c>
      <c r="AS21" s="27">
        <f t="shared" si="22"/>
        <v>132</v>
      </c>
      <c r="AT21" s="27">
        <f t="shared" si="22"/>
        <v>0</v>
      </c>
      <c r="AU21" s="32">
        <f t="shared" si="23"/>
        <v>1</v>
      </c>
      <c r="AV21" s="32">
        <f t="shared" si="24"/>
        <v>0</v>
      </c>
    </row>
    <row r="22" spans="1:48" ht="18.75" x14ac:dyDescent="0.3">
      <c r="A22" s="26" t="s">
        <v>42</v>
      </c>
      <c r="B22" s="27">
        <v>148</v>
      </c>
      <c r="C22" s="27">
        <f t="shared" si="1"/>
        <v>140</v>
      </c>
      <c r="D22" s="28">
        <f t="shared" si="0"/>
        <v>94.594594594594597</v>
      </c>
      <c r="E22" s="29">
        <f>COUNTIFS([4]InfCualitativo!$B$1:$B$6973,"VERDADERO",[4]InfCualitativo!$E$1:$E$6973,"Gaviotas",[4]InfCualitativo!$H$1:$H$6973,"consulta_externa")</f>
        <v>48</v>
      </c>
      <c r="F22" s="29">
        <f>COUNTIFS([4]InfCualitativo!$B$1:$B$6973,"FALSO",[4]InfCualitativo!$E$1:$E$6973,"Gaviotas",[4]InfCualitativo!$H$1:$H$6973,"consulta_externa")</f>
        <v>0</v>
      </c>
      <c r="G22" s="30">
        <f t="shared" si="2"/>
        <v>1</v>
      </c>
      <c r="H22" s="30">
        <f t="shared" si="3"/>
        <v>0</v>
      </c>
      <c r="I22" s="27">
        <f>COUNTIFS([4]InfCualitativo!$B$1:$B$6973,"VERDADERO",[4]InfCualitativo!$E$1:$E$6973,"Gaviotas",[4]InfCualitativo!$H$1:$H$6973,"salud_oral")</f>
        <v>47</v>
      </c>
      <c r="J22" s="27">
        <f>COUNTIFS([4]InfCualitativo!$B$1:$B$6973,"FALSO",[4]InfCualitativo!$E$1:$E$6973,"Gaviotas",[4]InfCualitativo!$H$1:$H$6973,"salud_oral")</f>
        <v>0</v>
      </c>
      <c r="K22" s="30">
        <f t="shared" si="4"/>
        <v>1</v>
      </c>
      <c r="L22" s="30">
        <f t="shared" si="5"/>
        <v>0</v>
      </c>
      <c r="M22" s="27">
        <f>COUNTIFS([4]InfCualitativo!$B$1:$B$6973,"VERDADERO",[4]InfCualitativo!$E$1:$E$6973,"Gaviotas",[4]InfCualitativo!$H$1:$H$6973,"laboratorio")</f>
        <v>45</v>
      </c>
      <c r="N22" s="27">
        <f>COUNTIFS([4]InfCualitativo!$B$1:$B$6973,"FALSO",[4]InfCualitativo!$E$1:$E$6973,"Gaviotas",[4]InfCualitativo!$H$1:$H$6973,"laboratorio")</f>
        <v>0</v>
      </c>
      <c r="O22" s="30">
        <f t="shared" si="6"/>
        <v>1</v>
      </c>
      <c r="P22" s="31">
        <f t="shared" si="7"/>
        <v>0</v>
      </c>
      <c r="Q22" s="27">
        <f>COUNTIFS([4]InfCualitativo!$B$1:$B$6973,"VERDADERO",[4]InfCualitativo!$E$1:$E$6973,"Gaviotas",[4]InfCualitativo!$H$1:$H$6973,"electros")</f>
        <v>0</v>
      </c>
      <c r="R22" s="27">
        <f>COUNTIFS([4]InfCualitativo!$B$1:$B$6973,"FALSO",[4]InfCualitativo!$E$1:$E$6973,"Gaviotas",[4]InfCualitativo!$H$1:$H$6973,"electros")</f>
        <v>0</v>
      </c>
      <c r="S22" s="30">
        <f t="shared" si="8"/>
        <v>0</v>
      </c>
      <c r="T22" s="30">
        <f t="shared" si="9"/>
        <v>0</v>
      </c>
      <c r="U22" s="27">
        <f>COUNTIFS([4]InfCualitativo!$B$1:$B$6973,"VERDADERO",[4]InfCualitativo!$E$1:$E$6973,"Gaviotas",[4]InfCualitativo!$H$1:$H$6973,"rx")</f>
        <v>0</v>
      </c>
      <c r="V22" s="27">
        <f>COUNTIFS([4]InfCualitativo!$B$1:$B$6973,"FALSO",[4]InfCualitativo!$E$1:$E$6973,"Gaviotas",[4]InfCualitativo!$H$1:$H$6973,"rx")</f>
        <v>0</v>
      </c>
      <c r="W22" s="30">
        <f t="shared" si="10"/>
        <v>0</v>
      </c>
      <c r="X22" s="30">
        <f t="shared" si="11"/>
        <v>0</v>
      </c>
      <c r="Y22" s="27">
        <f>COUNTIFS([4]InfCualitativo!$B$1:$B$6973,"VERDADERO",[4]InfCualitativo!$E$1:$E$6973,"Gaviotas",[4]InfCualitativo!$H$1:$H$6973,"ecografias")</f>
        <v>0</v>
      </c>
      <c r="Z22" s="27">
        <f>COUNTIFS([4]InfCualitativo!$B$1:$B$6973,"FALSO",[4]InfCualitativo!$E$1:$E$6973,"Gaviotas",[4]InfCualitativo!$H$1:$H$6973,"ecografias")</f>
        <v>0</v>
      </c>
      <c r="AA22" s="30">
        <f t="shared" si="12"/>
        <v>0</v>
      </c>
      <c r="AB22" s="30">
        <f t="shared" si="13"/>
        <v>0</v>
      </c>
      <c r="AC22" s="27">
        <f>COUNTIFS([4]InfCualitativo!$B$1:$B$6973,"VERDADERO",[4]InfCualitativo!$E$1:$E$6973,"Gaviotas",[4]InfCualitativo!$H$1:$H$6973,"urgencia")</f>
        <v>0</v>
      </c>
      <c r="AD22" s="27">
        <f>COUNTIFS([4]InfCualitativo!$B$1:$B$6973,"FALSO",[4]InfCualitativo!$E$1:$E$6973,"Gaviotas",[4]InfCualitativo!$H$1:$H$6973,"urgencia")</f>
        <v>0</v>
      </c>
      <c r="AE22" s="30">
        <f t="shared" si="14"/>
        <v>0</v>
      </c>
      <c r="AF22" s="30">
        <f t="shared" si="15"/>
        <v>0</v>
      </c>
      <c r="AG22" s="27">
        <f>COUNTIFS([4]InfCualitativo!$B$1:$B$6973,"VERDADERO",[4]InfCualitativo!$E$1:$E$6973,"Gaviotas",[4]InfCualitativo!$H$1:$H$6973,"pediatria")</f>
        <v>0</v>
      </c>
      <c r="AH22" s="27">
        <f>COUNTIFS([4]InfCualitativo!$B$1:$B$6973,"FALSO",[4]InfCualitativo!$E$1:$E$6973,"Gaviotas",[4]InfCualitativo!$H$1:$H$6973,"pediatria")</f>
        <v>0</v>
      </c>
      <c r="AI22" s="30">
        <f t="shared" si="16"/>
        <v>0</v>
      </c>
      <c r="AJ22" s="30">
        <f t="shared" si="17"/>
        <v>0</v>
      </c>
      <c r="AK22" s="27">
        <f>COUNTIFS([4]InfCualitativo!$B$1:$B$6973,"VERDADERO",[4]InfCualitativo!$E$1:$E$6973,"Gaviotas",[4]InfCualitativo!$H$1:$H$6973,"medicina_interna")</f>
        <v>0</v>
      </c>
      <c r="AL22" s="27">
        <f>COUNTIFS([4]InfCualitativo!$B$1:$B$6973,"FALSO",[4]InfCualitativo!$E$1:$E$6973,"Gaviotas",[4]InfCualitativo!$H$1:$H$6973,"medicina_interna")</f>
        <v>0</v>
      </c>
      <c r="AM22" s="30">
        <f t="shared" si="18"/>
        <v>0</v>
      </c>
      <c r="AN22" s="30">
        <f t="shared" si="19"/>
        <v>0</v>
      </c>
      <c r="AO22" s="27">
        <f>COUNTIFS([4]InfCualitativo!$B$1:$B$6973,"VERDADERO",[4]InfCualitativo!$E$1:$E$6973,"Gaviotas",[4]InfCualitativo!$H$1:$H$6973,"ginecologia")</f>
        <v>0</v>
      </c>
      <c r="AP22" s="27">
        <f>COUNTIFS([4]InfCualitativo!$B$1:$B$6973,"FALSO",[4]InfCualitativo!$E$1:$E$6973,"Gaviotas",[4]InfCualitativo!$H$1:$H$6973,"ginecologia")</f>
        <v>0</v>
      </c>
      <c r="AQ22" s="30">
        <f t="shared" si="20"/>
        <v>0</v>
      </c>
      <c r="AR22" s="30">
        <f t="shared" si="21"/>
        <v>0</v>
      </c>
      <c r="AS22" s="27">
        <f t="shared" si="22"/>
        <v>140</v>
      </c>
      <c r="AT22" s="27">
        <f t="shared" si="22"/>
        <v>0</v>
      </c>
      <c r="AU22" s="32">
        <f t="shared" si="23"/>
        <v>1</v>
      </c>
      <c r="AV22" s="32">
        <f t="shared" si="24"/>
        <v>0</v>
      </c>
    </row>
    <row r="23" spans="1:48" ht="18.75" x14ac:dyDescent="0.3">
      <c r="A23" s="26" t="s">
        <v>43</v>
      </c>
      <c r="B23" s="27">
        <v>98</v>
      </c>
      <c r="C23" s="27">
        <f t="shared" si="1"/>
        <v>98</v>
      </c>
      <c r="D23" s="28">
        <f t="shared" si="0"/>
        <v>100</v>
      </c>
      <c r="E23" s="29">
        <f>COUNTIFS([4]InfCualitativo!$B$1:$B$6973,"VERDADERO",[4]InfCualitativo!$E$1:$E$6973,"Isla del Rosario",[4]InfCualitativo!$H$1:$H$6973,"consulta_externa")</f>
        <v>44</v>
      </c>
      <c r="F23" s="29">
        <f>COUNTIFS([4]InfCualitativo!$B$1:$B$6973,"FALSO",[4]InfCualitativo!$E$1:$E$6973,"Isla del Rosario",[4]InfCualitativo!$H$1:$H$6973,"consulta_externa")</f>
        <v>0</v>
      </c>
      <c r="G23" s="30">
        <f t="shared" si="2"/>
        <v>1</v>
      </c>
      <c r="H23" s="30">
        <f t="shared" si="3"/>
        <v>0</v>
      </c>
      <c r="I23" s="27">
        <f>COUNTIFS([4]InfCualitativo!$B$1:$B$6973,"VERDADERO",[4]InfCualitativo!$E$1:$E$6973,"Isla del Rosario",[4]InfCualitativo!$H$1:$H$6973,"salud_oral")</f>
        <v>26</v>
      </c>
      <c r="J23" s="27">
        <f>COUNTIFS([4]InfCualitativo!$B$1:$B$6973,"FALSO",[4]InfCualitativo!$E$1:$E$6973,"Isla del Rosario",[4]InfCualitativo!$H$1:$H$6973,"salud_oral")</f>
        <v>0</v>
      </c>
      <c r="K23" s="30">
        <f t="shared" si="4"/>
        <v>1</v>
      </c>
      <c r="L23" s="30">
        <f t="shared" si="5"/>
        <v>0</v>
      </c>
      <c r="M23" s="27">
        <f>COUNTIFS([4]InfCualitativo!$B$1:$B$6973,"VERDADERO",[4]InfCualitativo!$E$1:$E$6973,"Isla del Rosario",[4]InfCualitativo!$H$1:$H$6973,"laboratorio")</f>
        <v>28</v>
      </c>
      <c r="N23" s="27">
        <f>COUNTIFS([4]InfCualitativo!$B$1:$B$6973,"FALSO",[4]InfCualitativo!$E$1:$E$6973,"Isla del Rosario",[4]InfCualitativo!$H$1:$H$6973,"laboratorio")</f>
        <v>0</v>
      </c>
      <c r="O23" s="30">
        <f t="shared" si="6"/>
        <v>1</v>
      </c>
      <c r="P23" s="31">
        <f t="shared" si="7"/>
        <v>0</v>
      </c>
      <c r="Q23" s="27">
        <f>COUNTIFS([4]InfCualitativo!$B$1:$B$6973,"VERDADERO",[4]InfCualitativo!$E$1:$E$6973,"Isla del Rosario",[4]InfCualitativo!$H$1:$H$6973,"electros")</f>
        <v>0</v>
      </c>
      <c r="R23" s="27">
        <f>COUNTIFS([4]InfCualitativo!$B$1:$B$6973,"FALSO",[4]InfCualitativo!$E$1:$E$6973,"Isla del Rosario",[4]InfCualitativo!$H$1:$H$6973,"electros")</f>
        <v>0</v>
      </c>
      <c r="S23" s="30">
        <f t="shared" si="8"/>
        <v>0</v>
      </c>
      <c r="T23" s="30">
        <f t="shared" si="9"/>
        <v>0</v>
      </c>
      <c r="U23" s="27">
        <f>COUNTIFS([4]InfCualitativo!$B$1:$B$6973,"VERDADERO",[4]InfCualitativo!$E$1:$E$6973,"Isla del Rosario",[4]InfCualitativo!$H$1:$H$6973,"rx")</f>
        <v>0</v>
      </c>
      <c r="V23" s="27">
        <f>COUNTIFS([4]InfCualitativo!$B$1:$B$6973,"FALSO",[4]InfCualitativo!$E$1:$E$6973,"Isla del Rosario",[4]InfCualitativo!$H$1:$H$6973,"rx")</f>
        <v>0</v>
      </c>
      <c r="W23" s="30">
        <f t="shared" si="10"/>
        <v>0</v>
      </c>
      <c r="X23" s="30">
        <f t="shared" si="11"/>
        <v>0</v>
      </c>
      <c r="Y23" s="27">
        <f>COUNTIFS([4]InfCualitativo!$B$1:$B$6973,"VERDADERO",[4]InfCualitativo!$E$1:$E$6973,"Isla del Rosario",[4]InfCualitativo!$H$1:$H$6973,"ecografias")</f>
        <v>0</v>
      </c>
      <c r="Z23" s="27">
        <f>COUNTIFS([4]InfCualitativo!$B$1:$B$6973,"FALSO",[4]InfCualitativo!$E$1:$E$6973,"Isla del Rosario",[4]InfCualitativo!$H$1:$H$6973,"ecografias")</f>
        <v>0</v>
      </c>
      <c r="AA23" s="30">
        <f t="shared" si="12"/>
        <v>0</v>
      </c>
      <c r="AB23" s="30">
        <f t="shared" si="13"/>
        <v>0</v>
      </c>
      <c r="AC23" s="27">
        <f>COUNTIFS([4]InfCualitativo!$B$1:$B$6973,"VERDADERO",[4]InfCualitativo!$E$1:$E$6973,"Isla del Rosario",[4]InfCualitativo!$H$1:$H$6973,"urgencia")</f>
        <v>0</v>
      </c>
      <c r="AD23" s="27">
        <f>COUNTIFS([4]InfCualitativo!$B$1:$B$6973,"FALSO",[4]InfCualitativo!$E$1:$E$6973,"Isla del Rosario",[4]InfCualitativo!$H$1:$H$6973,"urgencia")</f>
        <v>0</v>
      </c>
      <c r="AE23" s="30">
        <f t="shared" si="14"/>
        <v>0</v>
      </c>
      <c r="AF23" s="30">
        <f t="shared" si="15"/>
        <v>0</v>
      </c>
      <c r="AG23" s="27">
        <f>COUNTIFS([4]InfCualitativo!$B$1:$B$6973,"VERDADERO",[4]InfCualitativo!$E$1:$E$6973,"Isla del Rosario",[4]InfCualitativo!$H$1:$H$6973,"pediatria")</f>
        <v>0</v>
      </c>
      <c r="AH23" s="27">
        <f>COUNTIFS([4]InfCualitativo!$B$1:$B$6973,"FALSO",[4]InfCualitativo!$E$1:$E$6973,"Isla del Rosario",[4]InfCualitativo!$H$1:$H$6973,"pediatria")</f>
        <v>0</v>
      </c>
      <c r="AI23" s="30">
        <f t="shared" si="16"/>
        <v>0</v>
      </c>
      <c r="AJ23" s="30">
        <f t="shared" si="17"/>
        <v>0</v>
      </c>
      <c r="AK23" s="27">
        <f>COUNTIFS([4]InfCualitativo!$B$1:$B$6973,"VERDADERO",[4]InfCualitativo!$E$1:$E$6973,"Isla del Rosario",[4]InfCualitativo!$H$1:$H$6973,"medicina_interna")</f>
        <v>0</v>
      </c>
      <c r="AL23" s="27">
        <f>COUNTIFS([4]InfCualitativo!$B$1:$B$6973,"FALSO",[4]InfCualitativo!$E$1:$E$6973,"Isla del Rosario",[4]InfCualitativo!$H$1:$H$6973,"medicina_interna")</f>
        <v>0</v>
      </c>
      <c r="AM23" s="30">
        <f t="shared" si="18"/>
        <v>0</v>
      </c>
      <c r="AN23" s="30">
        <f t="shared" si="19"/>
        <v>0</v>
      </c>
      <c r="AO23" s="27">
        <f>COUNTIFS([4]InfCualitativo!$B$1:$B$6973,"VERDADERO",[4]InfCualitativo!$E$1:$E$6973,"Isla del Rosario",[4]InfCualitativo!$H$1:$H$6973,"ginecologia")</f>
        <v>0</v>
      </c>
      <c r="AP23" s="27">
        <f>COUNTIFS([4]InfCualitativo!$B$1:$B$6973,"FALSO",[4]InfCualitativo!$E$1:$E$6973,"Isla del Rosario",[4]InfCualitativo!$H$1:$H$6973,"ginecologia")</f>
        <v>0</v>
      </c>
      <c r="AQ23" s="30">
        <f t="shared" si="20"/>
        <v>0</v>
      </c>
      <c r="AR23" s="30">
        <f t="shared" si="21"/>
        <v>0</v>
      </c>
      <c r="AS23" s="27">
        <f t="shared" si="22"/>
        <v>98</v>
      </c>
      <c r="AT23" s="27">
        <f t="shared" si="22"/>
        <v>0</v>
      </c>
      <c r="AU23" s="32">
        <f t="shared" si="23"/>
        <v>1</v>
      </c>
      <c r="AV23" s="32">
        <f t="shared" si="24"/>
        <v>0</v>
      </c>
    </row>
    <row r="24" spans="1:48" ht="18.75" x14ac:dyDescent="0.3">
      <c r="A24" s="26" t="s">
        <v>44</v>
      </c>
      <c r="B24" s="27">
        <v>144</v>
      </c>
      <c r="C24" s="27">
        <f t="shared" si="1"/>
        <v>131</v>
      </c>
      <c r="D24" s="28">
        <f t="shared" si="0"/>
        <v>90.972222222222229</v>
      </c>
      <c r="E24" s="29">
        <f>COUNTIFS([4]InfCualitativo!$B$1:$B$6973,"VERDADERO",[4]InfCualitativo!$E$1:$E$6973,"Las Reinas",[4]InfCualitativo!$H$1:$H$6973,"consulta_externa")</f>
        <v>47</v>
      </c>
      <c r="F24" s="29">
        <f>COUNTIFS([4]InfCualitativo!$B$1:$B$6973,"FALSO",[4]InfCualitativo!$E$1:$E$6973,"Las Reinas",[4]InfCualitativo!$H$1:$H$6973,"consulta_externa")</f>
        <v>0</v>
      </c>
      <c r="G24" s="30">
        <f t="shared" si="2"/>
        <v>1</v>
      </c>
      <c r="H24" s="30">
        <f t="shared" si="3"/>
        <v>0</v>
      </c>
      <c r="I24" s="27">
        <f>COUNTIFS([4]InfCualitativo!$B$1:$B$6973,"VERDADERO",[4]InfCualitativo!$E$1:$E$6973,"Las Reinas",[4]InfCualitativo!$H$1:$H$6973,"salud_oral")</f>
        <v>43</v>
      </c>
      <c r="J24" s="27">
        <f>COUNTIFS([4]InfCualitativo!$B$1:$B$6973,"FALSO",[4]InfCualitativo!$E$1:$E$6973,"Las Reinas",[4]InfCualitativo!$H$1:$H$6973,"salud_oral")</f>
        <v>0</v>
      </c>
      <c r="K24" s="30">
        <f t="shared" si="4"/>
        <v>1</v>
      </c>
      <c r="L24" s="30">
        <f t="shared" si="5"/>
        <v>0</v>
      </c>
      <c r="M24" s="27">
        <f>COUNTIFS([4]InfCualitativo!$B$1:$B$6973,"VERDADERO",[4]InfCualitativo!$E$1:$E$6973,"Las Reinas",[4]InfCualitativo!$H$1:$H$6973,"laboratorio")</f>
        <v>41</v>
      </c>
      <c r="N24" s="27">
        <f>COUNTIFS([4]InfCualitativo!$B$1:$B$6973,"FALSO",[4]InfCualitativo!$E$1:$E$6973,"Las Reinas",[4]InfCualitativo!$H$1:$H$6973,"laboratorio")</f>
        <v>0</v>
      </c>
      <c r="O24" s="30">
        <f t="shared" si="6"/>
        <v>1</v>
      </c>
      <c r="P24" s="31">
        <f t="shared" si="7"/>
        <v>0</v>
      </c>
      <c r="Q24" s="27">
        <f>COUNTIFS([4]InfCualitativo!$B$1:$B$6973,"VERDADERO",[4]InfCualitativo!$E$1:$E$6973,"Las Reinas",[4]InfCualitativo!$H$1:$H$6973,"electros")</f>
        <v>0</v>
      </c>
      <c r="R24" s="27">
        <f>COUNTIFS([4]InfCualitativo!$B$1:$B$6973,"FALSO",[4]InfCualitativo!$E$1:$E$6973,"Las Reinas",[4]InfCualitativo!$H$1:$H$6973,"electros")</f>
        <v>0</v>
      </c>
      <c r="S24" s="30">
        <f t="shared" si="8"/>
        <v>0</v>
      </c>
      <c r="T24" s="30">
        <f t="shared" si="9"/>
        <v>0</v>
      </c>
      <c r="U24" s="27">
        <f>COUNTIFS([4]InfCualitativo!$B$1:$B$6973,"VERDADERO",[4]InfCualitativo!$E$1:$E$6973,"Las Reinas",[4]InfCualitativo!$H$1:$H$6973,"rx")</f>
        <v>0</v>
      </c>
      <c r="V24" s="27">
        <f>COUNTIFS([4]InfCualitativo!$B$1:$B$6973,"FALSO",[4]InfCualitativo!$E$1:$E$6973,"Las Reinas",[4]InfCualitativo!$H$1:$H$6973,"rx")</f>
        <v>0</v>
      </c>
      <c r="W24" s="30">
        <f t="shared" si="10"/>
        <v>0</v>
      </c>
      <c r="X24" s="30">
        <f t="shared" si="11"/>
        <v>0</v>
      </c>
      <c r="Y24" s="27">
        <f>COUNTIFS([4]InfCualitativo!$B$1:$B$6973,"VERDADERO",[4]InfCualitativo!$E$1:$E$6973,"Las Reinas",[4]InfCualitativo!$H$1:$H$6973,"ecografias")</f>
        <v>0</v>
      </c>
      <c r="Z24" s="27">
        <f>COUNTIFS([4]InfCualitativo!$B$1:$B$6973,"FALSO",[4]InfCualitativo!$E$1:$E$6973,"Las Reinas",[4]InfCualitativo!$H$1:$H$6973,"ecografias")</f>
        <v>0</v>
      </c>
      <c r="AA24" s="30">
        <f t="shared" si="12"/>
        <v>0</v>
      </c>
      <c r="AB24" s="30">
        <f t="shared" si="13"/>
        <v>0</v>
      </c>
      <c r="AC24" s="27">
        <f>COUNTIFS([4]InfCualitativo!$B$1:$B$6973,"VERDADERO",[4]InfCualitativo!$E$1:$E$6973,"Las Reinas",[4]InfCualitativo!$H$1:$H$6973,"urgencia")</f>
        <v>0</v>
      </c>
      <c r="AD24" s="27">
        <f>COUNTIFS([4]InfCualitativo!$B$1:$B$6973,"FALSO",[4]InfCualitativo!$E$1:$E$6973,"Las Reinas",[4]InfCualitativo!$H$1:$H$6973,"urgencia")</f>
        <v>0</v>
      </c>
      <c r="AE24" s="30">
        <f t="shared" si="14"/>
        <v>0</v>
      </c>
      <c r="AF24" s="30">
        <f t="shared" si="15"/>
        <v>0</v>
      </c>
      <c r="AG24" s="27">
        <f>COUNTIFS([4]InfCualitativo!$B$1:$B$6973,"VERDADERO",[4]InfCualitativo!$E$1:$E$6973,"Las Reinas",[4]InfCualitativo!$H$1:$H$6973,"pediatria")</f>
        <v>0</v>
      </c>
      <c r="AH24" s="27">
        <f>COUNTIFS([4]InfCualitativo!$B$1:$B$6973,"FALSO",[4]InfCualitativo!$E$1:$E$6973,"Las Reinas",[4]InfCualitativo!$H$1:$H$6973,"pediatria")</f>
        <v>0</v>
      </c>
      <c r="AI24" s="30">
        <f t="shared" si="16"/>
        <v>0</v>
      </c>
      <c r="AJ24" s="30">
        <f t="shared" si="17"/>
        <v>0</v>
      </c>
      <c r="AK24" s="27">
        <f>COUNTIFS([4]InfCualitativo!$B$1:$B$6973,"VERDADERO",[4]InfCualitativo!$E$1:$E$6973,"Las Reinas",[4]InfCualitativo!$H$1:$H$6973,"medicina_interna")</f>
        <v>0</v>
      </c>
      <c r="AL24" s="27">
        <f>COUNTIFS([4]InfCualitativo!$B$1:$B$6973,"FALSO",[4]InfCualitativo!$E$1:$E$6973,"Las Reinas",[4]InfCualitativo!$H$1:$H$6973,"medicina_interna")</f>
        <v>0</v>
      </c>
      <c r="AM24" s="30">
        <f t="shared" si="18"/>
        <v>0</v>
      </c>
      <c r="AN24" s="30">
        <f t="shared" si="19"/>
        <v>0</v>
      </c>
      <c r="AO24" s="27">
        <f>COUNTIFS([4]InfCualitativo!$B$1:$B$6973,"VERDADERO",[4]InfCualitativo!$E$1:$E$6973,"Las Reinas",[4]InfCualitativo!$H$1:$H$6973,"ginecologia")</f>
        <v>0</v>
      </c>
      <c r="AP24" s="27">
        <f>COUNTIFS([4]InfCualitativo!$B$1:$B$6973,"FALSO",[4]InfCualitativo!$E$1:$E$6973,"Las Reinas",[4]InfCualitativo!$H$1:$H$6973,"ginecologia")</f>
        <v>0</v>
      </c>
      <c r="AQ24" s="30">
        <f t="shared" si="20"/>
        <v>0</v>
      </c>
      <c r="AR24" s="30">
        <f t="shared" si="21"/>
        <v>0</v>
      </c>
      <c r="AS24" s="27">
        <f t="shared" si="22"/>
        <v>131</v>
      </c>
      <c r="AT24" s="27">
        <f t="shared" si="22"/>
        <v>0</v>
      </c>
      <c r="AU24" s="32">
        <f t="shared" si="23"/>
        <v>1</v>
      </c>
      <c r="AV24" s="32">
        <f t="shared" si="24"/>
        <v>0</v>
      </c>
    </row>
    <row r="25" spans="1:48" ht="18.75" x14ac:dyDescent="0.3">
      <c r="A25" s="26" t="s">
        <v>45</v>
      </c>
      <c r="B25" s="27">
        <v>236</v>
      </c>
      <c r="C25" s="27">
        <f t="shared" si="1"/>
        <v>232</v>
      </c>
      <c r="D25" s="28">
        <f t="shared" si="0"/>
        <v>98.305084745762713</v>
      </c>
      <c r="E25" s="29">
        <f>COUNTIFS([4]InfCualitativo!$B$1:$B$6973,"VERDADERO",[4]InfCualitativo!$E$1:$E$6973,"Libano",[4]InfCualitativo!$H$1:$H$6973,"consulta_externa")</f>
        <v>45</v>
      </c>
      <c r="F25" s="29">
        <f>COUNTIFS([4]InfCualitativo!$B$1:$B$6973,"FALSO",[4]InfCualitativo!$E$1:$E$6973,"Libano",[4]InfCualitativo!$H$1:$H$6973,"consulta_externa")</f>
        <v>3</v>
      </c>
      <c r="G25" s="30">
        <f t="shared" si="2"/>
        <v>0.9375</v>
      </c>
      <c r="H25" s="30">
        <f t="shared" si="3"/>
        <v>6.25E-2</v>
      </c>
      <c r="I25" s="27">
        <f>COUNTIFS([4]InfCualitativo!$B$1:$B$6973,"VERDADERO",[4]InfCualitativo!$E$1:$E$6973,"Libano",[4]InfCualitativo!$H$1:$H$6973,"salud_oral")</f>
        <v>48</v>
      </c>
      <c r="J25" s="27">
        <f>COUNTIFS([4]InfCualitativo!$B$1:$B$6973,"FALSO",[4]InfCualitativo!$E$1:$E$6973,"Libano",[4]InfCualitativo!$H$1:$H$6973,"salud_oral")</f>
        <v>0</v>
      </c>
      <c r="K25" s="30">
        <f t="shared" si="4"/>
        <v>1</v>
      </c>
      <c r="L25" s="30">
        <f t="shared" si="5"/>
        <v>0</v>
      </c>
      <c r="M25" s="27">
        <f>COUNTIFS([4]InfCualitativo!$B$1:$B$6973,"VERDADERO",[4]InfCualitativo!$E$1:$E$6973,"Libano",[4]InfCualitativo!$H$1:$H$6973,"laboratorio")</f>
        <v>39</v>
      </c>
      <c r="N25" s="27">
        <f>COUNTIFS([4]InfCualitativo!$B$1:$B$6973,"FALSO",[4]InfCualitativo!$E$1:$E$6973,"Libano",[4]InfCualitativo!$H$1:$H$6973,"laboratorio")</f>
        <v>8</v>
      </c>
      <c r="O25" s="30">
        <f t="shared" si="6"/>
        <v>0.82978723404255317</v>
      </c>
      <c r="P25" s="31">
        <f t="shared" si="7"/>
        <v>0.1702127659574468</v>
      </c>
      <c r="Q25" s="27">
        <f>COUNTIFS([4]InfCualitativo!$B$1:$B$6973,"VERDADERO",[4]InfCualitativo!$E$1:$E$6973,"Libano",[4]InfCualitativo!$H$1:$H$6973,"electros")</f>
        <v>0</v>
      </c>
      <c r="R25" s="27">
        <f>COUNTIFS([4]InfCualitativo!$B$1:$B$6973,"FALSO",[4]InfCualitativo!$E$1:$E$6973,"Libano",[4]InfCualitativo!$H$1:$H$6973,"electros")</f>
        <v>0</v>
      </c>
      <c r="S25" s="30">
        <f t="shared" si="8"/>
        <v>0</v>
      </c>
      <c r="T25" s="30">
        <f t="shared" si="9"/>
        <v>0</v>
      </c>
      <c r="U25" s="27">
        <f>COUNTIFS([4]InfCualitativo!$B$1:$B$6973,"VERDADERO",[4]InfCualitativo!$E$1:$E$6973,"Libano",[4]InfCualitativo!$H$1:$H$6973,"rx")</f>
        <v>0</v>
      </c>
      <c r="V25" s="27">
        <f>COUNTIFS([4]InfCualitativo!$B$1:$B$6973,"FALSO",[4]InfCualitativo!$E$1:$E$6973,"Libano",[4]InfCualitativo!$H$1:$H$6973,"rx")</f>
        <v>0</v>
      </c>
      <c r="W25" s="30">
        <f t="shared" si="10"/>
        <v>0</v>
      </c>
      <c r="X25" s="30">
        <f t="shared" si="11"/>
        <v>0</v>
      </c>
      <c r="Y25" s="27">
        <f>COUNTIFS([4]InfCualitativo!$B$1:$B$6973,"VERDADERO",[4]InfCualitativo!$E$1:$E$6973,"Libano",[4]InfCualitativo!$H$1:$H$6973,"ecografias")</f>
        <v>22</v>
      </c>
      <c r="Z25" s="27">
        <f>COUNTIFS([4]InfCualitativo!$B$1:$B$6973,"FALSO",[4]InfCualitativo!$E$1:$E$6973,"Libano",[4]InfCualitativo!$H$1:$H$6973,"ecografias")</f>
        <v>0</v>
      </c>
      <c r="AA25" s="30">
        <f t="shared" si="12"/>
        <v>1</v>
      </c>
      <c r="AB25" s="30">
        <f t="shared" si="13"/>
        <v>0</v>
      </c>
      <c r="AC25" s="27">
        <f>COUNTIFS([4]InfCualitativo!$B$1:$B$6973,"VERDADERO",[4]InfCualitativo!$E$1:$E$6973,"Libano",[4]InfCualitativo!$H$1:$H$6973,"urgencia")</f>
        <v>0</v>
      </c>
      <c r="AD25" s="27">
        <f>COUNTIFS([4]InfCualitativo!$B$1:$B$6973,"FALSO",[4]InfCualitativo!$E$1:$E$6973,"Libano",[4]InfCualitativo!$H$1:$H$6973,"urgencia")</f>
        <v>0</v>
      </c>
      <c r="AE25" s="30">
        <f t="shared" si="14"/>
        <v>0</v>
      </c>
      <c r="AF25" s="30">
        <f t="shared" si="15"/>
        <v>0</v>
      </c>
      <c r="AG25" s="27">
        <f>COUNTIFS([4]InfCualitativo!$B$1:$B$6973,"VERDADERO",[4]InfCualitativo!$E$1:$E$6973,"Libano",[4]InfCualitativo!$H$1:$H$6973,"pediatria")</f>
        <v>36</v>
      </c>
      <c r="AH25" s="27">
        <f>COUNTIFS([4]InfCualitativo!$B$1:$B$6973,"FALSO",[4]InfCualitativo!$E$1:$E$6973,"Libano",[4]InfCualitativo!$H$1:$H$6973,"pediatria")</f>
        <v>0</v>
      </c>
      <c r="AI25" s="30">
        <f t="shared" si="16"/>
        <v>1</v>
      </c>
      <c r="AJ25" s="30">
        <f t="shared" si="17"/>
        <v>0</v>
      </c>
      <c r="AK25" s="27">
        <f>COUNTIFS([4]InfCualitativo!$B$1:$B$6973,"VERDADERO",[4]InfCualitativo!$E$1:$E$6973,"Libano",[4]InfCualitativo!$H$1:$H$6973,"medicina_interna")</f>
        <v>0</v>
      </c>
      <c r="AL25" s="27">
        <f>COUNTIFS([4]InfCualitativo!$B$1:$B$6973,"FALSO",[4]InfCualitativo!$E$1:$E$6973,"Libano",[4]InfCualitativo!$H$1:$H$6973,"medicina_interna")</f>
        <v>0</v>
      </c>
      <c r="AM25" s="30">
        <f t="shared" si="18"/>
        <v>0</v>
      </c>
      <c r="AN25" s="30">
        <f t="shared" si="19"/>
        <v>0</v>
      </c>
      <c r="AO25" s="27">
        <f>COUNTIFS([4]InfCualitativo!$B$1:$B$6973,"VERDADERO",[4]InfCualitativo!$E$1:$E$6973,"Libano",[4]InfCualitativo!$H$1:$H$6973,"ginecologia")</f>
        <v>29</v>
      </c>
      <c r="AP25" s="27">
        <f>COUNTIFS([4]InfCualitativo!$B$1:$B$6973,"FALSO",[4]InfCualitativo!$E$1:$E$6973,"Libano",[4]InfCualitativo!$H$1:$H$6973,"ginecologia")</f>
        <v>2</v>
      </c>
      <c r="AQ25" s="30">
        <f t="shared" si="20"/>
        <v>0.93548387096774188</v>
      </c>
      <c r="AR25" s="30">
        <f t="shared" si="21"/>
        <v>6.4516129032258063E-2</v>
      </c>
      <c r="AS25" s="27">
        <f t="shared" si="22"/>
        <v>219</v>
      </c>
      <c r="AT25" s="27">
        <f t="shared" si="22"/>
        <v>13</v>
      </c>
      <c r="AU25" s="32">
        <f t="shared" si="23"/>
        <v>0.94396551724137934</v>
      </c>
      <c r="AV25" s="32">
        <f t="shared" si="24"/>
        <v>5.6034482758620691E-2</v>
      </c>
    </row>
    <row r="26" spans="1:48" ht="18.75" x14ac:dyDescent="0.3">
      <c r="A26" s="26" t="s">
        <v>46</v>
      </c>
      <c r="B26" s="27">
        <v>58</v>
      </c>
      <c r="C26" s="27">
        <f t="shared" si="1"/>
        <v>26</v>
      </c>
      <c r="D26" s="28">
        <f t="shared" si="0"/>
        <v>44.827586206896555</v>
      </c>
      <c r="E26" s="29">
        <f>COUNTIFS([4]InfCualitativo!$B$1:$B$6973,"VERDADERO",[4]InfCualitativo!$E$1:$E$6973,"Manzanillo",[4]InfCualitativo!$H$1:$H$6973,"consulta_externa")</f>
        <v>9</v>
      </c>
      <c r="F26" s="29">
        <f>COUNTIFS([4]InfCualitativo!$B$1:$B$6973,"FALSO",[4]InfCualitativo!$E$1:$E$6973,"Manzanillo",[4]InfCualitativo!$H$1:$H$6973,"consulta_externa")</f>
        <v>0</v>
      </c>
      <c r="G26" s="30">
        <f t="shared" si="2"/>
        <v>1</v>
      </c>
      <c r="H26" s="30">
        <f t="shared" si="3"/>
        <v>0</v>
      </c>
      <c r="I26" s="27">
        <f>COUNTIFS([4]InfCualitativo!$B$1:$B$6973,"VERDADERO",[4]InfCualitativo!$E$1:$E$6973,"Manzanillo",[4]InfCualitativo!$H$1:$H$6973,"salud_oral")</f>
        <v>9</v>
      </c>
      <c r="J26" s="27">
        <f>COUNTIFS([4]InfCualitativo!$B$1:$B$6973,"FALSO",[4]InfCualitativo!$E$1:$E$6973,"Manzanillo",[4]InfCualitativo!$H$1:$H$6973,"salud_oral")</f>
        <v>0</v>
      </c>
      <c r="K26" s="30">
        <f t="shared" si="4"/>
        <v>1</v>
      </c>
      <c r="L26" s="30">
        <f t="shared" si="5"/>
        <v>0</v>
      </c>
      <c r="M26" s="27">
        <f>COUNTIFS([4]InfCualitativo!$B$1:$B$6973,"VERDADERO",[4]InfCualitativo!$E$1:$E$6973,"Manzanillo",[4]InfCualitativo!$H$1:$H$6973,"laboratorio")</f>
        <v>8</v>
      </c>
      <c r="N26" s="27">
        <f>COUNTIFS([4]InfCualitativo!$B$1:$B$6973,"FALSO",[4]InfCualitativo!$E$1:$E$6973,"Manzanillo",[4]InfCualitativo!$H$1:$H$6973,"laboratorio")</f>
        <v>0</v>
      </c>
      <c r="O26" s="30">
        <f t="shared" si="6"/>
        <v>1</v>
      </c>
      <c r="P26" s="31">
        <f t="shared" si="7"/>
        <v>0</v>
      </c>
      <c r="Q26" s="27">
        <f>COUNTIFS([4]InfCualitativo!$B$1:$B$6973,"VERDADERO",[4]InfCualitativo!$E$1:$E$6973,"Manzanillo",[4]InfCualitativo!$H$1:$H$6973,"electros")</f>
        <v>0</v>
      </c>
      <c r="R26" s="27">
        <f>COUNTIFS([4]InfCualitativo!$B$1:$B$6973,"FALSO",[4]InfCualitativo!$E$1:$E$6973,"Manzanillo",[4]InfCualitativo!$H$1:$H$6973,"electros")</f>
        <v>0</v>
      </c>
      <c r="S26" s="30">
        <f t="shared" si="8"/>
        <v>0</v>
      </c>
      <c r="T26" s="30">
        <f t="shared" si="9"/>
        <v>0</v>
      </c>
      <c r="U26" s="27">
        <f>COUNTIFS([4]InfCualitativo!$B$1:$B$6973,"VERDADERO",[4]InfCualitativo!$E$1:$E$6973,"Manzanillo",[4]InfCualitativo!$H$1:$H$6973,"rx")</f>
        <v>0</v>
      </c>
      <c r="V26" s="27">
        <f>COUNTIFS([4]InfCualitativo!$B$1:$B$6973,"FALSO",[4]InfCualitativo!$E$1:$E$6973,"Manzanillo",[4]InfCualitativo!$H$1:$H$6973,"rx")</f>
        <v>0</v>
      </c>
      <c r="W26" s="30">
        <f t="shared" si="10"/>
        <v>0</v>
      </c>
      <c r="X26" s="30">
        <f t="shared" si="11"/>
        <v>0</v>
      </c>
      <c r="Y26" s="27">
        <f>COUNTIFS([4]InfCualitativo!$B$1:$B$6973,"VERDADERO",[4]InfCualitativo!$E$1:$E$6973,"Manzanillo",[4]InfCualitativo!$H$1:$H$6973,"ecografias")</f>
        <v>0</v>
      </c>
      <c r="Z26" s="27">
        <f>COUNTIFS([4]InfCualitativo!$B$1:$B$6973,"FALSO",[4]InfCualitativo!$E$1:$E$6973,"Manzanillo",[4]InfCualitativo!$H$1:$H$6973,"ecografias")</f>
        <v>0</v>
      </c>
      <c r="AA26" s="30">
        <f t="shared" si="12"/>
        <v>0</v>
      </c>
      <c r="AB26" s="30">
        <f t="shared" si="13"/>
        <v>0</v>
      </c>
      <c r="AC26" s="27">
        <f>COUNTIFS([4]InfCualitativo!$B$1:$B$6973,"VERDADERO",[4]InfCualitativo!$E$1:$E$6973,"Manzanillo",[4]InfCualitativo!$H$1:$H$6973,"urgencia")</f>
        <v>0</v>
      </c>
      <c r="AD26" s="27">
        <f>COUNTIFS([4]InfCualitativo!$B$1:$B$6973,"FALSO",[4]InfCualitativo!$E$1:$E$6973,"Manzanillo",[4]InfCualitativo!$H$1:$H$6973,"urgencia")</f>
        <v>0</v>
      </c>
      <c r="AE26" s="30">
        <f t="shared" si="14"/>
        <v>0</v>
      </c>
      <c r="AF26" s="30">
        <f t="shared" si="15"/>
        <v>0</v>
      </c>
      <c r="AG26" s="27">
        <f>COUNTIFS([4]InfCualitativo!$B$1:$B$6973,"VERDADERO",[4]InfCualitativo!$E$1:$E$6973,"Manzanillo",[4]InfCualitativo!$H$1:$H$6973,"pediatria")</f>
        <v>0</v>
      </c>
      <c r="AH26" s="27">
        <f>COUNTIFS([4]InfCualitativo!$B$1:$B$6973,"FALSO",[4]InfCualitativo!$E$1:$E$6973,"Manzanillo",[4]InfCualitativo!$H$1:$H$6973,"pediatria")</f>
        <v>0</v>
      </c>
      <c r="AI26" s="30">
        <f t="shared" si="16"/>
        <v>0</v>
      </c>
      <c r="AJ26" s="30">
        <f t="shared" si="17"/>
        <v>0</v>
      </c>
      <c r="AK26" s="27">
        <f>COUNTIFS([4]InfCualitativo!$B$1:$B$6973,"VERDADERO",[4]InfCualitativo!$E$1:$E$6973,"Manzanillo",[4]InfCualitativo!$H$1:$H$6973,"medicina_interna")</f>
        <v>0</v>
      </c>
      <c r="AL26" s="27">
        <f>COUNTIFS([4]InfCualitativo!$B$1:$B$6973,"FALSO",[4]InfCualitativo!$E$1:$E$6973,"Manzanillo",[4]InfCualitativo!$H$1:$H$6973,"medicina_interna")</f>
        <v>0</v>
      </c>
      <c r="AM26" s="30">
        <f t="shared" si="18"/>
        <v>0</v>
      </c>
      <c r="AN26" s="30">
        <f t="shared" si="19"/>
        <v>0</v>
      </c>
      <c r="AO26" s="27">
        <f>COUNTIFS([4]InfCualitativo!$B$1:$B$6973,"VERDADERO",[4]InfCualitativo!$E$1:$E$6973,"Manzanillo",[4]InfCualitativo!$H$1:$H$6973,"ginecologia")</f>
        <v>0</v>
      </c>
      <c r="AP26" s="27">
        <f>COUNTIFS([4]InfCualitativo!$B$1:$B$6973,"FALSO",[4]InfCualitativo!$E$1:$E$6973,"Manzanillo",[4]InfCualitativo!$H$1:$H$6973,"ginecologia")</f>
        <v>0</v>
      </c>
      <c r="AQ26" s="30">
        <f t="shared" si="20"/>
        <v>0</v>
      </c>
      <c r="AR26" s="30">
        <f t="shared" si="21"/>
        <v>0</v>
      </c>
      <c r="AS26" s="27">
        <f t="shared" si="22"/>
        <v>26</v>
      </c>
      <c r="AT26" s="27">
        <f t="shared" si="22"/>
        <v>0</v>
      </c>
      <c r="AU26" s="32">
        <f t="shared" si="23"/>
        <v>1</v>
      </c>
      <c r="AV26" s="32">
        <f t="shared" si="24"/>
        <v>0</v>
      </c>
    </row>
    <row r="27" spans="1:48" ht="18.75" x14ac:dyDescent="0.3">
      <c r="A27" s="26" t="s">
        <v>47</v>
      </c>
      <c r="B27" s="27">
        <v>188</v>
      </c>
      <c r="C27" s="27">
        <f t="shared" si="1"/>
        <v>174</v>
      </c>
      <c r="D27" s="28">
        <f t="shared" si="0"/>
        <v>92.553191489361708</v>
      </c>
      <c r="E27" s="29">
        <f>COUNTIFS([4]InfCualitativo!$B$1:$B$6973,"VERDADERO",[4]InfCualitativo!$E$1:$E$6973,"Nelson Mandela UPA",[4]InfCualitativo!$H$1:$H$6973,"consulta_externa")</f>
        <v>44</v>
      </c>
      <c r="F27" s="29">
        <f>COUNTIFS([4]InfCualitativo!$B$1:$B$6973,"FALSO",[4]InfCualitativo!$E$1:$E$6973,"Nelson Mandela UPA",[4]InfCualitativo!$H$1:$H$6973,"consulta_externa")</f>
        <v>0</v>
      </c>
      <c r="G27" s="30">
        <f t="shared" si="2"/>
        <v>1</v>
      </c>
      <c r="H27" s="30">
        <f t="shared" si="3"/>
        <v>0</v>
      </c>
      <c r="I27" s="27">
        <f>COUNTIFS([4]InfCualitativo!$B$1:$B$6973,"VERDADERO",[4]InfCualitativo!$E$1:$E$6973,"Nelson Mandela UPA",[4]InfCualitativo!$H$1:$H$6973,"salud_oral")</f>
        <v>44</v>
      </c>
      <c r="J27" s="27">
        <f>COUNTIFS([4]InfCualitativo!$B$1:$B$6973,"FALSO",[4]InfCualitativo!$E$1:$E$6973,"Nelson Mandela UPA",[4]InfCualitativo!$H$1:$H$6973,"salud_oral")</f>
        <v>0</v>
      </c>
      <c r="K27" s="30">
        <f t="shared" si="4"/>
        <v>1</v>
      </c>
      <c r="L27" s="30">
        <f t="shared" si="5"/>
        <v>0</v>
      </c>
      <c r="M27" s="27">
        <f>COUNTIFS([4]InfCualitativo!$B$1:$B$6973,"VERDADERO",[4]InfCualitativo!$E$1:$E$6973,"Nelson Mandela UPA",[4]InfCualitativo!$H$1:$H$6973,"laboratorio")</f>
        <v>44</v>
      </c>
      <c r="N27" s="27">
        <f>COUNTIFS([4]InfCualitativo!$B$1:$B$6973,"FALSO",[4]InfCualitativo!$E$1:$E$6973,"Nelson Mandela UPA",[4]InfCualitativo!$H$1:$H$6973,"laboratorio")</f>
        <v>0</v>
      </c>
      <c r="O27" s="30">
        <f t="shared" si="6"/>
        <v>1</v>
      </c>
      <c r="P27" s="31">
        <f t="shared" si="7"/>
        <v>0</v>
      </c>
      <c r="Q27" s="27">
        <f>COUNTIFS([4]InfCualitativo!$B$1:$B$6973,"VERDADERO",[4]InfCualitativo!$E$1:$E$6973,"Nelson Mandela UPA",[4]InfCualitativo!$H$1:$H$6973,"electros")</f>
        <v>0</v>
      </c>
      <c r="R27" s="27">
        <f>COUNTIFS([4]InfCualitativo!$B$1:$B$6973,"FALSO",[4]InfCualitativo!$E$1:$E$6973,"Nelson Mandela UPA",[4]InfCualitativo!$H$1:$H$6973,"electros")</f>
        <v>0</v>
      </c>
      <c r="S27" s="30">
        <f t="shared" si="8"/>
        <v>0</v>
      </c>
      <c r="T27" s="30">
        <f t="shared" si="9"/>
        <v>0</v>
      </c>
      <c r="U27" s="27">
        <f>COUNTIFS([4]InfCualitativo!$B$1:$B$6973,"VERDADERO",[4]InfCualitativo!$E$1:$E$6973,"Nelson Mandela UPA",[4]InfCualitativo!$H$1:$H$6973,"rx")</f>
        <v>0</v>
      </c>
      <c r="V27" s="27">
        <f>COUNTIFS([4]InfCualitativo!$B$1:$B$6973,"FALSO",[4]InfCualitativo!$E$1:$E$6973,"Nelson Mandela UPA",[4]InfCualitativo!$H$1:$H$6973,"rx")</f>
        <v>0</v>
      </c>
      <c r="W27" s="30">
        <f t="shared" si="10"/>
        <v>0</v>
      </c>
      <c r="X27" s="30">
        <f t="shared" si="11"/>
        <v>0</v>
      </c>
      <c r="Y27" s="27">
        <f>COUNTIFS([4]InfCualitativo!$B$1:$B$6973,"VERDADERO",[4]InfCualitativo!$E$1:$E$6973,"Nelson Mandela UPA",[4]InfCualitativo!$H$1:$H$6973,"ecografias")</f>
        <v>0</v>
      </c>
      <c r="Z27" s="27">
        <f>COUNTIFS([4]InfCualitativo!$B$1:$B$6973,"FALSO",[4]InfCualitativo!$E$1:$E$6973,"Nelson Mandela UPA",[4]InfCualitativo!$H$1:$H$6973,"ecografias")</f>
        <v>0</v>
      </c>
      <c r="AA27" s="30">
        <f t="shared" si="12"/>
        <v>0</v>
      </c>
      <c r="AB27" s="30">
        <f t="shared" si="13"/>
        <v>0</v>
      </c>
      <c r="AC27" s="27">
        <f>COUNTIFS([4]InfCualitativo!$B$1:$B$6973,"VERDADERO",[4]InfCualitativo!$E$1:$E$6973,"Nelson Mandela UPA",[4]InfCualitativo!$H$1:$H$6973,"urgencia")</f>
        <v>42</v>
      </c>
      <c r="AD27" s="27">
        <f>COUNTIFS([4]InfCualitativo!$B$1:$B$6973,"FALSO",[4]InfCualitativo!$E$1:$E$6973,"Nelson Mandela UPA",[4]InfCualitativo!$H$1:$H$6973,"urgencia")</f>
        <v>0</v>
      </c>
      <c r="AE27" s="30">
        <f t="shared" si="14"/>
        <v>1</v>
      </c>
      <c r="AF27" s="30">
        <f t="shared" si="15"/>
        <v>0</v>
      </c>
      <c r="AG27" s="27">
        <f>COUNTIFS([4]InfCualitativo!$B$1:$B$6973,"VERDADERO",[4]InfCualitativo!$E$1:$E$6973,"Nelson Mandela UPA",[4]InfCualitativo!$H$1:$H$6973,"pediatria")</f>
        <v>0</v>
      </c>
      <c r="AH27" s="27">
        <f>COUNTIFS([4]InfCualitativo!$B$1:$B$6973,"FALSO",[4]InfCualitativo!$E$1:$E$6973,"Nelson Mandela UPA",[4]InfCualitativo!$H$1:$H$6973,"pediatria")</f>
        <v>0</v>
      </c>
      <c r="AI27" s="30">
        <f t="shared" si="16"/>
        <v>0</v>
      </c>
      <c r="AJ27" s="30">
        <f t="shared" si="17"/>
        <v>0</v>
      </c>
      <c r="AK27" s="27">
        <f>COUNTIFS([4]InfCualitativo!$B$1:$B$6973,"VERDADERO",[4]InfCualitativo!$E$1:$E$6973,"Nelson Mandela UPA",[4]InfCualitativo!$H$1:$H$6973,"medicina_interna")</f>
        <v>0</v>
      </c>
      <c r="AL27" s="27">
        <f>COUNTIFS([4]InfCualitativo!$B$1:$B$6973,"FALSO",[4]InfCualitativo!$E$1:$E$6973,"Nelson Mandela UPA",[4]InfCualitativo!$H$1:$H$6973,"medicina_interna")</f>
        <v>0</v>
      </c>
      <c r="AM27" s="30">
        <f t="shared" si="18"/>
        <v>0</v>
      </c>
      <c r="AN27" s="30">
        <f t="shared" si="19"/>
        <v>0</v>
      </c>
      <c r="AO27" s="27">
        <f>COUNTIFS([4]InfCualitativo!$B$1:$B$6973,"VERDADERO",[4]InfCualitativo!$E$1:$E$6973,"Nelson Mandela UPA",[4]InfCualitativo!$H$1:$H$6973,"ginecologia")</f>
        <v>0</v>
      </c>
      <c r="AP27" s="27">
        <f>COUNTIFS([4]InfCualitativo!$B$1:$B$6973,"FALSO",[4]InfCualitativo!$E$1:$E$6973,"Nelson Mandela UPA",[4]InfCualitativo!$H$1:$H$6973,"ginecologia")</f>
        <v>0</v>
      </c>
      <c r="AQ27" s="30">
        <f t="shared" si="20"/>
        <v>0</v>
      </c>
      <c r="AR27" s="30">
        <f t="shared" si="21"/>
        <v>0</v>
      </c>
      <c r="AS27" s="27">
        <f t="shared" si="22"/>
        <v>174</v>
      </c>
      <c r="AT27" s="27">
        <f t="shared" si="22"/>
        <v>0</v>
      </c>
      <c r="AU27" s="32">
        <f t="shared" si="23"/>
        <v>1</v>
      </c>
      <c r="AV27" s="32">
        <f t="shared" si="24"/>
        <v>0</v>
      </c>
    </row>
    <row r="28" spans="1:48" ht="18.75" x14ac:dyDescent="0.3">
      <c r="A28" s="26" t="s">
        <v>48</v>
      </c>
      <c r="B28" s="27">
        <v>187</v>
      </c>
      <c r="C28" s="27">
        <f t="shared" si="1"/>
        <v>187</v>
      </c>
      <c r="D28" s="28">
        <f t="shared" si="0"/>
        <v>100</v>
      </c>
      <c r="E28" s="29">
        <f>COUNTIFS([4]InfCualitativo!$B$1:$B$6973,"VERDADERO",[4]InfCualitativo!$E$1:$E$6973,"Nuevo Bosque",[4]InfCualitativo!$H$1:$H$6973,"consulta_externa")</f>
        <v>38</v>
      </c>
      <c r="F28" s="29">
        <f>COUNTIFS([4]InfCualitativo!$B$1:$B$6973,"FALSO",[4]InfCualitativo!$E$1:$E$6973,"Nuevo Bosque",[4]InfCualitativo!$H$1:$H$6973,"consulta_externa")</f>
        <v>10</v>
      </c>
      <c r="G28" s="30">
        <f t="shared" si="2"/>
        <v>0.79166666666666663</v>
      </c>
      <c r="H28" s="30">
        <f t="shared" si="3"/>
        <v>0.20833333333333334</v>
      </c>
      <c r="I28" s="27">
        <f>COUNTIFS([4]InfCualitativo!$B$1:$B$6973,"VERDADERO",[4]InfCualitativo!$E$1:$E$6973,"Nuevo Bosque",[4]InfCualitativo!$H$1:$H$6973,"salud_oral")</f>
        <v>47</v>
      </c>
      <c r="J28" s="27">
        <f>COUNTIFS([4]InfCualitativo!$B$1:$B$6973,"FALSO",[4]InfCualitativo!$E$1:$E$6973,"Nuevo Bosque",[4]InfCualitativo!$H$1:$H$6973,"salud_oral")</f>
        <v>1</v>
      </c>
      <c r="K28" s="30">
        <f t="shared" si="4"/>
        <v>0.97916666666666663</v>
      </c>
      <c r="L28" s="30">
        <f t="shared" si="5"/>
        <v>2.0833333333333332E-2</v>
      </c>
      <c r="M28" s="27">
        <f>COUNTIFS([4]InfCualitativo!$B$1:$B$6973,"VERDADERO",[4]InfCualitativo!$E$1:$E$6973,"Nuevo Bosque",[4]InfCualitativo!$H$1:$H$6973,"laboratorio")</f>
        <v>39</v>
      </c>
      <c r="N28" s="27">
        <f>COUNTIFS([4]InfCualitativo!$B$1:$B$6973,"FALSO",[4]InfCualitativo!$E$1:$E$6973,"Nuevo Bosque",[4]InfCualitativo!$H$1:$H$6973,"laboratorio")</f>
        <v>8</v>
      </c>
      <c r="O28" s="30">
        <f t="shared" si="6"/>
        <v>0.82978723404255317</v>
      </c>
      <c r="P28" s="31">
        <f t="shared" si="7"/>
        <v>0.1702127659574468</v>
      </c>
      <c r="Q28" s="27">
        <f>COUNTIFS([4]InfCualitativo!$B$1:$B$6973,"VERDADERO",[4]InfCualitativo!$E$1:$E$6973,"Nuevo Bosque",[4]InfCualitativo!$H$1:$H$6973,"electros")</f>
        <v>0</v>
      </c>
      <c r="R28" s="27">
        <f>COUNTIFS([4]InfCualitativo!$B$1:$B$6973,"FALSO",[4]InfCualitativo!$E$1:$E$6973,"Nuevo Bosque",[4]InfCualitativo!$H$1:$H$6973,"electros")</f>
        <v>0</v>
      </c>
      <c r="S28" s="30">
        <f t="shared" si="8"/>
        <v>0</v>
      </c>
      <c r="T28" s="30">
        <f t="shared" si="9"/>
        <v>0</v>
      </c>
      <c r="U28" s="27">
        <f>COUNTIFS([4]InfCualitativo!$B$1:$B$6973,"VERDADERO",[4]InfCualitativo!$E$1:$E$6973,"Nuevo Bosque",[4]InfCualitativo!$H$1:$H$6973,"rx")</f>
        <v>0</v>
      </c>
      <c r="V28" s="27">
        <f>COUNTIFS([4]InfCualitativo!$B$1:$B$6973,"FALSO",[4]InfCualitativo!$E$1:$E$6973,"Nuevo Bosque",[4]InfCualitativo!$H$1:$H$6973,"rx")</f>
        <v>0</v>
      </c>
      <c r="W28" s="30">
        <f t="shared" si="10"/>
        <v>0</v>
      </c>
      <c r="X28" s="30">
        <f t="shared" si="11"/>
        <v>0</v>
      </c>
      <c r="Y28" s="27">
        <f>COUNTIFS([4]InfCualitativo!$B$1:$B$6973,"VERDADERO",[4]InfCualitativo!$E$1:$E$6973,"Nuevo Bosque",[4]InfCualitativo!$H$1:$H$6973,"ecografias")</f>
        <v>0</v>
      </c>
      <c r="Z28" s="27">
        <f>COUNTIFS([4]InfCualitativo!$B$1:$B$6973,"FALSO",[4]InfCualitativo!$E$1:$E$6973,"Nuevo Bosque",[4]InfCualitativo!$H$1:$H$6973,"ecografias")</f>
        <v>0</v>
      </c>
      <c r="AA28" s="30">
        <f t="shared" si="12"/>
        <v>0</v>
      </c>
      <c r="AB28" s="30">
        <f t="shared" si="13"/>
        <v>0</v>
      </c>
      <c r="AC28" s="27">
        <f>COUNTIFS([4]InfCualitativo!$B$1:$B$6973,"VERDADERO",[4]InfCualitativo!$E$1:$E$6973,"Nuevo Bosque",[4]InfCualitativo!$H$1:$H$6973,"urgencia")</f>
        <v>30</v>
      </c>
      <c r="AD28" s="27">
        <f>COUNTIFS([4]InfCualitativo!$B$1:$B$6973,"FALSO",[4]InfCualitativo!$E$1:$E$6973,"Nuevo Bosque",[4]InfCualitativo!$H$1:$H$6973,"urgencia")</f>
        <v>14</v>
      </c>
      <c r="AE28" s="30">
        <f t="shared" si="14"/>
        <v>0.68181818181818177</v>
      </c>
      <c r="AF28" s="30">
        <f t="shared" si="15"/>
        <v>0.31818181818181818</v>
      </c>
      <c r="AG28" s="27">
        <f>COUNTIFS([4]InfCualitativo!$B$1:$B$6973,"VERDADERO",[4]InfCualitativo!$E$1:$E$6973,"Nuevo Bosque",[4]InfCualitativo!$H$1:$H$6973,"pediatria")</f>
        <v>0</v>
      </c>
      <c r="AH28" s="27">
        <f>COUNTIFS([4]InfCualitativo!$B$1:$B$6973,"FALSO",[4]InfCualitativo!$E$1:$E$6973,"Nuevo Bosque",[4]InfCualitativo!$H$1:$H$6973,"pediatria")</f>
        <v>0</v>
      </c>
      <c r="AI28" s="30">
        <f t="shared" si="16"/>
        <v>0</v>
      </c>
      <c r="AJ28" s="30">
        <f t="shared" si="17"/>
        <v>0</v>
      </c>
      <c r="AK28" s="27">
        <f>COUNTIFS([4]InfCualitativo!$B$1:$B$6973,"VERDADERO",[4]InfCualitativo!$E$1:$E$6973,"Nuevo Bosque",[4]InfCualitativo!$H$1:$H$6973,"medicina_interna")</f>
        <v>0</v>
      </c>
      <c r="AL28" s="27">
        <f>COUNTIFS([4]InfCualitativo!$B$1:$B$6973,"FALSO",[4]InfCualitativo!$E$1:$E$6973,"Nuevo Bosque",[4]InfCualitativo!$H$1:$H$6973,"medicina_interna")</f>
        <v>0</v>
      </c>
      <c r="AM28" s="30">
        <f t="shared" si="18"/>
        <v>0</v>
      </c>
      <c r="AN28" s="30">
        <f t="shared" si="19"/>
        <v>0</v>
      </c>
      <c r="AO28" s="27">
        <f>COUNTIFS([4]InfCualitativo!$B$1:$B$6973,"VERDADERO",[4]InfCualitativo!$E$1:$E$6973,"Nuevo Bosque",[4]InfCualitativo!$H$1:$H$6973,"ginecologia")</f>
        <v>0</v>
      </c>
      <c r="AP28" s="27">
        <f>COUNTIFS([4]InfCualitativo!$B$1:$B$6973,"FALSO",[4]InfCualitativo!$E$1:$E$6973,"Nuevo Bosque",[4]InfCualitativo!$H$1:$H$6973,"ginecologia")</f>
        <v>0</v>
      </c>
      <c r="AQ28" s="30">
        <f t="shared" si="20"/>
        <v>0</v>
      </c>
      <c r="AR28" s="30">
        <f t="shared" si="21"/>
        <v>0</v>
      </c>
      <c r="AS28" s="27">
        <f t="shared" si="22"/>
        <v>154</v>
      </c>
      <c r="AT28" s="27">
        <f t="shared" si="22"/>
        <v>33</v>
      </c>
      <c r="AU28" s="32">
        <f t="shared" si="23"/>
        <v>0.82352941176470584</v>
      </c>
      <c r="AV28" s="32">
        <f t="shared" si="24"/>
        <v>0.17647058823529413</v>
      </c>
    </row>
    <row r="29" spans="1:48" ht="18.75" x14ac:dyDescent="0.3">
      <c r="A29" s="26" t="s">
        <v>49</v>
      </c>
      <c r="B29" s="27">
        <v>140</v>
      </c>
      <c r="C29" s="27">
        <f t="shared" si="1"/>
        <v>140</v>
      </c>
      <c r="D29" s="28">
        <f t="shared" si="0"/>
        <v>100</v>
      </c>
      <c r="E29" s="29">
        <f>COUNTIFS([4]InfCualitativo!$B$1:$B$6973,"VERDADERO",[4]InfCualitativo!$E$1:$E$6973,"Nuevo Porvenir",[4]InfCualitativo!$H$1:$H$6973,"consulta_externa")</f>
        <v>46</v>
      </c>
      <c r="F29" s="29">
        <f>COUNTIFS([4]InfCualitativo!$B$1:$B$6973,"FALSO",[4]InfCualitativo!$E$1:$E$6973,"Nuevo Porvenir",[4]InfCualitativo!$H$1:$H$6973,"consulta_externa")</f>
        <v>0</v>
      </c>
      <c r="G29" s="30">
        <f t="shared" si="2"/>
        <v>1</v>
      </c>
      <c r="H29" s="30">
        <f t="shared" si="3"/>
        <v>0</v>
      </c>
      <c r="I29" s="27">
        <f>COUNTIFS([4]InfCualitativo!$B$1:$B$6973,"VERDADERO",[4]InfCualitativo!$E$1:$E$6973,"Nuevo Porvenir",[4]InfCualitativo!$H$1:$H$6973,"salud_oral")</f>
        <v>48</v>
      </c>
      <c r="J29" s="27">
        <f>COUNTIFS([4]InfCualitativo!$B$1:$B$6973,"FALSO",[4]InfCualitativo!$E$1:$E$6973,"Nuevo Porvenir",[4]InfCualitativo!$H$1:$H$6973,"salud_oral")</f>
        <v>0</v>
      </c>
      <c r="K29" s="30">
        <f t="shared" si="4"/>
        <v>1</v>
      </c>
      <c r="L29" s="30">
        <f t="shared" si="5"/>
        <v>0</v>
      </c>
      <c r="M29" s="27">
        <f>COUNTIFS([4]InfCualitativo!$B$1:$B$6973,"VERDADERO",[4]InfCualitativo!$E$1:$E$6973,"Nuevo Porvenir",[4]InfCualitativo!$H$1:$H$6973,"laboratorio")</f>
        <v>46</v>
      </c>
      <c r="N29" s="27">
        <f>COUNTIFS([4]InfCualitativo!$B$1:$B$6973,"FALSO",[4]InfCualitativo!$E$1:$E$6973,"Nuevo Porvenir",[4]InfCualitativo!$H$1:$H$6973,"laboratorio")</f>
        <v>0</v>
      </c>
      <c r="O29" s="30">
        <f t="shared" si="6"/>
        <v>1</v>
      </c>
      <c r="P29" s="31">
        <f t="shared" si="7"/>
        <v>0</v>
      </c>
      <c r="Q29" s="27">
        <f>COUNTIFS([4]InfCualitativo!$B$1:$B$6973,"VERDADERO",[4]InfCualitativo!$E$1:$E$6973,"Nuevo Porvenir",[4]InfCualitativo!$H$1:$H$6973,"electros")</f>
        <v>0</v>
      </c>
      <c r="R29" s="27">
        <f>COUNTIFS([4]InfCualitativo!$B$1:$B$6973,"FALSO",[4]InfCualitativo!$E$1:$E$6973,"Nuevo Porvenir",[4]InfCualitativo!$H$1:$H$6973,"electros")</f>
        <v>0</v>
      </c>
      <c r="S29" s="30">
        <f t="shared" si="8"/>
        <v>0</v>
      </c>
      <c r="T29" s="30">
        <f t="shared" si="9"/>
        <v>0</v>
      </c>
      <c r="U29" s="27">
        <f>COUNTIFS([4]InfCualitativo!$B$1:$B$6973,"VERDADERO",[4]InfCualitativo!$E$1:$E$6973,"Nuevo Porvenir",[4]InfCualitativo!$H$1:$H$6973,"rx")</f>
        <v>0</v>
      </c>
      <c r="V29" s="27">
        <f>COUNTIFS([4]InfCualitativo!$B$1:$B$6973,"FALSO",[4]InfCualitativo!$E$1:$E$6973,"Nuevo Porvenir",[4]InfCualitativo!$H$1:$H$6973,"rx")</f>
        <v>0</v>
      </c>
      <c r="W29" s="30">
        <f t="shared" si="10"/>
        <v>0</v>
      </c>
      <c r="X29" s="30">
        <f t="shared" si="11"/>
        <v>0</v>
      </c>
      <c r="Y29" s="27">
        <f>COUNTIFS([4]InfCualitativo!$B$1:$B$6973,"VERDADERO",[4]InfCualitativo!$E$1:$E$6973,"Nuevo Porvenir",[4]InfCualitativo!$H$1:$H$6973,"ecografias")</f>
        <v>0</v>
      </c>
      <c r="Z29" s="27">
        <f>COUNTIFS([4]InfCualitativo!$B$1:$B$6973,"FALSO",[4]InfCualitativo!$E$1:$E$6973,"Nuevo Porvenir",[4]InfCualitativo!$H$1:$H$6973,"ecografias")</f>
        <v>0</v>
      </c>
      <c r="AA29" s="30">
        <f t="shared" si="12"/>
        <v>0</v>
      </c>
      <c r="AB29" s="30">
        <f t="shared" si="13"/>
        <v>0</v>
      </c>
      <c r="AC29" s="27">
        <f>COUNTIFS([4]InfCualitativo!$B$1:$B$6973,"VERDADERO",[4]InfCualitativo!$E$1:$E$6973,"Nuevo Porvenir",[4]InfCualitativo!$H$1:$H$6973,"urgencia")</f>
        <v>0</v>
      </c>
      <c r="AD29" s="27">
        <f>COUNTIFS([4]InfCualitativo!$B$1:$B$6973,"FALSO",[4]InfCualitativo!$E$1:$E$6973,"Nuevo Porvenir",[4]InfCualitativo!$H$1:$H$6973,"urgencia")</f>
        <v>0</v>
      </c>
      <c r="AE29" s="30">
        <f t="shared" si="14"/>
        <v>0</v>
      </c>
      <c r="AF29" s="30">
        <f t="shared" si="15"/>
        <v>0</v>
      </c>
      <c r="AG29" s="27">
        <f>COUNTIFS([4]InfCualitativo!$B$1:$B$6973,"VERDADERO",[4]InfCualitativo!$E$1:$E$6973,"Nuevo Porvenir",[4]InfCualitativo!$H$1:$H$6973,"pediatria")</f>
        <v>0</v>
      </c>
      <c r="AH29" s="27">
        <f>COUNTIFS([4]InfCualitativo!$B$1:$B$6973,"FALSO",[4]InfCualitativo!$E$1:$E$6973,"Nuevo Porvenir",[4]InfCualitativo!$H$1:$H$6973,"pediatria")</f>
        <v>0</v>
      </c>
      <c r="AI29" s="30">
        <f t="shared" si="16"/>
        <v>0</v>
      </c>
      <c r="AJ29" s="30">
        <f t="shared" si="17"/>
        <v>0</v>
      </c>
      <c r="AK29" s="27">
        <f>COUNTIFS([4]InfCualitativo!$B$1:$B$6973,"VERDADERO",[4]InfCualitativo!$E$1:$E$6973,"Nuevo Porvenir",[4]InfCualitativo!$H$1:$H$6973,"medicina_interna")</f>
        <v>0</v>
      </c>
      <c r="AL29" s="27">
        <f>COUNTIFS([4]InfCualitativo!$B$1:$B$6973,"FALSO",[4]InfCualitativo!$E$1:$E$6973,"Nuevo Porvenir",[4]InfCualitativo!$H$1:$H$6973,"medicina_interna")</f>
        <v>0</v>
      </c>
      <c r="AM29" s="30">
        <f t="shared" si="18"/>
        <v>0</v>
      </c>
      <c r="AN29" s="30">
        <f t="shared" si="19"/>
        <v>0</v>
      </c>
      <c r="AO29" s="27">
        <f>COUNTIFS([4]InfCualitativo!$B$1:$B$6973,"VERDADERO",[4]InfCualitativo!$E$1:$E$6973,"Nuevo Porvenir",[4]InfCualitativo!$H$1:$H$6973,"ginecologia")</f>
        <v>0</v>
      </c>
      <c r="AP29" s="27">
        <f>COUNTIFS([4]InfCualitativo!$B$1:$B$6973,"FALSO",[4]InfCualitativo!$E$1:$E$6973,"Nuevo Porvenir",[4]InfCualitativo!$H$1:$H$6973,"ginecologia")</f>
        <v>0</v>
      </c>
      <c r="AQ29" s="30">
        <f t="shared" si="20"/>
        <v>0</v>
      </c>
      <c r="AR29" s="30">
        <f t="shared" si="21"/>
        <v>0</v>
      </c>
      <c r="AS29" s="27">
        <f t="shared" si="22"/>
        <v>140</v>
      </c>
      <c r="AT29" s="27">
        <f t="shared" si="22"/>
        <v>0</v>
      </c>
      <c r="AU29" s="32">
        <f t="shared" si="23"/>
        <v>1</v>
      </c>
      <c r="AV29" s="32">
        <f t="shared" si="24"/>
        <v>0</v>
      </c>
    </row>
    <row r="30" spans="1:48" ht="18.75" x14ac:dyDescent="0.3">
      <c r="A30" s="26" t="s">
        <v>50</v>
      </c>
      <c r="B30" s="35" t="s">
        <v>39</v>
      </c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35" t="s">
        <v>39</v>
      </c>
      <c r="P30" s="35" t="s">
        <v>39</v>
      </c>
      <c r="Q30" s="35" t="s">
        <v>39</v>
      </c>
      <c r="R30" s="35" t="s">
        <v>39</v>
      </c>
      <c r="S30" s="35" t="s">
        <v>39</v>
      </c>
      <c r="T30" s="35" t="s">
        <v>39</v>
      </c>
      <c r="U30" s="35" t="s">
        <v>39</v>
      </c>
      <c r="V30" s="35" t="s">
        <v>39</v>
      </c>
      <c r="W30" s="35" t="s">
        <v>39</v>
      </c>
      <c r="X30" s="35" t="s">
        <v>39</v>
      </c>
      <c r="Y30" s="35" t="s">
        <v>39</v>
      </c>
      <c r="Z30" s="35" t="s">
        <v>39</v>
      </c>
      <c r="AA30" s="35" t="s">
        <v>39</v>
      </c>
      <c r="AB30" s="35" t="s">
        <v>39</v>
      </c>
      <c r="AC30" s="35" t="s">
        <v>39</v>
      </c>
      <c r="AD30" s="35" t="s">
        <v>39</v>
      </c>
      <c r="AE30" s="35" t="s">
        <v>39</v>
      </c>
      <c r="AF30" s="35" t="s">
        <v>39</v>
      </c>
      <c r="AG30" s="35" t="s">
        <v>39</v>
      </c>
      <c r="AH30" s="35" t="s">
        <v>39</v>
      </c>
      <c r="AI30" s="35" t="s">
        <v>39</v>
      </c>
      <c r="AJ30" s="35" t="s">
        <v>39</v>
      </c>
      <c r="AK30" s="35" t="s">
        <v>39</v>
      </c>
      <c r="AL30" s="35" t="s">
        <v>39</v>
      </c>
      <c r="AM30" s="35" t="s">
        <v>39</v>
      </c>
      <c r="AN30" s="35" t="s">
        <v>39</v>
      </c>
      <c r="AO30" s="35" t="s">
        <v>39</v>
      </c>
      <c r="AP30" s="35" t="s">
        <v>39</v>
      </c>
      <c r="AQ30" s="35" t="s">
        <v>39</v>
      </c>
      <c r="AR30" s="35" t="s">
        <v>39</v>
      </c>
      <c r="AS30" s="35" t="s">
        <v>39</v>
      </c>
      <c r="AT30" s="35" t="s">
        <v>39</v>
      </c>
      <c r="AU30" s="35" t="s">
        <v>39</v>
      </c>
      <c r="AV30" s="35" t="s">
        <v>39</v>
      </c>
    </row>
    <row r="31" spans="1:48" ht="18.75" x14ac:dyDescent="0.3">
      <c r="A31" s="26" t="s">
        <v>51</v>
      </c>
      <c r="B31" s="27">
        <v>196</v>
      </c>
      <c r="C31" s="27">
        <f t="shared" si="1"/>
        <v>189</v>
      </c>
      <c r="D31" s="28">
        <f t="shared" si="0"/>
        <v>96.428571428571431</v>
      </c>
      <c r="E31" s="29">
        <f>COUNTIFS([4]InfCualitativo!$B$1:$B$6973,"VERDADERO",[4]InfCualitativo!$E$1:$E$6973,"Pasacaballos",[4]InfCualitativo!$H$1:$H$6973,"consulta_externa")</f>
        <v>33</v>
      </c>
      <c r="F31" s="29">
        <f>COUNTIFS([4]InfCualitativo!$B$1:$B$6973,"FALSO",[4]InfCualitativo!$E$1:$E$6973,"Pasacaballos",[4]InfCualitativo!$H$1:$H$6973,"consulta_externa")</f>
        <v>17</v>
      </c>
      <c r="G31" s="30">
        <f t="shared" si="2"/>
        <v>0.66</v>
      </c>
      <c r="H31" s="30">
        <f t="shared" si="3"/>
        <v>0.34</v>
      </c>
      <c r="I31" s="27">
        <f>COUNTIFS([4]InfCualitativo!$B$1:$B$6973,"VERDADERO",[4]InfCualitativo!$E$1:$E$6973,"Pasacaballos",[4]InfCualitativo!$H$1:$H$6973,"salud_oral")</f>
        <v>38</v>
      </c>
      <c r="J31" s="27">
        <f>COUNTIFS([4]InfCualitativo!$B$1:$B$6973,"FALSO",[4]InfCualitativo!$E$1:$E$6973,"Pasacaballos",[4]InfCualitativo!$H$1:$H$6973,"salud_oral")</f>
        <v>10</v>
      </c>
      <c r="K31" s="30">
        <f t="shared" si="4"/>
        <v>0.79166666666666663</v>
      </c>
      <c r="L31" s="30">
        <f t="shared" si="5"/>
        <v>0.20833333333333334</v>
      </c>
      <c r="M31" s="27">
        <f>COUNTIFS([4]InfCualitativo!$B$1:$B$6973,"VERDADERO",[4]InfCualitativo!$E$1:$E$6973,"Pasacaballos",[4]InfCualitativo!$H$1:$H$6973,"laboratorio")</f>
        <v>29</v>
      </c>
      <c r="N31" s="27">
        <f>COUNTIFS([4]InfCualitativo!$B$1:$B$6973,"FALSO",[4]InfCualitativo!$E$1:$E$6973,"Pasacaballos",[4]InfCualitativo!$H$1:$H$6973,"laboratorio")</f>
        <v>16</v>
      </c>
      <c r="O31" s="30">
        <f t="shared" si="6"/>
        <v>0.64444444444444449</v>
      </c>
      <c r="P31" s="31">
        <f t="shared" si="7"/>
        <v>0.35555555555555557</v>
      </c>
      <c r="Q31" s="27">
        <f>COUNTIFS([4]InfCualitativo!$B$1:$B$6973,"VERDADERO",[4]InfCualitativo!$E$1:$E$6973,"Pasacaballos",[4]InfCualitativo!$H$1:$H$6973,"electros")</f>
        <v>0</v>
      </c>
      <c r="R31" s="27">
        <f>COUNTIFS([4]InfCualitativo!$B$1:$B$6973,"FALSO",[4]InfCualitativo!$E$1:$E$6973,"Pasacaballos",[4]InfCualitativo!$H$1:$H$6973,"electros")</f>
        <v>0</v>
      </c>
      <c r="S31" s="30">
        <f t="shared" si="8"/>
        <v>0</v>
      </c>
      <c r="T31" s="30">
        <f t="shared" si="9"/>
        <v>0</v>
      </c>
      <c r="U31" s="27">
        <f>COUNTIFS([4]InfCualitativo!$B$1:$B$6973,"VERDADERO",[4]InfCualitativo!$E$1:$E$6973,"Pasacaballos",[4]InfCualitativo!$H$1:$H$6973,"rx")</f>
        <v>0</v>
      </c>
      <c r="V31" s="27">
        <f>COUNTIFS([4]InfCualitativo!$B$1:$B$6973,"FALSO",[4]InfCualitativo!$E$1:$E$6973,"Pasacaballos",[4]InfCualitativo!$H$1:$H$6973,"rx")</f>
        <v>0</v>
      </c>
      <c r="W31" s="30">
        <f t="shared" si="10"/>
        <v>0</v>
      </c>
      <c r="X31" s="30">
        <f t="shared" si="11"/>
        <v>0</v>
      </c>
      <c r="Y31" s="27">
        <f>COUNTIFS([4]InfCualitativo!$B$1:$B$6973,"VERDADERO",[4]InfCualitativo!$E$1:$E$6973,"Pasacaballos",[4]InfCualitativo!$H$1:$H$6973,"ecografias")</f>
        <v>0</v>
      </c>
      <c r="Z31" s="27">
        <f>COUNTIFS([4]InfCualitativo!$B$1:$B$6973,"FALSO",[4]InfCualitativo!$E$1:$E$6973,"Pasacaballos",[4]InfCualitativo!$H$1:$H$6973,"ecografias")</f>
        <v>0</v>
      </c>
      <c r="AA31" s="30">
        <f t="shared" si="12"/>
        <v>0</v>
      </c>
      <c r="AB31" s="30">
        <f t="shared" si="13"/>
        <v>0</v>
      </c>
      <c r="AC31" s="27">
        <f>COUNTIFS([4]InfCualitativo!$B$1:$B$6973,"VERDADERO",[4]InfCualitativo!$E$1:$E$6973,"Pasacaballos",[4]InfCualitativo!$H$1:$H$6973,"urgencia")</f>
        <v>21</v>
      </c>
      <c r="AD31" s="27">
        <f>COUNTIFS([4]InfCualitativo!$B$1:$B$6973,"FALSO",[4]InfCualitativo!$E$1:$E$6973,"Pasacaballos",[4]InfCualitativo!$H$1:$H$6973,"urgencia")</f>
        <v>25</v>
      </c>
      <c r="AE31" s="30">
        <f t="shared" si="14"/>
        <v>0.45652173913043476</v>
      </c>
      <c r="AF31" s="30">
        <f t="shared" si="15"/>
        <v>0.54347826086956519</v>
      </c>
      <c r="AG31" s="27">
        <f>COUNTIFS([4]InfCualitativo!$B$1:$B$6973,"VERDADERO",[4]InfCualitativo!$E$1:$E$6973,"Pasacaballos",[4]InfCualitativo!$H$1:$H$6973,"pediatria")</f>
        <v>0</v>
      </c>
      <c r="AH31" s="27">
        <f>COUNTIFS([4]InfCualitativo!$B$1:$B$6973,"FALSO",[4]InfCualitativo!$E$1:$E$6973,"Pasacaballos",[4]InfCualitativo!$H$1:$H$6973,"pediatria")</f>
        <v>0</v>
      </c>
      <c r="AI31" s="30">
        <f t="shared" si="16"/>
        <v>0</v>
      </c>
      <c r="AJ31" s="30">
        <f t="shared" si="17"/>
        <v>0</v>
      </c>
      <c r="AK31" s="27">
        <f>COUNTIFS([4]InfCualitativo!$B$1:$B$6973,"VERDADERO",[4]InfCualitativo!$E$1:$E$6973,"Pasacaballos",[4]InfCualitativo!$H$1:$H$6973,"medicina_interna")</f>
        <v>0</v>
      </c>
      <c r="AL31" s="27">
        <f>COUNTIFS([4]InfCualitativo!$B$1:$B$6973,"FALSO",[4]InfCualitativo!$E$1:$E$6973,"Pasacaballos",[4]InfCualitativo!$H$1:$H$6973,"medicina_interna")</f>
        <v>0</v>
      </c>
      <c r="AM31" s="30">
        <f t="shared" si="18"/>
        <v>0</v>
      </c>
      <c r="AN31" s="30">
        <f t="shared" si="19"/>
        <v>0</v>
      </c>
      <c r="AO31" s="27">
        <f>COUNTIFS([4]InfCualitativo!$B$1:$B$6973,"VERDADERO",[4]InfCualitativo!$E$1:$E$6973,"Pasacaballos",[4]InfCualitativo!$H$1:$H$6973,"ginecologia")</f>
        <v>0</v>
      </c>
      <c r="AP31" s="27">
        <f>COUNTIFS([4]InfCualitativo!$B$1:$B$6973,"FALSO",[4]InfCualitativo!$E$1:$E$6973,"Pasacaballos",[4]InfCualitativo!$H$1:$H$6973,"ginecologia")</f>
        <v>0</v>
      </c>
      <c r="AQ31" s="30">
        <f t="shared" si="20"/>
        <v>0</v>
      </c>
      <c r="AR31" s="30">
        <f t="shared" si="21"/>
        <v>0</v>
      </c>
      <c r="AS31" s="27">
        <f t="shared" si="22"/>
        <v>121</v>
      </c>
      <c r="AT31" s="27">
        <f t="shared" si="22"/>
        <v>68</v>
      </c>
      <c r="AU31" s="32">
        <f t="shared" si="23"/>
        <v>0.64021164021164023</v>
      </c>
      <c r="AV31" s="32">
        <f t="shared" si="24"/>
        <v>0.35978835978835977</v>
      </c>
    </row>
    <row r="32" spans="1:48" ht="18.75" x14ac:dyDescent="0.3">
      <c r="A32" s="26" t="s">
        <v>52</v>
      </c>
      <c r="B32" s="27">
        <v>76</v>
      </c>
      <c r="C32" s="27">
        <f t="shared" si="1"/>
        <v>76</v>
      </c>
      <c r="D32" s="28">
        <f t="shared" si="0"/>
        <v>100</v>
      </c>
      <c r="E32" s="29">
        <f>COUNTIFS([4]InfCualitativo!$B$1:$B$6973,"VERDADERO",[4]InfCualitativo!$E$1:$E$6973,"Pontezuela",[4]InfCualitativo!$H$1:$H$6973,"consulta_externa")</f>
        <v>40</v>
      </c>
      <c r="F32" s="29">
        <f>COUNTIFS([4]InfCualitativo!$B$1:$B$6973,"FALSO",[4]InfCualitativo!$E$1:$E$6973,"Pontezuela",[4]InfCualitativo!$H$1:$H$6973,"consulta_externa")</f>
        <v>0</v>
      </c>
      <c r="G32" s="30">
        <f t="shared" si="2"/>
        <v>1</v>
      </c>
      <c r="H32" s="30">
        <f t="shared" si="3"/>
        <v>0</v>
      </c>
      <c r="I32" s="27">
        <f>COUNTIFS([4]InfCualitativo!$B$1:$B$6973,"VERDADERO",[4]InfCualitativo!$E$1:$E$6973,"Pontezuela",[4]InfCualitativo!$H$1:$H$6973,"salud_oral")</f>
        <v>36</v>
      </c>
      <c r="J32" s="27">
        <f>COUNTIFS([4]InfCualitativo!$B$1:$B$6973,"FALSO",[4]InfCualitativo!$E$1:$E$6973,"Pontezuela",[4]InfCualitativo!$H$1:$H$6973,"salud_oral")</f>
        <v>0</v>
      </c>
      <c r="K32" s="30">
        <f t="shared" si="4"/>
        <v>1</v>
      </c>
      <c r="L32" s="30">
        <f t="shared" si="5"/>
        <v>0</v>
      </c>
      <c r="M32" s="27">
        <f>COUNTIFS([4]InfCualitativo!$B$1:$B$6973,"VERDADERO",[4]InfCualitativo!$E$1:$E$6973,"Pontezuela",[4]InfCualitativo!$H$1:$H$6973,"laboratorio")</f>
        <v>0</v>
      </c>
      <c r="N32" s="27">
        <f>COUNTIFS([4]InfCualitativo!$B$1:$B$6973,"FALSO",[4]InfCualitativo!$E$1:$E$6973,"Pontezuela",[4]InfCualitativo!$H$1:$H$6973,"laboratorio")</f>
        <v>0</v>
      </c>
      <c r="O32" s="30">
        <f t="shared" si="6"/>
        <v>0</v>
      </c>
      <c r="P32" s="31">
        <f t="shared" si="7"/>
        <v>0</v>
      </c>
      <c r="Q32" s="27">
        <f>COUNTIFS([4]InfCualitativo!$B$1:$B$6973,"VERDADERO",[4]InfCualitativo!$E$1:$E$6973,"Pontezuela",[4]InfCualitativo!$H$1:$H$6973,"electros")</f>
        <v>0</v>
      </c>
      <c r="R32" s="27">
        <f>COUNTIFS([4]InfCualitativo!$B$1:$B$6973,"FALSO",[4]InfCualitativo!$E$1:$E$6973,"Pontezuela",[4]InfCualitativo!$H$1:$H$6973,"electros")</f>
        <v>0</v>
      </c>
      <c r="S32" s="30">
        <f t="shared" si="8"/>
        <v>0</v>
      </c>
      <c r="T32" s="30">
        <f t="shared" si="9"/>
        <v>0</v>
      </c>
      <c r="U32" s="27">
        <f>COUNTIFS([4]InfCualitativo!$B$1:$B$6973,"VERDADERO",[4]InfCualitativo!$E$1:$E$6973,"Pontezuela",[4]InfCualitativo!$H$1:$H$6973,"rx")</f>
        <v>0</v>
      </c>
      <c r="V32" s="27">
        <f>COUNTIFS([4]InfCualitativo!$B$1:$B$6973,"FALSO",[4]InfCualitativo!$E$1:$E$6973,"Pontezuela",[4]InfCualitativo!$H$1:$H$6973,"rx")</f>
        <v>0</v>
      </c>
      <c r="W32" s="30">
        <f t="shared" si="10"/>
        <v>0</v>
      </c>
      <c r="X32" s="30">
        <f t="shared" si="11"/>
        <v>0</v>
      </c>
      <c r="Y32" s="27">
        <f>COUNTIFS([4]InfCualitativo!$B$1:$B$6973,"VERDADERO",[4]InfCualitativo!$E$1:$E$6973,"Pontezuela",[4]InfCualitativo!$H$1:$H$6973,"ecografias")</f>
        <v>0</v>
      </c>
      <c r="Z32" s="27">
        <f>COUNTIFS([4]InfCualitativo!$B$1:$B$6973,"FALSO",[4]InfCualitativo!$E$1:$E$6973,"Pontezuela",[4]InfCualitativo!$H$1:$H$6973,"ecografias")</f>
        <v>0</v>
      </c>
      <c r="AA32" s="30">
        <f t="shared" si="12"/>
        <v>0</v>
      </c>
      <c r="AB32" s="30">
        <f t="shared" si="13"/>
        <v>0</v>
      </c>
      <c r="AC32" s="27">
        <f>COUNTIFS([4]InfCualitativo!$B$1:$B$6973,"VERDADERO",[4]InfCualitativo!$E$1:$E$6973,"Pontezuela",[4]InfCualitativo!$H$1:$H$6973,"urgencia")</f>
        <v>0</v>
      </c>
      <c r="AD32" s="27">
        <f>COUNTIFS([4]InfCualitativo!$B$1:$B$6973,"FALSO",[4]InfCualitativo!$E$1:$E$6973,"Pontezuela",[4]InfCualitativo!$H$1:$H$6973,"urgencia")</f>
        <v>0</v>
      </c>
      <c r="AE32" s="30">
        <f t="shared" si="14"/>
        <v>0</v>
      </c>
      <c r="AF32" s="30">
        <f t="shared" si="15"/>
        <v>0</v>
      </c>
      <c r="AG32" s="27">
        <f>COUNTIFS([4]InfCualitativo!$B$1:$B$6973,"VERDADERO",[4]InfCualitativo!$E$1:$E$6973,"Pontezuela",[4]InfCualitativo!$H$1:$H$6973,"pediatria")</f>
        <v>0</v>
      </c>
      <c r="AH32" s="27">
        <f>COUNTIFS([4]InfCualitativo!$B$1:$B$6973,"FALSO",[4]InfCualitativo!$E$1:$E$6973,"Pontezuela",[4]InfCualitativo!$H$1:$H$6973,"pediatria")</f>
        <v>0</v>
      </c>
      <c r="AI32" s="30">
        <f t="shared" si="16"/>
        <v>0</v>
      </c>
      <c r="AJ32" s="30">
        <f t="shared" si="17"/>
        <v>0</v>
      </c>
      <c r="AK32" s="27">
        <f>COUNTIFS([4]InfCualitativo!$B$1:$B$6973,"VERDADERO",[4]InfCualitativo!$E$1:$E$6973,"Pontezuela",[4]InfCualitativo!$H$1:$H$6973,"medicina_interna")</f>
        <v>0</v>
      </c>
      <c r="AL32" s="27">
        <f>COUNTIFS([4]InfCualitativo!$B$1:$B$6973,"FALSO",[4]InfCualitativo!$E$1:$E$6973,"Pontezuela",[4]InfCualitativo!$H$1:$H$6973,"medicina_interna")</f>
        <v>0</v>
      </c>
      <c r="AM32" s="30">
        <f t="shared" si="18"/>
        <v>0</v>
      </c>
      <c r="AN32" s="30">
        <f t="shared" si="19"/>
        <v>0</v>
      </c>
      <c r="AO32" s="27">
        <f>COUNTIFS([4]InfCualitativo!$B$1:$B$6973,"VERDADERO",[4]InfCualitativo!$E$1:$E$6973,"Pontezuela",[4]InfCualitativo!$H$1:$H$6973,"ginecologia")</f>
        <v>0</v>
      </c>
      <c r="AP32" s="27">
        <f>COUNTIFS([4]InfCualitativo!$B$1:$B$6973,"FALSO",[4]InfCualitativo!$E$1:$E$6973,"Pontezuela",[4]InfCualitativo!$H$1:$H$6973,"ginecologia")</f>
        <v>0</v>
      </c>
      <c r="AQ32" s="30">
        <f t="shared" si="20"/>
        <v>0</v>
      </c>
      <c r="AR32" s="30">
        <f t="shared" si="21"/>
        <v>0</v>
      </c>
      <c r="AS32" s="27">
        <f t="shared" si="22"/>
        <v>76</v>
      </c>
      <c r="AT32" s="27">
        <f t="shared" si="22"/>
        <v>0</v>
      </c>
      <c r="AU32" s="32">
        <f t="shared" si="23"/>
        <v>1</v>
      </c>
      <c r="AV32" s="32">
        <f t="shared" si="24"/>
        <v>0</v>
      </c>
    </row>
    <row r="33" spans="1:48" ht="18.75" x14ac:dyDescent="0.3">
      <c r="A33" s="26" t="s">
        <v>53</v>
      </c>
      <c r="B33" s="27">
        <v>312</v>
      </c>
      <c r="C33" s="27">
        <f t="shared" si="1"/>
        <v>291</v>
      </c>
      <c r="D33" s="28">
        <f t="shared" si="0"/>
        <v>93.269230769230774</v>
      </c>
      <c r="E33" s="29">
        <f>COUNTIFS([4]InfCualitativo!$B$1:$B$6973,"VERDADERO",[4]InfCualitativo!$E$1:$E$6973,"Hospital Pozon",[4]InfCualitativo!$H$1:$H$6973,"consulta_externa")</f>
        <v>46</v>
      </c>
      <c r="F33" s="29">
        <f>COUNTIFS([4]InfCualitativo!$B$1:$B$6973,"FALSO",[4]InfCualitativo!$E$1:$E$6973,"Hospital Pozon",[4]InfCualitativo!$H$1:$H$6973,"consulta_externa")</f>
        <v>2</v>
      </c>
      <c r="G33" s="30">
        <f t="shared" si="2"/>
        <v>0.95833333333333337</v>
      </c>
      <c r="H33" s="30">
        <f t="shared" si="3"/>
        <v>4.1666666666666664E-2</v>
      </c>
      <c r="I33" s="27">
        <f>COUNTIFS([4]InfCualitativo!$B$1:$B$6973,"VERDADERO",[4]InfCualitativo!$E$1:$E$6973,"Hospital Pozon",[4]InfCualitativo!$H$1:$H$6973,"salud_oral")</f>
        <v>39</v>
      </c>
      <c r="J33" s="27">
        <f>COUNTIFS([4]InfCualitativo!$B$1:$B$6973,"FALSO",[4]InfCualitativo!$E$1:$E$6973,"Hospital Pozon",[4]InfCualitativo!$H$1:$H$6973,"salud_oral")</f>
        <v>8</v>
      </c>
      <c r="K33" s="30">
        <f t="shared" si="4"/>
        <v>0.82978723404255317</v>
      </c>
      <c r="L33" s="30">
        <f t="shared" si="5"/>
        <v>0.1702127659574468</v>
      </c>
      <c r="M33" s="27">
        <f>COUNTIFS([4]InfCualitativo!$B$1:$B$6973,"VERDADERO",[4]InfCualitativo!$E$1:$E$6973,"Hospital Pozon",[4]InfCualitativo!$H$1:$H$6973,"laboratorio")</f>
        <v>37</v>
      </c>
      <c r="N33" s="27">
        <f>COUNTIFS([4]InfCualitativo!$B$1:$B$6973,"FALSO",[4]InfCualitativo!$E$1:$E$6973,"Hospital Pozon",[4]InfCualitativo!$H$1:$H$6973,"laboratorio")</f>
        <v>4</v>
      </c>
      <c r="O33" s="30">
        <f t="shared" si="6"/>
        <v>0.90243902439024393</v>
      </c>
      <c r="P33" s="31">
        <f t="shared" si="7"/>
        <v>9.7560975609756101E-2</v>
      </c>
      <c r="Q33" s="27">
        <f>COUNTIFS([4]InfCualitativo!$B$1:$B$6973,"VERDADERO",[4]InfCualitativo!$E$1:$E$6973,"Hospital Pozon",[4]InfCualitativo!$H$1:$H$6973,"electros")</f>
        <v>0</v>
      </c>
      <c r="R33" s="27">
        <f>COUNTIFS([4]InfCualitativo!$B$1:$B$6973,"FALSO",[4]InfCualitativo!$E$1:$E$6973,"Hospital Pozon",[4]InfCualitativo!$H$1:$H$6973,"electros")</f>
        <v>0</v>
      </c>
      <c r="S33" s="30">
        <f t="shared" si="8"/>
        <v>0</v>
      </c>
      <c r="T33" s="30">
        <f t="shared" si="9"/>
        <v>0</v>
      </c>
      <c r="U33" s="27">
        <f>COUNTIFS([4]InfCualitativo!$B$1:$B$6973,"VERDADERO",[4]InfCualitativo!$E$1:$E$6973,"Hospital Pozon",[4]InfCualitativo!$H$1:$H$6973,"rx")</f>
        <v>44</v>
      </c>
      <c r="V33" s="27">
        <f>COUNTIFS([4]InfCualitativo!$B$1:$B$6973,"FALSO",[4]InfCualitativo!$E$1:$E$6973,"Hospital Pozon",[4]InfCualitativo!$H$1:$H$6973,"rx")</f>
        <v>1</v>
      </c>
      <c r="W33" s="30">
        <f t="shared" si="10"/>
        <v>0.97777777777777775</v>
      </c>
      <c r="X33" s="30">
        <f t="shared" si="11"/>
        <v>2.2222222222222223E-2</v>
      </c>
      <c r="Y33" s="27">
        <f>COUNTIFS([4]InfCualitativo!$B$1:$B$6973,"VERDADERO",[4]InfCualitativo!$E$1:$E$6973,"Hospital Pozon",[4]InfCualitativo!$H$1:$H$6973,"ecografias")</f>
        <v>3</v>
      </c>
      <c r="Z33" s="27">
        <f>COUNTIFS([4]InfCualitativo!$B$1:$B$6973,"FALSO",[4]InfCualitativo!$E$1:$E$6973,"Hospital Pozon",[4]InfCualitativo!$H$1:$H$6973,"ecografias")</f>
        <v>0</v>
      </c>
      <c r="AA33" s="30">
        <f t="shared" si="12"/>
        <v>1</v>
      </c>
      <c r="AB33" s="30">
        <f t="shared" si="13"/>
        <v>0</v>
      </c>
      <c r="AC33" s="27">
        <f>COUNTIFS([4]InfCualitativo!$B$1:$B$6973,"VERDADERO",[4]InfCualitativo!$E$1:$E$6973,"Hospital Pozon",[4]InfCualitativo!$H$1:$H$6973,"urgencia")</f>
        <v>31</v>
      </c>
      <c r="AD33" s="27">
        <f>COUNTIFS([4]InfCualitativo!$B$1:$B$6973,"FALSO",[4]InfCualitativo!$E$1:$E$6973,"Hospital Pozon",[4]InfCualitativo!$H$1:$H$6973,"urgencia")</f>
        <v>12</v>
      </c>
      <c r="AE33" s="30">
        <f t="shared" si="14"/>
        <v>0.72093023255813948</v>
      </c>
      <c r="AF33" s="30">
        <f t="shared" si="15"/>
        <v>0.27906976744186046</v>
      </c>
      <c r="AG33" s="27">
        <f>COUNTIFS([4]InfCualitativo!$B$1:$B$6973,"VERDADERO",[4]InfCualitativo!$E$1:$E$6973,"Hospital Pozon",[4]InfCualitativo!$H$1:$H$6973,"pediatria")</f>
        <v>24</v>
      </c>
      <c r="AH33" s="27">
        <f>COUNTIFS([4]InfCualitativo!$B$1:$B$6973,"FALSO",[4]InfCualitativo!$E$1:$E$6973,"Hospital Pozon",[4]InfCualitativo!$H$1:$H$6973,"pediatria")</f>
        <v>2</v>
      </c>
      <c r="AI33" s="30">
        <f t="shared" si="16"/>
        <v>0.92307692307692313</v>
      </c>
      <c r="AJ33" s="30">
        <f t="shared" si="17"/>
        <v>7.6923076923076927E-2</v>
      </c>
      <c r="AK33" s="27">
        <f>COUNTIFS([4]InfCualitativo!$B$1:$B$6973,"VERDADERO",[4]InfCualitativo!$E$1:$E$6973,"Hospital Pozon",[4]InfCualitativo!$H$1:$H$6973,"medicina_interna")</f>
        <v>10</v>
      </c>
      <c r="AL33" s="27">
        <f>COUNTIFS([4]InfCualitativo!$B$1:$B$6973,"FALSO",[4]InfCualitativo!$E$1:$E$6973,"Hospital Pozon",[4]InfCualitativo!$H$1:$H$6973,"medicina_interna")</f>
        <v>1</v>
      </c>
      <c r="AM33" s="30">
        <f t="shared" si="18"/>
        <v>0.90909090909090906</v>
      </c>
      <c r="AN33" s="30">
        <f t="shared" si="19"/>
        <v>9.0909090909090912E-2</v>
      </c>
      <c r="AO33" s="27">
        <f>COUNTIFS([4]InfCualitativo!$B$1:$B$6973,"VERDADERO",[4]InfCualitativo!$E$1:$E$6973,"Hospital Pozon",[4]InfCualitativo!$H$1:$H$6973,"ginecologia")</f>
        <v>27</v>
      </c>
      <c r="AP33" s="27">
        <f>COUNTIFS([4]InfCualitativo!$B$1:$B$6973,"FALSO",[4]InfCualitativo!$E$1:$E$6973,"Hospital Pozon",[4]InfCualitativo!$H$1:$H$6973,"ginecologia")</f>
        <v>0</v>
      </c>
      <c r="AQ33" s="30">
        <f t="shared" si="20"/>
        <v>1</v>
      </c>
      <c r="AR33" s="30">
        <f t="shared" si="21"/>
        <v>0</v>
      </c>
      <c r="AS33" s="27">
        <f t="shared" ref="AS33" si="25">SUM(E33+I33+M33+Q33+U33+Y33+AC33+AG33+AK33+AO33)</f>
        <v>261</v>
      </c>
      <c r="AT33" s="27">
        <f t="shared" si="22"/>
        <v>30</v>
      </c>
      <c r="AU33" s="32">
        <f t="shared" si="23"/>
        <v>0.89690721649484539</v>
      </c>
      <c r="AV33" s="32">
        <f t="shared" si="24"/>
        <v>0.10309278350515463</v>
      </c>
    </row>
    <row r="34" spans="1:48" ht="18.75" x14ac:dyDescent="0.3">
      <c r="A34" s="26" t="s">
        <v>54</v>
      </c>
      <c r="B34" s="27">
        <v>140</v>
      </c>
      <c r="C34" s="27">
        <f t="shared" si="1"/>
        <v>122</v>
      </c>
      <c r="D34" s="28">
        <f t="shared" si="0"/>
        <v>87.142857142857139</v>
      </c>
      <c r="E34" s="29">
        <f>COUNTIFS([4]InfCualitativo!$B$1:$B$6973,"VERDADERO",[4]InfCualitativo!$E$1:$E$6973,"Pozon",[4]InfCualitativo!$H$1:$H$6973,"consulta_externa")</f>
        <v>41</v>
      </c>
      <c r="F34" s="29">
        <f>COUNTIFS([4]InfCualitativo!$B$1:$B$6973,"FALSO",[4]InfCualitativo!$E$1:$E$6973,"Pozon",[4]InfCualitativo!$H$1:$H$6973,"consulta_externa")</f>
        <v>3</v>
      </c>
      <c r="G34" s="30">
        <f t="shared" si="2"/>
        <v>0.93181818181818177</v>
      </c>
      <c r="H34" s="30">
        <f t="shared" si="3"/>
        <v>6.8181818181818177E-2</v>
      </c>
      <c r="I34" s="27">
        <f>COUNTIFS([4]InfCualitativo!$B$1:$B$6973,"VERDADERO",[4]InfCualitativo!$E$1:$E$6973,"Pozon",[4]InfCualitativo!$H$1:$H$6973,"salud_oral")</f>
        <v>32</v>
      </c>
      <c r="J34" s="27">
        <f>COUNTIFS([4]InfCualitativo!$B$1:$B$6973,"FALSO",[4]InfCualitativo!$E$1:$E$6973,"Pozon",[4]InfCualitativo!$H$1:$H$6973,"salud_oral")</f>
        <v>2</v>
      </c>
      <c r="K34" s="30">
        <f t="shared" si="4"/>
        <v>0.94117647058823528</v>
      </c>
      <c r="L34" s="30">
        <f t="shared" si="5"/>
        <v>5.8823529411764705E-2</v>
      </c>
      <c r="M34" s="27">
        <f>COUNTIFS([4]InfCualitativo!$B$1:$B$6973,"VERDADERO",[4]InfCualitativo!$E$1:$E$6973,"Pozon",[4]InfCualitativo!$H$1:$H$6973,"laboratorio")</f>
        <v>35</v>
      </c>
      <c r="N34" s="27">
        <f>COUNTIFS([4]InfCualitativo!$B$1:$B$6973,"FALSO",[4]InfCualitativo!$E$1:$E$6973,"Pozon",[4]InfCualitativo!$H$1:$H$6973,"laboratorio")</f>
        <v>8</v>
      </c>
      <c r="O34" s="30">
        <f t="shared" si="6"/>
        <v>0.81395348837209303</v>
      </c>
      <c r="P34" s="31">
        <f t="shared" si="7"/>
        <v>0.18604651162790697</v>
      </c>
      <c r="Q34" s="27">
        <f>COUNTIFS([4]InfCualitativo!$B$1:$B$6973,"VERDADERO",[4]InfCualitativo!$E$1:$E$6973,"Pozon",[4]InfCualitativo!$H$1:$H$6973,"electros")</f>
        <v>0</v>
      </c>
      <c r="R34" s="27">
        <f>COUNTIFS([4]InfCualitativo!$B$1:$B$6973,"FALSO",[4]InfCualitativo!$E$1:$E$6973,"Pozon",[4]InfCualitativo!$H$1:$H$6973,"electros")</f>
        <v>0</v>
      </c>
      <c r="S34" s="30">
        <f t="shared" si="8"/>
        <v>0</v>
      </c>
      <c r="T34" s="30">
        <f t="shared" si="9"/>
        <v>0</v>
      </c>
      <c r="U34" s="27">
        <f>COUNTIFS([4]InfCualitativo!$B$1:$B$6973,"VERDADERO",[4]InfCualitativo!$E$1:$E$6973,"Pozon",[4]InfCualitativo!$H$1:$H$6973,"rx")</f>
        <v>1</v>
      </c>
      <c r="V34" s="27">
        <f>COUNTIFS([4]InfCualitativo!$B$1:$B$6973,"FALSO",[4]InfCualitativo!$E$1:$E$6973,"Pozon",[4]InfCualitativo!$H$1:$H$6973,"rx")</f>
        <v>0</v>
      </c>
      <c r="W34" s="30">
        <f t="shared" si="10"/>
        <v>1</v>
      </c>
      <c r="X34" s="30">
        <f t="shared" si="11"/>
        <v>0</v>
      </c>
      <c r="Y34" s="27">
        <f>COUNTIFS([4]InfCualitativo!$B$1:$B$6973,"VERDADERO",[4]InfCualitativo!$E$1:$E$6973,"Pozon",[4]InfCualitativo!$H$1:$H$6973,"ecografias")</f>
        <v>0</v>
      </c>
      <c r="Z34" s="27">
        <f>COUNTIFS([4]InfCualitativo!$B$1:$B$6973,"FALSO",[4]InfCualitativo!$E$1:$E$6973,"Pozon",[4]InfCualitativo!$H$1:$H$6973,"ecografias")</f>
        <v>0</v>
      </c>
      <c r="AA34" s="30">
        <f t="shared" si="12"/>
        <v>0</v>
      </c>
      <c r="AB34" s="30">
        <f t="shared" si="13"/>
        <v>0</v>
      </c>
      <c r="AC34" s="27">
        <f>COUNTIFS([4]InfCualitativo!$B$1:$B$6973,"VERDADERO",[4]InfCualitativo!$E$1:$E$6973,"Pozon",[4]InfCualitativo!$H$1:$H$6973,"urgencia")</f>
        <v>0</v>
      </c>
      <c r="AD34" s="27">
        <f>COUNTIFS([4]InfCualitativo!$B$1:$B$6973,"FALSO",[4]InfCualitativo!$E$1:$E$6973,"Pozon",[4]InfCualitativo!$H$1:$H$6973,"urgencia")</f>
        <v>0</v>
      </c>
      <c r="AE34" s="30">
        <f t="shared" si="14"/>
        <v>0</v>
      </c>
      <c r="AF34" s="30">
        <f t="shared" si="15"/>
        <v>0</v>
      </c>
      <c r="AG34" s="27">
        <f>COUNTIFS([4]InfCualitativo!$B$1:$B$6973,"VERDADERO",[4]InfCualitativo!$E$1:$E$6973,"Pozon",[4]InfCualitativo!$H$1:$H$6973,"pediatria")</f>
        <v>0</v>
      </c>
      <c r="AH34" s="27">
        <f>COUNTIFS([4]InfCualitativo!$B$1:$B$6973,"FALSO",[4]InfCualitativo!$E$1:$E$6973,"Pozon",[4]InfCualitativo!$H$1:$H$6973,"pediatria")</f>
        <v>0</v>
      </c>
      <c r="AI34" s="30">
        <f t="shared" si="16"/>
        <v>0</v>
      </c>
      <c r="AJ34" s="30">
        <f t="shared" si="17"/>
        <v>0</v>
      </c>
      <c r="AK34" s="27">
        <f>COUNTIFS([4]InfCualitativo!$B$1:$B$6973,"VERDADERO",[4]InfCualitativo!$E$1:$E$6973,"Pozon",[4]InfCualitativo!$H$1:$H$6973,"medicina_interna")</f>
        <v>0</v>
      </c>
      <c r="AL34" s="27">
        <f>COUNTIFS([4]InfCualitativo!$B$1:$B$6973,"FALSO",[4]InfCualitativo!$E$1:$E$6973,"Pozon",[4]InfCualitativo!$H$1:$H$6973,"medicina_interna")</f>
        <v>0</v>
      </c>
      <c r="AM34" s="30">
        <f t="shared" si="18"/>
        <v>0</v>
      </c>
      <c r="AN34" s="30">
        <f t="shared" si="19"/>
        <v>0</v>
      </c>
      <c r="AO34" s="27">
        <f>COUNTIFS([4]InfCualitativo!$B$1:$B$6973,"VERDADERO",[4]InfCualitativo!$E$1:$E$6973,"Pozon",[4]InfCualitativo!$H$1:$H$6973,"ginecologia")</f>
        <v>0</v>
      </c>
      <c r="AP34" s="27">
        <f>COUNTIFS([4]InfCualitativo!$B$1:$B$6973,"FALSO",[4]InfCualitativo!$E$1:$E$6973,"Pozon",[4]InfCualitativo!$H$1:$H$6973,"ginecologia")</f>
        <v>0</v>
      </c>
      <c r="AQ34" s="30">
        <f t="shared" si="20"/>
        <v>0</v>
      </c>
      <c r="AR34" s="30">
        <f t="shared" si="21"/>
        <v>0</v>
      </c>
      <c r="AS34" s="27">
        <f t="shared" si="22"/>
        <v>109</v>
      </c>
      <c r="AT34" s="27">
        <f t="shared" si="22"/>
        <v>13</v>
      </c>
      <c r="AU34" s="32">
        <f t="shared" si="23"/>
        <v>0.89344262295081966</v>
      </c>
      <c r="AV34" s="32">
        <f t="shared" si="24"/>
        <v>0.10655737704918032</v>
      </c>
    </row>
    <row r="35" spans="1:48" ht="18.75" x14ac:dyDescent="0.3">
      <c r="A35" s="26" t="s">
        <v>55</v>
      </c>
      <c r="B35" s="27">
        <v>91</v>
      </c>
      <c r="C35" s="27">
        <f t="shared" si="1"/>
        <v>91</v>
      </c>
      <c r="D35" s="28">
        <f t="shared" si="0"/>
        <v>100</v>
      </c>
      <c r="E35" s="29">
        <f>COUNTIFS([4]InfCualitativo!$B$1:$B$6973,"VERDADERO",[4]InfCualitativo!$E$1:$E$6973,"Puerto Rey",[4]InfCualitativo!$H$1:$H$6973,"consulta_externa")</f>
        <v>31</v>
      </c>
      <c r="F35" s="29">
        <f>COUNTIFS([4]InfCualitativo!$B$1:$B$6973,"FALSO",[4]InfCualitativo!$E$1:$E$6973,"Puerto Rey",[4]InfCualitativo!$H$1:$H$6973,"consulta_externa")</f>
        <v>0</v>
      </c>
      <c r="G35" s="30">
        <f t="shared" si="2"/>
        <v>1</v>
      </c>
      <c r="H35" s="30">
        <f t="shared" si="3"/>
        <v>0</v>
      </c>
      <c r="I35" s="27">
        <f>COUNTIFS([4]InfCualitativo!$B$1:$B$6973,"VERDADERO",[4]InfCualitativo!$E$1:$E$6973,"Puerto Rey",[4]InfCualitativo!$H$1:$H$6973,"salud_oral")</f>
        <v>29</v>
      </c>
      <c r="J35" s="27">
        <f>COUNTIFS([4]InfCualitativo!$B$1:$B$6973,"FALSO",[4]InfCualitativo!$E$1:$E$6973,"Puerto Rey",[4]InfCualitativo!$H$1:$H$6973,"salud_oral")</f>
        <v>0</v>
      </c>
      <c r="K35" s="30">
        <f t="shared" si="4"/>
        <v>1</v>
      </c>
      <c r="L35" s="30">
        <f t="shared" si="5"/>
        <v>0</v>
      </c>
      <c r="M35" s="27">
        <f>COUNTIFS([4]InfCualitativo!$B$1:$B$6973,"VERDADERO",[4]InfCualitativo!$E$1:$E$6973,"Puerto Rey",[4]InfCualitativo!$H$1:$H$6973,"laboratorio")</f>
        <v>31</v>
      </c>
      <c r="N35" s="27">
        <f>COUNTIFS([4]InfCualitativo!$B$1:$B$6973,"FALSO",[4]InfCualitativo!$E$1:$E$6973,"Puerto Rey",[4]InfCualitativo!$H$1:$H$6973,"laboratorio")</f>
        <v>0</v>
      </c>
      <c r="O35" s="30">
        <f t="shared" si="6"/>
        <v>1</v>
      </c>
      <c r="P35" s="31">
        <f t="shared" si="7"/>
        <v>0</v>
      </c>
      <c r="Q35" s="27">
        <f>COUNTIFS([4]InfCualitativo!$B$1:$B$6973,"VERDADERO",[4]InfCualitativo!$E$1:$E$6973,"Puerto Rey",[4]InfCualitativo!$H$1:$H$6973,"electros")</f>
        <v>0</v>
      </c>
      <c r="R35" s="27">
        <f>COUNTIFS([4]InfCualitativo!$B$1:$B$6973,"FALSO",[4]InfCualitativo!$E$1:$E$6973,"Puerto Rey",[4]InfCualitativo!$H$1:$H$6973,"electros")</f>
        <v>0</v>
      </c>
      <c r="S35" s="30">
        <f t="shared" si="8"/>
        <v>0</v>
      </c>
      <c r="T35" s="30">
        <f t="shared" si="9"/>
        <v>0</v>
      </c>
      <c r="U35" s="27">
        <f>COUNTIFS([4]InfCualitativo!$B$1:$B$6973,"VERDADERO",[4]InfCualitativo!$E$1:$E$6973,"Puerto Rey",[4]InfCualitativo!$H$1:$H$6973,"rx")</f>
        <v>0</v>
      </c>
      <c r="V35" s="27">
        <f>COUNTIFS([4]InfCualitativo!$B$1:$B$6973,"FALSO",[4]InfCualitativo!$E$1:$E$6973,"Puerto Rey",[4]InfCualitativo!$H$1:$H$6973,"rx")</f>
        <v>0</v>
      </c>
      <c r="W35" s="30">
        <f t="shared" si="10"/>
        <v>0</v>
      </c>
      <c r="X35" s="30">
        <f t="shared" si="11"/>
        <v>0</v>
      </c>
      <c r="Y35" s="27">
        <f>COUNTIFS([4]InfCualitativo!$B$1:$B$6973,"VERDADERO",[4]InfCualitativo!$E$1:$E$6973,"Puerto Rey",[4]InfCualitativo!$H$1:$H$6973,"ecografias")</f>
        <v>0</v>
      </c>
      <c r="Z35" s="27">
        <f>COUNTIFS([4]InfCualitativo!$B$1:$B$6973,"FALSO",[4]InfCualitativo!$E$1:$E$6973,"Puerto Rey",[4]InfCualitativo!$H$1:$H$6973,"ecografias")</f>
        <v>0</v>
      </c>
      <c r="AA35" s="30">
        <f t="shared" si="12"/>
        <v>0</v>
      </c>
      <c r="AB35" s="30">
        <f t="shared" si="13"/>
        <v>0</v>
      </c>
      <c r="AC35" s="27">
        <f>COUNTIFS([4]InfCualitativo!$B$1:$B$6973,"VERDADERO",[4]InfCualitativo!$E$1:$E$6973,"Puerto Rey",[4]InfCualitativo!$H$1:$H$6973,"urgencia")</f>
        <v>0</v>
      </c>
      <c r="AD35" s="27">
        <f>COUNTIFS([4]InfCualitativo!$B$1:$B$6973,"FALSO",[4]InfCualitativo!$E$1:$E$6973,"Puerto Rey",[4]InfCualitativo!$H$1:$H$6973,"urgencia")</f>
        <v>0</v>
      </c>
      <c r="AE35" s="30">
        <f t="shared" si="14"/>
        <v>0</v>
      </c>
      <c r="AF35" s="30">
        <f t="shared" si="15"/>
        <v>0</v>
      </c>
      <c r="AG35" s="27">
        <f>COUNTIFS([4]InfCualitativo!$B$1:$B$6973,"VERDADERO",[4]InfCualitativo!$E$1:$E$6973,"Puerto Rey",[4]InfCualitativo!$H$1:$H$6973,"pediatria")</f>
        <v>0</v>
      </c>
      <c r="AH35" s="27">
        <f>COUNTIFS([4]InfCualitativo!$B$1:$B$6973,"FALSO",[4]InfCualitativo!$E$1:$E$6973,"Puerto Rey",[4]InfCualitativo!$H$1:$H$6973,"pediatria")</f>
        <v>0</v>
      </c>
      <c r="AI35" s="30">
        <f t="shared" si="16"/>
        <v>0</v>
      </c>
      <c r="AJ35" s="30">
        <f t="shared" si="17"/>
        <v>0</v>
      </c>
      <c r="AK35" s="27">
        <f>COUNTIFS([4]InfCualitativo!$B$1:$B$6973,"VERDADERO",[4]InfCualitativo!$E$1:$E$6973,"Puerto Rey",[4]InfCualitativo!$H$1:$H$6973,"medicina_interna")</f>
        <v>0</v>
      </c>
      <c r="AL35" s="27">
        <f>COUNTIFS([4]InfCualitativo!$B$1:$B$6973,"FALSO",[4]InfCualitativo!$E$1:$E$6973,"Puerto Rey",[4]InfCualitativo!$H$1:$H$6973,"medicina_interna")</f>
        <v>0</v>
      </c>
      <c r="AM35" s="30">
        <f t="shared" si="18"/>
        <v>0</v>
      </c>
      <c r="AN35" s="30">
        <f t="shared" si="19"/>
        <v>0</v>
      </c>
      <c r="AO35" s="27">
        <f>COUNTIFS([4]InfCualitativo!$B$1:$B$6973,"VERDADERO",[4]InfCualitativo!$E$1:$E$6973,"Puerto Rey",[4]InfCualitativo!$H$1:$H$6973,"ginecologia")</f>
        <v>0</v>
      </c>
      <c r="AP35" s="27">
        <f>COUNTIFS([4]InfCualitativo!$B$1:$B$6973,"FALSO",[4]InfCualitativo!$E$1:$E$6973,"Puerto Rey",[4]InfCualitativo!$H$1:$H$6973,"ginecologia")</f>
        <v>0</v>
      </c>
      <c r="AQ35" s="30">
        <f t="shared" si="20"/>
        <v>0</v>
      </c>
      <c r="AR35" s="30">
        <f t="shared" si="21"/>
        <v>0</v>
      </c>
      <c r="AS35" s="27">
        <f t="shared" si="22"/>
        <v>91</v>
      </c>
      <c r="AT35" s="27">
        <f t="shared" si="22"/>
        <v>0</v>
      </c>
      <c r="AU35" s="32">
        <f t="shared" si="23"/>
        <v>1</v>
      </c>
      <c r="AV35" s="32">
        <f t="shared" si="24"/>
        <v>0</v>
      </c>
    </row>
    <row r="36" spans="1:48" ht="18.75" x14ac:dyDescent="0.3">
      <c r="A36" s="26" t="s">
        <v>56</v>
      </c>
      <c r="B36" s="27">
        <v>85</v>
      </c>
      <c r="C36" s="27">
        <f t="shared" si="1"/>
        <v>85</v>
      </c>
      <c r="D36" s="28">
        <f t="shared" si="0"/>
        <v>100</v>
      </c>
      <c r="E36" s="29">
        <f>COUNTIFS([4]InfCualitativo!$B$1:$B$6973,"VERDADERO",[4]InfCualitativo!$E$1:$E$6973,"Punta Arena",[4]InfCualitativo!$H$1:$H$6973,"consulta_externa")</f>
        <v>47</v>
      </c>
      <c r="F36" s="29">
        <f>COUNTIFS([4]InfCualitativo!$B$1:$B$6973,"FALSO",[4]InfCualitativo!$E$1:$E$6973,"Punta Arena",[4]InfCualitativo!$H$1:$H$6973,"consulta_externa")</f>
        <v>0</v>
      </c>
      <c r="G36" s="30">
        <f t="shared" si="2"/>
        <v>1</v>
      </c>
      <c r="H36" s="30">
        <f t="shared" si="3"/>
        <v>0</v>
      </c>
      <c r="I36" s="27">
        <f>COUNTIFS([4]InfCualitativo!$B$1:$B$6973,"VERDADERO",[4]InfCualitativo!$E$1:$E$6973,"Punta Arena",[4]InfCualitativo!$H$1:$H$6973,"salud_oral")</f>
        <v>18</v>
      </c>
      <c r="J36" s="27">
        <f>COUNTIFS([4]InfCualitativo!$B$1:$B$6973,"FALSO",[4]InfCualitativo!$E$1:$E$6973,"Punta Arena",[4]InfCualitativo!$H$1:$H$6973,"salud_oral")</f>
        <v>0</v>
      </c>
      <c r="K36" s="30">
        <f t="shared" si="4"/>
        <v>1</v>
      </c>
      <c r="L36" s="30">
        <f t="shared" si="5"/>
        <v>0</v>
      </c>
      <c r="M36" s="27">
        <f>COUNTIFS([4]InfCualitativo!$B$1:$B$6973,"VERDADERO",[4]InfCualitativo!$E$1:$E$6973,"Punta Arena",[4]InfCualitativo!$H$1:$H$6973,"laboratorio")</f>
        <v>20</v>
      </c>
      <c r="N36" s="27">
        <f>COUNTIFS([4]InfCualitativo!$B$1:$B$6973,"FALSO",[4]InfCualitativo!$E$1:$E$6973,"Punta Arena",[4]InfCualitativo!$H$1:$H$6973,"laboratorio")</f>
        <v>0</v>
      </c>
      <c r="O36" s="30">
        <f t="shared" si="6"/>
        <v>1</v>
      </c>
      <c r="P36" s="31">
        <f t="shared" si="7"/>
        <v>0</v>
      </c>
      <c r="Q36" s="27">
        <f>COUNTIFS([4]InfCualitativo!$B$1:$B$6973,"VERDADERO",[4]InfCualitativo!$E$1:$E$6973,"Punta Arena",[4]InfCualitativo!$H$1:$H$6973,"electros")</f>
        <v>0</v>
      </c>
      <c r="R36" s="27">
        <f>COUNTIFS([4]InfCualitativo!$B$1:$B$6973,"FALSO",[4]InfCualitativo!$E$1:$E$6973,"Punta Arena",[4]InfCualitativo!$H$1:$H$6973,"electros")</f>
        <v>0</v>
      </c>
      <c r="S36" s="30">
        <f t="shared" si="8"/>
        <v>0</v>
      </c>
      <c r="T36" s="30">
        <f t="shared" si="9"/>
        <v>0</v>
      </c>
      <c r="U36" s="27">
        <f>COUNTIFS([4]InfCualitativo!$B$1:$B$6973,"VERDADERO",[4]InfCualitativo!$E$1:$E$6973,"Punta Arena",[4]InfCualitativo!$H$1:$H$6973,"rx")</f>
        <v>0</v>
      </c>
      <c r="V36" s="27">
        <f>COUNTIFS([4]InfCualitativo!$B$1:$B$6973,"FALSO",[4]InfCualitativo!$E$1:$E$6973,"Punta Arena",[4]InfCualitativo!$H$1:$H$6973,"rx")</f>
        <v>0</v>
      </c>
      <c r="W36" s="30">
        <f t="shared" si="10"/>
        <v>0</v>
      </c>
      <c r="X36" s="30">
        <f t="shared" si="11"/>
        <v>0</v>
      </c>
      <c r="Y36" s="27">
        <f>COUNTIFS([4]InfCualitativo!$B$1:$B$6973,"VERDADERO",[4]InfCualitativo!$E$1:$E$6973,"Punta Arena",[4]InfCualitativo!$H$1:$H$6973,"ecografias")</f>
        <v>0</v>
      </c>
      <c r="Z36" s="27">
        <f>COUNTIFS([4]InfCualitativo!$B$1:$B$6973,"FALSO",[4]InfCualitativo!$E$1:$E$6973,"Punta Arena",[4]InfCualitativo!$H$1:$H$6973,"ecografias")</f>
        <v>0</v>
      </c>
      <c r="AA36" s="30">
        <f t="shared" si="12"/>
        <v>0</v>
      </c>
      <c r="AB36" s="30">
        <f t="shared" si="13"/>
        <v>0</v>
      </c>
      <c r="AC36" s="27">
        <f>COUNTIFS([4]InfCualitativo!$B$1:$B$6973,"VERDADERO",[4]InfCualitativo!$E$1:$E$6973,"Punta Arena",[4]InfCualitativo!$H$1:$H$6973,"urgencia")</f>
        <v>0</v>
      </c>
      <c r="AD36" s="27">
        <f>COUNTIFS([4]InfCualitativo!$B$1:$B$6973,"FALSO",[4]InfCualitativo!$E$1:$E$6973,"Punta Arena",[4]InfCualitativo!$H$1:$H$6973,"urgencia")</f>
        <v>0</v>
      </c>
      <c r="AE36" s="30">
        <f t="shared" si="14"/>
        <v>0</v>
      </c>
      <c r="AF36" s="30">
        <f t="shared" si="15"/>
        <v>0</v>
      </c>
      <c r="AG36" s="27">
        <f>COUNTIFS([4]InfCualitativo!$B$1:$B$6973,"VERDADERO",[4]InfCualitativo!$E$1:$E$6973,"Punta Arena",[4]InfCualitativo!$H$1:$H$6973,"pediatria")</f>
        <v>0</v>
      </c>
      <c r="AH36" s="27">
        <f>COUNTIFS([4]InfCualitativo!$B$1:$B$6973,"FALSO",[4]InfCualitativo!$E$1:$E$6973,"Punta Arena",[4]InfCualitativo!$H$1:$H$6973,"pediatria")</f>
        <v>0</v>
      </c>
      <c r="AI36" s="30">
        <f t="shared" si="16"/>
        <v>0</v>
      </c>
      <c r="AJ36" s="30">
        <f t="shared" si="17"/>
        <v>0</v>
      </c>
      <c r="AK36" s="27">
        <f>COUNTIFS([4]InfCualitativo!$B$1:$B$6973,"VERDADERO",[4]InfCualitativo!$E$1:$E$6973,"Punta Arena",[4]InfCualitativo!$H$1:$H$6973,"medicina_interna")</f>
        <v>0</v>
      </c>
      <c r="AL36" s="27">
        <f>COUNTIFS([4]InfCualitativo!$B$1:$B$6973,"FALSO",[4]InfCualitativo!$E$1:$E$6973,"Punta Arena",[4]InfCualitativo!$H$1:$H$6973,"medicina_interna")</f>
        <v>0</v>
      </c>
      <c r="AM36" s="30">
        <f t="shared" si="18"/>
        <v>0</v>
      </c>
      <c r="AN36" s="30">
        <f t="shared" si="19"/>
        <v>0</v>
      </c>
      <c r="AO36" s="27">
        <f>COUNTIFS([4]InfCualitativo!$B$1:$B$6973,"VERDADERO",[4]InfCualitativo!$E$1:$E$6973,"Punta Arena",[4]InfCualitativo!$H$1:$H$6973,"ginecologia")</f>
        <v>0</v>
      </c>
      <c r="AP36" s="27">
        <f>COUNTIFS([4]InfCualitativo!$B$1:$B$6973,"FALSO",[4]InfCualitativo!$E$1:$E$6973,"Punta Arena",[4]InfCualitativo!$H$1:$H$6973,"ginecologia")</f>
        <v>0</v>
      </c>
      <c r="AQ36" s="30">
        <f t="shared" si="20"/>
        <v>0</v>
      </c>
      <c r="AR36" s="30">
        <f t="shared" si="21"/>
        <v>0</v>
      </c>
      <c r="AS36" s="27">
        <f t="shared" si="22"/>
        <v>85</v>
      </c>
      <c r="AT36" s="27">
        <f t="shared" si="22"/>
        <v>0</v>
      </c>
      <c r="AU36" s="32">
        <f t="shared" si="23"/>
        <v>1</v>
      </c>
      <c r="AV36" s="32">
        <f t="shared" si="24"/>
        <v>0</v>
      </c>
    </row>
    <row r="37" spans="1:48" ht="18.75" x14ac:dyDescent="0.3">
      <c r="A37" s="26" t="s">
        <v>57</v>
      </c>
      <c r="B37" s="27">
        <v>100</v>
      </c>
      <c r="C37" s="27">
        <f t="shared" si="1"/>
        <v>97</v>
      </c>
      <c r="D37" s="28">
        <f t="shared" si="0"/>
        <v>97</v>
      </c>
      <c r="E37" s="29">
        <f>COUNTIFS([4]InfCualitativo!$B$1:$B$6973,"VERDADERO",[4]InfCualitativo!$E$1:$E$6973,"Punta Canoa",[4]InfCualitativo!$H$1:$H$6973,"consulta_externa")</f>
        <v>36</v>
      </c>
      <c r="F37" s="29">
        <f>COUNTIFS([4]InfCualitativo!$B$1:$B$6973,"FALSO",[4]InfCualitativo!$E$1:$E$6973,"Punta Canoa",[4]InfCualitativo!$H$1:$H$6973,"consulta_externa")</f>
        <v>0</v>
      </c>
      <c r="G37" s="30">
        <f t="shared" si="2"/>
        <v>1</v>
      </c>
      <c r="H37" s="30">
        <f t="shared" si="3"/>
        <v>0</v>
      </c>
      <c r="I37" s="27">
        <f>COUNTIFS([4]InfCualitativo!$B$1:$B$6973,"VERDADERO",[4]InfCualitativo!$E$1:$E$6973,"Punta Canoa",[4]InfCualitativo!$H$1:$H$6973,"salud_oral")</f>
        <v>25</v>
      </c>
      <c r="J37" s="27">
        <f>COUNTIFS([4]InfCualitativo!$B$1:$B$6973,"FALSO",[4]InfCualitativo!$E$1:$E$6973,"Punta Canoa",[4]InfCualitativo!$H$1:$H$6973,"salud_oral")</f>
        <v>0</v>
      </c>
      <c r="K37" s="30">
        <f t="shared" si="4"/>
        <v>1</v>
      </c>
      <c r="L37" s="30">
        <f t="shared" si="5"/>
        <v>0</v>
      </c>
      <c r="M37" s="27">
        <f>COUNTIFS([4]InfCualitativo!$B$1:$B$6973,"VERDADERO",[4]InfCualitativo!$E$1:$E$6973,"Punta Canoa",[4]InfCualitativo!$H$1:$H$6973,"laboratorio")</f>
        <v>36</v>
      </c>
      <c r="N37" s="27">
        <f>COUNTIFS([4]InfCualitativo!$B$1:$B$6973,"FALSO",[4]InfCualitativo!$E$1:$E$6973,"Punta Canoa",[4]InfCualitativo!$H$1:$H$6973,"laboratorio")</f>
        <v>0</v>
      </c>
      <c r="O37" s="30">
        <f t="shared" si="6"/>
        <v>1</v>
      </c>
      <c r="P37" s="31">
        <f t="shared" si="7"/>
        <v>0</v>
      </c>
      <c r="Q37" s="27">
        <f>COUNTIFS([4]InfCualitativo!$B$1:$B$6973,"VERDADERO",[4]InfCualitativo!$E$1:$E$6973,"Punta Canoa",[4]InfCualitativo!$H$1:$H$6973,"electros")</f>
        <v>0</v>
      </c>
      <c r="R37" s="27">
        <f>COUNTIFS([4]InfCualitativo!$B$1:$B$6973,"FALSO",[4]InfCualitativo!$E$1:$E$6973,"Punta Canoa",[4]InfCualitativo!$H$1:$H$6973,"electros")</f>
        <v>0</v>
      </c>
      <c r="S37" s="30">
        <f t="shared" si="8"/>
        <v>0</v>
      </c>
      <c r="T37" s="30">
        <f t="shared" si="9"/>
        <v>0</v>
      </c>
      <c r="U37" s="27">
        <f>COUNTIFS([4]InfCualitativo!$B$1:$B$6973,"VERDADERO",[4]InfCualitativo!$E$1:$E$6973,"Punta Canoa",[4]InfCualitativo!$H$1:$H$6973,"rx")</f>
        <v>0</v>
      </c>
      <c r="V37" s="27">
        <f>COUNTIFS([4]InfCualitativo!$B$1:$B$6973,"FALSO",[4]InfCualitativo!$E$1:$E$6973,"Punta Canoa",[4]InfCualitativo!$H$1:$H$6973,"rx")</f>
        <v>0</v>
      </c>
      <c r="W37" s="30">
        <f t="shared" si="10"/>
        <v>0</v>
      </c>
      <c r="X37" s="30">
        <f t="shared" si="11"/>
        <v>0</v>
      </c>
      <c r="Y37" s="27">
        <f>COUNTIFS([4]InfCualitativo!$B$1:$B$6973,"VERDADERO",[4]InfCualitativo!$E$1:$E$6973,"Punta Canoa",[4]InfCualitativo!$H$1:$H$6973,"ecografias")</f>
        <v>0</v>
      </c>
      <c r="Z37" s="27">
        <f>COUNTIFS([4]InfCualitativo!$B$1:$B$6973,"FALSO",[4]InfCualitativo!$E$1:$E$6973,"Punta Canoa",[4]InfCualitativo!$H$1:$H$6973,"ecografias")</f>
        <v>0</v>
      </c>
      <c r="AA37" s="30">
        <f t="shared" si="12"/>
        <v>0</v>
      </c>
      <c r="AB37" s="30">
        <f t="shared" si="13"/>
        <v>0</v>
      </c>
      <c r="AC37" s="27">
        <f>COUNTIFS([4]InfCualitativo!$B$1:$B$6973,"VERDADERO",[4]InfCualitativo!$E$1:$E$6973,"Punta Canoa",[4]InfCualitativo!$H$1:$H$6973,"urgencia")</f>
        <v>0</v>
      </c>
      <c r="AD37" s="27">
        <f>COUNTIFS([4]InfCualitativo!$B$1:$B$6973,"FALSO",[4]InfCualitativo!$E$1:$E$6973,"Punta Canoa",[4]InfCualitativo!$H$1:$H$6973,"urgencia")</f>
        <v>0</v>
      </c>
      <c r="AE37" s="30">
        <f t="shared" si="14"/>
        <v>0</v>
      </c>
      <c r="AF37" s="30">
        <f t="shared" si="15"/>
        <v>0</v>
      </c>
      <c r="AG37" s="27">
        <f>COUNTIFS([4]InfCualitativo!$B$1:$B$6973,"VERDADERO",[4]InfCualitativo!$E$1:$E$6973,"Punta Canoa",[4]InfCualitativo!$H$1:$H$6973,"pediatria")</f>
        <v>0</v>
      </c>
      <c r="AH37" s="27">
        <f>COUNTIFS([4]InfCualitativo!$B$1:$B$6973,"FALSO",[4]InfCualitativo!$E$1:$E$6973,"Punta Canoa",[4]InfCualitativo!$H$1:$H$6973,"pediatria")</f>
        <v>0</v>
      </c>
      <c r="AI37" s="30">
        <f t="shared" si="16"/>
        <v>0</v>
      </c>
      <c r="AJ37" s="30">
        <f t="shared" si="17"/>
        <v>0</v>
      </c>
      <c r="AK37" s="27">
        <f>COUNTIFS([4]InfCualitativo!$B$1:$B$6973,"VERDADERO",[4]InfCualitativo!$E$1:$E$6973,"Punta Canoa",[4]InfCualitativo!$H$1:$H$6973,"medicina_interna")</f>
        <v>0</v>
      </c>
      <c r="AL37" s="27">
        <f>COUNTIFS([4]InfCualitativo!$B$1:$B$6973,"FALSO",[4]InfCualitativo!$E$1:$E$6973,"Punta Canoa",[4]InfCualitativo!$H$1:$H$6973,"medicina_interna")</f>
        <v>0</v>
      </c>
      <c r="AM37" s="30">
        <f t="shared" si="18"/>
        <v>0</v>
      </c>
      <c r="AN37" s="30">
        <f t="shared" si="19"/>
        <v>0</v>
      </c>
      <c r="AO37" s="27">
        <f>COUNTIFS([4]InfCualitativo!$B$1:$B$6973,"VERDADERO",[4]InfCualitativo!$E$1:$E$6973,"Punta Canoa",[4]InfCualitativo!$H$1:$H$6973,"ginecologia")</f>
        <v>0</v>
      </c>
      <c r="AP37" s="27">
        <f>COUNTIFS([4]InfCualitativo!$B$1:$B$6973,"FALSO",[4]InfCualitativo!$E$1:$E$6973,"Punta Canoa",[4]InfCualitativo!$H$1:$H$6973,"ginecologia")</f>
        <v>0</v>
      </c>
      <c r="AQ37" s="30">
        <f t="shared" si="20"/>
        <v>0</v>
      </c>
      <c r="AR37" s="30">
        <f t="shared" si="21"/>
        <v>0</v>
      </c>
      <c r="AS37" s="27">
        <f t="shared" si="22"/>
        <v>97</v>
      </c>
      <c r="AT37" s="27">
        <f t="shared" si="22"/>
        <v>0</v>
      </c>
      <c r="AU37" s="32">
        <f t="shared" si="23"/>
        <v>1</v>
      </c>
      <c r="AV37" s="32">
        <f t="shared" si="24"/>
        <v>0</v>
      </c>
    </row>
    <row r="38" spans="1:48" ht="18.75" x14ac:dyDescent="0.3">
      <c r="A38" s="26" t="s">
        <v>58</v>
      </c>
      <c r="B38" s="27">
        <v>140</v>
      </c>
      <c r="C38" s="27">
        <f t="shared" si="1"/>
        <v>117</v>
      </c>
      <c r="D38" s="28">
        <f t="shared" si="0"/>
        <v>83.571428571428569</v>
      </c>
      <c r="E38" s="29">
        <f>COUNTIFS([4]InfCualitativo!$B$1:$B$6973,"VERDADERO",[4]InfCualitativo!$E$1:$E$6973,"San Francisco I",[4]InfCualitativo!$H$1:$H$6973,"consulta_externa")</f>
        <v>49</v>
      </c>
      <c r="F38" s="29">
        <f>COUNTIFS([4]InfCualitativo!$B$1:$B$6973,"FALSO",[4]InfCualitativo!$E$1:$E$6973,"San Francisco I",[4]InfCualitativo!$H$1:$H$6973,"consulta_externa")</f>
        <v>2</v>
      </c>
      <c r="G38" s="30">
        <f t="shared" si="2"/>
        <v>0.96078431372549022</v>
      </c>
      <c r="H38" s="30">
        <f t="shared" si="3"/>
        <v>3.9215686274509803E-2</v>
      </c>
      <c r="I38" s="27">
        <f>COUNTIFS([4]InfCualitativo!$B$1:$B$6973,"VERDADERO",[4]InfCualitativo!$E$1:$E$6973,"San Francisco I",[4]InfCualitativo!$H$1:$H$6973,"salud_oral")</f>
        <v>30</v>
      </c>
      <c r="J38" s="27">
        <f>COUNTIFS([4]InfCualitativo!$B$1:$B$6973,"FALSO",[4]InfCualitativo!$E$1:$E$6973,"San Francisco I",[4]InfCualitativo!$H$1:$H$6973,"salud_oral")</f>
        <v>1</v>
      </c>
      <c r="K38" s="30">
        <f t="shared" si="4"/>
        <v>0.967741935483871</v>
      </c>
      <c r="L38" s="30">
        <f t="shared" si="5"/>
        <v>3.2258064516129031E-2</v>
      </c>
      <c r="M38" s="27">
        <f>COUNTIFS([4]InfCualitativo!$B$1:$B$6973,"VERDADERO",[4]InfCualitativo!$E$1:$E$6973,"San Francisco I",[4]InfCualitativo!$H$1:$H$6973,"laboratorio")</f>
        <v>33</v>
      </c>
      <c r="N38" s="27">
        <f>COUNTIFS([4]InfCualitativo!$B$1:$B$6973,"FALSO",[4]InfCualitativo!$E$1:$E$6973,"San Francisco I",[4]InfCualitativo!$H$1:$H$6973,"laboratorio")</f>
        <v>2</v>
      </c>
      <c r="O38" s="30">
        <f t="shared" si="6"/>
        <v>0.94285714285714284</v>
      </c>
      <c r="P38" s="31">
        <f t="shared" si="7"/>
        <v>5.7142857142857141E-2</v>
      </c>
      <c r="Q38" s="27">
        <f>COUNTIFS([4]InfCualitativo!$B$1:$B$6973,"VERDADERO",[4]InfCualitativo!$E$1:$E$6973,"San Francisco I",[4]InfCualitativo!$H$1:$H$6973,"electros")</f>
        <v>0</v>
      </c>
      <c r="R38" s="27">
        <f>COUNTIFS([4]InfCualitativo!$B$1:$B$6973,"FALSO",[4]InfCualitativo!$E$1:$E$6973,"San Francisco I",[4]InfCualitativo!$H$1:$H$6973,"electros")</f>
        <v>0</v>
      </c>
      <c r="S38" s="30">
        <f t="shared" si="8"/>
        <v>0</v>
      </c>
      <c r="T38" s="30">
        <f t="shared" si="9"/>
        <v>0</v>
      </c>
      <c r="U38" s="27">
        <f>COUNTIFS([4]InfCualitativo!$B$1:$B$6973,"VERDADERO",[4]InfCualitativo!$E$1:$E$6973,"San Francisco I",[4]InfCualitativo!$H$1:$H$6973,"rx")</f>
        <v>0</v>
      </c>
      <c r="V38" s="27">
        <f>COUNTIFS([4]InfCualitativo!$B$1:$B$6973,"FALSO",[4]InfCualitativo!$E$1:$E$6973,"San Francisco I",[4]InfCualitativo!$H$1:$H$6973,"rx")</f>
        <v>0</v>
      </c>
      <c r="W38" s="30">
        <f t="shared" si="10"/>
        <v>0</v>
      </c>
      <c r="X38" s="30">
        <f t="shared" si="11"/>
        <v>0</v>
      </c>
      <c r="Y38" s="27">
        <f>COUNTIFS([4]InfCualitativo!$B$1:$B$6973,"VERDADERO",[4]InfCualitativo!$E$1:$E$6973,"San Francisco I",[4]InfCualitativo!$H$1:$H$6973,"ecografias")</f>
        <v>0</v>
      </c>
      <c r="Z38" s="27">
        <f>COUNTIFS([4]InfCualitativo!$B$1:$B$6973,"FALSO",[4]InfCualitativo!$E$1:$E$6973,"San Francisco I",[4]InfCualitativo!$H$1:$H$6973,"ecografias")</f>
        <v>0</v>
      </c>
      <c r="AA38" s="30">
        <f t="shared" si="12"/>
        <v>0</v>
      </c>
      <c r="AB38" s="30">
        <f t="shared" si="13"/>
        <v>0</v>
      </c>
      <c r="AC38" s="27">
        <f>COUNTIFS([4]InfCualitativo!$B$1:$B$6973,"VERDADERO",[4]InfCualitativo!$E$1:$E$6973,"San Francisco I",[4]InfCualitativo!$H$1:$H$6973,"urgencia")</f>
        <v>0</v>
      </c>
      <c r="AD38" s="27">
        <f>COUNTIFS([4]InfCualitativo!$B$1:$B$6973,"FALSO",[4]InfCualitativo!$E$1:$E$6973,"San Francisco I",[4]InfCualitativo!$H$1:$H$6973,"urgencia")</f>
        <v>0</v>
      </c>
      <c r="AE38" s="30">
        <f t="shared" si="14"/>
        <v>0</v>
      </c>
      <c r="AF38" s="30">
        <f t="shared" si="15"/>
        <v>0</v>
      </c>
      <c r="AG38" s="27">
        <f>COUNTIFS([4]InfCualitativo!$B$1:$B$6973,"VERDADERO",[4]InfCualitativo!$E$1:$E$6973,"San Francisco I",[4]InfCualitativo!$H$1:$H$6973,"pediatria")</f>
        <v>0</v>
      </c>
      <c r="AH38" s="27">
        <f>COUNTIFS([4]InfCualitativo!$B$1:$B$6973,"FALSO",[4]InfCualitativo!$E$1:$E$6973,"San Francisco I",[4]InfCualitativo!$H$1:$H$6973,"pediatria")</f>
        <v>0</v>
      </c>
      <c r="AI38" s="30">
        <f t="shared" si="16"/>
        <v>0</v>
      </c>
      <c r="AJ38" s="30">
        <f t="shared" si="17"/>
        <v>0</v>
      </c>
      <c r="AK38" s="27">
        <f>COUNTIFS([4]InfCualitativo!$B$1:$B$6973,"VERDADERO",[4]InfCualitativo!$E$1:$E$6973,"San Francisco I",[4]InfCualitativo!$H$1:$H$6973,"medicina_interna")</f>
        <v>0</v>
      </c>
      <c r="AL38" s="27">
        <f>COUNTIFS([4]InfCualitativo!$B$1:$B$6973,"FALSO",[4]InfCualitativo!$E$1:$E$6973,"San Francisco I",[4]InfCualitativo!$H$1:$H$6973,"medicina_interna")</f>
        <v>0</v>
      </c>
      <c r="AM38" s="30">
        <f t="shared" si="18"/>
        <v>0</v>
      </c>
      <c r="AN38" s="30">
        <f t="shared" si="19"/>
        <v>0</v>
      </c>
      <c r="AO38" s="27">
        <f>COUNTIFS([4]InfCualitativo!$B$1:$B$6973,"VERDADERO",[4]InfCualitativo!$E$1:$E$6973,"San Francisco I",[4]InfCualitativo!$H$1:$H$6973,"ginecologia")</f>
        <v>0</v>
      </c>
      <c r="AP38" s="27">
        <f>COUNTIFS([4]InfCualitativo!$B$1:$B$6973,"FALSO",[4]InfCualitativo!$E$1:$E$6973,"San Francisco I",[4]InfCualitativo!$H$1:$H$6973,"ginecologia")</f>
        <v>0</v>
      </c>
      <c r="AQ38" s="30">
        <f t="shared" si="20"/>
        <v>0</v>
      </c>
      <c r="AR38" s="30">
        <f t="shared" si="21"/>
        <v>0</v>
      </c>
      <c r="AS38" s="27">
        <f t="shared" si="22"/>
        <v>112</v>
      </c>
      <c r="AT38" s="27">
        <f t="shared" si="22"/>
        <v>5</v>
      </c>
      <c r="AU38" s="32">
        <f t="shared" si="23"/>
        <v>0.95726495726495731</v>
      </c>
      <c r="AV38" s="32">
        <f t="shared" si="24"/>
        <v>4.2735042735042736E-2</v>
      </c>
    </row>
    <row r="39" spans="1:48" ht="18.75" x14ac:dyDescent="0.3">
      <c r="A39" s="26" t="s">
        <v>59</v>
      </c>
      <c r="B39" s="27">
        <v>136</v>
      </c>
      <c r="C39" s="27">
        <f t="shared" si="1"/>
        <v>133</v>
      </c>
      <c r="D39" s="28">
        <f t="shared" si="0"/>
        <v>97.794117647058826</v>
      </c>
      <c r="E39" s="29">
        <f>COUNTIFS([4]InfCualitativo!$B$1:$B$6973,"VERDADERO",[4]InfCualitativo!$E$1:$E$6973,"San Pedro y Libertad",[4]InfCualitativo!$H$1:$H$6973,"consulta_externa")</f>
        <v>44</v>
      </c>
      <c r="F39" s="29">
        <f>COUNTIFS([4]InfCualitativo!$B$1:$B$6973,"FALSO",[4]InfCualitativo!$E$1:$E$6973,"San Pedro y Libertad",[4]InfCualitativo!$H$1:$H$6973,"consulta_externa")</f>
        <v>2</v>
      </c>
      <c r="G39" s="30">
        <f t="shared" si="2"/>
        <v>0.95652173913043481</v>
      </c>
      <c r="H39" s="30">
        <f t="shared" si="3"/>
        <v>4.3478260869565216E-2</v>
      </c>
      <c r="I39" s="27">
        <f>COUNTIFS([4]InfCualitativo!$B$1:$B$6973,"VERDADERO",[4]InfCualitativo!$E$1:$E$6973,"San Pedro y Libertad",[4]InfCualitativo!$H$1:$H$6973,"salud_oral")</f>
        <v>39</v>
      </c>
      <c r="J39" s="27">
        <f>COUNTIFS([4]InfCualitativo!$B$1:$B$6973,"FALSO",[4]InfCualitativo!$E$1:$E$6973,"San Pedro y Libertad",[4]InfCualitativo!$H$1:$H$6973,"salud_oral")</f>
        <v>4</v>
      </c>
      <c r="K39" s="30">
        <f t="shared" si="4"/>
        <v>0.90697674418604646</v>
      </c>
      <c r="L39" s="30">
        <f t="shared" si="5"/>
        <v>9.3023255813953487E-2</v>
      </c>
      <c r="M39" s="27">
        <f>COUNTIFS([4]InfCualitativo!$B$1:$B$6973,"VERDADERO",[4]InfCualitativo!$E$1:$E$6973,"San Pedro y Libertad",[4]InfCualitativo!$H$1:$H$6973,"laboratorio")</f>
        <v>43</v>
      </c>
      <c r="N39" s="27">
        <f>COUNTIFS([4]InfCualitativo!$B$1:$B$6973,"FALSO",[4]InfCualitativo!$E$1:$E$6973,"San Pedro y Libertad",[4]InfCualitativo!$H$1:$H$6973,"laboratorio")</f>
        <v>1</v>
      </c>
      <c r="O39" s="30">
        <f t="shared" si="6"/>
        <v>0.97727272727272729</v>
      </c>
      <c r="P39" s="31">
        <f t="shared" si="7"/>
        <v>2.2727272727272728E-2</v>
      </c>
      <c r="Q39" s="27">
        <f>COUNTIFS([4]InfCualitativo!$B$1:$B$6973,"VERDADERO",[4]InfCualitativo!$E$1:$E$6973,"San Pedro y Libertad",[4]InfCualitativo!$H$1:$H$6973,"electros")</f>
        <v>0</v>
      </c>
      <c r="R39" s="27">
        <f>COUNTIFS([4]InfCualitativo!$B$1:$B$6973,"FALSO",[4]InfCualitativo!$E$1:$E$6973,"San Pedro y Libertad",[4]InfCualitativo!$H$1:$H$6973,"electros")</f>
        <v>0</v>
      </c>
      <c r="S39" s="30">
        <f t="shared" si="8"/>
        <v>0</v>
      </c>
      <c r="T39" s="30">
        <f t="shared" si="9"/>
        <v>0</v>
      </c>
      <c r="U39" s="27">
        <f>COUNTIFS([4]InfCualitativo!$B$1:$B$6973,"VERDADERO",[4]InfCualitativo!$E$1:$E$6973,"San Pedro y Libertad",[4]InfCualitativo!$H$1:$H$6973,"rx")</f>
        <v>0</v>
      </c>
      <c r="V39" s="27">
        <f>COUNTIFS([4]InfCualitativo!$B$1:$B$6973,"FALSO",[4]InfCualitativo!$E$1:$E$6973,"San Pedro y Libertad",[4]InfCualitativo!$H$1:$H$6973,"rx")</f>
        <v>0</v>
      </c>
      <c r="W39" s="30">
        <f t="shared" si="10"/>
        <v>0</v>
      </c>
      <c r="X39" s="30">
        <f t="shared" si="11"/>
        <v>0</v>
      </c>
      <c r="Y39" s="27">
        <f>COUNTIFS([4]InfCualitativo!$B$1:$B$6973,"VERDADERO",[4]InfCualitativo!$E$1:$E$6973,"San Pedro y Libertad",[4]InfCualitativo!$H$1:$H$6973,"ecografias")</f>
        <v>0</v>
      </c>
      <c r="Z39" s="27">
        <f>COUNTIFS([4]InfCualitativo!$B$1:$B$6973,"FALSO",[4]InfCualitativo!$E$1:$E$6973,"San Pedro y Libertad",[4]InfCualitativo!$H$1:$H$6973,"ecografias")</f>
        <v>0</v>
      </c>
      <c r="AA39" s="30">
        <f t="shared" si="12"/>
        <v>0</v>
      </c>
      <c r="AB39" s="30">
        <f t="shared" si="13"/>
        <v>0</v>
      </c>
      <c r="AC39" s="27">
        <f>COUNTIFS([4]InfCualitativo!$B$1:$B$6973,"VERDADERO",[4]InfCualitativo!$E$1:$E$6973,"San Pedro y Libertad",[4]InfCualitativo!$H$1:$H$6973,"urgencia")</f>
        <v>0</v>
      </c>
      <c r="AD39" s="27">
        <f>COUNTIFS([4]InfCualitativo!$B$1:$B$6973,"FALSO",[4]InfCualitativo!$E$1:$E$6973,"San Pedro y Libertad",[4]InfCualitativo!$H$1:$H$6973,"urgencia")</f>
        <v>0</v>
      </c>
      <c r="AE39" s="30">
        <f t="shared" si="14"/>
        <v>0</v>
      </c>
      <c r="AF39" s="30">
        <f t="shared" si="15"/>
        <v>0</v>
      </c>
      <c r="AG39" s="27">
        <f>COUNTIFS([4]InfCualitativo!$B$1:$B$6973,"VERDADERO",[4]InfCualitativo!$E$1:$E$6973,"San Pedro y Libertad",[4]InfCualitativo!$H$1:$H$6973,"pediatria")</f>
        <v>0</v>
      </c>
      <c r="AH39" s="27">
        <f>COUNTIFS([4]InfCualitativo!$B$1:$B$6973,"FALSO",[4]InfCualitativo!$E$1:$E$6973,"San Pedro y Libertad",[4]InfCualitativo!$H$1:$H$6973,"pediatria")</f>
        <v>0</v>
      </c>
      <c r="AI39" s="30">
        <f t="shared" si="16"/>
        <v>0</v>
      </c>
      <c r="AJ39" s="30">
        <f t="shared" si="17"/>
        <v>0</v>
      </c>
      <c r="AK39" s="27">
        <f>COUNTIFS([4]InfCualitativo!$B$1:$B$6973,"VERDADERO",[4]InfCualitativo!$E$1:$E$6973,"San Pedro y Libertad",[4]InfCualitativo!$H$1:$H$6973,"medicina_interna")</f>
        <v>0</v>
      </c>
      <c r="AL39" s="27">
        <f>COUNTIFS([4]InfCualitativo!$B$1:$B$6973,"FALSO",[4]InfCualitativo!$E$1:$E$6973,"San Pedro y Libertad",[4]InfCualitativo!$H$1:$H$6973,"medicina_interna")</f>
        <v>0</v>
      </c>
      <c r="AM39" s="30">
        <f t="shared" si="18"/>
        <v>0</v>
      </c>
      <c r="AN39" s="30">
        <f t="shared" si="19"/>
        <v>0</v>
      </c>
      <c r="AO39" s="27">
        <f>COUNTIFS([4]InfCualitativo!$B$1:$B$6973,"VERDADERO",[4]InfCualitativo!$E$1:$E$6973,"San Pedro y Libertad",[4]InfCualitativo!$H$1:$H$6973,"ginecologia")</f>
        <v>0</v>
      </c>
      <c r="AP39" s="27">
        <f>COUNTIFS([4]InfCualitativo!$B$1:$B$6973,"FALSO",[4]InfCualitativo!$E$1:$E$6973,"San Pedro y Libertad",[4]InfCualitativo!$H$1:$H$6973,"ginecologia")</f>
        <v>0</v>
      </c>
      <c r="AQ39" s="30">
        <f t="shared" si="20"/>
        <v>0</v>
      </c>
      <c r="AR39" s="30">
        <f t="shared" si="21"/>
        <v>0</v>
      </c>
      <c r="AS39" s="27">
        <f t="shared" si="22"/>
        <v>126</v>
      </c>
      <c r="AT39" s="27">
        <f t="shared" si="22"/>
        <v>7</v>
      </c>
      <c r="AU39" s="32">
        <f t="shared" si="23"/>
        <v>0.94736842105263153</v>
      </c>
      <c r="AV39" s="32">
        <f t="shared" si="24"/>
        <v>5.2631578947368418E-2</v>
      </c>
    </row>
    <row r="40" spans="1:48" ht="18.75" x14ac:dyDescent="0.3">
      <c r="A40" s="26" t="s">
        <v>60</v>
      </c>
      <c r="B40" s="27">
        <v>136</v>
      </c>
      <c r="C40" s="27">
        <f t="shared" si="1"/>
        <v>133</v>
      </c>
      <c r="D40" s="28">
        <f t="shared" si="0"/>
        <v>97.794117647058826</v>
      </c>
      <c r="E40" s="29">
        <f>COUNTIFS([4]InfCualitativo!$B$1:$B$6973,"VERDADERO",[4]InfCualitativo!$E$1:$E$6973,"San Vicente de Paul",[4]InfCualitativo!$H$1:$H$6973,"consulta_externa")</f>
        <v>41</v>
      </c>
      <c r="F40" s="29">
        <f>COUNTIFS([4]InfCualitativo!$B$1:$B$6973,"FALSO",[4]InfCualitativo!$E$1:$E$6973,"San Vicente de Paul",[4]InfCualitativo!$H$1:$H$6973,"consulta_externa")</f>
        <v>2</v>
      </c>
      <c r="G40" s="30">
        <f t="shared" si="2"/>
        <v>0.95348837209302328</v>
      </c>
      <c r="H40" s="30">
        <f t="shared" si="3"/>
        <v>4.6511627906976744E-2</v>
      </c>
      <c r="I40" s="27">
        <f>COUNTIFS([4]InfCualitativo!$B$1:$B$6973,"VERDADERO",[4]InfCualitativo!$E$1:$E$6973,"San Vicente de Paul",[4]InfCualitativo!$H$1:$H$6973,"salud_oral")</f>
        <v>42</v>
      </c>
      <c r="J40" s="27">
        <f>COUNTIFS([4]InfCualitativo!$B$1:$B$6973,"FALSO",[4]InfCualitativo!$E$1:$E$6973,"San Vicente de Paul",[4]InfCualitativo!$H$1:$H$6973,"salud_oral")</f>
        <v>1</v>
      </c>
      <c r="K40" s="30">
        <f t="shared" si="4"/>
        <v>0.97674418604651159</v>
      </c>
      <c r="L40" s="30">
        <f t="shared" si="5"/>
        <v>2.3255813953488372E-2</v>
      </c>
      <c r="M40" s="27">
        <f>COUNTIFS([4]InfCualitativo!$B$1:$B$6973,"VERDADERO",[4]InfCualitativo!$E$1:$E$6973,"San Vicente de Paul",[4]InfCualitativo!$H$1:$H$6973,"laboratorio")</f>
        <v>43</v>
      </c>
      <c r="N40" s="27">
        <f>COUNTIFS([4]InfCualitativo!$B$1:$B$6973,"FALSO",[4]InfCualitativo!$E$1:$E$6973,"San Vicente de Paul",[4]InfCualitativo!$H$1:$H$6973,"laboratorio")</f>
        <v>4</v>
      </c>
      <c r="O40" s="30">
        <f t="shared" si="6"/>
        <v>0.91489361702127658</v>
      </c>
      <c r="P40" s="31">
        <f t="shared" si="7"/>
        <v>8.5106382978723402E-2</v>
      </c>
      <c r="Q40" s="27">
        <f>COUNTIFS([4]InfCualitativo!$B$1:$B$6973,"VERDADERO",[4]InfCualitativo!$E$1:$E$6973,"San Vicente de Paul",[4]InfCualitativo!$H$1:$H$6973,"electros")</f>
        <v>0</v>
      </c>
      <c r="R40" s="27">
        <f>COUNTIFS([4]InfCualitativo!$B$1:$B$6973,"FALSO",[4]InfCualitativo!$E$1:$E$6973,"San Vicente de Paul",[4]InfCualitativo!$H$1:$H$6973,"electros")</f>
        <v>0</v>
      </c>
      <c r="S40" s="30">
        <f t="shared" si="8"/>
        <v>0</v>
      </c>
      <c r="T40" s="30">
        <f t="shared" si="9"/>
        <v>0</v>
      </c>
      <c r="U40" s="27">
        <f>COUNTIFS([4]InfCualitativo!$B$1:$B$6973,"VERDADERO",[4]InfCualitativo!$E$1:$E$6973,"San Vicente de Paul",[4]InfCualitativo!$H$1:$H$6973,"rx")</f>
        <v>0</v>
      </c>
      <c r="V40" s="27">
        <f>COUNTIFS([4]InfCualitativo!$B$1:$B$6973,"FALSO",[4]InfCualitativo!$E$1:$E$6973,"San Vicente de Paul",[4]InfCualitativo!$H$1:$H$6973,"rx")</f>
        <v>0</v>
      </c>
      <c r="W40" s="30">
        <f t="shared" si="10"/>
        <v>0</v>
      </c>
      <c r="X40" s="30">
        <f t="shared" si="11"/>
        <v>0</v>
      </c>
      <c r="Y40" s="27">
        <f>COUNTIFS([4]InfCualitativo!$B$1:$B$6973,"VERDADERO",[4]InfCualitativo!$E$1:$E$6973,"San Vicente de Paul",[4]InfCualitativo!$H$1:$H$6973,"ecografias")</f>
        <v>0</v>
      </c>
      <c r="Z40" s="27">
        <f>COUNTIFS([4]InfCualitativo!$B$1:$B$6973,"FALSO",[4]InfCualitativo!$E$1:$E$6973,"San Vicente de Paul",[4]InfCualitativo!$H$1:$H$6973,"ecografias")</f>
        <v>0</v>
      </c>
      <c r="AA40" s="30">
        <f t="shared" si="12"/>
        <v>0</v>
      </c>
      <c r="AB40" s="30">
        <f t="shared" si="13"/>
        <v>0</v>
      </c>
      <c r="AC40" s="27">
        <f>COUNTIFS([4]InfCualitativo!$B$1:$B$6973,"VERDADERO",[4]InfCualitativo!$E$1:$E$6973,"San Vicente de Paul",[4]InfCualitativo!$H$1:$H$6973,"urgencia")</f>
        <v>0</v>
      </c>
      <c r="AD40" s="27">
        <f>COUNTIFS([4]InfCualitativo!$B$1:$B$6973,"FALSO",[4]InfCualitativo!$E$1:$E$6973,"San Vicente de Paul",[4]InfCualitativo!$H$1:$H$6973,"urgencia")</f>
        <v>0</v>
      </c>
      <c r="AE40" s="30">
        <f t="shared" si="14"/>
        <v>0</v>
      </c>
      <c r="AF40" s="30">
        <f t="shared" si="15"/>
        <v>0</v>
      </c>
      <c r="AG40" s="27">
        <f>COUNTIFS([4]InfCualitativo!$B$1:$B$6973,"VERDADERO",[4]InfCualitativo!$E$1:$E$6973,"San Vicente de Paul",[4]InfCualitativo!$H$1:$H$6973,"pediatria")</f>
        <v>0</v>
      </c>
      <c r="AH40" s="27">
        <f>COUNTIFS([4]InfCualitativo!$B$1:$B$6973,"FALSO",[4]InfCualitativo!$E$1:$E$6973,"San Vicente de Paul",[4]InfCualitativo!$H$1:$H$6973,"pediatria")</f>
        <v>0</v>
      </c>
      <c r="AI40" s="30">
        <f t="shared" si="16"/>
        <v>0</v>
      </c>
      <c r="AJ40" s="30">
        <f t="shared" si="17"/>
        <v>0</v>
      </c>
      <c r="AK40" s="27">
        <f>COUNTIFS([4]InfCualitativo!$B$1:$B$6973,"VERDADERO",[4]InfCualitativo!$E$1:$E$6973,"San Vicente de Paul",[4]InfCualitativo!$H$1:$H$6973,"medicina_interna")</f>
        <v>0</v>
      </c>
      <c r="AL40" s="27">
        <f>COUNTIFS([4]InfCualitativo!$B$1:$B$6973,"FALSO",[4]InfCualitativo!$E$1:$E$6973,"San Vicente de Paul",[4]InfCualitativo!$H$1:$H$6973,"medicina_interna")</f>
        <v>0</v>
      </c>
      <c r="AM40" s="30">
        <f t="shared" si="18"/>
        <v>0</v>
      </c>
      <c r="AN40" s="30">
        <f t="shared" si="19"/>
        <v>0</v>
      </c>
      <c r="AO40" s="27">
        <f>COUNTIFS([4]InfCualitativo!$B$1:$B$6973,"VERDADERO",[4]InfCualitativo!$E$1:$E$6973,"San Vicente de Paul",[4]InfCualitativo!$H$1:$H$6973,"ginecologia")</f>
        <v>0</v>
      </c>
      <c r="AP40" s="27">
        <f>COUNTIFS([4]InfCualitativo!$B$1:$B$6973,"FALSO",[4]InfCualitativo!$E$1:$E$6973,"San Vicente de Paul",[4]InfCualitativo!$H$1:$H$6973,"ginecologia")</f>
        <v>0</v>
      </c>
      <c r="AQ40" s="30">
        <f t="shared" si="20"/>
        <v>0</v>
      </c>
      <c r="AR40" s="30">
        <f t="shared" si="21"/>
        <v>0</v>
      </c>
      <c r="AS40" s="27">
        <f t="shared" si="22"/>
        <v>126</v>
      </c>
      <c r="AT40" s="27">
        <f t="shared" si="22"/>
        <v>7</v>
      </c>
      <c r="AU40" s="32">
        <f t="shared" si="23"/>
        <v>0.94736842105263153</v>
      </c>
      <c r="AV40" s="32">
        <f t="shared" si="24"/>
        <v>5.2631578947368418E-2</v>
      </c>
    </row>
    <row r="41" spans="1:48" ht="18.75" x14ac:dyDescent="0.3">
      <c r="A41" s="26" t="s">
        <v>61</v>
      </c>
      <c r="B41" s="27">
        <v>168</v>
      </c>
      <c r="C41" s="27">
        <f t="shared" si="1"/>
        <v>155</v>
      </c>
      <c r="D41" s="28">
        <f t="shared" si="0"/>
        <v>92.261904761904759</v>
      </c>
      <c r="E41" s="29">
        <f>COUNTIFS([4]InfCualitativo!$B$1:$B$6973,"VERDADERO",[4]InfCualitativo!$E$1:$E$6973,"Socorro",[4]InfCualitativo!$H$1:$H$6973,"consulta_externa")</f>
        <v>39</v>
      </c>
      <c r="F41" s="29">
        <f>COUNTIFS([4]InfCualitativo!$B$1:$B$6973,"FALSO",[4]InfCualitativo!$E$1:$E$6973,"Socorro",[4]InfCualitativo!$H$1:$H$6973,"consulta_externa")</f>
        <v>3</v>
      </c>
      <c r="G41" s="30">
        <f t="shared" si="2"/>
        <v>0.9285714285714286</v>
      </c>
      <c r="H41" s="30">
        <f t="shared" si="3"/>
        <v>7.1428571428571425E-2</v>
      </c>
      <c r="I41" s="27">
        <f>COUNTIFS([4]InfCualitativo!$B$1:$B$6973,"VERDADERO",[4]InfCualitativo!$E$1:$E$6973,"Socorro",[4]InfCualitativo!$H$1:$H$6973,"salud_oral")</f>
        <v>33</v>
      </c>
      <c r="J41" s="27">
        <f>COUNTIFS([4]InfCualitativo!$B$1:$B$6973,"FALSO",[4]InfCualitativo!$E$1:$E$6973,"Socorro",[4]InfCualitativo!$H$1:$H$6973,"salud_oral")</f>
        <v>8</v>
      </c>
      <c r="K41" s="30">
        <f t="shared" si="4"/>
        <v>0.80487804878048785</v>
      </c>
      <c r="L41" s="30">
        <f t="shared" si="5"/>
        <v>0.1951219512195122</v>
      </c>
      <c r="M41" s="27">
        <f>COUNTIFS([4]InfCualitativo!$B$1:$B$6973,"VERDADERO",[4]InfCualitativo!$E$1:$E$6973,"Socorro",[4]InfCualitativo!$H$1:$H$6973,"laboratorio")</f>
        <v>36</v>
      </c>
      <c r="N41" s="27">
        <f>COUNTIFS([4]InfCualitativo!$B$1:$B$6973,"FALSO",[4]InfCualitativo!$E$1:$E$6973,"Socorro",[4]InfCualitativo!$H$1:$H$6973,"laboratorio")</f>
        <v>4</v>
      </c>
      <c r="O41" s="30">
        <f t="shared" si="6"/>
        <v>0.9</v>
      </c>
      <c r="P41" s="31">
        <f t="shared" si="7"/>
        <v>0.1</v>
      </c>
      <c r="Q41" s="27">
        <f>COUNTIFS([4]InfCualitativo!$B$1:$B$6973,"VERDADERO",[4]InfCualitativo!$E$1:$E$6973,"Socorro",[4]InfCualitativo!$H$1:$H$6973,"electros")</f>
        <v>0</v>
      </c>
      <c r="R41" s="27">
        <f>COUNTIFS([4]InfCualitativo!$B$1:$B$6973,"FALSO",[4]InfCualitativo!$E$1:$E$6973,"Socorro",[4]InfCualitativo!$H$1:$H$6973,"electros")</f>
        <v>0</v>
      </c>
      <c r="S41" s="30">
        <f t="shared" si="8"/>
        <v>0</v>
      </c>
      <c r="T41" s="30">
        <f t="shared" si="9"/>
        <v>0</v>
      </c>
      <c r="U41" s="27">
        <f>COUNTIFS([4]InfCualitativo!$B$1:$B$6973,"VERDADERO",[4]InfCualitativo!$E$1:$E$6973,"Socorro",[4]InfCualitativo!$H$1:$H$6973,"rx")</f>
        <v>0</v>
      </c>
      <c r="V41" s="27">
        <f>COUNTIFS([4]InfCualitativo!$B$1:$B$6973,"FALSO",[4]InfCualitativo!$E$1:$E$6973,"Socorro",[4]InfCualitativo!$H$1:$H$6973,"rx")</f>
        <v>0</v>
      </c>
      <c r="W41" s="30">
        <f t="shared" si="10"/>
        <v>0</v>
      </c>
      <c r="X41" s="30">
        <f t="shared" si="11"/>
        <v>0</v>
      </c>
      <c r="Y41" s="27">
        <f>COUNTIFS([4]InfCualitativo!$B$1:$B$6973,"VERDADERO",[4]InfCualitativo!$E$1:$E$6973,"Socorro",[4]InfCualitativo!$H$1:$H$6973,"ecografias")</f>
        <v>28</v>
      </c>
      <c r="Z41" s="27">
        <f>COUNTIFS([4]InfCualitativo!$B$1:$B$6973,"FALSO",[4]InfCualitativo!$E$1:$E$6973,"Socorro",[4]InfCualitativo!$H$1:$H$6973,"ecografias")</f>
        <v>4</v>
      </c>
      <c r="AA41" s="30">
        <f t="shared" si="12"/>
        <v>0.875</v>
      </c>
      <c r="AB41" s="30">
        <f t="shared" si="13"/>
        <v>0.125</v>
      </c>
      <c r="AC41" s="27">
        <f>COUNTIFS([4]InfCualitativo!$B$1:$B$6973,"VERDADERO",[4]InfCualitativo!$E$1:$E$6973,"Socorro",[4]InfCualitativo!$H$1:$H$6973,"urgencia")</f>
        <v>0</v>
      </c>
      <c r="AD41" s="27">
        <f>COUNTIFS([4]InfCualitativo!$B$1:$B$6973,"FALSO",[4]InfCualitativo!$E$1:$E$6973,"Socorro",[4]InfCualitativo!$H$1:$H$6973,"urgencia")</f>
        <v>0</v>
      </c>
      <c r="AE41" s="30">
        <f t="shared" si="14"/>
        <v>0</v>
      </c>
      <c r="AF41" s="30">
        <f t="shared" si="15"/>
        <v>0</v>
      </c>
      <c r="AG41" s="27">
        <f>COUNTIFS([4]InfCualitativo!$B$1:$B$6973,"VERDADERO",[4]InfCualitativo!$E$1:$E$6973,"Socorro",[4]InfCualitativo!$H$1:$H$6973,"pediatria")</f>
        <v>0</v>
      </c>
      <c r="AH41" s="27">
        <f>COUNTIFS([4]InfCualitativo!$B$1:$B$6973,"FALSO",[4]InfCualitativo!$E$1:$E$6973,"Socorro",[4]InfCualitativo!$H$1:$H$6973,"pediatria")</f>
        <v>0</v>
      </c>
      <c r="AI41" s="30">
        <f t="shared" si="16"/>
        <v>0</v>
      </c>
      <c r="AJ41" s="30">
        <f t="shared" si="17"/>
        <v>0</v>
      </c>
      <c r="AK41" s="27">
        <f>COUNTIFS([4]InfCualitativo!$B$1:$B$6973,"VERDADERO",[4]InfCualitativo!$E$1:$E$6973,"Socorro",[4]InfCualitativo!$H$1:$H$6973,"medicina_interna")</f>
        <v>0</v>
      </c>
      <c r="AL41" s="27">
        <f>COUNTIFS([4]InfCualitativo!$B$1:$B$6973,"FALSO",[4]InfCualitativo!$E$1:$E$6973,"Socorro",[4]InfCualitativo!$H$1:$H$6973,"medicina_interna")</f>
        <v>0</v>
      </c>
      <c r="AM41" s="30">
        <f t="shared" si="18"/>
        <v>0</v>
      </c>
      <c r="AN41" s="30">
        <f t="shared" si="19"/>
        <v>0</v>
      </c>
      <c r="AO41" s="27">
        <f>COUNTIFS([4]InfCualitativo!$B$1:$B$6973,"VERDADERO",[4]InfCualitativo!$E$1:$E$6973,"Socorro",[4]InfCualitativo!$H$1:$H$6973,"ginecologia")</f>
        <v>0</v>
      </c>
      <c r="AP41" s="27">
        <f>COUNTIFS([4]InfCualitativo!$B$1:$B$6973,"FALSO",[4]InfCualitativo!$E$1:$E$6973,"Socorro",[4]InfCualitativo!$H$1:$H$6973,"ginecologia")</f>
        <v>0</v>
      </c>
      <c r="AQ41" s="30">
        <f t="shared" si="20"/>
        <v>0</v>
      </c>
      <c r="AR41" s="30">
        <f t="shared" si="21"/>
        <v>0</v>
      </c>
      <c r="AS41" s="27">
        <f t="shared" si="22"/>
        <v>136</v>
      </c>
      <c r="AT41" s="27">
        <f t="shared" si="22"/>
        <v>19</v>
      </c>
      <c r="AU41" s="32">
        <f t="shared" si="23"/>
        <v>0.8774193548387097</v>
      </c>
      <c r="AV41" s="32">
        <f t="shared" si="24"/>
        <v>0.12258064516129032</v>
      </c>
    </row>
    <row r="42" spans="1:48" ht="18.75" x14ac:dyDescent="0.3">
      <c r="A42" s="26" t="s">
        <v>62</v>
      </c>
      <c r="B42" s="27">
        <v>152</v>
      </c>
      <c r="C42" s="27">
        <f t="shared" si="1"/>
        <v>137</v>
      </c>
      <c r="D42" s="28">
        <f t="shared" si="0"/>
        <v>90.131578947368425</v>
      </c>
      <c r="E42" s="29">
        <f>COUNTIFS([4]InfCualitativo!$B$1:$B$6973,"VERDADERO",[4]InfCualitativo!$E$1:$E$6973,"Ternera",[4]InfCualitativo!$H$1:$H$6973,"consulta_externa")</f>
        <v>39</v>
      </c>
      <c r="F42" s="29">
        <f>COUNTIFS([4]InfCualitativo!$B$1:$B$6973,"FALSO",[4]InfCualitativo!$E$1:$E$6973,"Ternera",[4]InfCualitativo!$H$1:$H$6973,"consulta_externa")</f>
        <v>7</v>
      </c>
      <c r="G42" s="30">
        <f t="shared" si="2"/>
        <v>0.84782608695652173</v>
      </c>
      <c r="H42" s="30">
        <f t="shared" si="3"/>
        <v>0.15217391304347827</v>
      </c>
      <c r="I42" s="27">
        <f>COUNTIFS([4]InfCualitativo!$B$1:$B$6973,"VERDADERO",[4]InfCualitativo!$E$1:$E$6973,"Ternera",[4]InfCualitativo!$H$1:$H$6973,"salud_oral")</f>
        <v>38</v>
      </c>
      <c r="J42" s="27">
        <f>COUNTIFS([4]InfCualitativo!$B$1:$B$6973,"FALSO",[4]InfCualitativo!$E$1:$E$6973,"Ternera",[4]InfCualitativo!$H$1:$H$6973,"salud_oral")</f>
        <v>7</v>
      </c>
      <c r="K42" s="30">
        <f t="shared" si="4"/>
        <v>0.84444444444444444</v>
      </c>
      <c r="L42" s="30">
        <f t="shared" si="5"/>
        <v>0.15555555555555556</v>
      </c>
      <c r="M42" s="27">
        <f>COUNTIFS([4]InfCualitativo!$B$1:$B$6973,"VERDADERO",[4]InfCualitativo!$E$1:$E$6973,"Ternera",[4]InfCualitativo!$H$1:$H$6973,"laboratorio")</f>
        <v>32</v>
      </c>
      <c r="N42" s="27">
        <f>COUNTIFS([4]InfCualitativo!$B$1:$B$6973,"FALSO",[4]InfCualitativo!$E$1:$E$6973,"Ternera",[4]InfCualitativo!$H$1:$H$6973,"laboratorio")</f>
        <v>14</v>
      </c>
      <c r="O42" s="30">
        <f t="shared" si="6"/>
        <v>0.69565217391304346</v>
      </c>
      <c r="P42" s="31">
        <f t="shared" si="7"/>
        <v>0.30434782608695654</v>
      </c>
      <c r="Q42" s="27">
        <f>COUNTIFS([4]InfCualitativo!$B$1:$B$6973,"VERDADERO",[4]InfCualitativo!$E$1:$E$6973,"Ternera",[4]InfCualitativo!$H$1:$H$6973,"electros")</f>
        <v>0</v>
      </c>
      <c r="R42" s="27">
        <f>COUNTIFS([4]InfCualitativo!$B$1:$B$6973,"FALSO",[4]InfCualitativo!$E$1:$E$6973,"Ternera",[4]InfCualitativo!$H$1:$H$6973,"electros")</f>
        <v>0</v>
      </c>
      <c r="S42" s="30">
        <f t="shared" si="8"/>
        <v>0</v>
      </c>
      <c r="T42" s="30">
        <f t="shared" si="9"/>
        <v>0</v>
      </c>
      <c r="U42" s="27">
        <f>COUNTIFS([4]InfCualitativo!$B$1:$B$6973,"VERDADERO",[4]InfCualitativo!$E$1:$E$6973,"Ternera",[4]InfCualitativo!$H$1:$H$6973,"rx")</f>
        <v>0</v>
      </c>
      <c r="V42" s="27">
        <f>COUNTIFS([4]InfCualitativo!$B$1:$B$6973,"FALSO",[4]InfCualitativo!$E$1:$E$6973,"Ternera",[4]InfCualitativo!$H$1:$H$6973,"rx")</f>
        <v>0</v>
      </c>
      <c r="W42" s="30">
        <f t="shared" si="10"/>
        <v>0</v>
      </c>
      <c r="X42" s="30">
        <f t="shared" si="11"/>
        <v>0</v>
      </c>
      <c r="Y42" s="27">
        <f>COUNTIFS([4]InfCualitativo!$B$1:$B$6973,"VERDADERO",[4]InfCualitativo!$E$1:$E$6973,"Ternera",[4]InfCualitativo!$H$1:$H$6973,"ecografias")</f>
        <v>0</v>
      </c>
      <c r="Z42" s="27">
        <f>COUNTIFS([4]InfCualitativo!$B$1:$B$6973,"FALSO",[4]InfCualitativo!$E$1:$E$6973,"Ternera",[4]InfCualitativo!$H$1:$H$6973,"ecografias")</f>
        <v>0</v>
      </c>
      <c r="AA42" s="30">
        <f t="shared" si="12"/>
        <v>0</v>
      </c>
      <c r="AB42" s="30">
        <f t="shared" si="13"/>
        <v>0</v>
      </c>
      <c r="AC42" s="27">
        <f>COUNTIFS([4]InfCualitativo!$B$1:$B$6973,"VERDADERO",[4]InfCualitativo!$E$1:$E$6973,"Ternera",[4]InfCualitativo!$H$1:$H$6973,"urgencia")</f>
        <v>0</v>
      </c>
      <c r="AD42" s="27">
        <f>COUNTIFS([4]InfCualitativo!$B$1:$B$6973,"FALSO",[4]InfCualitativo!$E$1:$E$6973,"Ternera",[4]InfCualitativo!$H$1:$H$6973,"urgencia")</f>
        <v>0</v>
      </c>
      <c r="AE42" s="30">
        <f t="shared" si="14"/>
        <v>0</v>
      </c>
      <c r="AF42" s="30">
        <f t="shared" si="15"/>
        <v>0</v>
      </c>
      <c r="AG42" s="27">
        <f>COUNTIFS([4]InfCualitativo!$B$1:$B$6973,"VERDADERO",[4]InfCualitativo!$E$1:$E$6973,"Ternera",[4]InfCualitativo!$H$1:$H$6973,"pediatria")</f>
        <v>0</v>
      </c>
      <c r="AH42" s="27">
        <f>COUNTIFS([4]InfCualitativo!$B$1:$B$6973,"FALSO",[4]InfCualitativo!$E$1:$E$6973,"Ternera",[4]InfCualitativo!$H$1:$H$6973,"pediatria")</f>
        <v>0</v>
      </c>
      <c r="AI42" s="30">
        <f t="shared" si="16"/>
        <v>0</v>
      </c>
      <c r="AJ42" s="30">
        <f t="shared" si="17"/>
        <v>0</v>
      </c>
      <c r="AK42" s="27">
        <f>COUNTIFS([4]InfCualitativo!$B$1:$B$6973,"VERDADERO",[4]InfCualitativo!$E$1:$E$6973,"Ternera",[4]InfCualitativo!$H$1:$H$6973,"medicina_interna")</f>
        <v>0</v>
      </c>
      <c r="AL42" s="27">
        <f>COUNTIFS([4]InfCualitativo!$B$1:$B$6973,"FALSO",[4]InfCualitativo!$E$1:$E$6973,"Ternera",[4]InfCualitativo!$H$1:$H$6973,"medicina_interna")</f>
        <v>0</v>
      </c>
      <c r="AM42" s="30">
        <f t="shared" si="18"/>
        <v>0</v>
      </c>
      <c r="AN42" s="30">
        <f t="shared" si="19"/>
        <v>0</v>
      </c>
      <c r="AO42" s="27">
        <f>COUNTIFS([4]InfCualitativo!$B$1:$B$6973,"VERDADERO",[4]InfCualitativo!$E$1:$E$6973,"Ternera",[4]InfCualitativo!$H$1:$H$6973,"ginecologia")</f>
        <v>0</v>
      </c>
      <c r="AP42" s="27">
        <f>COUNTIFS([4]InfCualitativo!$B$1:$B$6973,"FALSO",[4]InfCualitativo!$E$1:$E$6973,"Ternera",[4]InfCualitativo!$H$1:$H$6973,"ginecologia")</f>
        <v>0</v>
      </c>
      <c r="AQ42" s="30">
        <f t="shared" si="20"/>
        <v>0</v>
      </c>
      <c r="AR42" s="30">
        <f t="shared" si="21"/>
        <v>0</v>
      </c>
      <c r="AS42" s="27">
        <f t="shared" si="22"/>
        <v>109</v>
      </c>
      <c r="AT42" s="27">
        <f t="shared" si="22"/>
        <v>28</v>
      </c>
      <c r="AU42" s="32">
        <f t="shared" si="23"/>
        <v>0.79562043795620441</v>
      </c>
      <c r="AV42" s="32">
        <f t="shared" si="24"/>
        <v>0.20437956204379562</v>
      </c>
    </row>
    <row r="43" spans="1:48" ht="18.75" x14ac:dyDescent="0.3">
      <c r="A43" s="26" t="s">
        <v>63</v>
      </c>
      <c r="B43" s="27">
        <v>124</v>
      </c>
      <c r="C43" s="27">
        <f t="shared" si="1"/>
        <v>124</v>
      </c>
      <c r="D43" s="28">
        <f t="shared" si="0"/>
        <v>100</v>
      </c>
      <c r="E43" s="29">
        <f>COUNTIFS([4]InfCualitativo!$B$1:$B$6973,"VERDADERO",[4]InfCualitativo!$E$1:$E$6973,"Tierra Baja",[4]InfCualitativo!$H$1:$H$6973,"consulta_externa")</f>
        <v>44</v>
      </c>
      <c r="F43" s="29">
        <f>COUNTIFS([4]InfCualitativo!$B$1:$B$6973,"FALSO",[4]InfCualitativo!$E$1:$E$6973,"Tierra Baja",[4]InfCualitativo!$H$1:$H$6973,"consulta_externa")</f>
        <v>0</v>
      </c>
      <c r="G43" s="30">
        <f t="shared" si="2"/>
        <v>1</v>
      </c>
      <c r="H43" s="30">
        <f t="shared" si="3"/>
        <v>0</v>
      </c>
      <c r="I43" s="27">
        <f>COUNTIFS([4]InfCualitativo!$B$1:$B$6973,"VERDADERO",[4]InfCualitativo!$E$1:$E$6973,"Tierra Baja",[4]InfCualitativo!$H$1:$H$6973,"salud_oral")</f>
        <v>40</v>
      </c>
      <c r="J43" s="27">
        <f>COUNTIFS([4]InfCualitativo!$B$1:$B$6973,"FALSO",[4]InfCualitativo!$E$1:$E$6973,"Tierra Baja",[4]InfCualitativo!$H$1:$H$6973,"salud_oral")</f>
        <v>0</v>
      </c>
      <c r="K43" s="30">
        <f t="shared" si="4"/>
        <v>1</v>
      </c>
      <c r="L43" s="30">
        <f t="shared" si="5"/>
        <v>0</v>
      </c>
      <c r="M43" s="27">
        <f>COUNTIFS([4]InfCualitativo!$B$1:$B$6973,"VERDADERO",[4]InfCualitativo!$E$1:$E$6973,"Tierra Baja",[4]InfCualitativo!$H$1:$H$6973,"laboratorio")</f>
        <v>40</v>
      </c>
      <c r="N43" s="27">
        <f>COUNTIFS([4]InfCualitativo!$B$1:$B$6973,"FALSO",[4]InfCualitativo!$E$1:$E$6973,"Tierra Baja",[4]InfCualitativo!$H$1:$H$6973,"laboratorio")</f>
        <v>0</v>
      </c>
      <c r="O43" s="30">
        <f t="shared" si="6"/>
        <v>1</v>
      </c>
      <c r="P43" s="31">
        <f t="shared" si="7"/>
        <v>0</v>
      </c>
      <c r="Q43" s="27">
        <f>COUNTIFS([4]InfCualitativo!$B$1:$B$6973,"VERDADERO",[4]InfCualitativo!$E$1:$E$6973,"Tierra Baja",[4]InfCualitativo!$H$1:$H$6973,"electros")</f>
        <v>0</v>
      </c>
      <c r="R43" s="27">
        <f>COUNTIFS([4]InfCualitativo!$B$1:$B$6973,"FALSO",[4]InfCualitativo!$E$1:$E$6973,"Tierra Baja",[4]InfCualitativo!$H$1:$H$6973,"electros")</f>
        <v>0</v>
      </c>
      <c r="S43" s="30">
        <f t="shared" si="8"/>
        <v>0</v>
      </c>
      <c r="T43" s="30">
        <f t="shared" si="9"/>
        <v>0</v>
      </c>
      <c r="U43" s="27">
        <f>COUNTIFS([4]InfCualitativo!$B$1:$B$6973,"VERDADERO",[4]InfCualitativo!$E$1:$E$6973,"Tierra Baja",[4]InfCualitativo!$H$1:$H$6973,"rx")</f>
        <v>0</v>
      </c>
      <c r="V43" s="27">
        <f>COUNTIFS([4]InfCualitativo!$B$1:$B$6973,"FALSO",[4]InfCualitativo!$E$1:$E$6973,"Tierra Baja",[4]InfCualitativo!$H$1:$H$6973,"rx")</f>
        <v>0</v>
      </c>
      <c r="W43" s="30">
        <f t="shared" si="10"/>
        <v>0</v>
      </c>
      <c r="X43" s="30">
        <f t="shared" si="11"/>
        <v>0</v>
      </c>
      <c r="Y43" s="27">
        <f>COUNTIFS([4]InfCualitativo!$B$1:$B$6973,"VERDADERO",[4]InfCualitativo!$E$1:$E$6973,"Tierra Baja",[4]InfCualitativo!$H$1:$H$6973,"ecografias")</f>
        <v>0</v>
      </c>
      <c r="Z43" s="27">
        <f>COUNTIFS([4]InfCualitativo!$B$1:$B$6973,"FALSO",[4]InfCualitativo!$E$1:$E$6973,"Tierra Baja",[4]InfCualitativo!$H$1:$H$6973,"ecografias")</f>
        <v>0</v>
      </c>
      <c r="AA43" s="30">
        <f t="shared" si="12"/>
        <v>0</v>
      </c>
      <c r="AB43" s="30">
        <f t="shared" si="13"/>
        <v>0</v>
      </c>
      <c r="AC43" s="27">
        <f>COUNTIFS([4]InfCualitativo!$B$1:$B$6973,"VERDADERO",[4]InfCualitativo!$E$1:$E$6973,"Tierra Baja",[4]InfCualitativo!$H$1:$H$6973,"urgencia")</f>
        <v>0</v>
      </c>
      <c r="AD43" s="27">
        <f>COUNTIFS([4]InfCualitativo!$B$1:$B$6973,"FALSO",[4]InfCualitativo!$E$1:$E$6973,"Tierra Baja",[4]InfCualitativo!$H$1:$H$6973,"urgencia")</f>
        <v>0</v>
      </c>
      <c r="AE43" s="30">
        <f t="shared" si="14"/>
        <v>0</v>
      </c>
      <c r="AF43" s="30">
        <f t="shared" si="15"/>
        <v>0</v>
      </c>
      <c r="AG43" s="27">
        <f>COUNTIFS([4]InfCualitativo!$B$1:$B$6973,"VERDADERO",[4]InfCualitativo!$E$1:$E$6973,"Tierra Baja",[4]InfCualitativo!$H$1:$H$6973,"pediatria")</f>
        <v>0</v>
      </c>
      <c r="AH43" s="27">
        <f>COUNTIFS([4]InfCualitativo!$B$1:$B$6973,"FALSO",[4]InfCualitativo!$E$1:$E$6973,"Tierra Baja",[4]InfCualitativo!$H$1:$H$6973,"pediatria")</f>
        <v>0</v>
      </c>
      <c r="AI43" s="30">
        <f t="shared" si="16"/>
        <v>0</v>
      </c>
      <c r="AJ43" s="30">
        <f t="shared" si="17"/>
        <v>0</v>
      </c>
      <c r="AK43" s="27">
        <f>COUNTIFS([4]InfCualitativo!$B$1:$B$6973,"VERDADERO",[4]InfCualitativo!$E$1:$E$6973,"Tierra Baja",[4]InfCualitativo!$H$1:$H$6973,"medicina_interna")</f>
        <v>0</v>
      </c>
      <c r="AL43" s="27">
        <f>COUNTIFS([4]InfCualitativo!$B$1:$B$6973,"FALSO",[4]InfCualitativo!$E$1:$E$6973,"Tierra Baja",[4]InfCualitativo!$H$1:$H$6973,"medicina_interna")</f>
        <v>0</v>
      </c>
      <c r="AM43" s="30">
        <f t="shared" si="18"/>
        <v>0</v>
      </c>
      <c r="AN43" s="30">
        <f t="shared" si="19"/>
        <v>0</v>
      </c>
      <c r="AO43" s="27">
        <f>COUNTIFS([4]InfCualitativo!$B$1:$B$6973,"VERDADERO",[4]InfCualitativo!$E$1:$E$6973,"Tierra Baja",[4]InfCualitativo!$H$1:$H$6973,"ginecologia")</f>
        <v>0</v>
      </c>
      <c r="AP43" s="27">
        <f>COUNTIFS([4]InfCualitativo!$B$1:$B$6973,"FALSO",[4]InfCualitativo!$E$1:$E$6973,"Tierra Baja",[4]InfCualitativo!$H$1:$H$6973,"ginecologia")</f>
        <v>0</v>
      </c>
      <c r="AQ43" s="30">
        <f t="shared" si="20"/>
        <v>0</v>
      </c>
      <c r="AR43" s="30">
        <f t="shared" si="21"/>
        <v>0</v>
      </c>
      <c r="AS43" s="27">
        <f t="shared" si="22"/>
        <v>124</v>
      </c>
      <c r="AT43" s="27">
        <f t="shared" si="22"/>
        <v>0</v>
      </c>
      <c r="AU43" s="32">
        <f t="shared" si="23"/>
        <v>1</v>
      </c>
      <c r="AV43" s="32">
        <f t="shared" si="24"/>
        <v>0</v>
      </c>
    </row>
    <row r="44" spans="1:48" ht="18.75" x14ac:dyDescent="0.3">
      <c r="A44" s="26" t="s">
        <v>64</v>
      </c>
      <c r="B44" s="27">
        <v>122</v>
      </c>
      <c r="C44" s="27">
        <f t="shared" si="1"/>
        <v>122</v>
      </c>
      <c r="D44" s="28">
        <f t="shared" si="0"/>
        <v>100</v>
      </c>
      <c r="E44" s="29">
        <f>COUNTIFS([4]InfCualitativo!$B$1:$B$6973,"VERDADERO",[4]InfCualitativo!$E$1:$E$6973,"Tierra Bomba",[4]InfCualitativo!$H$1:$H$6973,"consulta_externa")</f>
        <v>70</v>
      </c>
      <c r="F44" s="29">
        <f>COUNTIFS([4]InfCualitativo!$B$1:$B$6973,"FALSO",[4]InfCualitativo!$E$1:$E$6973,"Tierra Bomba",[4]InfCualitativo!$H$1:$H$6973,"consulta_externa")</f>
        <v>0</v>
      </c>
      <c r="G44" s="30">
        <f t="shared" si="2"/>
        <v>1</v>
      </c>
      <c r="H44" s="30">
        <f t="shared" si="3"/>
        <v>0</v>
      </c>
      <c r="I44" s="27">
        <f>COUNTIFS([4]InfCualitativo!$B$1:$B$6973,"VERDADERO",[4]InfCualitativo!$E$1:$E$6973,"Tierra Bomba",[4]InfCualitativo!$H$1:$H$6973,"salud_oral")</f>
        <v>22</v>
      </c>
      <c r="J44" s="27">
        <f>COUNTIFS([4]InfCualitativo!$B$1:$B$6973,"FALSO",[4]InfCualitativo!$E$1:$E$6973,"Tierra Bomba",[4]InfCualitativo!$H$1:$H$6973,"salud_oral")</f>
        <v>0</v>
      </c>
      <c r="K44" s="30">
        <f t="shared" si="4"/>
        <v>1</v>
      </c>
      <c r="L44" s="30">
        <f t="shared" si="5"/>
        <v>0</v>
      </c>
      <c r="M44" s="27">
        <f>COUNTIFS([4]InfCualitativo!$B$1:$B$6973,"VERDADERO",[4]InfCualitativo!$E$1:$E$6973,"Tierra Bomba",[4]InfCualitativo!$H$1:$H$6973,"laboratorio")</f>
        <v>30</v>
      </c>
      <c r="N44" s="27">
        <f>COUNTIFS([4]InfCualitativo!$B$1:$B$6973,"FALSO",[4]InfCualitativo!$E$1:$E$6973,"Tierra Bomba",[4]InfCualitativo!$H$1:$H$6973,"laboratorio")</f>
        <v>0</v>
      </c>
      <c r="O44" s="30">
        <f t="shared" si="6"/>
        <v>1</v>
      </c>
      <c r="P44" s="31">
        <f t="shared" si="7"/>
        <v>0</v>
      </c>
      <c r="Q44" s="27">
        <f>COUNTIFS([4]InfCualitativo!$B$1:$B$6973,"VERDADERO",[4]InfCualitativo!$E$1:$E$6973,"Tierra Bomba",[4]InfCualitativo!$H$1:$H$6973,"electros")</f>
        <v>0</v>
      </c>
      <c r="R44" s="27">
        <f>COUNTIFS([4]InfCualitativo!$B$1:$B$6973,"FALSO",[4]InfCualitativo!$E$1:$E$6973,"Tierra Bomba",[4]InfCualitativo!$H$1:$H$6973,"electros")</f>
        <v>0</v>
      </c>
      <c r="S44" s="30">
        <f t="shared" si="8"/>
        <v>0</v>
      </c>
      <c r="T44" s="30">
        <f t="shared" si="9"/>
        <v>0</v>
      </c>
      <c r="U44" s="27">
        <f>COUNTIFS([4]InfCualitativo!$B$1:$B$6973,"VERDADERO",[4]InfCualitativo!$E$1:$E$6973,"Tierra Bomba",[4]InfCualitativo!$H$1:$H$6973,"rx")</f>
        <v>0</v>
      </c>
      <c r="V44" s="27">
        <f>COUNTIFS([4]InfCualitativo!$B$1:$B$6973,"FALSO",[4]InfCualitativo!$E$1:$E$6973,"Tierra Bomba",[4]InfCualitativo!$H$1:$H$6973,"rx")</f>
        <v>0</v>
      </c>
      <c r="W44" s="30">
        <f t="shared" si="10"/>
        <v>0</v>
      </c>
      <c r="X44" s="30">
        <f t="shared" si="11"/>
        <v>0</v>
      </c>
      <c r="Y44" s="27">
        <f>COUNTIFS([4]InfCualitativo!$B$1:$B$6973,"VERDADERO",[4]InfCualitativo!$E$1:$E$6973,"Tierra Bomba",[4]InfCualitativo!$H$1:$H$6973,"ecografias")</f>
        <v>0</v>
      </c>
      <c r="Z44" s="27">
        <f>COUNTIFS([4]InfCualitativo!$B$1:$B$6973,"FALSO",[4]InfCualitativo!$E$1:$E$6973,"Tierra Bomba",[4]InfCualitativo!$H$1:$H$6973,"ecografias")</f>
        <v>0</v>
      </c>
      <c r="AA44" s="30">
        <f t="shared" si="12"/>
        <v>0</v>
      </c>
      <c r="AB44" s="30">
        <f t="shared" si="13"/>
        <v>0</v>
      </c>
      <c r="AC44" s="27">
        <f>COUNTIFS([4]InfCualitativo!$B$1:$B$6973,"VERDADERO",[4]InfCualitativo!$E$1:$E$6973,"Tierra Bomba",[4]InfCualitativo!$H$1:$H$6973,"urgencia")</f>
        <v>0</v>
      </c>
      <c r="AD44" s="27">
        <f>COUNTIFS([4]InfCualitativo!$B$1:$B$6973,"FALSO",[4]InfCualitativo!$E$1:$E$6973,"Tierra Bomba",[4]InfCualitativo!$H$1:$H$6973,"urgencia")</f>
        <v>0</v>
      </c>
      <c r="AE44" s="30">
        <f t="shared" si="14"/>
        <v>0</v>
      </c>
      <c r="AF44" s="30">
        <f t="shared" si="15"/>
        <v>0</v>
      </c>
      <c r="AG44" s="27">
        <f>COUNTIFS([4]InfCualitativo!$B$1:$B$6973,"VERDADERO",[4]InfCualitativo!$E$1:$E$6973,"Tierra Bomba",[4]InfCualitativo!$H$1:$H$6973,"pediatria")</f>
        <v>0</v>
      </c>
      <c r="AH44" s="27">
        <f>COUNTIFS([4]InfCualitativo!$B$1:$B$6973,"FALSO",[4]InfCualitativo!$E$1:$E$6973,"Tierra Bomba",[4]InfCualitativo!$H$1:$H$6973,"pediatria")</f>
        <v>0</v>
      </c>
      <c r="AI44" s="30">
        <f t="shared" si="16"/>
        <v>0</v>
      </c>
      <c r="AJ44" s="30">
        <f t="shared" si="17"/>
        <v>0</v>
      </c>
      <c r="AK44" s="27">
        <f>COUNTIFS([4]InfCualitativo!$B$1:$B$6973,"VERDADERO",[4]InfCualitativo!$E$1:$E$6973,"Tierra Bomba",[4]InfCualitativo!$H$1:$H$6973,"medicina_interna")</f>
        <v>0</v>
      </c>
      <c r="AL44" s="27">
        <f>COUNTIFS([4]InfCualitativo!$B$1:$B$6973,"FALSO",[4]InfCualitativo!$E$1:$E$6973,"Tierra Bomba",[4]InfCualitativo!$H$1:$H$6973,"medicina_interna")</f>
        <v>0</v>
      </c>
      <c r="AM44" s="30">
        <f t="shared" si="18"/>
        <v>0</v>
      </c>
      <c r="AN44" s="30">
        <f t="shared" si="19"/>
        <v>0</v>
      </c>
      <c r="AO44" s="27">
        <f>COUNTIFS([4]InfCualitativo!$B$1:$B$6973,"VERDADERO",[4]InfCualitativo!$E$1:$E$6973,"Tierra Bomba",[4]InfCualitativo!$H$1:$H$6973,"ginecologia")</f>
        <v>0</v>
      </c>
      <c r="AP44" s="27">
        <f>COUNTIFS([4]InfCualitativo!$B$1:$B$6973,"FALSO",[4]InfCualitativo!$E$1:$E$6973,"Tierra Bomba",[4]InfCualitativo!$H$1:$H$6973,"ginecologia")</f>
        <v>0</v>
      </c>
      <c r="AQ44" s="30">
        <f t="shared" si="20"/>
        <v>0</v>
      </c>
      <c r="AR44" s="30">
        <f t="shared" si="21"/>
        <v>0</v>
      </c>
      <c r="AS44" s="27">
        <f t="shared" si="22"/>
        <v>122</v>
      </c>
      <c r="AT44" s="27">
        <f t="shared" si="22"/>
        <v>0</v>
      </c>
      <c r="AU44" s="32">
        <f t="shared" si="23"/>
        <v>1</v>
      </c>
      <c r="AV44" s="32">
        <f t="shared" si="24"/>
        <v>0</v>
      </c>
    </row>
    <row r="45" spans="1:48" ht="18.75" x14ac:dyDescent="0.3">
      <c r="A45" s="26" t="s">
        <v>65</v>
      </c>
      <c r="B45" s="27">
        <v>162</v>
      </c>
      <c r="C45" s="27">
        <f t="shared" si="1"/>
        <v>162</v>
      </c>
      <c r="D45" s="28">
        <f t="shared" si="0"/>
        <v>100</v>
      </c>
      <c r="E45" s="29">
        <f>COUNTIFS([4]InfCualitativo!$B$1:$B$6973,"VERDADERO",[4]InfCualitativo!$E$1:$E$6973,"Baru",[4]InfCualitativo!$H$1:$H$6973,"consulta_externa")</f>
        <v>80</v>
      </c>
      <c r="F45" s="29">
        <f>COUNTIFS([4]InfCualitativo!$B$1:$B$6973,"FALSO",[4]InfCualitativo!$E$1:$E$6973,"Baru",[4]InfCualitativo!$H$1:$H$6973,"consulta_externa")</f>
        <v>0</v>
      </c>
      <c r="G45" s="30">
        <f t="shared" si="2"/>
        <v>1</v>
      </c>
      <c r="H45" s="30">
        <f t="shared" si="3"/>
        <v>0</v>
      </c>
      <c r="I45" s="27">
        <f>COUNTIFS([4]InfCualitativo!$B$1:$B$6973,"VERDADERO",[4]InfCualitativo!$E$1:$E$6973,"Baru",[4]InfCualitativo!$H$1:$H$6973,"salud_oral")</f>
        <v>35</v>
      </c>
      <c r="J45" s="27">
        <f>COUNTIFS([4]InfCualitativo!$B$1:$B$6973,"FALSO",[4]InfCualitativo!$E$1:$E$6973,"Baru",[4]InfCualitativo!$H$1:$H$6973,"salud_oral")</f>
        <v>0</v>
      </c>
      <c r="K45" s="30">
        <f t="shared" si="4"/>
        <v>1</v>
      </c>
      <c r="L45" s="30">
        <f t="shared" si="5"/>
        <v>0</v>
      </c>
      <c r="M45" s="27">
        <f>COUNTIFS([4]InfCualitativo!$B$1:$B$6973,"VERDADERO",[4]InfCualitativo!$E$1:$E$6973,"Baru",[4]InfCualitativo!$H$1:$H$6973,"laboratorio")</f>
        <v>43</v>
      </c>
      <c r="N45" s="27">
        <f>COUNTIFS([4]InfCualitativo!$B$1:$B$6973,"FALSO",[4]InfCualitativo!$E$1:$E$6973,"Baru",[4]InfCualitativo!$H$1:$H$6973,"laboratorio")</f>
        <v>0</v>
      </c>
      <c r="O45" s="30">
        <f t="shared" si="6"/>
        <v>1</v>
      </c>
      <c r="P45" s="31">
        <f t="shared" si="7"/>
        <v>0</v>
      </c>
      <c r="Q45" s="27">
        <f>COUNTIFS([4]InfCualitativo!$B$1:$B$6973,"VERDADERO",[4]InfCualitativo!$E$1:$E$6973,"Baru",[4]InfCualitativo!$H$1:$H$6973,"electros")</f>
        <v>0</v>
      </c>
      <c r="R45" s="27">
        <f>COUNTIFS([4]InfCualitativo!$B$1:$B$6973,"FALSO",[4]InfCualitativo!$E$1:$E$6973,"Baru",[4]InfCualitativo!$H$1:$H$6973,"electros")</f>
        <v>0</v>
      </c>
      <c r="S45" s="30">
        <f t="shared" si="8"/>
        <v>0</v>
      </c>
      <c r="T45" s="30">
        <f t="shared" si="9"/>
        <v>0</v>
      </c>
      <c r="U45" s="27">
        <f>COUNTIFS([4]InfCualitativo!$B$1:$B$6973,"VERDADERO",[4]InfCualitativo!$E$1:$E$6973,"Baru",[4]InfCualitativo!$H$1:$H$6973,"rx")</f>
        <v>0</v>
      </c>
      <c r="V45" s="27">
        <f>COUNTIFS([4]InfCualitativo!$B$1:$B$6973,"FALSO",[4]InfCualitativo!$E$1:$E$6973,"Baru",[4]InfCualitativo!$H$1:$H$6973,"rx")</f>
        <v>0</v>
      </c>
      <c r="W45" s="30">
        <f t="shared" si="10"/>
        <v>0</v>
      </c>
      <c r="X45" s="30">
        <f t="shared" si="11"/>
        <v>0</v>
      </c>
      <c r="Y45" s="27">
        <f>COUNTIFS([4]InfCualitativo!$B$1:$B$6973,"VERDADERO",[4]InfCualitativo!$E$1:$E$6973,"Baru",[4]InfCualitativo!$H$1:$H$6973,"ecografias")</f>
        <v>0</v>
      </c>
      <c r="Z45" s="27">
        <f>COUNTIFS([4]InfCualitativo!$B$1:$B$6973,"FALSO",[4]InfCualitativo!$E$1:$E$6973,"Baru",[4]InfCualitativo!$H$1:$H$6973,"ecografias")</f>
        <v>0</v>
      </c>
      <c r="AA45" s="30">
        <f>IFERROR(Y45/(Y45+Z45),0)</f>
        <v>0</v>
      </c>
      <c r="AB45" s="30">
        <f>IFERROR(Z45/(Y45+Z45),0)</f>
        <v>0</v>
      </c>
      <c r="AC45" s="27">
        <f>COUNTIFS([4]InfCualitativo!$B$1:$B$6973,"VERDADERO",[4]InfCualitativo!$E$1:$E$6973,"Baru",[4]InfCualitativo!$H$1:$H$6973,"urgencia")</f>
        <v>4</v>
      </c>
      <c r="AD45" s="27">
        <f>COUNTIFS([4]InfCualitativo!$B$1:$B$6973,"FALSO",[4]InfCualitativo!$E$1:$E$6973,"Baru",[4]InfCualitativo!$H$1:$H$6973,"urgencia")</f>
        <v>0</v>
      </c>
      <c r="AE45" s="30">
        <f t="shared" si="14"/>
        <v>1</v>
      </c>
      <c r="AF45" s="30">
        <f t="shared" si="15"/>
        <v>0</v>
      </c>
      <c r="AG45" s="27">
        <f>COUNTIFS([4]InfCualitativo!$B$1:$B$6973,"VERDADERO",[4]InfCualitativo!$E$1:$E$6973,"Baru",[4]InfCualitativo!$H$1:$H$6973,"pediatria")</f>
        <v>0</v>
      </c>
      <c r="AH45" s="27">
        <f>COUNTIFS([4]InfCualitativo!$B$1:$B$6973,"FALSO",[4]InfCualitativo!$E$1:$E$6973,"Baru",[4]InfCualitativo!$H$1:$H$6973,"pediatria")</f>
        <v>0</v>
      </c>
      <c r="AI45" s="30">
        <f t="shared" si="16"/>
        <v>0</v>
      </c>
      <c r="AJ45" s="30">
        <f t="shared" si="17"/>
        <v>0</v>
      </c>
      <c r="AK45" s="27">
        <f>COUNTIFS([4]InfCualitativo!$B$1:$B$6973,"VERDADERO",[4]InfCualitativo!$E$1:$E$6973,"Baru",[4]InfCualitativo!$H$1:$H$6973,"medicina_interna")</f>
        <v>0</v>
      </c>
      <c r="AL45" s="27">
        <f>COUNTIFS([4]InfCualitativo!$B$1:$B$6973,"FALSO",[4]InfCualitativo!$E$1:$E$6973,"Baru",[4]InfCualitativo!$H$1:$H$6973,"medicina_interna")</f>
        <v>0</v>
      </c>
      <c r="AM45" s="30">
        <f t="shared" si="18"/>
        <v>0</v>
      </c>
      <c r="AN45" s="30">
        <f t="shared" si="19"/>
        <v>0</v>
      </c>
      <c r="AO45" s="27">
        <f>COUNTIFS([4]InfCualitativo!$B$1:$B$6973,"VERDADERO",[4]InfCualitativo!$E$1:$E$6973,"Baru",[4]InfCualitativo!$H$1:$H$6973,"ginecologia")</f>
        <v>0</v>
      </c>
      <c r="AP45" s="27">
        <f>COUNTIFS([4]InfCualitativo!$B$1:$B$6973,"FALSO",[4]InfCualitativo!$E$1:$E$6973,"Baru",[4]InfCualitativo!$H$1:$H$6973,"ginecologia")</f>
        <v>0</v>
      </c>
      <c r="AQ45" s="30">
        <f t="shared" si="20"/>
        <v>0</v>
      </c>
      <c r="AR45" s="30">
        <f t="shared" si="21"/>
        <v>0</v>
      </c>
      <c r="AS45" s="27">
        <f t="shared" si="22"/>
        <v>162</v>
      </c>
      <c r="AT45" s="27">
        <f t="shared" si="22"/>
        <v>0</v>
      </c>
      <c r="AU45" s="32">
        <f t="shared" si="23"/>
        <v>1</v>
      </c>
      <c r="AV45" s="32">
        <f t="shared" si="24"/>
        <v>0</v>
      </c>
    </row>
    <row r="46" spans="1:48" ht="18.75" x14ac:dyDescent="0.3">
      <c r="A46" s="26" t="s">
        <v>66</v>
      </c>
      <c r="B46" s="27">
        <v>91</v>
      </c>
      <c r="C46" s="27">
        <f t="shared" si="1"/>
        <v>91</v>
      </c>
      <c r="D46" s="28">
        <f t="shared" si="0"/>
        <v>100</v>
      </c>
      <c r="E46" s="29">
        <f>COUNTIFS([4]InfCualitativo!$B$1:$B$6973,"VERDADERO",[4]InfCualitativo!$E$1:$E$6973,"Isla Fuerte",[4]InfCualitativo!$H$1:$H$6973,"consulta_externa")</f>
        <v>42</v>
      </c>
      <c r="F46" s="29">
        <f>COUNTIFS([4]InfCualitativo!$B$1:$B$6973,"FALSO",[4]InfCualitativo!$E$1:$E$6973,"Isla Fuerte",[4]InfCualitativo!$H$1:$H$6973,"consulta_externa")</f>
        <v>1</v>
      </c>
      <c r="G46" s="30">
        <f t="shared" si="2"/>
        <v>0.97674418604651159</v>
      </c>
      <c r="H46" s="30">
        <f t="shared" si="3"/>
        <v>2.3255813953488372E-2</v>
      </c>
      <c r="I46" s="27">
        <f>COUNTIFS([4]InfCualitativo!$B$1:$B$6973,"VERDADERO",[4]InfCualitativo!$E$1:$E$6973,"Isla Fuerte",[4]InfCualitativo!$H$1:$H$6973,"salud_oral")</f>
        <v>26</v>
      </c>
      <c r="J46" s="27">
        <f>COUNTIFS([4]InfCualitativo!$B$1:$B$6973,"FALSO",[4]InfCualitativo!$E$1:$E$6973,"Isla Fuerte",[4]InfCualitativo!$H$1:$H$6973,"salud_oral")</f>
        <v>0</v>
      </c>
      <c r="K46" s="30">
        <f t="shared" si="4"/>
        <v>1</v>
      </c>
      <c r="L46" s="30">
        <f t="shared" si="5"/>
        <v>0</v>
      </c>
      <c r="M46" s="27">
        <f>COUNTIFS([4]InfCualitativo!$B$1:$B$6973,"VERDADERO",[4]InfCualitativo!$E$1:$E$6973,"Isla Fuerte",[4]InfCualitativo!$H$1:$H$6973,"laboratorio")</f>
        <v>22</v>
      </c>
      <c r="N46" s="27">
        <f>COUNTIFS([4]InfCualitativo!$B$1:$B$6973,"FALSO",[4]InfCualitativo!$E$1:$E$6973,"Isla Fuerte",[4]InfCualitativo!$H$1:$H$6973,"laboratorio")</f>
        <v>0</v>
      </c>
      <c r="O46" s="30">
        <f t="shared" si="6"/>
        <v>1</v>
      </c>
      <c r="P46" s="31">
        <f t="shared" si="7"/>
        <v>0</v>
      </c>
      <c r="Q46" s="27">
        <f>COUNTIFS([4]InfCualitativo!$B$1:$B$6973,"VERDADERO",[4]InfCualitativo!$E$1:$E$6973,"Isla Fuerte",[4]InfCualitativo!$H$1:$H$6973,"electros")</f>
        <v>0</v>
      </c>
      <c r="R46" s="27">
        <f>COUNTIFS([4]InfCualitativo!$B$1:$B$6973,"FALSO",[4]InfCualitativo!$E$1:$E$6973,"Isla Fuerte",[4]InfCualitativo!$H$1:$H$6973,"electros")</f>
        <v>0</v>
      </c>
      <c r="S46" s="30">
        <f t="shared" si="8"/>
        <v>0</v>
      </c>
      <c r="T46" s="30">
        <f t="shared" si="9"/>
        <v>0</v>
      </c>
      <c r="U46" s="27">
        <f>COUNTIFS([4]InfCualitativo!$B$1:$B$6973,"VERDADERO",[4]InfCualitativo!$E$1:$E$6973,"Isla Fuerte",[4]InfCualitativo!$H$1:$H$6973,"rx")</f>
        <v>0</v>
      </c>
      <c r="V46" s="27">
        <f>COUNTIFS([4]InfCualitativo!$B$1:$B$6973,"FALSO",[4]InfCualitativo!$E$1:$E$6973,"Isla Fuerte",[4]InfCualitativo!$H$1:$H$6973,"rx")</f>
        <v>0</v>
      </c>
      <c r="W46" s="30">
        <f t="shared" si="10"/>
        <v>0</v>
      </c>
      <c r="X46" s="30">
        <f t="shared" si="11"/>
        <v>0</v>
      </c>
      <c r="Y46" s="27">
        <f>COUNTIFS([4]InfCualitativo!$B$1:$B$6973,"VERDADERO",[4]InfCualitativo!$E$1:$E$6973,"Isla Fuerte",[4]InfCualitativo!$H$1:$H$6973,"ecografias")</f>
        <v>0</v>
      </c>
      <c r="Z46" s="27">
        <f>COUNTIFS([4]InfCualitativo!$B$1:$B$6973,"FALSO",[4]InfCualitativo!$E$1:$E$6973,"Isla Fuerte",[4]InfCualitativo!$H$1:$H$6973,"ecografias")</f>
        <v>0</v>
      </c>
      <c r="AA46" s="30">
        <f>IFERROR(Y46/(Y46+Z46),0)</f>
        <v>0</v>
      </c>
      <c r="AB46" s="30">
        <f>IFERROR(Z46/(Y46+Z46),0)</f>
        <v>0</v>
      </c>
      <c r="AC46" s="27">
        <f>COUNTIFS([4]InfCualitativo!$B$1:$B$6973,"VERDADERO",[4]InfCualitativo!$E$1:$E$6973,"Isla Fuerte",[4]InfCualitativo!$H$1:$H$6973,"urgencia")</f>
        <v>0</v>
      </c>
      <c r="AD46" s="27">
        <f>COUNTIFS([4]InfCualitativo!$B$1:$B$6973,"FALSO",[4]InfCualitativo!$E$1:$E$6973,"Isla Fuerte",[4]InfCualitativo!$H$1:$H$6973,"urgencia")</f>
        <v>0</v>
      </c>
      <c r="AE46" s="30">
        <f t="shared" si="14"/>
        <v>0</v>
      </c>
      <c r="AF46" s="30">
        <f t="shared" si="15"/>
        <v>0</v>
      </c>
      <c r="AG46" s="27">
        <f>COUNTIFS([4]InfCualitativo!$B$1:$B$6973,"VERDADERO",[4]InfCualitativo!$E$1:$E$6973,"Isla Fuerte",[4]InfCualitativo!$H$1:$H$6973,"pediatria")</f>
        <v>0</v>
      </c>
      <c r="AH46" s="27">
        <f>COUNTIFS([4]InfCualitativo!$B$1:$B$6973,"FALSO",[4]InfCualitativo!$E$1:$E$6973,"Isla Fuerte",[4]InfCualitativo!$H$1:$H$6973,"pediatria")</f>
        <v>0</v>
      </c>
      <c r="AI46" s="30">
        <f t="shared" si="16"/>
        <v>0</v>
      </c>
      <c r="AJ46" s="30">
        <f t="shared" si="17"/>
        <v>0</v>
      </c>
      <c r="AK46" s="27">
        <f>COUNTIFS([4]InfCualitativo!$B$1:$B$6973,"VERDADERO",[4]InfCualitativo!$E$1:$E$6973,"Isla Fuerte",[4]InfCualitativo!$H$1:$H$6973,"medicina_interna")</f>
        <v>0</v>
      </c>
      <c r="AL46" s="27">
        <f>COUNTIFS([4]InfCualitativo!$B$1:$B$6973,"FALSO",[4]InfCualitativo!$E$1:$E$6973,"Isla Fuerte",[4]InfCualitativo!$H$1:$H$6973,"medicina_interna")</f>
        <v>0</v>
      </c>
      <c r="AM46" s="30">
        <f t="shared" si="18"/>
        <v>0</v>
      </c>
      <c r="AN46" s="30">
        <f t="shared" si="19"/>
        <v>0</v>
      </c>
      <c r="AO46" s="27">
        <f>COUNTIFS([4]InfCualitativo!$B$1:$B$6973,"VERDADERO",[4]InfCualitativo!$E$1:$E$6973,"Isla Fuerte",[4]InfCualitativo!$H$1:$H$6973,"ginecologia")</f>
        <v>0</v>
      </c>
      <c r="AP46" s="27">
        <f>COUNTIFS([4]InfCualitativo!$B$1:$B$6973,"FALSO",[4]InfCualitativo!$E$1:$E$6973,"Isla Fuerte",[4]InfCualitativo!$H$1:$H$6973,"ginecologia")</f>
        <v>0</v>
      </c>
      <c r="AQ46" s="30">
        <f t="shared" si="20"/>
        <v>0</v>
      </c>
      <c r="AR46" s="30">
        <f t="shared" si="21"/>
        <v>0</v>
      </c>
      <c r="AS46" s="27">
        <f t="shared" si="22"/>
        <v>90</v>
      </c>
      <c r="AT46" s="27">
        <f t="shared" si="22"/>
        <v>1</v>
      </c>
      <c r="AU46" s="32">
        <f t="shared" si="23"/>
        <v>0.98901098901098905</v>
      </c>
      <c r="AV46" s="32">
        <f t="shared" si="24"/>
        <v>1.098901098901099E-2</v>
      </c>
    </row>
    <row r="47" spans="1:48" ht="18.75" x14ac:dyDescent="0.3">
      <c r="A47" s="26" t="s">
        <v>67</v>
      </c>
      <c r="B47" s="27">
        <v>276</v>
      </c>
      <c r="C47" s="27">
        <f t="shared" si="1"/>
        <v>253</v>
      </c>
      <c r="D47" s="28">
        <f t="shared" si="0"/>
        <v>91.666666666666671</v>
      </c>
      <c r="E47" s="29">
        <f>COUNTIFS([4]InfCualitativo!$B$1:$B$6973,"VERDADERO",[4]InfCualitativo!$E$1:$E$6973,"Los Cerros",[4]InfCualitativo!$H$1:$H$6973,"consulta_externa")</f>
        <v>45</v>
      </c>
      <c r="F47" s="29">
        <f>COUNTIFS([4]InfCualitativo!$B$1:$B$6973,"FALSO",[4]InfCualitativo!$E$1:$E$6973,"Los Cerros",[4]InfCualitativo!$H$1:$H$6973,"consulta_externa")</f>
        <v>3</v>
      </c>
      <c r="G47" s="30">
        <f t="shared" si="2"/>
        <v>0.9375</v>
      </c>
      <c r="H47" s="30">
        <f t="shared" si="3"/>
        <v>6.25E-2</v>
      </c>
      <c r="I47" s="27">
        <f>COUNTIFS([4]InfCualitativo!$B$1:$B$6973,"VERDADERO",[4]InfCualitativo!$E$1:$E$6973,"Los Cerros",[4]InfCualitativo!$H$1:$H$6973,"salud_oral")</f>
        <v>47</v>
      </c>
      <c r="J47" s="27">
        <f>COUNTIFS([4]InfCualitativo!$B$1:$B$6973,"FALSO",[4]InfCualitativo!$E$1:$E$6973,"Los Cerros",[4]InfCualitativo!$H$1:$H$6973,"salud_oral")</f>
        <v>0</v>
      </c>
      <c r="K47" s="30">
        <f t="shared" si="4"/>
        <v>1</v>
      </c>
      <c r="L47" s="30">
        <f t="shared" si="5"/>
        <v>0</v>
      </c>
      <c r="M47" s="27">
        <f>COUNTIFS([4]InfCualitativo!$B$1:$B$6973,"VERDADERO",[4]InfCualitativo!$E$1:$E$6973,"Los Cerros",[4]InfCualitativo!$H$1:$H$6973,"laboratorio")</f>
        <v>37</v>
      </c>
      <c r="N47" s="27">
        <f>COUNTIFS([4]InfCualitativo!$B$1:$B$6973,"FALSO",[4]InfCualitativo!$E$1:$E$6973,"Los Cerros",[4]InfCualitativo!$H$1:$H$6973,"laboratorio")</f>
        <v>11</v>
      </c>
      <c r="O47" s="30">
        <f t="shared" si="6"/>
        <v>0.77083333333333337</v>
      </c>
      <c r="P47" s="31">
        <f t="shared" si="7"/>
        <v>0.22916666666666666</v>
      </c>
      <c r="Q47" s="27">
        <f>COUNTIFS([4]InfCualitativo!$B$1:$B$6973,"VERDADERO",[4]InfCualitativo!$E$1:$E$6973,"Los Cerros",[4]InfCualitativo!$H$1:$H$6973,"electros")</f>
        <v>32</v>
      </c>
      <c r="R47" s="27">
        <f>COUNTIFS([4]InfCualitativo!$B$1:$B$6973,"FALSO",[4]InfCualitativo!$E$1:$E$6973,"Los Cerros",[4]InfCualitativo!$H$1:$H$6973,"electros")</f>
        <v>3</v>
      </c>
      <c r="S47" s="30">
        <f t="shared" si="8"/>
        <v>0.91428571428571426</v>
      </c>
      <c r="T47" s="30">
        <f t="shared" si="9"/>
        <v>8.5714285714285715E-2</v>
      </c>
      <c r="U47" s="27">
        <f>COUNTIFS([4]InfCualitativo!$B$1:$B$6973,"VERDADERO",[4]InfCualitativo!$E$1:$E$6973,"Los Cerros",[4]InfCualitativo!$H$1:$H$6973,"rx")</f>
        <v>0</v>
      </c>
      <c r="V47" s="27">
        <f>COUNTIFS([4]InfCualitativo!$B$1:$B$6973,"FALSO",[4]InfCualitativo!$E$1:$E$6973,"Los Cerros",[4]InfCualitativo!$H$1:$H$6973,"rx")</f>
        <v>0</v>
      </c>
      <c r="W47" s="30">
        <f t="shared" si="10"/>
        <v>0</v>
      </c>
      <c r="X47" s="30">
        <f t="shared" si="11"/>
        <v>0</v>
      </c>
      <c r="Y47" s="27">
        <f>COUNTIFS([4]InfCualitativo!$B$1:$B$6973,"VERDADERO",[4]InfCualitativo!$E$1:$E$6973,"Los Cerros",[4]InfCualitativo!$H$1:$H$6973,"ecografias")</f>
        <v>9</v>
      </c>
      <c r="Z47" s="27">
        <f>COUNTIFS([4]InfCualitativo!$B$1:$B$6973,"FALSO",[4]InfCualitativo!$E$1:$E$6973,"Los Cerros",[4]InfCualitativo!$H$1:$H$6973,"ecografias")</f>
        <v>0</v>
      </c>
      <c r="AA47" s="30">
        <f>IFERROR(Y47/(Y47+Z47),0)</f>
        <v>1</v>
      </c>
      <c r="AB47" s="30">
        <f>IFERROR(Z47/(Y47+Z47),0)</f>
        <v>0</v>
      </c>
      <c r="AC47" s="27">
        <f>COUNTIFS([4]InfCualitativo!$B$1:$B$6973,"VERDADERO",[4]InfCualitativo!$E$1:$E$6973,"Los Cerros",[4]InfCualitativo!$H$1:$H$6973,"urgencia")</f>
        <v>0</v>
      </c>
      <c r="AD47" s="27">
        <f>COUNTIFS([4]InfCualitativo!$B$1:$B$6973,"FALSO",[4]InfCualitativo!$E$1:$E$6973,"Los Cerros",[4]InfCualitativo!$H$1:$H$6973,"urgencia")</f>
        <v>0</v>
      </c>
      <c r="AE47" s="30">
        <f t="shared" si="14"/>
        <v>0</v>
      </c>
      <c r="AF47" s="30">
        <f t="shared" si="15"/>
        <v>0</v>
      </c>
      <c r="AG47" s="27">
        <f>COUNTIFS([4]InfCualitativo!$B$1:$B$6973,"VERDADERO",[4]InfCualitativo!$E$1:$E$6973,"Los Cerros",[4]InfCualitativo!$H$1:$H$6973,"pediatria")</f>
        <v>26</v>
      </c>
      <c r="AH47" s="27">
        <f>COUNTIFS([4]InfCualitativo!$B$1:$B$6973,"FALSO",[4]InfCualitativo!$E$1:$E$6973,"Los Cerros",[4]InfCualitativo!$H$1:$H$6973,"pediatria")</f>
        <v>0</v>
      </c>
      <c r="AI47" s="30">
        <f t="shared" si="16"/>
        <v>1</v>
      </c>
      <c r="AJ47" s="30">
        <f t="shared" si="17"/>
        <v>0</v>
      </c>
      <c r="AK47" s="27">
        <f>COUNTIFS([4]InfCualitativo!$B$1:$B$6973,"VERDADERO",[4]InfCualitativo!$E$1:$E$6973,"Los Cerros",[4]InfCualitativo!$H$1:$H$6973,"medicina_interna")</f>
        <v>21</v>
      </c>
      <c r="AL47" s="27">
        <f>COUNTIFS([4]InfCualitativo!$B$1:$B$6973,"FALSO",[4]InfCualitativo!$E$1:$E$6973,"Los Cerros",[4]InfCualitativo!$H$1:$H$6973,"medicina_interna")</f>
        <v>3</v>
      </c>
      <c r="AM47" s="30">
        <f t="shared" si="18"/>
        <v>0.875</v>
      </c>
      <c r="AN47" s="30">
        <f t="shared" si="19"/>
        <v>0.125</v>
      </c>
      <c r="AO47" s="27">
        <f>COUNTIFS([4]InfCualitativo!$B$1:$B$6973,"VERDADERO",[4]InfCualitativo!$E$1:$E$6973,"Los Cerros",[4]InfCualitativo!$H$1:$H$6973,"ginecologia")</f>
        <v>16</v>
      </c>
      <c r="AP47" s="27">
        <f>COUNTIFS([4]InfCualitativo!$B$1:$B$6973,"FALSO",[4]InfCualitativo!$E$1:$E$6973,"Los Cerros",[4]InfCualitativo!$H$1:$H$6973,"ginecologia")</f>
        <v>0</v>
      </c>
      <c r="AQ47" s="30">
        <f t="shared" si="20"/>
        <v>1</v>
      </c>
      <c r="AR47" s="30">
        <f t="shared" si="21"/>
        <v>0</v>
      </c>
      <c r="AS47" s="27">
        <f t="shared" si="22"/>
        <v>233</v>
      </c>
      <c r="AT47" s="27">
        <f t="shared" si="22"/>
        <v>20</v>
      </c>
      <c r="AU47" s="32">
        <f t="shared" si="23"/>
        <v>0.92094861660079053</v>
      </c>
      <c r="AV47" s="32">
        <f t="shared" si="24"/>
        <v>7.9051383399209488E-2</v>
      </c>
    </row>
    <row r="48" spans="1:48" ht="18.75" x14ac:dyDescent="0.3">
      <c r="A48" s="26" t="s">
        <v>68</v>
      </c>
      <c r="B48" s="27">
        <v>60</v>
      </c>
      <c r="C48" s="27">
        <f t="shared" si="1"/>
        <v>60</v>
      </c>
      <c r="D48" s="28">
        <f t="shared" si="0"/>
        <v>100</v>
      </c>
      <c r="E48" s="29">
        <f>COUNTIFS([4]InfCualitativo!$B$1:$B$6973,"VERDADERO",[4]InfCualitativo!$E$1:$E$6973,"Islote de San Bernardo",[4]InfCualitativo!$H$1:$H$6973,"consulta_externa")</f>
        <v>33</v>
      </c>
      <c r="F48" s="29">
        <f>COUNTIFS([4]InfCualitativo!$B$1:$B$6973,"FALSO",[4]InfCualitativo!$E$1:$E$6973,"Islote de San Bernardo",[4]InfCualitativo!$H$1:$H$6973,"consulta_externa")</f>
        <v>1</v>
      </c>
      <c r="G48" s="30">
        <f t="shared" si="2"/>
        <v>0.97058823529411764</v>
      </c>
      <c r="H48" s="30">
        <f t="shared" si="3"/>
        <v>2.9411764705882353E-2</v>
      </c>
      <c r="I48" s="27">
        <f>COUNTIFS([4]InfCualitativo!$B$1:$B$6973,"VERDADERO",[4]InfCualitativo!$E$1:$E$6973,"Islote de San Bernardo",[4]InfCualitativo!$H$1:$H$6973,"salud_oral")</f>
        <v>25</v>
      </c>
      <c r="J48" s="27">
        <f>COUNTIFS([4]InfCualitativo!$B$1:$B$6973,"FALSO",[4]InfCualitativo!$E$1:$E$6973,"Islote de San Bernardo",[4]InfCualitativo!$H$1:$H$6973,"salud_oral")</f>
        <v>1</v>
      </c>
      <c r="K48" s="30">
        <f t="shared" si="4"/>
        <v>0.96153846153846156</v>
      </c>
      <c r="L48" s="30">
        <f t="shared" si="5"/>
        <v>3.8461538461538464E-2</v>
      </c>
      <c r="M48" s="27">
        <f>COUNTIFS([4]InfCualitativo!$B$1:$B$6973,"VERDADERO",[4]InfCualitativo!$E$1:$E$6973,"Islote de San Bernardo",[4]InfCualitativo!$H$1:$H$6973,"laboratorio")</f>
        <v>0</v>
      </c>
      <c r="N48" s="27">
        <f>COUNTIFS([4]InfCualitativo!$B$1:$B$6973,"FALSO",[4]InfCualitativo!$E$1:$E$6973,"Islote de San Bernardo",[4]InfCualitativo!$H$1:$H$6973,"laboratorio")</f>
        <v>0</v>
      </c>
      <c r="O48" s="30">
        <f t="shared" si="6"/>
        <v>0</v>
      </c>
      <c r="P48" s="31">
        <f t="shared" si="7"/>
        <v>0</v>
      </c>
      <c r="Q48" s="27">
        <f>COUNTIFS([4]InfCualitativo!$B$1:$B$6973,"VERDADERO",[4]InfCualitativo!$E$1:$E$6973,"Islote de San Bernardo",[4]InfCualitativo!$H$1:$H$6973,"electros")</f>
        <v>0</v>
      </c>
      <c r="R48" s="27">
        <f>COUNTIFS([4]InfCualitativo!$B$1:$B$6973,"FALSO",[4]InfCualitativo!$E$1:$E$6973,"Islote de San Bernardo",[4]InfCualitativo!$H$1:$H$6973,"electros")</f>
        <v>0</v>
      </c>
      <c r="S48" s="30">
        <f t="shared" si="8"/>
        <v>0</v>
      </c>
      <c r="T48" s="30">
        <f t="shared" si="9"/>
        <v>0</v>
      </c>
      <c r="U48" s="27">
        <f>COUNTIFS([4]InfCualitativo!$B$1:$B$6973,"VERDADERO",[4]InfCualitativo!$E$1:$E$6973,"Islote de San Bernardo",[4]InfCualitativo!$H$1:$H$6973,"rx")</f>
        <v>0</v>
      </c>
      <c r="V48" s="27">
        <f>COUNTIFS([4]InfCualitativo!$B$1:$B$6973,"FALSO",[4]InfCualitativo!$E$1:$E$6973,"Islote de San Bernardo",[4]InfCualitativo!$H$1:$H$6973,"rx")</f>
        <v>0</v>
      </c>
      <c r="W48" s="30">
        <f t="shared" si="10"/>
        <v>0</v>
      </c>
      <c r="X48" s="30">
        <f t="shared" si="11"/>
        <v>0</v>
      </c>
      <c r="Y48" s="27">
        <f>COUNTIFS([4]InfCualitativo!$B$1:$B$6973,"VERDADERO",[4]InfCualitativo!$E$1:$E$6973,"Islote de San Bernardo",[4]InfCualitativo!$H$1:$H$6973,"ecografias")</f>
        <v>0</v>
      </c>
      <c r="Z48" s="27">
        <f>COUNTIFS([4]InfCualitativo!$B$1:$B$6973,"FALSO",[4]InfCualitativo!$E$1:$E$6973,"Islote de San Bernardo",[4]InfCualitativo!$H$1:$H$6973,"ecografias")</f>
        <v>0</v>
      </c>
      <c r="AA48" s="30">
        <f>IFERROR(Y48/(Y48+Z48),0)</f>
        <v>0</v>
      </c>
      <c r="AB48" s="30">
        <f>IFERROR(Z48/(Y48+Z48),0)</f>
        <v>0</v>
      </c>
      <c r="AC48" s="27">
        <f>COUNTIFS([4]InfCualitativo!$B$1:$B$6973,"VERDADERO",[4]InfCualitativo!$E$1:$E$6973,"Islote de San Bernardo",[4]InfCualitativo!$H$1:$H$6973,"urgencia")</f>
        <v>0</v>
      </c>
      <c r="AD48" s="27">
        <f>COUNTIFS([4]InfCualitativo!$B$1:$B$6973,"FALSO",[4]InfCualitativo!$E$1:$E$6973,"Islote de San Bernardo",[4]InfCualitativo!$H$1:$H$6973,"urgencia")</f>
        <v>0</v>
      </c>
      <c r="AE48" s="30">
        <f t="shared" si="14"/>
        <v>0</v>
      </c>
      <c r="AF48" s="30">
        <f t="shared" si="15"/>
        <v>0</v>
      </c>
      <c r="AG48" s="27">
        <f>COUNTIFS([4]InfCualitativo!$B$1:$B$6973,"VERDADERO",[4]InfCualitativo!$E$1:$E$6973,"Islote de San Bernardo",[4]InfCualitativo!$H$1:$H$6973,"pediatria")</f>
        <v>0</v>
      </c>
      <c r="AH48" s="27">
        <f>COUNTIFS([4]InfCualitativo!$B$1:$B$6973,"FALSO",[4]InfCualitativo!$E$1:$E$6973,"Islote de San Bernardo",[4]InfCualitativo!$H$1:$H$6973,"pediatria")</f>
        <v>0</v>
      </c>
      <c r="AI48" s="30">
        <f t="shared" si="16"/>
        <v>0</v>
      </c>
      <c r="AJ48" s="30">
        <f t="shared" si="17"/>
        <v>0</v>
      </c>
      <c r="AK48" s="27">
        <f>COUNTIFS([4]InfCualitativo!$B$1:$B$6973,"VERDADERO",[4]InfCualitativo!$E$1:$E$6973,"Islote de San Bernardo",[4]InfCualitativo!$H$1:$H$6973,"medicina_interna")</f>
        <v>0</v>
      </c>
      <c r="AL48" s="27">
        <f>COUNTIFS([4]InfCualitativo!$B$1:$B$6973,"FALSO",[4]InfCualitativo!$E$1:$E$6973,"Islote de San Bernardo",[4]InfCualitativo!$H$1:$H$6973,"medicina_interna")</f>
        <v>0</v>
      </c>
      <c r="AM48" s="30">
        <f t="shared" si="18"/>
        <v>0</v>
      </c>
      <c r="AN48" s="30">
        <f t="shared" si="19"/>
        <v>0</v>
      </c>
      <c r="AO48" s="27">
        <f>COUNTIFS([4]InfCualitativo!$B$1:$B$6973,"VERDADERO",[4]InfCualitativo!$E$1:$E$6973,"Islote de San Bernardo",[4]InfCualitativo!$H$1:$H$6973,"ginecologia")</f>
        <v>0</v>
      </c>
      <c r="AP48" s="27">
        <f>COUNTIFS([4]InfCualitativo!$B$1:$B$6973,"FALSO",[4]InfCualitativo!$E$1:$E$6973,"Islote de San Bernardo",[4]InfCualitativo!$H$1:$H$6973,"ginecologia")</f>
        <v>0</v>
      </c>
      <c r="AQ48" s="30">
        <f t="shared" si="20"/>
        <v>0</v>
      </c>
      <c r="AR48" s="30">
        <f t="shared" si="21"/>
        <v>0</v>
      </c>
      <c r="AS48" s="27">
        <f t="shared" si="22"/>
        <v>58</v>
      </c>
      <c r="AT48" s="27">
        <f t="shared" si="22"/>
        <v>2</v>
      </c>
      <c r="AU48" s="32">
        <f t="shared" si="23"/>
        <v>0.96666666666666667</v>
      </c>
      <c r="AV48" s="32">
        <f t="shared" si="24"/>
        <v>3.3333333333333333E-2</v>
      </c>
    </row>
    <row r="49" spans="1:48" ht="19.5" thickBot="1" x14ac:dyDescent="0.35">
      <c r="A49" s="83" t="s">
        <v>69</v>
      </c>
      <c r="B49" s="84">
        <v>178</v>
      </c>
      <c r="C49" s="84">
        <f t="shared" si="1"/>
        <v>178</v>
      </c>
      <c r="D49" s="85">
        <f t="shared" si="0"/>
        <v>100</v>
      </c>
      <c r="E49" s="86">
        <f>COUNTIFS([4]InfCualitativo!$B$1:$B$6973,"VERDADERO",[4]InfCualitativo!$E$1:$E$6973,"Santa Ana",[4]InfCualitativo!$H$1:$H$6973,"consulta_externa")</f>
        <v>77</v>
      </c>
      <c r="F49" s="86">
        <f>COUNTIFS([4]InfCualitativo!$B$1:$B$6973,"FALSO",[4]InfCualitativo!$E$1:$E$6973,"Santa Ana",[4]InfCualitativo!$H$1:$H$6973,"consulta_externa")</f>
        <v>0</v>
      </c>
      <c r="G49" s="87">
        <f t="shared" si="2"/>
        <v>1</v>
      </c>
      <c r="H49" s="87">
        <f t="shared" si="3"/>
        <v>0</v>
      </c>
      <c r="I49" s="84">
        <f>COUNTIFS([4]InfCualitativo!$B$1:$B$6973,"VERDADERO",[4]InfCualitativo!$E$1:$E$6973,"Santa Ana",[4]InfCualitativo!$H$1:$H$6973,"salud_oral")</f>
        <v>46</v>
      </c>
      <c r="J49" s="84">
        <f>COUNTIFS([4]InfCualitativo!$B$1:$B$6973,"FALSO",[4]InfCualitativo!$E$1:$E$6973,"Santa Ana",[4]InfCualitativo!$H$1:$H$6973,"salud_oral")</f>
        <v>0</v>
      </c>
      <c r="K49" s="87">
        <f t="shared" si="4"/>
        <v>1</v>
      </c>
      <c r="L49" s="87">
        <f t="shared" si="5"/>
        <v>0</v>
      </c>
      <c r="M49" s="84">
        <f>COUNTIFS([4]InfCualitativo!$B$1:$B$6973,"VERDADERO",[4]InfCualitativo!$E$1:$E$6973,"Santa Ana",[4]InfCualitativo!$H$1:$H$6973,"laboratorio")</f>
        <v>49</v>
      </c>
      <c r="N49" s="84">
        <f>COUNTIFS([4]InfCualitativo!$B$1:$B$6973,"FALSO",[4]InfCualitativo!$E$1:$E$6973,"Santa Ana",[4]InfCualitativo!$H$1:$H$6973,"laboratorio")</f>
        <v>0</v>
      </c>
      <c r="O49" s="87">
        <f t="shared" si="6"/>
        <v>1</v>
      </c>
      <c r="P49" s="88">
        <f t="shared" si="7"/>
        <v>0</v>
      </c>
      <c r="Q49" s="84">
        <f>COUNTIFS([4]InfCualitativo!$B$1:$B$6973,"VERDADERO",[4]InfCualitativo!$E$1:$E$6973,"Santa Ana",[4]InfCualitativo!$H$1:$H$6973,"electros")</f>
        <v>0</v>
      </c>
      <c r="R49" s="84">
        <f>COUNTIFS([4]InfCualitativo!$B$1:$B$6973,"FALSO",[4]InfCualitativo!$E$1:$E$6973,"Santa Ana",[4]InfCualitativo!$H$1:$H$6973,"electros")</f>
        <v>0</v>
      </c>
      <c r="S49" s="87">
        <f t="shared" si="8"/>
        <v>0</v>
      </c>
      <c r="T49" s="87">
        <f t="shared" si="9"/>
        <v>0</v>
      </c>
      <c r="U49" s="84">
        <f>COUNTIFS([4]InfCualitativo!$B$1:$B$6973,"VERDADERO",[4]InfCualitativo!$E$1:$E$6973,"Santa Ana",[4]InfCualitativo!$H$1:$H$6973,"rx")</f>
        <v>0</v>
      </c>
      <c r="V49" s="84">
        <f>COUNTIFS([4]InfCualitativo!$B$1:$B$6973,"FALSO",[4]InfCualitativo!$E$1:$E$6973,"Santa Ana",[4]InfCualitativo!$H$1:$H$6973,"rx")</f>
        <v>0</v>
      </c>
      <c r="W49" s="87">
        <f t="shared" si="10"/>
        <v>0</v>
      </c>
      <c r="X49" s="87">
        <f t="shared" si="11"/>
        <v>0</v>
      </c>
      <c r="Y49" s="84">
        <f>COUNTIFS([4]InfCualitativo!$B$1:$B$6973,"VERDADERO",[4]InfCualitativo!$E$1:$E$6973,"Santa Ana",[4]InfCualitativo!$H$1:$H$6973,"ecografias")</f>
        <v>0</v>
      </c>
      <c r="Z49" s="84">
        <f>COUNTIFS([4]InfCualitativo!$B$1:$B$6973,"FALSO",[4]InfCualitativo!$E$1:$E$6973,"Santa Ana",[4]InfCualitativo!$H$1:$H$6973,"ecografias")</f>
        <v>0</v>
      </c>
      <c r="AA49" s="87">
        <f>IFERROR(Y49/(Y49+Z49),0)</f>
        <v>0</v>
      </c>
      <c r="AB49" s="87">
        <f>IFERROR(Z49/(Y49+Z49),0)</f>
        <v>0</v>
      </c>
      <c r="AC49" s="84">
        <f>COUNTIFS([4]InfCualitativo!$B$1:$B$6973,"VERDADERO",[4]InfCualitativo!$E$1:$E$6973,"Santa Ana",[4]InfCualitativo!$H$1:$H$6973,"urgencia")</f>
        <v>5</v>
      </c>
      <c r="AD49" s="84">
        <f>COUNTIFS([4]InfCualitativo!$B$1:$B$6973,"FALSO",[4]InfCualitativo!$E$1:$E$6973,"Santa Ana",[4]InfCualitativo!$H$1:$H$6973,"urgencia")</f>
        <v>1</v>
      </c>
      <c r="AE49" s="87">
        <f t="shared" si="14"/>
        <v>0.83333333333333337</v>
      </c>
      <c r="AF49" s="87">
        <f t="shared" si="15"/>
        <v>0.16666666666666666</v>
      </c>
      <c r="AG49" s="84">
        <f>COUNTIFS([4]InfCualitativo!$B$1:$B$6973,"VERDADERO",[4]InfCualitativo!$E$1:$E$6973,"Santa Ana",[4]InfCualitativo!$H$1:$H$6973,"pediatria")</f>
        <v>0</v>
      </c>
      <c r="AH49" s="84">
        <f>COUNTIFS([4]InfCualitativo!$B$1:$B$6973,"FALSO",[4]InfCualitativo!$E$1:$E$6973,"Santa Ana",[4]InfCualitativo!$H$1:$H$6973,"pediatria")</f>
        <v>0</v>
      </c>
      <c r="AI49" s="87">
        <f t="shared" si="16"/>
        <v>0</v>
      </c>
      <c r="AJ49" s="87">
        <f t="shared" si="17"/>
        <v>0</v>
      </c>
      <c r="AK49" s="84">
        <f>COUNTIFS([4]InfCualitativo!$B$1:$B$6973,"VERDADERO",[4]InfCualitativo!$E$1:$E$6973,"Santa Ana",[4]InfCualitativo!$H$1:$H$6973,"medicina_interna")</f>
        <v>0</v>
      </c>
      <c r="AL49" s="84">
        <f>COUNTIFS([4]InfCualitativo!$B$1:$B$6973,"FALSO",[4]InfCualitativo!$E$1:$E$6973,"Santa Ana",[4]InfCualitativo!$H$1:$H$6973,"medicina_interna")</f>
        <v>0</v>
      </c>
      <c r="AM49" s="87">
        <f t="shared" si="18"/>
        <v>0</v>
      </c>
      <c r="AN49" s="87">
        <f t="shared" si="19"/>
        <v>0</v>
      </c>
      <c r="AO49" s="84">
        <f>COUNTIFS([4]InfCualitativo!$B$1:$B$6973,"VERDADERO",[4]InfCualitativo!$E$1:$E$6973,"Santa Ana",[4]InfCualitativo!$H$1:$H$6973,"ginecologia")</f>
        <v>0</v>
      </c>
      <c r="AP49" s="84">
        <f>COUNTIFS([4]InfCualitativo!$B$1:$B$6973,"FALSO",[4]InfCualitativo!$E$1:$E$6973,"Santa Ana",[4]InfCualitativo!$H$1:$H$6973,"ginecologia")</f>
        <v>0</v>
      </c>
      <c r="AQ49" s="87">
        <f t="shared" si="20"/>
        <v>0</v>
      </c>
      <c r="AR49" s="87">
        <f t="shared" si="21"/>
        <v>0</v>
      </c>
      <c r="AS49" s="84">
        <f t="shared" si="22"/>
        <v>177</v>
      </c>
      <c r="AT49" s="84">
        <f t="shared" si="22"/>
        <v>1</v>
      </c>
      <c r="AU49" s="37">
        <f t="shared" si="23"/>
        <v>0.9943820224719101</v>
      </c>
      <c r="AV49" s="37">
        <f t="shared" si="24"/>
        <v>5.6179775280898875E-3</v>
      </c>
    </row>
    <row r="50" spans="1:48" ht="24" thickBot="1" x14ac:dyDescent="0.4">
      <c r="A50" s="89"/>
      <c r="B50" s="90">
        <f>SUM(B3:B49)</f>
        <v>6979</v>
      </c>
      <c r="C50" s="91">
        <f t="shared" si="1"/>
        <v>6635</v>
      </c>
      <c r="D50" s="92">
        <f>C50/B50</f>
        <v>0.95070927066915034</v>
      </c>
      <c r="E50" s="93">
        <f>SUM(E3:E49)</f>
        <v>2011</v>
      </c>
      <c r="F50" s="94">
        <f>SUM(F3:F49)</f>
        <v>127</v>
      </c>
      <c r="G50" s="95">
        <f t="shared" si="2"/>
        <v>0.94059869036482691</v>
      </c>
      <c r="H50" s="95">
        <f t="shared" si="3"/>
        <v>5.9401309635173059E-2</v>
      </c>
      <c r="I50" s="96">
        <f>SUM(I3:I49)</f>
        <v>1620</v>
      </c>
      <c r="J50" s="97">
        <f>SUM(J3:J49)</f>
        <v>92</v>
      </c>
      <c r="K50" s="95">
        <f t="shared" si="4"/>
        <v>0.94626168224299068</v>
      </c>
      <c r="L50" s="95">
        <f t="shared" si="5"/>
        <v>5.3738317757009345E-2</v>
      </c>
      <c r="M50" s="96">
        <f>SUM(M3:M49)</f>
        <v>1557</v>
      </c>
      <c r="N50" s="97">
        <f>SUM(N3:N49)</f>
        <v>137</v>
      </c>
      <c r="O50" s="95">
        <f t="shared" si="6"/>
        <v>0.91912632821723728</v>
      </c>
      <c r="P50" s="98">
        <f t="shared" si="7"/>
        <v>8.0873671782762696E-2</v>
      </c>
      <c r="Q50" s="97">
        <f>SUM(Q3:Q49)</f>
        <v>108</v>
      </c>
      <c r="R50" s="97">
        <f>SUM(R3:R49)</f>
        <v>5</v>
      </c>
      <c r="S50" s="95">
        <f t="shared" si="8"/>
        <v>0.95575221238938057</v>
      </c>
      <c r="T50" s="95">
        <f t="shared" si="9"/>
        <v>4.4247787610619468E-2</v>
      </c>
      <c r="U50" s="97">
        <f>SUM(U3:U49)</f>
        <v>129</v>
      </c>
      <c r="V50" s="97">
        <f>SUM(V3:V49)</f>
        <v>8</v>
      </c>
      <c r="W50" s="95">
        <f t="shared" si="10"/>
        <v>0.94160583941605835</v>
      </c>
      <c r="X50" s="95">
        <f t="shared" si="11"/>
        <v>5.8394160583941604E-2</v>
      </c>
      <c r="Y50" s="97">
        <f>SUM(Y3:Y49)</f>
        <v>62</v>
      </c>
      <c r="Z50" s="97">
        <f>SUM(Z3:Z49)</f>
        <v>4</v>
      </c>
      <c r="AA50" s="95">
        <f t="shared" si="12"/>
        <v>0.93939393939393945</v>
      </c>
      <c r="AB50" s="95">
        <f t="shared" si="13"/>
        <v>6.0606060606060608E-2</v>
      </c>
      <c r="AC50" s="96">
        <f>SUM(AC3:AC49)</f>
        <v>379</v>
      </c>
      <c r="AD50" s="97">
        <f>SUM(AD3:AD49)</f>
        <v>115</v>
      </c>
      <c r="AE50" s="95">
        <f t="shared" si="14"/>
        <v>0.76720647773279349</v>
      </c>
      <c r="AF50" s="95">
        <f t="shared" si="15"/>
        <v>0.23279352226720648</v>
      </c>
      <c r="AG50" s="96">
        <f>SUM(AG3:AG49)</f>
        <v>124</v>
      </c>
      <c r="AH50" s="97">
        <f>SUM(AH3:AH49)</f>
        <v>5</v>
      </c>
      <c r="AI50" s="95">
        <f t="shared" si="16"/>
        <v>0.96124031007751942</v>
      </c>
      <c r="AJ50" s="95">
        <f t="shared" si="17"/>
        <v>3.875968992248062E-2</v>
      </c>
      <c r="AK50" s="96">
        <f>SUM(AK3:AK49)</f>
        <v>73</v>
      </c>
      <c r="AL50" s="97">
        <f>SUM(AL3:AL49)</f>
        <v>5</v>
      </c>
      <c r="AM50" s="95">
        <f t="shared" si="18"/>
        <v>0.9358974358974359</v>
      </c>
      <c r="AN50" s="95">
        <f t="shared" si="19"/>
        <v>6.4102564102564097E-2</v>
      </c>
      <c r="AO50" s="96">
        <f>SUM(AO3:AO49)</f>
        <v>72</v>
      </c>
      <c r="AP50" s="97">
        <v>2</v>
      </c>
      <c r="AQ50" s="95">
        <f t="shared" si="20"/>
        <v>0.97297297297297303</v>
      </c>
      <c r="AR50" s="95">
        <f t="shared" si="21"/>
        <v>2.7027027027027029E-2</v>
      </c>
      <c r="AS50" s="99">
        <f t="shared" si="22"/>
        <v>6135</v>
      </c>
      <c r="AT50" s="99">
        <f t="shared" si="22"/>
        <v>500</v>
      </c>
      <c r="AU50" s="100">
        <f t="shared" si="23"/>
        <v>0.9246420497362472</v>
      </c>
      <c r="AV50" s="101">
        <f t="shared" si="24"/>
        <v>7.5357950263752832E-2</v>
      </c>
    </row>
    <row r="51" spans="1:48" x14ac:dyDescent="0.25">
      <c r="C51" s="53"/>
      <c r="E51" s="102">
        <f>SUM(E50:F50)</f>
        <v>2138</v>
      </c>
      <c r="F51" s="58"/>
      <c r="I51" s="102">
        <f>SUM(I50:J50)</f>
        <v>1712</v>
      </c>
      <c r="J51" s="58"/>
      <c r="M51" s="102">
        <f>SUM(M50:N50)</f>
        <v>1694</v>
      </c>
      <c r="N51" s="58"/>
      <c r="Q51" s="58">
        <f>SUM(Q50:R50)</f>
        <v>113</v>
      </c>
      <c r="R51" s="58"/>
      <c r="U51" s="58">
        <f>SUM(U50:V50)</f>
        <v>137</v>
      </c>
      <c r="V51" s="58"/>
      <c r="Y51" s="58">
        <f>SUM(Y50:Z50)</f>
        <v>66</v>
      </c>
      <c r="Z51" s="58"/>
      <c r="AC51" s="58">
        <f>SUM(AC50:AD50)</f>
        <v>494</v>
      </c>
      <c r="AD51" s="58"/>
      <c r="AS51" s="103"/>
    </row>
    <row r="54" spans="1:48" ht="44.25" customHeight="1" x14ac:dyDescent="0.25">
      <c r="A54" s="56" t="s">
        <v>70</v>
      </c>
      <c r="B54" s="57"/>
      <c r="I54" s="58"/>
      <c r="J54" s="58"/>
      <c r="K54" s="58"/>
      <c r="L54" s="58"/>
      <c r="M54" s="58"/>
    </row>
    <row r="55" spans="1:48" x14ac:dyDescent="0.25">
      <c r="A55" s="59" t="s">
        <v>71</v>
      </c>
      <c r="B55" s="60">
        <f>COUNTIFS([4]InfCualitativo!$J$1:$J$6973,"muybueno")</f>
        <v>1227</v>
      </c>
    </row>
    <row r="56" spans="1:48" x14ac:dyDescent="0.25">
      <c r="A56" s="59" t="s">
        <v>72</v>
      </c>
      <c r="B56" s="60">
        <f>COUNTIFS([4]InfCualitativo!$J$1:$J$6973,"bueno")</f>
        <v>4908</v>
      </c>
    </row>
    <row r="57" spans="1:48" x14ac:dyDescent="0.25">
      <c r="A57" s="59" t="s">
        <v>73</v>
      </c>
      <c r="B57" s="60">
        <f>COUNTIFS([4]InfCualitativo!$J$1:$J$6973,"regular")</f>
        <v>489</v>
      </c>
    </row>
    <row r="58" spans="1:48" x14ac:dyDescent="0.25">
      <c r="A58" s="59" t="s">
        <v>74</v>
      </c>
      <c r="B58" s="60">
        <f>COUNTIFS([4]InfCualitativo!$J$1:$J$6973,"malo")</f>
        <v>10</v>
      </c>
    </row>
    <row r="59" spans="1:48" x14ac:dyDescent="0.25">
      <c r="A59" s="59" t="s">
        <v>75</v>
      </c>
      <c r="B59" s="60">
        <f>COUNTIFS([4]InfCualitativo!$J$1:$J$6973,"muymalo")</f>
        <v>1</v>
      </c>
      <c r="C59">
        <f>SUM(B55:B59)</f>
        <v>6635</v>
      </c>
    </row>
    <row r="60" spans="1:48" ht="31.5" customHeight="1" x14ac:dyDescent="0.25">
      <c r="A60" s="59"/>
      <c r="B60" s="60"/>
    </row>
    <row r="61" spans="1:48" ht="42" customHeight="1" x14ac:dyDescent="0.25">
      <c r="A61" s="61" t="s">
        <v>76</v>
      </c>
      <c r="B61" s="62"/>
    </row>
    <row r="62" spans="1:48" x14ac:dyDescent="0.25">
      <c r="A62" s="59" t="s">
        <v>77</v>
      </c>
      <c r="B62" s="60">
        <f>COUNTIFS([4]InfCualitativo!$K$1:$K$6973,"defsi")</f>
        <v>4512</v>
      </c>
    </row>
    <row r="63" spans="1:48" x14ac:dyDescent="0.25">
      <c r="A63" s="59" t="s">
        <v>78</v>
      </c>
      <c r="B63" s="60">
        <f>COUNTIFS([4]InfCualitativo!$K$1:$K$6973,"probsi")</f>
        <v>2065</v>
      </c>
    </row>
    <row r="64" spans="1:48" x14ac:dyDescent="0.25">
      <c r="A64" s="59" t="s">
        <v>79</v>
      </c>
      <c r="B64" s="60">
        <f>COUNTIFS([4]InfCualitativo!$K$1:$K$6973,"defno")</f>
        <v>9</v>
      </c>
    </row>
    <row r="65" spans="1:2" x14ac:dyDescent="0.25">
      <c r="A65" s="63" t="s">
        <v>80</v>
      </c>
      <c r="B65" s="64">
        <f>COUNTIFS([4]InfCualitativo!$K$1:$K$6973,"probno")</f>
        <v>49</v>
      </c>
    </row>
    <row r="66" spans="1:2" x14ac:dyDescent="0.25">
      <c r="B66">
        <f>SUM(B62:B65)</f>
        <v>6635</v>
      </c>
    </row>
  </sheetData>
  <autoFilter ref="A1:D51" xr:uid="{00000000-0001-0000-0000-000000000000}"/>
  <mergeCells count="28">
    <mergeCell ref="AC51:AD51"/>
    <mergeCell ref="A54:B54"/>
    <mergeCell ref="I54:M54"/>
    <mergeCell ref="A61:B61"/>
    <mergeCell ref="E51:F51"/>
    <mergeCell ref="I51:J51"/>
    <mergeCell ref="M51:N51"/>
    <mergeCell ref="Q51:R51"/>
    <mergeCell ref="U51:V51"/>
    <mergeCell ref="Y51:Z51"/>
    <mergeCell ref="AK1:AN1"/>
    <mergeCell ref="AO1:AR1"/>
    <mergeCell ref="AS1:AS2"/>
    <mergeCell ref="AT1:AT2"/>
    <mergeCell ref="AU1:AU2"/>
    <mergeCell ref="AV1:AV2"/>
    <mergeCell ref="M1:P1"/>
    <mergeCell ref="Q1:T1"/>
    <mergeCell ref="V1:X1"/>
    <mergeCell ref="Y1:AB1"/>
    <mergeCell ref="AC1:AF1"/>
    <mergeCell ref="AG1:AJ1"/>
    <mergeCell ref="A1:A2"/>
    <mergeCell ref="B1:B2"/>
    <mergeCell ref="C1:C2"/>
    <mergeCell ref="D1:D2"/>
    <mergeCell ref="E1:H1"/>
    <mergeCell ref="I1:L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71683-938E-497C-88EC-3BBA56F45321}">
  <dimension ref="A1:AV66"/>
  <sheetViews>
    <sheetView topLeftCell="A40" zoomScale="80" zoomScaleNormal="80" workbookViewId="0">
      <selection activeCell="D61" sqref="D61"/>
    </sheetView>
  </sheetViews>
  <sheetFormatPr baseColWidth="10" defaultColWidth="11.42578125" defaultRowHeight="15" x14ac:dyDescent="0.25"/>
  <cols>
    <col min="1" max="1" width="27.28515625" bestFit="1" customWidth="1"/>
    <col min="2" max="2" width="21.85546875" customWidth="1"/>
    <col min="3" max="3" width="18.85546875" customWidth="1"/>
    <col min="4" max="4" width="20.5703125" customWidth="1"/>
    <col min="5" max="5" width="16" customWidth="1"/>
    <col min="6" max="6" width="14.7109375" customWidth="1"/>
    <col min="7" max="7" width="16.140625" customWidth="1"/>
    <col min="8" max="8" width="17.85546875" customWidth="1"/>
    <col min="9" max="9" width="16.140625" customWidth="1"/>
    <col min="10" max="11" width="17" customWidth="1"/>
    <col min="12" max="12" width="16.28515625" customWidth="1"/>
    <col min="13" max="13" width="15.28515625" customWidth="1"/>
    <col min="14" max="14" width="15.7109375" customWidth="1"/>
    <col min="15" max="15" width="15" customWidth="1"/>
    <col min="16" max="16" width="15.28515625" customWidth="1"/>
    <col min="17" max="17" width="15.42578125" customWidth="1"/>
    <col min="18" max="18" width="15.5703125" customWidth="1"/>
    <col min="19" max="19" width="15.42578125" customWidth="1"/>
    <col min="20" max="20" width="15.28515625" customWidth="1"/>
    <col min="21" max="21" width="14.85546875" customWidth="1"/>
    <col min="22" max="22" width="15.42578125" customWidth="1"/>
    <col min="23" max="24" width="15.140625" customWidth="1"/>
    <col min="25" max="25" width="15.28515625" customWidth="1"/>
    <col min="26" max="26" width="15" customWidth="1"/>
    <col min="27" max="27" width="15.42578125" customWidth="1"/>
    <col min="28" max="28" width="15.7109375" customWidth="1"/>
    <col min="29" max="29" width="15.140625" customWidth="1"/>
    <col min="30" max="31" width="15.85546875" customWidth="1"/>
    <col min="32" max="32" width="15.7109375" customWidth="1"/>
    <col min="33" max="33" width="15.5703125" customWidth="1"/>
    <col min="34" max="34" width="15" customWidth="1"/>
    <col min="35" max="35" width="14.85546875" customWidth="1"/>
    <col min="36" max="36" width="16.140625" customWidth="1"/>
    <col min="37" max="38" width="15" customWidth="1"/>
    <col min="39" max="39" width="14.85546875" customWidth="1"/>
    <col min="40" max="40" width="14.5703125" customWidth="1"/>
    <col min="41" max="41" width="14.85546875" customWidth="1"/>
    <col min="42" max="42" width="16" customWidth="1"/>
    <col min="43" max="44" width="14.85546875" customWidth="1"/>
    <col min="45" max="45" width="15.85546875" customWidth="1"/>
    <col min="46" max="46" width="15.28515625" customWidth="1"/>
    <col min="47" max="47" width="16.28515625" customWidth="1"/>
    <col min="48" max="48" width="16.5703125" customWidth="1"/>
  </cols>
  <sheetData>
    <row r="1" spans="1:48" ht="32.25" thickBot="1" x14ac:dyDescent="0.55000000000000004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5" t="s">
        <v>6</v>
      </c>
      <c r="N1" s="6"/>
      <c r="O1" s="6"/>
      <c r="P1" s="7"/>
      <c r="Q1" s="5" t="s">
        <v>7</v>
      </c>
      <c r="R1" s="6"/>
      <c r="S1" s="6"/>
      <c r="T1" s="7"/>
      <c r="U1" s="8"/>
      <c r="V1" s="6" t="s">
        <v>8</v>
      </c>
      <c r="W1" s="6"/>
      <c r="X1" s="7"/>
      <c r="Y1" s="5" t="s">
        <v>9</v>
      </c>
      <c r="Z1" s="6"/>
      <c r="AA1" s="6"/>
      <c r="AB1" s="7"/>
      <c r="AC1" s="5" t="s">
        <v>10</v>
      </c>
      <c r="AD1" s="6"/>
      <c r="AE1" s="6"/>
      <c r="AF1" s="6"/>
      <c r="AG1" s="9" t="s">
        <v>11</v>
      </c>
      <c r="AH1" s="9"/>
      <c r="AI1" s="9"/>
      <c r="AJ1" s="9"/>
      <c r="AK1" s="9" t="s">
        <v>12</v>
      </c>
      <c r="AL1" s="9"/>
      <c r="AM1" s="9"/>
      <c r="AN1" s="9"/>
      <c r="AO1" s="9" t="s">
        <v>13</v>
      </c>
      <c r="AP1" s="9"/>
      <c r="AQ1" s="9"/>
      <c r="AR1" s="9"/>
      <c r="AS1" s="10" t="s">
        <v>14</v>
      </c>
      <c r="AT1" s="11" t="s">
        <v>15</v>
      </c>
      <c r="AU1" s="12" t="s">
        <v>16</v>
      </c>
      <c r="AV1" s="12" t="s">
        <v>17</v>
      </c>
    </row>
    <row r="2" spans="1:48" x14ac:dyDescent="0.25">
      <c r="A2" s="13"/>
      <c r="B2" s="14"/>
      <c r="C2" s="15"/>
      <c r="D2" s="16"/>
      <c r="E2" s="17" t="s">
        <v>18</v>
      </c>
      <c r="F2" s="18" t="s">
        <v>19</v>
      </c>
      <c r="G2" s="17" t="s">
        <v>20</v>
      </c>
      <c r="H2" s="17" t="s">
        <v>21</v>
      </c>
      <c r="I2" s="18" t="s">
        <v>18</v>
      </c>
      <c r="J2" s="19" t="s">
        <v>19</v>
      </c>
      <c r="K2" s="18" t="s">
        <v>20</v>
      </c>
      <c r="L2" s="19" t="s">
        <v>21</v>
      </c>
      <c r="M2" s="18" t="s">
        <v>18</v>
      </c>
      <c r="N2" s="17" t="s">
        <v>19</v>
      </c>
      <c r="O2" s="18" t="s">
        <v>20</v>
      </c>
      <c r="P2" s="17" t="s">
        <v>21</v>
      </c>
      <c r="Q2" s="18" t="s">
        <v>18</v>
      </c>
      <c r="R2" s="19" t="s">
        <v>19</v>
      </c>
      <c r="S2" s="18" t="s">
        <v>20</v>
      </c>
      <c r="T2" s="19" t="s">
        <v>21</v>
      </c>
      <c r="U2" s="18" t="s">
        <v>18</v>
      </c>
      <c r="V2" s="19" t="s">
        <v>19</v>
      </c>
      <c r="W2" s="18" t="s">
        <v>20</v>
      </c>
      <c r="X2" s="19" t="s">
        <v>21</v>
      </c>
      <c r="Y2" s="18" t="s">
        <v>18</v>
      </c>
      <c r="Z2" s="19" t="s">
        <v>19</v>
      </c>
      <c r="AA2" s="18" t="s">
        <v>20</v>
      </c>
      <c r="AB2" s="19" t="s">
        <v>21</v>
      </c>
      <c r="AC2" s="19" t="s">
        <v>18</v>
      </c>
      <c r="AD2" s="19" t="s">
        <v>19</v>
      </c>
      <c r="AE2" s="18" t="s">
        <v>20</v>
      </c>
      <c r="AF2" s="19" t="s">
        <v>21</v>
      </c>
      <c r="AG2" s="17" t="s">
        <v>18</v>
      </c>
      <c r="AH2" s="20" t="s">
        <v>19</v>
      </c>
      <c r="AI2" s="21" t="s">
        <v>20</v>
      </c>
      <c r="AJ2" s="22" t="s">
        <v>21</v>
      </c>
      <c r="AK2" s="17" t="s">
        <v>18</v>
      </c>
      <c r="AL2" s="17" t="s">
        <v>19</v>
      </c>
      <c r="AM2" s="18" t="s">
        <v>20</v>
      </c>
      <c r="AN2" s="17" t="s">
        <v>21</v>
      </c>
      <c r="AO2" s="17" t="s">
        <v>18</v>
      </c>
      <c r="AP2" s="17" t="s">
        <v>19</v>
      </c>
      <c r="AQ2" s="18" t="s">
        <v>20</v>
      </c>
      <c r="AR2" s="17" t="s">
        <v>21</v>
      </c>
      <c r="AS2" s="23"/>
      <c r="AT2" s="24"/>
      <c r="AU2" s="25"/>
      <c r="AV2" s="25"/>
    </row>
    <row r="3" spans="1:48" ht="18.75" x14ac:dyDescent="0.3">
      <c r="A3" s="26" t="s">
        <v>22</v>
      </c>
      <c r="B3" s="27">
        <v>78</v>
      </c>
      <c r="C3" s="27">
        <f>SUM(E3,F3,I3,J3,M3,N3,Q3,R3,U3,V3,Y3,Z3,AC3,AD3,AG3,AH3,AK3,AL3,AO3,AP3)</f>
        <v>71</v>
      </c>
      <c r="D3" s="28">
        <f t="shared" ref="D3:D49" si="0">(C3*100)/B3</f>
        <v>91.025641025641022</v>
      </c>
      <c r="E3" s="29">
        <f>COUNTIFS([5]InfCualitativo!$B$1:$B$6973,"VERDADERO",[5]InfCualitativo!$E$1:$E$6973,"Arroyo de las Canoas",[5]InfCualitativo!$H$1:$H$6973,"consulta_externa")</f>
        <v>29</v>
      </c>
      <c r="F3" s="29">
        <f>COUNTIFS([5]InfCualitativo!$B$1:$B$6973,"FALSO",[5]InfCualitativo!$E$1:$E$6973,"Arroyo de las Canoas",[5]InfCualitativo!$H$1:$H$6973,"consulta_externa")</f>
        <v>0</v>
      </c>
      <c r="G3" s="30">
        <f>IFERROR(E3/(E3+F3),0)</f>
        <v>1</v>
      </c>
      <c r="H3" s="30">
        <f>IFERROR(F3/(E3+F3),0)</f>
        <v>0</v>
      </c>
      <c r="I3" s="27">
        <f>COUNTIFS([5]InfCualitativo!$B$1:$B$6973,"VERDADERO",[5]InfCualitativo!$E$1:$E$6973,"Arroyo de las Canoas",[5]InfCualitativo!$H$1:$H$6973,"salud_oral")</f>
        <v>19</v>
      </c>
      <c r="J3" s="27">
        <f>COUNTIFS([5]InfCualitativo!$B$1:$B$6973,"FALSO",[5]InfCualitativo!$E$1:$E$6973,"Arroyo de las Canoas",[5]InfCualitativo!$H$1:$H$6973,"salud_oral")</f>
        <v>0</v>
      </c>
      <c r="K3" s="30">
        <f>IFERROR(I3/(I3+J3),0)</f>
        <v>1</v>
      </c>
      <c r="L3" s="30">
        <f>IFERROR(J3/(I3+J3),0)</f>
        <v>0</v>
      </c>
      <c r="M3" s="27">
        <f>COUNTIFS([5]InfCualitativo!$B$1:$B$6973,"VERDADERO",[5]InfCualitativo!$E$1:$E$6973,"Arroyo de las Canoas",[5]InfCualitativo!$H$1:$H$6973,"laboratorio")</f>
        <v>23</v>
      </c>
      <c r="N3" s="27">
        <f>COUNTIFS([5]InfCualitativo!$B$1:$B$6973,"FALSO",[5]InfCualitativo!$E$1:$E$6973,"Arroyo de las Canoas",[5]InfCualitativo!$H$1:$H$6973,"laboratorio")</f>
        <v>0</v>
      </c>
      <c r="O3" s="30">
        <f>IFERROR(M3/(M3+N3),0)</f>
        <v>1</v>
      </c>
      <c r="P3" s="31">
        <f>IFERROR(N3/(M3+N3),0)</f>
        <v>0</v>
      </c>
      <c r="Q3" s="27">
        <f>COUNTIFS([5]InfCualitativo!$B$1:$B$6973,"VERDADERO",[5]InfCualitativo!$E$1:$E$6973,"Arroyo de las Canoas",[5]InfCualitativo!$H$1:$H$6973,"electros")</f>
        <v>0</v>
      </c>
      <c r="R3" s="27">
        <f>COUNTIFS([5]InfCualitativo!$B$1:$B$6973,"FALSO",[5]InfCualitativo!$E$1:$E$6973,"Arroyo de las Canoas",[5]InfCualitativo!$H$1:$H$6973,"electros")</f>
        <v>0</v>
      </c>
      <c r="S3" s="30">
        <f>IFERROR(Q3/(Q3+R3),0)</f>
        <v>0</v>
      </c>
      <c r="T3" s="30">
        <f>IFERROR(R3/(Q3+R3),0)</f>
        <v>0</v>
      </c>
      <c r="U3" s="27">
        <f>COUNTIFS([5]InfCualitativo!$B$1:$B$6973,"VERDADERO",[5]InfCualitativo!$E$1:$E$6973,"Arroyo de las Canoas",[5]InfCualitativo!$H$1:$H$6973,"rx")</f>
        <v>0</v>
      </c>
      <c r="V3" s="27">
        <f>COUNTIFS([5]InfCualitativo!$B$1:$B$6973,"FALSO",[5]InfCualitativo!$E$1:$E$6973,"Arroyo de las Canoas",[5]InfCualitativo!$H$1:$H$6973,"rx")</f>
        <v>0</v>
      </c>
      <c r="W3" s="30">
        <f>IFERROR(U3/(U3+V3),0)</f>
        <v>0</v>
      </c>
      <c r="X3" s="30">
        <f>IFERROR(V3/(U3+V3),0)</f>
        <v>0</v>
      </c>
      <c r="Y3" s="27">
        <f>COUNTIFS([5]InfCualitativo!$B$1:$B$6973,"VERDADERO",[5]InfCualitativo!$E$1:$E$6973,"Arroyo de las Canoas",[5]InfCualitativo!$H$1:$H$6973,"ecografias")</f>
        <v>0</v>
      </c>
      <c r="Z3" s="27">
        <f>COUNTIFS([5]InfCualitativo!$B$1:$B$6973,"FALSO",[5]InfCualitativo!$E$1:$E$6973,"Arroyo de las Canoas",[5]InfCualitativo!$H$1:$H$6973,"ecografias")</f>
        <v>0</v>
      </c>
      <c r="AA3" s="30">
        <f>IFERROR(Y3/(Y3+Z3),0)</f>
        <v>0</v>
      </c>
      <c r="AB3" s="30">
        <f>IFERROR(Z3/(Y3+Z3),0)</f>
        <v>0</v>
      </c>
      <c r="AC3" s="27">
        <f>COUNTIFS([5]InfCualitativo!$B$1:$B$6973,"VERDADERO",[5]InfCualitativo!$E$1:$E$6973,"Arroyo de las Canoas",[5]InfCualitativo!$H$1:$H$6973,"urgencia")</f>
        <v>0</v>
      </c>
      <c r="AD3" s="27">
        <f>COUNTIFS([5]InfCualitativo!$B$1:$B$6973,"FALSO",[5]InfCualitativo!$E$1:$E$6973,"Arroyo de las Canoas",[5]InfCualitativo!$H$1:$H$6973,"urgencia")</f>
        <v>0</v>
      </c>
      <c r="AE3" s="30">
        <f>IFERROR(AC3/(AC3+AD3),0)</f>
        <v>0</v>
      </c>
      <c r="AF3" s="30">
        <f>IFERROR(AD3/(AC3+AD3),0)</f>
        <v>0</v>
      </c>
      <c r="AG3" s="27">
        <f>COUNTIFS([5]InfCualitativo!$B$1:$B$6973,"VERDADERO",[5]InfCualitativo!$E$1:$E$6973,"Arroyo de las Canoas",[5]InfCualitativo!$H$1:$H$6973,"pediatria")</f>
        <v>0</v>
      </c>
      <c r="AH3" s="27">
        <f>COUNTIFS([5]InfCualitativo!$B$1:$B$6973,"FALSO",[5]InfCualitativo!$E$1:$E$6973,"Arroyo de las Canoas",[5]InfCualitativo!$H$1:$H$6973,"pediatria")</f>
        <v>0</v>
      </c>
      <c r="AI3" s="30">
        <f>IFERROR(AG3/(AG3+AH3),0)</f>
        <v>0</v>
      </c>
      <c r="AJ3" s="30">
        <f>IFERROR(AH3/(AG3+AH3),0)</f>
        <v>0</v>
      </c>
      <c r="AK3" s="27">
        <f>COUNTIFS([5]InfCualitativo!$B$1:$B$6973,"VERDADERO",[5]InfCualitativo!$E$1:$E$6973,"Arroyo de las Canoas",[5]InfCualitativo!$H$1:$H$6973,"medicina_interna")</f>
        <v>0</v>
      </c>
      <c r="AL3" s="27">
        <f>COUNTIFS([5]InfCualitativo!$B$1:$B$6973,"FALSO",[5]InfCualitativo!$E$1:$E$6973,"Arroyo de las Canoas",[5]InfCualitativo!$H$1:$H$6973,"medicina_interna")</f>
        <v>0</v>
      </c>
      <c r="AM3" s="30">
        <f>IFERROR(AK3/(AK3+AL3),0)</f>
        <v>0</v>
      </c>
      <c r="AN3" s="30">
        <f>IFERROR(AL3/(AK3+AL3),0)</f>
        <v>0</v>
      </c>
      <c r="AO3" s="27">
        <f>COUNTIFS([5]InfCualitativo!$B$1:$B$6973,"VERDADERO",[5]InfCualitativo!$E$1:$E$6973,"Arroyo de las Canoas",[5]InfCualitativo!$H$1:$H$6973,"ginecologia")</f>
        <v>0</v>
      </c>
      <c r="AP3" s="27">
        <f>COUNTIFS([5]InfCualitativo!$B$1:$B$6973,"FALSO",[5]InfCualitativo!$E$1:$E$6973,"Arroyo de las Canoas",[5]InfCualitativo!$H$1:$H$6973,"ginecologia")</f>
        <v>0</v>
      </c>
      <c r="AQ3" s="30">
        <f>IFERROR(AO3/(AO3+AP3),0)</f>
        <v>0</v>
      </c>
      <c r="AR3" s="30">
        <f>IFERROR(AP3/(AO3+AP3),0)</f>
        <v>0</v>
      </c>
      <c r="AS3" s="27">
        <f>SUM(E3+I3+M3+Q3+U3+Y3+AC3+AG3+AK3+AO3)</f>
        <v>71</v>
      </c>
      <c r="AT3" s="27">
        <f>SUM(F3+J3+N3+R3+V3+Z3+AD3+AH3+AL3+AP3)</f>
        <v>0</v>
      </c>
      <c r="AU3" s="32">
        <f>IFERROR(AS3/(AS3+AT3),0)</f>
        <v>1</v>
      </c>
      <c r="AV3" s="32">
        <f>IFERROR(AT3/(AS3+AT3),0)</f>
        <v>0</v>
      </c>
    </row>
    <row r="4" spans="1:48" ht="18.75" x14ac:dyDescent="0.3">
      <c r="A4" s="26" t="s">
        <v>23</v>
      </c>
      <c r="B4" s="27">
        <v>93</v>
      </c>
      <c r="C4" s="27">
        <f t="shared" ref="C4:C50" si="1">SUM(E4,F4,I4,J4,M4,N4,Q4,R4,U4,V4,Y4,Z4,AC4,AD4,AG4,AH4,AK4,AL4,AO4,AP4)</f>
        <v>86</v>
      </c>
      <c r="D4" s="28">
        <f t="shared" si="0"/>
        <v>92.473118279569889</v>
      </c>
      <c r="E4" s="29">
        <f>COUNTIFS([5]InfCualitativo!$B$1:$B$6973,"VERDADERO",[5]InfCualitativo!$E$1:$E$6973,"Arroyo de Piedra",[5]InfCualitativo!$H$1:$H$6973,"consulta_externa")</f>
        <v>30</v>
      </c>
      <c r="F4" s="29">
        <f>COUNTIFS([5]InfCualitativo!$B$1:$B$6973,"FALSO",[5]InfCualitativo!$E$1:$E$6973,"Arroyo de Piedra",[5]InfCualitativo!$H$1:$H$6973,"consulta_externa")</f>
        <v>0</v>
      </c>
      <c r="G4" s="30">
        <f t="shared" ref="G4:G50" si="2">IFERROR(E4/(E4+F4),0)</f>
        <v>1</v>
      </c>
      <c r="H4" s="30">
        <f t="shared" ref="H4:H50" si="3">IFERROR(F4/(E4+F4),0)</f>
        <v>0</v>
      </c>
      <c r="I4" s="27">
        <f>COUNTIFS([5]InfCualitativo!$B$1:$B$6973,"VERDADERO",[5]InfCualitativo!$E$1:$E$6973,"Arroyo de Piedra",[5]InfCualitativo!$H$1:$H$6973,"salud_oral")</f>
        <v>26</v>
      </c>
      <c r="J4" s="27">
        <f>COUNTIFS([5]InfCualitativo!$B$1:$B$6973,"FALSO",[5]InfCualitativo!$E$1:$E$6973,"Arroyo de Piedra",[5]InfCualitativo!$H$1:$H$6973,"salud_oral")</f>
        <v>1</v>
      </c>
      <c r="K4" s="30">
        <f t="shared" ref="K4:K50" si="4">IFERROR(I4/(I4+J4),0)</f>
        <v>0.96296296296296291</v>
      </c>
      <c r="L4" s="30">
        <f t="shared" ref="L4:L50" si="5">IFERROR(J4/(I4+J4),0)</f>
        <v>3.7037037037037035E-2</v>
      </c>
      <c r="M4" s="27">
        <f>COUNTIFS([5]InfCualitativo!$B$1:$B$6973,"VERDADERO",[5]InfCualitativo!$E$1:$E$6973,"Arroyo de Piedra",[5]InfCualitativo!$H$1:$H$6973,"laboratorio")</f>
        <v>29</v>
      </c>
      <c r="N4" s="27">
        <f>COUNTIFS([5]InfCualitativo!$B$1:$B$6973,"FALSO",[5]InfCualitativo!$E$1:$E$6973,"Arroyo de Piedra",[5]InfCualitativo!$H$1:$H$6973,"laboratorio")</f>
        <v>0</v>
      </c>
      <c r="O4" s="30">
        <f t="shared" ref="O4:O50" si="6">IFERROR(M4/(M4+N4),0)</f>
        <v>1</v>
      </c>
      <c r="P4" s="31">
        <f t="shared" ref="P4:P50" si="7">IFERROR(N4/(M4+N4),0)</f>
        <v>0</v>
      </c>
      <c r="Q4" s="27">
        <f>COUNTIFS([5]InfCualitativo!$B$1:$B$6973,"VERDADERO",[5]InfCualitativo!$E$1:$E$6973,"Arroyo de Piedra",[5]InfCualitativo!$H$1:$H$6973,"electros")</f>
        <v>0</v>
      </c>
      <c r="R4" s="27">
        <f>COUNTIFS([5]InfCualitativo!$B$1:$B$6973,"FALSO",[5]InfCualitativo!$E$1:$E$6973,"Arroyo de Piedra",[5]InfCualitativo!$H$1:$H$6973,"electros")</f>
        <v>0</v>
      </c>
      <c r="S4" s="30">
        <f t="shared" ref="S4:S50" si="8">IFERROR(Q4/(Q4+R4),0)</f>
        <v>0</v>
      </c>
      <c r="T4" s="30">
        <f t="shared" ref="T4:T50" si="9">IFERROR(R4/(Q4+R4),0)</f>
        <v>0</v>
      </c>
      <c r="U4" s="27">
        <f>COUNTIFS([5]InfCualitativo!$B$1:$B$6973,"VERDADERO",[5]InfCualitativo!$E$1:$E$6973,"Arroyo de Piedra",[5]InfCualitativo!$H$1:$H$6973,"rx")</f>
        <v>0</v>
      </c>
      <c r="V4" s="27">
        <f>COUNTIFS([5]InfCualitativo!$B$1:$B$6973,"FALSO",[5]InfCualitativo!$E$1:$E$6973,"Arroyo de Piedra",[5]InfCualitativo!$H$1:$H$6973,"rx")</f>
        <v>0</v>
      </c>
      <c r="W4" s="30">
        <f t="shared" ref="W4:W50" si="10">IFERROR(U4/(U4+V4),0)</f>
        <v>0</v>
      </c>
      <c r="X4" s="30">
        <f t="shared" ref="X4:X50" si="11">IFERROR(V4/(U4+V4),0)</f>
        <v>0</v>
      </c>
      <c r="Y4" s="27">
        <f>COUNTIFS([5]InfCualitativo!$B$1:$B$6973,"VERDADERO",[5]InfCualitativo!$E$1:$E$6973,"Arroyo de Piedra",[5]InfCualitativo!$H$1:$H$6973,"ecografias")</f>
        <v>0</v>
      </c>
      <c r="Z4" s="27">
        <f>COUNTIFS([5]InfCualitativo!$B$1:$B$6973,"FALSO",[5]InfCualitativo!$E$1:$E$6973,"Arroyo de Piedra",[5]InfCualitativo!$H$1:$H$6973,"ecografias")</f>
        <v>0</v>
      </c>
      <c r="AA4" s="30">
        <f t="shared" ref="AA4:AA50" si="12">IFERROR(Y4/(Y4+Z4),0)</f>
        <v>0</v>
      </c>
      <c r="AB4" s="30">
        <f t="shared" ref="AB4:AB50" si="13">IFERROR(Z4/(Y4+Z4),0)</f>
        <v>0</v>
      </c>
      <c r="AC4" s="27">
        <f>COUNTIFS([5]InfCualitativo!$B$1:$B$6973,"VERDADERO",[5]InfCualitativo!$E$1:$E$6973,"Arroyo de Piedra",[5]InfCualitativo!$H$1:$H$6973,"urgencia")</f>
        <v>0</v>
      </c>
      <c r="AD4" s="27">
        <f>COUNTIFS([5]InfCualitativo!$B$1:$B$6973,"FALSO",[5]InfCualitativo!$E$1:$E$6973,"Arroyo de Piedra",[5]InfCualitativo!$H$1:$H$6973,"urgencia")</f>
        <v>0</v>
      </c>
      <c r="AE4" s="30">
        <f t="shared" ref="AE4:AE50" si="14">IFERROR(AC4/(AC4+AD4),0)</f>
        <v>0</v>
      </c>
      <c r="AF4" s="30">
        <f t="shared" ref="AF4:AF50" si="15">IFERROR(AD4/(AC4+AD4),0)</f>
        <v>0</v>
      </c>
      <c r="AG4" s="27">
        <f>COUNTIFS([5]InfCualitativo!$B$1:$B$6973,"VERDADERO",[5]InfCualitativo!$E$1:$E$6973,"Arroyo de Piedra",[5]InfCualitativo!$H$1:$H$6973,"pediatria")</f>
        <v>0</v>
      </c>
      <c r="AH4" s="27">
        <f>COUNTIFS([5]InfCualitativo!$B$1:$B$6973,"FALSO",[5]InfCualitativo!$E$1:$E$6973,"Arroyo de Piedra",[5]InfCualitativo!$H$1:$H$6973,"pediatria")</f>
        <v>0</v>
      </c>
      <c r="AI4" s="30">
        <f t="shared" ref="AI4:AI50" si="16">IFERROR(AG4/(AG4+AH4),0)</f>
        <v>0</v>
      </c>
      <c r="AJ4" s="30">
        <f t="shared" ref="AJ4:AJ50" si="17">IFERROR(AH4/(AG4+AH4),0)</f>
        <v>0</v>
      </c>
      <c r="AK4" s="27">
        <f>COUNTIFS([5]InfCualitativo!$B$1:$B$6973,"VERDADERO",[5]InfCualitativo!$E$1:$E$6973,"Arroyo de Piedra",[5]InfCualitativo!$H$1:$H$6973,"medicina_interna")</f>
        <v>0</v>
      </c>
      <c r="AL4" s="27">
        <f>COUNTIFS([5]InfCualitativo!$B$1:$B$6973,"FALSO",[5]InfCualitativo!$E$1:$E$6973,"Arroyo de Piedra",[5]InfCualitativo!$H$1:$H$6973,"medicina_interna")</f>
        <v>0</v>
      </c>
      <c r="AM4" s="30">
        <f t="shared" ref="AM4:AM50" si="18">IFERROR(AK4/(AK4+AL4),0)</f>
        <v>0</v>
      </c>
      <c r="AN4" s="30">
        <f t="shared" ref="AN4:AN50" si="19">IFERROR(AL4/(AK4+AL4),0)</f>
        <v>0</v>
      </c>
      <c r="AO4" s="27">
        <f>COUNTIFS([5]InfCualitativo!$B$1:$B$6973,"VERDADERO",[5]InfCualitativo!$E$1:$E$6973,"Arroyo de Piedra",[5]InfCualitativo!$H$1:$H$6973,"ginecologia")</f>
        <v>0</v>
      </c>
      <c r="AP4" s="27">
        <f>COUNTIFS([5]InfCualitativo!$B$1:$B$6973,"FALSO",[5]InfCualitativo!$E$1:$E$6973,"Arroyo de Piedra",[5]InfCualitativo!$H$1:$H$6973,"ginecologia")</f>
        <v>0</v>
      </c>
      <c r="AQ4" s="30">
        <f t="shared" ref="AQ4:AQ50" si="20">IFERROR(AO4/(AO4+AP4),0)</f>
        <v>0</v>
      </c>
      <c r="AR4" s="30">
        <f t="shared" ref="AR4:AR50" si="21">IFERROR(AP4/(AO4+AP4),0)</f>
        <v>0</v>
      </c>
      <c r="AS4" s="27">
        <f t="shared" ref="AS4:AT50" si="22">SUM(E4+I4+M4+Q4+U4+Y4+AC4+AG4+AK4+AO4)</f>
        <v>85</v>
      </c>
      <c r="AT4" s="27">
        <f t="shared" si="22"/>
        <v>1</v>
      </c>
      <c r="AU4" s="32">
        <f t="shared" ref="AU4:AU50" si="23">IFERROR(AS4/(AS4+AT4),0)</f>
        <v>0.98837209302325579</v>
      </c>
      <c r="AV4" s="32">
        <f t="shared" ref="AV4:AV50" si="24">IFERROR(AT4/(AS4+AT4),0)</f>
        <v>1.1627906976744186E-2</v>
      </c>
    </row>
    <row r="5" spans="1:48" ht="18.75" x14ac:dyDescent="0.3">
      <c r="A5" s="26" t="s">
        <v>24</v>
      </c>
      <c r="B5" s="27">
        <v>93</v>
      </c>
      <c r="C5" s="27">
        <f t="shared" si="1"/>
        <v>84</v>
      </c>
      <c r="D5" s="28">
        <f t="shared" si="0"/>
        <v>90.322580645161295</v>
      </c>
      <c r="E5" s="29">
        <f>COUNTIFS([5]InfCualitativo!$B$1:$B$6973,"VERDADERO",[5]InfCualitativo!$E$1:$E$6973,"Arroyo Grande",[5]InfCualitativo!$H$1:$H$6973,"consulta_externa")</f>
        <v>28</v>
      </c>
      <c r="F5" s="29">
        <f>COUNTIFS([5]InfCualitativo!$B$1:$B$6973,"FALSO",[5]InfCualitativo!$E$1:$E$6973,"Arroyo Grande",[5]InfCualitativo!$H$1:$H$6973,"consulta_externa")</f>
        <v>2</v>
      </c>
      <c r="G5" s="30">
        <f t="shared" si="2"/>
        <v>0.93333333333333335</v>
      </c>
      <c r="H5" s="30">
        <f t="shared" si="3"/>
        <v>6.6666666666666666E-2</v>
      </c>
      <c r="I5" s="27">
        <f>COUNTIFS([5]InfCualitativo!$B$1:$B$6973,"VERDADERO",[5]InfCualitativo!$E$1:$E$6973,"Arroyo Grande",[5]InfCualitativo!$H$1:$H$6973,"salud_oral")</f>
        <v>26</v>
      </c>
      <c r="J5" s="27">
        <f>COUNTIFS([5]InfCualitativo!$B$1:$B$6973,"FALSO",[5]InfCualitativo!$E$1:$E$6973,"Arroyo Grande",[5]InfCualitativo!$H$1:$H$6973,"salud_oral")</f>
        <v>0</v>
      </c>
      <c r="K5" s="30">
        <f t="shared" si="4"/>
        <v>1</v>
      </c>
      <c r="L5" s="30">
        <f t="shared" si="5"/>
        <v>0</v>
      </c>
      <c r="M5" s="27">
        <f>COUNTIFS([5]InfCualitativo!$B$1:$B$6973,"VERDADERO",[5]InfCualitativo!$E$1:$E$6973,"Arroyo Grande",[5]InfCualitativo!$H$1:$H$6973,"laboratorio")</f>
        <v>27</v>
      </c>
      <c r="N5" s="27">
        <f>COUNTIFS([5]InfCualitativo!$B$1:$B$6973,"FALSO",[5]InfCualitativo!$E$1:$E$6973,"Arroyo Grande",[5]InfCualitativo!$H$1:$H$6973,"laboratorio")</f>
        <v>1</v>
      </c>
      <c r="O5" s="30">
        <f t="shared" si="6"/>
        <v>0.9642857142857143</v>
      </c>
      <c r="P5" s="31">
        <f t="shared" si="7"/>
        <v>3.5714285714285712E-2</v>
      </c>
      <c r="Q5" s="27">
        <f>COUNTIFS([5]InfCualitativo!$B$1:$B$6973,"VERDADERO",[5]InfCualitativo!$E$1:$E$6973,"Arroyo Grande",[5]InfCualitativo!$H$1:$H$6973,"electros")</f>
        <v>0</v>
      </c>
      <c r="R5" s="27">
        <f>COUNTIFS([5]InfCualitativo!$B$1:$B$6973,"FALSO",[5]InfCualitativo!$E$1:$E$6973,"Arroyo Grande",[5]InfCualitativo!$H$1:$H$6973,"electros")</f>
        <v>0</v>
      </c>
      <c r="S5" s="30">
        <f t="shared" si="8"/>
        <v>0</v>
      </c>
      <c r="T5" s="30">
        <f t="shared" si="9"/>
        <v>0</v>
      </c>
      <c r="U5" s="27">
        <f>COUNTIFS([5]InfCualitativo!$B$1:$B$6973,"VERDADERO",[5]InfCualitativo!$E$1:$E$6973,"Arroyo Grande",[5]InfCualitativo!$H$1:$H$6973,"rx")</f>
        <v>0</v>
      </c>
      <c r="V5" s="27">
        <f>COUNTIFS([5]InfCualitativo!$B$1:$B$6973,"FALSO",[5]InfCualitativo!$E$1:$E$6973,"Arroyo Grande",[5]InfCualitativo!$H$1:$H$6973,"rx")</f>
        <v>0</v>
      </c>
      <c r="W5" s="30">
        <f t="shared" si="10"/>
        <v>0</v>
      </c>
      <c r="X5" s="30">
        <f t="shared" si="11"/>
        <v>0</v>
      </c>
      <c r="Y5" s="27">
        <f>COUNTIFS([5]InfCualitativo!$B$1:$B$6973,"VERDADERO",[5]InfCualitativo!$E$1:$E$6973,"Arroyo Grande",[5]InfCualitativo!$H$1:$H$6973,"ecografias")</f>
        <v>0</v>
      </c>
      <c r="Z5" s="27">
        <f>COUNTIFS([5]InfCualitativo!$B$1:$B$6973,"FALSO",[5]InfCualitativo!$E$1:$E$6973,"Arroyo Grande",[5]InfCualitativo!$H$1:$H$6973,"ecografias")</f>
        <v>0</v>
      </c>
      <c r="AA5" s="30">
        <f t="shared" si="12"/>
        <v>0</v>
      </c>
      <c r="AB5" s="30">
        <f t="shared" si="13"/>
        <v>0</v>
      </c>
      <c r="AC5" s="27">
        <f>COUNTIFS([5]InfCualitativo!$B$1:$B$6973,"VERDADERO",[5]InfCualitativo!$E$1:$E$6973,"Arroyo Grande",[5]InfCualitativo!$H$1:$H$6973,"urgencia")</f>
        <v>0</v>
      </c>
      <c r="AD5" s="27">
        <f>COUNTIFS([5]InfCualitativo!$B$1:$B$6973,"FALSO",[5]InfCualitativo!$E$1:$E$6973,"Arroyo Grande",[5]InfCualitativo!$H$1:$H$6973,"urgencia")</f>
        <v>0</v>
      </c>
      <c r="AE5" s="30">
        <f t="shared" si="14"/>
        <v>0</v>
      </c>
      <c r="AF5" s="30">
        <f t="shared" si="15"/>
        <v>0</v>
      </c>
      <c r="AG5" s="27">
        <f>COUNTIFS([5]InfCualitativo!$B$1:$B$6973,"VERDADERO",[5]InfCualitativo!$E$1:$E$6973,"Arroyo Grande",[5]InfCualitativo!$H$1:$H$6973,"pediatria")</f>
        <v>0</v>
      </c>
      <c r="AH5" s="27">
        <f>COUNTIFS([5]InfCualitativo!$B$1:$B$6973,"FALSO",[5]InfCualitativo!$E$1:$E$6973,"Arroyo Grande",[5]InfCualitativo!$H$1:$H$6973,"pediatria")</f>
        <v>0</v>
      </c>
      <c r="AI5" s="30">
        <f t="shared" si="16"/>
        <v>0</v>
      </c>
      <c r="AJ5" s="30">
        <f t="shared" si="17"/>
        <v>0</v>
      </c>
      <c r="AK5" s="27">
        <f>COUNTIFS([5]InfCualitativo!$B$1:$B$6973,"VERDADERO",[5]InfCualitativo!$E$1:$E$6973,"Arroyo Grande",[5]InfCualitativo!$H$1:$H$6973,"medicina_interna")</f>
        <v>0</v>
      </c>
      <c r="AL5" s="27">
        <f>COUNTIFS([5]InfCualitativo!$B$1:$B$6973,"FALSO",[5]InfCualitativo!$E$1:$E$6973,"Arroyo Grande",[5]InfCualitativo!$H$1:$H$6973,"medicina_interna")</f>
        <v>0</v>
      </c>
      <c r="AM5" s="30">
        <f t="shared" si="18"/>
        <v>0</v>
      </c>
      <c r="AN5" s="30">
        <f t="shared" si="19"/>
        <v>0</v>
      </c>
      <c r="AO5" s="27">
        <f>COUNTIFS([5]InfCualitativo!$B$1:$B$6973,"VERDADERO",[5]InfCualitativo!$E$1:$E$6973,"Arroyo Grande",[5]InfCualitativo!$H$1:$H$6973,"ginecologia")</f>
        <v>0</v>
      </c>
      <c r="AP5" s="27">
        <f>COUNTIFS([5]InfCualitativo!$B$1:$B$6973,"FALSO",[5]InfCualitativo!$E$1:$E$6973,"Arroyo Grande",[5]InfCualitativo!$H$1:$H$6973,"ginecologia")</f>
        <v>0</v>
      </c>
      <c r="AQ5" s="30">
        <f t="shared" si="20"/>
        <v>0</v>
      </c>
      <c r="AR5" s="30">
        <f t="shared" si="21"/>
        <v>0</v>
      </c>
      <c r="AS5" s="27">
        <f t="shared" si="22"/>
        <v>81</v>
      </c>
      <c r="AT5" s="27">
        <f t="shared" si="22"/>
        <v>3</v>
      </c>
      <c r="AU5" s="32">
        <f t="shared" si="23"/>
        <v>0.9642857142857143</v>
      </c>
      <c r="AV5" s="32">
        <f t="shared" si="24"/>
        <v>3.5714285714285712E-2</v>
      </c>
    </row>
    <row r="6" spans="1:48" ht="18.75" x14ac:dyDescent="0.3">
      <c r="A6" s="26" t="s">
        <v>25</v>
      </c>
      <c r="B6" s="27">
        <v>177</v>
      </c>
      <c r="C6" s="27">
        <f t="shared" si="1"/>
        <v>177</v>
      </c>
      <c r="D6" s="28">
        <f t="shared" si="0"/>
        <v>100</v>
      </c>
      <c r="E6" s="29">
        <f>COUNTIFS([5]InfCualitativo!$B$1:$B$6973,"VERDADERO",[5]InfCualitativo!$E$1:$E$6973,"Arroz Barato",[5]InfCualitativo!$H$1:$H$6973,"consulta_externa")</f>
        <v>36</v>
      </c>
      <c r="F6" s="29">
        <f>COUNTIFS([5]InfCualitativo!$B$1:$B$6973,"FALSO",[5]InfCualitativo!$E$1:$E$6973,"Arroz Barato",[5]InfCualitativo!$H$1:$H$6973,"consulta_externa")</f>
        <v>0</v>
      </c>
      <c r="G6" s="30">
        <f t="shared" si="2"/>
        <v>1</v>
      </c>
      <c r="H6" s="30">
        <f t="shared" si="3"/>
        <v>0</v>
      </c>
      <c r="I6" s="27">
        <f>COUNTIFS([5]InfCualitativo!$B$1:$B$6973,"VERDADERO",[5]InfCualitativo!$E$1:$E$6973,"Arroz Barato",[5]InfCualitativo!$H$1:$H$6973,"salud_oral")</f>
        <v>36</v>
      </c>
      <c r="J6" s="27">
        <f>COUNTIFS([5]InfCualitativo!$B$1:$B$6973,"FALSO",[5]InfCualitativo!$E$1:$E$6973,"Arroz Barato",[5]InfCualitativo!$H$1:$H$6973,"salud_oral")</f>
        <v>0</v>
      </c>
      <c r="K6" s="30">
        <f t="shared" si="4"/>
        <v>1</v>
      </c>
      <c r="L6" s="30">
        <f t="shared" si="5"/>
        <v>0</v>
      </c>
      <c r="M6" s="27">
        <f>COUNTIFS([5]InfCualitativo!$B$1:$B$6973,"VERDADERO",[5]InfCualitativo!$E$1:$E$6973,"Arroz Barato",[5]InfCualitativo!$H$1:$H$6973,"laboratorio")</f>
        <v>36</v>
      </c>
      <c r="N6" s="27">
        <f>COUNTIFS([5]InfCualitativo!$B$1:$B$6973,"FALSO",[5]InfCualitativo!$E$1:$E$6973,"Arroz Barato",[5]InfCualitativo!$H$1:$H$6973,"laboratorio")</f>
        <v>0</v>
      </c>
      <c r="O6" s="30">
        <f t="shared" si="6"/>
        <v>1</v>
      </c>
      <c r="P6" s="31">
        <f t="shared" si="7"/>
        <v>0</v>
      </c>
      <c r="Q6" s="27">
        <f>COUNTIFS([5]InfCualitativo!$B$1:$B$6973,"VERDADERO",[5]InfCualitativo!$E$1:$E$6973,"Arroz Barato",[5]InfCualitativo!$H$1:$H$6973,"electros")</f>
        <v>0</v>
      </c>
      <c r="R6" s="27">
        <f>COUNTIFS([5]InfCualitativo!$B$1:$B$6973,"FALSO",[5]InfCualitativo!$E$1:$E$6973,"Arroz Barato",[5]InfCualitativo!$H$1:$H$6973,"electros")</f>
        <v>0</v>
      </c>
      <c r="S6" s="30">
        <f t="shared" si="8"/>
        <v>0</v>
      </c>
      <c r="T6" s="30">
        <f t="shared" si="9"/>
        <v>0</v>
      </c>
      <c r="U6" s="27">
        <f>COUNTIFS([5]InfCualitativo!$B$1:$B$6973,"VERDADERO",[5]InfCualitativo!$E$1:$E$6973,"Arroz Barato",[5]InfCualitativo!$H$1:$H$6973,"rx")</f>
        <v>33</v>
      </c>
      <c r="V6" s="27">
        <f>COUNTIFS([5]InfCualitativo!$B$1:$B$6973,"FALSO",[5]InfCualitativo!$E$1:$E$6973,"Arroz Barato",[5]InfCualitativo!$H$1:$H$6973,"rx")</f>
        <v>0</v>
      </c>
      <c r="W6" s="30">
        <f t="shared" si="10"/>
        <v>1</v>
      </c>
      <c r="X6" s="30">
        <f t="shared" si="11"/>
        <v>0</v>
      </c>
      <c r="Y6" s="27">
        <f>COUNTIFS([5]InfCualitativo!$B$1:$B$6973,"VERDADERO",[5]InfCualitativo!$E$1:$E$6973,"Arroz Barato",[5]InfCualitativo!$H$1:$H$6973,"ecografias")</f>
        <v>0</v>
      </c>
      <c r="Z6" s="27">
        <f>COUNTIFS([5]InfCualitativo!$B$1:$B$6973,"FALSO",[5]InfCualitativo!$E$1:$E$6973,"Arroz Barato",[5]InfCualitativo!$H$1:$H$6973,"ecografias")</f>
        <v>0</v>
      </c>
      <c r="AA6" s="30">
        <f t="shared" si="12"/>
        <v>0</v>
      </c>
      <c r="AB6" s="30">
        <f t="shared" si="13"/>
        <v>0</v>
      </c>
      <c r="AC6" s="27">
        <f>COUNTIFS([5]InfCualitativo!$B$1:$B$6973,"VERDADERO",[5]InfCualitativo!$E$1:$E$6973,"Arroz Barato",[5]InfCualitativo!$H$1:$H$6973,"urgencia")</f>
        <v>36</v>
      </c>
      <c r="AD6" s="27">
        <f>COUNTIFS([5]InfCualitativo!$B$1:$B$6973,"FALSO",[5]InfCualitativo!$E$1:$E$6973,"Arroz Barato",[5]InfCualitativo!$H$1:$H$6973,"urgencia")</f>
        <v>0</v>
      </c>
      <c r="AE6" s="30">
        <f t="shared" si="14"/>
        <v>1</v>
      </c>
      <c r="AF6" s="30">
        <f t="shared" si="15"/>
        <v>0</v>
      </c>
      <c r="AG6" s="27">
        <f>COUNTIFS([5]InfCualitativo!$B$1:$B$6973,"VERDADERO",[5]InfCualitativo!$E$1:$E$6973,"Arroz Barato",[5]InfCualitativo!$H$1:$H$6973,"pediatria")</f>
        <v>0</v>
      </c>
      <c r="AH6" s="27">
        <f>COUNTIFS([5]InfCualitativo!$B$1:$B$6973,"FALSO",[5]InfCualitativo!$E$1:$E$6973,"Arroz Barato",[5]InfCualitativo!$H$1:$H$6973,"pediatria")</f>
        <v>0</v>
      </c>
      <c r="AI6" s="30">
        <f t="shared" si="16"/>
        <v>0</v>
      </c>
      <c r="AJ6" s="30">
        <f t="shared" si="17"/>
        <v>0</v>
      </c>
      <c r="AK6" s="27">
        <f>COUNTIFS([5]InfCualitativo!$B$1:$B$6973,"VERDADERO",[5]InfCualitativo!$E$1:$E$6973,"Arroz Barato",[5]InfCualitativo!$H$1:$H$6973,"medicina_interna")</f>
        <v>0</v>
      </c>
      <c r="AL6" s="27">
        <f>COUNTIFS([5]InfCualitativo!$B$1:$B$6973,"FALSO",[5]InfCualitativo!$E$1:$E$6973,"Arroz Barato",[5]InfCualitativo!$H$1:$H$6973,"medicina_interna")</f>
        <v>0</v>
      </c>
      <c r="AM6" s="30">
        <f t="shared" si="18"/>
        <v>0</v>
      </c>
      <c r="AN6" s="30">
        <f t="shared" si="19"/>
        <v>0</v>
      </c>
      <c r="AO6" s="27">
        <f>COUNTIFS([5]InfCualitativo!$B$1:$B$6973,"VERDADERO",[5]InfCualitativo!$E$1:$E$6973,"Arroz Barato",[5]InfCualitativo!$H$1:$H$6973,"ginecologia")</f>
        <v>0</v>
      </c>
      <c r="AP6" s="27">
        <f>COUNTIFS([5]InfCualitativo!$B$1:$B$6973,"FALSO",[5]InfCualitativo!$E$1:$E$6973,"Arroz Barato",[5]InfCualitativo!$H$1:$H$6973,"ginecologia")</f>
        <v>0</v>
      </c>
      <c r="AQ6" s="30">
        <f t="shared" si="20"/>
        <v>0</v>
      </c>
      <c r="AR6" s="30">
        <f t="shared" si="21"/>
        <v>0</v>
      </c>
      <c r="AS6" s="27">
        <f t="shared" si="22"/>
        <v>177</v>
      </c>
      <c r="AT6" s="27">
        <f t="shared" si="22"/>
        <v>0</v>
      </c>
      <c r="AU6" s="32">
        <f t="shared" si="23"/>
        <v>1</v>
      </c>
      <c r="AV6" s="32">
        <f t="shared" si="24"/>
        <v>0</v>
      </c>
    </row>
    <row r="7" spans="1:48" ht="18.75" x14ac:dyDescent="0.3">
      <c r="A7" s="26" t="s">
        <v>26</v>
      </c>
      <c r="B7" s="27">
        <v>177</v>
      </c>
      <c r="C7" s="27">
        <f t="shared" si="1"/>
        <v>170</v>
      </c>
      <c r="D7" s="28">
        <f t="shared" si="0"/>
        <v>96.045197740112997</v>
      </c>
      <c r="E7" s="29">
        <f>COUNTIFS([5]InfCualitativo!$B$1:$B$6973,"VERDADERO",[5]InfCualitativo!$E$1:$E$6973,"Bayunca",[5]InfCualitativo!$H$1:$H$6973,"consulta_externa")</f>
        <v>31</v>
      </c>
      <c r="F7" s="29">
        <f>COUNTIFS([5]InfCualitativo!$B$1:$B$6973,"FALSO",[5]InfCualitativo!$E$1:$E$6973,"Bayunca",[5]InfCualitativo!$H$1:$H$6973,"consulta_externa")</f>
        <v>5</v>
      </c>
      <c r="G7" s="30">
        <f t="shared" si="2"/>
        <v>0.86111111111111116</v>
      </c>
      <c r="H7" s="30">
        <f t="shared" si="3"/>
        <v>0.1388888888888889</v>
      </c>
      <c r="I7" s="27">
        <f>COUNTIFS([5]InfCualitativo!$B$1:$B$6973,"VERDADERO",[5]InfCualitativo!$E$1:$E$6973,"Bayunca",[5]InfCualitativo!$H$1:$H$6973,"salud_oral")</f>
        <v>32</v>
      </c>
      <c r="J7" s="27">
        <f>COUNTIFS([5]InfCualitativo!$B$1:$B$6973,"FALSO",[5]InfCualitativo!$E$1:$E$6973,"Bayunca",[5]InfCualitativo!$H$1:$H$6973,"salud_oral")</f>
        <v>5</v>
      </c>
      <c r="K7" s="30">
        <f t="shared" si="4"/>
        <v>0.86486486486486491</v>
      </c>
      <c r="L7" s="30">
        <f t="shared" si="5"/>
        <v>0.13513513513513514</v>
      </c>
      <c r="M7" s="27">
        <f>COUNTIFS([5]InfCualitativo!$B$1:$B$6973,"VERDADERO",[5]InfCualitativo!$E$1:$E$6973,"Bayunca",[5]InfCualitativo!$H$1:$H$6973,"laboratorio")</f>
        <v>32</v>
      </c>
      <c r="N7" s="27">
        <f>COUNTIFS([5]InfCualitativo!$B$1:$B$6973,"FALSO",[5]InfCualitativo!$E$1:$E$6973,"Bayunca",[5]InfCualitativo!$H$1:$H$6973,"laboratorio")</f>
        <v>4</v>
      </c>
      <c r="O7" s="30">
        <f t="shared" si="6"/>
        <v>0.88888888888888884</v>
      </c>
      <c r="P7" s="31">
        <f t="shared" si="7"/>
        <v>0.1111111111111111</v>
      </c>
      <c r="Q7" s="27">
        <f>COUNTIFS([5]InfCualitativo!$B$1:$B$6973,"VERDADERO",[5]InfCualitativo!$E$1:$E$6973,"Bayunca",[5]InfCualitativo!$H$1:$H$6973,"electros")</f>
        <v>0</v>
      </c>
      <c r="R7" s="27">
        <f>COUNTIFS([5]InfCualitativo!$B$1:$B$6973,"FALSO",[5]InfCualitativo!$E$1:$E$6973,"Bayunca",[5]InfCualitativo!$H$1:$H$6973,"electros")</f>
        <v>0</v>
      </c>
      <c r="S7" s="30">
        <f t="shared" si="8"/>
        <v>0</v>
      </c>
      <c r="T7" s="30">
        <f t="shared" si="9"/>
        <v>0</v>
      </c>
      <c r="U7" s="27">
        <f>COUNTIFS([5]InfCualitativo!$B$1:$B$6973,"VERDADERO",[5]InfCualitativo!$E$1:$E$6973,"Bayunca",[5]InfCualitativo!$H$1:$H$6973,"rx")</f>
        <v>0</v>
      </c>
      <c r="V7" s="27">
        <f>COUNTIFS([5]InfCualitativo!$B$1:$B$6973,"FALSO",[5]InfCualitativo!$E$1:$E$6973,"Bayunca",[5]InfCualitativo!$H$1:$H$6973,"rx")</f>
        <v>0</v>
      </c>
      <c r="W7" s="30">
        <f t="shared" si="10"/>
        <v>0</v>
      </c>
      <c r="X7" s="30">
        <f t="shared" si="11"/>
        <v>0</v>
      </c>
      <c r="Y7" s="27">
        <f>COUNTIFS([5]InfCualitativo!$B$1:$B$6973,"VERDADERO",[5]InfCualitativo!$E$1:$E$6973,"Bayunca",[5]InfCualitativo!$H$1:$H$6973,"ecografias")</f>
        <v>6</v>
      </c>
      <c r="Z7" s="27">
        <f>COUNTIFS([5]InfCualitativo!$B$1:$B$6973,"FALSO",[5]InfCualitativo!$E$1:$E$6973,"Bayunca",[5]InfCualitativo!$H$1:$H$6973,"ecografias")</f>
        <v>0</v>
      </c>
      <c r="AA7" s="30">
        <f t="shared" si="12"/>
        <v>1</v>
      </c>
      <c r="AB7" s="30">
        <f t="shared" si="13"/>
        <v>0</v>
      </c>
      <c r="AC7" s="27">
        <f>COUNTIFS([5]InfCualitativo!$B$1:$B$6973,"VERDADERO",[5]InfCualitativo!$E$1:$E$6973,"Bayunca",[5]InfCualitativo!$H$1:$H$6973,"urgencia")</f>
        <v>22</v>
      </c>
      <c r="AD7" s="27">
        <f>COUNTIFS([5]InfCualitativo!$B$1:$B$6973,"FALSO",[5]InfCualitativo!$E$1:$E$6973,"Bayunca",[5]InfCualitativo!$H$1:$H$6973,"urgencia")</f>
        <v>14</v>
      </c>
      <c r="AE7" s="30">
        <f t="shared" si="14"/>
        <v>0.61111111111111116</v>
      </c>
      <c r="AF7" s="30">
        <f t="shared" si="15"/>
        <v>0.3888888888888889</v>
      </c>
      <c r="AG7" s="27">
        <f>COUNTIFS([5]InfCualitativo!$B$1:$B$6973,"VERDADERO",[5]InfCualitativo!$E$1:$E$6973,"Bayunca",[5]InfCualitativo!$H$1:$H$6973,"pediatria")</f>
        <v>17</v>
      </c>
      <c r="AH7" s="27">
        <f>COUNTIFS([5]InfCualitativo!$B$1:$B$6973,"FALSO",[5]InfCualitativo!$E$1:$E$6973,"Bayunca",[5]InfCualitativo!$H$1:$H$6973,"pediatria")</f>
        <v>2</v>
      </c>
      <c r="AI7" s="30">
        <f t="shared" si="16"/>
        <v>0.89473684210526316</v>
      </c>
      <c r="AJ7" s="30">
        <f t="shared" si="17"/>
        <v>0.10526315789473684</v>
      </c>
      <c r="AK7" s="27">
        <f>COUNTIFS([5]InfCualitativo!$B$1:$B$6973,"VERDADERO",[5]InfCualitativo!$E$1:$E$6973,"Bayunca",[5]InfCualitativo!$H$1:$H$6973,"medicina_interna")</f>
        <v>0</v>
      </c>
      <c r="AL7" s="27">
        <f>COUNTIFS([5]InfCualitativo!$B$1:$B$6973,"FALSO",[5]InfCualitativo!$E$1:$E$6973,"Bayunca",[5]InfCualitativo!$H$1:$H$6973,"medicina_interna")</f>
        <v>0</v>
      </c>
      <c r="AM7" s="30">
        <f t="shared" si="18"/>
        <v>0</v>
      </c>
      <c r="AN7" s="30">
        <f t="shared" si="19"/>
        <v>0</v>
      </c>
      <c r="AO7" s="27">
        <f>COUNTIFS([5]InfCualitativo!$B$1:$B$6973,"VERDADERO",[5]InfCualitativo!$E$1:$E$6973,"Bayunca",[5]InfCualitativo!$H$1:$H$6973,"ginecologia")</f>
        <v>0</v>
      </c>
      <c r="AP7" s="27">
        <f>COUNTIFS([5]InfCualitativo!$B$1:$B$6973,"FALSO",[5]InfCualitativo!$E$1:$E$6973,"Bayunca",[5]InfCualitativo!$H$1:$H$6973,"ginecologia")</f>
        <v>0</v>
      </c>
      <c r="AQ7" s="30">
        <f t="shared" si="20"/>
        <v>0</v>
      </c>
      <c r="AR7" s="30">
        <f t="shared" si="21"/>
        <v>0</v>
      </c>
      <c r="AS7" s="27">
        <f t="shared" si="22"/>
        <v>140</v>
      </c>
      <c r="AT7" s="27">
        <f t="shared" si="22"/>
        <v>30</v>
      </c>
      <c r="AU7" s="32">
        <f t="shared" si="23"/>
        <v>0.82352941176470584</v>
      </c>
      <c r="AV7" s="32">
        <f t="shared" si="24"/>
        <v>0.17647058823529413</v>
      </c>
    </row>
    <row r="8" spans="1:48" ht="18.75" x14ac:dyDescent="0.3">
      <c r="A8" s="26" t="s">
        <v>27</v>
      </c>
      <c r="B8" s="27">
        <v>177</v>
      </c>
      <c r="C8" s="27">
        <f t="shared" si="1"/>
        <v>176</v>
      </c>
      <c r="D8" s="28">
        <f t="shared" si="0"/>
        <v>99.435028248587571</v>
      </c>
      <c r="E8" s="29">
        <f>COUNTIFS([5]InfCualitativo!$B$1:$B$6973,"VERDADERO",[5]InfCualitativo!$E$1:$E$6973,"Bicentenario",[5]InfCualitativo!$H$1:$H$6973,"consulta_externa")</f>
        <v>28</v>
      </c>
      <c r="F8" s="29">
        <f>COUNTIFS([5]InfCualitativo!$B$1:$B$6973,"FALSO",[5]InfCualitativo!$E$1:$E$6973,"Bicentenario",[5]InfCualitativo!$H$1:$H$6973,"consulta_externa")</f>
        <v>8</v>
      </c>
      <c r="G8" s="30">
        <f t="shared" si="2"/>
        <v>0.77777777777777779</v>
      </c>
      <c r="H8" s="30">
        <f t="shared" si="3"/>
        <v>0.22222222222222221</v>
      </c>
      <c r="I8" s="27">
        <f>COUNTIFS([5]InfCualitativo!$B$1:$B$6973,"VERDADERO",[5]InfCualitativo!$E$1:$E$6973,"Bicentenario",[5]InfCualitativo!$H$1:$H$6973,"salud_oral")</f>
        <v>33</v>
      </c>
      <c r="J8" s="27">
        <f>COUNTIFS([5]InfCualitativo!$B$1:$B$6973,"FALSO",[5]InfCualitativo!$E$1:$E$6973,"Bicentenario",[5]InfCualitativo!$H$1:$H$6973,"salud_oral")</f>
        <v>1</v>
      </c>
      <c r="K8" s="30">
        <f t="shared" si="4"/>
        <v>0.97058823529411764</v>
      </c>
      <c r="L8" s="30">
        <f t="shared" si="5"/>
        <v>2.9411764705882353E-2</v>
      </c>
      <c r="M8" s="27">
        <f>COUNTIFS([5]InfCualitativo!$B$1:$B$6973,"VERDADERO",[5]InfCualitativo!$E$1:$E$6973,"Bicentenario",[5]InfCualitativo!$H$1:$H$6973,"laboratorio")</f>
        <v>26</v>
      </c>
      <c r="N8" s="27">
        <f>COUNTIFS([5]InfCualitativo!$B$1:$B$6973,"FALSO",[5]InfCualitativo!$E$1:$E$6973,"Bicentenario",[5]InfCualitativo!$H$1:$H$6973,"laboratorio")</f>
        <v>8</v>
      </c>
      <c r="O8" s="30">
        <f t="shared" si="6"/>
        <v>0.76470588235294112</v>
      </c>
      <c r="P8" s="31">
        <f t="shared" si="7"/>
        <v>0.23529411764705882</v>
      </c>
      <c r="Q8" s="27">
        <f>COUNTIFS([5]InfCualitativo!$B$1:$B$6973,"VERDADERO",[5]InfCualitativo!$E$1:$E$6973,"Bicentenario",[5]InfCualitativo!$H$1:$H$6973,"electros")</f>
        <v>0</v>
      </c>
      <c r="R8" s="27">
        <f>COUNTIFS([5]InfCualitativo!$B$1:$B$6973,"FALSO",[5]InfCualitativo!$E$1:$E$6973,"Bicentenario",[5]InfCualitativo!$H$1:$H$6973,"electros")</f>
        <v>0</v>
      </c>
      <c r="S8" s="30">
        <f t="shared" si="8"/>
        <v>0</v>
      </c>
      <c r="T8" s="30">
        <f t="shared" si="9"/>
        <v>0</v>
      </c>
      <c r="U8" s="27">
        <f>COUNTIFS([5]InfCualitativo!$B$1:$B$6973,"VERDADERO",[5]InfCualitativo!$E$1:$E$6973,"Bicentenario",[5]InfCualitativo!$H$1:$H$6973,"rx")</f>
        <v>34</v>
      </c>
      <c r="V8" s="27">
        <f>COUNTIFS([5]InfCualitativo!$B$1:$B$6973,"FALSO",[5]InfCualitativo!$E$1:$E$6973,"Bicentenario",[5]InfCualitativo!$H$1:$H$6973,"rx")</f>
        <v>2</v>
      </c>
      <c r="W8" s="30">
        <f t="shared" si="10"/>
        <v>0.94444444444444442</v>
      </c>
      <c r="X8" s="30">
        <f t="shared" si="11"/>
        <v>5.5555555555555552E-2</v>
      </c>
      <c r="Y8" s="27">
        <f>COUNTIFS([5]InfCualitativo!$B$1:$B$6973,"VERDADERO",[5]InfCualitativo!$E$1:$E$6973,"Bicentenario",[5]InfCualitativo!$H$1:$H$6973,"ecografias")</f>
        <v>0</v>
      </c>
      <c r="Z8" s="27">
        <f>COUNTIFS([5]InfCualitativo!$B$1:$B$6973,"FALSO",[5]InfCualitativo!$E$1:$E$6973,"Bicentenario",[5]InfCualitativo!$H$1:$H$6973,"ecografias")</f>
        <v>0</v>
      </c>
      <c r="AA8" s="30">
        <f t="shared" si="12"/>
        <v>0</v>
      </c>
      <c r="AB8" s="30">
        <f t="shared" si="13"/>
        <v>0</v>
      </c>
      <c r="AC8" s="27">
        <f>COUNTIFS([5]InfCualitativo!$B$1:$B$6973,"VERDADERO",[5]InfCualitativo!$E$1:$E$6973,"Bicentenario",[5]InfCualitativo!$H$1:$H$6973,"urgencia")</f>
        <v>28</v>
      </c>
      <c r="AD8" s="27">
        <f>COUNTIFS([5]InfCualitativo!$B$1:$B$6973,"FALSO",[5]InfCualitativo!$E$1:$E$6973,"Bicentenario",[5]InfCualitativo!$H$1:$H$6973,"urgencia")</f>
        <v>8</v>
      </c>
      <c r="AE8" s="30">
        <f t="shared" si="14"/>
        <v>0.77777777777777779</v>
      </c>
      <c r="AF8" s="30">
        <f t="shared" si="15"/>
        <v>0.22222222222222221</v>
      </c>
      <c r="AG8" s="27">
        <f>COUNTIFS([5]InfCualitativo!$B$1:$B$6973,"VERDADERO",[5]InfCualitativo!$E$1:$E$6973,"Bicentenario",[5]InfCualitativo!$H$1:$H$6973,"pediatria")</f>
        <v>0</v>
      </c>
      <c r="AH8" s="27">
        <f>COUNTIFS([5]InfCualitativo!$B$1:$B$6973,"FALSO",[5]InfCualitativo!$E$1:$E$6973,"Bicentenario",[5]InfCualitativo!$H$1:$H$6973,"pediatria")</f>
        <v>0</v>
      </c>
      <c r="AI8" s="30">
        <f t="shared" si="16"/>
        <v>0</v>
      </c>
      <c r="AJ8" s="30">
        <f t="shared" si="17"/>
        <v>0</v>
      </c>
      <c r="AK8" s="27">
        <f>COUNTIFS([5]InfCualitativo!$B$1:$B$6973,"VERDADERO",[5]InfCualitativo!$E$1:$E$6973,"Bicentenario",[5]InfCualitativo!$H$1:$H$6973,"medicina_interna")</f>
        <v>0</v>
      </c>
      <c r="AL8" s="27">
        <f>COUNTIFS([5]InfCualitativo!$B$1:$B$6973,"FALSO",[5]InfCualitativo!$E$1:$E$6973,"Bicentenario",[5]InfCualitativo!$H$1:$H$6973,"medicina_interna")</f>
        <v>0</v>
      </c>
      <c r="AM8" s="30">
        <f t="shared" si="18"/>
        <v>0</v>
      </c>
      <c r="AN8" s="30">
        <f t="shared" si="19"/>
        <v>0</v>
      </c>
      <c r="AO8" s="27">
        <f>COUNTIFS([5]InfCualitativo!$B$1:$B$6973,"VERDADERO",[5]InfCualitativo!$E$1:$E$6973,"Bicentenario",[5]InfCualitativo!$H$1:$H$6973,"ginecologia")</f>
        <v>0</v>
      </c>
      <c r="AP8" s="27">
        <f>COUNTIFS([5]InfCualitativo!$B$1:$B$6973,"FALSO",[5]InfCualitativo!$E$1:$E$6973,"Bicentenario",[5]InfCualitativo!$H$1:$H$6973,"ginecologia")</f>
        <v>0</v>
      </c>
      <c r="AQ8" s="30">
        <f t="shared" si="20"/>
        <v>0</v>
      </c>
      <c r="AR8" s="30">
        <f t="shared" si="21"/>
        <v>0</v>
      </c>
      <c r="AS8" s="27">
        <f t="shared" si="22"/>
        <v>149</v>
      </c>
      <c r="AT8" s="27">
        <f t="shared" si="22"/>
        <v>27</v>
      </c>
      <c r="AU8" s="32">
        <f t="shared" si="23"/>
        <v>0.84659090909090906</v>
      </c>
      <c r="AV8" s="32">
        <f t="shared" si="24"/>
        <v>0.15340909090909091</v>
      </c>
    </row>
    <row r="9" spans="1:48" ht="18.75" x14ac:dyDescent="0.3">
      <c r="A9" s="26" t="s">
        <v>28</v>
      </c>
      <c r="B9" s="27">
        <v>174</v>
      </c>
      <c r="C9" s="27">
        <f t="shared" si="1"/>
        <v>173</v>
      </c>
      <c r="D9" s="28">
        <f t="shared" si="0"/>
        <v>99.425287356321846</v>
      </c>
      <c r="E9" s="29">
        <f>COUNTIFS([5]InfCualitativo!$B$1:$B$6973,"VERDADERO",[5]InfCualitativo!$E$1:$E$6973,"Blasdelezo",[5]InfCualitativo!$H$1:$H$6973,"consulta_externa")</f>
        <v>20</v>
      </c>
      <c r="F9" s="29">
        <f>COUNTIFS([5]InfCualitativo!$B$1:$B$6973,"FALSO",[5]InfCualitativo!$E$1:$E$6973,"Blasdelezo",[5]InfCualitativo!$H$1:$H$6973,"consulta_externa")</f>
        <v>16</v>
      </c>
      <c r="G9" s="30">
        <f t="shared" si="2"/>
        <v>0.55555555555555558</v>
      </c>
      <c r="H9" s="30">
        <f t="shared" si="3"/>
        <v>0.44444444444444442</v>
      </c>
      <c r="I9" s="27">
        <f>COUNTIFS([5]InfCualitativo!$B$1:$B$6973,"VERDADERO",[5]InfCualitativo!$E$1:$E$6973,"Blasdelezo",[5]InfCualitativo!$H$1:$H$6973,"salud_oral")</f>
        <v>26</v>
      </c>
      <c r="J9" s="27">
        <f>COUNTIFS([5]InfCualitativo!$B$1:$B$6973,"FALSO",[5]InfCualitativo!$E$1:$E$6973,"Blasdelezo",[5]InfCualitativo!$H$1:$H$6973,"salud_oral")</f>
        <v>10</v>
      </c>
      <c r="K9" s="30">
        <f t="shared" si="4"/>
        <v>0.72222222222222221</v>
      </c>
      <c r="L9" s="30">
        <f t="shared" si="5"/>
        <v>0.27777777777777779</v>
      </c>
      <c r="M9" s="27">
        <f>COUNTIFS([5]InfCualitativo!$B$1:$B$6973,"VERDADERO",[5]InfCualitativo!$E$1:$E$6973,"Blasdelezo",[5]InfCualitativo!$H$1:$H$6973,"laboratorio")</f>
        <v>25</v>
      </c>
      <c r="N9" s="27">
        <f>COUNTIFS([5]InfCualitativo!$B$1:$B$6973,"FALSO",[5]InfCualitativo!$E$1:$E$6973,"Blasdelezo",[5]InfCualitativo!$H$1:$H$6973,"laboratorio")</f>
        <v>11</v>
      </c>
      <c r="O9" s="30">
        <f t="shared" si="6"/>
        <v>0.69444444444444442</v>
      </c>
      <c r="P9" s="31">
        <f t="shared" si="7"/>
        <v>0.30555555555555558</v>
      </c>
      <c r="Q9" s="27">
        <f>COUNTIFS([5]InfCualitativo!$B$1:$B$6973,"VERDADERO",[5]InfCualitativo!$E$1:$E$6973,"Blasdelezo",[5]InfCualitativo!$H$1:$H$6973,"electros")</f>
        <v>0</v>
      </c>
      <c r="R9" s="27">
        <f>COUNTIFS([5]InfCualitativo!$B$1:$B$6973,"FALSO",[5]InfCualitativo!$E$1:$E$6973,"Blasdelezo",[5]InfCualitativo!$H$1:$H$6973,"electros")</f>
        <v>0</v>
      </c>
      <c r="S9" s="30">
        <f t="shared" si="8"/>
        <v>0</v>
      </c>
      <c r="T9" s="30">
        <f t="shared" si="9"/>
        <v>0</v>
      </c>
      <c r="U9" s="27">
        <f>COUNTIFS([5]InfCualitativo!$B$1:$B$6973,"VERDADERO",[5]InfCualitativo!$E$1:$E$6973,"Blasdelezo",[5]InfCualitativo!$H$1:$H$6973,"rx")</f>
        <v>0</v>
      </c>
      <c r="V9" s="27">
        <f>COUNTIFS([5]InfCualitativo!$B$1:$B$6973,"FALSO",[5]InfCualitativo!$E$1:$E$6973,"Blasdelezo",[5]InfCualitativo!$H$1:$H$6973,"rx")</f>
        <v>0</v>
      </c>
      <c r="W9" s="30">
        <f t="shared" si="10"/>
        <v>0</v>
      </c>
      <c r="X9" s="30">
        <f t="shared" si="11"/>
        <v>0</v>
      </c>
      <c r="Y9" s="27">
        <f>COUNTIFS([5]InfCualitativo!$B$1:$B$6973,"VERDADERO",[5]InfCualitativo!$E$1:$E$6973,"Blasdelezo",[5]InfCualitativo!$H$1:$H$6973,"ecografias")</f>
        <v>0</v>
      </c>
      <c r="Z9" s="27">
        <f>COUNTIFS([5]InfCualitativo!$B$1:$B$6973,"FALSO",[5]InfCualitativo!$E$1:$E$6973,"Blasdelezo",[5]InfCualitativo!$H$1:$H$6973,"ecografias")</f>
        <v>0</v>
      </c>
      <c r="AA9" s="30">
        <f t="shared" si="12"/>
        <v>0</v>
      </c>
      <c r="AB9" s="30">
        <f t="shared" si="13"/>
        <v>0</v>
      </c>
      <c r="AC9" s="27">
        <f>COUNTIFS([5]InfCualitativo!$B$1:$B$6973,"VERDADERO",[5]InfCualitativo!$E$1:$E$6973,"Blasdelezo",[5]InfCualitativo!$H$1:$H$6973,"urgencia")</f>
        <v>23</v>
      </c>
      <c r="AD9" s="27">
        <f>COUNTIFS([5]InfCualitativo!$B$1:$B$6973,"FALSO",[5]InfCualitativo!$E$1:$E$6973,"Blasdelezo",[5]InfCualitativo!$H$1:$H$6973,"urgencia")</f>
        <v>12</v>
      </c>
      <c r="AE9" s="30">
        <f t="shared" si="14"/>
        <v>0.65714285714285714</v>
      </c>
      <c r="AF9" s="30">
        <f t="shared" si="15"/>
        <v>0.34285714285714286</v>
      </c>
      <c r="AG9" s="27">
        <f>COUNTIFS([5]InfCualitativo!$B$1:$B$6973,"VERDADERO",[5]InfCualitativo!$E$1:$E$6973,"Blasdelezo",[5]InfCualitativo!$H$1:$H$6973,"pediatria")</f>
        <v>16</v>
      </c>
      <c r="AH9" s="27">
        <f>COUNTIFS([5]InfCualitativo!$B$1:$B$6973,"FALSO",[5]InfCualitativo!$E$1:$E$6973,"Blasdelezo",[5]InfCualitativo!$H$1:$H$6973,"pediatria")</f>
        <v>0</v>
      </c>
      <c r="AI9" s="30">
        <f t="shared" si="16"/>
        <v>1</v>
      </c>
      <c r="AJ9" s="30">
        <f t="shared" si="17"/>
        <v>0</v>
      </c>
      <c r="AK9" s="27">
        <f>COUNTIFS([5]InfCualitativo!$B$1:$B$6973,"VERDADERO",[5]InfCualitativo!$E$1:$E$6973,"Blasdelezo",[5]InfCualitativo!$H$1:$H$6973,"medicina_interna")</f>
        <v>11</v>
      </c>
      <c r="AL9" s="27">
        <f>COUNTIFS([5]InfCualitativo!$B$1:$B$6973,"FALSO",[5]InfCualitativo!$E$1:$E$6973,"Blasdelezo",[5]InfCualitativo!$H$1:$H$6973,"medicina_interna")</f>
        <v>3</v>
      </c>
      <c r="AM9" s="30">
        <f t="shared" si="18"/>
        <v>0.7857142857142857</v>
      </c>
      <c r="AN9" s="30">
        <f t="shared" si="19"/>
        <v>0.21428571428571427</v>
      </c>
      <c r="AO9" s="27">
        <f>COUNTIFS([5]InfCualitativo!$B$1:$B$6973,"VERDADERO",[5]InfCualitativo!$E$1:$E$6973,"Blasdelezo",[5]InfCualitativo!$H$1:$H$6973,"ginecologia")</f>
        <v>0</v>
      </c>
      <c r="AP9" s="27">
        <f>COUNTIFS([5]InfCualitativo!$B$1:$B$6973,"FALSO",[5]InfCualitativo!$E$1:$E$6973,"Blasdelezo",[5]InfCualitativo!$H$1:$H$6973,"ginecologia")</f>
        <v>0</v>
      </c>
      <c r="AQ9" s="30">
        <f t="shared" si="20"/>
        <v>0</v>
      </c>
      <c r="AR9" s="30">
        <f t="shared" si="21"/>
        <v>0</v>
      </c>
      <c r="AS9" s="27">
        <f t="shared" si="22"/>
        <v>121</v>
      </c>
      <c r="AT9" s="27">
        <f t="shared" si="22"/>
        <v>52</v>
      </c>
      <c r="AU9" s="32">
        <f t="shared" si="23"/>
        <v>0.69942196531791911</v>
      </c>
      <c r="AV9" s="32">
        <f t="shared" si="24"/>
        <v>0.30057803468208094</v>
      </c>
    </row>
    <row r="10" spans="1:48" ht="18.75" x14ac:dyDescent="0.3">
      <c r="A10" s="26" t="s">
        <v>29</v>
      </c>
      <c r="B10" s="27">
        <v>146</v>
      </c>
      <c r="C10" s="27">
        <f t="shared" si="1"/>
        <v>146</v>
      </c>
      <c r="D10" s="28">
        <f t="shared" si="0"/>
        <v>100</v>
      </c>
      <c r="E10" s="29">
        <f>COUNTIFS([5]InfCualitativo!$B$1:$B$6973,"VERDADERO",[5]InfCualitativo!$E$1:$E$6973,"Bocachica",[5]InfCualitativo!$H$1:$H$6973,"consulta_externa")</f>
        <v>41</v>
      </c>
      <c r="F10" s="29">
        <f>COUNTIFS([5]InfCualitativo!$B$1:$B$6973,"FALSO",[5]InfCualitativo!$E$1:$E$6973,"Bocachica",[5]InfCualitativo!$H$1:$H$6973,"consulta_externa")</f>
        <v>2</v>
      </c>
      <c r="G10" s="30">
        <f t="shared" si="2"/>
        <v>0.95348837209302328</v>
      </c>
      <c r="H10" s="30">
        <f t="shared" si="3"/>
        <v>4.6511627906976744E-2</v>
      </c>
      <c r="I10" s="27">
        <f>COUNTIFS([5]InfCualitativo!$B$1:$B$6973,"VERDADERO",[5]InfCualitativo!$E$1:$E$6973,"Bocachica",[5]InfCualitativo!$H$1:$H$6973,"salud_oral")</f>
        <v>26</v>
      </c>
      <c r="J10" s="27">
        <f>COUNTIFS([5]InfCualitativo!$B$1:$B$6973,"FALSO",[5]InfCualitativo!$E$1:$E$6973,"Bocachica",[5]InfCualitativo!$H$1:$H$6973,"salud_oral")</f>
        <v>8</v>
      </c>
      <c r="K10" s="30">
        <f t="shared" si="4"/>
        <v>0.76470588235294112</v>
      </c>
      <c r="L10" s="30">
        <f t="shared" si="5"/>
        <v>0.23529411764705882</v>
      </c>
      <c r="M10" s="27">
        <f>COUNTIFS([5]InfCualitativo!$B$1:$B$6973,"VERDADERO",[5]InfCualitativo!$E$1:$E$6973,"Bocachica",[5]InfCualitativo!$H$1:$H$6973,"laboratorio")</f>
        <v>30</v>
      </c>
      <c r="N10" s="27">
        <f>COUNTIFS([5]InfCualitativo!$B$1:$B$6973,"FALSO",[5]InfCualitativo!$E$1:$E$6973,"Bocachica",[5]InfCualitativo!$H$1:$H$6973,"laboratorio")</f>
        <v>6</v>
      </c>
      <c r="O10" s="30">
        <f t="shared" si="6"/>
        <v>0.83333333333333337</v>
      </c>
      <c r="P10" s="31">
        <f t="shared" si="7"/>
        <v>0.16666666666666666</v>
      </c>
      <c r="Q10" s="27">
        <f>COUNTIFS([5]InfCualitativo!$B$1:$B$6973,"VERDADERO",[5]InfCualitativo!$E$1:$E$6973,"Bocachica",[5]InfCualitativo!$H$1:$H$6973,"electros")</f>
        <v>0</v>
      </c>
      <c r="R10" s="27">
        <f>COUNTIFS([5]InfCualitativo!$B$1:$B$6973,"FALSO",[5]InfCualitativo!$E$1:$E$6973,"Bocachica",[5]InfCualitativo!$H$1:$H$6973,"electros")</f>
        <v>0</v>
      </c>
      <c r="S10" s="30">
        <f t="shared" si="8"/>
        <v>0</v>
      </c>
      <c r="T10" s="30">
        <f t="shared" si="9"/>
        <v>0</v>
      </c>
      <c r="U10" s="27">
        <f>COUNTIFS([5]InfCualitativo!$B$1:$B$6973,"VERDADERO",[5]InfCualitativo!$E$1:$E$6973,"Bocachica",[5]InfCualitativo!$H$1:$H$6973,"rx")</f>
        <v>0</v>
      </c>
      <c r="V10" s="27">
        <f>COUNTIFS([5]InfCualitativo!$B$1:$B$6973,"FALSO",[5]InfCualitativo!$E$1:$E$6973,"Bocachica",[5]InfCualitativo!$H$1:$H$6973,"rx")</f>
        <v>0</v>
      </c>
      <c r="W10" s="30">
        <f t="shared" si="10"/>
        <v>0</v>
      </c>
      <c r="X10" s="30">
        <f t="shared" si="11"/>
        <v>0</v>
      </c>
      <c r="Y10" s="27">
        <f>COUNTIFS([5]InfCualitativo!$B$1:$B$6973,"VERDADERO",[5]InfCualitativo!$E$1:$E$6973,"Bocachica",[5]InfCualitativo!$H$1:$H$6973,"ecografias")</f>
        <v>0</v>
      </c>
      <c r="Z10" s="27">
        <f>COUNTIFS([5]InfCualitativo!$B$1:$B$6973,"FALSO",[5]InfCualitativo!$E$1:$E$6973,"Bocachica",[5]InfCualitativo!$H$1:$H$6973,"ecografias")</f>
        <v>0</v>
      </c>
      <c r="AA10" s="30">
        <f t="shared" si="12"/>
        <v>0</v>
      </c>
      <c r="AB10" s="30">
        <f t="shared" si="13"/>
        <v>0</v>
      </c>
      <c r="AC10" s="27">
        <f>COUNTIFS([5]InfCualitativo!$B$1:$B$6973,"VERDADERO",[5]InfCualitativo!$E$1:$E$6973,"Bocachica",[5]InfCualitativo!$H$1:$H$6973,"urgencia")</f>
        <v>12</v>
      </c>
      <c r="AD10" s="27">
        <f>COUNTIFS([5]InfCualitativo!$B$1:$B$6973,"FALSO",[5]InfCualitativo!$E$1:$E$6973,"Bocachica",[5]InfCualitativo!$H$1:$H$6973,"urgencia")</f>
        <v>21</v>
      </c>
      <c r="AE10" s="30">
        <f t="shared" si="14"/>
        <v>0.36363636363636365</v>
      </c>
      <c r="AF10" s="30">
        <f t="shared" si="15"/>
        <v>0.63636363636363635</v>
      </c>
      <c r="AG10" s="27">
        <f>COUNTIFS([5]InfCualitativo!$B$1:$B$6973,"VERDADERO",[5]InfCualitativo!$E$1:$E$6973,"Bocachica",[5]InfCualitativo!$H$1:$H$6973,"pediatria")</f>
        <v>0</v>
      </c>
      <c r="AH10" s="27">
        <f>COUNTIFS([5]InfCualitativo!$B$1:$B$6973,"FALSO",[5]InfCualitativo!$E$1:$E$6973,"Bocachica",[5]InfCualitativo!$H$1:$H$6973,"pediatria")</f>
        <v>0</v>
      </c>
      <c r="AI10" s="30">
        <f t="shared" si="16"/>
        <v>0</v>
      </c>
      <c r="AJ10" s="30">
        <f t="shared" si="17"/>
        <v>0</v>
      </c>
      <c r="AK10" s="27">
        <f>COUNTIFS([5]InfCualitativo!$B$1:$B$6973,"VERDADERO",[5]InfCualitativo!$E$1:$E$6973,"Bocachica",[5]InfCualitativo!$H$1:$H$6973,"medicina_interna")</f>
        <v>0</v>
      </c>
      <c r="AL10" s="27">
        <f>COUNTIFS([5]InfCualitativo!$B$1:$B$6973,"FALSO",[5]InfCualitativo!$E$1:$E$6973,"Bocachica",[5]InfCualitativo!$H$1:$H$6973,"medicina_interna")</f>
        <v>0</v>
      </c>
      <c r="AM10" s="30">
        <f t="shared" si="18"/>
        <v>0</v>
      </c>
      <c r="AN10" s="30">
        <f t="shared" si="19"/>
        <v>0</v>
      </c>
      <c r="AO10" s="27">
        <f>COUNTIFS([5]InfCualitativo!$B$1:$B$6973,"VERDADERO",[5]InfCualitativo!$E$1:$E$6973,"Bocachica",[5]InfCualitativo!$H$1:$H$6973,"ginecologia")</f>
        <v>0</v>
      </c>
      <c r="AP10" s="27">
        <f>COUNTIFS([5]InfCualitativo!$B$1:$B$6973,"FALSO",[5]InfCualitativo!$E$1:$E$6973,"Bocachica",[5]InfCualitativo!$H$1:$H$6973,"ginecologia")</f>
        <v>0</v>
      </c>
      <c r="AQ10" s="30">
        <f t="shared" si="20"/>
        <v>0</v>
      </c>
      <c r="AR10" s="30">
        <f t="shared" si="21"/>
        <v>0</v>
      </c>
      <c r="AS10" s="27">
        <f t="shared" si="22"/>
        <v>109</v>
      </c>
      <c r="AT10" s="27">
        <f t="shared" si="22"/>
        <v>37</v>
      </c>
      <c r="AU10" s="32">
        <f t="shared" si="23"/>
        <v>0.74657534246575341</v>
      </c>
      <c r="AV10" s="32">
        <f t="shared" si="24"/>
        <v>0.25342465753424659</v>
      </c>
    </row>
    <row r="11" spans="1:48" ht="18.75" x14ac:dyDescent="0.3">
      <c r="A11" s="26" t="s">
        <v>30</v>
      </c>
      <c r="B11" s="27">
        <v>147</v>
      </c>
      <c r="C11" s="27">
        <f t="shared" si="1"/>
        <v>147</v>
      </c>
      <c r="D11" s="28">
        <f t="shared" si="0"/>
        <v>100</v>
      </c>
      <c r="E11" s="29">
        <f>COUNTIFS([5]InfCualitativo!$B$1:$B$6973,"VERDADERO",[5]InfCualitativo!$E$1:$E$6973,"Boquilla",[5]InfCualitativo!$H$1:$H$6973,"consulta_externa")</f>
        <v>34</v>
      </c>
      <c r="F11" s="29">
        <f>COUNTIFS([5]InfCualitativo!$B$1:$B$6973,"FALSO",[5]InfCualitativo!$E$1:$E$6973,"Boquilla",[5]InfCualitativo!$H$1:$H$6973,"consulta_externa")</f>
        <v>6</v>
      </c>
      <c r="G11" s="30">
        <f t="shared" si="2"/>
        <v>0.85</v>
      </c>
      <c r="H11" s="30">
        <f t="shared" si="3"/>
        <v>0.15</v>
      </c>
      <c r="I11" s="27">
        <f>COUNTIFS([5]InfCualitativo!$B$1:$B$6973,"VERDADERO",[5]InfCualitativo!$E$1:$E$6973,"Boquilla",[5]InfCualitativo!$H$1:$H$6973,"salud_oral")</f>
        <v>29</v>
      </c>
      <c r="J11" s="27">
        <f>COUNTIFS([5]InfCualitativo!$B$1:$B$6973,"FALSO",[5]InfCualitativo!$E$1:$E$6973,"Boquilla",[5]InfCualitativo!$H$1:$H$6973,"salud_oral")</f>
        <v>5</v>
      </c>
      <c r="K11" s="30">
        <f t="shared" si="4"/>
        <v>0.8529411764705882</v>
      </c>
      <c r="L11" s="30">
        <f t="shared" si="5"/>
        <v>0.14705882352941177</v>
      </c>
      <c r="M11" s="27">
        <f>COUNTIFS([5]InfCualitativo!$B$1:$B$6973,"VERDADERO",[5]InfCualitativo!$E$1:$E$6973,"Boquilla",[5]InfCualitativo!$H$1:$H$6973,"laboratorio")</f>
        <v>30</v>
      </c>
      <c r="N11" s="27">
        <f>COUNTIFS([5]InfCualitativo!$B$1:$B$6973,"FALSO",[5]InfCualitativo!$E$1:$E$6973,"Boquilla",[5]InfCualitativo!$H$1:$H$6973,"laboratorio")</f>
        <v>4</v>
      </c>
      <c r="O11" s="30">
        <f t="shared" si="6"/>
        <v>0.88235294117647056</v>
      </c>
      <c r="P11" s="31">
        <f t="shared" si="7"/>
        <v>0.11764705882352941</v>
      </c>
      <c r="Q11" s="27">
        <f>COUNTIFS([5]InfCualitativo!$B$1:$B$6973,"VERDADERO",[5]InfCualitativo!$E$1:$E$6973,"Boquilla",[5]InfCualitativo!$H$1:$H$6973,"electros")</f>
        <v>0</v>
      </c>
      <c r="R11" s="27">
        <f>COUNTIFS([5]InfCualitativo!$B$1:$B$6973,"FALSO",[5]InfCualitativo!$E$1:$E$6973,"Boquilla",[5]InfCualitativo!$H$1:$H$6973,"electros")</f>
        <v>0</v>
      </c>
      <c r="S11" s="30">
        <f t="shared" si="8"/>
        <v>0</v>
      </c>
      <c r="T11" s="30">
        <f t="shared" si="9"/>
        <v>0</v>
      </c>
      <c r="U11" s="27">
        <f>COUNTIFS([5]InfCualitativo!$B$1:$B$6973,"VERDADERO",[5]InfCualitativo!$E$1:$E$6973,"Boquilla",[5]InfCualitativo!$H$1:$H$6973,"rx")</f>
        <v>0</v>
      </c>
      <c r="V11" s="27">
        <f>COUNTIFS([5]InfCualitativo!$B$1:$B$6973,"FALSO",[5]InfCualitativo!$E$1:$E$6973,"Boquilla",[5]InfCualitativo!$H$1:$H$6973,"rx")</f>
        <v>0</v>
      </c>
      <c r="W11" s="30">
        <f t="shared" si="10"/>
        <v>0</v>
      </c>
      <c r="X11" s="30">
        <f t="shared" si="11"/>
        <v>0</v>
      </c>
      <c r="Y11" s="27">
        <f>COUNTIFS([5]InfCualitativo!$B$1:$B$6973,"VERDADERO",[5]InfCualitativo!$E$1:$E$6973,"Boquilla",[5]InfCualitativo!$H$1:$H$6973,"ecografias")</f>
        <v>4</v>
      </c>
      <c r="Z11" s="27">
        <f>COUNTIFS([5]InfCualitativo!$B$1:$B$6973,"FALSO",[5]InfCualitativo!$E$1:$E$6973,"Boquilla",[5]InfCualitativo!$H$1:$H$6973,"ecografias")</f>
        <v>0</v>
      </c>
      <c r="AA11" s="30">
        <f t="shared" si="12"/>
        <v>1</v>
      </c>
      <c r="AB11" s="30">
        <f t="shared" si="13"/>
        <v>0</v>
      </c>
      <c r="AC11" s="27">
        <f>COUNTIFS([5]InfCualitativo!$B$1:$B$6973,"VERDADERO",[5]InfCualitativo!$E$1:$E$6973,"Boquilla",[5]InfCualitativo!$H$1:$H$6973,"urgencia")</f>
        <v>21</v>
      </c>
      <c r="AD11" s="27">
        <f>COUNTIFS([5]InfCualitativo!$B$1:$B$6973,"FALSO",[5]InfCualitativo!$E$1:$E$6973,"Boquilla",[5]InfCualitativo!$H$1:$H$6973,"urgencia")</f>
        <v>14</v>
      </c>
      <c r="AE11" s="30">
        <f t="shared" si="14"/>
        <v>0.6</v>
      </c>
      <c r="AF11" s="30">
        <f t="shared" si="15"/>
        <v>0.4</v>
      </c>
      <c r="AG11" s="27">
        <f>COUNTIFS([5]InfCualitativo!$B$1:$B$6973,"VERDADERO",[5]InfCualitativo!$E$1:$E$6973,"Boquilla",[5]InfCualitativo!$H$1:$H$6973,"pediatria")</f>
        <v>0</v>
      </c>
      <c r="AH11" s="27">
        <f>COUNTIFS([5]InfCualitativo!$B$1:$B$6973,"FALSO",[5]InfCualitativo!$E$1:$E$6973,"Boquilla",[5]InfCualitativo!$H$1:$H$6973,"pediatria")</f>
        <v>0</v>
      </c>
      <c r="AI11" s="30">
        <f t="shared" si="16"/>
        <v>0</v>
      </c>
      <c r="AJ11" s="30">
        <f t="shared" si="17"/>
        <v>0</v>
      </c>
      <c r="AK11" s="27">
        <f>COUNTIFS([5]InfCualitativo!$B$1:$B$6973,"VERDADERO",[5]InfCualitativo!$E$1:$E$6973,"Boquilla",[5]InfCualitativo!$H$1:$H$6973,"medicina_interna")</f>
        <v>0</v>
      </c>
      <c r="AL11" s="27">
        <f>COUNTIFS([5]InfCualitativo!$B$1:$B$6973,"FALSO",[5]InfCualitativo!$E$1:$E$6973,"Boquilla",[5]InfCualitativo!$H$1:$H$6973,"medicina_interna")</f>
        <v>0</v>
      </c>
      <c r="AM11" s="30">
        <f t="shared" si="18"/>
        <v>0</v>
      </c>
      <c r="AN11" s="30">
        <f t="shared" si="19"/>
        <v>0</v>
      </c>
      <c r="AO11" s="27">
        <f>COUNTIFS([5]InfCualitativo!$B$1:$B$6973,"VERDADERO",[5]InfCualitativo!$E$1:$E$6973,"Boquilla",[5]InfCualitativo!$H$1:$H$6973,"ginecologia")</f>
        <v>0</v>
      </c>
      <c r="AP11" s="27">
        <f>COUNTIFS([5]InfCualitativo!$B$1:$B$6973,"FALSO",[5]InfCualitativo!$E$1:$E$6973,"Boquilla",[5]InfCualitativo!$H$1:$H$6973,"ginecologia")</f>
        <v>0</v>
      </c>
      <c r="AQ11" s="30">
        <f t="shared" si="20"/>
        <v>0</v>
      </c>
      <c r="AR11" s="30">
        <f t="shared" si="21"/>
        <v>0</v>
      </c>
      <c r="AS11" s="27">
        <f t="shared" si="22"/>
        <v>118</v>
      </c>
      <c r="AT11" s="27">
        <f t="shared" si="22"/>
        <v>29</v>
      </c>
      <c r="AU11" s="32">
        <f t="shared" si="23"/>
        <v>0.80272108843537415</v>
      </c>
      <c r="AV11" s="32">
        <f t="shared" si="24"/>
        <v>0.19727891156462585</v>
      </c>
    </row>
    <row r="12" spans="1:48" ht="18.75" x14ac:dyDescent="0.3">
      <c r="A12" s="26" t="s">
        <v>31</v>
      </c>
      <c r="B12" s="27">
        <v>104</v>
      </c>
      <c r="C12" s="27">
        <f t="shared" si="1"/>
        <v>104</v>
      </c>
      <c r="D12" s="28">
        <f t="shared" si="0"/>
        <v>100</v>
      </c>
      <c r="E12" s="29">
        <f>COUNTIFS([5]InfCualitativo!$B$1:$B$6973,"VERDADERO",[5]InfCualitativo!$E$1:$E$6973,"Bosque",[5]InfCualitativo!$H$1:$H$6973,"consulta_externa")</f>
        <v>35</v>
      </c>
      <c r="F12" s="29">
        <f>COUNTIFS([5]InfCualitativo!$B$1:$B$6973,"FALSO",[5]InfCualitativo!$E$1:$E$6973,"Bosque",[5]InfCualitativo!$H$1:$H$6973,"consulta_externa")</f>
        <v>1</v>
      </c>
      <c r="G12" s="30">
        <f t="shared" si="2"/>
        <v>0.97222222222222221</v>
      </c>
      <c r="H12" s="30">
        <f t="shared" si="3"/>
        <v>2.7777777777777776E-2</v>
      </c>
      <c r="I12" s="27">
        <f>COUNTIFS([5]InfCualitativo!$B$1:$B$6973,"VERDADERO",[5]InfCualitativo!$E$1:$E$6973,"Bosque",[5]InfCualitativo!$H$1:$H$6973,"salud_oral")</f>
        <v>32</v>
      </c>
      <c r="J12" s="27">
        <f>COUNTIFS([5]InfCualitativo!$B$1:$B$6973,"FALSO",[5]InfCualitativo!$E$1:$E$6973,"Bosque",[5]InfCualitativo!$H$1:$H$6973,"salud_oral")</f>
        <v>0</v>
      </c>
      <c r="K12" s="30">
        <f t="shared" si="4"/>
        <v>1</v>
      </c>
      <c r="L12" s="30">
        <f t="shared" si="5"/>
        <v>0</v>
      </c>
      <c r="M12" s="27">
        <f>COUNTIFS([5]InfCualitativo!$B$1:$B$6973,"VERDADERO",[5]InfCualitativo!$E$1:$E$6973,"Bosque",[5]InfCualitativo!$H$1:$H$6973,"laboratorio")</f>
        <v>36</v>
      </c>
      <c r="N12" s="27">
        <f>COUNTIFS([5]InfCualitativo!$B$1:$B$6973,"FALSO",[5]InfCualitativo!$E$1:$E$6973,"Bosque",[5]InfCualitativo!$H$1:$H$6973,"laboratorio")</f>
        <v>0</v>
      </c>
      <c r="O12" s="30">
        <f t="shared" si="6"/>
        <v>1</v>
      </c>
      <c r="P12" s="31">
        <f t="shared" si="7"/>
        <v>0</v>
      </c>
      <c r="Q12" s="27">
        <f>COUNTIFS([5]InfCualitativo!$B$1:$B$6973,"VERDADERO",[5]InfCualitativo!$E$1:$E$6973,"Bosque",[5]InfCualitativo!$H$1:$H$6973,"electros")</f>
        <v>0</v>
      </c>
      <c r="R12" s="27">
        <f>COUNTIFS([5]InfCualitativo!$B$1:$B$6973,"FALSO",[5]InfCualitativo!$E$1:$E$6973,"Bosque",[5]InfCualitativo!$H$1:$H$6973,"electros")</f>
        <v>0</v>
      </c>
      <c r="S12" s="30">
        <f t="shared" si="8"/>
        <v>0</v>
      </c>
      <c r="T12" s="30">
        <f t="shared" si="9"/>
        <v>0</v>
      </c>
      <c r="U12" s="27">
        <f>COUNTIFS([5]InfCualitativo!$B$1:$B$6973,"VERDADERO",[5]InfCualitativo!$E$1:$E$6973,"Bosque",[5]InfCualitativo!$H$1:$H$6973,"rx")</f>
        <v>0</v>
      </c>
      <c r="V12" s="27">
        <f>COUNTIFS([5]InfCualitativo!$B$1:$B$6973,"FALSO",[5]InfCualitativo!$E$1:$E$6973,"Bosque",[5]InfCualitativo!$H$1:$H$6973,"rx")</f>
        <v>0</v>
      </c>
      <c r="W12" s="30">
        <f t="shared" si="10"/>
        <v>0</v>
      </c>
      <c r="X12" s="30">
        <f t="shared" si="11"/>
        <v>0</v>
      </c>
      <c r="Y12" s="27">
        <f>COUNTIFS([5]InfCualitativo!$B$1:$B$6973,"VERDADERO",[5]InfCualitativo!$E$1:$E$6973,"Bosque",[5]InfCualitativo!$H$1:$H$6973,"ecografias")</f>
        <v>0</v>
      </c>
      <c r="Z12" s="27">
        <f>COUNTIFS([5]InfCualitativo!$B$1:$B$6973,"FALSO",[5]InfCualitativo!$E$1:$E$6973,"Bosque",[5]InfCualitativo!$H$1:$H$6973,"ecografias")</f>
        <v>0</v>
      </c>
      <c r="AA12" s="30">
        <f t="shared" si="12"/>
        <v>0</v>
      </c>
      <c r="AB12" s="30">
        <f t="shared" si="13"/>
        <v>0</v>
      </c>
      <c r="AC12" s="27">
        <f>COUNTIFS([5]InfCualitativo!$B$1:$B$6973,"VERDADERO",[5]InfCualitativo!$E$1:$E$6973,"Bosque",[5]InfCualitativo!$H$1:$H$6973,"urgencia")</f>
        <v>0</v>
      </c>
      <c r="AD12" s="27">
        <f>COUNTIFS([5]InfCualitativo!$B$1:$B$6973,"FALSO",[5]InfCualitativo!$E$1:$E$6973,"Bosque",[5]InfCualitativo!$H$1:$H$6973,"urgencia")</f>
        <v>0</v>
      </c>
      <c r="AE12" s="30">
        <f t="shared" si="14"/>
        <v>0</v>
      </c>
      <c r="AF12" s="30">
        <f t="shared" si="15"/>
        <v>0</v>
      </c>
      <c r="AG12" s="27">
        <f>COUNTIFS([5]InfCualitativo!$B$1:$B$6973,"VERDADERO",[5]InfCualitativo!$E$1:$E$6973,"Bosque",[5]InfCualitativo!$H$1:$H$6973,"pediatria")</f>
        <v>0</v>
      </c>
      <c r="AH12" s="27">
        <f>COUNTIFS([5]InfCualitativo!$B$1:$B$6973,"FALSO",[5]InfCualitativo!$E$1:$E$6973,"Bosque",[5]InfCualitativo!$H$1:$H$6973,"pediatria")</f>
        <v>0</v>
      </c>
      <c r="AI12" s="30">
        <f t="shared" si="16"/>
        <v>0</v>
      </c>
      <c r="AJ12" s="30">
        <f t="shared" si="17"/>
        <v>0</v>
      </c>
      <c r="AK12" s="27">
        <f>COUNTIFS([5]InfCualitativo!$B$1:$B$6973,"VERDADERO",[5]InfCualitativo!$E$1:$E$6973,"Bosque",[5]InfCualitativo!$H$1:$H$6973,"medicina_interna")</f>
        <v>0</v>
      </c>
      <c r="AL12" s="27">
        <f>COUNTIFS([5]InfCualitativo!$B$1:$B$6973,"FALSO",[5]InfCualitativo!$E$1:$E$6973,"Bosque",[5]InfCualitativo!$H$1:$H$6973,"medicina_interna")</f>
        <v>0</v>
      </c>
      <c r="AM12" s="30">
        <f t="shared" si="18"/>
        <v>0</v>
      </c>
      <c r="AN12" s="30">
        <f t="shared" si="19"/>
        <v>0</v>
      </c>
      <c r="AO12" s="27">
        <f>COUNTIFS([5]InfCualitativo!$B$1:$B$6973,"VERDADERO",[5]InfCualitativo!$E$1:$E$6973,"Bosque",[5]InfCualitativo!$H$1:$H$6973,"ginecologia")</f>
        <v>0</v>
      </c>
      <c r="AP12" s="27">
        <f>COUNTIFS([5]InfCualitativo!$B$1:$B$6973,"FALSO",[5]InfCualitativo!$E$1:$E$6973,"Bosque",[5]InfCualitativo!$H$1:$H$6973,"ginecologia")</f>
        <v>0</v>
      </c>
      <c r="AQ12" s="30">
        <f t="shared" si="20"/>
        <v>0</v>
      </c>
      <c r="AR12" s="30">
        <f t="shared" si="21"/>
        <v>0</v>
      </c>
      <c r="AS12" s="27">
        <f t="shared" si="22"/>
        <v>103</v>
      </c>
      <c r="AT12" s="27">
        <f t="shared" si="22"/>
        <v>1</v>
      </c>
      <c r="AU12" s="32">
        <f t="shared" si="23"/>
        <v>0.99038461538461542</v>
      </c>
      <c r="AV12" s="32">
        <f t="shared" si="24"/>
        <v>9.6153846153846159E-3</v>
      </c>
    </row>
    <row r="13" spans="1:48" ht="18.75" x14ac:dyDescent="0.3">
      <c r="A13" s="26" t="s">
        <v>32</v>
      </c>
      <c r="B13" s="27">
        <v>33</v>
      </c>
      <c r="C13" s="27">
        <f t="shared" si="1"/>
        <v>33</v>
      </c>
      <c r="D13" s="28">
        <f t="shared" si="0"/>
        <v>100</v>
      </c>
      <c r="E13" s="29">
        <f>COUNTIFS([5]InfCualitativo!$B$1:$B$6973,"VERDADERO",[5]InfCualitativo!$E$1:$E$6973,"Boston",[5]InfCualitativo!$H$1:$H$6973,"consulta_externa")</f>
        <v>33</v>
      </c>
      <c r="F13" s="29">
        <f>COUNTIFS([5]InfCualitativo!$B$1:$B$6973,"FALSO",[5]InfCualitativo!$E$1:$E$6973,"Boston",[5]InfCualitativo!$H$1:$H$6973,"consulta_externa")</f>
        <v>0</v>
      </c>
      <c r="G13" s="30">
        <f t="shared" si="2"/>
        <v>1</v>
      </c>
      <c r="H13" s="30">
        <f t="shared" si="3"/>
        <v>0</v>
      </c>
      <c r="I13" s="27">
        <f>COUNTIFS([5]InfCualitativo!$B$1:$B$6973,"VERDADERO",[5]InfCualitativo!$E$1:$E$6973,"Boston",[5]InfCualitativo!$H$1:$H$6973,"salud_oral")</f>
        <v>0</v>
      </c>
      <c r="J13" s="27">
        <f>COUNTIFS([5]InfCualitativo!$B$1:$B$6973,"FALSO",[5]InfCualitativo!$E$1:$E$6973,"Boston",[5]InfCualitativo!$H$1:$H$6973,"salud_oral")</f>
        <v>0</v>
      </c>
      <c r="K13" s="30">
        <f t="shared" si="4"/>
        <v>0</v>
      </c>
      <c r="L13" s="30">
        <f t="shared" si="5"/>
        <v>0</v>
      </c>
      <c r="M13" s="27">
        <f>COUNTIFS([5]InfCualitativo!$B$1:$B$6973,"VERDADERO",[5]InfCualitativo!$E$1:$E$6973,"Boston",[5]InfCualitativo!$H$1:$H$6973,"laboratorio")</f>
        <v>0</v>
      </c>
      <c r="N13" s="27">
        <f>COUNTIFS([5]InfCualitativo!$B$1:$B$6973,"FALSO",[5]InfCualitativo!$E$1:$E$6973,"Boston",[5]InfCualitativo!$H$1:$H$6973,"laboratorio")</f>
        <v>0</v>
      </c>
      <c r="O13" s="30">
        <f t="shared" si="6"/>
        <v>0</v>
      </c>
      <c r="P13" s="31">
        <f t="shared" si="7"/>
        <v>0</v>
      </c>
      <c r="Q13" s="27">
        <f>COUNTIFS([5]InfCualitativo!$B$1:$B$6973,"VERDADERO",[5]InfCualitativo!$E$1:$E$6973,"Boston",[5]InfCualitativo!$H$1:$H$6973,"electros")</f>
        <v>0</v>
      </c>
      <c r="R13" s="27">
        <f>COUNTIFS([5]InfCualitativo!$B$1:$B$6973,"FALSO",[5]InfCualitativo!$E$1:$E$6973,"Boston",[5]InfCualitativo!$H$1:$H$6973,"electros")</f>
        <v>0</v>
      </c>
      <c r="S13" s="30">
        <f t="shared" si="8"/>
        <v>0</v>
      </c>
      <c r="T13" s="30">
        <f t="shared" si="9"/>
        <v>0</v>
      </c>
      <c r="U13" s="27">
        <f>COUNTIFS([5]InfCualitativo!$B$1:$B$6973,"VERDADERO",[5]InfCualitativo!$E$1:$E$6973,"Boston",[5]InfCualitativo!$H$1:$H$6973,"rx")</f>
        <v>0</v>
      </c>
      <c r="V13" s="27">
        <f>COUNTIFS([5]InfCualitativo!$B$1:$B$6973,"FALSO",[5]InfCualitativo!$E$1:$E$6973,"Boston",[5]InfCualitativo!$H$1:$H$6973,"rx")</f>
        <v>0</v>
      </c>
      <c r="W13" s="30">
        <f t="shared" si="10"/>
        <v>0</v>
      </c>
      <c r="X13" s="30">
        <f t="shared" si="11"/>
        <v>0</v>
      </c>
      <c r="Y13" s="27">
        <f>COUNTIFS([5]InfCualitativo!$B$1:$B$6973,"VERDADERO",[5]InfCualitativo!$E$1:$E$6973,"Boston",[5]InfCualitativo!$H$1:$H$6973,"ecografias")</f>
        <v>0</v>
      </c>
      <c r="Z13" s="27">
        <f>COUNTIFS([5]InfCualitativo!$B$1:$B$6973,"FALSO",[5]InfCualitativo!$E$1:$E$6973,"Boston",[5]InfCualitativo!$H$1:$H$6973,"ecografias")</f>
        <v>0</v>
      </c>
      <c r="AA13" s="30">
        <f t="shared" si="12"/>
        <v>0</v>
      </c>
      <c r="AB13" s="30">
        <f t="shared" si="13"/>
        <v>0</v>
      </c>
      <c r="AC13" s="27">
        <f>COUNTIFS([5]InfCualitativo!$B$1:$B$6973,"VERDADERO",[5]InfCualitativo!$E$1:$E$6973,"Boston",[5]InfCualitativo!$H$1:$H$6973,"urgencia")</f>
        <v>0</v>
      </c>
      <c r="AD13" s="27">
        <f>COUNTIFS([5]InfCualitativo!$B$1:$B$6973,"FALSO",[5]InfCualitativo!$E$1:$E$6973,"Boston",[5]InfCualitativo!$H$1:$H$6973,"urgencia")</f>
        <v>0</v>
      </c>
      <c r="AE13" s="30">
        <f t="shared" si="14"/>
        <v>0</v>
      </c>
      <c r="AF13" s="30">
        <f t="shared" si="15"/>
        <v>0</v>
      </c>
      <c r="AG13" s="27">
        <f>COUNTIFS([5]InfCualitativo!$B$1:$B$6973,"VERDADERO",[5]InfCualitativo!$E$1:$E$6973,"Boston",[5]InfCualitativo!$H$1:$H$6973,"pediatria")</f>
        <v>0</v>
      </c>
      <c r="AH13" s="27">
        <f>COUNTIFS([5]InfCualitativo!$B$1:$B$6973,"FALSO",[5]InfCualitativo!$E$1:$E$6973,"Boston",[5]InfCualitativo!$H$1:$H$6973,"pediatria")</f>
        <v>0</v>
      </c>
      <c r="AI13" s="30">
        <f t="shared" si="16"/>
        <v>0</v>
      </c>
      <c r="AJ13" s="30">
        <f t="shared" si="17"/>
        <v>0</v>
      </c>
      <c r="AK13" s="27">
        <f>COUNTIFS([5]InfCualitativo!$B$1:$B$6973,"VERDADERO",[5]InfCualitativo!$E$1:$E$6973,"Boston",[5]InfCualitativo!$H$1:$H$6973,"medicina_interna")</f>
        <v>0</v>
      </c>
      <c r="AL13" s="27">
        <f>COUNTIFS([5]InfCualitativo!$B$1:$B$6973,"FALSO",[5]InfCualitativo!$E$1:$E$6973,"Boston",[5]InfCualitativo!$H$1:$H$6973,"medicina_interna")</f>
        <v>0</v>
      </c>
      <c r="AM13" s="30">
        <f t="shared" si="18"/>
        <v>0</v>
      </c>
      <c r="AN13" s="30">
        <f t="shared" si="19"/>
        <v>0</v>
      </c>
      <c r="AO13" s="27">
        <f>COUNTIFS([5]InfCualitativo!$B$1:$B$6973,"VERDADERO",[5]InfCualitativo!$E$1:$E$6973,"Boston",[5]InfCualitativo!$H$1:$H$6973,"ginecologia")</f>
        <v>0</v>
      </c>
      <c r="AP13" s="27">
        <f>COUNTIFS([5]InfCualitativo!$B$1:$B$6973,"FALSO",[5]InfCualitativo!$E$1:$E$6973,"Boston",[5]InfCualitativo!$H$1:$H$6973,"ginecologia")</f>
        <v>0</v>
      </c>
      <c r="AQ13" s="30">
        <f t="shared" si="20"/>
        <v>0</v>
      </c>
      <c r="AR13" s="30">
        <f t="shared" si="21"/>
        <v>0</v>
      </c>
      <c r="AS13" s="27">
        <f t="shared" si="22"/>
        <v>33</v>
      </c>
      <c r="AT13" s="27">
        <f t="shared" si="22"/>
        <v>0</v>
      </c>
      <c r="AU13" s="32">
        <f t="shared" si="23"/>
        <v>1</v>
      </c>
      <c r="AV13" s="32">
        <f t="shared" si="24"/>
        <v>0</v>
      </c>
    </row>
    <row r="14" spans="1:48" ht="18.75" x14ac:dyDescent="0.3">
      <c r="A14" s="26" t="s">
        <v>33</v>
      </c>
      <c r="B14" s="27">
        <v>106</v>
      </c>
      <c r="C14" s="27">
        <f t="shared" si="1"/>
        <v>106</v>
      </c>
      <c r="D14" s="28">
        <f t="shared" si="0"/>
        <v>100</v>
      </c>
      <c r="E14" s="29">
        <f>COUNTIFS([5]InfCualitativo!$B$1:$B$6973,"VERDADERO",[5]InfCualitativo!$E$1:$E$6973,"Canapote",[5]InfCualitativo!$H$1:$H$6973,"consulta_externa")</f>
        <v>33</v>
      </c>
      <c r="F14" s="29">
        <f>COUNTIFS([5]InfCualitativo!$B$1:$B$6973,"FALSO",[5]InfCualitativo!$E$1:$E$6973,"Canapote",[5]InfCualitativo!$H$1:$H$6973,"consulta_externa")</f>
        <v>3</v>
      </c>
      <c r="G14" s="30">
        <f t="shared" si="2"/>
        <v>0.91666666666666663</v>
      </c>
      <c r="H14" s="30">
        <f t="shared" si="3"/>
        <v>8.3333333333333329E-2</v>
      </c>
      <c r="I14" s="27">
        <f>COUNTIFS([5]InfCualitativo!$B$1:$B$6973,"VERDADERO",[5]InfCualitativo!$E$1:$E$6973,"Canapote",[5]InfCualitativo!$H$1:$H$6973,"salud_oral")</f>
        <v>34</v>
      </c>
      <c r="J14" s="27">
        <f>COUNTIFS([5]InfCualitativo!$B$1:$B$6973,"FALSO",[5]InfCualitativo!$E$1:$E$6973,"Canapote",[5]InfCualitativo!$H$1:$H$6973,"salud_oral")</f>
        <v>0</v>
      </c>
      <c r="K14" s="30">
        <f t="shared" si="4"/>
        <v>1</v>
      </c>
      <c r="L14" s="30">
        <f t="shared" si="5"/>
        <v>0</v>
      </c>
      <c r="M14" s="27">
        <f>COUNTIFS([5]InfCualitativo!$B$1:$B$6973,"VERDADERO",[5]InfCualitativo!$E$1:$E$6973,"Canapote",[5]InfCualitativo!$H$1:$H$6973,"laboratorio")</f>
        <v>25</v>
      </c>
      <c r="N14" s="27">
        <f>COUNTIFS([5]InfCualitativo!$B$1:$B$6973,"FALSO",[5]InfCualitativo!$E$1:$E$6973,"Canapote",[5]InfCualitativo!$H$1:$H$6973,"laboratorio")</f>
        <v>11</v>
      </c>
      <c r="O14" s="30">
        <f t="shared" si="6"/>
        <v>0.69444444444444442</v>
      </c>
      <c r="P14" s="31">
        <f t="shared" si="7"/>
        <v>0.30555555555555558</v>
      </c>
      <c r="Q14" s="27">
        <f>COUNTIFS([5]InfCualitativo!$B$1:$B$6973,"VERDADERO",[5]InfCualitativo!$E$1:$E$6973,"Canapote",[5]InfCualitativo!$H$1:$H$6973,"electros")</f>
        <v>0</v>
      </c>
      <c r="R14" s="27">
        <f>COUNTIFS([5]InfCualitativo!$B$1:$B$6973,"FALSO",[5]InfCualitativo!$E$1:$E$6973,"Canapote",[5]InfCualitativo!$H$1:$H$6973,"electros")</f>
        <v>0</v>
      </c>
      <c r="S14" s="30">
        <f t="shared" si="8"/>
        <v>0</v>
      </c>
      <c r="T14" s="30">
        <f t="shared" si="9"/>
        <v>0</v>
      </c>
      <c r="U14" s="27">
        <f>COUNTIFS([5]InfCualitativo!$B$1:$B$6973,"VERDADERO",[5]InfCualitativo!$E$1:$E$6973,"Canapote",[5]InfCualitativo!$H$1:$H$6973,"rx")</f>
        <v>0</v>
      </c>
      <c r="V14" s="27">
        <f>COUNTIFS([5]InfCualitativo!$B$1:$B$6973,"FALSO",[5]InfCualitativo!$E$1:$E$6973,"Canapote",[5]InfCualitativo!$H$1:$H$6973,"rx")</f>
        <v>0</v>
      </c>
      <c r="W14" s="30">
        <f t="shared" si="10"/>
        <v>0</v>
      </c>
      <c r="X14" s="30">
        <f t="shared" si="11"/>
        <v>0</v>
      </c>
      <c r="Y14" s="27">
        <f>COUNTIFS([5]InfCualitativo!$B$1:$B$6973,"VERDADERO",[5]InfCualitativo!$E$1:$E$6973,"Canapote",[5]InfCualitativo!$H$1:$H$6973,"ecografias")</f>
        <v>0</v>
      </c>
      <c r="Z14" s="27">
        <f>COUNTIFS([5]InfCualitativo!$B$1:$B$6973,"FALSO",[5]InfCualitativo!$E$1:$E$6973,"Canapote",[5]InfCualitativo!$H$1:$H$6973,"ecografias")</f>
        <v>0</v>
      </c>
      <c r="AA14" s="30">
        <f t="shared" si="12"/>
        <v>0</v>
      </c>
      <c r="AB14" s="30">
        <f t="shared" si="13"/>
        <v>0</v>
      </c>
      <c r="AC14" s="27">
        <f>COUNTIFS([5]InfCualitativo!$B$1:$B$6973,"VERDADERO",[5]InfCualitativo!$E$1:$E$6973,"Canapote",[5]InfCualitativo!$H$1:$H$6973,"urgencia")</f>
        <v>0</v>
      </c>
      <c r="AD14" s="27">
        <f>COUNTIFS([5]InfCualitativo!$B$1:$B$6973,"FALSO",[5]InfCualitativo!$E$1:$E$6973,"Canapote",[5]InfCualitativo!$H$1:$H$6973,"urgencia")</f>
        <v>0</v>
      </c>
      <c r="AE14" s="30">
        <f t="shared" si="14"/>
        <v>0</v>
      </c>
      <c r="AF14" s="30">
        <f t="shared" si="15"/>
        <v>0</v>
      </c>
      <c r="AG14" s="27">
        <f>COUNTIFS([5]InfCualitativo!$B$1:$B$6973,"VERDADERO",[5]InfCualitativo!$E$1:$E$6973,"Canapote",[5]InfCualitativo!$H$1:$H$6973,"pediatria")</f>
        <v>0</v>
      </c>
      <c r="AH14" s="27">
        <f>COUNTIFS([5]InfCualitativo!$B$1:$B$6973,"FALSO",[5]InfCualitativo!$E$1:$E$6973,"Canapote",[5]InfCualitativo!$H$1:$H$6973,"pediatria")</f>
        <v>0</v>
      </c>
      <c r="AI14" s="30">
        <f t="shared" si="16"/>
        <v>0</v>
      </c>
      <c r="AJ14" s="30">
        <f t="shared" si="17"/>
        <v>0</v>
      </c>
      <c r="AK14" s="27">
        <f>COUNTIFS([5]InfCualitativo!$B$1:$B$6973,"VERDADERO",[5]InfCualitativo!$E$1:$E$6973,"Canapote",[5]InfCualitativo!$H$1:$H$6973,"medicina_interna")</f>
        <v>0</v>
      </c>
      <c r="AL14" s="27">
        <f>COUNTIFS([5]InfCualitativo!$B$1:$B$6973,"FALSO",[5]InfCualitativo!$E$1:$E$6973,"Canapote",[5]InfCualitativo!$H$1:$H$6973,"medicina_interna")</f>
        <v>0</v>
      </c>
      <c r="AM14" s="30">
        <f t="shared" si="18"/>
        <v>0</v>
      </c>
      <c r="AN14" s="30">
        <f t="shared" si="19"/>
        <v>0</v>
      </c>
      <c r="AO14" s="27">
        <f>COUNTIFS([5]InfCualitativo!$B$1:$B$6973,"VERDADERO",[5]InfCualitativo!$E$1:$E$6973,"Canapote",[5]InfCualitativo!$H$1:$H$6973,"ginecologia")</f>
        <v>0</v>
      </c>
      <c r="AP14" s="27">
        <f>COUNTIFS([5]InfCualitativo!$B$1:$B$6973,"FALSO",[5]InfCualitativo!$E$1:$E$6973,"Canapote",[5]InfCualitativo!$H$1:$H$6973,"ginecologia")</f>
        <v>0</v>
      </c>
      <c r="AQ14" s="30">
        <f t="shared" si="20"/>
        <v>0</v>
      </c>
      <c r="AR14" s="30">
        <f t="shared" si="21"/>
        <v>0</v>
      </c>
      <c r="AS14" s="27">
        <f t="shared" si="22"/>
        <v>92</v>
      </c>
      <c r="AT14" s="27">
        <f t="shared" si="22"/>
        <v>14</v>
      </c>
      <c r="AU14" s="32">
        <f t="shared" si="23"/>
        <v>0.86792452830188682</v>
      </c>
      <c r="AV14" s="32">
        <f t="shared" si="24"/>
        <v>0.13207547169811321</v>
      </c>
    </row>
    <row r="15" spans="1:48" ht="18.75" x14ac:dyDescent="0.3">
      <c r="A15" s="26" t="s">
        <v>34</v>
      </c>
      <c r="B15" s="27">
        <v>210</v>
      </c>
      <c r="C15" s="27">
        <f t="shared" si="1"/>
        <v>203</v>
      </c>
      <c r="D15" s="28">
        <f t="shared" si="0"/>
        <v>96.666666666666671</v>
      </c>
      <c r="E15" s="29">
        <f>COUNTIFS([5]InfCualitativo!$B$1:$B$6973,"VERDADERO",[5]InfCualitativo!$E$1:$E$6973,"Candelaria",[5]InfCualitativo!$H$1:$H$6973,"consulta_externa")</f>
        <v>33</v>
      </c>
      <c r="F15" s="29">
        <f>COUNTIFS([5]InfCualitativo!$B$1:$B$6973,"FALSO",[5]InfCualitativo!$E$1:$E$6973,"Candelaria",[5]InfCualitativo!$H$1:$H$6973,"consulta_externa")</f>
        <v>4</v>
      </c>
      <c r="G15" s="30">
        <f t="shared" si="2"/>
        <v>0.89189189189189189</v>
      </c>
      <c r="H15" s="30">
        <f t="shared" si="3"/>
        <v>0.10810810810810811</v>
      </c>
      <c r="I15" s="27">
        <f>COUNTIFS([5]InfCualitativo!$B$1:$B$6973,"VERDADERO",[5]InfCualitativo!$E$1:$E$6973,"Candelaria",[5]InfCualitativo!$H$1:$H$6973,"salud_oral")</f>
        <v>38</v>
      </c>
      <c r="J15" s="27">
        <f>COUNTIFS([5]InfCualitativo!$B$1:$B$6973,"FALSO",[5]InfCualitativo!$E$1:$E$6973,"Candelaria",[5]InfCualitativo!$H$1:$H$6973,"salud_oral")</f>
        <v>0</v>
      </c>
      <c r="K15" s="30">
        <f t="shared" si="4"/>
        <v>1</v>
      </c>
      <c r="L15" s="30">
        <f t="shared" si="5"/>
        <v>0</v>
      </c>
      <c r="M15" s="27">
        <f>COUNTIFS([5]InfCualitativo!$B$1:$B$6973,"VERDADERO",[5]InfCualitativo!$E$1:$E$6973,"Candelaria",[5]InfCualitativo!$H$1:$H$6973,"laboratorio")</f>
        <v>28</v>
      </c>
      <c r="N15" s="27">
        <f>COUNTIFS([5]InfCualitativo!$B$1:$B$6973,"FALSO",[5]InfCualitativo!$E$1:$E$6973,"Candelaria",[5]InfCualitativo!$H$1:$H$6973,"laboratorio")</f>
        <v>2</v>
      </c>
      <c r="O15" s="30">
        <f t="shared" si="6"/>
        <v>0.93333333333333335</v>
      </c>
      <c r="P15" s="31">
        <f t="shared" si="7"/>
        <v>6.6666666666666666E-2</v>
      </c>
      <c r="Q15" s="27">
        <f>COUNTIFS([5]InfCualitativo!$B$1:$B$6973,"VERDADERO",[5]InfCualitativo!$E$1:$E$6973,"Candelaria",[5]InfCualitativo!$H$1:$H$6973,"electros")</f>
        <v>31</v>
      </c>
      <c r="R15" s="27">
        <f>COUNTIFS([5]InfCualitativo!$B$1:$B$6973,"FALSO",[5]InfCualitativo!$E$1:$E$6973,"Candelaria",[5]InfCualitativo!$H$1:$H$6973,"electros")</f>
        <v>2</v>
      </c>
      <c r="S15" s="30">
        <f t="shared" si="8"/>
        <v>0.93939393939393945</v>
      </c>
      <c r="T15" s="30">
        <f t="shared" si="9"/>
        <v>6.0606060606060608E-2</v>
      </c>
      <c r="U15" s="27">
        <f>COUNTIFS([5]InfCualitativo!$B$1:$B$6973,"VERDADERO",[5]InfCualitativo!$E$1:$E$6973,"Candelaria",[5]InfCualitativo!$H$1:$H$6973,"rx")</f>
        <v>0</v>
      </c>
      <c r="V15" s="27">
        <f>COUNTIFS([5]InfCualitativo!$B$1:$B$6973,"FALSO",[5]InfCualitativo!$E$1:$E$6973,"Candelaria",[5]InfCualitativo!$H$1:$H$6973,"rx")</f>
        <v>0</v>
      </c>
      <c r="W15" s="30">
        <f t="shared" si="10"/>
        <v>0</v>
      </c>
      <c r="X15" s="30">
        <f t="shared" si="11"/>
        <v>0</v>
      </c>
      <c r="Y15" s="27">
        <f>COUNTIFS([5]InfCualitativo!$B$1:$B$6973,"VERDADERO",[5]InfCualitativo!$E$1:$E$6973,"Candelaria",[5]InfCualitativo!$H$1:$H$6973,"ecografias")</f>
        <v>0</v>
      </c>
      <c r="Z15" s="27">
        <f>COUNTIFS([5]InfCualitativo!$B$1:$B$6973,"FALSO",[5]InfCualitativo!$E$1:$E$6973,"Candelaria",[5]InfCualitativo!$H$1:$H$6973,"ecografias")</f>
        <v>0</v>
      </c>
      <c r="AA15" s="30">
        <f t="shared" si="12"/>
        <v>0</v>
      </c>
      <c r="AB15" s="30">
        <f t="shared" si="13"/>
        <v>0</v>
      </c>
      <c r="AC15" s="27">
        <f>COUNTIFS([5]InfCualitativo!$B$1:$B$6973,"VERDADERO",[5]InfCualitativo!$E$1:$E$6973,"Candelaria",[5]InfCualitativo!$H$1:$H$6973,"urgencia")</f>
        <v>18</v>
      </c>
      <c r="AD15" s="27">
        <f>COUNTIFS([5]InfCualitativo!$B$1:$B$6973,"FALSO",[5]InfCualitativo!$E$1:$E$6973,"Candelaria",[5]InfCualitativo!$H$1:$H$6973,"urgencia")</f>
        <v>11</v>
      </c>
      <c r="AE15" s="30">
        <f t="shared" si="14"/>
        <v>0.62068965517241381</v>
      </c>
      <c r="AF15" s="30">
        <f t="shared" si="15"/>
        <v>0.37931034482758619</v>
      </c>
      <c r="AG15" s="27">
        <f>COUNTIFS([5]InfCualitativo!$B$1:$B$6973,"VERDADERO",[5]InfCualitativo!$E$1:$E$6973,"Candelaria",[5]InfCualitativo!$H$1:$H$6973,"pediatria")</f>
        <v>26</v>
      </c>
      <c r="AH15" s="27">
        <f>COUNTIFS([5]InfCualitativo!$B$1:$B$6973,"FALSO",[5]InfCualitativo!$E$1:$E$6973,"Candelaria",[5]InfCualitativo!$H$1:$H$6973,"pediatria")</f>
        <v>0</v>
      </c>
      <c r="AI15" s="30">
        <f t="shared" si="16"/>
        <v>1</v>
      </c>
      <c r="AJ15" s="30">
        <f t="shared" si="17"/>
        <v>0</v>
      </c>
      <c r="AK15" s="27">
        <f>COUNTIFS([5]InfCualitativo!$B$1:$B$6973,"VERDADERO",[5]InfCualitativo!$E$1:$E$6973,"Candelaria",[5]InfCualitativo!$H$1:$H$6973,"medicina_interna")</f>
        <v>8</v>
      </c>
      <c r="AL15" s="27">
        <f>COUNTIFS([5]InfCualitativo!$B$1:$B$6973,"FALSO",[5]InfCualitativo!$E$1:$E$6973,"Candelaria",[5]InfCualitativo!$H$1:$H$6973,"medicina_interna")</f>
        <v>2</v>
      </c>
      <c r="AM15" s="30">
        <f t="shared" si="18"/>
        <v>0.8</v>
      </c>
      <c r="AN15" s="30">
        <f t="shared" si="19"/>
        <v>0.2</v>
      </c>
      <c r="AO15" s="27">
        <f>COUNTIFS([5]InfCualitativo!$B$1:$B$6973,"VERDADERO",[5]InfCualitativo!$E$1:$E$6973,"Candelaria",[5]InfCualitativo!$H$1:$H$6973,"ginecologia")</f>
        <v>0</v>
      </c>
      <c r="AP15" s="27">
        <f>COUNTIFS([5]InfCualitativo!$B$1:$B$6973,"FALSO",[5]InfCualitativo!$E$1:$E$6973,"Candelaria",[5]InfCualitativo!$H$1:$H$6973,"ginecologia")</f>
        <v>0</v>
      </c>
      <c r="AQ15" s="30">
        <f t="shared" si="20"/>
        <v>0</v>
      </c>
      <c r="AR15" s="30">
        <f t="shared" si="21"/>
        <v>0</v>
      </c>
      <c r="AS15" s="27">
        <f t="shared" si="22"/>
        <v>182</v>
      </c>
      <c r="AT15" s="27">
        <f t="shared" si="22"/>
        <v>21</v>
      </c>
      <c r="AU15" s="32">
        <f t="shared" si="23"/>
        <v>0.89655172413793105</v>
      </c>
      <c r="AV15" s="32">
        <f t="shared" si="24"/>
        <v>0.10344827586206896</v>
      </c>
    </row>
    <row r="16" spans="1:48" ht="18.75" x14ac:dyDescent="0.3">
      <c r="A16" s="26" t="s">
        <v>35</v>
      </c>
      <c r="B16" s="27">
        <v>79</v>
      </c>
      <c r="C16" s="27">
        <f t="shared" si="1"/>
        <v>79</v>
      </c>
      <c r="D16" s="28">
        <f t="shared" si="0"/>
        <v>100</v>
      </c>
      <c r="E16" s="29">
        <f>COUNTIFS([5]InfCualitativo!$B$1:$B$6973,"VERDADERO",[5]InfCualitativo!$E$1:$E$6973,"Cano de oro",[5]InfCualitativo!$H$1:$H$6973,"consulta_externa")</f>
        <v>27</v>
      </c>
      <c r="F16" s="29">
        <f>COUNTIFS([5]InfCualitativo!$B$1:$B$6973,"FALSO",[5]InfCualitativo!$E$1:$E$6973,"Cano de oro",[5]InfCualitativo!$H$1:$H$6973,"consulta_externa")</f>
        <v>0</v>
      </c>
      <c r="G16" s="30">
        <f t="shared" si="2"/>
        <v>1</v>
      </c>
      <c r="H16" s="30">
        <f t="shared" si="3"/>
        <v>0</v>
      </c>
      <c r="I16" s="27">
        <f>COUNTIFS([5]InfCualitativo!$B$1:$B$6973,"VERDADERO",[5]InfCualitativo!$E$1:$E$6973,"Cano de oro",[5]InfCualitativo!$H$1:$H$6973,"salud_oral")</f>
        <v>24</v>
      </c>
      <c r="J16" s="27">
        <f>COUNTIFS([5]InfCualitativo!$B$1:$B$6973,"FALSO",[5]InfCualitativo!$E$1:$E$6973,"Cano de oro",[5]InfCualitativo!$H$1:$H$6973,"salud_oral")</f>
        <v>0</v>
      </c>
      <c r="K16" s="30">
        <f t="shared" si="4"/>
        <v>1</v>
      </c>
      <c r="L16" s="30">
        <f t="shared" si="5"/>
        <v>0</v>
      </c>
      <c r="M16" s="27">
        <f>COUNTIFS([5]InfCualitativo!$B$1:$B$6973,"VERDADERO",[5]InfCualitativo!$E$1:$E$6973,"Cano de oro",[5]InfCualitativo!$H$1:$H$6973,"laboratorio")</f>
        <v>28</v>
      </c>
      <c r="N16" s="27">
        <f>COUNTIFS([5]InfCualitativo!$B$1:$B$6973,"FALSO",[5]InfCualitativo!$E$1:$E$6973,"Cano de oro",[5]InfCualitativo!$H$1:$H$6973,"laboratorio")</f>
        <v>0</v>
      </c>
      <c r="O16" s="30">
        <f t="shared" si="6"/>
        <v>1</v>
      </c>
      <c r="P16" s="31">
        <f t="shared" si="7"/>
        <v>0</v>
      </c>
      <c r="Q16" s="27">
        <f>COUNTIFS([5]InfCualitativo!$B$1:$B$6973,"VERDADERO",[5]InfCualitativo!$E$1:$E$6973,"Cano de oro",[5]InfCualitativo!$H$1:$H$6973,"electros")</f>
        <v>0</v>
      </c>
      <c r="R16" s="27">
        <f>COUNTIFS([5]InfCualitativo!$B$1:$B$6973,"FALSO",[5]InfCualitativo!$E$1:$E$6973,"Cano de oro",[5]InfCualitativo!$H$1:$H$6973,"electros")</f>
        <v>0</v>
      </c>
      <c r="S16" s="30">
        <f t="shared" si="8"/>
        <v>0</v>
      </c>
      <c r="T16" s="30">
        <f t="shared" si="9"/>
        <v>0</v>
      </c>
      <c r="U16" s="27">
        <f>COUNTIFS([5]InfCualitativo!$B$1:$B$6973,"VERDADERO",[5]InfCualitativo!$E$1:$E$6973,"Cano de oro",[5]InfCualitativo!$H$1:$H$6973,"rx")</f>
        <v>0</v>
      </c>
      <c r="V16" s="27">
        <f>COUNTIFS([5]InfCualitativo!$B$1:$B$6973,"FALSO",[5]InfCualitativo!$E$1:$E$6973,"Cano de oro",[5]InfCualitativo!$H$1:$H$6973,"rx")</f>
        <v>0</v>
      </c>
      <c r="W16" s="30">
        <f t="shared" si="10"/>
        <v>0</v>
      </c>
      <c r="X16" s="30">
        <f t="shared" si="11"/>
        <v>0</v>
      </c>
      <c r="Y16" s="27">
        <f>COUNTIFS([5]InfCualitativo!$B$1:$B$6973,"VERDADERO",[5]InfCualitativo!$E$1:$E$6973,"Cano de oro",[5]InfCualitativo!$H$1:$H$6973,"ecografias")</f>
        <v>0</v>
      </c>
      <c r="Z16" s="27">
        <f>COUNTIFS([5]InfCualitativo!$B$1:$B$6973,"FALSO",[5]InfCualitativo!$E$1:$E$6973,"Cano de oro",[5]InfCualitativo!$H$1:$H$6973,"ecografias")</f>
        <v>0</v>
      </c>
      <c r="AA16" s="30">
        <f t="shared" si="12"/>
        <v>0</v>
      </c>
      <c r="AB16" s="30">
        <f t="shared" si="13"/>
        <v>0</v>
      </c>
      <c r="AC16" s="27">
        <f>COUNTIFS([5]InfCualitativo!$B$1:$B$6973,"VERDADERO",[5]InfCualitativo!$E$1:$E$6973,"Cano de oro",[5]InfCualitativo!$H$1:$H$6973,"urgencia")</f>
        <v>0</v>
      </c>
      <c r="AD16" s="27">
        <f>COUNTIFS([5]InfCualitativo!$B$1:$B$6973,"FALSO",[5]InfCualitativo!$E$1:$E$6973,"Cano de oro",[5]InfCualitativo!$H$1:$H$6973,"urgencia")</f>
        <v>0</v>
      </c>
      <c r="AE16" s="30">
        <f t="shared" si="14"/>
        <v>0</v>
      </c>
      <c r="AF16" s="30">
        <f t="shared" si="15"/>
        <v>0</v>
      </c>
      <c r="AG16" s="27">
        <f>COUNTIFS([5]InfCualitativo!$B$1:$B$6973,"VERDADERO",[5]InfCualitativo!$E$1:$E$6973,"Cano de oro",[5]InfCualitativo!$H$1:$H$6973,"pediatria")</f>
        <v>0</v>
      </c>
      <c r="AH16" s="27">
        <f>COUNTIFS([5]InfCualitativo!$B$1:$B$6973,"FALSO",[5]InfCualitativo!$E$1:$E$6973,"Cano de oro",[5]InfCualitativo!$H$1:$H$6973,"pediatria")</f>
        <v>0</v>
      </c>
      <c r="AI16" s="30">
        <f t="shared" si="16"/>
        <v>0</v>
      </c>
      <c r="AJ16" s="30">
        <f t="shared" si="17"/>
        <v>0</v>
      </c>
      <c r="AK16" s="27">
        <f>COUNTIFS([5]InfCualitativo!$B$1:$B$6973,"VERDADERO",[5]InfCualitativo!$E$1:$E$6973,"Cano de oro",[5]InfCualitativo!$H$1:$H$6973,"medicina_interna")</f>
        <v>0</v>
      </c>
      <c r="AL16" s="27">
        <f>COUNTIFS([5]InfCualitativo!$B$1:$B$6973,"FALSO",[5]InfCualitativo!$E$1:$E$6973,"Cano de oro",[5]InfCualitativo!$H$1:$H$6973,"medicina_interna")</f>
        <v>0</v>
      </c>
      <c r="AM16" s="30">
        <f t="shared" si="18"/>
        <v>0</v>
      </c>
      <c r="AN16" s="30">
        <f t="shared" si="19"/>
        <v>0</v>
      </c>
      <c r="AO16" s="27">
        <f>COUNTIFS([5]InfCualitativo!$B$1:$B$6973,"VERDADERO",[5]InfCualitativo!$E$1:$E$6973,"Cano de oro",[5]InfCualitativo!$H$1:$H$6973,"ginecologia")</f>
        <v>0</v>
      </c>
      <c r="AP16" s="27">
        <f>COUNTIFS([5]InfCualitativo!$B$1:$B$6973,"FALSO",[5]InfCualitativo!$E$1:$E$6973,"Cano de oro",[5]InfCualitativo!$H$1:$H$6973,"ginecologia")</f>
        <v>0</v>
      </c>
      <c r="AQ16" s="30">
        <f t="shared" si="20"/>
        <v>0</v>
      </c>
      <c r="AR16" s="30">
        <f t="shared" si="21"/>
        <v>0</v>
      </c>
      <c r="AS16" s="27">
        <f t="shared" si="22"/>
        <v>79</v>
      </c>
      <c r="AT16" s="27">
        <f t="shared" si="22"/>
        <v>0</v>
      </c>
      <c r="AU16" s="32">
        <f t="shared" si="23"/>
        <v>1</v>
      </c>
      <c r="AV16" s="32">
        <f t="shared" si="24"/>
        <v>0</v>
      </c>
    </row>
    <row r="17" spans="1:48" ht="18.75" x14ac:dyDescent="0.3">
      <c r="A17" s="26" t="s">
        <v>36</v>
      </c>
      <c r="B17" s="27">
        <v>105</v>
      </c>
      <c r="C17" s="27">
        <f t="shared" si="1"/>
        <v>104</v>
      </c>
      <c r="D17" s="28">
        <f t="shared" si="0"/>
        <v>99.047619047619051</v>
      </c>
      <c r="E17" s="29">
        <f>COUNTIFS([5]InfCualitativo!$B$1:$B$6973,"VERDADERO",[5]InfCualitativo!$E$1:$E$6973,"Daniel Lemaitre",[5]InfCualitativo!$H$1:$H$6973,"consulta_externa")</f>
        <v>35</v>
      </c>
      <c r="F17" s="29">
        <f>COUNTIFS([5]InfCualitativo!$B$1:$B$6973,"FALSO",[5]InfCualitativo!$E$1:$E$6973,"Daniel Lemaitre",[5]InfCualitativo!$H$1:$H$6973,"consulta_externa")</f>
        <v>1</v>
      </c>
      <c r="G17" s="30">
        <f t="shared" si="2"/>
        <v>0.97222222222222221</v>
      </c>
      <c r="H17" s="30">
        <f t="shared" si="3"/>
        <v>2.7777777777777776E-2</v>
      </c>
      <c r="I17" s="27">
        <f>COUNTIFS([5]InfCualitativo!$B$1:$B$6973,"VERDADERO",[5]InfCualitativo!$E$1:$E$6973,"Daniel Lemaitre",[5]InfCualitativo!$H$1:$H$6973,"salud_oral")</f>
        <v>33</v>
      </c>
      <c r="J17" s="27">
        <f>COUNTIFS([5]InfCualitativo!$B$1:$B$6973,"FALSO",[5]InfCualitativo!$E$1:$E$6973,"Daniel Lemaitre",[5]InfCualitativo!$H$1:$H$6973,"salud_oral")</f>
        <v>0</v>
      </c>
      <c r="K17" s="30">
        <f t="shared" si="4"/>
        <v>1</v>
      </c>
      <c r="L17" s="30">
        <f t="shared" si="5"/>
        <v>0</v>
      </c>
      <c r="M17" s="27">
        <f>COUNTIFS([5]InfCualitativo!$B$1:$B$6973,"VERDADERO",[5]InfCualitativo!$E$1:$E$6973,"Daniel Lemaitre",[5]InfCualitativo!$H$1:$H$6973,"laboratorio")</f>
        <v>32</v>
      </c>
      <c r="N17" s="27">
        <f>COUNTIFS([5]InfCualitativo!$B$1:$B$6973,"FALSO",[5]InfCualitativo!$E$1:$E$6973,"Daniel Lemaitre",[5]InfCualitativo!$H$1:$H$6973,"laboratorio")</f>
        <v>3</v>
      </c>
      <c r="O17" s="30">
        <f t="shared" si="6"/>
        <v>0.91428571428571426</v>
      </c>
      <c r="P17" s="31">
        <f t="shared" si="7"/>
        <v>8.5714285714285715E-2</v>
      </c>
      <c r="Q17" s="27">
        <f>COUNTIFS([5]InfCualitativo!$B$1:$B$6973,"VERDADERO",[5]InfCualitativo!$E$1:$E$6973,"Daniel Lemaitre",[5]InfCualitativo!$H$1:$H$6973,"electros")</f>
        <v>0</v>
      </c>
      <c r="R17" s="27">
        <f>COUNTIFS([5]InfCualitativo!$B$1:$B$6973,"FALSO",[5]InfCualitativo!$E$1:$E$6973,"Daniel Lemaitre",[5]InfCualitativo!$H$1:$H$6973,"electros")</f>
        <v>0</v>
      </c>
      <c r="S17" s="30">
        <f t="shared" si="8"/>
        <v>0</v>
      </c>
      <c r="T17" s="30">
        <f t="shared" si="9"/>
        <v>0</v>
      </c>
      <c r="U17" s="27">
        <f>COUNTIFS([5]InfCualitativo!$B$1:$B$6973,"VERDADERO",[5]InfCualitativo!$E$1:$E$6973,"Daniel Lemaitre",[5]InfCualitativo!$H$1:$H$6973,"rx")</f>
        <v>0</v>
      </c>
      <c r="V17" s="27">
        <f>COUNTIFS([5]InfCualitativo!$B$1:$B$6973,"FALSO",[5]InfCualitativo!$E$1:$E$6973,"Daniel Lemaitre",[5]InfCualitativo!$H$1:$H$6973,"rx")</f>
        <v>0</v>
      </c>
      <c r="W17" s="30">
        <f t="shared" si="10"/>
        <v>0</v>
      </c>
      <c r="X17" s="30">
        <f t="shared" si="11"/>
        <v>0</v>
      </c>
      <c r="Y17" s="27">
        <f>COUNTIFS([5]InfCualitativo!$B$1:$B$6973,"VERDADERO",[5]InfCualitativo!$E$1:$E$6973,"Daniel Lemaitre",[5]InfCualitativo!$H$1:$H$6973,"ecografias")</f>
        <v>0</v>
      </c>
      <c r="Z17" s="27">
        <f>COUNTIFS([5]InfCualitativo!$B$1:$B$6973,"FALSO",[5]InfCualitativo!$E$1:$E$6973,"Daniel Lemaitre",[5]InfCualitativo!$H$1:$H$6973,"ecografias")</f>
        <v>0</v>
      </c>
      <c r="AA17" s="30">
        <f t="shared" si="12"/>
        <v>0</v>
      </c>
      <c r="AB17" s="30">
        <f t="shared" si="13"/>
        <v>0</v>
      </c>
      <c r="AC17" s="27">
        <f>COUNTIFS([5]InfCualitativo!$B$1:$B$6973,"VERDADERO",[5]InfCualitativo!$E$1:$E$6973,"Daniel Lemaitre",[5]InfCualitativo!$H$1:$H$6973,"urgencia")</f>
        <v>0</v>
      </c>
      <c r="AD17" s="27">
        <f>COUNTIFS([5]InfCualitativo!$B$1:$B$6973,"FALSO",[5]InfCualitativo!$E$1:$E$6973,"Daniel Lemaitre",[5]InfCualitativo!$H$1:$H$6973,"urgencia")</f>
        <v>0</v>
      </c>
      <c r="AE17" s="30">
        <f t="shared" si="14"/>
        <v>0</v>
      </c>
      <c r="AF17" s="30">
        <f t="shared" si="15"/>
        <v>0</v>
      </c>
      <c r="AG17" s="27">
        <f>COUNTIFS([5]InfCualitativo!$B$1:$B$6973,"VERDADERO",[5]InfCualitativo!$E$1:$E$6973,"Daniel Lemaitre",[5]InfCualitativo!$H$1:$H$6973,"pediatria")</f>
        <v>0</v>
      </c>
      <c r="AH17" s="27">
        <f>COUNTIFS([5]InfCualitativo!$B$1:$B$6973,"FALSO",[5]InfCualitativo!$E$1:$E$6973,"Daniel Lemaitre",[5]InfCualitativo!$H$1:$H$6973,"pediatria")</f>
        <v>0</v>
      </c>
      <c r="AI17" s="30">
        <f t="shared" si="16"/>
        <v>0</v>
      </c>
      <c r="AJ17" s="30">
        <f t="shared" si="17"/>
        <v>0</v>
      </c>
      <c r="AK17" s="27">
        <f>COUNTIFS([5]InfCualitativo!$B$1:$B$6973,"VERDADERO",[5]InfCualitativo!$E$1:$E$6973,"Daniel Lemaitre",[5]InfCualitativo!$H$1:$H$6973,"medicina_interna")</f>
        <v>0</v>
      </c>
      <c r="AL17" s="27">
        <f>COUNTIFS([5]InfCualitativo!$B$1:$B$6973,"FALSO",[5]InfCualitativo!$E$1:$E$6973,"Daniel Lemaitre",[5]InfCualitativo!$H$1:$H$6973,"medicina_interna")</f>
        <v>0</v>
      </c>
      <c r="AM17" s="30">
        <f t="shared" si="18"/>
        <v>0</v>
      </c>
      <c r="AN17" s="30">
        <f t="shared" si="19"/>
        <v>0</v>
      </c>
      <c r="AO17" s="27">
        <f>COUNTIFS([5]InfCualitativo!$B$1:$B$6973,"VERDADERO",[5]InfCualitativo!$E$1:$E$6973,"Daniel Lemaitre",[5]InfCualitativo!$H$1:$H$6973,"ginecologia")</f>
        <v>0</v>
      </c>
      <c r="AP17" s="27">
        <f>COUNTIFS([5]InfCualitativo!$B$1:$B$6973,"FALSO",[5]InfCualitativo!$E$1:$E$6973,"Daniel Lemaitre",[5]InfCualitativo!$H$1:$H$6973,"ginecologia")</f>
        <v>0</v>
      </c>
      <c r="AQ17" s="30">
        <f t="shared" si="20"/>
        <v>0</v>
      </c>
      <c r="AR17" s="30">
        <f t="shared" si="21"/>
        <v>0</v>
      </c>
      <c r="AS17" s="27">
        <f t="shared" si="22"/>
        <v>100</v>
      </c>
      <c r="AT17" s="27">
        <f t="shared" si="22"/>
        <v>4</v>
      </c>
      <c r="AU17" s="32">
        <f t="shared" si="23"/>
        <v>0.96153846153846156</v>
      </c>
      <c r="AV17" s="32">
        <f t="shared" si="24"/>
        <v>3.8461538461538464E-2</v>
      </c>
    </row>
    <row r="18" spans="1:48" ht="18.75" x14ac:dyDescent="0.3">
      <c r="A18" s="26" t="s">
        <v>37</v>
      </c>
      <c r="B18" s="27">
        <v>177</v>
      </c>
      <c r="C18" s="27">
        <f>SUM(E18,F18,I18,J18,M18,N18,Q18,R18,U18,V18,Y18,Z18,AC18,AD18,AG18,AH18,AK18,AL18,AO18,AP18)</f>
        <v>177</v>
      </c>
      <c r="D18" s="28">
        <f t="shared" si="0"/>
        <v>100</v>
      </c>
      <c r="E18" s="29">
        <f>COUNTIFS([5]InfCualitativo!$B$1:$B$6973,"VERDADERO",[5]InfCualitativo!$E$1:$E$6973,"Esperanza",[5]InfCualitativo!$H$1:$H$6973,"consulta_externa")</f>
        <v>34</v>
      </c>
      <c r="F18" s="29">
        <f>COUNTIFS([5]InfCualitativo!$B$1:$B$6973,"FALSO",[5]InfCualitativo!$E$1:$E$6973,"Esperanza",[5]InfCualitativo!$H$1:$H$6973,"consulta_externa")</f>
        <v>2</v>
      </c>
      <c r="G18" s="30">
        <f t="shared" si="2"/>
        <v>0.94444444444444442</v>
      </c>
      <c r="H18" s="30">
        <f t="shared" si="3"/>
        <v>5.5555555555555552E-2</v>
      </c>
      <c r="I18" s="27">
        <f>COUNTIFS([5]InfCualitativo!$B$1:$B$6973,"VERDADERO",[5]InfCualitativo!$E$1:$E$6973,"Esperanza",[5]InfCualitativo!$H$1:$H$6973,"salud_oral")</f>
        <v>36</v>
      </c>
      <c r="J18" s="27">
        <f>COUNTIFS([5]InfCualitativo!$B$1:$B$6973,"FALSO",[5]InfCualitativo!$E$1:$E$6973,"Esperanza",[5]InfCualitativo!$H$1:$H$6973,"salud_oral")</f>
        <v>0</v>
      </c>
      <c r="K18" s="30">
        <f t="shared" si="4"/>
        <v>1</v>
      </c>
      <c r="L18" s="30">
        <f t="shared" si="5"/>
        <v>0</v>
      </c>
      <c r="M18" s="27">
        <f>COUNTIFS([5]InfCualitativo!$B$1:$B$6973,"VERDADERO",[5]InfCualitativo!$E$1:$E$6973,"Esperanza",[5]InfCualitativo!$H$1:$H$6973,"laboratorio")</f>
        <v>31</v>
      </c>
      <c r="N18" s="27">
        <f>COUNTIFS([5]InfCualitativo!$B$1:$B$6973,"FALSO",[5]InfCualitativo!$E$1:$E$6973,"Esperanza",[5]InfCualitativo!$H$1:$H$6973,"laboratorio")</f>
        <v>5</v>
      </c>
      <c r="O18" s="30">
        <f t="shared" si="6"/>
        <v>0.86111111111111116</v>
      </c>
      <c r="P18" s="31">
        <f t="shared" si="7"/>
        <v>0.1388888888888889</v>
      </c>
      <c r="Q18" s="27">
        <f>COUNTIFS([5]InfCualitativo!$B$1:$B$6973,"VERDADERO",[5]InfCualitativo!$E$1:$E$6973,"Esperanza",[5]InfCualitativo!$H$1:$H$6973,"electros")</f>
        <v>34</v>
      </c>
      <c r="R18" s="27">
        <f>COUNTIFS([5]InfCualitativo!$B$1:$B$6973,"FALSO",[5]InfCualitativo!$E$1:$E$6973,"Esperanza",[5]InfCualitativo!$H$1:$H$6973,"electros")</f>
        <v>2</v>
      </c>
      <c r="S18" s="30">
        <f t="shared" si="8"/>
        <v>0.94444444444444442</v>
      </c>
      <c r="T18" s="30">
        <f t="shared" si="9"/>
        <v>5.5555555555555552E-2</v>
      </c>
      <c r="U18" s="27">
        <f>COUNTIFS([5]InfCualitativo!$B$1:$B$6973,"VERDADERO",[5]InfCualitativo!$E$1:$E$6973,"Esperanza",[5]InfCualitativo!$H$1:$H$6973,"rx")</f>
        <v>0</v>
      </c>
      <c r="V18" s="27">
        <f>COUNTIFS([5]InfCualitativo!$B$1:$B$6973,"FALSO",[5]InfCualitativo!$E$1:$E$6973,"Esperanza",[5]InfCualitativo!$H$1:$H$6973,"rx")</f>
        <v>0</v>
      </c>
      <c r="W18" s="30">
        <f t="shared" si="10"/>
        <v>0</v>
      </c>
      <c r="X18" s="30">
        <f t="shared" si="11"/>
        <v>0</v>
      </c>
      <c r="Y18" s="27">
        <f>COUNTIFS([5]InfCualitativo!$B$1:$B$6973,"VERDADERO",[5]InfCualitativo!$E$1:$E$6973,"Esperanza",[5]InfCualitativo!$H$1:$H$6973,"ecografias")</f>
        <v>0</v>
      </c>
      <c r="Z18" s="27">
        <f>COUNTIFS([5]InfCualitativo!$B$1:$B$6973,"FALSO",[5]InfCualitativo!$E$1:$E$6973,"Esperanza",[5]InfCualitativo!$H$1:$H$6973,"ecografias")</f>
        <v>0</v>
      </c>
      <c r="AA18" s="30">
        <f t="shared" si="12"/>
        <v>0</v>
      </c>
      <c r="AB18" s="30">
        <f t="shared" si="13"/>
        <v>0</v>
      </c>
      <c r="AC18" s="27">
        <f>COUNTIFS([5]InfCualitativo!$B$1:$B$6973,"VERDADERO",[5]InfCualitativo!$E$1:$E$6973,"Esperanza",[5]InfCualitativo!$H$1:$H$6973,"urgencia")</f>
        <v>25</v>
      </c>
      <c r="AD18" s="27">
        <f>COUNTIFS([5]InfCualitativo!$B$1:$B$6973,"FALSO",[5]InfCualitativo!$E$1:$E$6973,"Esperanza",[5]InfCualitativo!$H$1:$H$6973,"urgencia")</f>
        <v>8</v>
      </c>
      <c r="AE18" s="30">
        <f t="shared" si="14"/>
        <v>0.75757575757575757</v>
      </c>
      <c r="AF18" s="30">
        <f t="shared" si="15"/>
        <v>0.24242424242424243</v>
      </c>
      <c r="AG18" s="27">
        <f>COUNTIFS([5]InfCualitativo!$B$1:$B$6973,"VERDADERO",[5]InfCualitativo!$E$1:$E$6973,"Esperanza",[5]InfCualitativo!$H$1:$H$6973,"pediatria")</f>
        <v>0</v>
      </c>
      <c r="AH18" s="27">
        <f>COUNTIFS([5]InfCualitativo!$B$1:$B$6973,"FALSO",[5]InfCualitativo!$E$1:$E$6973,"Esperanza",[5]InfCualitativo!$H$1:$H$6973,"pediatria")</f>
        <v>0</v>
      </c>
      <c r="AI18" s="30">
        <f t="shared" si="16"/>
        <v>0</v>
      </c>
      <c r="AJ18" s="30">
        <f t="shared" si="17"/>
        <v>0</v>
      </c>
      <c r="AK18" s="27">
        <f>COUNTIFS([5]InfCualitativo!$B$1:$B$6973,"VERDADERO",[5]InfCualitativo!$E$1:$E$6973,"Esperanza",[5]InfCualitativo!$H$1:$H$6973,"medicina_interna")</f>
        <v>0</v>
      </c>
      <c r="AL18" s="27">
        <f>COUNTIFS([5]InfCualitativo!$B$1:$B$6973,"FALSO",[5]InfCualitativo!$E$1:$E$6973,"Esperanza",[5]InfCualitativo!$H$1:$H$6973,"medicina_interna")</f>
        <v>0</v>
      </c>
      <c r="AM18" s="30">
        <f t="shared" si="18"/>
        <v>0</v>
      </c>
      <c r="AN18" s="30">
        <f t="shared" si="19"/>
        <v>0</v>
      </c>
      <c r="AO18" s="27">
        <f>COUNTIFS([5]InfCualitativo!$B$1:$B$6973,"VERDADERO",[5]InfCualitativo!$E$1:$E$6973,"Esperanza",[5]InfCualitativo!$H$1:$H$6973,"ginecologia")</f>
        <v>0</v>
      </c>
      <c r="AP18" s="27">
        <f>COUNTIFS([5]InfCualitativo!$B$1:$B$6973,"FALSO",[5]InfCualitativo!$E$1:$E$6973,"Esperanza",[5]InfCualitativo!$H$1:$H$6973,"ginecologia")</f>
        <v>0</v>
      </c>
      <c r="AQ18" s="30">
        <f t="shared" si="20"/>
        <v>0</v>
      </c>
      <c r="AR18" s="30">
        <f t="shared" si="21"/>
        <v>0</v>
      </c>
      <c r="AS18" s="27">
        <f t="shared" si="22"/>
        <v>160</v>
      </c>
      <c r="AT18" s="27">
        <f t="shared" si="22"/>
        <v>17</v>
      </c>
      <c r="AU18" s="32">
        <f t="shared" si="23"/>
        <v>0.903954802259887</v>
      </c>
      <c r="AV18" s="32">
        <f t="shared" si="24"/>
        <v>9.6045197740112997E-2</v>
      </c>
    </row>
    <row r="19" spans="1:48" ht="18.75" x14ac:dyDescent="0.3">
      <c r="A19" s="26" t="s">
        <v>38</v>
      </c>
      <c r="B19" s="35" t="s">
        <v>39</v>
      </c>
      <c r="C19" s="35" t="s">
        <v>39</v>
      </c>
      <c r="D19" s="35" t="s">
        <v>39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5" t="s">
        <v>39</v>
      </c>
      <c r="P19" s="35" t="s">
        <v>39</v>
      </c>
      <c r="Q19" s="35" t="s">
        <v>39</v>
      </c>
      <c r="R19" s="35" t="s">
        <v>39</v>
      </c>
      <c r="S19" s="35" t="s">
        <v>39</v>
      </c>
      <c r="T19" s="35" t="s">
        <v>39</v>
      </c>
      <c r="U19" s="35" t="s">
        <v>39</v>
      </c>
      <c r="V19" s="35" t="s">
        <v>39</v>
      </c>
      <c r="W19" s="35" t="s">
        <v>39</v>
      </c>
      <c r="X19" s="35" t="s">
        <v>39</v>
      </c>
      <c r="Y19" s="35" t="s">
        <v>39</v>
      </c>
      <c r="Z19" s="35" t="s">
        <v>39</v>
      </c>
      <c r="AA19" s="35" t="s">
        <v>39</v>
      </c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 t="s">
        <v>39</v>
      </c>
      <c r="AH19" s="35" t="s">
        <v>39</v>
      </c>
      <c r="AI19" s="35" t="s">
        <v>39</v>
      </c>
      <c r="AJ19" s="35" t="s">
        <v>39</v>
      </c>
      <c r="AK19" s="35" t="s">
        <v>39</v>
      </c>
      <c r="AL19" s="35" t="s">
        <v>39</v>
      </c>
      <c r="AM19" s="35" t="s">
        <v>39</v>
      </c>
      <c r="AN19" s="35" t="s">
        <v>39</v>
      </c>
      <c r="AO19" s="35" t="s">
        <v>39</v>
      </c>
      <c r="AP19" s="35" t="s">
        <v>39</v>
      </c>
      <c r="AQ19" s="35" t="s">
        <v>39</v>
      </c>
      <c r="AR19" s="35" t="s">
        <v>39</v>
      </c>
      <c r="AS19" s="35" t="s">
        <v>39</v>
      </c>
      <c r="AT19" s="35" t="s">
        <v>39</v>
      </c>
      <c r="AU19" s="35" t="s">
        <v>39</v>
      </c>
      <c r="AV19" s="35" t="s">
        <v>39</v>
      </c>
    </row>
    <row r="20" spans="1:48" ht="18.75" x14ac:dyDescent="0.3">
      <c r="A20" s="26" t="s">
        <v>40</v>
      </c>
      <c r="B20" s="27">
        <v>102</v>
      </c>
      <c r="C20" s="27">
        <f t="shared" si="1"/>
        <v>102</v>
      </c>
      <c r="D20" s="28">
        <f t="shared" si="0"/>
        <v>100</v>
      </c>
      <c r="E20" s="29">
        <f>COUNTIFS([5]InfCualitativo!$B$1:$B$6973,"VERDADERO",[5]InfCualitativo!$E$1:$E$6973,"Foco Rojo",[5]InfCualitativo!$H$1:$H$6973,"consulta_externa")</f>
        <v>35</v>
      </c>
      <c r="F20" s="29">
        <f>COUNTIFS([5]InfCualitativo!$B$1:$B$6973,"FALSO",[5]InfCualitativo!$E$1:$E$6973,"Foco Rojo",[5]InfCualitativo!$H$1:$H$6973,"consulta_externa")</f>
        <v>1</v>
      </c>
      <c r="G20" s="30">
        <f t="shared" si="2"/>
        <v>0.97222222222222221</v>
      </c>
      <c r="H20" s="30">
        <f t="shared" si="3"/>
        <v>2.7777777777777776E-2</v>
      </c>
      <c r="I20" s="27">
        <f>COUNTIFS([5]InfCualitativo!$B$1:$B$6973,"VERDADERO",[5]InfCualitativo!$E$1:$E$6973,"Foco Rojo",[5]InfCualitativo!$H$1:$H$6973,"salud_oral")</f>
        <v>33</v>
      </c>
      <c r="J20" s="27">
        <f>COUNTIFS([5]InfCualitativo!$B$1:$B$6973,"FALSO",[5]InfCualitativo!$E$1:$E$6973,"Foco Rojo",[5]InfCualitativo!$H$1:$H$6973,"salud_oral")</f>
        <v>0</v>
      </c>
      <c r="K20" s="30">
        <f t="shared" si="4"/>
        <v>1</v>
      </c>
      <c r="L20" s="30">
        <f t="shared" si="5"/>
        <v>0</v>
      </c>
      <c r="M20" s="27">
        <f>COUNTIFS([5]InfCualitativo!$B$1:$B$6973,"VERDADERO",[5]InfCualitativo!$E$1:$E$6973,"Foco Rojo",[5]InfCualitativo!$H$1:$H$6973,"laboratorio")</f>
        <v>33</v>
      </c>
      <c r="N20" s="27">
        <f>COUNTIFS([5]InfCualitativo!$B$1:$B$6973,"FALSO",[5]InfCualitativo!$E$1:$E$6973,"Foco Rojo",[5]InfCualitativo!$H$1:$H$6973,"laboratorio")</f>
        <v>0</v>
      </c>
      <c r="O20" s="30">
        <f t="shared" si="6"/>
        <v>1</v>
      </c>
      <c r="P20" s="31">
        <f t="shared" si="7"/>
        <v>0</v>
      </c>
      <c r="Q20" s="27">
        <f>COUNTIFS([5]InfCualitativo!$B$1:$B$6973,"VERDADERO",[5]InfCualitativo!$E$1:$E$6973,"Foco Rojo",[5]InfCualitativo!$H$1:$H$6973,"electros")</f>
        <v>0</v>
      </c>
      <c r="R20" s="27">
        <f>COUNTIFS([5]InfCualitativo!$B$1:$B$6973,"FALSO",[5]InfCualitativo!$E$1:$E$6973,"Foco Rojo",[5]InfCualitativo!$H$1:$H$6973,"electros")</f>
        <v>0</v>
      </c>
      <c r="S20" s="30">
        <f t="shared" si="8"/>
        <v>0</v>
      </c>
      <c r="T20" s="30">
        <f t="shared" si="9"/>
        <v>0</v>
      </c>
      <c r="U20" s="27">
        <f>COUNTIFS([5]InfCualitativo!$B$1:$B$6973,"VERDADERO",[5]InfCualitativo!$E$1:$E$6973,"Foco Rojo",[5]InfCualitativo!$H$1:$H$6973,"rx")</f>
        <v>0</v>
      </c>
      <c r="V20" s="27">
        <f>COUNTIFS([5]InfCualitativo!$B$1:$B$6973,"FALSO",[5]InfCualitativo!$E$1:$E$6973,"Foco Rojo",[5]InfCualitativo!$H$1:$H$6973,"rx")</f>
        <v>0</v>
      </c>
      <c r="W20" s="30">
        <f t="shared" si="10"/>
        <v>0</v>
      </c>
      <c r="X20" s="30">
        <f t="shared" si="11"/>
        <v>0</v>
      </c>
      <c r="Y20" s="27">
        <f>COUNTIFS([5]InfCualitativo!$B$1:$B$6973,"VERDADERO",[5]InfCualitativo!$E$1:$E$6973,"Foco Rojo",[5]InfCualitativo!$H$1:$H$6973,"ecografias")</f>
        <v>0</v>
      </c>
      <c r="Z20" s="27">
        <f>COUNTIFS([5]InfCualitativo!$B$1:$B$6973,"FALSO",[5]InfCualitativo!$E$1:$E$6973,"Foco Rojo",[5]InfCualitativo!$H$1:$H$6973,"ecografias")</f>
        <v>0</v>
      </c>
      <c r="AA20" s="30">
        <f t="shared" si="12"/>
        <v>0</v>
      </c>
      <c r="AB20" s="30">
        <f t="shared" si="13"/>
        <v>0</v>
      </c>
      <c r="AC20" s="27">
        <f>COUNTIFS([5]InfCualitativo!$B$1:$B$6973,"VERDADERO",[5]InfCualitativo!$E$1:$E$6973,"Foco Rojo",[5]InfCualitativo!$H$1:$H$6973,"urgencia")</f>
        <v>0</v>
      </c>
      <c r="AD20" s="27">
        <f>COUNTIFS([5]InfCualitativo!$B$1:$B$6973,"FALSO",[5]InfCualitativo!$E$1:$E$6973,"Foco Rojo",[5]InfCualitativo!$H$1:$H$6973,"urgencia")</f>
        <v>0</v>
      </c>
      <c r="AE20" s="30">
        <f t="shared" si="14"/>
        <v>0</v>
      </c>
      <c r="AF20" s="30">
        <f t="shared" si="15"/>
        <v>0</v>
      </c>
      <c r="AG20" s="27">
        <f>COUNTIFS([5]InfCualitativo!$B$1:$B$6973,"VERDADERO",[5]InfCualitativo!$E$1:$E$6973,"Foco Rojo",[5]InfCualitativo!$H$1:$H$6973,"pediatria")</f>
        <v>0</v>
      </c>
      <c r="AH20" s="27">
        <f>COUNTIFS([5]InfCualitativo!$B$1:$B$6973,"FALSO",[5]InfCualitativo!$E$1:$E$6973,"Foco Rojo",[5]InfCualitativo!$H$1:$H$6973,"pediatria")</f>
        <v>0</v>
      </c>
      <c r="AI20" s="30">
        <f t="shared" si="16"/>
        <v>0</v>
      </c>
      <c r="AJ20" s="30">
        <f t="shared" si="17"/>
        <v>0</v>
      </c>
      <c r="AK20" s="27">
        <f>COUNTIFS([5]InfCualitativo!$B$1:$B$6973,"VERDADERO",[5]InfCualitativo!$E$1:$E$6973,"Foco Rojo",[5]InfCualitativo!$H$1:$H$6973,"medicina_interna")</f>
        <v>0</v>
      </c>
      <c r="AL20" s="27">
        <f>COUNTIFS([5]InfCualitativo!$B$1:$B$6973,"FALSO",[5]InfCualitativo!$E$1:$E$6973,"Foco Rojo",[5]InfCualitativo!$H$1:$H$6973,"medicina_interna")</f>
        <v>0</v>
      </c>
      <c r="AM20" s="30">
        <f t="shared" si="18"/>
        <v>0</v>
      </c>
      <c r="AN20" s="30">
        <f t="shared" si="19"/>
        <v>0</v>
      </c>
      <c r="AO20" s="27">
        <f>COUNTIFS([5]InfCualitativo!$B$1:$B$6973,"VERDADERO",[5]InfCualitativo!$E$1:$E$6973,"Foco Rojo",[5]InfCualitativo!$H$1:$H$6973,"ginecologia")</f>
        <v>0</v>
      </c>
      <c r="AP20" s="27">
        <f>COUNTIFS([5]InfCualitativo!$B$1:$B$6973,"FALSO",[5]InfCualitativo!$E$1:$E$6973,"Foco Rojo",[5]InfCualitativo!$H$1:$H$6973,"ginecologia")</f>
        <v>0</v>
      </c>
      <c r="AQ20" s="30">
        <f t="shared" si="20"/>
        <v>0</v>
      </c>
      <c r="AR20" s="30">
        <f t="shared" si="21"/>
        <v>0</v>
      </c>
      <c r="AS20" s="27">
        <f t="shared" si="22"/>
        <v>101</v>
      </c>
      <c r="AT20" s="27">
        <f t="shared" si="22"/>
        <v>1</v>
      </c>
      <c r="AU20" s="32">
        <f t="shared" si="23"/>
        <v>0.99019607843137258</v>
      </c>
      <c r="AV20" s="32">
        <f t="shared" si="24"/>
        <v>9.8039215686274508E-3</v>
      </c>
    </row>
    <row r="21" spans="1:48" ht="18.75" x14ac:dyDescent="0.3">
      <c r="A21" s="26" t="s">
        <v>41</v>
      </c>
      <c r="B21" s="27">
        <v>108</v>
      </c>
      <c r="C21" s="27">
        <f t="shared" si="1"/>
        <v>108</v>
      </c>
      <c r="D21" s="28">
        <f t="shared" si="0"/>
        <v>100</v>
      </c>
      <c r="E21" s="29">
        <f>COUNTIFS([5]InfCualitativo!$B$1:$B$6973,"VERDADERO",[5]InfCualitativo!$E$1:$E$6973,"Fredonia",[5]InfCualitativo!$H$1:$H$6973,"consulta_externa")</f>
        <v>36</v>
      </c>
      <c r="F21" s="29">
        <f>COUNTIFS([5]InfCualitativo!$B$1:$B$6973,"FALSO",[5]InfCualitativo!$E$1:$E$6973,"Fredonia",[5]InfCualitativo!$H$1:$H$6973,"consulta_externa")</f>
        <v>1</v>
      </c>
      <c r="G21" s="30">
        <f t="shared" si="2"/>
        <v>0.97297297297297303</v>
      </c>
      <c r="H21" s="30">
        <f t="shared" si="3"/>
        <v>2.7027027027027029E-2</v>
      </c>
      <c r="I21" s="27">
        <f>COUNTIFS([5]InfCualitativo!$B$1:$B$6973,"VERDADERO",[5]InfCualitativo!$E$1:$E$6973,"Fredonia",[5]InfCualitativo!$H$1:$H$6973,"salud_oral")</f>
        <v>32</v>
      </c>
      <c r="J21" s="27">
        <f>COUNTIFS([5]InfCualitativo!$B$1:$B$6973,"FALSO",[5]InfCualitativo!$E$1:$E$6973,"Fredonia",[5]InfCualitativo!$H$1:$H$6973,"salud_oral")</f>
        <v>3</v>
      </c>
      <c r="K21" s="30">
        <f t="shared" si="4"/>
        <v>0.91428571428571426</v>
      </c>
      <c r="L21" s="30">
        <f t="shared" si="5"/>
        <v>8.5714285714285715E-2</v>
      </c>
      <c r="M21" s="27">
        <f>COUNTIFS([5]InfCualitativo!$B$1:$B$6973,"VERDADERO",[5]InfCualitativo!$E$1:$E$6973,"Fredonia",[5]InfCualitativo!$H$1:$H$6973,"laboratorio")</f>
        <v>32</v>
      </c>
      <c r="N21" s="27">
        <f>COUNTIFS([5]InfCualitativo!$B$1:$B$6973,"FALSO",[5]InfCualitativo!$E$1:$E$6973,"Fredonia",[5]InfCualitativo!$H$1:$H$6973,"laboratorio")</f>
        <v>4</v>
      </c>
      <c r="O21" s="30">
        <f t="shared" si="6"/>
        <v>0.88888888888888884</v>
      </c>
      <c r="P21" s="31">
        <f t="shared" si="7"/>
        <v>0.1111111111111111</v>
      </c>
      <c r="Q21" s="27">
        <f>COUNTIFS([5]InfCualitativo!$B$1:$B$6973,"VERDADERO",[5]InfCualitativo!$E$1:$E$6973,"Fredonia",[5]InfCualitativo!$H$1:$H$6973,"electros")</f>
        <v>0</v>
      </c>
      <c r="R21" s="27">
        <f>COUNTIFS([5]InfCualitativo!$B$1:$B$6973,"FALSO",[5]InfCualitativo!$E$1:$E$6973,"Fredonia",[5]InfCualitativo!$H$1:$H$6973,"electros")</f>
        <v>0</v>
      </c>
      <c r="S21" s="30">
        <f t="shared" si="8"/>
        <v>0</v>
      </c>
      <c r="T21" s="30">
        <f t="shared" si="9"/>
        <v>0</v>
      </c>
      <c r="U21" s="27">
        <f>COUNTIFS([5]InfCualitativo!$B$1:$B$6973,"VERDADERO",[5]InfCualitativo!$E$1:$E$6973,"Fredonia",[5]InfCualitativo!$H$1:$H$6973,"rx")</f>
        <v>0</v>
      </c>
      <c r="V21" s="27">
        <f>COUNTIFS([5]InfCualitativo!$B$1:$B$6973,"FALSO",[5]InfCualitativo!$E$1:$E$6973,"Fredonia",[5]InfCualitativo!$H$1:$H$6973,"rx")</f>
        <v>0</v>
      </c>
      <c r="W21" s="30">
        <f t="shared" si="10"/>
        <v>0</v>
      </c>
      <c r="X21" s="30">
        <f t="shared" si="11"/>
        <v>0</v>
      </c>
      <c r="Y21" s="27">
        <f>COUNTIFS([5]InfCualitativo!$B$1:$B$6973,"VERDADERO",[5]InfCualitativo!$E$1:$E$6973,"Fredonia",[5]InfCualitativo!$H$1:$H$6973,"ecografias")</f>
        <v>0</v>
      </c>
      <c r="Z21" s="27">
        <f>COUNTIFS([5]InfCualitativo!$B$1:$B$6973,"FALSO",[5]InfCualitativo!$E$1:$E$6973,"Fredonia",[5]InfCualitativo!$H$1:$H$6973,"ecografias")</f>
        <v>0</v>
      </c>
      <c r="AA21" s="30">
        <f t="shared" si="12"/>
        <v>0</v>
      </c>
      <c r="AB21" s="30">
        <f t="shared" si="13"/>
        <v>0</v>
      </c>
      <c r="AC21" s="27">
        <f>COUNTIFS([5]InfCualitativo!$B$1:$B$6973,"VERDADERO",[5]InfCualitativo!$E$1:$E$6973,"Fredonia",[5]InfCualitativo!$H$1:$H$6973,"urgencia")</f>
        <v>0</v>
      </c>
      <c r="AD21" s="27">
        <f>COUNTIFS([5]InfCualitativo!$B$1:$B$6973,"FALSO",[5]InfCualitativo!$E$1:$E$6973,"Fredonia",[5]InfCualitativo!$H$1:$H$6973,"urgencia")</f>
        <v>0</v>
      </c>
      <c r="AE21" s="30">
        <f t="shared" si="14"/>
        <v>0</v>
      </c>
      <c r="AF21" s="30">
        <f t="shared" si="15"/>
        <v>0</v>
      </c>
      <c r="AG21" s="27">
        <f>COUNTIFS([5]InfCualitativo!$B$1:$B$6973,"VERDADERO",[5]InfCualitativo!$E$1:$E$6973,"Fredonia",[5]InfCualitativo!$H$1:$H$6973,"pediatria")</f>
        <v>0</v>
      </c>
      <c r="AH21" s="27">
        <f>COUNTIFS([5]InfCualitativo!$B$1:$B$6973,"FALSO",[5]InfCualitativo!$E$1:$E$6973,"Fredonia",[5]InfCualitativo!$H$1:$H$6973,"pediatria")</f>
        <v>0</v>
      </c>
      <c r="AI21" s="30">
        <f t="shared" si="16"/>
        <v>0</v>
      </c>
      <c r="AJ21" s="30">
        <f t="shared" si="17"/>
        <v>0</v>
      </c>
      <c r="AK21" s="27">
        <f>COUNTIFS([5]InfCualitativo!$B$1:$B$6973,"VERDADERO",[5]InfCualitativo!$E$1:$E$6973,"Fredonia",[5]InfCualitativo!$H$1:$H$6973,"medicina_interna")</f>
        <v>0</v>
      </c>
      <c r="AL21" s="27">
        <f>COUNTIFS([5]InfCualitativo!$B$1:$B$6973,"FALSO",[5]InfCualitativo!$E$1:$E$6973,"Fredonia",[5]InfCualitativo!$H$1:$H$6973,"medicina_interna")</f>
        <v>0</v>
      </c>
      <c r="AM21" s="30">
        <f t="shared" si="18"/>
        <v>0</v>
      </c>
      <c r="AN21" s="30">
        <f t="shared" si="19"/>
        <v>0</v>
      </c>
      <c r="AO21" s="27">
        <f>COUNTIFS([5]InfCualitativo!$B$1:$B$6973,"VERDADERO",[5]InfCualitativo!$E$1:$E$6973,"Fredonia",[5]InfCualitativo!$H$1:$H$6973,"ginecologia")</f>
        <v>0</v>
      </c>
      <c r="AP21" s="27">
        <f>COUNTIFS([5]InfCualitativo!$B$1:$B$6973,"FALSO",[5]InfCualitativo!$E$1:$E$6973,"Fredonia",[5]InfCualitativo!$H$1:$H$6973,"ginecologia")</f>
        <v>0</v>
      </c>
      <c r="AQ21" s="30">
        <f t="shared" si="20"/>
        <v>0</v>
      </c>
      <c r="AR21" s="30">
        <f t="shared" si="21"/>
        <v>0</v>
      </c>
      <c r="AS21" s="27">
        <f t="shared" si="22"/>
        <v>100</v>
      </c>
      <c r="AT21" s="27">
        <f t="shared" si="22"/>
        <v>8</v>
      </c>
      <c r="AU21" s="32">
        <f t="shared" si="23"/>
        <v>0.92592592592592593</v>
      </c>
      <c r="AV21" s="32">
        <f t="shared" si="24"/>
        <v>7.407407407407407E-2</v>
      </c>
    </row>
    <row r="22" spans="1:48" ht="18.75" x14ac:dyDescent="0.3">
      <c r="A22" s="26" t="s">
        <v>42</v>
      </c>
      <c r="B22" s="27">
        <v>114</v>
      </c>
      <c r="C22" s="27">
        <f t="shared" si="1"/>
        <v>114</v>
      </c>
      <c r="D22" s="28">
        <f t="shared" si="0"/>
        <v>100</v>
      </c>
      <c r="E22" s="29">
        <f>COUNTIFS([5]InfCualitativo!$B$1:$B$6973,"VERDADERO",[5]InfCualitativo!$E$1:$E$6973,"Gaviotas",[5]InfCualitativo!$H$1:$H$6973,"consulta_externa")</f>
        <v>38</v>
      </c>
      <c r="F22" s="29">
        <f>COUNTIFS([5]InfCualitativo!$B$1:$B$6973,"FALSO",[5]InfCualitativo!$E$1:$E$6973,"Gaviotas",[5]InfCualitativo!$H$1:$H$6973,"consulta_externa")</f>
        <v>0</v>
      </c>
      <c r="G22" s="30">
        <f t="shared" si="2"/>
        <v>1</v>
      </c>
      <c r="H22" s="30">
        <f t="shared" si="3"/>
        <v>0</v>
      </c>
      <c r="I22" s="27">
        <f>COUNTIFS([5]InfCualitativo!$B$1:$B$6973,"VERDADERO",[5]InfCualitativo!$E$1:$E$6973,"Gaviotas",[5]InfCualitativo!$H$1:$H$6973,"salud_oral")</f>
        <v>37</v>
      </c>
      <c r="J22" s="27">
        <f>COUNTIFS([5]InfCualitativo!$B$1:$B$6973,"FALSO",[5]InfCualitativo!$E$1:$E$6973,"Gaviotas",[5]InfCualitativo!$H$1:$H$6973,"salud_oral")</f>
        <v>0</v>
      </c>
      <c r="K22" s="30">
        <f t="shared" si="4"/>
        <v>1</v>
      </c>
      <c r="L22" s="30">
        <f t="shared" si="5"/>
        <v>0</v>
      </c>
      <c r="M22" s="27">
        <f>COUNTIFS([5]InfCualitativo!$B$1:$B$6973,"VERDADERO",[5]InfCualitativo!$E$1:$E$6973,"Gaviotas",[5]InfCualitativo!$H$1:$H$6973,"laboratorio")</f>
        <v>39</v>
      </c>
      <c r="N22" s="27">
        <f>COUNTIFS([5]InfCualitativo!$B$1:$B$6973,"FALSO",[5]InfCualitativo!$E$1:$E$6973,"Gaviotas",[5]InfCualitativo!$H$1:$H$6973,"laboratorio")</f>
        <v>0</v>
      </c>
      <c r="O22" s="30">
        <f t="shared" si="6"/>
        <v>1</v>
      </c>
      <c r="P22" s="31">
        <f t="shared" si="7"/>
        <v>0</v>
      </c>
      <c r="Q22" s="27">
        <f>COUNTIFS([5]InfCualitativo!$B$1:$B$6973,"VERDADERO",[5]InfCualitativo!$E$1:$E$6973,"Gaviotas",[5]InfCualitativo!$H$1:$H$6973,"electros")</f>
        <v>0</v>
      </c>
      <c r="R22" s="27">
        <f>COUNTIFS([5]InfCualitativo!$B$1:$B$6973,"FALSO",[5]InfCualitativo!$E$1:$E$6973,"Gaviotas",[5]InfCualitativo!$H$1:$H$6973,"electros")</f>
        <v>0</v>
      </c>
      <c r="S22" s="30">
        <f t="shared" si="8"/>
        <v>0</v>
      </c>
      <c r="T22" s="30">
        <f t="shared" si="9"/>
        <v>0</v>
      </c>
      <c r="U22" s="27">
        <f>COUNTIFS([5]InfCualitativo!$B$1:$B$6973,"VERDADERO",[5]InfCualitativo!$E$1:$E$6973,"Gaviotas",[5]InfCualitativo!$H$1:$H$6973,"rx")</f>
        <v>0</v>
      </c>
      <c r="V22" s="27">
        <f>COUNTIFS([5]InfCualitativo!$B$1:$B$6973,"FALSO",[5]InfCualitativo!$E$1:$E$6973,"Gaviotas",[5]InfCualitativo!$H$1:$H$6973,"rx")</f>
        <v>0</v>
      </c>
      <c r="W22" s="30">
        <f t="shared" si="10"/>
        <v>0</v>
      </c>
      <c r="X22" s="30">
        <f t="shared" si="11"/>
        <v>0</v>
      </c>
      <c r="Y22" s="27">
        <f>COUNTIFS([5]InfCualitativo!$B$1:$B$6973,"VERDADERO",[5]InfCualitativo!$E$1:$E$6973,"Gaviotas",[5]InfCualitativo!$H$1:$H$6973,"ecografias")</f>
        <v>0</v>
      </c>
      <c r="Z22" s="27">
        <f>COUNTIFS([5]InfCualitativo!$B$1:$B$6973,"FALSO",[5]InfCualitativo!$E$1:$E$6973,"Gaviotas",[5]InfCualitativo!$H$1:$H$6973,"ecografias")</f>
        <v>0</v>
      </c>
      <c r="AA22" s="30">
        <f t="shared" si="12"/>
        <v>0</v>
      </c>
      <c r="AB22" s="30">
        <f t="shared" si="13"/>
        <v>0</v>
      </c>
      <c r="AC22" s="27">
        <f>COUNTIFS([5]InfCualitativo!$B$1:$B$6973,"VERDADERO",[5]InfCualitativo!$E$1:$E$6973,"Gaviotas",[5]InfCualitativo!$H$1:$H$6973,"urgencia")</f>
        <v>0</v>
      </c>
      <c r="AD22" s="27">
        <f>COUNTIFS([5]InfCualitativo!$B$1:$B$6973,"FALSO",[5]InfCualitativo!$E$1:$E$6973,"Gaviotas",[5]InfCualitativo!$H$1:$H$6973,"urgencia")</f>
        <v>0</v>
      </c>
      <c r="AE22" s="30">
        <f t="shared" si="14"/>
        <v>0</v>
      </c>
      <c r="AF22" s="30">
        <f t="shared" si="15"/>
        <v>0</v>
      </c>
      <c r="AG22" s="27">
        <f>COUNTIFS([5]InfCualitativo!$B$1:$B$6973,"VERDADERO",[5]InfCualitativo!$E$1:$E$6973,"Gaviotas",[5]InfCualitativo!$H$1:$H$6973,"pediatria")</f>
        <v>0</v>
      </c>
      <c r="AH22" s="27">
        <f>COUNTIFS([5]InfCualitativo!$B$1:$B$6973,"FALSO",[5]InfCualitativo!$E$1:$E$6973,"Gaviotas",[5]InfCualitativo!$H$1:$H$6973,"pediatria")</f>
        <v>0</v>
      </c>
      <c r="AI22" s="30">
        <f t="shared" si="16"/>
        <v>0</v>
      </c>
      <c r="AJ22" s="30">
        <f t="shared" si="17"/>
        <v>0</v>
      </c>
      <c r="AK22" s="27">
        <f>COUNTIFS([5]InfCualitativo!$B$1:$B$6973,"VERDADERO",[5]InfCualitativo!$E$1:$E$6973,"Gaviotas",[5]InfCualitativo!$H$1:$H$6973,"medicina_interna")</f>
        <v>0</v>
      </c>
      <c r="AL22" s="27">
        <f>COUNTIFS([5]InfCualitativo!$B$1:$B$6973,"FALSO",[5]InfCualitativo!$E$1:$E$6973,"Gaviotas",[5]InfCualitativo!$H$1:$H$6973,"medicina_interna")</f>
        <v>0</v>
      </c>
      <c r="AM22" s="30">
        <f t="shared" si="18"/>
        <v>0</v>
      </c>
      <c r="AN22" s="30">
        <f t="shared" si="19"/>
        <v>0</v>
      </c>
      <c r="AO22" s="27">
        <f>COUNTIFS([5]InfCualitativo!$B$1:$B$6973,"VERDADERO",[5]InfCualitativo!$E$1:$E$6973,"Gaviotas",[5]InfCualitativo!$H$1:$H$6973,"ginecologia")</f>
        <v>0</v>
      </c>
      <c r="AP22" s="27">
        <f>COUNTIFS([5]InfCualitativo!$B$1:$B$6973,"FALSO",[5]InfCualitativo!$E$1:$E$6973,"Gaviotas",[5]InfCualitativo!$H$1:$H$6973,"ginecologia")</f>
        <v>0</v>
      </c>
      <c r="AQ22" s="30">
        <f t="shared" si="20"/>
        <v>0</v>
      </c>
      <c r="AR22" s="30">
        <f t="shared" si="21"/>
        <v>0</v>
      </c>
      <c r="AS22" s="27">
        <f t="shared" si="22"/>
        <v>114</v>
      </c>
      <c r="AT22" s="27">
        <f t="shared" si="22"/>
        <v>0</v>
      </c>
      <c r="AU22" s="32">
        <f t="shared" si="23"/>
        <v>1</v>
      </c>
      <c r="AV22" s="32">
        <f t="shared" si="24"/>
        <v>0</v>
      </c>
    </row>
    <row r="23" spans="1:48" ht="18.75" x14ac:dyDescent="0.3">
      <c r="A23" s="26" t="s">
        <v>43</v>
      </c>
      <c r="B23" s="27">
        <v>100</v>
      </c>
      <c r="C23" s="27">
        <f t="shared" si="1"/>
        <v>100</v>
      </c>
      <c r="D23" s="28">
        <f t="shared" si="0"/>
        <v>100</v>
      </c>
      <c r="E23" s="29">
        <f>COUNTIFS([5]InfCualitativo!$B$1:$B$6973,"VERDADERO",[5]InfCualitativo!$E$1:$E$6973,"Isla del Rosario",[5]InfCualitativo!$H$1:$H$6973,"consulta_externa")</f>
        <v>52</v>
      </c>
      <c r="F23" s="29">
        <f>COUNTIFS([5]InfCualitativo!$B$1:$B$6973,"FALSO",[5]InfCualitativo!$E$1:$E$6973,"Isla del Rosario",[5]InfCualitativo!$H$1:$H$6973,"consulta_externa")</f>
        <v>0</v>
      </c>
      <c r="G23" s="30">
        <f t="shared" si="2"/>
        <v>1</v>
      </c>
      <c r="H23" s="30">
        <f t="shared" si="3"/>
        <v>0</v>
      </c>
      <c r="I23" s="27">
        <f>COUNTIFS([5]InfCualitativo!$B$1:$B$6973,"VERDADERO",[5]InfCualitativo!$E$1:$E$6973,"Isla del Rosario",[5]InfCualitativo!$H$1:$H$6973,"salud_oral")</f>
        <v>19</v>
      </c>
      <c r="J23" s="27">
        <f>COUNTIFS([5]InfCualitativo!$B$1:$B$6973,"FALSO",[5]InfCualitativo!$E$1:$E$6973,"Isla del Rosario",[5]InfCualitativo!$H$1:$H$6973,"salud_oral")</f>
        <v>0</v>
      </c>
      <c r="K23" s="30">
        <f t="shared" si="4"/>
        <v>1</v>
      </c>
      <c r="L23" s="30">
        <f t="shared" si="5"/>
        <v>0</v>
      </c>
      <c r="M23" s="27">
        <f>COUNTIFS([5]InfCualitativo!$B$1:$B$6973,"VERDADERO",[5]InfCualitativo!$E$1:$E$6973,"Isla del Rosario",[5]InfCualitativo!$H$1:$H$6973,"laboratorio")</f>
        <v>29</v>
      </c>
      <c r="N23" s="27">
        <f>COUNTIFS([5]InfCualitativo!$B$1:$B$6973,"FALSO",[5]InfCualitativo!$E$1:$E$6973,"Isla del Rosario",[5]InfCualitativo!$H$1:$H$6973,"laboratorio")</f>
        <v>0</v>
      </c>
      <c r="O23" s="30">
        <f t="shared" si="6"/>
        <v>1</v>
      </c>
      <c r="P23" s="31">
        <f t="shared" si="7"/>
        <v>0</v>
      </c>
      <c r="Q23" s="27">
        <f>COUNTIFS([5]InfCualitativo!$B$1:$B$6973,"VERDADERO",[5]InfCualitativo!$E$1:$E$6973,"Isla del Rosario",[5]InfCualitativo!$H$1:$H$6973,"electros")</f>
        <v>0</v>
      </c>
      <c r="R23" s="27">
        <f>COUNTIFS([5]InfCualitativo!$B$1:$B$6973,"FALSO",[5]InfCualitativo!$E$1:$E$6973,"Isla del Rosario",[5]InfCualitativo!$H$1:$H$6973,"electros")</f>
        <v>0</v>
      </c>
      <c r="S23" s="30">
        <f t="shared" si="8"/>
        <v>0</v>
      </c>
      <c r="T23" s="30">
        <f t="shared" si="9"/>
        <v>0</v>
      </c>
      <c r="U23" s="27">
        <f>COUNTIFS([5]InfCualitativo!$B$1:$B$6973,"VERDADERO",[5]InfCualitativo!$E$1:$E$6973,"Isla del Rosario",[5]InfCualitativo!$H$1:$H$6973,"rx")</f>
        <v>0</v>
      </c>
      <c r="V23" s="27">
        <f>COUNTIFS([5]InfCualitativo!$B$1:$B$6973,"FALSO",[5]InfCualitativo!$E$1:$E$6973,"Isla del Rosario",[5]InfCualitativo!$H$1:$H$6973,"rx")</f>
        <v>0</v>
      </c>
      <c r="W23" s="30">
        <f t="shared" si="10"/>
        <v>0</v>
      </c>
      <c r="X23" s="30">
        <f t="shared" si="11"/>
        <v>0</v>
      </c>
      <c r="Y23" s="27">
        <f>COUNTIFS([5]InfCualitativo!$B$1:$B$6973,"VERDADERO",[5]InfCualitativo!$E$1:$E$6973,"Isla del Rosario",[5]InfCualitativo!$H$1:$H$6973,"ecografias")</f>
        <v>0</v>
      </c>
      <c r="Z23" s="27">
        <f>COUNTIFS([5]InfCualitativo!$B$1:$B$6973,"FALSO",[5]InfCualitativo!$E$1:$E$6973,"Isla del Rosario",[5]InfCualitativo!$H$1:$H$6973,"ecografias")</f>
        <v>0</v>
      </c>
      <c r="AA23" s="30">
        <f t="shared" si="12"/>
        <v>0</v>
      </c>
      <c r="AB23" s="30">
        <f t="shared" si="13"/>
        <v>0</v>
      </c>
      <c r="AC23" s="27">
        <f>COUNTIFS([5]InfCualitativo!$B$1:$B$6973,"VERDADERO",[5]InfCualitativo!$E$1:$E$6973,"Isla del Rosario",[5]InfCualitativo!$H$1:$H$6973,"urgencia")</f>
        <v>0</v>
      </c>
      <c r="AD23" s="27">
        <f>COUNTIFS([5]InfCualitativo!$B$1:$B$6973,"FALSO",[5]InfCualitativo!$E$1:$E$6973,"Isla del Rosario",[5]InfCualitativo!$H$1:$H$6973,"urgencia")</f>
        <v>0</v>
      </c>
      <c r="AE23" s="30">
        <f t="shared" si="14"/>
        <v>0</v>
      </c>
      <c r="AF23" s="30">
        <f t="shared" si="15"/>
        <v>0</v>
      </c>
      <c r="AG23" s="27">
        <f>COUNTIFS([5]InfCualitativo!$B$1:$B$6973,"VERDADERO",[5]InfCualitativo!$E$1:$E$6973,"Isla del Rosario",[5]InfCualitativo!$H$1:$H$6973,"pediatria")</f>
        <v>0</v>
      </c>
      <c r="AH23" s="27">
        <f>COUNTIFS([5]InfCualitativo!$B$1:$B$6973,"FALSO",[5]InfCualitativo!$E$1:$E$6973,"Isla del Rosario",[5]InfCualitativo!$H$1:$H$6973,"pediatria")</f>
        <v>0</v>
      </c>
      <c r="AI23" s="30">
        <f t="shared" si="16"/>
        <v>0</v>
      </c>
      <c r="AJ23" s="30">
        <f t="shared" si="17"/>
        <v>0</v>
      </c>
      <c r="AK23" s="27">
        <f>COUNTIFS([5]InfCualitativo!$B$1:$B$6973,"VERDADERO",[5]InfCualitativo!$E$1:$E$6973,"Isla del Rosario",[5]InfCualitativo!$H$1:$H$6973,"medicina_interna")</f>
        <v>0</v>
      </c>
      <c r="AL23" s="27">
        <f>COUNTIFS([5]InfCualitativo!$B$1:$B$6973,"FALSO",[5]InfCualitativo!$E$1:$E$6973,"Isla del Rosario",[5]InfCualitativo!$H$1:$H$6973,"medicina_interna")</f>
        <v>0</v>
      </c>
      <c r="AM23" s="30">
        <f t="shared" si="18"/>
        <v>0</v>
      </c>
      <c r="AN23" s="30">
        <f t="shared" si="19"/>
        <v>0</v>
      </c>
      <c r="AO23" s="27">
        <f>COUNTIFS([5]InfCualitativo!$B$1:$B$6973,"VERDADERO",[5]InfCualitativo!$E$1:$E$6973,"Isla del Rosario",[5]InfCualitativo!$H$1:$H$6973,"ginecologia")</f>
        <v>0</v>
      </c>
      <c r="AP23" s="27">
        <f>COUNTIFS([5]InfCualitativo!$B$1:$B$6973,"FALSO",[5]InfCualitativo!$E$1:$E$6973,"Isla del Rosario",[5]InfCualitativo!$H$1:$H$6973,"ginecologia")</f>
        <v>0</v>
      </c>
      <c r="AQ23" s="30">
        <f t="shared" si="20"/>
        <v>0</v>
      </c>
      <c r="AR23" s="30">
        <f t="shared" si="21"/>
        <v>0</v>
      </c>
      <c r="AS23" s="27">
        <f t="shared" si="22"/>
        <v>100</v>
      </c>
      <c r="AT23" s="27">
        <f t="shared" si="22"/>
        <v>0</v>
      </c>
      <c r="AU23" s="32">
        <f t="shared" si="23"/>
        <v>1</v>
      </c>
      <c r="AV23" s="32">
        <f t="shared" si="24"/>
        <v>0</v>
      </c>
    </row>
    <row r="24" spans="1:48" ht="18.75" x14ac:dyDescent="0.3">
      <c r="A24" s="26" t="s">
        <v>44</v>
      </c>
      <c r="B24" s="27">
        <v>108</v>
      </c>
      <c r="C24" s="27">
        <f t="shared" si="1"/>
        <v>94</v>
      </c>
      <c r="D24" s="28">
        <f t="shared" si="0"/>
        <v>87.037037037037038</v>
      </c>
      <c r="E24" s="29">
        <f>COUNTIFS([5]InfCualitativo!$B$1:$B$6973,"VERDADERO",[5]InfCualitativo!$E$1:$E$6973,"Las Reinas",[5]InfCualitativo!$H$1:$H$6973,"consulta_externa")</f>
        <v>28</v>
      </c>
      <c r="F24" s="29">
        <f>COUNTIFS([5]InfCualitativo!$B$1:$B$6973,"FALSO",[5]InfCualitativo!$E$1:$E$6973,"Las Reinas",[5]InfCualitativo!$H$1:$H$6973,"consulta_externa")</f>
        <v>5</v>
      </c>
      <c r="G24" s="30">
        <f t="shared" si="2"/>
        <v>0.84848484848484851</v>
      </c>
      <c r="H24" s="30">
        <f t="shared" si="3"/>
        <v>0.15151515151515152</v>
      </c>
      <c r="I24" s="27">
        <f>COUNTIFS([5]InfCualitativo!$B$1:$B$6973,"VERDADERO",[5]InfCualitativo!$E$1:$E$6973,"Las Reinas",[5]InfCualitativo!$H$1:$H$6973,"salud_oral")</f>
        <v>25</v>
      </c>
      <c r="J24" s="27">
        <f>COUNTIFS([5]InfCualitativo!$B$1:$B$6973,"FALSO",[5]InfCualitativo!$E$1:$E$6973,"Las Reinas",[5]InfCualitativo!$H$1:$H$6973,"salud_oral")</f>
        <v>3</v>
      </c>
      <c r="K24" s="30">
        <f t="shared" si="4"/>
        <v>0.8928571428571429</v>
      </c>
      <c r="L24" s="30">
        <f t="shared" si="5"/>
        <v>0.10714285714285714</v>
      </c>
      <c r="M24" s="27">
        <f>COUNTIFS([5]InfCualitativo!$B$1:$B$6973,"VERDADERO",[5]InfCualitativo!$E$1:$E$6973,"Las Reinas",[5]InfCualitativo!$H$1:$H$6973,"laboratorio")</f>
        <v>31</v>
      </c>
      <c r="N24" s="27">
        <f>COUNTIFS([5]InfCualitativo!$B$1:$B$6973,"FALSO",[5]InfCualitativo!$E$1:$E$6973,"Las Reinas",[5]InfCualitativo!$H$1:$H$6973,"laboratorio")</f>
        <v>2</v>
      </c>
      <c r="O24" s="30">
        <f t="shared" si="6"/>
        <v>0.93939393939393945</v>
      </c>
      <c r="P24" s="31">
        <f t="shared" si="7"/>
        <v>6.0606060606060608E-2</v>
      </c>
      <c r="Q24" s="27">
        <f>COUNTIFS([5]InfCualitativo!$B$1:$B$6973,"VERDADERO",[5]InfCualitativo!$E$1:$E$6973,"Las Reinas",[5]InfCualitativo!$H$1:$H$6973,"electros")</f>
        <v>0</v>
      </c>
      <c r="R24" s="27">
        <f>COUNTIFS([5]InfCualitativo!$B$1:$B$6973,"FALSO",[5]InfCualitativo!$E$1:$E$6973,"Las Reinas",[5]InfCualitativo!$H$1:$H$6973,"electros")</f>
        <v>0</v>
      </c>
      <c r="S24" s="30">
        <f t="shared" si="8"/>
        <v>0</v>
      </c>
      <c r="T24" s="30">
        <f t="shared" si="9"/>
        <v>0</v>
      </c>
      <c r="U24" s="27">
        <f>COUNTIFS([5]InfCualitativo!$B$1:$B$6973,"VERDADERO",[5]InfCualitativo!$E$1:$E$6973,"Las Reinas",[5]InfCualitativo!$H$1:$H$6973,"rx")</f>
        <v>0</v>
      </c>
      <c r="V24" s="27">
        <f>COUNTIFS([5]InfCualitativo!$B$1:$B$6973,"FALSO",[5]InfCualitativo!$E$1:$E$6973,"Las Reinas",[5]InfCualitativo!$H$1:$H$6973,"rx")</f>
        <v>0</v>
      </c>
      <c r="W24" s="30">
        <f t="shared" si="10"/>
        <v>0</v>
      </c>
      <c r="X24" s="30">
        <f t="shared" si="11"/>
        <v>0</v>
      </c>
      <c r="Y24" s="27">
        <f>COUNTIFS([5]InfCualitativo!$B$1:$B$6973,"VERDADERO",[5]InfCualitativo!$E$1:$E$6973,"Las Reinas",[5]InfCualitativo!$H$1:$H$6973,"ecografias")</f>
        <v>0</v>
      </c>
      <c r="Z24" s="27">
        <f>COUNTIFS([5]InfCualitativo!$B$1:$B$6973,"FALSO",[5]InfCualitativo!$E$1:$E$6973,"Las Reinas",[5]InfCualitativo!$H$1:$H$6973,"ecografias")</f>
        <v>0</v>
      </c>
      <c r="AA24" s="30">
        <f t="shared" si="12"/>
        <v>0</v>
      </c>
      <c r="AB24" s="30">
        <f t="shared" si="13"/>
        <v>0</v>
      </c>
      <c r="AC24" s="27">
        <f>COUNTIFS([5]InfCualitativo!$B$1:$B$6973,"VERDADERO",[5]InfCualitativo!$E$1:$E$6973,"Las Reinas",[5]InfCualitativo!$H$1:$H$6973,"urgencia")</f>
        <v>0</v>
      </c>
      <c r="AD24" s="27">
        <f>COUNTIFS([5]InfCualitativo!$B$1:$B$6973,"FALSO",[5]InfCualitativo!$E$1:$E$6973,"Las Reinas",[5]InfCualitativo!$H$1:$H$6973,"urgencia")</f>
        <v>0</v>
      </c>
      <c r="AE24" s="30">
        <f t="shared" si="14"/>
        <v>0</v>
      </c>
      <c r="AF24" s="30">
        <f t="shared" si="15"/>
        <v>0</v>
      </c>
      <c r="AG24" s="27">
        <f>COUNTIFS([5]InfCualitativo!$B$1:$B$6973,"VERDADERO",[5]InfCualitativo!$E$1:$E$6973,"Las Reinas",[5]InfCualitativo!$H$1:$H$6973,"pediatria")</f>
        <v>0</v>
      </c>
      <c r="AH24" s="27">
        <f>COUNTIFS([5]InfCualitativo!$B$1:$B$6973,"FALSO",[5]InfCualitativo!$E$1:$E$6973,"Las Reinas",[5]InfCualitativo!$H$1:$H$6973,"pediatria")</f>
        <v>0</v>
      </c>
      <c r="AI24" s="30">
        <f t="shared" si="16"/>
        <v>0</v>
      </c>
      <c r="AJ24" s="30">
        <f t="shared" si="17"/>
        <v>0</v>
      </c>
      <c r="AK24" s="27">
        <f>COUNTIFS([5]InfCualitativo!$B$1:$B$6973,"VERDADERO",[5]InfCualitativo!$E$1:$E$6973,"Las Reinas",[5]InfCualitativo!$H$1:$H$6973,"medicina_interna")</f>
        <v>0</v>
      </c>
      <c r="AL24" s="27">
        <f>COUNTIFS([5]InfCualitativo!$B$1:$B$6973,"FALSO",[5]InfCualitativo!$E$1:$E$6973,"Las Reinas",[5]InfCualitativo!$H$1:$H$6973,"medicina_interna")</f>
        <v>0</v>
      </c>
      <c r="AM24" s="30">
        <f t="shared" si="18"/>
        <v>0</v>
      </c>
      <c r="AN24" s="30">
        <f t="shared" si="19"/>
        <v>0</v>
      </c>
      <c r="AO24" s="27">
        <f>COUNTIFS([5]InfCualitativo!$B$1:$B$6973,"VERDADERO",[5]InfCualitativo!$E$1:$E$6973,"Las Reinas",[5]InfCualitativo!$H$1:$H$6973,"ginecologia")</f>
        <v>0</v>
      </c>
      <c r="AP24" s="27">
        <f>COUNTIFS([5]InfCualitativo!$B$1:$B$6973,"FALSO",[5]InfCualitativo!$E$1:$E$6973,"Las Reinas",[5]InfCualitativo!$H$1:$H$6973,"ginecologia")</f>
        <v>0</v>
      </c>
      <c r="AQ24" s="30">
        <f t="shared" si="20"/>
        <v>0</v>
      </c>
      <c r="AR24" s="30">
        <f t="shared" si="21"/>
        <v>0</v>
      </c>
      <c r="AS24" s="27">
        <f t="shared" si="22"/>
        <v>84</v>
      </c>
      <c r="AT24" s="27">
        <f t="shared" si="22"/>
        <v>10</v>
      </c>
      <c r="AU24" s="32">
        <f t="shared" si="23"/>
        <v>0.8936170212765957</v>
      </c>
      <c r="AV24" s="32">
        <f t="shared" si="24"/>
        <v>0.10638297872340426</v>
      </c>
    </row>
    <row r="25" spans="1:48" ht="18.75" x14ac:dyDescent="0.3">
      <c r="A25" s="26" t="s">
        <v>45</v>
      </c>
      <c r="B25" s="27">
        <v>184</v>
      </c>
      <c r="C25" s="27">
        <f t="shared" si="1"/>
        <v>184</v>
      </c>
      <c r="D25" s="28">
        <f t="shared" si="0"/>
        <v>100</v>
      </c>
      <c r="E25" s="29">
        <f>COUNTIFS([5]InfCualitativo!$B$1:$B$6973,"VERDADERO",[5]InfCualitativo!$E$1:$E$6973,"Libano",[5]InfCualitativo!$H$1:$H$6973,"consulta_externa")</f>
        <v>38</v>
      </c>
      <c r="F25" s="29">
        <f>COUNTIFS([5]InfCualitativo!$B$1:$B$6973,"FALSO",[5]InfCualitativo!$E$1:$E$6973,"Libano",[5]InfCualitativo!$H$1:$H$6973,"consulta_externa")</f>
        <v>0</v>
      </c>
      <c r="G25" s="30">
        <f t="shared" si="2"/>
        <v>1</v>
      </c>
      <c r="H25" s="30">
        <f t="shared" si="3"/>
        <v>0</v>
      </c>
      <c r="I25" s="27">
        <f>COUNTIFS([5]InfCualitativo!$B$1:$B$6973,"VERDADERO",[5]InfCualitativo!$E$1:$E$6973,"Libano",[5]InfCualitativo!$H$1:$H$6973,"salud_oral")</f>
        <v>38</v>
      </c>
      <c r="J25" s="27">
        <f>COUNTIFS([5]InfCualitativo!$B$1:$B$6973,"FALSO",[5]InfCualitativo!$E$1:$E$6973,"Libano",[5]InfCualitativo!$H$1:$H$6973,"salud_oral")</f>
        <v>0</v>
      </c>
      <c r="K25" s="30">
        <f t="shared" si="4"/>
        <v>1</v>
      </c>
      <c r="L25" s="30">
        <f t="shared" si="5"/>
        <v>0</v>
      </c>
      <c r="M25" s="27">
        <f>COUNTIFS([5]InfCualitativo!$B$1:$B$6973,"VERDADERO",[5]InfCualitativo!$E$1:$E$6973,"Libano",[5]InfCualitativo!$H$1:$H$6973,"laboratorio")</f>
        <v>36</v>
      </c>
      <c r="N25" s="27">
        <f>COUNTIFS([5]InfCualitativo!$B$1:$B$6973,"FALSO",[5]InfCualitativo!$E$1:$E$6973,"Libano",[5]InfCualitativo!$H$1:$H$6973,"laboratorio")</f>
        <v>0</v>
      </c>
      <c r="O25" s="30">
        <f t="shared" si="6"/>
        <v>1</v>
      </c>
      <c r="P25" s="31">
        <f t="shared" si="7"/>
        <v>0</v>
      </c>
      <c r="Q25" s="27">
        <f>COUNTIFS([5]InfCualitativo!$B$1:$B$6973,"VERDADERO",[5]InfCualitativo!$E$1:$E$6973,"Libano",[5]InfCualitativo!$H$1:$H$6973,"electros")</f>
        <v>0</v>
      </c>
      <c r="R25" s="27">
        <f>COUNTIFS([5]InfCualitativo!$B$1:$B$6973,"FALSO",[5]InfCualitativo!$E$1:$E$6973,"Libano",[5]InfCualitativo!$H$1:$H$6973,"electros")</f>
        <v>0</v>
      </c>
      <c r="S25" s="30">
        <f t="shared" si="8"/>
        <v>0</v>
      </c>
      <c r="T25" s="30">
        <f t="shared" si="9"/>
        <v>0</v>
      </c>
      <c r="U25" s="27">
        <f>COUNTIFS([5]InfCualitativo!$B$1:$B$6973,"VERDADERO",[5]InfCualitativo!$E$1:$E$6973,"Libano",[5]InfCualitativo!$H$1:$H$6973,"rx")</f>
        <v>0</v>
      </c>
      <c r="V25" s="27">
        <f>COUNTIFS([5]InfCualitativo!$B$1:$B$6973,"FALSO",[5]InfCualitativo!$E$1:$E$6973,"Libano",[5]InfCualitativo!$H$1:$H$6973,"rx")</f>
        <v>0</v>
      </c>
      <c r="W25" s="30">
        <f t="shared" si="10"/>
        <v>0</v>
      </c>
      <c r="X25" s="30">
        <f t="shared" si="11"/>
        <v>0</v>
      </c>
      <c r="Y25" s="27">
        <f>COUNTIFS([5]InfCualitativo!$B$1:$B$6973,"VERDADERO",[5]InfCualitativo!$E$1:$E$6973,"Libano",[5]InfCualitativo!$H$1:$H$6973,"ecografias")</f>
        <v>21</v>
      </c>
      <c r="Z25" s="27">
        <f>COUNTIFS([5]InfCualitativo!$B$1:$B$6973,"FALSO",[5]InfCualitativo!$E$1:$E$6973,"Libano",[5]InfCualitativo!$H$1:$H$6973,"ecografias")</f>
        <v>0</v>
      </c>
      <c r="AA25" s="30">
        <f t="shared" si="12"/>
        <v>1</v>
      </c>
      <c r="AB25" s="30">
        <f t="shared" si="13"/>
        <v>0</v>
      </c>
      <c r="AC25" s="27">
        <f>COUNTIFS([5]InfCualitativo!$B$1:$B$6973,"VERDADERO",[5]InfCualitativo!$E$1:$E$6973,"Libano",[5]InfCualitativo!$H$1:$H$6973,"urgencia")</f>
        <v>0</v>
      </c>
      <c r="AD25" s="27">
        <f>COUNTIFS([5]InfCualitativo!$B$1:$B$6973,"FALSO",[5]InfCualitativo!$E$1:$E$6973,"Libano",[5]InfCualitativo!$H$1:$H$6973,"urgencia")</f>
        <v>0</v>
      </c>
      <c r="AE25" s="30">
        <f t="shared" si="14"/>
        <v>0</v>
      </c>
      <c r="AF25" s="30">
        <f t="shared" si="15"/>
        <v>0</v>
      </c>
      <c r="AG25" s="27">
        <f>COUNTIFS([5]InfCualitativo!$B$1:$B$6973,"VERDADERO",[5]InfCualitativo!$E$1:$E$6973,"Libano",[5]InfCualitativo!$H$1:$H$6973,"pediatria")</f>
        <v>27</v>
      </c>
      <c r="AH25" s="27">
        <f>COUNTIFS([5]InfCualitativo!$B$1:$B$6973,"FALSO",[5]InfCualitativo!$E$1:$E$6973,"Libano",[5]InfCualitativo!$H$1:$H$6973,"pediatria")</f>
        <v>0</v>
      </c>
      <c r="AI25" s="30">
        <f t="shared" si="16"/>
        <v>1</v>
      </c>
      <c r="AJ25" s="30">
        <f t="shared" si="17"/>
        <v>0</v>
      </c>
      <c r="AK25" s="27">
        <f>COUNTIFS([5]InfCualitativo!$B$1:$B$6973,"VERDADERO",[5]InfCualitativo!$E$1:$E$6973,"Libano",[5]InfCualitativo!$H$1:$H$6973,"medicina_interna")</f>
        <v>0</v>
      </c>
      <c r="AL25" s="27">
        <f>COUNTIFS([5]InfCualitativo!$B$1:$B$6973,"FALSO",[5]InfCualitativo!$E$1:$E$6973,"Libano",[5]InfCualitativo!$H$1:$H$6973,"medicina_interna")</f>
        <v>0</v>
      </c>
      <c r="AM25" s="30">
        <f t="shared" si="18"/>
        <v>0</v>
      </c>
      <c r="AN25" s="30">
        <f t="shared" si="19"/>
        <v>0</v>
      </c>
      <c r="AO25" s="27">
        <f>COUNTIFS([5]InfCualitativo!$B$1:$B$6973,"VERDADERO",[5]InfCualitativo!$E$1:$E$6973,"Libano",[5]InfCualitativo!$H$1:$H$6973,"ginecologia")</f>
        <v>24</v>
      </c>
      <c r="AP25" s="27">
        <f>COUNTIFS([5]InfCualitativo!$B$1:$B$6973,"FALSO",[5]InfCualitativo!$E$1:$E$6973,"Libano",[5]InfCualitativo!$H$1:$H$6973,"ginecologia")</f>
        <v>0</v>
      </c>
      <c r="AQ25" s="30">
        <f t="shared" si="20"/>
        <v>1</v>
      </c>
      <c r="AR25" s="30">
        <f t="shared" si="21"/>
        <v>0</v>
      </c>
      <c r="AS25" s="27">
        <f t="shared" si="22"/>
        <v>184</v>
      </c>
      <c r="AT25" s="27">
        <f t="shared" si="22"/>
        <v>0</v>
      </c>
      <c r="AU25" s="32">
        <f t="shared" si="23"/>
        <v>1</v>
      </c>
      <c r="AV25" s="32">
        <f t="shared" si="24"/>
        <v>0</v>
      </c>
    </row>
    <row r="26" spans="1:48" ht="18.75" x14ac:dyDescent="0.3">
      <c r="A26" s="26" t="s">
        <v>46</v>
      </c>
      <c r="B26" s="27">
        <v>78</v>
      </c>
      <c r="C26" s="27">
        <f t="shared" si="1"/>
        <v>78</v>
      </c>
      <c r="D26" s="28">
        <f t="shared" si="0"/>
        <v>100</v>
      </c>
      <c r="E26" s="29">
        <f>COUNTIFS([5]InfCualitativo!$B$1:$B$6973,"VERDADERO",[5]InfCualitativo!$E$1:$E$6973,"Manzanillo",[5]InfCualitativo!$H$1:$H$6973,"consulta_externa")</f>
        <v>29</v>
      </c>
      <c r="F26" s="29">
        <f>COUNTIFS([5]InfCualitativo!$B$1:$B$6973,"FALSO",[5]InfCualitativo!$E$1:$E$6973,"Manzanillo",[5]InfCualitativo!$H$1:$H$6973,"consulta_externa")</f>
        <v>0</v>
      </c>
      <c r="G26" s="30">
        <f t="shared" si="2"/>
        <v>1</v>
      </c>
      <c r="H26" s="30">
        <f t="shared" si="3"/>
        <v>0</v>
      </c>
      <c r="I26" s="27">
        <f>COUNTIFS([5]InfCualitativo!$B$1:$B$6973,"VERDADERO",[5]InfCualitativo!$E$1:$E$6973,"Manzanillo",[5]InfCualitativo!$H$1:$H$6973,"salud_oral")</f>
        <v>19</v>
      </c>
      <c r="J26" s="27">
        <f>COUNTIFS([5]InfCualitativo!$B$1:$B$6973,"FALSO",[5]InfCualitativo!$E$1:$E$6973,"Manzanillo",[5]InfCualitativo!$H$1:$H$6973,"salud_oral")</f>
        <v>0</v>
      </c>
      <c r="K26" s="30">
        <f t="shared" si="4"/>
        <v>1</v>
      </c>
      <c r="L26" s="30">
        <f t="shared" si="5"/>
        <v>0</v>
      </c>
      <c r="M26" s="27">
        <f>COUNTIFS([5]InfCualitativo!$B$1:$B$6973,"VERDADERO",[5]InfCualitativo!$E$1:$E$6973,"Manzanillo",[5]InfCualitativo!$H$1:$H$6973,"laboratorio")</f>
        <v>30</v>
      </c>
      <c r="N26" s="27">
        <f>COUNTIFS([5]InfCualitativo!$B$1:$B$6973,"FALSO",[5]InfCualitativo!$E$1:$E$6973,"Manzanillo",[5]InfCualitativo!$H$1:$H$6973,"laboratorio")</f>
        <v>0</v>
      </c>
      <c r="O26" s="30">
        <f t="shared" si="6"/>
        <v>1</v>
      </c>
      <c r="P26" s="31">
        <f t="shared" si="7"/>
        <v>0</v>
      </c>
      <c r="Q26" s="27">
        <f>COUNTIFS([5]InfCualitativo!$B$1:$B$6973,"VERDADERO",[5]InfCualitativo!$E$1:$E$6973,"Manzanillo",[5]InfCualitativo!$H$1:$H$6973,"electros")</f>
        <v>0</v>
      </c>
      <c r="R26" s="27">
        <f>COUNTIFS([5]InfCualitativo!$B$1:$B$6973,"FALSO",[5]InfCualitativo!$E$1:$E$6973,"Manzanillo",[5]InfCualitativo!$H$1:$H$6973,"electros")</f>
        <v>0</v>
      </c>
      <c r="S26" s="30">
        <f t="shared" si="8"/>
        <v>0</v>
      </c>
      <c r="T26" s="30">
        <f t="shared" si="9"/>
        <v>0</v>
      </c>
      <c r="U26" s="27">
        <f>COUNTIFS([5]InfCualitativo!$B$1:$B$6973,"VERDADERO",[5]InfCualitativo!$E$1:$E$6973,"Manzanillo",[5]InfCualitativo!$H$1:$H$6973,"rx")</f>
        <v>0</v>
      </c>
      <c r="V26" s="27">
        <f>COUNTIFS([5]InfCualitativo!$B$1:$B$6973,"FALSO",[5]InfCualitativo!$E$1:$E$6973,"Manzanillo",[5]InfCualitativo!$H$1:$H$6973,"rx")</f>
        <v>0</v>
      </c>
      <c r="W26" s="30">
        <f t="shared" si="10"/>
        <v>0</v>
      </c>
      <c r="X26" s="30">
        <f t="shared" si="11"/>
        <v>0</v>
      </c>
      <c r="Y26" s="27">
        <f>COUNTIFS([5]InfCualitativo!$B$1:$B$6973,"VERDADERO",[5]InfCualitativo!$E$1:$E$6973,"Manzanillo",[5]InfCualitativo!$H$1:$H$6973,"ecografias")</f>
        <v>0</v>
      </c>
      <c r="Z26" s="27">
        <f>COUNTIFS([5]InfCualitativo!$B$1:$B$6973,"FALSO",[5]InfCualitativo!$E$1:$E$6973,"Manzanillo",[5]InfCualitativo!$H$1:$H$6973,"ecografias")</f>
        <v>0</v>
      </c>
      <c r="AA26" s="30">
        <f t="shared" si="12"/>
        <v>0</v>
      </c>
      <c r="AB26" s="30">
        <f t="shared" si="13"/>
        <v>0</v>
      </c>
      <c r="AC26" s="27">
        <f>COUNTIFS([5]InfCualitativo!$B$1:$B$6973,"VERDADERO",[5]InfCualitativo!$E$1:$E$6973,"Manzanillo",[5]InfCualitativo!$H$1:$H$6973,"urgencia")</f>
        <v>0</v>
      </c>
      <c r="AD26" s="27">
        <f>COUNTIFS([5]InfCualitativo!$B$1:$B$6973,"FALSO",[5]InfCualitativo!$E$1:$E$6973,"Manzanillo",[5]InfCualitativo!$H$1:$H$6973,"urgencia")</f>
        <v>0</v>
      </c>
      <c r="AE26" s="30">
        <f t="shared" si="14"/>
        <v>0</v>
      </c>
      <c r="AF26" s="30">
        <f t="shared" si="15"/>
        <v>0</v>
      </c>
      <c r="AG26" s="27">
        <f>COUNTIFS([5]InfCualitativo!$B$1:$B$6973,"VERDADERO",[5]InfCualitativo!$E$1:$E$6973,"Manzanillo",[5]InfCualitativo!$H$1:$H$6973,"pediatria")</f>
        <v>0</v>
      </c>
      <c r="AH26" s="27">
        <f>COUNTIFS([5]InfCualitativo!$B$1:$B$6973,"FALSO",[5]InfCualitativo!$E$1:$E$6973,"Manzanillo",[5]InfCualitativo!$H$1:$H$6973,"pediatria")</f>
        <v>0</v>
      </c>
      <c r="AI26" s="30">
        <f t="shared" si="16"/>
        <v>0</v>
      </c>
      <c r="AJ26" s="30">
        <f t="shared" si="17"/>
        <v>0</v>
      </c>
      <c r="AK26" s="27">
        <f>COUNTIFS([5]InfCualitativo!$B$1:$B$6973,"VERDADERO",[5]InfCualitativo!$E$1:$E$6973,"Manzanillo",[5]InfCualitativo!$H$1:$H$6973,"medicina_interna")</f>
        <v>0</v>
      </c>
      <c r="AL26" s="27">
        <f>COUNTIFS([5]InfCualitativo!$B$1:$B$6973,"FALSO",[5]InfCualitativo!$E$1:$E$6973,"Manzanillo",[5]InfCualitativo!$H$1:$H$6973,"medicina_interna")</f>
        <v>0</v>
      </c>
      <c r="AM26" s="30">
        <f t="shared" si="18"/>
        <v>0</v>
      </c>
      <c r="AN26" s="30">
        <f t="shared" si="19"/>
        <v>0</v>
      </c>
      <c r="AO26" s="27">
        <f>COUNTIFS([5]InfCualitativo!$B$1:$B$6973,"VERDADERO",[5]InfCualitativo!$E$1:$E$6973,"Manzanillo",[5]InfCualitativo!$H$1:$H$6973,"ginecologia")</f>
        <v>0</v>
      </c>
      <c r="AP26" s="27">
        <f>COUNTIFS([5]InfCualitativo!$B$1:$B$6973,"FALSO",[5]InfCualitativo!$E$1:$E$6973,"Manzanillo",[5]InfCualitativo!$H$1:$H$6973,"ginecologia")</f>
        <v>0</v>
      </c>
      <c r="AQ26" s="30">
        <f t="shared" si="20"/>
        <v>0</v>
      </c>
      <c r="AR26" s="30">
        <f t="shared" si="21"/>
        <v>0</v>
      </c>
      <c r="AS26" s="27">
        <f t="shared" si="22"/>
        <v>78</v>
      </c>
      <c r="AT26" s="27">
        <f t="shared" si="22"/>
        <v>0</v>
      </c>
      <c r="AU26" s="32">
        <f t="shared" si="23"/>
        <v>1</v>
      </c>
      <c r="AV26" s="32">
        <f t="shared" si="24"/>
        <v>0</v>
      </c>
    </row>
    <row r="27" spans="1:48" ht="18.75" x14ac:dyDescent="0.3">
      <c r="A27" s="26" t="s">
        <v>47</v>
      </c>
      <c r="B27" s="27">
        <v>141</v>
      </c>
      <c r="C27" s="27">
        <f t="shared" si="1"/>
        <v>133</v>
      </c>
      <c r="D27" s="28">
        <f t="shared" si="0"/>
        <v>94.326241134751768</v>
      </c>
      <c r="E27" s="29">
        <f>COUNTIFS([5]InfCualitativo!$B$1:$B$6973,"VERDADERO",[5]InfCualitativo!$E$1:$E$6973,"Nelson Mandela UPA",[5]InfCualitativo!$H$1:$H$6973,"consulta_externa")</f>
        <v>31</v>
      </c>
      <c r="F27" s="29">
        <f>COUNTIFS([5]InfCualitativo!$B$1:$B$6973,"FALSO",[5]InfCualitativo!$E$1:$E$6973,"Nelson Mandela UPA",[5]InfCualitativo!$H$1:$H$6973,"consulta_externa")</f>
        <v>7</v>
      </c>
      <c r="G27" s="30">
        <f t="shared" si="2"/>
        <v>0.81578947368421051</v>
      </c>
      <c r="H27" s="30">
        <f t="shared" si="3"/>
        <v>0.18421052631578946</v>
      </c>
      <c r="I27" s="27">
        <f>COUNTIFS([5]InfCualitativo!$B$1:$B$6973,"VERDADERO",[5]InfCualitativo!$E$1:$E$6973,"Nelson Mandela UPA",[5]InfCualitativo!$H$1:$H$6973,"salud_oral")</f>
        <v>33</v>
      </c>
      <c r="J27" s="27">
        <f>COUNTIFS([5]InfCualitativo!$B$1:$B$6973,"FALSO",[5]InfCualitativo!$E$1:$E$6973,"Nelson Mandela UPA",[5]InfCualitativo!$H$1:$H$6973,"salud_oral")</f>
        <v>2</v>
      </c>
      <c r="K27" s="30">
        <f t="shared" si="4"/>
        <v>0.94285714285714284</v>
      </c>
      <c r="L27" s="30">
        <f t="shared" si="5"/>
        <v>5.7142857142857141E-2</v>
      </c>
      <c r="M27" s="27">
        <f>COUNTIFS([5]InfCualitativo!$B$1:$B$6973,"VERDADERO",[5]InfCualitativo!$E$1:$E$6973,"Nelson Mandela UPA",[5]InfCualitativo!$H$1:$H$6973,"laboratorio")</f>
        <v>31</v>
      </c>
      <c r="N27" s="27">
        <f>COUNTIFS([5]InfCualitativo!$B$1:$B$6973,"FALSO",[5]InfCualitativo!$E$1:$E$6973,"Nelson Mandela UPA",[5]InfCualitativo!$H$1:$H$6973,"laboratorio")</f>
        <v>2</v>
      </c>
      <c r="O27" s="30">
        <f t="shared" si="6"/>
        <v>0.93939393939393945</v>
      </c>
      <c r="P27" s="31">
        <f t="shared" si="7"/>
        <v>6.0606060606060608E-2</v>
      </c>
      <c r="Q27" s="27">
        <f>COUNTIFS([5]InfCualitativo!$B$1:$B$6973,"VERDADERO",[5]InfCualitativo!$E$1:$E$6973,"Nelson Mandela UPA",[5]InfCualitativo!$H$1:$H$6973,"electros")</f>
        <v>0</v>
      </c>
      <c r="R27" s="27">
        <f>COUNTIFS([5]InfCualitativo!$B$1:$B$6973,"FALSO",[5]InfCualitativo!$E$1:$E$6973,"Nelson Mandela UPA",[5]InfCualitativo!$H$1:$H$6973,"electros")</f>
        <v>0</v>
      </c>
      <c r="S27" s="30">
        <f t="shared" si="8"/>
        <v>0</v>
      </c>
      <c r="T27" s="30">
        <f t="shared" si="9"/>
        <v>0</v>
      </c>
      <c r="U27" s="27">
        <f>COUNTIFS([5]InfCualitativo!$B$1:$B$6973,"VERDADERO",[5]InfCualitativo!$E$1:$E$6973,"Nelson Mandela UPA",[5]InfCualitativo!$H$1:$H$6973,"rx")</f>
        <v>0</v>
      </c>
      <c r="V27" s="27">
        <f>COUNTIFS([5]InfCualitativo!$B$1:$B$6973,"FALSO",[5]InfCualitativo!$E$1:$E$6973,"Nelson Mandela UPA",[5]InfCualitativo!$H$1:$H$6973,"rx")</f>
        <v>0</v>
      </c>
      <c r="W27" s="30">
        <f t="shared" si="10"/>
        <v>0</v>
      </c>
      <c r="X27" s="30">
        <f t="shared" si="11"/>
        <v>0</v>
      </c>
      <c r="Y27" s="27">
        <f>COUNTIFS([5]InfCualitativo!$B$1:$B$6973,"VERDADERO",[5]InfCualitativo!$E$1:$E$6973,"Nelson Mandela UPA",[5]InfCualitativo!$H$1:$H$6973,"ecografias")</f>
        <v>0</v>
      </c>
      <c r="Z27" s="27">
        <f>COUNTIFS([5]InfCualitativo!$B$1:$B$6973,"FALSO",[5]InfCualitativo!$E$1:$E$6973,"Nelson Mandela UPA",[5]InfCualitativo!$H$1:$H$6973,"ecografias")</f>
        <v>0</v>
      </c>
      <c r="AA27" s="30">
        <f t="shared" si="12"/>
        <v>0</v>
      </c>
      <c r="AB27" s="30">
        <f t="shared" si="13"/>
        <v>0</v>
      </c>
      <c r="AC27" s="27">
        <f>COUNTIFS([5]InfCualitativo!$B$1:$B$6973,"VERDADERO",[5]InfCualitativo!$E$1:$E$6973,"Nelson Mandela UPA",[5]InfCualitativo!$H$1:$H$6973,"urgencia")</f>
        <v>19</v>
      </c>
      <c r="AD27" s="27">
        <f>COUNTIFS([5]InfCualitativo!$B$1:$B$6973,"FALSO",[5]InfCualitativo!$E$1:$E$6973,"Nelson Mandela UPA",[5]InfCualitativo!$H$1:$H$6973,"urgencia")</f>
        <v>8</v>
      </c>
      <c r="AE27" s="30">
        <f t="shared" si="14"/>
        <v>0.70370370370370372</v>
      </c>
      <c r="AF27" s="30">
        <f t="shared" si="15"/>
        <v>0.29629629629629628</v>
      </c>
      <c r="AG27" s="27">
        <f>COUNTIFS([5]InfCualitativo!$B$1:$B$6973,"VERDADERO",[5]InfCualitativo!$E$1:$E$6973,"Nelson Mandela UPA",[5]InfCualitativo!$H$1:$H$6973,"pediatria")</f>
        <v>0</v>
      </c>
      <c r="AH27" s="27">
        <f>COUNTIFS([5]InfCualitativo!$B$1:$B$6973,"FALSO",[5]InfCualitativo!$E$1:$E$6973,"Nelson Mandela UPA",[5]InfCualitativo!$H$1:$H$6973,"pediatria")</f>
        <v>0</v>
      </c>
      <c r="AI27" s="30">
        <f t="shared" si="16"/>
        <v>0</v>
      </c>
      <c r="AJ27" s="30">
        <f t="shared" si="17"/>
        <v>0</v>
      </c>
      <c r="AK27" s="27">
        <f>COUNTIFS([5]InfCualitativo!$B$1:$B$6973,"VERDADERO",[5]InfCualitativo!$E$1:$E$6973,"Nelson Mandela UPA",[5]InfCualitativo!$H$1:$H$6973,"medicina_interna")</f>
        <v>0</v>
      </c>
      <c r="AL27" s="27">
        <f>COUNTIFS([5]InfCualitativo!$B$1:$B$6973,"FALSO",[5]InfCualitativo!$E$1:$E$6973,"Nelson Mandela UPA",[5]InfCualitativo!$H$1:$H$6973,"medicina_interna")</f>
        <v>0</v>
      </c>
      <c r="AM27" s="30">
        <f t="shared" si="18"/>
        <v>0</v>
      </c>
      <c r="AN27" s="30">
        <f t="shared" si="19"/>
        <v>0</v>
      </c>
      <c r="AO27" s="27">
        <f>COUNTIFS([5]InfCualitativo!$B$1:$B$6973,"VERDADERO",[5]InfCualitativo!$E$1:$E$6973,"Nelson Mandela UPA",[5]InfCualitativo!$H$1:$H$6973,"ginecologia")</f>
        <v>0</v>
      </c>
      <c r="AP27" s="27">
        <f>COUNTIFS([5]InfCualitativo!$B$1:$B$6973,"FALSO",[5]InfCualitativo!$E$1:$E$6973,"Nelson Mandela UPA",[5]InfCualitativo!$H$1:$H$6973,"ginecologia")</f>
        <v>0</v>
      </c>
      <c r="AQ27" s="30">
        <f t="shared" si="20"/>
        <v>0</v>
      </c>
      <c r="AR27" s="30">
        <f t="shared" si="21"/>
        <v>0</v>
      </c>
      <c r="AS27" s="27">
        <f t="shared" si="22"/>
        <v>114</v>
      </c>
      <c r="AT27" s="27">
        <f t="shared" si="22"/>
        <v>19</v>
      </c>
      <c r="AU27" s="32">
        <f t="shared" si="23"/>
        <v>0.8571428571428571</v>
      </c>
      <c r="AV27" s="32">
        <f t="shared" si="24"/>
        <v>0.14285714285714285</v>
      </c>
    </row>
    <row r="28" spans="1:48" ht="18.75" x14ac:dyDescent="0.3">
      <c r="A28" s="26" t="s">
        <v>48</v>
      </c>
      <c r="B28" s="27">
        <v>144</v>
      </c>
      <c r="C28" s="27">
        <f t="shared" si="1"/>
        <v>144</v>
      </c>
      <c r="D28" s="28">
        <f t="shared" si="0"/>
        <v>100</v>
      </c>
      <c r="E28" s="29">
        <f>COUNTIFS([5]InfCualitativo!$B$1:$B$6973,"VERDADERO",[5]InfCualitativo!$E$1:$E$6973,"Nuevo Bosque",[5]InfCualitativo!$H$1:$H$6973,"consulta_externa")</f>
        <v>38</v>
      </c>
      <c r="F28" s="29">
        <f>COUNTIFS([5]InfCualitativo!$B$1:$B$6973,"FALSO",[5]InfCualitativo!$E$1:$E$6973,"Nuevo Bosque",[5]InfCualitativo!$H$1:$H$6973,"consulta_externa")</f>
        <v>0</v>
      </c>
      <c r="G28" s="30">
        <f t="shared" si="2"/>
        <v>1</v>
      </c>
      <c r="H28" s="30">
        <f t="shared" si="3"/>
        <v>0</v>
      </c>
      <c r="I28" s="27">
        <f>COUNTIFS([5]InfCualitativo!$B$1:$B$6973,"VERDADERO",[5]InfCualitativo!$E$1:$E$6973,"Nuevo Bosque",[5]InfCualitativo!$H$1:$H$6973,"salud_oral")</f>
        <v>36</v>
      </c>
      <c r="J28" s="27">
        <f>COUNTIFS([5]InfCualitativo!$B$1:$B$6973,"FALSO",[5]InfCualitativo!$E$1:$E$6973,"Nuevo Bosque",[5]InfCualitativo!$H$1:$H$6973,"salud_oral")</f>
        <v>0</v>
      </c>
      <c r="K28" s="30">
        <f t="shared" si="4"/>
        <v>1</v>
      </c>
      <c r="L28" s="30">
        <f t="shared" si="5"/>
        <v>0</v>
      </c>
      <c r="M28" s="27">
        <f>COUNTIFS([5]InfCualitativo!$B$1:$B$6973,"VERDADERO",[5]InfCualitativo!$E$1:$E$6973,"Nuevo Bosque",[5]InfCualitativo!$H$1:$H$6973,"laboratorio")</f>
        <v>35</v>
      </c>
      <c r="N28" s="27">
        <f>COUNTIFS([5]InfCualitativo!$B$1:$B$6973,"FALSO",[5]InfCualitativo!$E$1:$E$6973,"Nuevo Bosque",[5]InfCualitativo!$H$1:$H$6973,"laboratorio")</f>
        <v>0</v>
      </c>
      <c r="O28" s="30">
        <f t="shared" si="6"/>
        <v>1</v>
      </c>
      <c r="P28" s="31">
        <f t="shared" si="7"/>
        <v>0</v>
      </c>
      <c r="Q28" s="27">
        <f>COUNTIFS([5]InfCualitativo!$B$1:$B$6973,"VERDADERO",[5]InfCualitativo!$E$1:$E$6973,"Nuevo Bosque",[5]InfCualitativo!$H$1:$H$6973,"electros")</f>
        <v>0</v>
      </c>
      <c r="R28" s="27">
        <f>COUNTIFS([5]InfCualitativo!$B$1:$B$6973,"FALSO",[5]InfCualitativo!$E$1:$E$6973,"Nuevo Bosque",[5]InfCualitativo!$H$1:$H$6973,"electros")</f>
        <v>0</v>
      </c>
      <c r="S28" s="30">
        <f t="shared" si="8"/>
        <v>0</v>
      </c>
      <c r="T28" s="30">
        <f t="shared" si="9"/>
        <v>0</v>
      </c>
      <c r="U28" s="27">
        <f>COUNTIFS([5]InfCualitativo!$B$1:$B$6973,"VERDADERO",[5]InfCualitativo!$E$1:$E$6973,"Nuevo Bosque",[5]InfCualitativo!$H$1:$H$6973,"rx")</f>
        <v>0</v>
      </c>
      <c r="V28" s="27">
        <f>COUNTIFS([5]InfCualitativo!$B$1:$B$6973,"FALSO",[5]InfCualitativo!$E$1:$E$6973,"Nuevo Bosque",[5]InfCualitativo!$H$1:$H$6973,"rx")</f>
        <v>0</v>
      </c>
      <c r="W28" s="30">
        <f t="shared" si="10"/>
        <v>0</v>
      </c>
      <c r="X28" s="30">
        <f t="shared" si="11"/>
        <v>0</v>
      </c>
      <c r="Y28" s="27">
        <f>COUNTIFS([5]InfCualitativo!$B$1:$B$6973,"VERDADERO",[5]InfCualitativo!$E$1:$E$6973,"Nuevo Bosque",[5]InfCualitativo!$H$1:$H$6973,"ecografias")</f>
        <v>0</v>
      </c>
      <c r="Z28" s="27">
        <f>COUNTIFS([5]InfCualitativo!$B$1:$B$6973,"FALSO",[5]InfCualitativo!$E$1:$E$6973,"Nuevo Bosque",[5]InfCualitativo!$H$1:$H$6973,"ecografias")</f>
        <v>0</v>
      </c>
      <c r="AA28" s="30">
        <f t="shared" si="12"/>
        <v>0</v>
      </c>
      <c r="AB28" s="30">
        <f t="shared" si="13"/>
        <v>0</v>
      </c>
      <c r="AC28" s="27">
        <f>COUNTIFS([5]InfCualitativo!$B$1:$B$6973,"VERDADERO",[5]InfCualitativo!$E$1:$E$6973,"Nuevo Bosque",[5]InfCualitativo!$H$1:$H$6973,"urgencia")</f>
        <v>35</v>
      </c>
      <c r="AD28" s="27">
        <f>COUNTIFS([5]InfCualitativo!$B$1:$B$6973,"FALSO",[5]InfCualitativo!$E$1:$E$6973,"Nuevo Bosque",[5]InfCualitativo!$H$1:$H$6973,"urgencia")</f>
        <v>0</v>
      </c>
      <c r="AE28" s="30">
        <f t="shared" si="14"/>
        <v>1</v>
      </c>
      <c r="AF28" s="30">
        <f t="shared" si="15"/>
        <v>0</v>
      </c>
      <c r="AG28" s="27">
        <f>COUNTIFS([5]InfCualitativo!$B$1:$B$6973,"VERDADERO",[5]InfCualitativo!$E$1:$E$6973,"Nuevo Bosque",[5]InfCualitativo!$H$1:$H$6973,"pediatria")</f>
        <v>0</v>
      </c>
      <c r="AH28" s="27">
        <f>COUNTIFS([5]InfCualitativo!$B$1:$B$6973,"FALSO",[5]InfCualitativo!$E$1:$E$6973,"Nuevo Bosque",[5]InfCualitativo!$H$1:$H$6973,"pediatria")</f>
        <v>0</v>
      </c>
      <c r="AI28" s="30">
        <f t="shared" si="16"/>
        <v>0</v>
      </c>
      <c r="AJ28" s="30">
        <f t="shared" si="17"/>
        <v>0</v>
      </c>
      <c r="AK28" s="27">
        <f>COUNTIFS([5]InfCualitativo!$B$1:$B$6973,"VERDADERO",[5]InfCualitativo!$E$1:$E$6973,"Nuevo Bosque",[5]InfCualitativo!$H$1:$H$6973,"medicina_interna")</f>
        <v>0</v>
      </c>
      <c r="AL28" s="27">
        <f>COUNTIFS([5]InfCualitativo!$B$1:$B$6973,"FALSO",[5]InfCualitativo!$E$1:$E$6973,"Nuevo Bosque",[5]InfCualitativo!$H$1:$H$6973,"medicina_interna")</f>
        <v>0</v>
      </c>
      <c r="AM28" s="30">
        <f t="shared" si="18"/>
        <v>0</v>
      </c>
      <c r="AN28" s="30">
        <f t="shared" si="19"/>
        <v>0</v>
      </c>
      <c r="AO28" s="27">
        <f>COUNTIFS([5]InfCualitativo!$B$1:$B$6973,"VERDADERO",[5]InfCualitativo!$E$1:$E$6973,"Nuevo Bosque",[5]InfCualitativo!$H$1:$H$6973,"ginecologia")</f>
        <v>0</v>
      </c>
      <c r="AP28" s="27">
        <f>COUNTIFS([5]InfCualitativo!$B$1:$B$6973,"FALSO",[5]InfCualitativo!$E$1:$E$6973,"Nuevo Bosque",[5]InfCualitativo!$H$1:$H$6973,"ginecologia")</f>
        <v>0</v>
      </c>
      <c r="AQ28" s="30">
        <f t="shared" si="20"/>
        <v>0</v>
      </c>
      <c r="AR28" s="30">
        <f t="shared" si="21"/>
        <v>0</v>
      </c>
      <c r="AS28" s="27">
        <f t="shared" si="22"/>
        <v>144</v>
      </c>
      <c r="AT28" s="27">
        <f t="shared" si="22"/>
        <v>0</v>
      </c>
      <c r="AU28" s="32">
        <f t="shared" si="23"/>
        <v>1</v>
      </c>
      <c r="AV28" s="32">
        <f t="shared" si="24"/>
        <v>0</v>
      </c>
    </row>
    <row r="29" spans="1:48" ht="18.75" x14ac:dyDescent="0.3">
      <c r="A29" s="26" t="s">
        <v>49</v>
      </c>
      <c r="B29" s="27">
        <v>114</v>
      </c>
      <c r="C29" s="27">
        <f t="shared" si="1"/>
        <v>101</v>
      </c>
      <c r="D29" s="28">
        <f t="shared" si="0"/>
        <v>88.596491228070178</v>
      </c>
      <c r="E29" s="29">
        <f>COUNTIFS([5]InfCualitativo!$B$1:$B$6973,"VERDADERO",[5]InfCualitativo!$E$1:$E$6973,"Nuevo Porvenir",[5]InfCualitativo!$H$1:$H$6973,"consulta_externa")</f>
        <v>33</v>
      </c>
      <c r="F29" s="29">
        <f>COUNTIFS([5]InfCualitativo!$B$1:$B$6973,"FALSO",[5]InfCualitativo!$E$1:$E$6973,"Nuevo Porvenir",[5]InfCualitativo!$H$1:$H$6973,"consulta_externa")</f>
        <v>1</v>
      </c>
      <c r="G29" s="30">
        <f t="shared" si="2"/>
        <v>0.97058823529411764</v>
      </c>
      <c r="H29" s="30">
        <f t="shared" si="3"/>
        <v>2.9411764705882353E-2</v>
      </c>
      <c r="I29" s="27">
        <f>COUNTIFS([5]InfCualitativo!$B$1:$B$6973,"VERDADERO",[5]InfCualitativo!$E$1:$E$6973,"Nuevo Porvenir",[5]InfCualitativo!$H$1:$H$6973,"salud_oral")</f>
        <v>34</v>
      </c>
      <c r="J29" s="27">
        <f>COUNTIFS([5]InfCualitativo!$B$1:$B$6973,"FALSO",[5]InfCualitativo!$E$1:$E$6973,"Nuevo Porvenir",[5]InfCualitativo!$H$1:$H$6973,"salud_oral")</f>
        <v>1</v>
      </c>
      <c r="K29" s="30">
        <f t="shared" si="4"/>
        <v>0.97142857142857142</v>
      </c>
      <c r="L29" s="30">
        <f t="shared" si="5"/>
        <v>2.8571428571428571E-2</v>
      </c>
      <c r="M29" s="27">
        <f>COUNTIFS([5]InfCualitativo!$B$1:$B$6973,"VERDADERO",[5]InfCualitativo!$E$1:$E$6973,"Nuevo Porvenir",[5]InfCualitativo!$H$1:$H$6973,"laboratorio")</f>
        <v>32</v>
      </c>
      <c r="N29" s="27">
        <f>COUNTIFS([5]InfCualitativo!$B$1:$B$6973,"FALSO",[5]InfCualitativo!$E$1:$E$6973,"Nuevo Porvenir",[5]InfCualitativo!$H$1:$H$6973,"laboratorio")</f>
        <v>0</v>
      </c>
      <c r="O29" s="30">
        <f t="shared" si="6"/>
        <v>1</v>
      </c>
      <c r="P29" s="31">
        <f t="shared" si="7"/>
        <v>0</v>
      </c>
      <c r="Q29" s="27">
        <f>COUNTIFS([5]InfCualitativo!$B$1:$B$6973,"VERDADERO",[5]InfCualitativo!$E$1:$E$6973,"Nuevo Porvenir",[5]InfCualitativo!$H$1:$H$6973,"electros")</f>
        <v>0</v>
      </c>
      <c r="R29" s="27">
        <f>COUNTIFS([5]InfCualitativo!$B$1:$B$6973,"FALSO",[5]InfCualitativo!$E$1:$E$6973,"Nuevo Porvenir",[5]InfCualitativo!$H$1:$H$6973,"electros")</f>
        <v>0</v>
      </c>
      <c r="S29" s="30">
        <f t="shared" si="8"/>
        <v>0</v>
      </c>
      <c r="T29" s="30">
        <f t="shared" si="9"/>
        <v>0</v>
      </c>
      <c r="U29" s="27">
        <f>COUNTIFS([5]InfCualitativo!$B$1:$B$6973,"VERDADERO",[5]InfCualitativo!$E$1:$E$6973,"Nuevo Porvenir",[5]InfCualitativo!$H$1:$H$6973,"rx")</f>
        <v>0</v>
      </c>
      <c r="V29" s="27">
        <f>COUNTIFS([5]InfCualitativo!$B$1:$B$6973,"FALSO",[5]InfCualitativo!$E$1:$E$6973,"Nuevo Porvenir",[5]InfCualitativo!$H$1:$H$6973,"rx")</f>
        <v>0</v>
      </c>
      <c r="W29" s="30">
        <f t="shared" si="10"/>
        <v>0</v>
      </c>
      <c r="X29" s="30">
        <f t="shared" si="11"/>
        <v>0</v>
      </c>
      <c r="Y29" s="27">
        <f>COUNTIFS([5]InfCualitativo!$B$1:$B$6973,"VERDADERO",[5]InfCualitativo!$E$1:$E$6973,"Nuevo Porvenir",[5]InfCualitativo!$H$1:$H$6973,"ecografias")</f>
        <v>0</v>
      </c>
      <c r="Z29" s="27">
        <f>COUNTIFS([5]InfCualitativo!$B$1:$B$6973,"FALSO",[5]InfCualitativo!$E$1:$E$6973,"Nuevo Porvenir",[5]InfCualitativo!$H$1:$H$6973,"ecografias")</f>
        <v>0</v>
      </c>
      <c r="AA29" s="30">
        <f t="shared" si="12"/>
        <v>0</v>
      </c>
      <c r="AB29" s="30">
        <f t="shared" si="13"/>
        <v>0</v>
      </c>
      <c r="AC29" s="27">
        <f>COUNTIFS([5]InfCualitativo!$B$1:$B$6973,"VERDADERO",[5]InfCualitativo!$E$1:$E$6973,"Nuevo Porvenir",[5]InfCualitativo!$H$1:$H$6973,"urgencia")</f>
        <v>0</v>
      </c>
      <c r="AD29" s="27">
        <f>COUNTIFS([5]InfCualitativo!$B$1:$B$6973,"FALSO",[5]InfCualitativo!$E$1:$E$6973,"Nuevo Porvenir",[5]InfCualitativo!$H$1:$H$6973,"urgencia")</f>
        <v>0</v>
      </c>
      <c r="AE29" s="30">
        <f t="shared" si="14"/>
        <v>0</v>
      </c>
      <c r="AF29" s="30">
        <f t="shared" si="15"/>
        <v>0</v>
      </c>
      <c r="AG29" s="27">
        <f>COUNTIFS([5]InfCualitativo!$B$1:$B$6973,"VERDADERO",[5]InfCualitativo!$E$1:$E$6973,"Nuevo Porvenir",[5]InfCualitativo!$H$1:$H$6973,"pediatria")</f>
        <v>0</v>
      </c>
      <c r="AH29" s="27">
        <f>COUNTIFS([5]InfCualitativo!$B$1:$B$6973,"FALSO",[5]InfCualitativo!$E$1:$E$6973,"Nuevo Porvenir",[5]InfCualitativo!$H$1:$H$6973,"pediatria")</f>
        <v>0</v>
      </c>
      <c r="AI29" s="30">
        <f t="shared" si="16"/>
        <v>0</v>
      </c>
      <c r="AJ29" s="30">
        <f t="shared" si="17"/>
        <v>0</v>
      </c>
      <c r="AK29" s="27">
        <f>COUNTIFS([5]InfCualitativo!$B$1:$B$6973,"VERDADERO",[5]InfCualitativo!$E$1:$E$6973,"Nuevo Porvenir",[5]InfCualitativo!$H$1:$H$6973,"medicina_interna")</f>
        <v>0</v>
      </c>
      <c r="AL29" s="27">
        <f>COUNTIFS([5]InfCualitativo!$B$1:$B$6973,"FALSO",[5]InfCualitativo!$E$1:$E$6973,"Nuevo Porvenir",[5]InfCualitativo!$H$1:$H$6973,"medicina_interna")</f>
        <v>0</v>
      </c>
      <c r="AM29" s="30">
        <f t="shared" si="18"/>
        <v>0</v>
      </c>
      <c r="AN29" s="30">
        <f t="shared" si="19"/>
        <v>0</v>
      </c>
      <c r="AO29" s="27">
        <f>COUNTIFS([5]InfCualitativo!$B$1:$B$6973,"VERDADERO",[5]InfCualitativo!$E$1:$E$6973,"Nuevo Porvenir",[5]InfCualitativo!$H$1:$H$6973,"ginecologia")</f>
        <v>0</v>
      </c>
      <c r="AP29" s="27">
        <f>COUNTIFS([5]InfCualitativo!$B$1:$B$6973,"FALSO",[5]InfCualitativo!$E$1:$E$6973,"Nuevo Porvenir",[5]InfCualitativo!$H$1:$H$6973,"ginecologia")</f>
        <v>0</v>
      </c>
      <c r="AQ29" s="30">
        <f t="shared" si="20"/>
        <v>0</v>
      </c>
      <c r="AR29" s="30">
        <f t="shared" si="21"/>
        <v>0</v>
      </c>
      <c r="AS29" s="27">
        <f t="shared" si="22"/>
        <v>99</v>
      </c>
      <c r="AT29" s="27">
        <f t="shared" si="22"/>
        <v>2</v>
      </c>
      <c r="AU29" s="32">
        <f t="shared" si="23"/>
        <v>0.98019801980198018</v>
      </c>
      <c r="AV29" s="32">
        <f t="shared" si="24"/>
        <v>1.9801980198019802E-2</v>
      </c>
    </row>
    <row r="30" spans="1:48" ht="18.75" x14ac:dyDescent="0.3">
      <c r="A30" s="26" t="s">
        <v>50</v>
      </c>
      <c r="B30" s="35" t="s">
        <v>39</v>
      </c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35" t="s">
        <v>39</v>
      </c>
      <c r="P30" s="35" t="s">
        <v>39</v>
      </c>
      <c r="Q30" s="35" t="s">
        <v>39</v>
      </c>
      <c r="R30" s="35" t="s">
        <v>39</v>
      </c>
      <c r="S30" s="35" t="s">
        <v>39</v>
      </c>
      <c r="T30" s="35" t="s">
        <v>39</v>
      </c>
      <c r="U30" s="35" t="s">
        <v>39</v>
      </c>
      <c r="V30" s="35" t="s">
        <v>39</v>
      </c>
      <c r="W30" s="35" t="s">
        <v>39</v>
      </c>
      <c r="X30" s="35" t="s">
        <v>39</v>
      </c>
      <c r="Y30" s="35" t="s">
        <v>39</v>
      </c>
      <c r="Z30" s="35" t="s">
        <v>39</v>
      </c>
      <c r="AA30" s="35" t="s">
        <v>39</v>
      </c>
      <c r="AB30" s="35" t="s">
        <v>39</v>
      </c>
      <c r="AC30" s="35" t="s">
        <v>39</v>
      </c>
      <c r="AD30" s="35" t="s">
        <v>39</v>
      </c>
      <c r="AE30" s="35" t="s">
        <v>39</v>
      </c>
      <c r="AF30" s="35" t="s">
        <v>39</v>
      </c>
      <c r="AG30" s="35" t="s">
        <v>39</v>
      </c>
      <c r="AH30" s="35" t="s">
        <v>39</v>
      </c>
      <c r="AI30" s="35" t="s">
        <v>39</v>
      </c>
      <c r="AJ30" s="35" t="s">
        <v>39</v>
      </c>
      <c r="AK30" s="35" t="s">
        <v>39</v>
      </c>
      <c r="AL30" s="35" t="s">
        <v>39</v>
      </c>
      <c r="AM30" s="35" t="s">
        <v>39</v>
      </c>
      <c r="AN30" s="35" t="s">
        <v>39</v>
      </c>
      <c r="AO30" s="35" t="s">
        <v>39</v>
      </c>
      <c r="AP30" s="35" t="s">
        <v>39</v>
      </c>
      <c r="AQ30" s="35" t="s">
        <v>39</v>
      </c>
      <c r="AR30" s="35" t="s">
        <v>39</v>
      </c>
      <c r="AS30" s="35" t="s">
        <v>39</v>
      </c>
      <c r="AT30" s="35" t="s">
        <v>39</v>
      </c>
      <c r="AU30" s="35" t="s">
        <v>39</v>
      </c>
      <c r="AV30" s="35" t="s">
        <v>39</v>
      </c>
    </row>
    <row r="31" spans="1:48" ht="18.75" x14ac:dyDescent="0.3">
      <c r="A31" s="26" t="s">
        <v>51</v>
      </c>
      <c r="B31" s="27">
        <v>150</v>
      </c>
      <c r="C31" s="27">
        <f t="shared" si="1"/>
        <v>150</v>
      </c>
      <c r="D31" s="28">
        <f t="shared" si="0"/>
        <v>100</v>
      </c>
      <c r="E31" s="29">
        <f>COUNTIFS([5]InfCualitativo!$B$1:$B$6973,"VERDADERO",[5]InfCualitativo!$E$1:$E$6973,"Pasacaballos",[5]InfCualitativo!$H$1:$H$6973,"consulta_externa")</f>
        <v>40</v>
      </c>
      <c r="F31" s="29">
        <f>COUNTIFS([5]InfCualitativo!$B$1:$B$6973,"FALSO",[5]InfCualitativo!$E$1:$E$6973,"Pasacaballos",[5]InfCualitativo!$H$1:$H$6973,"consulta_externa")</f>
        <v>0</v>
      </c>
      <c r="G31" s="30">
        <f t="shared" si="2"/>
        <v>1</v>
      </c>
      <c r="H31" s="30">
        <f t="shared" si="3"/>
        <v>0</v>
      </c>
      <c r="I31" s="27">
        <f>COUNTIFS([5]InfCualitativo!$B$1:$B$6973,"VERDADERO",[5]InfCualitativo!$E$1:$E$6973,"Pasacaballos",[5]InfCualitativo!$H$1:$H$6973,"salud_oral")</f>
        <v>39</v>
      </c>
      <c r="J31" s="27">
        <f>COUNTIFS([5]InfCualitativo!$B$1:$B$6973,"FALSO",[5]InfCualitativo!$E$1:$E$6973,"Pasacaballos",[5]InfCualitativo!$H$1:$H$6973,"salud_oral")</f>
        <v>0</v>
      </c>
      <c r="K31" s="30">
        <f t="shared" si="4"/>
        <v>1</v>
      </c>
      <c r="L31" s="30">
        <f t="shared" si="5"/>
        <v>0</v>
      </c>
      <c r="M31" s="27">
        <f>COUNTIFS([5]InfCualitativo!$B$1:$B$6973,"VERDADERO",[5]InfCualitativo!$E$1:$E$6973,"Pasacaballos",[5]InfCualitativo!$H$1:$H$6973,"laboratorio")</f>
        <v>36</v>
      </c>
      <c r="N31" s="27">
        <f>COUNTIFS([5]InfCualitativo!$B$1:$B$6973,"FALSO",[5]InfCualitativo!$E$1:$E$6973,"Pasacaballos",[5]InfCualitativo!$H$1:$H$6973,"laboratorio")</f>
        <v>0</v>
      </c>
      <c r="O31" s="30">
        <f t="shared" si="6"/>
        <v>1</v>
      </c>
      <c r="P31" s="31">
        <f t="shared" si="7"/>
        <v>0</v>
      </c>
      <c r="Q31" s="27">
        <f>COUNTIFS([5]InfCualitativo!$B$1:$B$6973,"VERDADERO",[5]InfCualitativo!$E$1:$E$6973,"Pasacaballos",[5]InfCualitativo!$H$1:$H$6973,"electros")</f>
        <v>0</v>
      </c>
      <c r="R31" s="27">
        <f>COUNTIFS([5]InfCualitativo!$B$1:$B$6973,"FALSO",[5]InfCualitativo!$E$1:$E$6973,"Pasacaballos",[5]InfCualitativo!$H$1:$H$6973,"electros")</f>
        <v>0</v>
      </c>
      <c r="S31" s="30">
        <f t="shared" si="8"/>
        <v>0</v>
      </c>
      <c r="T31" s="30">
        <f t="shared" si="9"/>
        <v>0</v>
      </c>
      <c r="U31" s="27">
        <f>COUNTIFS([5]InfCualitativo!$B$1:$B$6973,"VERDADERO",[5]InfCualitativo!$E$1:$E$6973,"Pasacaballos",[5]InfCualitativo!$H$1:$H$6973,"rx")</f>
        <v>0</v>
      </c>
      <c r="V31" s="27">
        <f>COUNTIFS([5]InfCualitativo!$B$1:$B$6973,"FALSO",[5]InfCualitativo!$E$1:$E$6973,"Pasacaballos",[5]InfCualitativo!$H$1:$H$6973,"rx")</f>
        <v>0</v>
      </c>
      <c r="W31" s="30">
        <f t="shared" si="10"/>
        <v>0</v>
      </c>
      <c r="X31" s="30">
        <f t="shared" si="11"/>
        <v>0</v>
      </c>
      <c r="Y31" s="27">
        <f>COUNTIFS([5]InfCualitativo!$B$1:$B$6973,"VERDADERO",[5]InfCualitativo!$E$1:$E$6973,"Pasacaballos",[5]InfCualitativo!$H$1:$H$6973,"ecografias")</f>
        <v>0</v>
      </c>
      <c r="Z31" s="27">
        <f>COUNTIFS([5]InfCualitativo!$B$1:$B$6973,"FALSO",[5]InfCualitativo!$E$1:$E$6973,"Pasacaballos",[5]InfCualitativo!$H$1:$H$6973,"ecografias")</f>
        <v>0</v>
      </c>
      <c r="AA31" s="30">
        <f t="shared" si="12"/>
        <v>0</v>
      </c>
      <c r="AB31" s="30">
        <f t="shared" si="13"/>
        <v>0</v>
      </c>
      <c r="AC31" s="27">
        <f>COUNTIFS([5]InfCualitativo!$B$1:$B$6973,"VERDADERO",[5]InfCualitativo!$E$1:$E$6973,"Pasacaballos",[5]InfCualitativo!$H$1:$H$6973,"urgencia")</f>
        <v>35</v>
      </c>
      <c r="AD31" s="27">
        <f>COUNTIFS([5]InfCualitativo!$B$1:$B$6973,"FALSO",[5]InfCualitativo!$E$1:$E$6973,"Pasacaballos",[5]InfCualitativo!$H$1:$H$6973,"urgencia")</f>
        <v>0</v>
      </c>
      <c r="AE31" s="30">
        <f t="shared" si="14"/>
        <v>1</v>
      </c>
      <c r="AF31" s="30">
        <f t="shared" si="15"/>
        <v>0</v>
      </c>
      <c r="AG31" s="27">
        <f>COUNTIFS([5]InfCualitativo!$B$1:$B$6973,"VERDADERO",[5]InfCualitativo!$E$1:$E$6973,"Pasacaballos",[5]InfCualitativo!$H$1:$H$6973,"pediatria")</f>
        <v>0</v>
      </c>
      <c r="AH31" s="27">
        <f>COUNTIFS([5]InfCualitativo!$B$1:$B$6973,"FALSO",[5]InfCualitativo!$E$1:$E$6973,"Pasacaballos",[5]InfCualitativo!$H$1:$H$6973,"pediatria")</f>
        <v>0</v>
      </c>
      <c r="AI31" s="30">
        <f t="shared" si="16"/>
        <v>0</v>
      </c>
      <c r="AJ31" s="30">
        <f t="shared" si="17"/>
        <v>0</v>
      </c>
      <c r="AK31" s="27">
        <f>COUNTIFS([5]InfCualitativo!$B$1:$B$6973,"VERDADERO",[5]InfCualitativo!$E$1:$E$6973,"Pasacaballos",[5]InfCualitativo!$H$1:$H$6973,"medicina_interna")</f>
        <v>0</v>
      </c>
      <c r="AL31" s="27">
        <f>COUNTIFS([5]InfCualitativo!$B$1:$B$6973,"FALSO",[5]InfCualitativo!$E$1:$E$6973,"Pasacaballos",[5]InfCualitativo!$H$1:$H$6973,"medicina_interna")</f>
        <v>0</v>
      </c>
      <c r="AM31" s="30">
        <f t="shared" si="18"/>
        <v>0</v>
      </c>
      <c r="AN31" s="30">
        <f t="shared" si="19"/>
        <v>0</v>
      </c>
      <c r="AO31" s="27">
        <f>COUNTIFS([5]InfCualitativo!$B$1:$B$6973,"VERDADERO",[5]InfCualitativo!$E$1:$E$6973,"Pasacaballos",[5]InfCualitativo!$H$1:$H$6973,"ginecologia")</f>
        <v>0</v>
      </c>
      <c r="AP31" s="27">
        <f>COUNTIFS([5]InfCualitativo!$B$1:$B$6973,"FALSO",[5]InfCualitativo!$E$1:$E$6973,"Pasacaballos",[5]InfCualitativo!$H$1:$H$6973,"ginecologia")</f>
        <v>0</v>
      </c>
      <c r="AQ31" s="30">
        <f t="shared" si="20"/>
        <v>0</v>
      </c>
      <c r="AR31" s="30">
        <f t="shared" si="21"/>
        <v>0</v>
      </c>
      <c r="AS31" s="27">
        <f t="shared" si="22"/>
        <v>150</v>
      </c>
      <c r="AT31" s="27">
        <f t="shared" si="22"/>
        <v>0</v>
      </c>
      <c r="AU31" s="32">
        <f t="shared" si="23"/>
        <v>1</v>
      </c>
      <c r="AV31" s="32">
        <f t="shared" si="24"/>
        <v>0</v>
      </c>
    </row>
    <row r="32" spans="1:48" ht="18.75" x14ac:dyDescent="0.3">
      <c r="A32" s="26" t="s">
        <v>52</v>
      </c>
      <c r="B32" s="27">
        <v>63</v>
      </c>
      <c r="C32" s="27">
        <f t="shared" si="1"/>
        <v>63</v>
      </c>
      <c r="D32" s="28">
        <f t="shared" si="0"/>
        <v>100</v>
      </c>
      <c r="E32" s="29">
        <f>COUNTIFS([5]InfCualitativo!$B$1:$B$6973,"VERDADERO",[5]InfCualitativo!$E$1:$E$6973,"Pontezuela",[5]InfCualitativo!$H$1:$H$6973,"consulta_externa")</f>
        <v>32</v>
      </c>
      <c r="F32" s="29">
        <f>COUNTIFS([5]InfCualitativo!$B$1:$B$6973,"FALSO",[5]InfCualitativo!$E$1:$E$6973,"Pontezuela",[5]InfCualitativo!$H$1:$H$6973,"consulta_externa")</f>
        <v>1</v>
      </c>
      <c r="G32" s="30">
        <f t="shared" si="2"/>
        <v>0.96969696969696972</v>
      </c>
      <c r="H32" s="30">
        <f t="shared" si="3"/>
        <v>3.0303030303030304E-2</v>
      </c>
      <c r="I32" s="27">
        <f>COUNTIFS([5]InfCualitativo!$B$1:$B$6973,"VERDADERO",[5]InfCualitativo!$E$1:$E$6973,"Pontezuela",[5]InfCualitativo!$H$1:$H$6973,"salud_oral")</f>
        <v>30</v>
      </c>
      <c r="J32" s="27">
        <f>COUNTIFS([5]InfCualitativo!$B$1:$B$6973,"FALSO",[5]InfCualitativo!$E$1:$E$6973,"Pontezuela",[5]InfCualitativo!$H$1:$H$6973,"salud_oral")</f>
        <v>0</v>
      </c>
      <c r="K32" s="30">
        <f t="shared" si="4"/>
        <v>1</v>
      </c>
      <c r="L32" s="30">
        <f t="shared" si="5"/>
        <v>0</v>
      </c>
      <c r="M32" s="27">
        <f>COUNTIFS([5]InfCualitativo!$B$1:$B$6973,"VERDADERO",[5]InfCualitativo!$E$1:$E$6973,"Pontezuela",[5]InfCualitativo!$H$1:$H$6973,"laboratorio")</f>
        <v>0</v>
      </c>
      <c r="N32" s="27">
        <f>COUNTIFS([5]InfCualitativo!$B$1:$B$6973,"FALSO",[5]InfCualitativo!$E$1:$E$6973,"Pontezuela",[5]InfCualitativo!$H$1:$H$6973,"laboratorio")</f>
        <v>0</v>
      </c>
      <c r="O32" s="30">
        <f t="shared" si="6"/>
        <v>0</v>
      </c>
      <c r="P32" s="31">
        <f t="shared" si="7"/>
        <v>0</v>
      </c>
      <c r="Q32" s="27">
        <f>COUNTIFS([5]InfCualitativo!$B$1:$B$6973,"VERDADERO",[5]InfCualitativo!$E$1:$E$6973,"Pontezuela",[5]InfCualitativo!$H$1:$H$6973,"electros")</f>
        <v>0</v>
      </c>
      <c r="R32" s="27">
        <f>COUNTIFS([5]InfCualitativo!$B$1:$B$6973,"FALSO",[5]InfCualitativo!$E$1:$E$6973,"Pontezuela",[5]InfCualitativo!$H$1:$H$6973,"electros")</f>
        <v>0</v>
      </c>
      <c r="S32" s="30">
        <f t="shared" si="8"/>
        <v>0</v>
      </c>
      <c r="T32" s="30">
        <f t="shared" si="9"/>
        <v>0</v>
      </c>
      <c r="U32" s="27">
        <f>COUNTIFS([5]InfCualitativo!$B$1:$B$6973,"VERDADERO",[5]InfCualitativo!$E$1:$E$6973,"Pontezuela",[5]InfCualitativo!$H$1:$H$6973,"rx")</f>
        <v>0</v>
      </c>
      <c r="V32" s="27">
        <f>COUNTIFS([5]InfCualitativo!$B$1:$B$6973,"FALSO",[5]InfCualitativo!$E$1:$E$6973,"Pontezuela",[5]InfCualitativo!$H$1:$H$6973,"rx")</f>
        <v>0</v>
      </c>
      <c r="W32" s="30">
        <f t="shared" si="10"/>
        <v>0</v>
      </c>
      <c r="X32" s="30">
        <f t="shared" si="11"/>
        <v>0</v>
      </c>
      <c r="Y32" s="27">
        <f>COUNTIFS([5]InfCualitativo!$B$1:$B$6973,"VERDADERO",[5]InfCualitativo!$E$1:$E$6973,"Pontezuela",[5]InfCualitativo!$H$1:$H$6973,"ecografias")</f>
        <v>0</v>
      </c>
      <c r="Z32" s="27">
        <f>COUNTIFS([5]InfCualitativo!$B$1:$B$6973,"FALSO",[5]InfCualitativo!$E$1:$E$6973,"Pontezuela",[5]InfCualitativo!$H$1:$H$6973,"ecografias")</f>
        <v>0</v>
      </c>
      <c r="AA32" s="30">
        <f t="shared" si="12"/>
        <v>0</v>
      </c>
      <c r="AB32" s="30">
        <f t="shared" si="13"/>
        <v>0</v>
      </c>
      <c r="AC32" s="27">
        <f>COUNTIFS([5]InfCualitativo!$B$1:$B$6973,"VERDADERO",[5]InfCualitativo!$E$1:$E$6973,"Pontezuela",[5]InfCualitativo!$H$1:$H$6973,"urgencia")</f>
        <v>0</v>
      </c>
      <c r="AD32" s="27">
        <f>COUNTIFS([5]InfCualitativo!$B$1:$B$6973,"FALSO",[5]InfCualitativo!$E$1:$E$6973,"Pontezuela",[5]InfCualitativo!$H$1:$H$6973,"urgencia")</f>
        <v>0</v>
      </c>
      <c r="AE32" s="30">
        <f t="shared" si="14"/>
        <v>0</v>
      </c>
      <c r="AF32" s="30">
        <f t="shared" si="15"/>
        <v>0</v>
      </c>
      <c r="AG32" s="27">
        <f>COUNTIFS([5]InfCualitativo!$B$1:$B$6973,"VERDADERO",[5]InfCualitativo!$E$1:$E$6973,"Pontezuela",[5]InfCualitativo!$H$1:$H$6973,"pediatria")</f>
        <v>0</v>
      </c>
      <c r="AH32" s="27">
        <f>COUNTIFS([5]InfCualitativo!$B$1:$B$6973,"FALSO",[5]InfCualitativo!$E$1:$E$6973,"Pontezuela",[5]InfCualitativo!$H$1:$H$6973,"pediatria")</f>
        <v>0</v>
      </c>
      <c r="AI32" s="30">
        <f t="shared" si="16"/>
        <v>0</v>
      </c>
      <c r="AJ32" s="30">
        <f t="shared" si="17"/>
        <v>0</v>
      </c>
      <c r="AK32" s="27">
        <f>COUNTIFS([5]InfCualitativo!$B$1:$B$6973,"VERDADERO",[5]InfCualitativo!$E$1:$E$6973,"Pontezuela",[5]InfCualitativo!$H$1:$H$6973,"medicina_interna")</f>
        <v>0</v>
      </c>
      <c r="AL32" s="27">
        <f>COUNTIFS([5]InfCualitativo!$B$1:$B$6973,"FALSO",[5]InfCualitativo!$E$1:$E$6973,"Pontezuela",[5]InfCualitativo!$H$1:$H$6973,"medicina_interna")</f>
        <v>0</v>
      </c>
      <c r="AM32" s="30">
        <f t="shared" si="18"/>
        <v>0</v>
      </c>
      <c r="AN32" s="30">
        <f t="shared" si="19"/>
        <v>0</v>
      </c>
      <c r="AO32" s="27">
        <f>COUNTIFS([5]InfCualitativo!$B$1:$B$6973,"VERDADERO",[5]InfCualitativo!$E$1:$E$6973,"Pontezuela",[5]InfCualitativo!$H$1:$H$6973,"ginecologia")</f>
        <v>0</v>
      </c>
      <c r="AP32" s="27">
        <f>COUNTIFS([5]InfCualitativo!$B$1:$B$6973,"FALSO",[5]InfCualitativo!$E$1:$E$6973,"Pontezuela",[5]InfCualitativo!$H$1:$H$6973,"ginecologia")</f>
        <v>0</v>
      </c>
      <c r="AQ32" s="30">
        <f t="shared" si="20"/>
        <v>0</v>
      </c>
      <c r="AR32" s="30">
        <f t="shared" si="21"/>
        <v>0</v>
      </c>
      <c r="AS32" s="27">
        <f t="shared" si="22"/>
        <v>62</v>
      </c>
      <c r="AT32" s="27">
        <f t="shared" si="22"/>
        <v>1</v>
      </c>
      <c r="AU32" s="32">
        <f t="shared" si="23"/>
        <v>0.98412698412698407</v>
      </c>
      <c r="AV32" s="32">
        <f t="shared" si="24"/>
        <v>1.5873015873015872E-2</v>
      </c>
    </row>
    <row r="33" spans="1:48" ht="18.75" x14ac:dyDescent="0.3">
      <c r="A33" s="26" t="s">
        <v>53</v>
      </c>
      <c r="B33" s="27">
        <v>237</v>
      </c>
      <c r="C33" s="27">
        <f t="shared" si="1"/>
        <v>237</v>
      </c>
      <c r="D33" s="28">
        <f t="shared" si="0"/>
        <v>100</v>
      </c>
      <c r="E33" s="29">
        <f>COUNTIFS([5]InfCualitativo!$B$1:$B$6973,"VERDADERO",[5]InfCualitativo!$E$1:$E$6973,"Hospital Pozon",[5]InfCualitativo!$H$1:$H$6973,"consulta_externa")</f>
        <v>32</v>
      </c>
      <c r="F33" s="29">
        <f>COUNTIFS([5]InfCualitativo!$B$1:$B$6973,"FALSO",[5]InfCualitativo!$E$1:$E$6973,"Hospital Pozon",[5]InfCualitativo!$H$1:$H$6973,"consulta_externa")</f>
        <v>7</v>
      </c>
      <c r="G33" s="30">
        <f t="shared" si="2"/>
        <v>0.82051282051282048</v>
      </c>
      <c r="H33" s="30">
        <f t="shared" si="3"/>
        <v>0.17948717948717949</v>
      </c>
      <c r="I33" s="27">
        <f>COUNTIFS([5]InfCualitativo!$B$1:$B$6973,"VERDADERO",[5]InfCualitativo!$E$1:$E$6973,"Hospital Pozon",[5]InfCualitativo!$H$1:$H$6973,"salud_oral")</f>
        <v>34</v>
      </c>
      <c r="J33" s="27">
        <f>COUNTIFS([5]InfCualitativo!$B$1:$B$6973,"FALSO",[5]InfCualitativo!$E$1:$E$6973,"Hospital Pozon",[5]InfCualitativo!$H$1:$H$6973,"salud_oral")</f>
        <v>4</v>
      </c>
      <c r="K33" s="30">
        <f t="shared" si="4"/>
        <v>0.89473684210526316</v>
      </c>
      <c r="L33" s="30">
        <f t="shared" si="5"/>
        <v>0.10526315789473684</v>
      </c>
      <c r="M33" s="27">
        <f>COUNTIFS([5]InfCualitativo!$B$1:$B$6973,"VERDADERO",[5]InfCualitativo!$E$1:$E$6973,"Hospital Pozon",[5]InfCualitativo!$H$1:$H$6973,"laboratorio")</f>
        <v>32</v>
      </c>
      <c r="N33" s="27">
        <f>COUNTIFS([5]InfCualitativo!$B$1:$B$6973,"FALSO",[5]InfCualitativo!$E$1:$E$6973,"Hospital Pozon",[5]InfCualitativo!$H$1:$H$6973,"laboratorio")</f>
        <v>4</v>
      </c>
      <c r="O33" s="30">
        <f t="shared" si="6"/>
        <v>0.88888888888888884</v>
      </c>
      <c r="P33" s="31">
        <f t="shared" si="7"/>
        <v>0.1111111111111111</v>
      </c>
      <c r="Q33" s="27">
        <f>COUNTIFS([5]InfCualitativo!$B$1:$B$6973,"VERDADERO",[5]InfCualitativo!$E$1:$E$6973,"Hospital Pozon",[5]InfCualitativo!$H$1:$H$6973,"electros")</f>
        <v>0</v>
      </c>
      <c r="R33" s="27">
        <f>COUNTIFS([5]InfCualitativo!$B$1:$B$6973,"FALSO",[5]InfCualitativo!$E$1:$E$6973,"Hospital Pozon",[5]InfCualitativo!$H$1:$H$6973,"electros")</f>
        <v>0</v>
      </c>
      <c r="S33" s="30">
        <f t="shared" si="8"/>
        <v>0</v>
      </c>
      <c r="T33" s="30">
        <f t="shared" si="9"/>
        <v>0</v>
      </c>
      <c r="U33" s="27">
        <f>COUNTIFS([5]InfCualitativo!$B$1:$B$6973,"VERDADERO",[5]InfCualitativo!$E$1:$E$6973,"Hospital Pozon",[5]InfCualitativo!$H$1:$H$6973,"rx")</f>
        <v>31</v>
      </c>
      <c r="V33" s="27">
        <f>COUNTIFS([5]InfCualitativo!$B$1:$B$6973,"FALSO",[5]InfCualitativo!$E$1:$E$6973,"Hospital Pozon",[5]InfCualitativo!$H$1:$H$6973,"rx")</f>
        <v>4</v>
      </c>
      <c r="W33" s="30">
        <f t="shared" si="10"/>
        <v>0.88571428571428568</v>
      </c>
      <c r="X33" s="30">
        <f t="shared" si="11"/>
        <v>0.11428571428571428</v>
      </c>
      <c r="Y33" s="27">
        <f>COUNTIFS([5]InfCualitativo!$B$1:$B$6973,"VERDADERO",[5]InfCualitativo!$E$1:$E$6973,"Hospital Pozon",[5]InfCualitativo!$H$1:$H$6973,"ecografias")</f>
        <v>2</v>
      </c>
      <c r="Z33" s="27">
        <f>COUNTIFS([5]InfCualitativo!$B$1:$B$6973,"FALSO",[5]InfCualitativo!$E$1:$E$6973,"Hospital Pozon",[5]InfCualitativo!$H$1:$H$6973,"ecografias")</f>
        <v>0</v>
      </c>
      <c r="AA33" s="30">
        <f t="shared" si="12"/>
        <v>1</v>
      </c>
      <c r="AB33" s="30">
        <f t="shared" si="13"/>
        <v>0</v>
      </c>
      <c r="AC33" s="27">
        <f>COUNTIFS([5]InfCualitativo!$B$1:$B$6973,"VERDADERO",[5]InfCualitativo!$E$1:$E$6973,"Hospital Pozon",[5]InfCualitativo!$H$1:$H$6973,"urgencia")</f>
        <v>14</v>
      </c>
      <c r="AD33" s="27">
        <f>COUNTIFS([5]InfCualitativo!$B$1:$B$6973,"FALSO",[5]InfCualitativo!$E$1:$E$6973,"Hospital Pozon",[5]InfCualitativo!$H$1:$H$6973,"urgencia")</f>
        <v>19</v>
      </c>
      <c r="AE33" s="30">
        <f t="shared" si="14"/>
        <v>0.42424242424242425</v>
      </c>
      <c r="AF33" s="30">
        <f t="shared" si="15"/>
        <v>0.5757575757575758</v>
      </c>
      <c r="AG33" s="27">
        <f>COUNTIFS([5]InfCualitativo!$B$1:$B$6973,"VERDADERO",[5]InfCualitativo!$E$1:$E$6973,"Hospital Pozon",[5]InfCualitativo!$H$1:$H$6973,"pediatria")</f>
        <v>20</v>
      </c>
      <c r="AH33" s="27">
        <f>COUNTIFS([5]InfCualitativo!$B$1:$B$6973,"FALSO",[5]InfCualitativo!$E$1:$E$6973,"Hospital Pozon",[5]InfCualitativo!$H$1:$H$6973,"pediatria")</f>
        <v>1</v>
      </c>
      <c r="AI33" s="30">
        <f t="shared" si="16"/>
        <v>0.95238095238095233</v>
      </c>
      <c r="AJ33" s="30">
        <f t="shared" si="17"/>
        <v>4.7619047619047616E-2</v>
      </c>
      <c r="AK33" s="27">
        <f>COUNTIFS([5]InfCualitativo!$B$1:$B$6973,"VERDADERO",[5]InfCualitativo!$E$1:$E$6973,"Hospital Pozon",[5]InfCualitativo!$H$1:$H$6973,"medicina_interna")</f>
        <v>9</v>
      </c>
      <c r="AL33" s="27">
        <f>COUNTIFS([5]InfCualitativo!$B$1:$B$6973,"FALSO",[5]InfCualitativo!$E$1:$E$6973,"Hospital Pozon",[5]InfCualitativo!$H$1:$H$6973,"medicina_interna")</f>
        <v>0</v>
      </c>
      <c r="AM33" s="30">
        <f t="shared" si="18"/>
        <v>1</v>
      </c>
      <c r="AN33" s="30">
        <f t="shared" si="19"/>
        <v>0</v>
      </c>
      <c r="AO33" s="27">
        <f>COUNTIFS([5]InfCualitativo!$B$1:$B$6973,"VERDADERO",[5]InfCualitativo!$E$1:$E$6973,"Hospital Pozon",[5]InfCualitativo!$H$1:$H$6973,"ginecologia")</f>
        <v>23</v>
      </c>
      <c r="AP33" s="27">
        <f>COUNTIFS([5]InfCualitativo!$B$1:$B$6973,"FALSO",[5]InfCualitativo!$E$1:$E$6973,"Hospital Pozon",[5]InfCualitativo!$H$1:$H$6973,"ginecologia")</f>
        <v>1</v>
      </c>
      <c r="AQ33" s="30">
        <f t="shared" si="20"/>
        <v>0.95833333333333337</v>
      </c>
      <c r="AR33" s="30">
        <f t="shared" si="21"/>
        <v>4.1666666666666664E-2</v>
      </c>
      <c r="AS33" s="27">
        <f t="shared" ref="AS33" si="25">SUM(E33+I33+M33+Q33+U33+Y33+AC33+AG33+AK33+AO33)</f>
        <v>197</v>
      </c>
      <c r="AT33" s="27">
        <f t="shared" si="22"/>
        <v>40</v>
      </c>
      <c r="AU33" s="32">
        <f t="shared" si="23"/>
        <v>0.83122362869198307</v>
      </c>
      <c r="AV33" s="32">
        <f t="shared" si="24"/>
        <v>0.16877637130801687</v>
      </c>
    </row>
    <row r="34" spans="1:48" ht="18.75" x14ac:dyDescent="0.3">
      <c r="A34" s="26" t="s">
        <v>54</v>
      </c>
      <c r="B34" s="27">
        <v>105</v>
      </c>
      <c r="C34" s="27">
        <f t="shared" si="1"/>
        <v>105</v>
      </c>
      <c r="D34" s="28">
        <f t="shared" si="0"/>
        <v>100</v>
      </c>
      <c r="E34" s="29">
        <f>COUNTIFS([5]InfCualitativo!$B$1:$B$6973,"VERDADERO",[5]InfCualitativo!$E$1:$E$6973,"Pozon",[5]InfCualitativo!$H$1:$H$6973,"consulta_externa")</f>
        <v>30</v>
      </c>
      <c r="F34" s="29">
        <f>COUNTIFS([5]InfCualitativo!$B$1:$B$6973,"FALSO",[5]InfCualitativo!$E$1:$E$6973,"Pozon",[5]InfCualitativo!$H$1:$H$6973,"consulta_externa")</f>
        <v>6</v>
      </c>
      <c r="G34" s="30">
        <f t="shared" si="2"/>
        <v>0.83333333333333337</v>
      </c>
      <c r="H34" s="30">
        <f t="shared" si="3"/>
        <v>0.16666666666666666</v>
      </c>
      <c r="I34" s="27">
        <f>COUNTIFS([5]InfCualitativo!$B$1:$B$6973,"VERDADERO",[5]InfCualitativo!$E$1:$E$6973,"Pozon",[5]InfCualitativo!$H$1:$H$6973,"salud_oral")</f>
        <v>32</v>
      </c>
      <c r="J34" s="27">
        <f>COUNTIFS([5]InfCualitativo!$B$1:$B$6973,"FALSO",[5]InfCualitativo!$E$1:$E$6973,"Pozon",[5]InfCualitativo!$H$1:$H$6973,"salud_oral")</f>
        <v>1</v>
      </c>
      <c r="K34" s="30">
        <f t="shared" si="4"/>
        <v>0.96969696969696972</v>
      </c>
      <c r="L34" s="30">
        <f t="shared" si="5"/>
        <v>3.0303030303030304E-2</v>
      </c>
      <c r="M34" s="27">
        <f>COUNTIFS([5]InfCualitativo!$B$1:$B$6973,"VERDADERO",[5]InfCualitativo!$E$1:$E$6973,"Pozon",[5]InfCualitativo!$H$1:$H$6973,"laboratorio")</f>
        <v>31</v>
      </c>
      <c r="N34" s="27">
        <f>COUNTIFS([5]InfCualitativo!$B$1:$B$6973,"FALSO",[5]InfCualitativo!$E$1:$E$6973,"Pozon",[5]InfCualitativo!$H$1:$H$6973,"laboratorio")</f>
        <v>5</v>
      </c>
      <c r="O34" s="30">
        <f t="shared" si="6"/>
        <v>0.86111111111111116</v>
      </c>
      <c r="P34" s="31">
        <f t="shared" si="7"/>
        <v>0.1388888888888889</v>
      </c>
      <c r="Q34" s="27">
        <f>COUNTIFS([5]InfCualitativo!$B$1:$B$6973,"VERDADERO",[5]InfCualitativo!$E$1:$E$6973,"Pozon",[5]InfCualitativo!$H$1:$H$6973,"electros")</f>
        <v>0</v>
      </c>
      <c r="R34" s="27">
        <f>COUNTIFS([5]InfCualitativo!$B$1:$B$6973,"FALSO",[5]InfCualitativo!$E$1:$E$6973,"Pozon",[5]InfCualitativo!$H$1:$H$6973,"electros")</f>
        <v>0</v>
      </c>
      <c r="S34" s="30">
        <f t="shared" si="8"/>
        <v>0</v>
      </c>
      <c r="T34" s="30">
        <f t="shared" si="9"/>
        <v>0</v>
      </c>
      <c r="U34" s="27">
        <f>COUNTIFS([5]InfCualitativo!$B$1:$B$6973,"VERDADERO",[5]InfCualitativo!$E$1:$E$6973,"Pozon",[5]InfCualitativo!$H$1:$H$6973,"rx")</f>
        <v>0</v>
      </c>
      <c r="V34" s="27">
        <f>COUNTIFS([5]InfCualitativo!$B$1:$B$6973,"FALSO",[5]InfCualitativo!$E$1:$E$6973,"Pozon",[5]InfCualitativo!$H$1:$H$6973,"rx")</f>
        <v>0</v>
      </c>
      <c r="W34" s="30">
        <f t="shared" si="10"/>
        <v>0</v>
      </c>
      <c r="X34" s="30">
        <f t="shared" si="11"/>
        <v>0</v>
      </c>
      <c r="Y34" s="27">
        <f>COUNTIFS([5]InfCualitativo!$B$1:$B$6973,"VERDADERO",[5]InfCualitativo!$E$1:$E$6973,"Pozon",[5]InfCualitativo!$H$1:$H$6973,"ecografias")</f>
        <v>0</v>
      </c>
      <c r="Z34" s="27">
        <f>COUNTIFS([5]InfCualitativo!$B$1:$B$6973,"FALSO",[5]InfCualitativo!$E$1:$E$6973,"Pozon",[5]InfCualitativo!$H$1:$H$6973,"ecografias")</f>
        <v>0</v>
      </c>
      <c r="AA34" s="30">
        <f t="shared" si="12"/>
        <v>0</v>
      </c>
      <c r="AB34" s="30">
        <f t="shared" si="13"/>
        <v>0</v>
      </c>
      <c r="AC34" s="27">
        <f>COUNTIFS([5]InfCualitativo!$B$1:$B$6973,"VERDADERO",[5]InfCualitativo!$E$1:$E$6973,"Pozon",[5]InfCualitativo!$H$1:$H$6973,"urgencia")</f>
        <v>0</v>
      </c>
      <c r="AD34" s="27">
        <f>COUNTIFS([5]InfCualitativo!$B$1:$B$6973,"FALSO",[5]InfCualitativo!$E$1:$E$6973,"Pozon",[5]InfCualitativo!$H$1:$H$6973,"urgencia")</f>
        <v>0</v>
      </c>
      <c r="AE34" s="30">
        <f t="shared" si="14"/>
        <v>0</v>
      </c>
      <c r="AF34" s="30">
        <f t="shared" si="15"/>
        <v>0</v>
      </c>
      <c r="AG34" s="27">
        <f>COUNTIFS([5]InfCualitativo!$B$1:$B$6973,"VERDADERO",[5]InfCualitativo!$E$1:$E$6973,"Pozon",[5]InfCualitativo!$H$1:$H$6973,"pediatria")</f>
        <v>0</v>
      </c>
      <c r="AH34" s="27">
        <f>COUNTIFS([5]InfCualitativo!$B$1:$B$6973,"FALSO",[5]InfCualitativo!$E$1:$E$6973,"Pozon",[5]InfCualitativo!$H$1:$H$6973,"pediatria")</f>
        <v>0</v>
      </c>
      <c r="AI34" s="30">
        <f t="shared" si="16"/>
        <v>0</v>
      </c>
      <c r="AJ34" s="30">
        <f t="shared" si="17"/>
        <v>0</v>
      </c>
      <c r="AK34" s="27">
        <f>COUNTIFS([5]InfCualitativo!$B$1:$B$6973,"VERDADERO",[5]InfCualitativo!$E$1:$E$6973,"Pozon",[5]InfCualitativo!$H$1:$H$6973,"medicina_interna")</f>
        <v>0</v>
      </c>
      <c r="AL34" s="27">
        <f>COUNTIFS([5]InfCualitativo!$B$1:$B$6973,"FALSO",[5]InfCualitativo!$E$1:$E$6973,"Pozon",[5]InfCualitativo!$H$1:$H$6973,"medicina_interna")</f>
        <v>0</v>
      </c>
      <c r="AM34" s="30">
        <f t="shared" si="18"/>
        <v>0</v>
      </c>
      <c r="AN34" s="30">
        <f t="shared" si="19"/>
        <v>0</v>
      </c>
      <c r="AO34" s="27">
        <f>COUNTIFS([5]InfCualitativo!$B$1:$B$6973,"VERDADERO",[5]InfCualitativo!$E$1:$E$6973,"Pozon",[5]InfCualitativo!$H$1:$H$6973,"ginecologia")</f>
        <v>0</v>
      </c>
      <c r="AP34" s="27">
        <f>COUNTIFS([5]InfCualitativo!$B$1:$B$6973,"FALSO",[5]InfCualitativo!$E$1:$E$6973,"Pozon",[5]InfCualitativo!$H$1:$H$6973,"ginecologia")</f>
        <v>0</v>
      </c>
      <c r="AQ34" s="30">
        <f t="shared" si="20"/>
        <v>0</v>
      </c>
      <c r="AR34" s="30">
        <f t="shared" si="21"/>
        <v>0</v>
      </c>
      <c r="AS34" s="27">
        <f t="shared" si="22"/>
        <v>93</v>
      </c>
      <c r="AT34" s="27">
        <f t="shared" si="22"/>
        <v>12</v>
      </c>
      <c r="AU34" s="32">
        <f t="shared" si="23"/>
        <v>0.88571428571428568</v>
      </c>
      <c r="AV34" s="32">
        <f t="shared" si="24"/>
        <v>0.11428571428571428</v>
      </c>
    </row>
    <row r="35" spans="1:48" ht="18.75" x14ac:dyDescent="0.3">
      <c r="A35" s="26" t="s">
        <v>55</v>
      </c>
      <c r="B35" s="27">
        <v>63</v>
      </c>
      <c r="C35" s="27">
        <f t="shared" si="1"/>
        <v>63</v>
      </c>
      <c r="D35" s="28">
        <f t="shared" si="0"/>
        <v>100</v>
      </c>
      <c r="E35" s="29">
        <f>COUNTIFS([5]InfCualitativo!$B$1:$B$6973,"VERDADERO",[5]InfCualitativo!$E$1:$E$6973,"Puerto Rey",[5]InfCualitativo!$H$1:$H$6973,"consulta_externa")</f>
        <v>29</v>
      </c>
      <c r="F35" s="29">
        <f>COUNTIFS([5]InfCualitativo!$B$1:$B$6973,"FALSO",[5]InfCualitativo!$E$1:$E$6973,"Puerto Rey",[5]InfCualitativo!$H$1:$H$6973,"consulta_externa")</f>
        <v>2</v>
      </c>
      <c r="G35" s="30">
        <f t="shared" si="2"/>
        <v>0.93548387096774188</v>
      </c>
      <c r="H35" s="30">
        <f t="shared" si="3"/>
        <v>6.4516129032258063E-2</v>
      </c>
      <c r="I35" s="27">
        <f>COUNTIFS([5]InfCualitativo!$B$1:$B$6973,"VERDADERO",[5]InfCualitativo!$E$1:$E$6973,"Puerto Rey",[5]InfCualitativo!$H$1:$H$6973,"salud_oral")</f>
        <v>25</v>
      </c>
      <c r="J35" s="27">
        <f>COUNTIFS([5]InfCualitativo!$B$1:$B$6973,"FALSO",[5]InfCualitativo!$E$1:$E$6973,"Puerto Rey",[5]InfCualitativo!$H$1:$H$6973,"salud_oral")</f>
        <v>2</v>
      </c>
      <c r="K35" s="30">
        <f t="shared" si="4"/>
        <v>0.92592592592592593</v>
      </c>
      <c r="L35" s="30">
        <f t="shared" si="5"/>
        <v>7.407407407407407E-2</v>
      </c>
      <c r="M35" s="27">
        <f>COUNTIFS([5]InfCualitativo!$B$1:$B$6973,"VERDADERO",[5]InfCualitativo!$E$1:$E$6973,"Puerto Rey",[5]InfCualitativo!$H$1:$H$6973,"laboratorio")</f>
        <v>5</v>
      </c>
      <c r="N35" s="27">
        <f>COUNTIFS([5]InfCualitativo!$B$1:$B$6973,"FALSO",[5]InfCualitativo!$E$1:$E$6973,"Puerto Rey",[5]InfCualitativo!$H$1:$H$6973,"laboratorio")</f>
        <v>0</v>
      </c>
      <c r="O35" s="30">
        <f t="shared" si="6"/>
        <v>1</v>
      </c>
      <c r="P35" s="31">
        <f t="shared" si="7"/>
        <v>0</v>
      </c>
      <c r="Q35" s="27">
        <f>COUNTIFS([5]InfCualitativo!$B$1:$B$6973,"VERDADERO",[5]InfCualitativo!$E$1:$E$6973,"Puerto Rey",[5]InfCualitativo!$H$1:$H$6973,"electros")</f>
        <v>0</v>
      </c>
      <c r="R35" s="27">
        <f>COUNTIFS([5]InfCualitativo!$B$1:$B$6973,"FALSO",[5]InfCualitativo!$E$1:$E$6973,"Puerto Rey",[5]InfCualitativo!$H$1:$H$6973,"electros")</f>
        <v>0</v>
      </c>
      <c r="S35" s="30">
        <f t="shared" si="8"/>
        <v>0</v>
      </c>
      <c r="T35" s="30">
        <f t="shared" si="9"/>
        <v>0</v>
      </c>
      <c r="U35" s="27">
        <f>COUNTIFS([5]InfCualitativo!$B$1:$B$6973,"VERDADERO",[5]InfCualitativo!$E$1:$E$6973,"Puerto Rey",[5]InfCualitativo!$H$1:$H$6973,"rx")</f>
        <v>0</v>
      </c>
      <c r="V35" s="27">
        <f>COUNTIFS([5]InfCualitativo!$B$1:$B$6973,"FALSO",[5]InfCualitativo!$E$1:$E$6973,"Puerto Rey",[5]InfCualitativo!$H$1:$H$6973,"rx")</f>
        <v>0</v>
      </c>
      <c r="W35" s="30">
        <f t="shared" si="10"/>
        <v>0</v>
      </c>
      <c r="X35" s="30">
        <f t="shared" si="11"/>
        <v>0</v>
      </c>
      <c r="Y35" s="27">
        <f>COUNTIFS([5]InfCualitativo!$B$1:$B$6973,"VERDADERO",[5]InfCualitativo!$E$1:$E$6973,"Puerto Rey",[5]InfCualitativo!$H$1:$H$6973,"ecografias")</f>
        <v>0</v>
      </c>
      <c r="Z35" s="27">
        <f>COUNTIFS([5]InfCualitativo!$B$1:$B$6973,"FALSO",[5]InfCualitativo!$E$1:$E$6973,"Puerto Rey",[5]InfCualitativo!$H$1:$H$6973,"ecografias")</f>
        <v>0</v>
      </c>
      <c r="AA35" s="30">
        <f t="shared" si="12"/>
        <v>0</v>
      </c>
      <c r="AB35" s="30">
        <f t="shared" si="13"/>
        <v>0</v>
      </c>
      <c r="AC35" s="27">
        <f>COUNTIFS([5]InfCualitativo!$B$1:$B$6973,"VERDADERO",[5]InfCualitativo!$E$1:$E$6973,"Puerto Rey",[5]InfCualitativo!$H$1:$H$6973,"urgencia")</f>
        <v>0</v>
      </c>
      <c r="AD35" s="27">
        <f>COUNTIFS([5]InfCualitativo!$B$1:$B$6973,"FALSO",[5]InfCualitativo!$E$1:$E$6973,"Puerto Rey",[5]InfCualitativo!$H$1:$H$6973,"urgencia")</f>
        <v>0</v>
      </c>
      <c r="AE35" s="30">
        <f t="shared" si="14"/>
        <v>0</v>
      </c>
      <c r="AF35" s="30">
        <f t="shared" si="15"/>
        <v>0</v>
      </c>
      <c r="AG35" s="27">
        <f>COUNTIFS([5]InfCualitativo!$B$1:$B$6973,"VERDADERO",[5]InfCualitativo!$E$1:$E$6973,"Puerto Rey",[5]InfCualitativo!$H$1:$H$6973,"pediatria")</f>
        <v>0</v>
      </c>
      <c r="AH35" s="27">
        <f>COUNTIFS([5]InfCualitativo!$B$1:$B$6973,"FALSO",[5]InfCualitativo!$E$1:$E$6973,"Puerto Rey",[5]InfCualitativo!$H$1:$H$6973,"pediatria")</f>
        <v>0</v>
      </c>
      <c r="AI35" s="30">
        <f t="shared" si="16"/>
        <v>0</v>
      </c>
      <c r="AJ35" s="30">
        <f t="shared" si="17"/>
        <v>0</v>
      </c>
      <c r="AK35" s="27">
        <f>COUNTIFS([5]InfCualitativo!$B$1:$B$6973,"VERDADERO",[5]InfCualitativo!$E$1:$E$6973,"Puerto Rey",[5]InfCualitativo!$H$1:$H$6973,"medicina_interna")</f>
        <v>0</v>
      </c>
      <c r="AL35" s="27">
        <f>COUNTIFS([5]InfCualitativo!$B$1:$B$6973,"FALSO",[5]InfCualitativo!$E$1:$E$6973,"Puerto Rey",[5]InfCualitativo!$H$1:$H$6973,"medicina_interna")</f>
        <v>0</v>
      </c>
      <c r="AM35" s="30">
        <f t="shared" si="18"/>
        <v>0</v>
      </c>
      <c r="AN35" s="30">
        <f t="shared" si="19"/>
        <v>0</v>
      </c>
      <c r="AO35" s="27">
        <f>COUNTIFS([5]InfCualitativo!$B$1:$B$6973,"VERDADERO",[5]InfCualitativo!$E$1:$E$6973,"Puerto Rey",[5]InfCualitativo!$H$1:$H$6973,"ginecologia")</f>
        <v>0</v>
      </c>
      <c r="AP35" s="27">
        <f>COUNTIFS([5]InfCualitativo!$B$1:$B$6973,"FALSO",[5]InfCualitativo!$E$1:$E$6973,"Puerto Rey",[5]InfCualitativo!$H$1:$H$6973,"ginecologia")</f>
        <v>0</v>
      </c>
      <c r="AQ35" s="30">
        <f t="shared" si="20"/>
        <v>0</v>
      </c>
      <c r="AR35" s="30">
        <f t="shared" si="21"/>
        <v>0</v>
      </c>
      <c r="AS35" s="27">
        <f t="shared" si="22"/>
        <v>59</v>
      </c>
      <c r="AT35" s="27">
        <f t="shared" si="22"/>
        <v>4</v>
      </c>
      <c r="AU35" s="32">
        <f t="shared" si="23"/>
        <v>0.93650793650793651</v>
      </c>
      <c r="AV35" s="32">
        <f t="shared" si="24"/>
        <v>6.3492063492063489E-2</v>
      </c>
    </row>
    <row r="36" spans="1:48" ht="18.75" x14ac:dyDescent="0.3">
      <c r="A36" s="26" t="s">
        <v>56</v>
      </c>
      <c r="B36" s="27">
        <v>48</v>
      </c>
      <c r="C36" s="27">
        <f t="shared" si="1"/>
        <v>44</v>
      </c>
      <c r="D36" s="28">
        <f t="shared" si="0"/>
        <v>91.666666666666671</v>
      </c>
      <c r="E36" s="29">
        <f>COUNTIFS([5]InfCualitativo!$B$1:$B$6973,"VERDADERO",[5]InfCualitativo!$E$1:$E$6973,"Punta Arena",[5]InfCualitativo!$H$1:$H$6973,"consulta_externa")</f>
        <v>16</v>
      </c>
      <c r="F36" s="29">
        <f>COUNTIFS([5]InfCualitativo!$B$1:$B$6973,"FALSO",[5]InfCualitativo!$E$1:$E$6973,"Punta Arena",[5]InfCualitativo!$H$1:$H$6973,"consulta_externa")</f>
        <v>0</v>
      </c>
      <c r="G36" s="30">
        <f t="shared" si="2"/>
        <v>1</v>
      </c>
      <c r="H36" s="30">
        <f t="shared" si="3"/>
        <v>0</v>
      </c>
      <c r="I36" s="27">
        <f>COUNTIFS([5]InfCualitativo!$B$1:$B$6973,"VERDADERO",[5]InfCualitativo!$E$1:$E$6973,"Punta Arena",[5]InfCualitativo!$H$1:$H$6973,"salud_oral")</f>
        <v>13</v>
      </c>
      <c r="J36" s="27">
        <f>COUNTIFS([5]InfCualitativo!$B$1:$B$6973,"FALSO",[5]InfCualitativo!$E$1:$E$6973,"Punta Arena",[5]InfCualitativo!$H$1:$H$6973,"salud_oral")</f>
        <v>0</v>
      </c>
      <c r="K36" s="30">
        <f t="shared" si="4"/>
        <v>1</v>
      </c>
      <c r="L36" s="30">
        <f t="shared" si="5"/>
        <v>0</v>
      </c>
      <c r="M36" s="27">
        <f>COUNTIFS([5]InfCualitativo!$B$1:$B$6973,"VERDADERO",[5]InfCualitativo!$E$1:$E$6973,"Punta Arena",[5]InfCualitativo!$H$1:$H$6973,"laboratorio")</f>
        <v>15</v>
      </c>
      <c r="N36" s="27">
        <f>COUNTIFS([5]InfCualitativo!$B$1:$B$6973,"FALSO",[5]InfCualitativo!$E$1:$E$6973,"Punta Arena",[5]InfCualitativo!$H$1:$H$6973,"laboratorio")</f>
        <v>0</v>
      </c>
      <c r="O36" s="30">
        <f t="shared" si="6"/>
        <v>1</v>
      </c>
      <c r="P36" s="31">
        <f t="shared" si="7"/>
        <v>0</v>
      </c>
      <c r="Q36" s="27">
        <f>COUNTIFS([5]InfCualitativo!$B$1:$B$6973,"VERDADERO",[5]InfCualitativo!$E$1:$E$6973,"Punta Arena",[5]InfCualitativo!$H$1:$H$6973,"electros")</f>
        <v>0</v>
      </c>
      <c r="R36" s="27">
        <f>COUNTIFS([5]InfCualitativo!$B$1:$B$6973,"FALSO",[5]InfCualitativo!$E$1:$E$6973,"Punta Arena",[5]InfCualitativo!$H$1:$H$6973,"electros")</f>
        <v>0</v>
      </c>
      <c r="S36" s="30">
        <f t="shared" si="8"/>
        <v>0</v>
      </c>
      <c r="T36" s="30">
        <f t="shared" si="9"/>
        <v>0</v>
      </c>
      <c r="U36" s="27">
        <f>COUNTIFS([5]InfCualitativo!$B$1:$B$6973,"VERDADERO",[5]InfCualitativo!$E$1:$E$6973,"Punta Arena",[5]InfCualitativo!$H$1:$H$6973,"rx")</f>
        <v>0</v>
      </c>
      <c r="V36" s="27">
        <f>COUNTIFS([5]InfCualitativo!$B$1:$B$6973,"FALSO",[5]InfCualitativo!$E$1:$E$6973,"Punta Arena",[5]InfCualitativo!$H$1:$H$6973,"rx")</f>
        <v>0</v>
      </c>
      <c r="W36" s="30">
        <f t="shared" si="10"/>
        <v>0</v>
      </c>
      <c r="X36" s="30">
        <f t="shared" si="11"/>
        <v>0</v>
      </c>
      <c r="Y36" s="27">
        <f>COUNTIFS([5]InfCualitativo!$B$1:$B$6973,"VERDADERO",[5]InfCualitativo!$E$1:$E$6973,"Punta Arena",[5]InfCualitativo!$H$1:$H$6973,"ecografias")</f>
        <v>0</v>
      </c>
      <c r="Z36" s="27">
        <f>COUNTIFS([5]InfCualitativo!$B$1:$B$6973,"FALSO",[5]InfCualitativo!$E$1:$E$6973,"Punta Arena",[5]InfCualitativo!$H$1:$H$6973,"ecografias")</f>
        <v>0</v>
      </c>
      <c r="AA36" s="30">
        <f t="shared" si="12"/>
        <v>0</v>
      </c>
      <c r="AB36" s="30">
        <f t="shared" si="13"/>
        <v>0</v>
      </c>
      <c r="AC36" s="27">
        <f>COUNTIFS([5]InfCualitativo!$B$1:$B$6973,"VERDADERO",[5]InfCualitativo!$E$1:$E$6973,"Punta Arena",[5]InfCualitativo!$H$1:$H$6973,"urgencia")</f>
        <v>0</v>
      </c>
      <c r="AD36" s="27">
        <f>COUNTIFS([5]InfCualitativo!$B$1:$B$6973,"FALSO",[5]InfCualitativo!$E$1:$E$6973,"Punta Arena",[5]InfCualitativo!$H$1:$H$6973,"urgencia")</f>
        <v>0</v>
      </c>
      <c r="AE36" s="30">
        <f t="shared" si="14"/>
        <v>0</v>
      </c>
      <c r="AF36" s="30">
        <f t="shared" si="15"/>
        <v>0</v>
      </c>
      <c r="AG36" s="27">
        <f>COUNTIFS([5]InfCualitativo!$B$1:$B$6973,"VERDADERO",[5]InfCualitativo!$E$1:$E$6973,"Punta Arena",[5]InfCualitativo!$H$1:$H$6973,"pediatria")</f>
        <v>0</v>
      </c>
      <c r="AH36" s="27">
        <f>COUNTIFS([5]InfCualitativo!$B$1:$B$6973,"FALSO",[5]InfCualitativo!$E$1:$E$6973,"Punta Arena",[5]InfCualitativo!$H$1:$H$6973,"pediatria")</f>
        <v>0</v>
      </c>
      <c r="AI36" s="30">
        <f t="shared" si="16"/>
        <v>0</v>
      </c>
      <c r="AJ36" s="30">
        <f t="shared" si="17"/>
        <v>0</v>
      </c>
      <c r="AK36" s="27">
        <f>COUNTIFS([5]InfCualitativo!$B$1:$B$6973,"VERDADERO",[5]InfCualitativo!$E$1:$E$6973,"Punta Arena",[5]InfCualitativo!$H$1:$H$6973,"medicina_interna")</f>
        <v>0</v>
      </c>
      <c r="AL36" s="27">
        <f>COUNTIFS([5]InfCualitativo!$B$1:$B$6973,"FALSO",[5]InfCualitativo!$E$1:$E$6973,"Punta Arena",[5]InfCualitativo!$H$1:$H$6973,"medicina_interna")</f>
        <v>0</v>
      </c>
      <c r="AM36" s="30">
        <f t="shared" si="18"/>
        <v>0</v>
      </c>
      <c r="AN36" s="30">
        <f t="shared" si="19"/>
        <v>0</v>
      </c>
      <c r="AO36" s="27">
        <f>COUNTIFS([5]InfCualitativo!$B$1:$B$6973,"VERDADERO",[5]InfCualitativo!$E$1:$E$6973,"Punta Arena",[5]InfCualitativo!$H$1:$H$6973,"ginecologia")</f>
        <v>0</v>
      </c>
      <c r="AP36" s="27">
        <f>COUNTIFS([5]InfCualitativo!$B$1:$B$6973,"FALSO",[5]InfCualitativo!$E$1:$E$6973,"Punta Arena",[5]InfCualitativo!$H$1:$H$6973,"ginecologia")</f>
        <v>0</v>
      </c>
      <c r="AQ36" s="30">
        <f t="shared" si="20"/>
        <v>0</v>
      </c>
      <c r="AR36" s="30">
        <f t="shared" si="21"/>
        <v>0</v>
      </c>
      <c r="AS36" s="27">
        <f t="shared" si="22"/>
        <v>44</v>
      </c>
      <c r="AT36" s="27">
        <f t="shared" si="22"/>
        <v>0</v>
      </c>
      <c r="AU36" s="32">
        <f t="shared" si="23"/>
        <v>1</v>
      </c>
      <c r="AV36" s="32">
        <f t="shared" si="24"/>
        <v>0</v>
      </c>
    </row>
    <row r="37" spans="1:48" ht="18.75" x14ac:dyDescent="0.3">
      <c r="A37" s="26" t="s">
        <v>57</v>
      </c>
      <c r="B37" s="27">
        <v>81</v>
      </c>
      <c r="C37" s="27">
        <f t="shared" si="1"/>
        <v>72</v>
      </c>
      <c r="D37" s="28">
        <f t="shared" si="0"/>
        <v>88.888888888888886</v>
      </c>
      <c r="E37" s="29">
        <f>COUNTIFS([5]InfCualitativo!$B$1:$B$6973,"VERDADERO",[5]InfCualitativo!$E$1:$E$6973,"Punta Canoa",[5]InfCualitativo!$H$1:$H$6973,"consulta_externa")</f>
        <v>27</v>
      </c>
      <c r="F37" s="29">
        <f>COUNTIFS([5]InfCualitativo!$B$1:$B$6973,"FALSO",[5]InfCualitativo!$E$1:$E$6973,"Punta Canoa",[5]InfCualitativo!$H$1:$H$6973,"consulta_externa")</f>
        <v>0</v>
      </c>
      <c r="G37" s="30">
        <f t="shared" si="2"/>
        <v>1</v>
      </c>
      <c r="H37" s="30">
        <f t="shared" si="3"/>
        <v>0</v>
      </c>
      <c r="I37" s="27">
        <f>COUNTIFS([5]InfCualitativo!$B$1:$B$6973,"VERDADERO",[5]InfCualitativo!$E$1:$E$6973,"Punta Canoa",[5]InfCualitativo!$H$1:$H$6973,"salud_oral")</f>
        <v>17</v>
      </c>
      <c r="J37" s="27">
        <f>COUNTIFS([5]InfCualitativo!$B$1:$B$6973,"FALSO",[5]InfCualitativo!$E$1:$E$6973,"Punta Canoa",[5]InfCualitativo!$H$1:$H$6973,"salud_oral")</f>
        <v>0</v>
      </c>
      <c r="K37" s="30">
        <f t="shared" si="4"/>
        <v>1</v>
      </c>
      <c r="L37" s="30">
        <f t="shared" si="5"/>
        <v>0</v>
      </c>
      <c r="M37" s="27">
        <f>COUNTIFS([5]InfCualitativo!$B$1:$B$6973,"VERDADERO",[5]InfCualitativo!$E$1:$E$6973,"Punta Canoa",[5]InfCualitativo!$H$1:$H$6973,"laboratorio")</f>
        <v>28</v>
      </c>
      <c r="N37" s="27">
        <f>COUNTIFS([5]InfCualitativo!$B$1:$B$6973,"FALSO",[5]InfCualitativo!$E$1:$E$6973,"Punta Canoa",[5]InfCualitativo!$H$1:$H$6973,"laboratorio")</f>
        <v>0</v>
      </c>
      <c r="O37" s="30">
        <f t="shared" si="6"/>
        <v>1</v>
      </c>
      <c r="P37" s="31">
        <f t="shared" si="7"/>
        <v>0</v>
      </c>
      <c r="Q37" s="27">
        <f>COUNTIFS([5]InfCualitativo!$B$1:$B$6973,"VERDADERO",[5]InfCualitativo!$E$1:$E$6973,"Punta Canoa",[5]InfCualitativo!$H$1:$H$6973,"electros")</f>
        <v>0</v>
      </c>
      <c r="R37" s="27">
        <f>COUNTIFS([5]InfCualitativo!$B$1:$B$6973,"FALSO",[5]InfCualitativo!$E$1:$E$6973,"Punta Canoa",[5]InfCualitativo!$H$1:$H$6973,"electros")</f>
        <v>0</v>
      </c>
      <c r="S37" s="30">
        <f t="shared" si="8"/>
        <v>0</v>
      </c>
      <c r="T37" s="30">
        <f t="shared" si="9"/>
        <v>0</v>
      </c>
      <c r="U37" s="27">
        <f>COUNTIFS([5]InfCualitativo!$B$1:$B$6973,"VERDADERO",[5]InfCualitativo!$E$1:$E$6973,"Punta Canoa",[5]InfCualitativo!$H$1:$H$6973,"rx")</f>
        <v>0</v>
      </c>
      <c r="V37" s="27">
        <f>COUNTIFS([5]InfCualitativo!$B$1:$B$6973,"FALSO",[5]InfCualitativo!$E$1:$E$6973,"Punta Canoa",[5]InfCualitativo!$H$1:$H$6973,"rx")</f>
        <v>0</v>
      </c>
      <c r="W37" s="30">
        <f t="shared" si="10"/>
        <v>0</v>
      </c>
      <c r="X37" s="30">
        <f t="shared" si="11"/>
        <v>0</v>
      </c>
      <c r="Y37" s="27">
        <f>COUNTIFS([5]InfCualitativo!$B$1:$B$6973,"VERDADERO",[5]InfCualitativo!$E$1:$E$6973,"Punta Canoa",[5]InfCualitativo!$H$1:$H$6973,"ecografias")</f>
        <v>0</v>
      </c>
      <c r="Z37" s="27">
        <f>COUNTIFS([5]InfCualitativo!$B$1:$B$6973,"FALSO",[5]InfCualitativo!$E$1:$E$6973,"Punta Canoa",[5]InfCualitativo!$H$1:$H$6973,"ecografias")</f>
        <v>0</v>
      </c>
      <c r="AA37" s="30">
        <f t="shared" si="12"/>
        <v>0</v>
      </c>
      <c r="AB37" s="30">
        <f t="shared" si="13"/>
        <v>0</v>
      </c>
      <c r="AC37" s="27">
        <f>COUNTIFS([5]InfCualitativo!$B$1:$B$6973,"VERDADERO",[5]InfCualitativo!$E$1:$E$6973,"Punta Canoa",[5]InfCualitativo!$H$1:$H$6973,"urgencia")</f>
        <v>0</v>
      </c>
      <c r="AD37" s="27">
        <f>COUNTIFS([5]InfCualitativo!$B$1:$B$6973,"FALSO",[5]InfCualitativo!$E$1:$E$6973,"Punta Canoa",[5]InfCualitativo!$H$1:$H$6973,"urgencia")</f>
        <v>0</v>
      </c>
      <c r="AE37" s="30">
        <f t="shared" si="14"/>
        <v>0</v>
      </c>
      <c r="AF37" s="30">
        <f t="shared" si="15"/>
        <v>0</v>
      </c>
      <c r="AG37" s="27">
        <f>COUNTIFS([5]InfCualitativo!$B$1:$B$6973,"VERDADERO",[5]InfCualitativo!$E$1:$E$6973,"Punta Canoa",[5]InfCualitativo!$H$1:$H$6973,"pediatria")</f>
        <v>0</v>
      </c>
      <c r="AH37" s="27">
        <f>COUNTIFS([5]InfCualitativo!$B$1:$B$6973,"FALSO",[5]InfCualitativo!$E$1:$E$6973,"Punta Canoa",[5]InfCualitativo!$H$1:$H$6973,"pediatria")</f>
        <v>0</v>
      </c>
      <c r="AI37" s="30">
        <f t="shared" si="16"/>
        <v>0</v>
      </c>
      <c r="AJ37" s="30">
        <f t="shared" si="17"/>
        <v>0</v>
      </c>
      <c r="AK37" s="27">
        <f>COUNTIFS([5]InfCualitativo!$B$1:$B$6973,"VERDADERO",[5]InfCualitativo!$E$1:$E$6973,"Punta Canoa",[5]InfCualitativo!$H$1:$H$6973,"medicina_interna")</f>
        <v>0</v>
      </c>
      <c r="AL37" s="27">
        <f>COUNTIFS([5]InfCualitativo!$B$1:$B$6973,"FALSO",[5]InfCualitativo!$E$1:$E$6973,"Punta Canoa",[5]InfCualitativo!$H$1:$H$6973,"medicina_interna")</f>
        <v>0</v>
      </c>
      <c r="AM37" s="30">
        <f t="shared" si="18"/>
        <v>0</v>
      </c>
      <c r="AN37" s="30">
        <f t="shared" si="19"/>
        <v>0</v>
      </c>
      <c r="AO37" s="27">
        <f>COUNTIFS([5]InfCualitativo!$B$1:$B$6973,"VERDADERO",[5]InfCualitativo!$E$1:$E$6973,"Punta Canoa",[5]InfCualitativo!$H$1:$H$6973,"ginecologia")</f>
        <v>0</v>
      </c>
      <c r="AP37" s="27">
        <f>COUNTIFS([5]InfCualitativo!$B$1:$B$6973,"FALSO",[5]InfCualitativo!$E$1:$E$6973,"Punta Canoa",[5]InfCualitativo!$H$1:$H$6973,"ginecologia")</f>
        <v>0</v>
      </c>
      <c r="AQ37" s="30">
        <f t="shared" si="20"/>
        <v>0</v>
      </c>
      <c r="AR37" s="30">
        <f t="shared" si="21"/>
        <v>0</v>
      </c>
      <c r="AS37" s="27">
        <f t="shared" si="22"/>
        <v>72</v>
      </c>
      <c r="AT37" s="27">
        <f t="shared" si="22"/>
        <v>0</v>
      </c>
      <c r="AU37" s="32">
        <f t="shared" si="23"/>
        <v>1</v>
      </c>
      <c r="AV37" s="32">
        <f t="shared" si="24"/>
        <v>0</v>
      </c>
    </row>
    <row r="38" spans="1:48" ht="18.75" x14ac:dyDescent="0.3">
      <c r="A38" s="26" t="s">
        <v>58</v>
      </c>
      <c r="B38" s="27">
        <v>106</v>
      </c>
      <c r="C38" s="27">
        <f t="shared" si="1"/>
        <v>106</v>
      </c>
      <c r="D38" s="28">
        <f t="shared" si="0"/>
        <v>100</v>
      </c>
      <c r="E38" s="29">
        <f>COUNTIFS([5]InfCualitativo!$B$1:$B$6973,"VERDADERO",[5]InfCualitativo!$E$1:$E$6973,"San Francisco I",[5]InfCualitativo!$H$1:$H$6973,"consulta_externa")</f>
        <v>38</v>
      </c>
      <c r="F38" s="29">
        <f>COUNTIFS([5]InfCualitativo!$B$1:$B$6973,"FALSO",[5]InfCualitativo!$E$1:$E$6973,"San Francisco I",[5]InfCualitativo!$H$1:$H$6973,"consulta_externa")</f>
        <v>0</v>
      </c>
      <c r="G38" s="30">
        <f t="shared" si="2"/>
        <v>1</v>
      </c>
      <c r="H38" s="30">
        <f t="shared" si="3"/>
        <v>0</v>
      </c>
      <c r="I38" s="27">
        <f>COUNTIFS([5]InfCualitativo!$B$1:$B$6973,"VERDADERO",[5]InfCualitativo!$E$1:$E$6973,"San Francisco I",[5]InfCualitativo!$H$1:$H$6973,"salud_oral")</f>
        <v>32</v>
      </c>
      <c r="J38" s="27">
        <f>COUNTIFS([5]InfCualitativo!$B$1:$B$6973,"FALSO",[5]InfCualitativo!$E$1:$E$6973,"San Francisco I",[5]InfCualitativo!$H$1:$H$6973,"salud_oral")</f>
        <v>1</v>
      </c>
      <c r="K38" s="30">
        <f t="shared" si="4"/>
        <v>0.96969696969696972</v>
      </c>
      <c r="L38" s="30">
        <f t="shared" si="5"/>
        <v>3.0303030303030304E-2</v>
      </c>
      <c r="M38" s="27">
        <f>COUNTIFS([5]InfCualitativo!$B$1:$B$6973,"VERDADERO",[5]InfCualitativo!$E$1:$E$6973,"San Francisco I",[5]InfCualitativo!$H$1:$H$6973,"laboratorio")</f>
        <v>30</v>
      </c>
      <c r="N38" s="27">
        <f>COUNTIFS([5]InfCualitativo!$B$1:$B$6973,"FALSO",[5]InfCualitativo!$E$1:$E$6973,"San Francisco I",[5]InfCualitativo!$H$1:$H$6973,"laboratorio")</f>
        <v>5</v>
      </c>
      <c r="O38" s="30">
        <f t="shared" si="6"/>
        <v>0.8571428571428571</v>
      </c>
      <c r="P38" s="31">
        <f t="shared" si="7"/>
        <v>0.14285714285714285</v>
      </c>
      <c r="Q38" s="27">
        <f>COUNTIFS([5]InfCualitativo!$B$1:$B$6973,"VERDADERO",[5]InfCualitativo!$E$1:$E$6973,"San Francisco I",[5]InfCualitativo!$H$1:$H$6973,"electros")</f>
        <v>0</v>
      </c>
      <c r="R38" s="27">
        <f>COUNTIFS([5]InfCualitativo!$B$1:$B$6973,"FALSO",[5]InfCualitativo!$E$1:$E$6973,"San Francisco I",[5]InfCualitativo!$H$1:$H$6973,"electros")</f>
        <v>0</v>
      </c>
      <c r="S38" s="30">
        <f t="shared" si="8"/>
        <v>0</v>
      </c>
      <c r="T38" s="30">
        <f t="shared" si="9"/>
        <v>0</v>
      </c>
      <c r="U38" s="27">
        <f>COUNTIFS([5]InfCualitativo!$B$1:$B$6973,"VERDADERO",[5]InfCualitativo!$E$1:$E$6973,"San Francisco I",[5]InfCualitativo!$H$1:$H$6973,"rx")</f>
        <v>0</v>
      </c>
      <c r="V38" s="27">
        <f>COUNTIFS([5]InfCualitativo!$B$1:$B$6973,"FALSO",[5]InfCualitativo!$E$1:$E$6973,"San Francisco I",[5]InfCualitativo!$H$1:$H$6973,"rx")</f>
        <v>0</v>
      </c>
      <c r="W38" s="30">
        <f t="shared" si="10"/>
        <v>0</v>
      </c>
      <c r="X38" s="30">
        <f t="shared" si="11"/>
        <v>0</v>
      </c>
      <c r="Y38" s="27">
        <f>COUNTIFS([5]InfCualitativo!$B$1:$B$6973,"VERDADERO",[5]InfCualitativo!$E$1:$E$6973,"San Francisco I",[5]InfCualitativo!$H$1:$H$6973,"ecografias")</f>
        <v>0</v>
      </c>
      <c r="Z38" s="27">
        <f>COUNTIFS([5]InfCualitativo!$B$1:$B$6973,"FALSO",[5]InfCualitativo!$E$1:$E$6973,"San Francisco I",[5]InfCualitativo!$H$1:$H$6973,"ecografias")</f>
        <v>0</v>
      </c>
      <c r="AA38" s="30">
        <f t="shared" si="12"/>
        <v>0</v>
      </c>
      <c r="AB38" s="30">
        <f t="shared" si="13"/>
        <v>0</v>
      </c>
      <c r="AC38" s="27">
        <f>COUNTIFS([5]InfCualitativo!$B$1:$B$6973,"VERDADERO",[5]InfCualitativo!$E$1:$E$6973,"San Francisco I",[5]InfCualitativo!$H$1:$H$6973,"urgencia")</f>
        <v>0</v>
      </c>
      <c r="AD38" s="27">
        <f>COUNTIFS([5]InfCualitativo!$B$1:$B$6973,"FALSO",[5]InfCualitativo!$E$1:$E$6973,"San Francisco I",[5]InfCualitativo!$H$1:$H$6973,"urgencia")</f>
        <v>0</v>
      </c>
      <c r="AE38" s="30">
        <f t="shared" si="14"/>
        <v>0</v>
      </c>
      <c r="AF38" s="30">
        <f t="shared" si="15"/>
        <v>0</v>
      </c>
      <c r="AG38" s="27">
        <f>COUNTIFS([5]InfCualitativo!$B$1:$B$6973,"VERDADERO",[5]InfCualitativo!$E$1:$E$6973,"San Francisco I",[5]InfCualitativo!$H$1:$H$6973,"pediatria")</f>
        <v>0</v>
      </c>
      <c r="AH38" s="27">
        <f>COUNTIFS([5]InfCualitativo!$B$1:$B$6973,"FALSO",[5]InfCualitativo!$E$1:$E$6973,"San Francisco I",[5]InfCualitativo!$H$1:$H$6973,"pediatria")</f>
        <v>0</v>
      </c>
      <c r="AI38" s="30">
        <f t="shared" si="16"/>
        <v>0</v>
      </c>
      <c r="AJ38" s="30">
        <f t="shared" si="17"/>
        <v>0</v>
      </c>
      <c r="AK38" s="27">
        <f>COUNTIFS([5]InfCualitativo!$B$1:$B$6973,"VERDADERO",[5]InfCualitativo!$E$1:$E$6973,"San Francisco I",[5]InfCualitativo!$H$1:$H$6973,"medicina_interna")</f>
        <v>0</v>
      </c>
      <c r="AL38" s="27">
        <f>COUNTIFS([5]InfCualitativo!$B$1:$B$6973,"FALSO",[5]InfCualitativo!$E$1:$E$6973,"San Francisco I",[5]InfCualitativo!$H$1:$H$6973,"medicina_interna")</f>
        <v>0</v>
      </c>
      <c r="AM38" s="30">
        <f t="shared" si="18"/>
        <v>0</v>
      </c>
      <c r="AN38" s="30">
        <f t="shared" si="19"/>
        <v>0</v>
      </c>
      <c r="AO38" s="27">
        <f>COUNTIFS([5]InfCualitativo!$B$1:$B$6973,"VERDADERO",[5]InfCualitativo!$E$1:$E$6973,"San Francisco I",[5]InfCualitativo!$H$1:$H$6973,"ginecologia")</f>
        <v>0</v>
      </c>
      <c r="AP38" s="27">
        <f>COUNTIFS([5]InfCualitativo!$B$1:$B$6973,"FALSO",[5]InfCualitativo!$E$1:$E$6973,"San Francisco I",[5]InfCualitativo!$H$1:$H$6973,"ginecologia")</f>
        <v>0</v>
      </c>
      <c r="AQ38" s="30">
        <f t="shared" si="20"/>
        <v>0</v>
      </c>
      <c r="AR38" s="30">
        <f t="shared" si="21"/>
        <v>0</v>
      </c>
      <c r="AS38" s="27">
        <f t="shared" si="22"/>
        <v>100</v>
      </c>
      <c r="AT38" s="27">
        <f t="shared" si="22"/>
        <v>6</v>
      </c>
      <c r="AU38" s="32">
        <f t="shared" si="23"/>
        <v>0.94339622641509435</v>
      </c>
      <c r="AV38" s="32">
        <f t="shared" si="24"/>
        <v>5.6603773584905662E-2</v>
      </c>
    </row>
    <row r="39" spans="1:48" ht="18.75" x14ac:dyDescent="0.3">
      <c r="A39" s="26" t="s">
        <v>59</v>
      </c>
      <c r="B39" s="27">
        <v>106</v>
      </c>
      <c r="C39" s="27">
        <f t="shared" si="1"/>
        <v>106</v>
      </c>
      <c r="D39" s="28">
        <f t="shared" si="0"/>
        <v>100</v>
      </c>
      <c r="E39" s="29">
        <f>COUNTIFS([5]InfCualitativo!$B$1:$B$6973,"VERDADERO",[5]InfCualitativo!$E$1:$E$6973,"San Pedro y Libertad",[5]InfCualitativo!$H$1:$H$6973,"consulta_externa")</f>
        <v>31</v>
      </c>
      <c r="F39" s="29">
        <f>COUNTIFS([5]InfCualitativo!$B$1:$B$6973,"FALSO",[5]InfCualitativo!$E$1:$E$6973,"San Pedro y Libertad",[5]InfCualitativo!$H$1:$H$6973,"consulta_externa")</f>
        <v>5</v>
      </c>
      <c r="G39" s="30">
        <f t="shared" si="2"/>
        <v>0.86111111111111116</v>
      </c>
      <c r="H39" s="30">
        <f t="shared" si="3"/>
        <v>0.1388888888888889</v>
      </c>
      <c r="I39" s="27">
        <f>COUNTIFS([5]InfCualitativo!$B$1:$B$6973,"VERDADERO",[5]InfCualitativo!$E$1:$E$6973,"San Pedro y Libertad",[5]InfCualitativo!$H$1:$H$6973,"salud_oral")</f>
        <v>30</v>
      </c>
      <c r="J39" s="27">
        <f>COUNTIFS([5]InfCualitativo!$B$1:$B$6973,"FALSO",[5]InfCualitativo!$E$1:$E$6973,"San Pedro y Libertad",[5]InfCualitativo!$H$1:$H$6973,"salud_oral")</f>
        <v>3</v>
      </c>
      <c r="K39" s="30">
        <f t="shared" si="4"/>
        <v>0.90909090909090906</v>
      </c>
      <c r="L39" s="30">
        <f t="shared" si="5"/>
        <v>9.0909090909090912E-2</v>
      </c>
      <c r="M39" s="27">
        <f>COUNTIFS([5]InfCualitativo!$B$1:$B$6973,"VERDADERO",[5]InfCualitativo!$E$1:$E$6973,"San Pedro y Libertad",[5]InfCualitativo!$H$1:$H$6973,"laboratorio")</f>
        <v>28</v>
      </c>
      <c r="N39" s="27">
        <f>COUNTIFS([5]InfCualitativo!$B$1:$B$6973,"FALSO",[5]InfCualitativo!$E$1:$E$6973,"San Pedro y Libertad",[5]InfCualitativo!$H$1:$H$6973,"laboratorio")</f>
        <v>9</v>
      </c>
      <c r="O39" s="30">
        <f t="shared" si="6"/>
        <v>0.7567567567567568</v>
      </c>
      <c r="P39" s="31">
        <f t="shared" si="7"/>
        <v>0.24324324324324326</v>
      </c>
      <c r="Q39" s="27">
        <f>COUNTIFS([5]InfCualitativo!$B$1:$B$6973,"VERDADERO",[5]InfCualitativo!$E$1:$E$6973,"San Pedro y Libertad",[5]InfCualitativo!$H$1:$H$6973,"electros")</f>
        <v>0</v>
      </c>
      <c r="R39" s="27">
        <f>COUNTIFS([5]InfCualitativo!$B$1:$B$6973,"FALSO",[5]InfCualitativo!$E$1:$E$6973,"San Pedro y Libertad",[5]InfCualitativo!$H$1:$H$6973,"electros")</f>
        <v>0</v>
      </c>
      <c r="S39" s="30">
        <f t="shared" si="8"/>
        <v>0</v>
      </c>
      <c r="T39" s="30">
        <f t="shared" si="9"/>
        <v>0</v>
      </c>
      <c r="U39" s="27">
        <f>COUNTIFS([5]InfCualitativo!$B$1:$B$6973,"VERDADERO",[5]InfCualitativo!$E$1:$E$6973,"San Pedro y Libertad",[5]InfCualitativo!$H$1:$H$6973,"rx")</f>
        <v>0</v>
      </c>
      <c r="V39" s="27">
        <f>COUNTIFS([5]InfCualitativo!$B$1:$B$6973,"FALSO",[5]InfCualitativo!$E$1:$E$6973,"San Pedro y Libertad",[5]InfCualitativo!$H$1:$H$6973,"rx")</f>
        <v>0</v>
      </c>
      <c r="W39" s="30">
        <f t="shared" si="10"/>
        <v>0</v>
      </c>
      <c r="X39" s="30">
        <f t="shared" si="11"/>
        <v>0</v>
      </c>
      <c r="Y39" s="27">
        <f>COUNTIFS([5]InfCualitativo!$B$1:$B$6973,"VERDADERO",[5]InfCualitativo!$E$1:$E$6973,"San Pedro y Libertad",[5]InfCualitativo!$H$1:$H$6973,"ecografias")</f>
        <v>0</v>
      </c>
      <c r="Z39" s="27">
        <f>COUNTIFS([5]InfCualitativo!$B$1:$B$6973,"FALSO",[5]InfCualitativo!$E$1:$E$6973,"San Pedro y Libertad",[5]InfCualitativo!$H$1:$H$6973,"ecografias")</f>
        <v>0</v>
      </c>
      <c r="AA39" s="30">
        <f t="shared" si="12"/>
        <v>0</v>
      </c>
      <c r="AB39" s="30">
        <f t="shared" si="13"/>
        <v>0</v>
      </c>
      <c r="AC39" s="27">
        <f>COUNTIFS([5]InfCualitativo!$B$1:$B$6973,"VERDADERO",[5]InfCualitativo!$E$1:$E$6973,"San Pedro y Libertad",[5]InfCualitativo!$H$1:$H$6973,"urgencia")</f>
        <v>0</v>
      </c>
      <c r="AD39" s="27">
        <f>COUNTIFS([5]InfCualitativo!$B$1:$B$6973,"FALSO",[5]InfCualitativo!$E$1:$E$6973,"San Pedro y Libertad",[5]InfCualitativo!$H$1:$H$6973,"urgencia")</f>
        <v>0</v>
      </c>
      <c r="AE39" s="30">
        <f t="shared" si="14"/>
        <v>0</v>
      </c>
      <c r="AF39" s="30">
        <f t="shared" si="15"/>
        <v>0</v>
      </c>
      <c r="AG39" s="27">
        <f>COUNTIFS([5]InfCualitativo!$B$1:$B$6973,"VERDADERO",[5]InfCualitativo!$E$1:$E$6973,"San Pedro y Libertad",[5]InfCualitativo!$H$1:$H$6973,"pediatria")</f>
        <v>0</v>
      </c>
      <c r="AH39" s="27">
        <f>COUNTIFS([5]InfCualitativo!$B$1:$B$6973,"FALSO",[5]InfCualitativo!$E$1:$E$6973,"San Pedro y Libertad",[5]InfCualitativo!$H$1:$H$6973,"pediatria")</f>
        <v>0</v>
      </c>
      <c r="AI39" s="30">
        <f t="shared" si="16"/>
        <v>0</v>
      </c>
      <c r="AJ39" s="30">
        <f t="shared" si="17"/>
        <v>0</v>
      </c>
      <c r="AK39" s="27">
        <f>COUNTIFS([5]InfCualitativo!$B$1:$B$6973,"VERDADERO",[5]InfCualitativo!$E$1:$E$6973,"San Pedro y Libertad",[5]InfCualitativo!$H$1:$H$6973,"medicina_interna")</f>
        <v>0</v>
      </c>
      <c r="AL39" s="27">
        <f>COUNTIFS([5]InfCualitativo!$B$1:$B$6973,"FALSO",[5]InfCualitativo!$E$1:$E$6973,"San Pedro y Libertad",[5]InfCualitativo!$H$1:$H$6973,"medicina_interna")</f>
        <v>0</v>
      </c>
      <c r="AM39" s="30">
        <f t="shared" si="18"/>
        <v>0</v>
      </c>
      <c r="AN39" s="30">
        <f t="shared" si="19"/>
        <v>0</v>
      </c>
      <c r="AO39" s="27">
        <f>COUNTIFS([5]InfCualitativo!$B$1:$B$6973,"VERDADERO",[5]InfCualitativo!$E$1:$E$6973,"San Pedro y Libertad",[5]InfCualitativo!$H$1:$H$6973,"ginecologia")</f>
        <v>0</v>
      </c>
      <c r="AP39" s="27">
        <f>COUNTIFS([5]InfCualitativo!$B$1:$B$6973,"FALSO",[5]InfCualitativo!$E$1:$E$6973,"San Pedro y Libertad",[5]InfCualitativo!$H$1:$H$6973,"ginecologia")</f>
        <v>0</v>
      </c>
      <c r="AQ39" s="30">
        <f t="shared" si="20"/>
        <v>0</v>
      </c>
      <c r="AR39" s="30">
        <f t="shared" si="21"/>
        <v>0</v>
      </c>
      <c r="AS39" s="27">
        <f t="shared" si="22"/>
        <v>89</v>
      </c>
      <c r="AT39" s="27">
        <f t="shared" si="22"/>
        <v>17</v>
      </c>
      <c r="AU39" s="32">
        <f t="shared" si="23"/>
        <v>0.839622641509434</v>
      </c>
      <c r="AV39" s="32">
        <f t="shared" si="24"/>
        <v>0.16037735849056603</v>
      </c>
    </row>
    <row r="40" spans="1:48" ht="18.75" x14ac:dyDescent="0.3">
      <c r="A40" s="26" t="s">
        <v>60</v>
      </c>
      <c r="B40" s="27">
        <v>102</v>
      </c>
      <c r="C40" s="27">
        <f t="shared" si="1"/>
        <v>102</v>
      </c>
      <c r="D40" s="28">
        <f t="shared" si="0"/>
        <v>100</v>
      </c>
      <c r="E40" s="29">
        <f>COUNTIFS([5]InfCualitativo!$B$1:$B$6973,"VERDADERO",[5]InfCualitativo!$E$1:$E$6973,"San Vicente de Paul",[5]InfCualitativo!$H$1:$H$6973,"consulta_externa")</f>
        <v>36</v>
      </c>
      <c r="F40" s="29">
        <f>COUNTIFS([5]InfCualitativo!$B$1:$B$6973,"FALSO",[5]InfCualitativo!$E$1:$E$6973,"San Vicente de Paul",[5]InfCualitativo!$H$1:$H$6973,"consulta_externa")</f>
        <v>0</v>
      </c>
      <c r="G40" s="30">
        <f t="shared" si="2"/>
        <v>1</v>
      </c>
      <c r="H40" s="30">
        <f t="shared" si="3"/>
        <v>0</v>
      </c>
      <c r="I40" s="27">
        <f>COUNTIFS([5]InfCualitativo!$B$1:$B$6973,"VERDADERO",[5]InfCualitativo!$E$1:$E$6973,"San Vicente de Paul",[5]InfCualitativo!$H$1:$H$6973,"salud_oral")</f>
        <v>33</v>
      </c>
      <c r="J40" s="27">
        <f>COUNTIFS([5]InfCualitativo!$B$1:$B$6973,"FALSO",[5]InfCualitativo!$E$1:$E$6973,"San Vicente de Paul",[5]InfCualitativo!$H$1:$H$6973,"salud_oral")</f>
        <v>0</v>
      </c>
      <c r="K40" s="30">
        <f t="shared" si="4"/>
        <v>1</v>
      </c>
      <c r="L40" s="30">
        <f t="shared" si="5"/>
        <v>0</v>
      </c>
      <c r="M40" s="27">
        <f>COUNTIFS([5]InfCualitativo!$B$1:$B$6973,"VERDADERO",[5]InfCualitativo!$E$1:$E$6973,"San Vicente de Paul",[5]InfCualitativo!$H$1:$H$6973,"laboratorio")</f>
        <v>33</v>
      </c>
      <c r="N40" s="27">
        <f>COUNTIFS([5]InfCualitativo!$B$1:$B$6973,"FALSO",[5]InfCualitativo!$E$1:$E$6973,"San Vicente de Paul",[5]InfCualitativo!$H$1:$H$6973,"laboratorio")</f>
        <v>0</v>
      </c>
      <c r="O40" s="30">
        <f t="shared" si="6"/>
        <v>1</v>
      </c>
      <c r="P40" s="31">
        <f t="shared" si="7"/>
        <v>0</v>
      </c>
      <c r="Q40" s="27">
        <f>COUNTIFS([5]InfCualitativo!$B$1:$B$6973,"VERDADERO",[5]InfCualitativo!$E$1:$E$6973,"San Vicente de Paul",[5]InfCualitativo!$H$1:$H$6973,"electros")</f>
        <v>0</v>
      </c>
      <c r="R40" s="27">
        <f>COUNTIFS([5]InfCualitativo!$B$1:$B$6973,"FALSO",[5]InfCualitativo!$E$1:$E$6973,"San Vicente de Paul",[5]InfCualitativo!$H$1:$H$6973,"electros")</f>
        <v>0</v>
      </c>
      <c r="S40" s="30">
        <f t="shared" si="8"/>
        <v>0</v>
      </c>
      <c r="T40" s="30">
        <f t="shared" si="9"/>
        <v>0</v>
      </c>
      <c r="U40" s="27">
        <f>COUNTIFS([5]InfCualitativo!$B$1:$B$6973,"VERDADERO",[5]InfCualitativo!$E$1:$E$6973,"San Vicente de Paul",[5]InfCualitativo!$H$1:$H$6973,"rx")</f>
        <v>0</v>
      </c>
      <c r="V40" s="27">
        <f>COUNTIFS([5]InfCualitativo!$B$1:$B$6973,"FALSO",[5]InfCualitativo!$E$1:$E$6973,"San Vicente de Paul",[5]InfCualitativo!$H$1:$H$6973,"rx")</f>
        <v>0</v>
      </c>
      <c r="W40" s="30">
        <f t="shared" si="10"/>
        <v>0</v>
      </c>
      <c r="X40" s="30">
        <f t="shared" si="11"/>
        <v>0</v>
      </c>
      <c r="Y40" s="27">
        <f>COUNTIFS([5]InfCualitativo!$B$1:$B$6973,"VERDADERO",[5]InfCualitativo!$E$1:$E$6973,"San Vicente de Paul",[5]InfCualitativo!$H$1:$H$6973,"ecografias")</f>
        <v>0</v>
      </c>
      <c r="Z40" s="27">
        <f>COUNTIFS([5]InfCualitativo!$B$1:$B$6973,"FALSO",[5]InfCualitativo!$E$1:$E$6973,"San Vicente de Paul",[5]InfCualitativo!$H$1:$H$6973,"ecografias")</f>
        <v>0</v>
      </c>
      <c r="AA40" s="30">
        <f t="shared" si="12"/>
        <v>0</v>
      </c>
      <c r="AB40" s="30">
        <f t="shared" si="13"/>
        <v>0</v>
      </c>
      <c r="AC40" s="27">
        <f>COUNTIFS([5]InfCualitativo!$B$1:$B$6973,"VERDADERO",[5]InfCualitativo!$E$1:$E$6973,"San Vicente de Paul",[5]InfCualitativo!$H$1:$H$6973,"urgencia")</f>
        <v>0</v>
      </c>
      <c r="AD40" s="27">
        <f>COUNTIFS([5]InfCualitativo!$B$1:$B$6973,"FALSO",[5]InfCualitativo!$E$1:$E$6973,"San Vicente de Paul",[5]InfCualitativo!$H$1:$H$6973,"urgencia")</f>
        <v>0</v>
      </c>
      <c r="AE40" s="30">
        <f t="shared" si="14"/>
        <v>0</v>
      </c>
      <c r="AF40" s="30">
        <f t="shared" si="15"/>
        <v>0</v>
      </c>
      <c r="AG40" s="27">
        <f>COUNTIFS([5]InfCualitativo!$B$1:$B$6973,"VERDADERO",[5]InfCualitativo!$E$1:$E$6973,"San Vicente de Paul",[5]InfCualitativo!$H$1:$H$6973,"pediatria")</f>
        <v>0</v>
      </c>
      <c r="AH40" s="27">
        <f>COUNTIFS([5]InfCualitativo!$B$1:$B$6973,"FALSO",[5]InfCualitativo!$E$1:$E$6973,"San Vicente de Paul",[5]InfCualitativo!$H$1:$H$6973,"pediatria")</f>
        <v>0</v>
      </c>
      <c r="AI40" s="30">
        <f t="shared" si="16"/>
        <v>0</v>
      </c>
      <c r="AJ40" s="30">
        <f t="shared" si="17"/>
        <v>0</v>
      </c>
      <c r="AK40" s="27">
        <f>COUNTIFS([5]InfCualitativo!$B$1:$B$6973,"VERDADERO",[5]InfCualitativo!$E$1:$E$6973,"San Vicente de Paul",[5]InfCualitativo!$H$1:$H$6973,"medicina_interna")</f>
        <v>0</v>
      </c>
      <c r="AL40" s="27">
        <f>COUNTIFS([5]InfCualitativo!$B$1:$B$6973,"FALSO",[5]InfCualitativo!$E$1:$E$6973,"San Vicente de Paul",[5]InfCualitativo!$H$1:$H$6973,"medicina_interna")</f>
        <v>0</v>
      </c>
      <c r="AM40" s="30">
        <f t="shared" si="18"/>
        <v>0</v>
      </c>
      <c r="AN40" s="30">
        <f t="shared" si="19"/>
        <v>0</v>
      </c>
      <c r="AO40" s="27">
        <f>COUNTIFS([5]InfCualitativo!$B$1:$B$6973,"VERDADERO",[5]InfCualitativo!$E$1:$E$6973,"San Vicente de Paul",[5]InfCualitativo!$H$1:$H$6973,"ginecologia")</f>
        <v>0</v>
      </c>
      <c r="AP40" s="27">
        <f>COUNTIFS([5]InfCualitativo!$B$1:$B$6973,"FALSO",[5]InfCualitativo!$E$1:$E$6973,"San Vicente de Paul",[5]InfCualitativo!$H$1:$H$6973,"ginecologia")</f>
        <v>0</v>
      </c>
      <c r="AQ40" s="30">
        <f t="shared" si="20"/>
        <v>0</v>
      </c>
      <c r="AR40" s="30">
        <f t="shared" si="21"/>
        <v>0</v>
      </c>
      <c r="AS40" s="27">
        <f t="shared" si="22"/>
        <v>102</v>
      </c>
      <c r="AT40" s="27">
        <f t="shared" si="22"/>
        <v>0</v>
      </c>
      <c r="AU40" s="32">
        <f t="shared" si="23"/>
        <v>1</v>
      </c>
      <c r="AV40" s="32">
        <f t="shared" si="24"/>
        <v>0</v>
      </c>
    </row>
    <row r="41" spans="1:48" ht="18.75" x14ac:dyDescent="0.3">
      <c r="A41" s="26" t="s">
        <v>61</v>
      </c>
      <c r="B41" s="27">
        <v>132</v>
      </c>
      <c r="C41" s="27">
        <f t="shared" si="1"/>
        <v>132</v>
      </c>
      <c r="D41" s="28">
        <f t="shared" si="0"/>
        <v>100</v>
      </c>
      <c r="E41" s="29">
        <f>COUNTIFS([5]InfCualitativo!$B$1:$B$6973,"VERDADERO",[5]InfCualitativo!$E$1:$E$6973,"Socorro",[5]InfCualitativo!$H$1:$H$6973,"consulta_externa")</f>
        <v>38</v>
      </c>
      <c r="F41" s="29">
        <f>COUNTIFS([5]InfCualitativo!$B$1:$B$6973,"FALSO",[5]InfCualitativo!$E$1:$E$6973,"Socorro",[5]InfCualitativo!$H$1:$H$6973,"consulta_externa")</f>
        <v>0</v>
      </c>
      <c r="G41" s="30">
        <f t="shared" si="2"/>
        <v>1</v>
      </c>
      <c r="H41" s="30">
        <f t="shared" si="3"/>
        <v>0</v>
      </c>
      <c r="I41" s="27">
        <f>COUNTIFS([5]InfCualitativo!$B$1:$B$6973,"VERDADERO",[5]InfCualitativo!$E$1:$E$6973,"Socorro",[5]InfCualitativo!$H$1:$H$6973,"salud_oral")</f>
        <v>36</v>
      </c>
      <c r="J41" s="27">
        <f>COUNTIFS([5]InfCualitativo!$B$1:$B$6973,"FALSO",[5]InfCualitativo!$E$1:$E$6973,"Socorro",[5]InfCualitativo!$H$1:$H$6973,"salud_oral")</f>
        <v>0</v>
      </c>
      <c r="K41" s="30">
        <f t="shared" si="4"/>
        <v>1</v>
      </c>
      <c r="L41" s="30">
        <f t="shared" si="5"/>
        <v>0</v>
      </c>
      <c r="M41" s="27">
        <f>COUNTIFS([5]InfCualitativo!$B$1:$B$6973,"VERDADERO",[5]InfCualitativo!$E$1:$E$6973,"Socorro",[5]InfCualitativo!$H$1:$H$6973,"laboratorio")</f>
        <v>37</v>
      </c>
      <c r="N41" s="27">
        <f>COUNTIFS([5]InfCualitativo!$B$1:$B$6973,"FALSO",[5]InfCualitativo!$E$1:$E$6973,"Socorro",[5]InfCualitativo!$H$1:$H$6973,"laboratorio")</f>
        <v>0</v>
      </c>
      <c r="O41" s="30">
        <f t="shared" si="6"/>
        <v>1</v>
      </c>
      <c r="P41" s="31">
        <f t="shared" si="7"/>
        <v>0</v>
      </c>
      <c r="Q41" s="27">
        <f>COUNTIFS([5]InfCualitativo!$B$1:$B$6973,"VERDADERO",[5]InfCualitativo!$E$1:$E$6973,"Socorro",[5]InfCualitativo!$H$1:$H$6973,"electros")</f>
        <v>0</v>
      </c>
      <c r="R41" s="27">
        <f>COUNTIFS([5]InfCualitativo!$B$1:$B$6973,"FALSO",[5]InfCualitativo!$E$1:$E$6973,"Socorro",[5]InfCualitativo!$H$1:$H$6973,"electros")</f>
        <v>0</v>
      </c>
      <c r="S41" s="30">
        <f t="shared" si="8"/>
        <v>0</v>
      </c>
      <c r="T41" s="30">
        <f t="shared" si="9"/>
        <v>0</v>
      </c>
      <c r="U41" s="27">
        <f>COUNTIFS([5]InfCualitativo!$B$1:$B$6973,"VERDADERO",[5]InfCualitativo!$E$1:$E$6973,"Socorro",[5]InfCualitativo!$H$1:$H$6973,"rx")</f>
        <v>0</v>
      </c>
      <c r="V41" s="27">
        <f>COUNTIFS([5]InfCualitativo!$B$1:$B$6973,"FALSO",[5]InfCualitativo!$E$1:$E$6973,"Socorro",[5]InfCualitativo!$H$1:$H$6973,"rx")</f>
        <v>0</v>
      </c>
      <c r="W41" s="30">
        <f t="shared" si="10"/>
        <v>0</v>
      </c>
      <c r="X41" s="30">
        <f t="shared" si="11"/>
        <v>0</v>
      </c>
      <c r="Y41" s="27">
        <f>COUNTIFS([5]InfCualitativo!$B$1:$B$6973,"VERDADERO",[5]InfCualitativo!$E$1:$E$6973,"Socorro",[5]InfCualitativo!$H$1:$H$6973,"ecografias")</f>
        <v>21</v>
      </c>
      <c r="Z41" s="27">
        <f>COUNTIFS([5]InfCualitativo!$B$1:$B$6973,"FALSO",[5]InfCualitativo!$E$1:$E$6973,"Socorro",[5]InfCualitativo!$H$1:$H$6973,"ecografias")</f>
        <v>0</v>
      </c>
      <c r="AA41" s="30">
        <f t="shared" si="12"/>
        <v>1</v>
      </c>
      <c r="AB41" s="30">
        <f t="shared" si="13"/>
        <v>0</v>
      </c>
      <c r="AC41" s="27">
        <f>COUNTIFS([5]InfCualitativo!$B$1:$B$6973,"VERDADERO",[5]InfCualitativo!$E$1:$E$6973,"Socorro",[5]InfCualitativo!$H$1:$H$6973,"urgencia")</f>
        <v>0</v>
      </c>
      <c r="AD41" s="27">
        <f>COUNTIFS([5]InfCualitativo!$B$1:$B$6973,"FALSO",[5]InfCualitativo!$E$1:$E$6973,"Socorro",[5]InfCualitativo!$H$1:$H$6973,"urgencia")</f>
        <v>0</v>
      </c>
      <c r="AE41" s="30">
        <f t="shared" si="14"/>
        <v>0</v>
      </c>
      <c r="AF41" s="30">
        <f t="shared" si="15"/>
        <v>0</v>
      </c>
      <c r="AG41" s="27">
        <f>COUNTIFS([5]InfCualitativo!$B$1:$B$6973,"VERDADERO",[5]InfCualitativo!$E$1:$E$6973,"Socorro",[5]InfCualitativo!$H$1:$H$6973,"pediatria")</f>
        <v>0</v>
      </c>
      <c r="AH41" s="27">
        <f>COUNTIFS([5]InfCualitativo!$B$1:$B$6973,"FALSO",[5]InfCualitativo!$E$1:$E$6973,"Socorro",[5]InfCualitativo!$H$1:$H$6973,"pediatria")</f>
        <v>0</v>
      </c>
      <c r="AI41" s="30">
        <f t="shared" si="16"/>
        <v>0</v>
      </c>
      <c r="AJ41" s="30">
        <f t="shared" si="17"/>
        <v>0</v>
      </c>
      <c r="AK41" s="27">
        <f>COUNTIFS([5]InfCualitativo!$B$1:$B$6973,"VERDADERO",[5]InfCualitativo!$E$1:$E$6973,"Socorro",[5]InfCualitativo!$H$1:$H$6973,"medicina_interna")</f>
        <v>0</v>
      </c>
      <c r="AL41" s="27">
        <f>COUNTIFS([5]InfCualitativo!$B$1:$B$6973,"FALSO",[5]InfCualitativo!$E$1:$E$6973,"Socorro",[5]InfCualitativo!$H$1:$H$6973,"medicina_interna")</f>
        <v>0</v>
      </c>
      <c r="AM41" s="30">
        <f t="shared" si="18"/>
        <v>0</v>
      </c>
      <c r="AN41" s="30">
        <f t="shared" si="19"/>
        <v>0</v>
      </c>
      <c r="AO41" s="27">
        <f>COUNTIFS([5]InfCualitativo!$B$1:$B$6973,"VERDADERO",[5]InfCualitativo!$E$1:$E$6973,"Socorro",[5]InfCualitativo!$H$1:$H$6973,"ginecologia")</f>
        <v>0</v>
      </c>
      <c r="AP41" s="27">
        <f>COUNTIFS([5]InfCualitativo!$B$1:$B$6973,"FALSO",[5]InfCualitativo!$E$1:$E$6973,"Socorro",[5]InfCualitativo!$H$1:$H$6973,"ginecologia")</f>
        <v>0</v>
      </c>
      <c r="AQ41" s="30">
        <f t="shared" si="20"/>
        <v>0</v>
      </c>
      <c r="AR41" s="30">
        <f t="shared" si="21"/>
        <v>0</v>
      </c>
      <c r="AS41" s="27">
        <f t="shared" si="22"/>
        <v>132</v>
      </c>
      <c r="AT41" s="27">
        <f t="shared" si="22"/>
        <v>0</v>
      </c>
      <c r="AU41" s="32">
        <f t="shared" si="23"/>
        <v>1</v>
      </c>
      <c r="AV41" s="32">
        <f t="shared" si="24"/>
        <v>0</v>
      </c>
    </row>
    <row r="42" spans="1:48" ht="18.75" x14ac:dyDescent="0.3">
      <c r="A42" s="26" t="s">
        <v>62</v>
      </c>
      <c r="B42" s="27">
        <v>108</v>
      </c>
      <c r="C42" s="27">
        <f t="shared" si="1"/>
        <v>108</v>
      </c>
      <c r="D42" s="28">
        <f t="shared" si="0"/>
        <v>100</v>
      </c>
      <c r="E42" s="29">
        <f>COUNTIFS([5]InfCualitativo!$B$1:$B$6973,"VERDADERO",[5]InfCualitativo!$E$1:$E$6973,"Ternera",[5]InfCualitativo!$H$1:$H$6973,"consulta_externa")</f>
        <v>35</v>
      </c>
      <c r="F42" s="29">
        <f>COUNTIFS([5]InfCualitativo!$B$1:$B$6973,"FALSO",[5]InfCualitativo!$E$1:$E$6973,"Ternera",[5]InfCualitativo!$H$1:$H$6973,"consulta_externa")</f>
        <v>0</v>
      </c>
      <c r="G42" s="30">
        <f t="shared" si="2"/>
        <v>1</v>
      </c>
      <c r="H42" s="30">
        <f t="shared" si="3"/>
        <v>0</v>
      </c>
      <c r="I42" s="27">
        <f>COUNTIFS([5]InfCualitativo!$B$1:$B$6973,"VERDADERO",[5]InfCualitativo!$E$1:$E$6973,"Ternera",[5]InfCualitativo!$H$1:$H$6973,"salud_oral")</f>
        <v>36</v>
      </c>
      <c r="J42" s="27">
        <f>COUNTIFS([5]InfCualitativo!$B$1:$B$6973,"FALSO",[5]InfCualitativo!$E$1:$E$6973,"Ternera",[5]InfCualitativo!$H$1:$H$6973,"salud_oral")</f>
        <v>0</v>
      </c>
      <c r="K42" s="30">
        <f t="shared" si="4"/>
        <v>1</v>
      </c>
      <c r="L42" s="30">
        <f t="shared" si="5"/>
        <v>0</v>
      </c>
      <c r="M42" s="27">
        <f>COUNTIFS([5]InfCualitativo!$B$1:$B$6973,"VERDADERO",[5]InfCualitativo!$E$1:$E$6973,"Ternera",[5]InfCualitativo!$H$1:$H$6973,"laboratorio")</f>
        <v>37</v>
      </c>
      <c r="N42" s="27">
        <f>COUNTIFS([5]InfCualitativo!$B$1:$B$6973,"FALSO",[5]InfCualitativo!$E$1:$E$6973,"Ternera",[5]InfCualitativo!$H$1:$H$6973,"laboratorio")</f>
        <v>0</v>
      </c>
      <c r="O42" s="30">
        <f t="shared" si="6"/>
        <v>1</v>
      </c>
      <c r="P42" s="31">
        <f t="shared" si="7"/>
        <v>0</v>
      </c>
      <c r="Q42" s="27">
        <f>COUNTIFS([5]InfCualitativo!$B$1:$B$6973,"VERDADERO",[5]InfCualitativo!$E$1:$E$6973,"Ternera",[5]InfCualitativo!$H$1:$H$6973,"electros")</f>
        <v>0</v>
      </c>
      <c r="R42" s="27">
        <f>COUNTIFS([5]InfCualitativo!$B$1:$B$6973,"FALSO",[5]InfCualitativo!$E$1:$E$6973,"Ternera",[5]InfCualitativo!$H$1:$H$6973,"electros")</f>
        <v>0</v>
      </c>
      <c r="S42" s="30">
        <f t="shared" si="8"/>
        <v>0</v>
      </c>
      <c r="T42" s="30">
        <f t="shared" si="9"/>
        <v>0</v>
      </c>
      <c r="U42" s="27">
        <f>COUNTIFS([5]InfCualitativo!$B$1:$B$6973,"VERDADERO",[5]InfCualitativo!$E$1:$E$6973,"Ternera",[5]InfCualitativo!$H$1:$H$6973,"rx")</f>
        <v>0</v>
      </c>
      <c r="V42" s="27">
        <f>COUNTIFS([5]InfCualitativo!$B$1:$B$6973,"FALSO",[5]InfCualitativo!$E$1:$E$6973,"Ternera",[5]InfCualitativo!$H$1:$H$6973,"rx")</f>
        <v>0</v>
      </c>
      <c r="W42" s="30">
        <f t="shared" si="10"/>
        <v>0</v>
      </c>
      <c r="X42" s="30">
        <f t="shared" si="11"/>
        <v>0</v>
      </c>
      <c r="Y42" s="27">
        <f>COUNTIFS([5]InfCualitativo!$B$1:$B$6973,"VERDADERO",[5]InfCualitativo!$E$1:$E$6973,"Ternera",[5]InfCualitativo!$H$1:$H$6973,"ecografias")</f>
        <v>0</v>
      </c>
      <c r="Z42" s="27">
        <f>COUNTIFS([5]InfCualitativo!$B$1:$B$6973,"FALSO",[5]InfCualitativo!$E$1:$E$6973,"Ternera",[5]InfCualitativo!$H$1:$H$6973,"ecografias")</f>
        <v>0</v>
      </c>
      <c r="AA42" s="30">
        <f t="shared" si="12"/>
        <v>0</v>
      </c>
      <c r="AB42" s="30">
        <f t="shared" si="13"/>
        <v>0</v>
      </c>
      <c r="AC42" s="27">
        <f>COUNTIFS([5]InfCualitativo!$B$1:$B$6973,"VERDADERO",[5]InfCualitativo!$E$1:$E$6973,"Ternera",[5]InfCualitativo!$H$1:$H$6973,"urgencia")</f>
        <v>0</v>
      </c>
      <c r="AD42" s="27">
        <f>COUNTIFS([5]InfCualitativo!$B$1:$B$6973,"FALSO",[5]InfCualitativo!$E$1:$E$6973,"Ternera",[5]InfCualitativo!$H$1:$H$6973,"urgencia")</f>
        <v>0</v>
      </c>
      <c r="AE42" s="30">
        <f t="shared" si="14"/>
        <v>0</v>
      </c>
      <c r="AF42" s="30">
        <f t="shared" si="15"/>
        <v>0</v>
      </c>
      <c r="AG42" s="27">
        <f>COUNTIFS([5]InfCualitativo!$B$1:$B$6973,"VERDADERO",[5]InfCualitativo!$E$1:$E$6973,"Ternera",[5]InfCualitativo!$H$1:$H$6973,"pediatria")</f>
        <v>0</v>
      </c>
      <c r="AH42" s="27">
        <f>COUNTIFS([5]InfCualitativo!$B$1:$B$6973,"FALSO",[5]InfCualitativo!$E$1:$E$6973,"Ternera",[5]InfCualitativo!$H$1:$H$6973,"pediatria")</f>
        <v>0</v>
      </c>
      <c r="AI42" s="30">
        <f t="shared" si="16"/>
        <v>0</v>
      </c>
      <c r="AJ42" s="30">
        <f t="shared" si="17"/>
        <v>0</v>
      </c>
      <c r="AK42" s="27">
        <f>COUNTIFS([5]InfCualitativo!$B$1:$B$6973,"VERDADERO",[5]InfCualitativo!$E$1:$E$6973,"Ternera",[5]InfCualitativo!$H$1:$H$6973,"medicina_interna")</f>
        <v>0</v>
      </c>
      <c r="AL42" s="27">
        <f>COUNTIFS([5]InfCualitativo!$B$1:$B$6973,"FALSO",[5]InfCualitativo!$E$1:$E$6973,"Ternera",[5]InfCualitativo!$H$1:$H$6973,"medicina_interna")</f>
        <v>0</v>
      </c>
      <c r="AM42" s="30">
        <f t="shared" si="18"/>
        <v>0</v>
      </c>
      <c r="AN42" s="30">
        <f t="shared" si="19"/>
        <v>0</v>
      </c>
      <c r="AO42" s="27">
        <f>COUNTIFS([5]InfCualitativo!$B$1:$B$6973,"VERDADERO",[5]InfCualitativo!$E$1:$E$6973,"Ternera",[5]InfCualitativo!$H$1:$H$6973,"ginecologia")</f>
        <v>0</v>
      </c>
      <c r="AP42" s="27">
        <f>COUNTIFS([5]InfCualitativo!$B$1:$B$6973,"FALSO",[5]InfCualitativo!$E$1:$E$6973,"Ternera",[5]InfCualitativo!$H$1:$H$6973,"ginecologia")</f>
        <v>0</v>
      </c>
      <c r="AQ42" s="30">
        <f t="shared" si="20"/>
        <v>0</v>
      </c>
      <c r="AR42" s="30">
        <f t="shared" si="21"/>
        <v>0</v>
      </c>
      <c r="AS42" s="27">
        <f t="shared" si="22"/>
        <v>108</v>
      </c>
      <c r="AT42" s="27">
        <f t="shared" si="22"/>
        <v>0</v>
      </c>
      <c r="AU42" s="32">
        <f t="shared" si="23"/>
        <v>1</v>
      </c>
      <c r="AV42" s="32">
        <f t="shared" si="24"/>
        <v>0</v>
      </c>
    </row>
    <row r="43" spans="1:48" ht="18.75" x14ac:dyDescent="0.3">
      <c r="A43" s="26" t="s">
        <v>63</v>
      </c>
      <c r="B43" s="27">
        <v>97</v>
      </c>
      <c r="C43" s="27">
        <f t="shared" si="1"/>
        <v>97</v>
      </c>
      <c r="D43" s="28">
        <f t="shared" si="0"/>
        <v>100</v>
      </c>
      <c r="E43" s="29">
        <f>COUNTIFS([5]InfCualitativo!$B$1:$B$6973,"VERDADERO",[5]InfCualitativo!$E$1:$E$6973,"Tierra Baja",[5]InfCualitativo!$H$1:$H$6973,"consulta_externa")</f>
        <v>32</v>
      </c>
      <c r="F43" s="29">
        <f>COUNTIFS([5]InfCualitativo!$B$1:$B$6973,"FALSO",[5]InfCualitativo!$E$1:$E$6973,"Tierra Baja",[5]InfCualitativo!$H$1:$H$6973,"consulta_externa")</f>
        <v>2</v>
      </c>
      <c r="G43" s="30">
        <f t="shared" si="2"/>
        <v>0.94117647058823528</v>
      </c>
      <c r="H43" s="30">
        <f t="shared" si="3"/>
        <v>5.8823529411764705E-2</v>
      </c>
      <c r="I43" s="27">
        <f>COUNTIFS([5]InfCualitativo!$B$1:$B$6973,"VERDADERO",[5]InfCualitativo!$E$1:$E$6973,"Tierra Baja",[5]InfCualitativo!$H$1:$H$6973,"salud_oral")</f>
        <v>30</v>
      </c>
      <c r="J43" s="27">
        <f>COUNTIFS([5]InfCualitativo!$B$1:$B$6973,"FALSO",[5]InfCualitativo!$E$1:$E$6973,"Tierra Baja",[5]InfCualitativo!$H$1:$H$6973,"salud_oral")</f>
        <v>0</v>
      </c>
      <c r="K43" s="30">
        <f t="shared" si="4"/>
        <v>1</v>
      </c>
      <c r="L43" s="30">
        <f t="shared" si="5"/>
        <v>0</v>
      </c>
      <c r="M43" s="27">
        <f>COUNTIFS([5]InfCualitativo!$B$1:$B$6973,"VERDADERO",[5]InfCualitativo!$E$1:$E$6973,"Tierra Baja",[5]InfCualitativo!$H$1:$H$6973,"laboratorio")</f>
        <v>32</v>
      </c>
      <c r="N43" s="27">
        <f>COUNTIFS([5]InfCualitativo!$B$1:$B$6973,"FALSO",[5]InfCualitativo!$E$1:$E$6973,"Tierra Baja",[5]InfCualitativo!$H$1:$H$6973,"laboratorio")</f>
        <v>1</v>
      </c>
      <c r="O43" s="30">
        <f t="shared" si="6"/>
        <v>0.96969696969696972</v>
      </c>
      <c r="P43" s="31">
        <f t="shared" si="7"/>
        <v>3.0303030303030304E-2</v>
      </c>
      <c r="Q43" s="27">
        <f>COUNTIFS([5]InfCualitativo!$B$1:$B$6973,"VERDADERO",[5]InfCualitativo!$E$1:$E$6973,"Tierra Baja",[5]InfCualitativo!$H$1:$H$6973,"electros")</f>
        <v>0</v>
      </c>
      <c r="R43" s="27">
        <f>COUNTIFS([5]InfCualitativo!$B$1:$B$6973,"FALSO",[5]InfCualitativo!$E$1:$E$6973,"Tierra Baja",[5]InfCualitativo!$H$1:$H$6973,"electros")</f>
        <v>0</v>
      </c>
      <c r="S43" s="30">
        <f t="shared" si="8"/>
        <v>0</v>
      </c>
      <c r="T43" s="30">
        <f t="shared" si="9"/>
        <v>0</v>
      </c>
      <c r="U43" s="27">
        <f>COUNTIFS([5]InfCualitativo!$B$1:$B$6973,"VERDADERO",[5]InfCualitativo!$E$1:$E$6973,"Tierra Baja",[5]InfCualitativo!$H$1:$H$6973,"rx")</f>
        <v>0</v>
      </c>
      <c r="V43" s="27">
        <f>COUNTIFS([5]InfCualitativo!$B$1:$B$6973,"FALSO",[5]InfCualitativo!$E$1:$E$6973,"Tierra Baja",[5]InfCualitativo!$H$1:$H$6973,"rx")</f>
        <v>0</v>
      </c>
      <c r="W43" s="30">
        <f t="shared" si="10"/>
        <v>0</v>
      </c>
      <c r="X43" s="30">
        <f t="shared" si="11"/>
        <v>0</v>
      </c>
      <c r="Y43" s="27">
        <f>COUNTIFS([5]InfCualitativo!$B$1:$B$6973,"VERDADERO",[5]InfCualitativo!$E$1:$E$6973,"Tierra Baja",[5]InfCualitativo!$H$1:$H$6973,"ecografias")</f>
        <v>0</v>
      </c>
      <c r="Z43" s="27">
        <f>COUNTIFS([5]InfCualitativo!$B$1:$B$6973,"FALSO",[5]InfCualitativo!$E$1:$E$6973,"Tierra Baja",[5]InfCualitativo!$H$1:$H$6973,"ecografias")</f>
        <v>0</v>
      </c>
      <c r="AA43" s="30">
        <f t="shared" si="12"/>
        <v>0</v>
      </c>
      <c r="AB43" s="30">
        <f t="shared" si="13"/>
        <v>0</v>
      </c>
      <c r="AC43" s="27">
        <f>COUNTIFS([5]InfCualitativo!$B$1:$B$6973,"VERDADERO",[5]InfCualitativo!$E$1:$E$6973,"Tierra Baja",[5]InfCualitativo!$H$1:$H$6973,"urgencia")</f>
        <v>0</v>
      </c>
      <c r="AD43" s="27">
        <f>COUNTIFS([5]InfCualitativo!$B$1:$B$6973,"FALSO",[5]InfCualitativo!$E$1:$E$6973,"Tierra Baja",[5]InfCualitativo!$H$1:$H$6973,"urgencia")</f>
        <v>0</v>
      </c>
      <c r="AE43" s="30">
        <f t="shared" si="14"/>
        <v>0</v>
      </c>
      <c r="AF43" s="30">
        <f t="shared" si="15"/>
        <v>0</v>
      </c>
      <c r="AG43" s="27">
        <f>COUNTIFS([5]InfCualitativo!$B$1:$B$6973,"VERDADERO",[5]InfCualitativo!$E$1:$E$6973,"Tierra Baja",[5]InfCualitativo!$H$1:$H$6973,"pediatria")</f>
        <v>0</v>
      </c>
      <c r="AH43" s="27">
        <f>COUNTIFS([5]InfCualitativo!$B$1:$B$6973,"FALSO",[5]InfCualitativo!$E$1:$E$6973,"Tierra Baja",[5]InfCualitativo!$H$1:$H$6973,"pediatria")</f>
        <v>0</v>
      </c>
      <c r="AI43" s="30">
        <f t="shared" si="16"/>
        <v>0</v>
      </c>
      <c r="AJ43" s="30">
        <f t="shared" si="17"/>
        <v>0</v>
      </c>
      <c r="AK43" s="27">
        <f>COUNTIFS([5]InfCualitativo!$B$1:$B$6973,"VERDADERO",[5]InfCualitativo!$E$1:$E$6973,"Tierra Baja",[5]InfCualitativo!$H$1:$H$6973,"medicina_interna")</f>
        <v>0</v>
      </c>
      <c r="AL43" s="27">
        <f>COUNTIFS([5]InfCualitativo!$B$1:$B$6973,"FALSO",[5]InfCualitativo!$E$1:$E$6973,"Tierra Baja",[5]InfCualitativo!$H$1:$H$6973,"medicina_interna")</f>
        <v>0</v>
      </c>
      <c r="AM43" s="30">
        <f t="shared" si="18"/>
        <v>0</v>
      </c>
      <c r="AN43" s="30">
        <f t="shared" si="19"/>
        <v>0</v>
      </c>
      <c r="AO43" s="27">
        <f>COUNTIFS([5]InfCualitativo!$B$1:$B$6973,"VERDADERO",[5]InfCualitativo!$E$1:$E$6973,"Tierra Baja",[5]InfCualitativo!$H$1:$H$6973,"ginecologia")</f>
        <v>0</v>
      </c>
      <c r="AP43" s="27">
        <f>COUNTIFS([5]InfCualitativo!$B$1:$B$6973,"FALSO",[5]InfCualitativo!$E$1:$E$6973,"Tierra Baja",[5]InfCualitativo!$H$1:$H$6973,"ginecologia")</f>
        <v>0</v>
      </c>
      <c r="AQ43" s="30">
        <f t="shared" si="20"/>
        <v>0</v>
      </c>
      <c r="AR43" s="30">
        <f t="shared" si="21"/>
        <v>0</v>
      </c>
      <c r="AS43" s="27">
        <f t="shared" si="22"/>
        <v>94</v>
      </c>
      <c r="AT43" s="27">
        <f t="shared" si="22"/>
        <v>3</v>
      </c>
      <c r="AU43" s="32">
        <f t="shared" si="23"/>
        <v>0.96907216494845361</v>
      </c>
      <c r="AV43" s="32">
        <f t="shared" si="24"/>
        <v>3.0927835051546393E-2</v>
      </c>
    </row>
    <row r="44" spans="1:48" ht="18.75" x14ac:dyDescent="0.3">
      <c r="A44" s="26" t="s">
        <v>64</v>
      </c>
      <c r="B44" s="27">
        <v>62</v>
      </c>
      <c r="C44" s="27">
        <f t="shared" si="1"/>
        <v>62</v>
      </c>
      <c r="D44" s="28">
        <f t="shared" si="0"/>
        <v>100</v>
      </c>
      <c r="E44" s="29">
        <f>COUNTIFS([5]InfCualitativo!$B$1:$B$6973,"VERDADERO",[5]InfCualitativo!$E$1:$E$6973,"Tierra Bomba",[5]InfCualitativo!$H$1:$H$6973,"consulta_externa")</f>
        <v>21</v>
      </c>
      <c r="F44" s="29">
        <f>COUNTIFS([5]InfCualitativo!$B$1:$B$6973,"FALSO",[5]InfCualitativo!$E$1:$E$6973,"Tierra Bomba",[5]InfCualitativo!$H$1:$H$6973,"consulta_externa")</f>
        <v>0</v>
      </c>
      <c r="G44" s="30">
        <f t="shared" si="2"/>
        <v>1</v>
      </c>
      <c r="H44" s="30">
        <f t="shared" si="3"/>
        <v>0</v>
      </c>
      <c r="I44" s="27">
        <f>COUNTIFS([5]InfCualitativo!$B$1:$B$6973,"VERDADERO",[5]InfCualitativo!$E$1:$E$6973,"Tierra Bomba",[5]InfCualitativo!$H$1:$H$6973,"salud_oral")</f>
        <v>20</v>
      </c>
      <c r="J44" s="27">
        <f>COUNTIFS([5]InfCualitativo!$B$1:$B$6973,"FALSO",[5]InfCualitativo!$E$1:$E$6973,"Tierra Bomba",[5]InfCualitativo!$H$1:$H$6973,"salud_oral")</f>
        <v>0</v>
      </c>
      <c r="K44" s="30">
        <f t="shared" si="4"/>
        <v>1</v>
      </c>
      <c r="L44" s="30">
        <f t="shared" si="5"/>
        <v>0</v>
      </c>
      <c r="M44" s="27">
        <f>COUNTIFS([5]InfCualitativo!$B$1:$B$6973,"VERDADERO",[5]InfCualitativo!$E$1:$E$6973,"Tierra Bomba",[5]InfCualitativo!$H$1:$H$6973,"laboratorio")</f>
        <v>21</v>
      </c>
      <c r="N44" s="27">
        <f>COUNTIFS([5]InfCualitativo!$B$1:$B$6973,"FALSO",[5]InfCualitativo!$E$1:$E$6973,"Tierra Bomba",[5]InfCualitativo!$H$1:$H$6973,"laboratorio")</f>
        <v>0</v>
      </c>
      <c r="O44" s="30">
        <f t="shared" si="6"/>
        <v>1</v>
      </c>
      <c r="P44" s="31">
        <f t="shared" si="7"/>
        <v>0</v>
      </c>
      <c r="Q44" s="27">
        <f>COUNTIFS([5]InfCualitativo!$B$1:$B$6973,"VERDADERO",[5]InfCualitativo!$E$1:$E$6973,"Tierra Bomba",[5]InfCualitativo!$H$1:$H$6973,"electros")</f>
        <v>0</v>
      </c>
      <c r="R44" s="27">
        <f>COUNTIFS([5]InfCualitativo!$B$1:$B$6973,"FALSO",[5]InfCualitativo!$E$1:$E$6973,"Tierra Bomba",[5]InfCualitativo!$H$1:$H$6973,"electros")</f>
        <v>0</v>
      </c>
      <c r="S44" s="30">
        <f t="shared" si="8"/>
        <v>0</v>
      </c>
      <c r="T44" s="30">
        <f t="shared" si="9"/>
        <v>0</v>
      </c>
      <c r="U44" s="27">
        <f>COUNTIFS([5]InfCualitativo!$B$1:$B$6973,"VERDADERO",[5]InfCualitativo!$E$1:$E$6973,"Tierra Bomba",[5]InfCualitativo!$H$1:$H$6973,"rx")</f>
        <v>0</v>
      </c>
      <c r="V44" s="27">
        <f>COUNTIFS([5]InfCualitativo!$B$1:$B$6973,"FALSO",[5]InfCualitativo!$E$1:$E$6973,"Tierra Bomba",[5]InfCualitativo!$H$1:$H$6973,"rx")</f>
        <v>0</v>
      </c>
      <c r="W44" s="30">
        <f t="shared" si="10"/>
        <v>0</v>
      </c>
      <c r="X44" s="30">
        <f t="shared" si="11"/>
        <v>0</v>
      </c>
      <c r="Y44" s="27">
        <f>COUNTIFS([5]InfCualitativo!$B$1:$B$6973,"VERDADERO",[5]InfCualitativo!$E$1:$E$6973,"Tierra Bomba",[5]InfCualitativo!$H$1:$H$6973,"ecografias")</f>
        <v>0</v>
      </c>
      <c r="Z44" s="27">
        <f>COUNTIFS([5]InfCualitativo!$B$1:$B$6973,"FALSO",[5]InfCualitativo!$E$1:$E$6973,"Tierra Bomba",[5]InfCualitativo!$H$1:$H$6973,"ecografias")</f>
        <v>0</v>
      </c>
      <c r="AA44" s="30">
        <f t="shared" si="12"/>
        <v>0</v>
      </c>
      <c r="AB44" s="30">
        <f t="shared" si="13"/>
        <v>0</v>
      </c>
      <c r="AC44" s="27">
        <f>COUNTIFS([5]InfCualitativo!$B$1:$B$6973,"VERDADERO",[5]InfCualitativo!$E$1:$E$6973,"Tierra Bomba",[5]InfCualitativo!$H$1:$H$6973,"urgencia")</f>
        <v>0</v>
      </c>
      <c r="AD44" s="27">
        <f>COUNTIFS([5]InfCualitativo!$B$1:$B$6973,"FALSO",[5]InfCualitativo!$E$1:$E$6973,"Tierra Bomba",[5]InfCualitativo!$H$1:$H$6973,"urgencia")</f>
        <v>0</v>
      </c>
      <c r="AE44" s="30">
        <f t="shared" si="14"/>
        <v>0</v>
      </c>
      <c r="AF44" s="30">
        <f t="shared" si="15"/>
        <v>0</v>
      </c>
      <c r="AG44" s="27">
        <f>COUNTIFS([5]InfCualitativo!$B$1:$B$6973,"VERDADERO",[5]InfCualitativo!$E$1:$E$6973,"Tierra Bomba",[5]InfCualitativo!$H$1:$H$6973,"pediatria")</f>
        <v>0</v>
      </c>
      <c r="AH44" s="27">
        <f>COUNTIFS([5]InfCualitativo!$B$1:$B$6973,"FALSO",[5]InfCualitativo!$E$1:$E$6973,"Tierra Bomba",[5]InfCualitativo!$H$1:$H$6973,"pediatria")</f>
        <v>0</v>
      </c>
      <c r="AI44" s="30">
        <f t="shared" si="16"/>
        <v>0</v>
      </c>
      <c r="AJ44" s="30">
        <f t="shared" si="17"/>
        <v>0</v>
      </c>
      <c r="AK44" s="27">
        <f>COUNTIFS([5]InfCualitativo!$B$1:$B$6973,"VERDADERO",[5]InfCualitativo!$E$1:$E$6973,"Tierra Bomba",[5]InfCualitativo!$H$1:$H$6973,"medicina_interna")</f>
        <v>0</v>
      </c>
      <c r="AL44" s="27">
        <f>COUNTIFS([5]InfCualitativo!$B$1:$B$6973,"FALSO",[5]InfCualitativo!$E$1:$E$6973,"Tierra Bomba",[5]InfCualitativo!$H$1:$H$6973,"medicina_interna")</f>
        <v>0</v>
      </c>
      <c r="AM44" s="30">
        <f t="shared" si="18"/>
        <v>0</v>
      </c>
      <c r="AN44" s="30">
        <f t="shared" si="19"/>
        <v>0</v>
      </c>
      <c r="AO44" s="27">
        <f>COUNTIFS([5]InfCualitativo!$B$1:$B$6973,"VERDADERO",[5]InfCualitativo!$E$1:$E$6973,"Tierra Bomba",[5]InfCualitativo!$H$1:$H$6973,"ginecologia")</f>
        <v>0</v>
      </c>
      <c r="AP44" s="27">
        <f>COUNTIFS([5]InfCualitativo!$B$1:$B$6973,"FALSO",[5]InfCualitativo!$E$1:$E$6973,"Tierra Bomba",[5]InfCualitativo!$H$1:$H$6973,"ginecologia")</f>
        <v>0</v>
      </c>
      <c r="AQ44" s="30">
        <f t="shared" si="20"/>
        <v>0</v>
      </c>
      <c r="AR44" s="30">
        <f t="shared" si="21"/>
        <v>0</v>
      </c>
      <c r="AS44" s="27">
        <f t="shared" si="22"/>
        <v>62</v>
      </c>
      <c r="AT44" s="27">
        <f t="shared" si="22"/>
        <v>0</v>
      </c>
      <c r="AU44" s="32">
        <f t="shared" si="23"/>
        <v>1</v>
      </c>
      <c r="AV44" s="32">
        <f t="shared" si="24"/>
        <v>0</v>
      </c>
    </row>
    <row r="45" spans="1:48" ht="18.75" x14ac:dyDescent="0.3">
      <c r="A45" s="26" t="s">
        <v>65</v>
      </c>
      <c r="B45" s="27">
        <v>162</v>
      </c>
      <c r="C45" s="27">
        <f t="shared" si="1"/>
        <v>162</v>
      </c>
      <c r="D45" s="28">
        <f t="shared" si="0"/>
        <v>100</v>
      </c>
      <c r="E45" s="29">
        <f>COUNTIFS([5]InfCualitativo!$B$1:$B$6973,"VERDADERO",[5]InfCualitativo!$E$1:$E$6973,"Baru",[5]InfCualitativo!$H$1:$H$6973,"consulta_externa")</f>
        <v>79</v>
      </c>
      <c r="F45" s="29">
        <f>COUNTIFS([5]InfCualitativo!$B$1:$B$6973,"FALSO",[5]InfCualitativo!$E$1:$E$6973,"Baru",[5]InfCualitativo!$H$1:$H$6973,"consulta_externa")</f>
        <v>0</v>
      </c>
      <c r="G45" s="30">
        <f t="shared" si="2"/>
        <v>1</v>
      </c>
      <c r="H45" s="30">
        <f t="shared" si="3"/>
        <v>0</v>
      </c>
      <c r="I45" s="27">
        <f>COUNTIFS([5]InfCualitativo!$B$1:$B$6973,"VERDADERO",[5]InfCualitativo!$E$1:$E$6973,"Baru",[5]InfCualitativo!$H$1:$H$6973,"salud_oral")</f>
        <v>31</v>
      </c>
      <c r="J45" s="27">
        <f>COUNTIFS([5]InfCualitativo!$B$1:$B$6973,"FALSO",[5]InfCualitativo!$E$1:$E$6973,"Baru",[5]InfCualitativo!$H$1:$H$6973,"salud_oral")</f>
        <v>0</v>
      </c>
      <c r="K45" s="30">
        <f t="shared" si="4"/>
        <v>1</v>
      </c>
      <c r="L45" s="30">
        <f t="shared" si="5"/>
        <v>0</v>
      </c>
      <c r="M45" s="27">
        <f>COUNTIFS([5]InfCualitativo!$B$1:$B$6973,"VERDADERO",[5]InfCualitativo!$E$1:$E$6973,"Baru",[5]InfCualitativo!$H$1:$H$6973,"laboratorio")</f>
        <v>49</v>
      </c>
      <c r="N45" s="27">
        <f>COUNTIFS([5]InfCualitativo!$B$1:$B$6973,"FALSO",[5]InfCualitativo!$E$1:$E$6973,"Baru",[5]InfCualitativo!$H$1:$H$6973,"laboratorio")</f>
        <v>0</v>
      </c>
      <c r="O45" s="30">
        <f t="shared" si="6"/>
        <v>1</v>
      </c>
      <c r="P45" s="31">
        <f t="shared" si="7"/>
        <v>0</v>
      </c>
      <c r="Q45" s="27">
        <f>COUNTIFS([5]InfCualitativo!$B$1:$B$6973,"VERDADERO",[5]InfCualitativo!$E$1:$E$6973,"Baru",[5]InfCualitativo!$H$1:$H$6973,"electros")</f>
        <v>0</v>
      </c>
      <c r="R45" s="27">
        <f>COUNTIFS([5]InfCualitativo!$B$1:$B$6973,"FALSO",[5]InfCualitativo!$E$1:$E$6973,"Baru",[5]InfCualitativo!$H$1:$H$6973,"electros")</f>
        <v>0</v>
      </c>
      <c r="S45" s="30">
        <f t="shared" si="8"/>
        <v>0</v>
      </c>
      <c r="T45" s="30">
        <f t="shared" si="9"/>
        <v>0</v>
      </c>
      <c r="U45" s="27">
        <f>COUNTIFS([5]InfCualitativo!$B$1:$B$6973,"VERDADERO",[5]InfCualitativo!$E$1:$E$6973,"Baru",[5]InfCualitativo!$H$1:$H$6973,"rx")</f>
        <v>0</v>
      </c>
      <c r="V45" s="27">
        <f>COUNTIFS([5]InfCualitativo!$B$1:$B$6973,"FALSO",[5]InfCualitativo!$E$1:$E$6973,"Baru",[5]InfCualitativo!$H$1:$H$6973,"rx")</f>
        <v>0</v>
      </c>
      <c r="W45" s="30">
        <f t="shared" si="10"/>
        <v>0</v>
      </c>
      <c r="X45" s="30">
        <f t="shared" si="11"/>
        <v>0</v>
      </c>
      <c r="Y45" s="27">
        <f>COUNTIFS([5]InfCualitativo!$B$1:$B$6973,"VERDADERO",[5]InfCualitativo!$E$1:$E$6973,"Baru",[5]InfCualitativo!$H$1:$H$6973,"ecografias")</f>
        <v>0</v>
      </c>
      <c r="Z45" s="27">
        <f>COUNTIFS([5]InfCualitativo!$B$1:$B$6973,"FALSO",[5]InfCualitativo!$E$1:$E$6973,"Baru",[5]InfCualitativo!$H$1:$H$6973,"ecografias")</f>
        <v>0</v>
      </c>
      <c r="AA45" s="30">
        <f>IFERROR(Y45/(Y45+Z45),0)</f>
        <v>0</v>
      </c>
      <c r="AB45" s="30">
        <f>IFERROR(Z45/(Y45+Z45),0)</f>
        <v>0</v>
      </c>
      <c r="AC45" s="27">
        <f>COUNTIFS([5]InfCualitativo!$B$1:$B$6973,"VERDADERO",[5]InfCualitativo!$E$1:$E$6973,"Baru",[5]InfCualitativo!$H$1:$H$6973,"urgencia")</f>
        <v>3</v>
      </c>
      <c r="AD45" s="27">
        <f>COUNTIFS([5]InfCualitativo!$B$1:$B$6973,"FALSO",[5]InfCualitativo!$E$1:$E$6973,"Baru",[5]InfCualitativo!$H$1:$H$6973,"urgencia")</f>
        <v>0</v>
      </c>
      <c r="AE45" s="30">
        <f t="shared" si="14"/>
        <v>1</v>
      </c>
      <c r="AF45" s="30">
        <f t="shared" si="15"/>
        <v>0</v>
      </c>
      <c r="AG45" s="27">
        <f>COUNTIFS([5]InfCualitativo!$B$1:$B$6973,"VERDADERO",[5]InfCualitativo!$E$1:$E$6973,"Baru",[5]InfCualitativo!$H$1:$H$6973,"pediatria")</f>
        <v>0</v>
      </c>
      <c r="AH45" s="27">
        <f>COUNTIFS([5]InfCualitativo!$B$1:$B$6973,"FALSO",[5]InfCualitativo!$E$1:$E$6973,"Baru",[5]InfCualitativo!$H$1:$H$6973,"pediatria")</f>
        <v>0</v>
      </c>
      <c r="AI45" s="30">
        <f t="shared" si="16"/>
        <v>0</v>
      </c>
      <c r="AJ45" s="30">
        <f t="shared" si="17"/>
        <v>0</v>
      </c>
      <c r="AK45" s="27">
        <f>COUNTIFS([5]InfCualitativo!$B$1:$B$6973,"VERDADERO",[5]InfCualitativo!$E$1:$E$6973,"Baru",[5]InfCualitativo!$H$1:$H$6973,"medicina_interna")</f>
        <v>0</v>
      </c>
      <c r="AL45" s="27">
        <f>COUNTIFS([5]InfCualitativo!$B$1:$B$6973,"FALSO",[5]InfCualitativo!$E$1:$E$6973,"Baru",[5]InfCualitativo!$H$1:$H$6973,"medicina_interna")</f>
        <v>0</v>
      </c>
      <c r="AM45" s="30">
        <f t="shared" si="18"/>
        <v>0</v>
      </c>
      <c r="AN45" s="30">
        <f t="shared" si="19"/>
        <v>0</v>
      </c>
      <c r="AO45" s="27">
        <f>COUNTIFS([5]InfCualitativo!$B$1:$B$6973,"VERDADERO",[5]InfCualitativo!$E$1:$E$6973,"Baru",[5]InfCualitativo!$H$1:$H$6973,"ginecologia")</f>
        <v>0</v>
      </c>
      <c r="AP45" s="27">
        <f>COUNTIFS([5]InfCualitativo!$B$1:$B$6973,"FALSO",[5]InfCualitativo!$E$1:$E$6973,"Baru",[5]InfCualitativo!$H$1:$H$6973,"ginecologia")</f>
        <v>0</v>
      </c>
      <c r="AQ45" s="30">
        <f t="shared" si="20"/>
        <v>0</v>
      </c>
      <c r="AR45" s="30">
        <f t="shared" si="21"/>
        <v>0</v>
      </c>
      <c r="AS45" s="27">
        <f t="shared" si="22"/>
        <v>162</v>
      </c>
      <c r="AT45" s="27">
        <f t="shared" si="22"/>
        <v>0</v>
      </c>
      <c r="AU45" s="32">
        <f t="shared" si="23"/>
        <v>1</v>
      </c>
      <c r="AV45" s="32">
        <f t="shared" si="24"/>
        <v>0</v>
      </c>
    </row>
    <row r="46" spans="1:48" ht="18.75" x14ac:dyDescent="0.3">
      <c r="A46" s="26" t="s">
        <v>66</v>
      </c>
      <c r="B46" s="27">
        <v>72</v>
      </c>
      <c r="C46" s="27">
        <f t="shared" si="1"/>
        <v>72</v>
      </c>
      <c r="D46" s="28">
        <f t="shared" si="0"/>
        <v>100</v>
      </c>
      <c r="E46" s="29">
        <f>COUNTIFS([5]InfCualitativo!$B$1:$B$6973,"VERDADERO",[5]InfCualitativo!$E$1:$E$6973,"Isla Fuerte",[5]InfCualitativo!$H$1:$H$6973,"consulta_externa")</f>
        <v>34</v>
      </c>
      <c r="F46" s="29">
        <f>COUNTIFS([5]InfCualitativo!$B$1:$B$6973,"FALSO",[5]InfCualitativo!$E$1:$E$6973,"Isla Fuerte",[5]InfCualitativo!$H$1:$H$6973,"consulta_externa")</f>
        <v>0</v>
      </c>
      <c r="G46" s="30">
        <f t="shared" si="2"/>
        <v>1</v>
      </c>
      <c r="H46" s="30">
        <f t="shared" si="3"/>
        <v>0</v>
      </c>
      <c r="I46" s="27">
        <f>COUNTIFS([5]InfCualitativo!$B$1:$B$6973,"VERDADERO",[5]InfCualitativo!$E$1:$E$6973,"Isla Fuerte",[5]InfCualitativo!$H$1:$H$6973,"salud_oral")</f>
        <v>15</v>
      </c>
      <c r="J46" s="27">
        <f>COUNTIFS([5]InfCualitativo!$B$1:$B$6973,"FALSO",[5]InfCualitativo!$E$1:$E$6973,"Isla Fuerte",[5]InfCualitativo!$H$1:$H$6973,"salud_oral")</f>
        <v>0</v>
      </c>
      <c r="K46" s="30">
        <f t="shared" si="4"/>
        <v>1</v>
      </c>
      <c r="L46" s="30">
        <f t="shared" si="5"/>
        <v>0</v>
      </c>
      <c r="M46" s="27">
        <f>COUNTIFS([5]InfCualitativo!$B$1:$B$6973,"VERDADERO",[5]InfCualitativo!$E$1:$E$6973,"Isla Fuerte",[5]InfCualitativo!$H$1:$H$6973,"laboratorio")</f>
        <v>23</v>
      </c>
      <c r="N46" s="27">
        <f>COUNTIFS([5]InfCualitativo!$B$1:$B$6973,"FALSO",[5]InfCualitativo!$E$1:$E$6973,"Isla Fuerte",[5]InfCualitativo!$H$1:$H$6973,"laboratorio")</f>
        <v>0</v>
      </c>
      <c r="O46" s="30">
        <f t="shared" si="6"/>
        <v>1</v>
      </c>
      <c r="P46" s="31">
        <f t="shared" si="7"/>
        <v>0</v>
      </c>
      <c r="Q46" s="27">
        <f>COUNTIFS([5]InfCualitativo!$B$1:$B$6973,"VERDADERO",[5]InfCualitativo!$E$1:$E$6973,"Isla Fuerte",[5]InfCualitativo!$H$1:$H$6973,"electros")</f>
        <v>0</v>
      </c>
      <c r="R46" s="27">
        <f>COUNTIFS([5]InfCualitativo!$B$1:$B$6973,"FALSO",[5]InfCualitativo!$E$1:$E$6973,"Isla Fuerte",[5]InfCualitativo!$H$1:$H$6973,"electros")</f>
        <v>0</v>
      </c>
      <c r="S46" s="30">
        <f t="shared" si="8"/>
        <v>0</v>
      </c>
      <c r="T46" s="30">
        <f t="shared" si="9"/>
        <v>0</v>
      </c>
      <c r="U46" s="27">
        <f>COUNTIFS([5]InfCualitativo!$B$1:$B$6973,"VERDADERO",[5]InfCualitativo!$E$1:$E$6973,"Isla Fuerte",[5]InfCualitativo!$H$1:$H$6973,"rx")</f>
        <v>0</v>
      </c>
      <c r="V46" s="27">
        <f>COUNTIFS([5]InfCualitativo!$B$1:$B$6973,"FALSO",[5]InfCualitativo!$E$1:$E$6973,"Isla Fuerte",[5]InfCualitativo!$H$1:$H$6973,"rx")</f>
        <v>0</v>
      </c>
      <c r="W46" s="30">
        <f t="shared" si="10"/>
        <v>0</v>
      </c>
      <c r="X46" s="30">
        <f t="shared" si="11"/>
        <v>0</v>
      </c>
      <c r="Y46" s="27">
        <f>COUNTIFS([5]InfCualitativo!$B$1:$B$6973,"VERDADERO",[5]InfCualitativo!$E$1:$E$6973,"Isla Fuerte",[5]InfCualitativo!$H$1:$H$6973,"ecografias")</f>
        <v>0</v>
      </c>
      <c r="Z46" s="27">
        <f>COUNTIFS([5]InfCualitativo!$B$1:$B$6973,"FALSO",[5]InfCualitativo!$E$1:$E$6973,"Isla Fuerte",[5]InfCualitativo!$H$1:$H$6973,"ecografias")</f>
        <v>0</v>
      </c>
      <c r="AA46" s="30">
        <f>IFERROR(Y46/(Y46+Z46),0)</f>
        <v>0</v>
      </c>
      <c r="AB46" s="30">
        <f>IFERROR(Z46/(Y46+Z46),0)</f>
        <v>0</v>
      </c>
      <c r="AC46" s="27">
        <f>COUNTIFS([5]InfCualitativo!$B$1:$B$6973,"VERDADERO",[5]InfCualitativo!$E$1:$E$6973,"Isla Fuerte",[5]InfCualitativo!$H$1:$H$6973,"urgencia")</f>
        <v>0</v>
      </c>
      <c r="AD46" s="27">
        <f>COUNTIFS([5]InfCualitativo!$B$1:$B$6973,"FALSO",[5]InfCualitativo!$E$1:$E$6973,"Isla Fuerte",[5]InfCualitativo!$H$1:$H$6973,"urgencia")</f>
        <v>0</v>
      </c>
      <c r="AE46" s="30">
        <f t="shared" si="14"/>
        <v>0</v>
      </c>
      <c r="AF46" s="30">
        <f t="shared" si="15"/>
        <v>0</v>
      </c>
      <c r="AG46" s="27">
        <f>COUNTIFS([5]InfCualitativo!$B$1:$B$6973,"VERDADERO",[5]InfCualitativo!$E$1:$E$6973,"Isla Fuerte",[5]InfCualitativo!$H$1:$H$6973,"pediatria")</f>
        <v>0</v>
      </c>
      <c r="AH46" s="27">
        <f>COUNTIFS([5]InfCualitativo!$B$1:$B$6973,"FALSO",[5]InfCualitativo!$E$1:$E$6973,"Isla Fuerte",[5]InfCualitativo!$H$1:$H$6973,"pediatria")</f>
        <v>0</v>
      </c>
      <c r="AI46" s="30">
        <f t="shared" si="16"/>
        <v>0</v>
      </c>
      <c r="AJ46" s="30">
        <f t="shared" si="17"/>
        <v>0</v>
      </c>
      <c r="AK46" s="27">
        <f>COUNTIFS([5]InfCualitativo!$B$1:$B$6973,"VERDADERO",[5]InfCualitativo!$E$1:$E$6973,"Isla Fuerte",[5]InfCualitativo!$H$1:$H$6973,"medicina_interna")</f>
        <v>0</v>
      </c>
      <c r="AL46" s="27">
        <f>COUNTIFS([5]InfCualitativo!$B$1:$B$6973,"FALSO",[5]InfCualitativo!$E$1:$E$6973,"Isla Fuerte",[5]InfCualitativo!$H$1:$H$6973,"medicina_interna")</f>
        <v>0</v>
      </c>
      <c r="AM46" s="30">
        <f t="shared" si="18"/>
        <v>0</v>
      </c>
      <c r="AN46" s="30">
        <f t="shared" si="19"/>
        <v>0</v>
      </c>
      <c r="AO46" s="27">
        <f>COUNTIFS([5]InfCualitativo!$B$1:$B$6973,"VERDADERO",[5]InfCualitativo!$E$1:$E$6973,"Isla Fuerte",[5]InfCualitativo!$H$1:$H$6973,"ginecologia")</f>
        <v>0</v>
      </c>
      <c r="AP46" s="27">
        <f>COUNTIFS([5]InfCualitativo!$B$1:$B$6973,"FALSO",[5]InfCualitativo!$E$1:$E$6973,"Isla Fuerte",[5]InfCualitativo!$H$1:$H$6973,"ginecologia")</f>
        <v>0</v>
      </c>
      <c r="AQ46" s="30">
        <f t="shared" si="20"/>
        <v>0</v>
      </c>
      <c r="AR46" s="30">
        <f t="shared" si="21"/>
        <v>0</v>
      </c>
      <c r="AS46" s="27">
        <f t="shared" si="22"/>
        <v>72</v>
      </c>
      <c r="AT46" s="27">
        <f t="shared" si="22"/>
        <v>0</v>
      </c>
      <c r="AU46" s="32">
        <f t="shared" si="23"/>
        <v>1</v>
      </c>
      <c r="AV46" s="32">
        <f t="shared" si="24"/>
        <v>0</v>
      </c>
    </row>
    <row r="47" spans="1:48" ht="18.75" x14ac:dyDescent="0.3">
      <c r="A47" s="26" t="s">
        <v>67</v>
      </c>
      <c r="B47" s="27">
        <v>198</v>
      </c>
      <c r="C47" s="27">
        <f t="shared" si="1"/>
        <v>181</v>
      </c>
      <c r="D47" s="28">
        <f t="shared" si="0"/>
        <v>91.414141414141412</v>
      </c>
      <c r="E47" s="29">
        <f>COUNTIFS([5]InfCualitativo!$B$1:$B$6973,"VERDADERO",[5]InfCualitativo!$E$1:$E$6973,"Los Cerros",[5]InfCualitativo!$H$1:$H$6973,"consulta_externa")</f>
        <v>39</v>
      </c>
      <c r="F47" s="29">
        <f>COUNTIFS([5]InfCualitativo!$B$1:$B$6973,"FALSO",[5]InfCualitativo!$E$1:$E$6973,"Los Cerros",[5]InfCualitativo!$H$1:$H$6973,"consulta_externa")</f>
        <v>0</v>
      </c>
      <c r="G47" s="30">
        <f t="shared" si="2"/>
        <v>1</v>
      </c>
      <c r="H47" s="30">
        <f t="shared" si="3"/>
        <v>0</v>
      </c>
      <c r="I47" s="27">
        <f>COUNTIFS([5]InfCualitativo!$B$1:$B$6973,"VERDADERO",[5]InfCualitativo!$E$1:$E$6973,"Los Cerros",[5]InfCualitativo!$H$1:$H$6973,"salud_oral")</f>
        <v>39</v>
      </c>
      <c r="J47" s="27">
        <f>COUNTIFS([5]InfCualitativo!$B$1:$B$6973,"FALSO",[5]InfCualitativo!$E$1:$E$6973,"Los Cerros",[5]InfCualitativo!$H$1:$H$6973,"salud_oral")</f>
        <v>0</v>
      </c>
      <c r="K47" s="30">
        <f t="shared" si="4"/>
        <v>1</v>
      </c>
      <c r="L47" s="30">
        <f t="shared" si="5"/>
        <v>0</v>
      </c>
      <c r="M47" s="27">
        <f>COUNTIFS([5]InfCualitativo!$B$1:$B$6973,"VERDADERO",[5]InfCualitativo!$E$1:$E$6973,"Los Cerros",[5]InfCualitativo!$H$1:$H$6973,"laboratorio")</f>
        <v>39</v>
      </c>
      <c r="N47" s="27">
        <f>COUNTIFS([5]InfCualitativo!$B$1:$B$6973,"FALSO",[5]InfCualitativo!$E$1:$E$6973,"Los Cerros",[5]InfCualitativo!$H$1:$H$6973,"laboratorio")</f>
        <v>0</v>
      </c>
      <c r="O47" s="30">
        <f t="shared" si="6"/>
        <v>1</v>
      </c>
      <c r="P47" s="31">
        <f t="shared" si="7"/>
        <v>0</v>
      </c>
      <c r="Q47" s="27">
        <f>COUNTIFS([5]InfCualitativo!$B$1:$B$6973,"VERDADERO",[5]InfCualitativo!$E$1:$E$6973,"Los Cerros",[5]InfCualitativo!$H$1:$H$6973,"electros")</f>
        <v>0</v>
      </c>
      <c r="R47" s="27">
        <f>COUNTIFS([5]InfCualitativo!$B$1:$B$6973,"FALSO",[5]InfCualitativo!$E$1:$E$6973,"Los Cerros",[5]InfCualitativo!$H$1:$H$6973,"electros")</f>
        <v>0</v>
      </c>
      <c r="S47" s="30">
        <f t="shared" si="8"/>
        <v>0</v>
      </c>
      <c r="T47" s="30">
        <f t="shared" si="9"/>
        <v>0</v>
      </c>
      <c r="U47" s="27">
        <f>COUNTIFS([5]InfCualitativo!$B$1:$B$6973,"VERDADERO",[5]InfCualitativo!$E$1:$E$6973,"Los Cerros",[5]InfCualitativo!$H$1:$H$6973,"rx")</f>
        <v>0</v>
      </c>
      <c r="V47" s="27">
        <f>COUNTIFS([5]InfCualitativo!$B$1:$B$6973,"FALSO",[5]InfCualitativo!$E$1:$E$6973,"Los Cerros",[5]InfCualitativo!$H$1:$H$6973,"rx")</f>
        <v>0</v>
      </c>
      <c r="W47" s="30">
        <f t="shared" si="10"/>
        <v>0</v>
      </c>
      <c r="X47" s="30">
        <f t="shared" si="11"/>
        <v>0</v>
      </c>
      <c r="Y47" s="27">
        <f>COUNTIFS([5]InfCualitativo!$B$1:$B$6973,"VERDADERO",[5]InfCualitativo!$E$1:$E$6973,"Los Cerros",[5]InfCualitativo!$H$1:$H$6973,"ecografias")</f>
        <v>1</v>
      </c>
      <c r="Z47" s="27">
        <f>COUNTIFS([5]InfCualitativo!$B$1:$B$6973,"FALSO",[5]InfCualitativo!$E$1:$E$6973,"Los Cerros",[5]InfCualitativo!$H$1:$H$6973,"ecografias")</f>
        <v>0</v>
      </c>
      <c r="AA47" s="30">
        <f>IFERROR(Y47/(Y47+Z47),0)</f>
        <v>1</v>
      </c>
      <c r="AB47" s="30">
        <f>IFERROR(Z47/(Y47+Z47),0)</f>
        <v>0</v>
      </c>
      <c r="AC47" s="27">
        <f>COUNTIFS([5]InfCualitativo!$B$1:$B$6973,"VERDADERO",[5]InfCualitativo!$E$1:$E$6973,"Los Cerros",[5]InfCualitativo!$H$1:$H$6973,"urgencia")</f>
        <v>0</v>
      </c>
      <c r="AD47" s="27">
        <f>COUNTIFS([5]InfCualitativo!$B$1:$B$6973,"FALSO",[5]InfCualitativo!$E$1:$E$6973,"Los Cerros",[5]InfCualitativo!$H$1:$H$6973,"urgencia")</f>
        <v>0</v>
      </c>
      <c r="AE47" s="30">
        <f t="shared" si="14"/>
        <v>0</v>
      </c>
      <c r="AF47" s="30">
        <f t="shared" si="15"/>
        <v>0</v>
      </c>
      <c r="AG47" s="27">
        <f>COUNTIFS([5]InfCualitativo!$B$1:$B$6973,"VERDADERO",[5]InfCualitativo!$E$1:$E$6973,"Los Cerros",[5]InfCualitativo!$H$1:$H$6973,"pediatria")</f>
        <v>24</v>
      </c>
      <c r="AH47" s="27">
        <f>COUNTIFS([5]InfCualitativo!$B$1:$B$6973,"FALSO",[5]InfCualitativo!$E$1:$E$6973,"Los Cerros",[5]InfCualitativo!$H$1:$H$6973,"pediatria")</f>
        <v>0</v>
      </c>
      <c r="AI47" s="30">
        <f t="shared" si="16"/>
        <v>1</v>
      </c>
      <c r="AJ47" s="30">
        <f t="shared" si="17"/>
        <v>0</v>
      </c>
      <c r="AK47" s="27">
        <f>COUNTIFS([5]InfCualitativo!$B$1:$B$6973,"VERDADERO",[5]InfCualitativo!$E$1:$E$6973,"Los Cerros",[5]InfCualitativo!$H$1:$H$6973,"medicina_interna")</f>
        <v>24</v>
      </c>
      <c r="AL47" s="27">
        <f>COUNTIFS([5]InfCualitativo!$B$1:$B$6973,"FALSO",[5]InfCualitativo!$E$1:$E$6973,"Los Cerros",[5]InfCualitativo!$H$1:$H$6973,"medicina_interna")</f>
        <v>0</v>
      </c>
      <c r="AM47" s="30">
        <f t="shared" si="18"/>
        <v>1</v>
      </c>
      <c r="AN47" s="30">
        <f t="shared" si="19"/>
        <v>0</v>
      </c>
      <c r="AO47" s="27">
        <f>COUNTIFS([5]InfCualitativo!$B$1:$B$6973,"VERDADERO",[5]InfCualitativo!$E$1:$E$6973,"Los Cerros",[5]InfCualitativo!$H$1:$H$6973,"ginecologia")</f>
        <v>15</v>
      </c>
      <c r="AP47" s="27">
        <f>COUNTIFS([5]InfCualitativo!$B$1:$B$6973,"FALSO",[5]InfCualitativo!$E$1:$E$6973,"Los Cerros",[5]InfCualitativo!$H$1:$H$6973,"ginecologia")</f>
        <v>0</v>
      </c>
      <c r="AQ47" s="30">
        <f t="shared" si="20"/>
        <v>1</v>
      </c>
      <c r="AR47" s="30">
        <f t="shared" si="21"/>
        <v>0</v>
      </c>
      <c r="AS47" s="27">
        <f t="shared" si="22"/>
        <v>181</v>
      </c>
      <c r="AT47" s="27">
        <f t="shared" si="22"/>
        <v>0</v>
      </c>
      <c r="AU47" s="32">
        <f t="shared" si="23"/>
        <v>1</v>
      </c>
      <c r="AV47" s="32">
        <f t="shared" si="24"/>
        <v>0</v>
      </c>
    </row>
    <row r="48" spans="1:48" ht="18.75" x14ac:dyDescent="0.3">
      <c r="A48" s="26" t="s">
        <v>68</v>
      </c>
      <c r="B48" s="27">
        <v>51</v>
      </c>
      <c r="C48" s="27">
        <f t="shared" si="1"/>
        <v>44</v>
      </c>
      <c r="D48" s="28">
        <f t="shared" si="0"/>
        <v>86.274509803921575</v>
      </c>
      <c r="E48" s="29">
        <f>COUNTIFS([5]InfCualitativo!$B$1:$B$6973,"VERDADERO",[5]InfCualitativo!$E$1:$E$6973,"Islote de San Bernardo",[5]InfCualitativo!$H$1:$H$6973,"consulta_externa")</f>
        <v>23</v>
      </c>
      <c r="F48" s="29">
        <f>COUNTIFS([5]InfCualitativo!$B$1:$B$6973,"FALSO",[5]InfCualitativo!$E$1:$E$6973,"Islote de San Bernardo",[5]InfCualitativo!$H$1:$H$6973,"consulta_externa")</f>
        <v>0</v>
      </c>
      <c r="G48" s="30">
        <f t="shared" si="2"/>
        <v>1</v>
      </c>
      <c r="H48" s="30">
        <f t="shared" si="3"/>
        <v>0</v>
      </c>
      <c r="I48" s="27">
        <f>COUNTIFS([5]InfCualitativo!$B$1:$B$6973,"VERDADERO",[5]InfCualitativo!$E$1:$E$6973,"Islote de San Bernardo",[5]InfCualitativo!$H$1:$H$6973,"salud_oral")</f>
        <v>10</v>
      </c>
      <c r="J48" s="27">
        <f>COUNTIFS([5]InfCualitativo!$B$1:$B$6973,"FALSO",[5]InfCualitativo!$E$1:$E$6973,"Islote de San Bernardo",[5]InfCualitativo!$H$1:$H$6973,"salud_oral")</f>
        <v>0</v>
      </c>
      <c r="K48" s="30">
        <f t="shared" si="4"/>
        <v>1</v>
      </c>
      <c r="L48" s="30">
        <f t="shared" si="5"/>
        <v>0</v>
      </c>
      <c r="M48" s="27">
        <f>COUNTIFS([5]InfCualitativo!$B$1:$B$6973,"VERDADERO",[5]InfCualitativo!$E$1:$E$6973,"Islote de San Bernardo",[5]InfCualitativo!$H$1:$H$6973,"laboratorio")</f>
        <v>11</v>
      </c>
      <c r="N48" s="27">
        <f>COUNTIFS([5]InfCualitativo!$B$1:$B$6973,"FALSO",[5]InfCualitativo!$E$1:$E$6973,"Islote de San Bernardo",[5]InfCualitativo!$H$1:$H$6973,"laboratorio")</f>
        <v>0</v>
      </c>
      <c r="O48" s="30">
        <f t="shared" si="6"/>
        <v>1</v>
      </c>
      <c r="P48" s="31">
        <f t="shared" si="7"/>
        <v>0</v>
      </c>
      <c r="Q48" s="27">
        <f>COUNTIFS([5]InfCualitativo!$B$1:$B$6973,"VERDADERO",[5]InfCualitativo!$E$1:$E$6973,"Islote de San Bernardo",[5]InfCualitativo!$H$1:$H$6973,"electros")</f>
        <v>0</v>
      </c>
      <c r="R48" s="27">
        <f>COUNTIFS([5]InfCualitativo!$B$1:$B$6973,"FALSO",[5]InfCualitativo!$E$1:$E$6973,"Islote de San Bernardo",[5]InfCualitativo!$H$1:$H$6973,"electros")</f>
        <v>0</v>
      </c>
      <c r="S48" s="30">
        <f t="shared" si="8"/>
        <v>0</v>
      </c>
      <c r="T48" s="30">
        <f t="shared" si="9"/>
        <v>0</v>
      </c>
      <c r="U48" s="27">
        <f>COUNTIFS([5]InfCualitativo!$B$1:$B$6973,"VERDADERO",[5]InfCualitativo!$E$1:$E$6973,"Islote de San Bernardo",[5]InfCualitativo!$H$1:$H$6973,"rx")</f>
        <v>0</v>
      </c>
      <c r="V48" s="27">
        <f>COUNTIFS([5]InfCualitativo!$B$1:$B$6973,"FALSO",[5]InfCualitativo!$E$1:$E$6973,"Islote de San Bernardo",[5]InfCualitativo!$H$1:$H$6973,"rx")</f>
        <v>0</v>
      </c>
      <c r="W48" s="30">
        <f t="shared" si="10"/>
        <v>0</v>
      </c>
      <c r="X48" s="30">
        <f t="shared" si="11"/>
        <v>0</v>
      </c>
      <c r="Y48" s="27">
        <f>COUNTIFS([5]InfCualitativo!$B$1:$B$6973,"VERDADERO",[5]InfCualitativo!$E$1:$E$6973,"Islote de San Bernardo",[5]InfCualitativo!$H$1:$H$6973,"ecografias")</f>
        <v>0</v>
      </c>
      <c r="Z48" s="27">
        <f>COUNTIFS([5]InfCualitativo!$B$1:$B$6973,"FALSO",[5]InfCualitativo!$E$1:$E$6973,"Islote de San Bernardo",[5]InfCualitativo!$H$1:$H$6973,"ecografias")</f>
        <v>0</v>
      </c>
      <c r="AA48" s="30">
        <f>IFERROR(Y48/(Y48+Z48),0)</f>
        <v>0</v>
      </c>
      <c r="AB48" s="30">
        <f>IFERROR(Z48/(Y48+Z48),0)</f>
        <v>0</v>
      </c>
      <c r="AC48" s="27">
        <f>COUNTIFS([5]InfCualitativo!$B$1:$B$6973,"VERDADERO",[5]InfCualitativo!$E$1:$E$6973,"Islote de San Bernardo",[5]InfCualitativo!$H$1:$H$6973,"urgencia")</f>
        <v>0</v>
      </c>
      <c r="AD48" s="27">
        <f>COUNTIFS([5]InfCualitativo!$B$1:$B$6973,"FALSO",[5]InfCualitativo!$E$1:$E$6973,"Islote de San Bernardo",[5]InfCualitativo!$H$1:$H$6973,"urgencia")</f>
        <v>0</v>
      </c>
      <c r="AE48" s="30">
        <f t="shared" si="14"/>
        <v>0</v>
      </c>
      <c r="AF48" s="30">
        <f t="shared" si="15"/>
        <v>0</v>
      </c>
      <c r="AG48" s="27">
        <f>COUNTIFS([5]InfCualitativo!$B$1:$B$6973,"VERDADERO",[5]InfCualitativo!$E$1:$E$6973,"Islote de San Bernardo",[5]InfCualitativo!$H$1:$H$6973,"pediatria")</f>
        <v>0</v>
      </c>
      <c r="AH48" s="27">
        <f>COUNTIFS([5]InfCualitativo!$B$1:$B$6973,"FALSO",[5]InfCualitativo!$E$1:$E$6973,"Islote de San Bernardo",[5]InfCualitativo!$H$1:$H$6973,"pediatria")</f>
        <v>0</v>
      </c>
      <c r="AI48" s="30">
        <f t="shared" si="16"/>
        <v>0</v>
      </c>
      <c r="AJ48" s="30">
        <f t="shared" si="17"/>
        <v>0</v>
      </c>
      <c r="AK48" s="27">
        <f>COUNTIFS([5]InfCualitativo!$B$1:$B$6973,"VERDADERO",[5]InfCualitativo!$E$1:$E$6973,"Islote de San Bernardo",[5]InfCualitativo!$H$1:$H$6973,"medicina_interna")</f>
        <v>0</v>
      </c>
      <c r="AL48" s="27">
        <f>COUNTIFS([5]InfCualitativo!$B$1:$B$6973,"FALSO",[5]InfCualitativo!$E$1:$E$6973,"Islote de San Bernardo",[5]InfCualitativo!$H$1:$H$6973,"medicina_interna")</f>
        <v>0</v>
      </c>
      <c r="AM48" s="30">
        <f t="shared" si="18"/>
        <v>0</v>
      </c>
      <c r="AN48" s="30">
        <f t="shared" si="19"/>
        <v>0</v>
      </c>
      <c r="AO48" s="27">
        <f>COUNTIFS([5]InfCualitativo!$B$1:$B$6973,"VERDADERO",[5]InfCualitativo!$E$1:$E$6973,"Islote de San Bernardo",[5]InfCualitativo!$H$1:$H$6973,"ginecologia")</f>
        <v>0</v>
      </c>
      <c r="AP48" s="27">
        <f>COUNTIFS([5]InfCualitativo!$B$1:$B$6973,"FALSO",[5]InfCualitativo!$E$1:$E$6973,"Islote de San Bernardo",[5]InfCualitativo!$H$1:$H$6973,"ginecologia")</f>
        <v>0</v>
      </c>
      <c r="AQ48" s="30">
        <f t="shared" si="20"/>
        <v>0</v>
      </c>
      <c r="AR48" s="30">
        <f t="shared" si="21"/>
        <v>0</v>
      </c>
      <c r="AS48" s="27">
        <f t="shared" si="22"/>
        <v>44</v>
      </c>
      <c r="AT48" s="27">
        <f t="shared" si="22"/>
        <v>0</v>
      </c>
      <c r="AU48" s="32">
        <f t="shared" si="23"/>
        <v>1</v>
      </c>
      <c r="AV48" s="32">
        <f t="shared" si="24"/>
        <v>0</v>
      </c>
    </row>
    <row r="49" spans="1:48" ht="18.75" x14ac:dyDescent="0.3">
      <c r="A49" s="36" t="s">
        <v>69</v>
      </c>
      <c r="B49" s="27">
        <v>177</v>
      </c>
      <c r="C49" s="27">
        <f t="shared" si="1"/>
        <v>177</v>
      </c>
      <c r="D49" s="28">
        <f t="shared" si="0"/>
        <v>100</v>
      </c>
      <c r="E49" s="29">
        <f>COUNTIFS([5]InfCualitativo!$B$1:$B$6973,"VERDADERO",[5]InfCualitativo!$E$1:$E$6973,"Santa Ana",[5]InfCualitativo!$H$1:$H$6973,"consulta_externa")</f>
        <v>83</v>
      </c>
      <c r="F49" s="29">
        <f>COUNTIFS([5]InfCualitativo!$B$1:$B$6973,"FALSO",[5]InfCualitativo!$E$1:$E$6973,"Santa Ana",[5]InfCualitativo!$H$1:$H$6973,"consulta_externa")</f>
        <v>0</v>
      </c>
      <c r="G49" s="30">
        <f t="shared" si="2"/>
        <v>1</v>
      </c>
      <c r="H49" s="30">
        <f t="shared" si="3"/>
        <v>0</v>
      </c>
      <c r="I49" s="27">
        <f>COUNTIFS([5]InfCualitativo!$B$1:$B$6973,"VERDADERO",[5]InfCualitativo!$E$1:$E$6973,"Santa Ana",[5]InfCualitativo!$H$1:$H$6973,"salud_oral")</f>
        <v>35</v>
      </c>
      <c r="J49" s="27">
        <f>COUNTIFS([5]InfCualitativo!$B$1:$B$6973,"FALSO",[5]InfCualitativo!$E$1:$E$6973,"Santa Ana",[5]InfCualitativo!$H$1:$H$6973,"salud_oral")</f>
        <v>0</v>
      </c>
      <c r="K49" s="30">
        <f t="shared" si="4"/>
        <v>1</v>
      </c>
      <c r="L49" s="30">
        <f t="shared" si="5"/>
        <v>0</v>
      </c>
      <c r="M49" s="27">
        <f>COUNTIFS([5]InfCualitativo!$B$1:$B$6973,"VERDADERO",[5]InfCualitativo!$E$1:$E$6973,"Santa Ana",[5]InfCualitativo!$H$1:$H$6973,"laboratorio")</f>
        <v>56</v>
      </c>
      <c r="N49" s="27">
        <f>COUNTIFS([5]InfCualitativo!$B$1:$B$6973,"FALSO",[5]InfCualitativo!$E$1:$E$6973,"Santa Ana",[5]InfCualitativo!$H$1:$H$6973,"laboratorio")</f>
        <v>0</v>
      </c>
      <c r="O49" s="30">
        <f t="shared" si="6"/>
        <v>1</v>
      </c>
      <c r="P49" s="31">
        <f t="shared" si="7"/>
        <v>0</v>
      </c>
      <c r="Q49" s="27">
        <f>COUNTIFS([5]InfCualitativo!$B$1:$B$6973,"VERDADERO",[5]InfCualitativo!$E$1:$E$6973,"Santa Ana",[5]InfCualitativo!$H$1:$H$6973,"electros")</f>
        <v>0</v>
      </c>
      <c r="R49" s="27">
        <f>COUNTIFS([5]InfCualitativo!$B$1:$B$6973,"FALSO",[5]InfCualitativo!$E$1:$E$6973,"Santa Ana",[5]InfCualitativo!$H$1:$H$6973,"electros")</f>
        <v>0</v>
      </c>
      <c r="S49" s="30">
        <f t="shared" si="8"/>
        <v>0</v>
      </c>
      <c r="T49" s="30">
        <f t="shared" si="9"/>
        <v>0</v>
      </c>
      <c r="U49" s="27">
        <f>COUNTIFS([5]InfCualitativo!$B$1:$B$6973,"VERDADERO",[5]InfCualitativo!$E$1:$E$6973,"Santa Ana",[5]InfCualitativo!$H$1:$H$6973,"rx")</f>
        <v>0</v>
      </c>
      <c r="V49" s="27">
        <f>COUNTIFS([5]InfCualitativo!$B$1:$B$6973,"FALSO",[5]InfCualitativo!$E$1:$E$6973,"Santa Ana",[5]InfCualitativo!$H$1:$H$6973,"rx")</f>
        <v>0</v>
      </c>
      <c r="W49" s="30">
        <f t="shared" si="10"/>
        <v>0</v>
      </c>
      <c r="X49" s="30">
        <f t="shared" si="11"/>
        <v>0</v>
      </c>
      <c r="Y49" s="27">
        <f>COUNTIFS([5]InfCualitativo!$B$1:$B$6973,"VERDADERO",[5]InfCualitativo!$E$1:$E$6973,"Santa Ana",[5]InfCualitativo!$H$1:$H$6973,"ecografias")</f>
        <v>0</v>
      </c>
      <c r="Z49" s="27">
        <f>COUNTIFS([5]InfCualitativo!$B$1:$B$6973,"FALSO",[5]InfCualitativo!$E$1:$E$6973,"Santa Ana",[5]InfCualitativo!$H$1:$H$6973,"ecografias")</f>
        <v>0</v>
      </c>
      <c r="AA49" s="30">
        <f>IFERROR(Y49/(Y49+Z49),0)</f>
        <v>0</v>
      </c>
      <c r="AB49" s="30">
        <f>IFERROR(Z49/(Y49+Z49),0)</f>
        <v>0</v>
      </c>
      <c r="AC49" s="27">
        <f>COUNTIFS([5]InfCualitativo!$B$1:$B$6973,"VERDADERO",[5]InfCualitativo!$E$1:$E$6973,"Santa Ana",[5]InfCualitativo!$H$1:$H$6973,"urgencia")</f>
        <v>3</v>
      </c>
      <c r="AD49" s="27">
        <f>COUNTIFS([5]InfCualitativo!$B$1:$B$6973,"FALSO",[5]InfCualitativo!$E$1:$E$6973,"Santa Ana",[5]InfCualitativo!$H$1:$H$6973,"urgencia")</f>
        <v>0</v>
      </c>
      <c r="AE49" s="30">
        <f t="shared" si="14"/>
        <v>1</v>
      </c>
      <c r="AF49" s="30">
        <f t="shared" si="15"/>
        <v>0</v>
      </c>
      <c r="AG49" s="27">
        <f>COUNTIFS([5]InfCualitativo!$B$1:$B$6973,"VERDADERO",[5]InfCualitativo!$E$1:$E$6973,"Santa Ana",[5]InfCualitativo!$H$1:$H$6973,"pediatria")</f>
        <v>0</v>
      </c>
      <c r="AH49" s="27">
        <f>COUNTIFS([5]InfCualitativo!$B$1:$B$6973,"FALSO",[5]InfCualitativo!$E$1:$E$6973,"Santa Ana",[5]InfCualitativo!$H$1:$H$6973,"pediatria")</f>
        <v>0</v>
      </c>
      <c r="AI49" s="30">
        <f t="shared" si="16"/>
        <v>0</v>
      </c>
      <c r="AJ49" s="30">
        <f t="shared" si="17"/>
        <v>0</v>
      </c>
      <c r="AK49" s="27">
        <f>COUNTIFS([5]InfCualitativo!$B$1:$B$6973,"VERDADERO",[5]InfCualitativo!$E$1:$E$6973,"Santa Ana",[5]InfCualitativo!$H$1:$H$6973,"medicina_interna")</f>
        <v>0</v>
      </c>
      <c r="AL49" s="27">
        <f>COUNTIFS([5]InfCualitativo!$B$1:$B$6973,"FALSO",[5]InfCualitativo!$E$1:$E$6973,"Santa Ana",[5]InfCualitativo!$H$1:$H$6973,"medicina_interna")</f>
        <v>0</v>
      </c>
      <c r="AM49" s="30">
        <f t="shared" si="18"/>
        <v>0</v>
      </c>
      <c r="AN49" s="30">
        <f t="shared" si="19"/>
        <v>0</v>
      </c>
      <c r="AO49" s="27">
        <f>COUNTIFS([5]InfCualitativo!$B$1:$B$6973,"VERDADERO",[5]InfCualitativo!$E$1:$E$6973,"Santa Ana",[5]InfCualitativo!$H$1:$H$6973,"ginecologia")</f>
        <v>0</v>
      </c>
      <c r="AP49" s="27">
        <f>COUNTIFS([5]InfCualitativo!$B$1:$B$6973,"FALSO",[5]InfCualitativo!$E$1:$E$6973,"Santa Ana",[5]InfCualitativo!$H$1:$H$6973,"ginecologia")</f>
        <v>0</v>
      </c>
      <c r="AQ49" s="30">
        <f t="shared" si="20"/>
        <v>0</v>
      </c>
      <c r="AR49" s="30">
        <f t="shared" si="21"/>
        <v>0</v>
      </c>
      <c r="AS49" s="27">
        <f t="shared" si="22"/>
        <v>177</v>
      </c>
      <c r="AT49" s="27">
        <f t="shared" si="22"/>
        <v>0</v>
      </c>
      <c r="AU49" s="32">
        <f t="shared" si="23"/>
        <v>1</v>
      </c>
      <c r="AV49" s="32">
        <f t="shared" si="24"/>
        <v>0</v>
      </c>
    </row>
    <row r="50" spans="1:48" ht="23.25" x14ac:dyDescent="0.35">
      <c r="A50" s="38"/>
      <c r="B50" s="39">
        <f>SUM(B3:B49)</f>
        <v>5389</v>
      </c>
      <c r="C50" s="81">
        <f t="shared" si="1"/>
        <v>5277</v>
      </c>
      <c r="D50" s="41">
        <f>C50/B50</f>
        <v>0.97921692336240485</v>
      </c>
      <c r="E50" s="42">
        <f>SUM(E3:E49)</f>
        <v>1560</v>
      </c>
      <c r="F50" s="43">
        <f>SUM(F3:F49)</f>
        <v>88</v>
      </c>
      <c r="G50" s="75">
        <f t="shared" si="2"/>
        <v>0.94660194174757284</v>
      </c>
      <c r="H50" s="75">
        <f t="shared" si="3"/>
        <v>5.3398058252427182E-2</v>
      </c>
      <c r="I50" s="45">
        <f>SUM(I3:I49)</f>
        <v>1293</v>
      </c>
      <c r="J50" s="46">
        <f>SUM(J3:J49)</f>
        <v>50</v>
      </c>
      <c r="K50" s="75">
        <f t="shared" si="4"/>
        <v>0.96276991809381984</v>
      </c>
      <c r="L50" s="75">
        <f t="shared" si="5"/>
        <v>3.7230081906180192E-2</v>
      </c>
      <c r="M50" s="45">
        <f>SUM(M3:M49)</f>
        <v>1309</v>
      </c>
      <c r="N50" s="46">
        <f>SUM(N3:N49)</f>
        <v>87</v>
      </c>
      <c r="O50" s="75">
        <f t="shared" si="6"/>
        <v>0.93767908309455583</v>
      </c>
      <c r="P50" s="76">
        <f t="shared" si="7"/>
        <v>6.2320916905444126E-2</v>
      </c>
      <c r="Q50" s="46">
        <f>SUM(Q3:Q49)</f>
        <v>65</v>
      </c>
      <c r="R50" s="46">
        <f>SUM(R3:R49)</f>
        <v>4</v>
      </c>
      <c r="S50" s="75">
        <f t="shared" si="8"/>
        <v>0.94202898550724634</v>
      </c>
      <c r="T50" s="75">
        <f t="shared" si="9"/>
        <v>5.7971014492753624E-2</v>
      </c>
      <c r="U50" s="46">
        <f>SUM(U3:U49)</f>
        <v>98</v>
      </c>
      <c r="V50" s="46">
        <f>SUM(V3:V49)</f>
        <v>6</v>
      </c>
      <c r="W50" s="75">
        <f t="shared" si="10"/>
        <v>0.94230769230769229</v>
      </c>
      <c r="X50" s="75">
        <f t="shared" si="11"/>
        <v>5.7692307692307696E-2</v>
      </c>
      <c r="Y50" s="46">
        <f>SUM(Y3:Y49)</f>
        <v>55</v>
      </c>
      <c r="Z50" s="46">
        <f>SUM(Z3:Z49)</f>
        <v>0</v>
      </c>
      <c r="AA50" s="75">
        <f t="shared" si="12"/>
        <v>1</v>
      </c>
      <c r="AB50" s="75">
        <f t="shared" si="13"/>
        <v>0</v>
      </c>
      <c r="AC50" s="45">
        <f>SUM(AC3:AC49)</f>
        <v>294</v>
      </c>
      <c r="AD50" s="46">
        <f>SUM(AD3:AD49)</f>
        <v>115</v>
      </c>
      <c r="AE50" s="75">
        <f t="shared" si="14"/>
        <v>0.71882640586797064</v>
      </c>
      <c r="AF50" s="75">
        <f t="shared" si="15"/>
        <v>0.28117359413202936</v>
      </c>
      <c r="AG50" s="45">
        <f>SUM(AG3:AG49)</f>
        <v>130</v>
      </c>
      <c r="AH50" s="46">
        <f>SUM(AH3:AH49)</f>
        <v>3</v>
      </c>
      <c r="AI50" s="75">
        <f t="shared" si="16"/>
        <v>0.97744360902255634</v>
      </c>
      <c r="AJ50" s="75">
        <f t="shared" si="17"/>
        <v>2.2556390977443608E-2</v>
      </c>
      <c r="AK50" s="45">
        <f>SUM(AK3:AK49)</f>
        <v>52</v>
      </c>
      <c r="AL50" s="46">
        <f>SUM(AL3:AL49)</f>
        <v>5</v>
      </c>
      <c r="AM50" s="75">
        <f t="shared" si="18"/>
        <v>0.91228070175438591</v>
      </c>
      <c r="AN50" s="75">
        <f t="shared" si="19"/>
        <v>8.771929824561403E-2</v>
      </c>
      <c r="AO50" s="45">
        <f>SUM(AO3:AO49)</f>
        <v>62</v>
      </c>
      <c r="AP50" s="46">
        <v>1</v>
      </c>
      <c r="AQ50" s="75">
        <f t="shared" si="20"/>
        <v>0.98412698412698407</v>
      </c>
      <c r="AR50" s="75">
        <f t="shared" si="21"/>
        <v>1.5873015873015872E-2</v>
      </c>
      <c r="AS50" s="27">
        <f t="shared" si="22"/>
        <v>4918</v>
      </c>
      <c r="AT50" s="27">
        <f t="shared" si="22"/>
        <v>359</v>
      </c>
      <c r="AU50" s="104">
        <f t="shared" si="23"/>
        <v>0.93196892173583479</v>
      </c>
      <c r="AV50" s="104">
        <f t="shared" si="24"/>
        <v>6.803107826416524E-2</v>
      </c>
    </row>
    <row r="51" spans="1:48" x14ac:dyDescent="0.25">
      <c r="C51" s="103"/>
      <c r="E51" s="54">
        <f>SUM(E50:F50)</f>
        <v>1648</v>
      </c>
      <c r="F51" s="55"/>
      <c r="I51" s="54">
        <f>SUM(I50:J50)</f>
        <v>1343</v>
      </c>
      <c r="J51" s="55"/>
      <c r="M51" s="54">
        <f>SUM(M50:N50)</f>
        <v>1396</v>
      </c>
      <c r="N51" s="55"/>
      <c r="Q51" s="55">
        <f>SUM(Q50:R50)</f>
        <v>69</v>
      </c>
      <c r="R51" s="55"/>
      <c r="U51" s="55">
        <f>SUM(U50:V50)</f>
        <v>104</v>
      </c>
      <c r="V51" s="55"/>
      <c r="Y51" s="55">
        <f>SUM(Y50:Z50)</f>
        <v>55</v>
      </c>
      <c r="Z51" s="55"/>
      <c r="AC51" s="55">
        <f>SUM(AC50:AD50)</f>
        <v>409</v>
      </c>
      <c r="AD51" s="55"/>
      <c r="AG51" s="55">
        <v>133</v>
      </c>
      <c r="AH51" s="55"/>
      <c r="AK51" s="55">
        <v>57</v>
      </c>
      <c r="AL51" s="55"/>
      <c r="AO51" s="55">
        <v>63</v>
      </c>
      <c r="AP51" s="55"/>
      <c r="AS51" s="53"/>
    </row>
    <row r="54" spans="1:48" ht="44.25" customHeight="1" x14ac:dyDescent="0.25">
      <c r="A54" s="56" t="s">
        <v>70</v>
      </c>
      <c r="B54" s="57"/>
      <c r="I54" s="58"/>
      <c r="J54" s="58"/>
      <c r="K54" s="58"/>
      <c r="L54" s="58"/>
      <c r="M54" s="58"/>
    </row>
    <row r="55" spans="1:48" x14ac:dyDescent="0.25">
      <c r="A55" s="59" t="s">
        <v>71</v>
      </c>
      <c r="B55" s="60">
        <f>COUNTIFS([5]InfCualitativo!$J$1:$J$6973,"muybueno")</f>
        <v>743</v>
      </c>
    </row>
    <row r="56" spans="1:48" x14ac:dyDescent="0.25">
      <c r="A56" s="59" t="s">
        <v>72</v>
      </c>
      <c r="B56" s="60">
        <f>COUNTIFS([5]InfCualitativo!$J$1:$J$6973,"bueno")</f>
        <v>4175</v>
      </c>
    </row>
    <row r="57" spans="1:48" x14ac:dyDescent="0.25">
      <c r="A57" s="59" t="s">
        <v>73</v>
      </c>
      <c r="B57" s="60">
        <f>COUNTIFS([5]InfCualitativo!$J$1:$J$6973,"regular")</f>
        <v>336</v>
      </c>
    </row>
    <row r="58" spans="1:48" x14ac:dyDescent="0.25">
      <c r="A58" s="59" t="s">
        <v>74</v>
      </c>
      <c r="B58" s="60">
        <f>COUNTIFS([5]InfCualitativo!$J$1:$J$6973,"malo")</f>
        <v>23</v>
      </c>
    </row>
    <row r="59" spans="1:48" x14ac:dyDescent="0.25">
      <c r="A59" s="59" t="s">
        <v>75</v>
      </c>
      <c r="B59" s="60">
        <f>COUNTIFS([5]InfCualitativo!$J$1:$J$6973,"muymalo")</f>
        <v>0</v>
      </c>
      <c r="C59">
        <f>SUM(B55:B59)</f>
        <v>5277</v>
      </c>
    </row>
    <row r="60" spans="1:48" ht="31.5" customHeight="1" x14ac:dyDescent="0.25">
      <c r="A60" s="59"/>
      <c r="B60" s="60"/>
    </row>
    <row r="61" spans="1:48" ht="42" customHeight="1" x14ac:dyDescent="0.25">
      <c r="A61" s="61" t="s">
        <v>76</v>
      </c>
      <c r="B61" s="62"/>
    </row>
    <row r="62" spans="1:48" x14ac:dyDescent="0.25">
      <c r="A62" s="59" t="s">
        <v>77</v>
      </c>
      <c r="B62" s="60">
        <f>COUNTIFS([5]InfCualitativo!$K$1:$K$6973,"defsi")</f>
        <v>3312</v>
      </c>
    </row>
    <row r="63" spans="1:48" x14ac:dyDescent="0.25">
      <c r="A63" s="59" t="s">
        <v>78</v>
      </c>
      <c r="B63" s="60">
        <f>COUNTIFS([5]InfCualitativo!$K$1:$K$6973,"probsi")</f>
        <v>1926</v>
      </c>
    </row>
    <row r="64" spans="1:48" x14ac:dyDescent="0.25">
      <c r="A64" s="59" t="s">
        <v>79</v>
      </c>
      <c r="B64" s="60">
        <f>COUNTIFS([5]InfCualitativo!$K$1:$K$6973,"defno")</f>
        <v>4</v>
      </c>
    </row>
    <row r="65" spans="1:2" x14ac:dyDescent="0.25">
      <c r="A65" s="63" t="s">
        <v>80</v>
      </c>
      <c r="B65" s="64">
        <f>COUNTIFS([5]InfCualitativo!$K$1:$K$6973,"probno")</f>
        <v>35</v>
      </c>
    </row>
    <row r="66" spans="1:2" x14ac:dyDescent="0.25">
      <c r="B66">
        <f>SUM(B62:B65)</f>
        <v>5277</v>
      </c>
    </row>
  </sheetData>
  <autoFilter ref="A1:D51" xr:uid="{00000000-0001-0000-0000-000000000000}"/>
  <mergeCells count="31">
    <mergeCell ref="A61:B61"/>
    <mergeCell ref="AC51:AD51"/>
    <mergeCell ref="AG51:AH51"/>
    <mergeCell ref="AK51:AL51"/>
    <mergeCell ref="AO51:AP51"/>
    <mergeCell ref="A54:B54"/>
    <mergeCell ref="I54:M54"/>
    <mergeCell ref="E51:F51"/>
    <mergeCell ref="I51:J51"/>
    <mergeCell ref="M51:N51"/>
    <mergeCell ref="Q51:R51"/>
    <mergeCell ref="U51:V51"/>
    <mergeCell ref="Y51:Z51"/>
    <mergeCell ref="AK1:AN1"/>
    <mergeCell ref="AO1:AR1"/>
    <mergeCell ref="AS1:AS2"/>
    <mergeCell ref="AT1:AT2"/>
    <mergeCell ref="AU1:AU2"/>
    <mergeCell ref="AV1:AV2"/>
    <mergeCell ref="M1:P1"/>
    <mergeCell ref="Q1:T1"/>
    <mergeCell ref="V1:X1"/>
    <mergeCell ref="Y1:AB1"/>
    <mergeCell ref="AC1:AF1"/>
    <mergeCell ref="AG1:AJ1"/>
    <mergeCell ref="A1:A2"/>
    <mergeCell ref="B1:B2"/>
    <mergeCell ref="C1:C2"/>
    <mergeCell ref="D1:D2"/>
    <mergeCell ref="E1:H1"/>
    <mergeCell ref="I1:L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6E82C-3EBB-4395-A20D-582B85FE078D}">
  <dimension ref="A1:AV66"/>
  <sheetViews>
    <sheetView topLeftCell="A35" zoomScale="80" zoomScaleNormal="80" workbookViewId="0">
      <selection activeCell="AM50" sqref="AM50"/>
    </sheetView>
  </sheetViews>
  <sheetFormatPr baseColWidth="10" defaultColWidth="11.42578125" defaultRowHeight="15" x14ac:dyDescent="0.25"/>
  <cols>
    <col min="1" max="1" width="27.28515625" bestFit="1" customWidth="1"/>
    <col min="2" max="2" width="21.85546875" customWidth="1"/>
    <col min="3" max="3" width="18.85546875" customWidth="1"/>
    <col min="4" max="4" width="20.5703125" customWidth="1"/>
    <col min="5" max="5" width="16" customWidth="1"/>
    <col min="6" max="6" width="14.7109375" customWidth="1"/>
    <col min="7" max="7" width="16.140625" customWidth="1"/>
    <col min="8" max="8" width="17.85546875" customWidth="1"/>
    <col min="9" max="9" width="16.140625" customWidth="1"/>
    <col min="10" max="11" width="17" customWidth="1"/>
    <col min="12" max="12" width="16.28515625" customWidth="1"/>
    <col min="13" max="13" width="15.28515625" customWidth="1"/>
    <col min="14" max="14" width="15.7109375" customWidth="1"/>
    <col min="15" max="15" width="15" customWidth="1"/>
    <col min="16" max="16" width="15.28515625" customWidth="1"/>
    <col min="17" max="17" width="15.42578125" customWidth="1"/>
    <col min="18" max="18" width="15.5703125" customWidth="1"/>
    <col min="19" max="19" width="15.42578125" customWidth="1"/>
    <col min="20" max="20" width="15.28515625" customWidth="1"/>
    <col min="21" max="21" width="14.85546875" customWidth="1"/>
    <col min="22" max="22" width="15.42578125" customWidth="1"/>
    <col min="23" max="24" width="15.140625" customWidth="1"/>
    <col min="25" max="25" width="15.28515625" customWidth="1"/>
    <col min="26" max="26" width="15" customWidth="1"/>
    <col min="27" max="27" width="15.42578125" customWidth="1"/>
    <col min="28" max="28" width="15.7109375" customWidth="1"/>
    <col min="29" max="29" width="15.140625" customWidth="1"/>
    <col min="30" max="31" width="15.85546875" customWidth="1"/>
    <col min="32" max="32" width="15.7109375" customWidth="1"/>
    <col min="33" max="33" width="15.5703125" customWidth="1"/>
    <col min="34" max="34" width="15" customWidth="1"/>
    <col min="35" max="35" width="14.85546875" customWidth="1"/>
    <col min="36" max="36" width="16.140625" customWidth="1"/>
    <col min="37" max="38" width="15" customWidth="1"/>
    <col min="39" max="39" width="14.85546875" customWidth="1"/>
    <col min="40" max="40" width="14.5703125" customWidth="1"/>
    <col min="41" max="41" width="14.85546875" customWidth="1"/>
    <col min="42" max="42" width="16" customWidth="1"/>
    <col min="43" max="44" width="14.85546875" customWidth="1"/>
    <col min="45" max="45" width="19.5703125" customWidth="1"/>
    <col min="46" max="46" width="18.28515625" customWidth="1"/>
    <col min="47" max="47" width="20" customWidth="1"/>
    <col min="48" max="48" width="20.5703125" customWidth="1"/>
  </cols>
  <sheetData>
    <row r="1" spans="1:48" ht="32.25" thickBot="1" x14ac:dyDescent="0.55000000000000004">
      <c r="A1" s="1" t="s">
        <v>0</v>
      </c>
      <c r="B1" s="65" t="s">
        <v>1</v>
      </c>
      <c r="C1" s="66" t="s">
        <v>2</v>
      </c>
      <c r="D1" s="67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5" t="s">
        <v>6</v>
      </c>
      <c r="N1" s="6"/>
      <c r="O1" s="6"/>
      <c r="P1" s="7"/>
      <c r="Q1" s="5" t="s">
        <v>7</v>
      </c>
      <c r="R1" s="6"/>
      <c r="S1" s="6"/>
      <c r="T1" s="7"/>
      <c r="U1" s="8"/>
      <c r="V1" s="6" t="s">
        <v>8</v>
      </c>
      <c r="W1" s="6"/>
      <c r="X1" s="7"/>
      <c r="Y1" s="5" t="s">
        <v>9</v>
      </c>
      <c r="Z1" s="6"/>
      <c r="AA1" s="6"/>
      <c r="AB1" s="7"/>
      <c r="AC1" s="5" t="s">
        <v>10</v>
      </c>
      <c r="AD1" s="6"/>
      <c r="AE1" s="6"/>
      <c r="AF1" s="6"/>
      <c r="AG1" s="9" t="s">
        <v>11</v>
      </c>
      <c r="AH1" s="9"/>
      <c r="AI1" s="9"/>
      <c r="AJ1" s="9"/>
      <c r="AK1" s="9" t="s">
        <v>12</v>
      </c>
      <c r="AL1" s="9"/>
      <c r="AM1" s="9"/>
      <c r="AN1" s="9"/>
      <c r="AO1" s="9" t="s">
        <v>13</v>
      </c>
      <c r="AP1" s="9"/>
      <c r="AQ1" s="9"/>
      <c r="AR1" s="9"/>
      <c r="AS1" s="105" t="s">
        <v>14</v>
      </c>
      <c r="AT1" s="106" t="s">
        <v>15</v>
      </c>
      <c r="AU1" s="107" t="s">
        <v>16</v>
      </c>
      <c r="AV1" s="107" t="s">
        <v>17</v>
      </c>
    </row>
    <row r="2" spans="1:48" x14ac:dyDescent="0.25">
      <c r="A2" s="13"/>
      <c r="B2" s="70"/>
      <c r="C2" s="71"/>
      <c r="D2" s="72"/>
      <c r="E2" s="17" t="s">
        <v>18</v>
      </c>
      <c r="F2" s="18" t="s">
        <v>19</v>
      </c>
      <c r="G2" s="17" t="s">
        <v>20</v>
      </c>
      <c r="H2" s="17" t="s">
        <v>21</v>
      </c>
      <c r="I2" s="18" t="s">
        <v>18</v>
      </c>
      <c r="J2" s="19" t="s">
        <v>19</v>
      </c>
      <c r="K2" s="18" t="s">
        <v>20</v>
      </c>
      <c r="L2" s="19" t="s">
        <v>21</v>
      </c>
      <c r="M2" s="18" t="s">
        <v>18</v>
      </c>
      <c r="N2" s="17" t="s">
        <v>19</v>
      </c>
      <c r="O2" s="18" t="s">
        <v>20</v>
      </c>
      <c r="P2" s="17" t="s">
        <v>21</v>
      </c>
      <c r="Q2" s="18" t="s">
        <v>18</v>
      </c>
      <c r="R2" s="19" t="s">
        <v>19</v>
      </c>
      <c r="S2" s="18" t="s">
        <v>20</v>
      </c>
      <c r="T2" s="19" t="s">
        <v>21</v>
      </c>
      <c r="U2" s="18" t="s">
        <v>18</v>
      </c>
      <c r="V2" s="19" t="s">
        <v>19</v>
      </c>
      <c r="W2" s="18" t="s">
        <v>20</v>
      </c>
      <c r="X2" s="19" t="s">
        <v>21</v>
      </c>
      <c r="Y2" s="18" t="s">
        <v>18</v>
      </c>
      <c r="Z2" s="19" t="s">
        <v>19</v>
      </c>
      <c r="AA2" s="18" t="s">
        <v>20</v>
      </c>
      <c r="AB2" s="19" t="s">
        <v>21</v>
      </c>
      <c r="AC2" s="19" t="s">
        <v>18</v>
      </c>
      <c r="AD2" s="19" t="s">
        <v>19</v>
      </c>
      <c r="AE2" s="18" t="s">
        <v>20</v>
      </c>
      <c r="AF2" s="19" t="s">
        <v>21</v>
      </c>
      <c r="AG2" s="17" t="s">
        <v>18</v>
      </c>
      <c r="AH2" s="20" t="s">
        <v>19</v>
      </c>
      <c r="AI2" s="21" t="s">
        <v>20</v>
      </c>
      <c r="AJ2" s="22" t="s">
        <v>21</v>
      </c>
      <c r="AK2" s="17" t="s">
        <v>18</v>
      </c>
      <c r="AL2" s="17" t="s">
        <v>19</v>
      </c>
      <c r="AM2" s="18" t="s">
        <v>20</v>
      </c>
      <c r="AN2" s="17" t="s">
        <v>21</v>
      </c>
      <c r="AO2" s="17" t="s">
        <v>18</v>
      </c>
      <c r="AP2" s="17" t="s">
        <v>19</v>
      </c>
      <c r="AQ2" s="18" t="s">
        <v>20</v>
      </c>
      <c r="AR2" s="17" t="s">
        <v>21</v>
      </c>
      <c r="AS2" s="108"/>
      <c r="AT2" s="109"/>
      <c r="AU2" s="110"/>
      <c r="AV2" s="110"/>
    </row>
    <row r="3" spans="1:48" ht="18.75" x14ac:dyDescent="0.3">
      <c r="A3" s="26" t="s">
        <v>22</v>
      </c>
      <c r="B3" s="27">
        <v>73</v>
      </c>
      <c r="C3" s="27">
        <f>SUM(E3,F3,I3,J3,M3,N3,Q3,R3,U3,V3,Y3,Z3,AC3,AD3,AG3,AH3,AK3,AL3,AO3,AP3)</f>
        <v>73</v>
      </c>
      <c r="D3" s="28">
        <f t="shared" ref="D3:D49" si="0">(C3*100)/B3</f>
        <v>100</v>
      </c>
      <c r="E3" s="29">
        <f>COUNTIFS([6]InfCualitativo!$B$1:$B$6973,"VERDADERO",[6]InfCualitativo!$E$1:$E$6973,"Arroyo de las Canoas",[6]InfCualitativo!$H$1:$H$6973,"consulta_externa")</f>
        <v>29</v>
      </c>
      <c r="F3" s="29">
        <f>COUNTIFS([6]InfCualitativo!$B$1:$B$6973,"FALSO",[6]InfCualitativo!$E$1:$E$6973,"Arroyo de las Canoas",[6]InfCualitativo!$H$1:$H$6973,"consulta_externa")</f>
        <v>0</v>
      </c>
      <c r="G3" s="30">
        <f>IFERROR(E3/(E3+F3),0)</f>
        <v>1</v>
      </c>
      <c r="H3" s="30">
        <f>IFERROR(F3/(E3+F3),0)</f>
        <v>0</v>
      </c>
      <c r="I3" s="27">
        <f>COUNTIFS([6]InfCualitativo!$B$1:$B$6973,"VERDADERO",[6]InfCualitativo!$E$1:$E$6973,"Arroyo de las Canoas",[6]InfCualitativo!$H$1:$H$6973,"salud_oral")</f>
        <v>18</v>
      </c>
      <c r="J3" s="27">
        <f>COUNTIFS([6]InfCualitativo!$B$1:$B$6973,"FALSO",[6]InfCualitativo!$E$1:$E$6973,"Arroyo de las Canoas",[6]InfCualitativo!$H$1:$H$6973,"salud_oral")</f>
        <v>0</v>
      </c>
      <c r="K3" s="30">
        <f>IFERROR(I3/(I3+J3),0)</f>
        <v>1</v>
      </c>
      <c r="L3" s="30">
        <f>IFERROR(J3/(I3+J3),0)</f>
        <v>0</v>
      </c>
      <c r="M3" s="27">
        <f>COUNTIFS([6]InfCualitativo!$B$1:$B$6973,"VERDADERO",[6]InfCualitativo!$E$1:$E$6973,"Arroyo de las Canoas",[6]InfCualitativo!$H$1:$H$6973,"laboratorio")</f>
        <v>26</v>
      </c>
      <c r="N3" s="27">
        <f>COUNTIFS([6]InfCualitativo!$B$1:$B$6973,"FALSO",[6]InfCualitativo!$E$1:$E$6973,"Arroyo de las Canoas",[6]InfCualitativo!$H$1:$H$6973,"laboratorio")</f>
        <v>0</v>
      </c>
      <c r="O3" s="30">
        <f>IFERROR(M3/(M3+N3),0)</f>
        <v>1</v>
      </c>
      <c r="P3" s="31">
        <f>IFERROR(N3/(M3+N3),0)</f>
        <v>0</v>
      </c>
      <c r="Q3" s="27">
        <f>COUNTIFS([6]InfCualitativo!$B$1:$B$6973,"VERDADERO",[6]InfCualitativo!$E$1:$E$6973,"Arroyo de las Canoas",[6]InfCualitativo!$H$1:$H$6973,"electros")</f>
        <v>0</v>
      </c>
      <c r="R3" s="27">
        <f>COUNTIFS([6]InfCualitativo!$B$1:$B$6973,"FALSO",[6]InfCualitativo!$E$1:$E$6973,"Arroyo de las Canoas",[6]InfCualitativo!$H$1:$H$6973,"electros")</f>
        <v>0</v>
      </c>
      <c r="S3" s="30">
        <f>IFERROR(Q3/(Q3+R3),0)</f>
        <v>0</v>
      </c>
      <c r="T3" s="30">
        <f>IFERROR(R3/(Q3+R3),0)</f>
        <v>0</v>
      </c>
      <c r="U3" s="27">
        <f>COUNTIFS([6]InfCualitativo!$B$1:$B$6973,"VERDADERO",[6]InfCualitativo!$E$1:$E$6973,"Arroyo de las Canoas",[6]InfCualitativo!$H$1:$H$6973,"rx")</f>
        <v>0</v>
      </c>
      <c r="V3" s="27">
        <f>COUNTIFS([6]InfCualitativo!$B$1:$B$6973,"FALSO",[6]InfCualitativo!$E$1:$E$6973,"Arroyo de las Canoas",[6]InfCualitativo!$H$1:$H$6973,"rx")</f>
        <v>0</v>
      </c>
      <c r="W3" s="30">
        <f>IFERROR(U3/(U3+V3),0)</f>
        <v>0</v>
      </c>
      <c r="X3" s="30">
        <f>IFERROR(V3/(U3+V3),0)</f>
        <v>0</v>
      </c>
      <c r="Y3" s="27">
        <f>COUNTIFS([6]InfCualitativo!$B$1:$B$6973,"VERDADERO",[6]InfCualitativo!$E$1:$E$6973,"Arroyo de las Canoas",[6]InfCualitativo!$H$1:$H$6973,"ecografias")</f>
        <v>0</v>
      </c>
      <c r="Z3" s="27">
        <f>COUNTIFS([6]InfCualitativo!$B$1:$B$6973,"FALSO",[6]InfCualitativo!$E$1:$E$6973,"Arroyo de las Canoas",[6]InfCualitativo!$H$1:$H$6973,"ecografias")</f>
        <v>0</v>
      </c>
      <c r="AA3" s="30">
        <f>IFERROR(Y3/(Y3+Z3),0)</f>
        <v>0</v>
      </c>
      <c r="AB3" s="30">
        <f>IFERROR(Z3/(Y3+Z3),0)</f>
        <v>0</v>
      </c>
      <c r="AC3" s="27">
        <f>COUNTIFS([6]InfCualitativo!$B$1:$B$6973,"VERDADERO",[6]InfCualitativo!$E$1:$E$6973,"Arroyo de las Canoas",[6]InfCualitativo!$H$1:$H$6973,"urgencia")</f>
        <v>0</v>
      </c>
      <c r="AD3" s="27">
        <f>COUNTIFS([6]InfCualitativo!$B$1:$B$6973,"FALSO",[6]InfCualitativo!$E$1:$E$6973,"Arroyo de las Canoas",[6]InfCualitativo!$H$1:$H$6973,"urgencia")</f>
        <v>0</v>
      </c>
      <c r="AE3" s="30">
        <f>IFERROR(AC3/(AC3+AD3),0)</f>
        <v>0</v>
      </c>
      <c r="AF3" s="30">
        <f>IFERROR(AD3/(AC3+AD3),0)</f>
        <v>0</v>
      </c>
      <c r="AG3" s="27">
        <f>COUNTIFS([6]InfCualitativo!$B$1:$B$6973,"VERDADERO",[6]InfCualitativo!$E$1:$E$6973,"Arroyo de las Canoas",[6]InfCualitativo!$H$1:$H$6973,"pediatria")</f>
        <v>0</v>
      </c>
      <c r="AH3" s="27">
        <f>COUNTIFS([6]InfCualitativo!$B$1:$B$6973,"FALSO",[6]InfCualitativo!$E$1:$E$6973,"Arroyo de las Canoas",[6]InfCualitativo!$H$1:$H$6973,"pediatria")</f>
        <v>0</v>
      </c>
      <c r="AI3" s="30">
        <f>IFERROR(AG3/(AG3+AH3),0)</f>
        <v>0</v>
      </c>
      <c r="AJ3" s="30">
        <f>IFERROR(AH3/(AG3+AH3),0)</f>
        <v>0</v>
      </c>
      <c r="AK3" s="27">
        <f>COUNTIFS([6]InfCualitativo!$B$1:$B$6973,"VERDADERO",[6]InfCualitativo!$E$1:$E$6973,"Arroyo de las Canoas",[6]InfCualitativo!$H$1:$H$6973,"medicina_interna")</f>
        <v>0</v>
      </c>
      <c r="AL3" s="27">
        <f>COUNTIFS([6]InfCualitativo!$B$1:$B$6973,"FALSO",[6]InfCualitativo!$E$1:$E$6973,"Arroyo de las Canoas",[6]InfCualitativo!$H$1:$H$6973,"medicina_interna")</f>
        <v>0</v>
      </c>
      <c r="AM3" s="30">
        <f>IFERROR(AK3/(AK3+AL3),0)</f>
        <v>0</v>
      </c>
      <c r="AN3" s="30">
        <f>IFERROR(AL3/(AK3+AL3),0)</f>
        <v>0</v>
      </c>
      <c r="AO3" s="27">
        <f>COUNTIFS([6]InfCualitativo!$B$1:$B$6973,"VERDADERO",[6]InfCualitativo!$E$1:$E$6973,"Arroyo de las Canoas",[6]InfCualitativo!$H$1:$H$6973,"ginecologia")</f>
        <v>0</v>
      </c>
      <c r="AP3" s="27">
        <f>COUNTIFS([6]InfCualitativo!$B$1:$B$6973,"FALSO",[6]InfCualitativo!$E$1:$E$6973,"Arroyo de las Canoas",[6]InfCualitativo!$H$1:$H$6973,"ginecologia")</f>
        <v>0</v>
      </c>
      <c r="AQ3" s="30">
        <f>IFERROR(AO3/(AO3+AP3),0)</f>
        <v>0</v>
      </c>
      <c r="AR3" s="30">
        <f>IFERROR(AP3/(AO3+AP3),0)</f>
        <v>0</v>
      </c>
      <c r="AS3" s="27">
        <f>SUM(E3+I3+M3+Q3+U3+Y3+AC3+AG3+AK3+AO3)</f>
        <v>73</v>
      </c>
      <c r="AT3" s="27">
        <f>SUM(F3+J3+N3+R3+V3+Z3+AD3+AH3+AL3+AP3)</f>
        <v>0</v>
      </c>
      <c r="AU3" s="32">
        <f>IFERROR(AS3/(AS3+AT3),0)</f>
        <v>1</v>
      </c>
      <c r="AV3" s="32">
        <f>IFERROR(AT3/(AS3+AT3),0)</f>
        <v>0</v>
      </c>
    </row>
    <row r="4" spans="1:48" ht="18.75" x14ac:dyDescent="0.3">
      <c r="A4" s="26" t="s">
        <v>23</v>
      </c>
      <c r="B4" s="27">
        <v>95</v>
      </c>
      <c r="C4" s="27">
        <f t="shared" ref="C4:C50" si="1">SUM(E4,F4,I4,J4,M4,N4,Q4,R4,U4,V4,Y4,Z4,AC4,AD4,AG4,AH4,AK4,AL4,AO4,AP4)</f>
        <v>95</v>
      </c>
      <c r="D4" s="28">
        <f t="shared" si="0"/>
        <v>100</v>
      </c>
      <c r="E4" s="29">
        <f>COUNTIFS([6]InfCualitativo!$B$1:$B$6973,"VERDADERO",[6]InfCualitativo!$E$1:$E$6973,"Arroyo de Piedra",[6]InfCualitativo!$H$1:$H$6973,"consulta_externa")</f>
        <v>35</v>
      </c>
      <c r="F4" s="29">
        <f>COUNTIFS([6]InfCualitativo!$B$1:$B$6973,"FALSO",[6]InfCualitativo!$E$1:$E$6973,"Arroyo de Piedra",[6]InfCualitativo!$H$1:$H$6973,"consulta_externa")</f>
        <v>2</v>
      </c>
      <c r="G4" s="30">
        <f t="shared" ref="G4:G50" si="2">IFERROR(E4/(E4+F4),0)</f>
        <v>0.94594594594594594</v>
      </c>
      <c r="H4" s="30">
        <f t="shared" ref="H4:H50" si="3">IFERROR(F4/(E4+F4),0)</f>
        <v>5.4054054054054057E-2</v>
      </c>
      <c r="I4" s="27">
        <f>COUNTIFS([6]InfCualitativo!$B$1:$B$6973,"VERDADERO",[6]InfCualitativo!$E$1:$E$6973,"Arroyo de Piedra",[6]InfCualitativo!$H$1:$H$6973,"salud_oral")</f>
        <v>27</v>
      </c>
      <c r="J4" s="27">
        <f>COUNTIFS([6]InfCualitativo!$B$1:$B$6973,"FALSO",[6]InfCualitativo!$E$1:$E$6973,"Arroyo de Piedra",[6]InfCualitativo!$H$1:$H$6973,"salud_oral")</f>
        <v>3</v>
      </c>
      <c r="K4" s="30">
        <f t="shared" ref="K4:K50" si="4">IFERROR(I4/(I4+J4),0)</f>
        <v>0.9</v>
      </c>
      <c r="L4" s="30">
        <f t="shared" ref="L4:L50" si="5">IFERROR(J4/(I4+J4),0)</f>
        <v>0.1</v>
      </c>
      <c r="M4" s="27">
        <f>COUNTIFS([6]InfCualitativo!$B$1:$B$6973,"VERDADERO",[6]InfCualitativo!$E$1:$E$6973,"Arroyo de Piedra",[6]InfCualitativo!$H$1:$H$6973,"laboratorio")</f>
        <v>28</v>
      </c>
      <c r="N4" s="27">
        <f>COUNTIFS([6]InfCualitativo!$B$1:$B$6973,"FALSO",[6]InfCualitativo!$E$1:$E$6973,"Arroyo de Piedra",[6]InfCualitativo!$H$1:$H$6973,"laboratorio")</f>
        <v>0</v>
      </c>
      <c r="O4" s="30">
        <f t="shared" ref="O4:O50" si="6">IFERROR(M4/(M4+N4),0)</f>
        <v>1</v>
      </c>
      <c r="P4" s="31">
        <f t="shared" ref="P4:P50" si="7">IFERROR(N4/(M4+N4),0)</f>
        <v>0</v>
      </c>
      <c r="Q4" s="27">
        <f>COUNTIFS([6]InfCualitativo!$B$1:$B$6973,"VERDADERO",[6]InfCualitativo!$E$1:$E$6973,"Arroyo de Piedra",[6]InfCualitativo!$H$1:$H$6973,"electros")</f>
        <v>0</v>
      </c>
      <c r="R4" s="27">
        <f>COUNTIFS([6]InfCualitativo!$B$1:$B$6973,"FALSO",[6]InfCualitativo!$E$1:$E$6973,"Arroyo de Piedra",[6]InfCualitativo!$H$1:$H$6973,"electros")</f>
        <v>0</v>
      </c>
      <c r="S4" s="30">
        <f t="shared" ref="S4:S50" si="8">IFERROR(Q4/(Q4+R4),0)</f>
        <v>0</v>
      </c>
      <c r="T4" s="30">
        <f t="shared" ref="T4:T50" si="9">IFERROR(R4/(Q4+R4),0)</f>
        <v>0</v>
      </c>
      <c r="U4" s="27">
        <f>COUNTIFS([6]InfCualitativo!$B$1:$B$6973,"VERDADERO",[6]InfCualitativo!$E$1:$E$6973,"Arroyo de Piedra",[6]InfCualitativo!$H$1:$H$6973,"rx")</f>
        <v>0</v>
      </c>
      <c r="V4" s="27">
        <f>COUNTIFS([6]InfCualitativo!$B$1:$B$6973,"FALSO",[6]InfCualitativo!$E$1:$E$6973,"Arroyo de Piedra",[6]InfCualitativo!$H$1:$H$6973,"rx")</f>
        <v>0</v>
      </c>
      <c r="W4" s="30">
        <f t="shared" ref="W4:W50" si="10">IFERROR(U4/(U4+V4),0)</f>
        <v>0</v>
      </c>
      <c r="X4" s="30">
        <f t="shared" ref="X4:X50" si="11">IFERROR(V4/(U4+V4),0)</f>
        <v>0</v>
      </c>
      <c r="Y4" s="27">
        <f>COUNTIFS([6]InfCualitativo!$B$1:$B$6973,"VERDADERO",[6]InfCualitativo!$E$1:$E$6973,"Arroyo de Piedra",[6]InfCualitativo!$H$1:$H$6973,"ecografias")</f>
        <v>0</v>
      </c>
      <c r="Z4" s="27">
        <f>COUNTIFS([6]InfCualitativo!$B$1:$B$6973,"FALSO",[6]InfCualitativo!$E$1:$E$6973,"Arroyo de Piedra",[6]InfCualitativo!$H$1:$H$6973,"ecografias")</f>
        <v>0</v>
      </c>
      <c r="AA4" s="30">
        <f t="shared" ref="AA4:AA50" si="12">IFERROR(Y4/(Y4+Z4),0)</f>
        <v>0</v>
      </c>
      <c r="AB4" s="30">
        <f t="shared" ref="AB4:AB50" si="13">IFERROR(Z4/(Y4+Z4),0)</f>
        <v>0</v>
      </c>
      <c r="AC4" s="27">
        <f>COUNTIFS([6]InfCualitativo!$B$1:$B$6973,"VERDADERO",[6]InfCualitativo!$E$1:$E$6973,"Arroyo de Piedra",[6]InfCualitativo!$H$1:$H$6973,"urgencia")</f>
        <v>0</v>
      </c>
      <c r="AD4" s="27">
        <f>COUNTIFS([6]InfCualitativo!$B$1:$B$6973,"FALSO",[6]InfCualitativo!$E$1:$E$6973,"Arroyo de Piedra",[6]InfCualitativo!$H$1:$H$6973,"urgencia")</f>
        <v>0</v>
      </c>
      <c r="AE4" s="30">
        <f t="shared" ref="AE4:AE50" si="14">IFERROR(AC4/(AC4+AD4),0)</f>
        <v>0</v>
      </c>
      <c r="AF4" s="30">
        <f t="shared" ref="AF4:AF50" si="15">IFERROR(AD4/(AC4+AD4),0)</f>
        <v>0</v>
      </c>
      <c r="AG4" s="27">
        <f>COUNTIFS([6]InfCualitativo!$B$1:$B$6973,"VERDADERO",[6]InfCualitativo!$E$1:$E$6973,"Arroyo de Piedra",[6]InfCualitativo!$H$1:$H$6973,"pediatria")</f>
        <v>0</v>
      </c>
      <c r="AH4" s="27">
        <f>COUNTIFS([6]InfCualitativo!$B$1:$B$6973,"FALSO",[6]InfCualitativo!$E$1:$E$6973,"Arroyo de Piedra",[6]InfCualitativo!$H$1:$H$6973,"pediatria")</f>
        <v>0</v>
      </c>
      <c r="AI4" s="30">
        <f t="shared" ref="AI4:AI50" si="16">IFERROR(AG4/(AG4+AH4),0)</f>
        <v>0</v>
      </c>
      <c r="AJ4" s="30">
        <f t="shared" ref="AJ4:AJ50" si="17">IFERROR(AH4/(AG4+AH4),0)</f>
        <v>0</v>
      </c>
      <c r="AK4" s="27">
        <f>COUNTIFS([6]InfCualitativo!$B$1:$B$6973,"VERDADERO",[6]InfCualitativo!$E$1:$E$6973,"Arroyo de Piedra",[6]InfCualitativo!$H$1:$H$6973,"medicina_interna")</f>
        <v>0</v>
      </c>
      <c r="AL4" s="27">
        <f>COUNTIFS([6]InfCualitativo!$B$1:$B$6973,"FALSO",[6]InfCualitativo!$E$1:$E$6973,"Arroyo de Piedra",[6]InfCualitativo!$H$1:$H$6973,"medicina_interna")</f>
        <v>0</v>
      </c>
      <c r="AM4" s="30">
        <f t="shared" ref="AM4:AM50" si="18">IFERROR(AK4/(AK4+AL4),0)</f>
        <v>0</v>
      </c>
      <c r="AN4" s="30">
        <f t="shared" ref="AN4:AN50" si="19">IFERROR(AL4/(AK4+AL4),0)</f>
        <v>0</v>
      </c>
      <c r="AO4" s="27">
        <f>COUNTIFS([6]InfCualitativo!$B$1:$B$6973,"VERDADERO",[6]InfCualitativo!$E$1:$E$6973,"Arroyo de Piedra",[6]InfCualitativo!$H$1:$H$6973,"ginecologia")</f>
        <v>0</v>
      </c>
      <c r="AP4" s="27">
        <f>COUNTIFS([6]InfCualitativo!$B$1:$B$6973,"FALSO",[6]InfCualitativo!$E$1:$E$6973,"Arroyo de Piedra",[6]InfCualitativo!$H$1:$H$6973,"ginecologia")</f>
        <v>0</v>
      </c>
      <c r="AQ4" s="30">
        <f t="shared" ref="AQ4:AQ50" si="20">IFERROR(AO4/(AO4+AP4),0)</f>
        <v>0</v>
      </c>
      <c r="AR4" s="30">
        <f t="shared" ref="AR4:AR50" si="21">IFERROR(AP4/(AO4+AP4),0)</f>
        <v>0</v>
      </c>
      <c r="AS4" s="27">
        <f t="shared" ref="AS4:AT50" si="22">SUM(E4+I4+M4+Q4+U4+Y4+AC4+AG4+AK4+AO4)</f>
        <v>90</v>
      </c>
      <c r="AT4" s="27">
        <f t="shared" si="22"/>
        <v>5</v>
      </c>
      <c r="AU4" s="32">
        <f t="shared" ref="AU4:AU50" si="23">IFERROR(AS4/(AS4+AT4),0)</f>
        <v>0.94736842105263153</v>
      </c>
      <c r="AV4" s="32">
        <f t="shared" ref="AV4:AV50" si="24">IFERROR(AT4/(AS4+AT4),0)</f>
        <v>5.2631578947368418E-2</v>
      </c>
    </row>
    <row r="5" spans="1:48" ht="18.75" x14ac:dyDescent="0.3">
      <c r="A5" s="26" t="s">
        <v>24</v>
      </c>
      <c r="B5" s="27">
        <v>91</v>
      </c>
      <c r="C5" s="27">
        <f t="shared" si="1"/>
        <v>91</v>
      </c>
      <c r="D5" s="28">
        <f t="shared" si="0"/>
        <v>100</v>
      </c>
      <c r="E5" s="29">
        <f>COUNTIFS([6]InfCualitativo!$B$1:$B$6973,"VERDADERO",[6]InfCualitativo!$E$1:$E$6973,"Arroyo Grande",[6]InfCualitativo!$H$1:$H$6973,"consulta_externa")</f>
        <v>33</v>
      </c>
      <c r="F5" s="29">
        <f>COUNTIFS([6]InfCualitativo!$B$1:$B$6973,"FALSO",[6]InfCualitativo!$E$1:$E$6973,"Arroyo Grande",[6]InfCualitativo!$H$1:$H$6973,"consulta_externa")</f>
        <v>1</v>
      </c>
      <c r="G5" s="30">
        <f t="shared" si="2"/>
        <v>0.97058823529411764</v>
      </c>
      <c r="H5" s="30">
        <f t="shared" si="3"/>
        <v>2.9411764705882353E-2</v>
      </c>
      <c r="I5" s="27">
        <f>COUNTIFS([6]InfCualitativo!$B$1:$B$6973,"VERDADERO",[6]InfCualitativo!$E$1:$E$6973,"Arroyo Grande",[6]InfCualitativo!$H$1:$H$6973,"salud_oral")</f>
        <v>24</v>
      </c>
      <c r="J5" s="27">
        <f>COUNTIFS([6]InfCualitativo!$B$1:$B$6973,"FALSO",[6]InfCualitativo!$E$1:$E$6973,"Arroyo Grande",[6]InfCualitativo!$H$1:$H$6973,"salud_oral")</f>
        <v>0</v>
      </c>
      <c r="K5" s="30">
        <f t="shared" si="4"/>
        <v>1</v>
      </c>
      <c r="L5" s="30">
        <f t="shared" si="5"/>
        <v>0</v>
      </c>
      <c r="M5" s="27">
        <f>COUNTIFS([6]InfCualitativo!$B$1:$B$6973,"VERDADERO",[6]InfCualitativo!$E$1:$E$6973,"Arroyo Grande",[6]InfCualitativo!$H$1:$H$6973,"laboratorio")</f>
        <v>33</v>
      </c>
      <c r="N5" s="27">
        <f>COUNTIFS([6]InfCualitativo!$B$1:$B$6973,"FALSO",[6]InfCualitativo!$E$1:$E$6973,"Arroyo Grande",[6]InfCualitativo!$H$1:$H$6973,"laboratorio")</f>
        <v>0</v>
      </c>
      <c r="O5" s="30">
        <f t="shared" si="6"/>
        <v>1</v>
      </c>
      <c r="P5" s="31">
        <f t="shared" si="7"/>
        <v>0</v>
      </c>
      <c r="Q5" s="27">
        <f>COUNTIFS([6]InfCualitativo!$B$1:$B$6973,"VERDADERO",[6]InfCualitativo!$E$1:$E$6973,"Arroyo Grande",[6]InfCualitativo!$H$1:$H$6973,"electros")</f>
        <v>0</v>
      </c>
      <c r="R5" s="27">
        <f>COUNTIFS([6]InfCualitativo!$B$1:$B$6973,"FALSO",[6]InfCualitativo!$E$1:$E$6973,"Arroyo Grande",[6]InfCualitativo!$H$1:$H$6973,"electros")</f>
        <v>0</v>
      </c>
      <c r="S5" s="30">
        <f t="shared" si="8"/>
        <v>0</v>
      </c>
      <c r="T5" s="30">
        <f t="shared" si="9"/>
        <v>0</v>
      </c>
      <c r="U5" s="27">
        <f>COUNTIFS([6]InfCualitativo!$B$1:$B$6973,"VERDADERO",[6]InfCualitativo!$E$1:$E$6973,"Arroyo Grande",[6]InfCualitativo!$H$1:$H$6973,"rx")</f>
        <v>0</v>
      </c>
      <c r="V5" s="27">
        <f>COUNTIFS([6]InfCualitativo!$B$1:$B$6973,"FALSO",[6]InfCualitativo!$E$1:$E$6973,"Arroyo Grande",[6]InfCualitativo!$H$1:$H$6973,"rx")</f>
        <v>0</v>
      </c>
      <c r="W5" s="30">
        <f t="shared" si="10"/>
        <v>0</v>
      </c>
      <c r="X5" s="30">
        <f t="shared" si="11"/>
        <v>0</v>
      </c>
      <c r="Y5" s="27">
        <f>COUNTIFS([6]InfCualitativo!$B$1:$B$6973,"VERDADERO",[6]InfCualitativo!$E$1:$E$6973,"Arroyo Grande",[6]InfCualitativo!$H$1:$H$6973,"ecografias")</f>
        <v>0</v>
      </c>
      <c r="Z5" s="27">
        <f>COUNTIFS([6]InfCualitativo!$B$1:$B$6973,"FALSO",[6]InfCualitativo!$E$1:$E$6973,"Arroyo Grande",[6]InfCualitativo!$H$1:$H$6973,"ecografias")</f>
        <v>0</v>
      </c>
      <c r="AA5" s="30">
        <f t="shared" si="12"/>
        <v>0</v>
      </c>
      <c r="AB5" s="30">
        <f t="shared" si="13"/>
        <v>0</v>
      </c>
      <c r="AC5" s="27">
        <f>COUNTIFS([6]InfCualitativo!$B$1:$B$6973,"VERDADERO",[6]InfCualitativo!$E$1:$E$6973,"Arroyo Grande",[6]InfCualitativo!$H$1:$H$6973,"urgencia")</f>
        <v>0</v>
      </c>
      <c r="AD5" s="27">
        <f>COUNTIFS([6]InfCualitativo!$B$1:$B$6973,"FALSO",[6]InfCualitativo!$E$1:$E$6973,"Arroyo Grande",[6]InfCualitativo!$H$1:$H$6973,"urgencia")</f>
        <v>0</v>
      </c>
      <c r="AE5" s="30">
        <f t="shared" si="14"/>
        <v>0</v>
      </c>
      <c r="AF5" s="30">
        <f t="shared" si="15"/>
        <v>0</v>
      </c>
      <c r="AG5" s="27">
        <f>COUNTIFS([6]InfCualitativo!$B$1:$B$6973,"VERDADERO",[6]InfCualitativo!$E$1:$E$6973,"Arroyo Grande",[6]InfCualitativo!$H$1:$H$6973,"pediatria")</f>
        <v>0</v>
      </c>
      <c r="AH5" s="27">
        <f>COUNTIFS([6]InfCualitativo!$B$1:$B$6973,"FALSO",[6]InfCualitativo!$E$1:$E$6973,"Arroyo Grande",[6]InfCualitativo!$H$1:$H$6973,"pediatria")</f>
        <v>0</v>
      </c>
      <c r="AI5" s="30">
        <f t="shared" si="16"/>
        <v>0</v>
      </c>
      <c r="AJ5" s="30">
        <f t="shared" si="17"/>
        <v>0</v>
      </c>
      <c r="AK5" s="27">
        <f>COUNTIFS([6]InfCualitativo!$B$1:$B$6973,"VERDADERO",[6]InfCualitativo!$E$1:$E$6973,"Arroyo Grande",[6]InfCualitativo!$H$1:$H$6973,"medicina_interna")</f>
        <v>0</v>
      </c>
      <c r="AL5" s="27">
        <f>COUNTIFS([6]InfCualitativo!$B$1:$B$6973,"FALSO",[6]InfCualitativo!$E$1:$E$6973,"Arroyo Grande",[6]InfCualitativo!$H$1:$H$6973,"medicina_interna")</f>
        <v>0</v>
      </c>
      <c r="AM5" s="30">
        <f t="shared" si="18"/>
        <v>0</v>
      </c>
      <c r="AN5" s="30">
        <f t="shared" si="19"/>
        <v>0</v>
      </c>
      <c r="AO5" s="27">
        <f>COUNTIFS([6]InfCualitativo!$B$1:$B$6973,"VERDADERO",[6]InfCualitativo!$E$1:$E$6973,"Arroyo Grande",[6]InfCualitativo!$H$1:$H$6973,"ginecologia")</f>
        <v>0</v>
      </c>
      <c r="AP5" s="27">
        <f>COUNTIFS([6]InfCualitativo!$B$1:$B$6973,"FALSO",[6]InfCualitativo!$E$1:$E$6973,"Arroyo Grande",[6]InfCualitativo!$H$1:$H$6973,"ginecologia")</f>
        <v>0</v>
      </c>
      <c r="AQ5" s="30">
        <f t="shared" si="20"/>
        <v>0</v>
      </c>
      <c r="AR5" s="30">
        <f t="shared" si="21"/>
        <v>0</v>
      </c>
      <c r="AS5" s="27">
        <f t="shared" si="22"/>
        <v>90</v>
      </c>
      <c r="AT5" s="27">
        <f t="shared" si="22"/>
        <v>1</v>
      </c>
      <c r="AU5" s="32">
        <f t="shared" si="23"/>
        <v>0.98901098901098905</v>
      </c>
      <c r="AV5" s="32">
        <f t="shared" si="24"/>
        <v>1.098901098901099E-2</v>
      </c>
    </row>
    <row r="6" spans="1:48" ht="18.75" x14ac:dyDescent="0.3">
      <c r="A6" s="26" t="s">
        <v>25</v>
      </c>
      <c r="B6" s="27">
        <v>174</v>
      </c>
      <c r="C6" s="27">
        <f t="shared" si="1"/>
        <v>171</v>
      </c>
      <c r="D6" s="28">
        <f t="shared" si="0"/>
        <v>98.275862068965523</v>
      </c>
      <c r="E6" s="29">
        <f>COUNTIFS([6]InfCualitativo!$B$1:$B$6973,"VERDADERO",[6]InfCualitativo!$E$1:$E$6973,"Arroz Barato",[6]InfCualitativo!$H$1:$H$6973,"consulta_externa")</f>
        <v>32</v>
      </c>
      <c r="F6" s="29">
        <f>COUNTIFS([6]InfCualitativo!$B$1:$B$6973,"FALSO",[6]InfCualitativo!$E$1:$E$6973,"Arroz Barato",[6]InfCualitativo!$H$1:$H$6973,"consulta_externa")</f>
        <v>3</v>
      </c>
      <c r="G6" s="30">
        <f t="shared" si="2"/>
        <v>0.91428571428571426</v>
      </c>
      <c r="H6" s="30">
        <f t="shared" si="3"/>
        <v>8.5714285714285715E-2</v>
      </c>
      <c r="I6" s="27">
        <f>COUNTIFS([6]InfCualitativo!$B$1:$B$6973,"VERDADERO",[6]InfCualitativo!$E$1:$E$6973,"Arroz Barato",[6]InfCualitativo!$H$1:$H$6973,"salud_oral")</f>
        <v>28</v>
      </c>
      <c r="J6" s="27">
        <f>COUNTIFS([6]InfCualitativo!$B$1:$B$6973,"FALSO",[6]InfCualitativo!$E$1:$E$6973,"Arroz Barato",[6]InfCualitativo!$H$1:$H$6973,"salud_oral")</f>
        <v>6</v>
      </c>
      <c r="K6" s="30">
        <f t="shared" si="4"/>
        <v>0.82352941176470584</v>
      </c>
      <c r="L6" s="30">
        <f t="shared" si="5"/>
        <v>0.17647058823529413</v>
      </c>
      <c r="M6" s="27">
        <f>COUNTIFS([6]InfCualitativo!$B$1:$B$6973,"VERDADERO",[6]InfCualitativo!$E$1:$E$6973,"Arroz Barato",[6]InfCualitativo!$H$1:$H$6973,"laboratorio")</f>
        <v>32</v>
      </c>
      <c r="N6" s="27">
        <f>COUNTIFS([6]InfCualitativo!$B$1:$B$6973,"FALSO",[6]InfCualitativo!$E$1:$E$6973,"Arroz Barato",[6]InfCualitativo!$H$1:$H$6973,"laboratorio")</f>
        <v>3</v>
      </c>
      <c r="O6" s="30">
        <f t="shared" si="6"/>
        <v>0.91428571428571426</v>
      </c>
      <c r="P6" s="31">
        <f t="shared" si="7"/>
        <v>8.5714285714285715E-2</v>
      </c>
      <c r="Q6" s="27">
        <f>COUNTIFS([6]InfCualitativo!$B$1:$B$6973,"VERDADERO",[6]InfCualitativo!$E$1:$E$6973,"Arroz Barato",[6]InfCualitativo!$H$1:$H$6973,"electros")</f>
        <v>0</v>
      </c>
      <c r="R6" s="27">
        <f>COUNTIFS([6]InfCualitativo!$B$1:$B$6973,"FALSO",[6]InfCualitativo!$E$1:$E$6973,"Arroz Barato",[6]InfCualitativo!$H$1:$H$6973,"electros")</f>
        <v>0</v>
      </c>
      <c r="S6" s="30">
        <f t="shared" si="8"/>
        <v>0</v>
      </c>
      <c r="T6" s="30">
        <f t="shared" si="9"/>
        <v>0</v>
      </c>
      <c r="U6" s="27">
        <f>COUNTIFS([6]InfCualitativo!$B$1:$B$6973,"VERDADERO",[6]InfCualitativo!$E$1:$E$6973,"Arroz Barato",[6]InfCualitativo!$H$1:$H$6973,"rx")</f>
        <v>33</v>
      </c>
      <c r="V6" s="27">
        <f>COUNTIFS([6]InfCualitativo!$B$1:$B$6973,"FALSO",[6]InfCualitativo!$E$1:$E$6973,"Arroz Barato",[6]InfCualitativo!$H$1:$H$6973,"rx")</f>
        <v>1</v>
      </c>
      <c r="W6" s="30">
        <f t="shared" si="10"/>
        <v>0.97058823529411764</v>
      </c>
      <c r="X6" s="30">
        <f t="shared" si="11"/>
        <v>2.9411764705882353E-2</v>
      </c>
      <c r="Y6" s="27">
        <f>COUNTIFS([6]InfCualitativo!$B$1:$B$6973,"VERDADERO",[6]InfCualitativo!$E$1:$E$6973,"Arroz Barato",[6]InfCualitativo!$H$1:$H$6973,"ecografias")</f>
        <v>0</v>
      </c>
      <c r="Z6" s="27">
        <f>COUNTIFS([6]InfCualitativo!$B$1:$B$6973,"FALSO",[6]InfCualitativo!$E$1:$E$6973,"Arroz Barato",[6]InfCualitativo!$H$1:$H$6973,"ecografias")</f>
        <v>0</v>
      </c>
      <c r="AA6" s="30">
        <f t="shared" si="12"/>
        <v>0</v>
      </c>
      <c r="AB6" s="30">
        <f t="shared" si="13"/>
        <v>0</v>
      </c>
      <c r="AC6" s="27">
        <f>COUNTIFS([6]InfCualitativo!$B$1:$B$6973,"VERDADERO",[6]InfCualitativo!$E$1:$E$6973,"Arroz Barato",[6]InfCualitativo!$H$1:$H$6973,"urgencia")</f>
        <v>23</v>
      </c>
      <c r="AD6" s="27">
        <f>COUNTIFS([6]InfCualitativo!$B$1:$B$6973,"FALSO",[6]InfCualitativo!$E$1:$E$6973,"Arroz Barato",[6]InfCualitativo!$H$1:$H$6973,"urgencia")</f>
        <v>10</v>
      </c>
      <c r="AE6" s="30">
        <f t="shared" si="14"/>
        <v>0.69696969696969702</v>
      </c>
      <c r="AF6" s="30">
        <f t="shared" si="15"/>
        <v>0.30303030303030304</v>
      </c>
      <c r="AG6" s="27">
        <f>COUNTIFS([6]InfCualitativo!$B$1:$B$6973,"VERDADERO",[6]InfCualitativo!$E$1:$E$6973,"Arroz Barato",[6]InfCualitativo!$H$1:$H$6973,"pediatria")</f>
        <v>0</v>
      </c>
      <c r="AH6" s="27">
        <f>COUNTIFS([6]InfCualitativo!$B$1:$B$6973,"FALSO",[6]InfCualitativo!$E$1:$E$6973,"Arroz Barato",[6]InfCualitativo!$H$1:$H$6973,"pediatria")</f>
        <v>0</v>
      </c>
      <c r="AI6" s="30">
        <f t="shared" si="16"/>
        <v>0</v>
      </c>
      <c r="AJ6" s="30">
        <f t="shared" si="17"/>
        <v>0</v>
      </c>
      <c r="AK6" s="27">
        <f>COUNTIFS([6]InfCualitativo!$B$1:$B$6973,"VERDADERO",[6]InfCualitativo!$E$1:$E$6973,"Arroz Barato",[6]InfCualitativo!$H$1:$H$6973,"medicina_interna")</f>
        <v>0</v>
      </c>
      <c r="AL6" s="27">
        <f>COUNTIFS([6]InfCualitativo!$B$1:$B$6973,"FALSO",[6]InfCualitativo!$E$1:$E$6973,"Arroz Barato",[6]InfCualitativo!$H$1:$H$6973,"medicina_interna")</f>
        <v>0</v>
      </c>
      <c r="AM6" s="30">
        <f t="shared" si="18"/>
        <v>0</v>
      </c>
      <c r="AN6" s="30">
        <f t="shared" si="19"/>
        <v>0</v>
      </c>
      <c r="AO6" s="27">
        <f>COUNTIFS([6]InfCualitativo!$B$1:$B$6973,"VERDADERO",[6]InfCualitativo!$E$1:$E$6973,"Arroz Barato",[6]InfCualitativo!$H$1:$H$6973,"ginecologia")</f>
        <v>0</v>
      </c>
      <c r="AP6" s="27">
        <f>COUNTIFS([6]InfCualitativo!$B$1:$B$6973,"FALSO",[6]InfCualitativo!$E$1:$E$6973,"Arroz Barato",[6]InfCualitativo!$H$1:$H$6973,"ginecologia")</f>
        <v>0</v>
      </c>
      <c r="AQ6" s="30">
        <f t="shared" si="20"/>
        <v>0</v>
      </c>
      <c r="AR6" s="30">
        <f t="shared" si="21"/>
        <v>0</v>
      </c>
      <c r="AS6" s="27">
        <f t="shared" si="22"/>
        <v>148</v>
      </c>
      <c r="AT6" s="27">
        <f t="shared" si="22"/>
        <v>23</v>
      </c>
      <c r="AU6" s="32">
        <f t="shared" si="23"/>
        <v>0.86549707602339176</v>
      </c>
      <c r="AV6" s="32">
        <f t="shared" si="24"/>
        <v>0.13450292397660818</v>
      </c>
    </row>
    <row r="7" spans="1:48" ht="18.75" x14ac:dyDescent="0.3">
      <c r="A7" s="26" t="s">
        <v>26</v>
      </c>
      <c r="B7" s="27">
        <v>114</v>
      </c>
      <c r="C7" s="27">
        <f t="shared" si="1"/>
        <v>114</v>
      </c>
      <c r="D7" s="28">
        <f t="shared" si="0"/>
        <v>100</v>
      </c>
      <c r="E7" s="29">
        <f>COUNTIFS([6]InfCualitativo!$B$1:$B$6973,"VERDADERO",[6]InfCualitativo!$E$1:$E$6973,"Bayunca",[6]InfCualitativo!$H$1:$H$6973,"consulta_externa")</f>
        <v>26</v>
      </c>
      <c r="F7" s="29">
        <f>COUNTIFS([6]InfCualitativo!$B$1:$B$6973,"FALSO",[6]InfCualitativo!$E$1:$E$6973,"Bayunca",[6]InfCualitativo!$H$1:$H$6973,"consulta_externa")</f>
        <v>0</v>
      </c>
      <c r="G7" s="30">
        <f t="shared" si="2"/>
        <v>1</v>
      </c>
      <c r="H7" s="30">
        <f t="shared" si="3"/>
        <v>0</v>
      </c>
      <c r="I7" s="27">
        <f>COUNTIFS([6]InfCualitativo!$B$1:$B$6973,"VERDADERO",[6]InfCualitativo!$E$1:$E$6973,"Bayunca",[6]InfCualitativo!$H$1:$H$6973,"salud_oral")</f>
        <v>27</v>
      </c>
      <c r="J7" s="27">
        <f>COUNTIFS([6]InfCualitativo!$B$1:$B$6973,"FALSO",[6]InfCualitativo!$E$1:$E$6973,"Bayunca",[6]InfCualitativo!$H$1:$H$6973,"salud_oral")</f>
        <v>0</v>
      </c>
      <c r="K7" s="30">
        <f t="shared" si="4"/>
        <v>1</v>
      </c>
      <c r="L7" s="30">
        <f t="shared" si="5"/>
        <v>0</v>
      </c>
      <c r="M7" s="27">
        <f>COUNTIFS([6]InfCualitativo!$B$1:$B$6973,"VERDADERO",[6]InfCualitativo!$E$1:$E$6973,"Bayunca",[6]InfCualitativo!$H$1:$H$6973,"laboratorio")</f>
        <v>24</v>
      </c>
      <c r="N7" s="27">
        <f>COUNTIFS([6]InfCualitativo!$B$1:$B$6973,"FALSO",[6]InfCualitativo!$E$1:$E$6973,"Bayunca",[6]InfCualitativo!$H$1:$H$6973,"laboratorio")</f>
        <v>0</v>
      </c>
      <c r="O7" s="30">
        <f t="shared" si="6"/>
        <v>1</v>
      </c>
      <c r="P7" s="31">
        <f t="shared" si="7"/>
        <v>0</v>
      </c>
      <c r="Q7" s="27">
        <f>COUNTIFS([6]InfCualitativo!$B$1:$B$6973,"VERDADERO",[6]InfCualitativo!$E$1:$E$6973,"Bayunca",[6]InfCualitativo!$H$1:$H$6973,"electros")</f>
        <v>0</v>
      </c>
      <c r="R7" s="27">
        <f>COUNTIFS([6]InfCualitativo!$B$1:$B$6973,"FALSO",[6]InfCualitativo!$E$1:$E$6973,"Bayunca",[6]InfCualitativo!$H$1:$H$6973,"electros")</f>
        <v>0</v>
      </c>
      <c r="S7" s="30">
        <f t="shared" si="8"/>
        <v>0</v>
      </c>
      <c r="T7" s="30">
        <f t="shared" si="9"/>
        <v>0</v>
      </c>
      <c r="U7" s="27">
        <f>COUNTIFS([6]InfCualitativo!$B$1:$B$6973,"VERDADERO",[6]InfCualitativo!$E$1:$E$6973,"Bayunca",[6]InfCualitativo!$H$1:$H$6973,"rx")</f>
        <v>0</v>
      </c>
      <c r="V7" s="27">
        <f>COUNTIFS([6]InfCualitativo!$B$1:$B$6973,"FALSO",[6]InfCualitativo!$E$1:$E$6973,"Bayunca",[6]InfCualitativo!$H$1:$H$6973,"rx")</f>
        <v>0</v>
      </c>
      <c r="W7" s="30">
        <f t="shared" si="10"/>
        <v>0</v>
      </c>
      <c r="X7" s="30">
        <f t="shared" si="11"/>
        <v>0</v>
      </c>
      <c r="Y7" s="27">
        <f>COUNTIFS([6]InfCualitativo!$B$1:$B$6973,"VERDADERO",[6]InfCualitativo!$E$1:$E$6973,"Bayunca",[6]InfCualitativo!$H$1:$H$6973,"ecografias")</f>
        <v>0</v>
      </c>
      <c r="Z7" s="27">
        <f>COUNTIFS([6]InfCualitativo!$B$1:$B$6973,"FALSO",[6]InfCualitativo!$E$1:$E$6973,"Bayunca",[6]InfCualitativo!$H$1:$H$6973,"ecografias")</f>
        <v>0</v>
      </c>
      <c r="AA7" s="30">
        <f t="shared" si="12"/>
        <v>0</v>
      </c>
      <c r="AB7" s="30">
        <f t="shared" si="13"/>
        <v>0</v>
      </c>
      <c r="AC7" s="27">
        <f>COUNTIFS([6]InfCualitativo!$B$1:$B$6973,"VERDADERO",[6]InfCualitativo!$E$1:$E$6973,"Bayunca",[6]InfCualitativo!$H$1:$H$6973,"urgencia")</f>
        <v>37</v>
      </c>
      <c r="AD7" s="27">
        <f>COUNTIFS([6]InfCualitativo!$B$1:$B$6973,"FALSO",[6]InfCualitativo!$E$1:$E$6973,"Bayunca",[6]InfCualitativo!$H$1:$H$6973,"urgencia")</f>
        <v>0</v>
      </c>
      <c r="AE7" s="30">
        <f t="shared" si="14"/>
        <v>1</v>
      </c>
      <c r="AF7" s="30">
        <f t="shared" si="15"/>
        <v>0</v>
      </c>
      <c r="AG7" s="27">
        <f>COUNTIFS([6]InfCualitativo!$B$1:$B$6973,"VERDADERO",[6]InfCualitativo!$E$1:$E$6973,"Bayunca",[6]InfCualitativo!$H$1:$H$6973,"pediatria")</f>
        <v>0</v>
      </c>
      <c r="AH7" s="27">
        <f>COUNTIFS([6]InfCualitativo!$B$1:$B$6973,"FALSO",[6]InfCualitativo!$E$1:$E$6973,"Bayunca",[6]InfCualitativo!$H$1:$H$6973,"pediatria")</f>
        <v>0</v>
      </c>
      <c r="AI7" s="30">
        <f t="shared" si="16"/>
        <v>0</v>
      </c>
      <c r="AJ7" s="30">
        <f t="shared" si="17"/>
        <v>0</v>
      </c>
      <c r="AK7" s="27">
        <f>COUNTIFS([6]InfCualitativo!$B$1:$B$6973,"VERDADERO",[6]InfCualitativo!$E$1:$E$6973,"Bayunca",[6]InfCualitativo!$H$1:$H$6973,"medicina_interna")</f>
        <v>0</v>
      </c>
      <c r="AL7" s="27">
        <f>COUNTIFS([6]InfCualitativo!$B$1:$B$6973,"FALSO",[6]InfCualitativo!$E$1:$E$6973,"Bayunca",[6]InfCualitativo!$H$1:$H$6973,"medicina_interna")</f>
        <v>0</v>
      </c>
      <c r="AM7" s="30">
        <f t="shared" si="18"/>
        <v>0</v>
      </c>
      <c r="AN7" s="30">
        <f t="shared" si="19"/>
        <v>0</v>
      </c>
      <c r="AO7" s="27">
        <f>COUNTIFS([6]InfCualitativo!$B$1:$B$6973,"VERDADERO",[6]InfCualitativo!$E$1:$E$6973,"Bayunca",[6]InfCualitativo!$H$1:$H$6973,"ginecologia")</f>
        <v>0</v>
      </c>
      <c r="AP7" s="27">
        <f>COUNTIFS([6]InfCualitativo!$B$1:$B$6973,"FALSO",[6]InfCualitativo!$E$1:$E$6973,"Bayunca",[6]InfCualitativo!$H$1:$H$6973,"ginecologia")</f>
        <v>0</v>
      </c>
      <c r="AQ7" s="30">
        <f t="shared" si="20"/>
        <v>0</v>
      </c>
      <c r="AR7" s="30">
        <f t="shared" si="21"/>
        <v>0</v>
      </c>
      <c r="AS7" s="27">
        <f t="shared" si="22"/>
        <v>114</v>
      </c>
      <c r="AT7" s="27">
        <f t="shared" si="22"/>
        <v>0</v>
      </c>
      <c r="AU7" s="32">
        <f t="shared" si="23"/>
        <v>1</v>
      </c>
      <c r="AV7" s="32">
        <f t="shared" si="24"/>
        <v>0</v>
      </c>
    </row>
    <row r="8" spans="1:48" ht="18.75" x14ac:dyDescent="0.3">
      <c r="A8" s="26" t="s">
        <v>27</v>
      </c>
      <c r="B8" s="27">
        <v>179</v>
      </c>
      <c r="C8" s="27">
        <f t="shared" si="1"/>
        <v>179</v>
      </c>
      <c r="D8" s="28">
        <f t="shared" si="0"/>
        <v>100</v>
      </c>
      <c r="E8" s="29">
        <f>COUNTIFS([6]InfCualitativo!$B$1:$B$6973,"VERDADERO",[6]InfCualitativo!$E$1:$E$6973,"Bicentenario",[6]InfCualitativo!$H$1:$H$6973,"consulta_externa")</f>
        <v>29</v>
      </c>
      <c r="F8" s="29">
        <f>COUNTIFS([6]InfCualitativo!$B$1:$B$6973,"FALSO",[6]InfCualitativo!$E$1:$E$6973,"Bicentenario",[6]InfCualitativo!$H$1:$H$6973,"consulta_externa")</f>
        <v>8</v>
      </c>
      <c r="G8" s="30">
        <f t="shared" si="2"/>
        <v>0.78378378378378377</v>
      </c>
      <c r="H8" s="30">
        <f t="shared" si="3"/>
        <v>0.21621621621621623</v>
      </c>
      <c r="I8" s="27">
        <f>COUNTIFS([6]InfCualitativo!$B$1:$B$6973,"VERDADERO",[6]InfCualitativo!$E$1:$E$6973,"Bicentenario",[6]InfCualitativo!$H$1:$H$6973,"salud_oral")</f>
        <v>35</v>
      </c>
      <c r="J8" s="27">
        <f>COUNTIFS([6]InfCualitativo!$B$1:$B$6973,"FALSO",[6]InfCualitativo!$E$1:$E$6973,"Bicentenario",[6]InfCualitativo!$H$1:$H$6973,"salud_oral")</f>
        <v>1</v>
      </c>
      <c r="K8" s="30">
        <f t="shared" si="4"/>
        <v>0.97222222222222221</v>
      </c>
      <c r="L8" s="30">
        <f t="shared" si="5"/>
        <v>2.7777777777777776E-2</v>
      </c>
      <c r="M8" s="27">
        <f>COUNTIFS([6]InfCualitativo!$B$1:$B$6973,"VERDADERO",[6]InfCualitativo!$E$1:$E$6973,"Bicentenario",[6]InfCualitativo!$H$1:$H$6973,"laboratorio")</f>
        <v>31</v>
      </c>
      <c r="N8" s="27">
        <f>COUNTIFS([6]InfCualitativo!$B$1:$B$6973,"FALSO",[6]InfCualitativo!$E$1:$E$6973,"Bicentenario",[6]InfCualitativo!$H$1:$H$6973,"laboratorio")</f>
        <v>2</v>
      </c>
      <c r="O8" s="30">
        <f t="shared" si="6"/>
        <v>0.93939393939393945</v>
      </c>
      <c r="P8" s="31">
        <f t="shared" si="7"/>
        <v>6.0606060606060608E-2</v>
      </c>
      <c r="Q8" s="27">
        <f>COUNTIFS([6]InfCualitativo!$B$1:$B$6973,"VERDADERO",[6]InfCualitativo!$E$1:$E$6973,"Bicentenario",[6]InfCualitativo!$H$1:$H$6973,"electros")</f>
        <v>0</v>
      </c>
      <c r="R8" s="27">
        <f>COUNTIFS([6]InfCualitativo!$B$1:$B$6973,"FALSO",[6]InfCualitativo!$E$1:$E$6973,"Bicentenario",[6]InfCualitativo!$H$1:$H$6973,"electros")</f>
        <v>0</v>
      </c>
      <c r="S8" s="30">
        <f t="shared" si="8"/>
        <v>0</v>
      </c>
      <c r="T8" s="30">
        <f t="shared" si="9"/>
        <v>0</v>
      </c>
      <c r="U8" s="27">
        <f>COUNTIFS([6]InfCualitativo!$B$1:$B$6973,"VERDADERO",[6]InfCualitativo!$E$1:$E$6973,"Bicentenario",[6]InfCualitativo!$H$1:$H$6973,"rx")</f>
        <v>34</v>
      </c>
      <c r="V8" s="27">
        <f>COUNTIFS([6]InfCualitativo!$B$1:$B$6973,"FALSO",[6]InfCualitativo!$E$1:$E$6973,"Bicentenario",[6]InfCualitativo!$H$1:$H$6973,"rx")</f>
        <v>2</v>
      </c>
      <c r="W8" s="30">
        <f t="shared" si="10"/>
        <v>0.94444444444444442</v>
      </c>
      <c r="X8" s="30">
        <f t="shared" si="11"/>
        <v>5.5555555555555552E-2</v>
      </c>
      <c r="Y8" s="27">
        <f>COUNTIFS([6]InfCualitativo!$B$1:$B$6973,"VERDADERO",[6]InfCualitativo!$E$1:$E$6973,"Bicentenario",[6]InfCualitativo!$H$1:$H$6973,"ecografias")</f>
        <v>0</v>
      </c>
      <c r="Z8" s="27">
        <f>COUNTIFS([6]InfCualitativo!$B$1:$B$6973,"FALSO",[6]InfCualitativo!$E$1:$E$6973,"Bicentenario",[6]InfCualitativo!$H$1:$H$6973,"ecografias")</f>
        <v>0</v>
      </c>
      <c r="AA8" s="30">
        <f t="shared" si="12"/>
        <v>0</v>
      </c>
      <c r="AB8" s="30">
        <f t="shared" si="13"/>
        <v>0</v>
      </c>
      <c r="AC8" s="27">
        <f>COUNTIFS([6]InfCualitativo!$B$1:$B$6973,"VERDADERO",[6]InfCualitativo!$E$1:$E$6973,"Bicentenario",[6]InfCualitativo!$H$1:$H$6973,"urgencia")</f>
        <v>26</v>
      </c>
      <c r="AD8" s="27">
        <f>COUNTIFS([6]InfCualitativo!$B$1:$B$6973,"FALSO",[6]InfCualitativo!$E$1:$E$6973,"Bicentenario",[6]InfCualitativo!$H$1:$H$6973,"urgencia")</f>
        <v>11</v>
      </c>
      <c r="AE8" s="30">
        <f t="shared" si="14"/>
        <v>0.70270270270270274</v>
      </c>
      <c r="AF8" s="30">
        <f t="shared" si="15"/>
        <v>0.29729729729729731</v>
      </c>
      <c r="AG8" s="27">
        <f>COUNTIFS([6]InfCualitativo!$B$1:$B$6973,"VERDADERO",[6]InfCualitativo!$E$1:$E$6973,"Bicentenario",[6]InfCualitativo!$H$1:$H$6973,"pediatria")</f>
        <v>0</v>
      </c>
      <c r="AH8" s="27">
        <f>COUNTIFS([6]InfCualitativo!$B$1:$B$6973,"FALSO",[6]InfCualitativo!$E$1:$E$6973,"Bicentenario",[6]InfCualitativo!$H$1:$H$6973,"pediatria")</f>
        <v>0</v>
      </c>
      <c r="AI8" s="30">
        <f t="shared" si="16"/>
        <v>0</v>
      </c>
      <c r="AJ8" s="30">
        <f t="shared" si="17"/>
        <v>0</v>
      </c>
      <c r="AK8" s="27">
        <f>COUNTIFS([6]InfCualitativo!$B$1:$B$6973,"VERDADERO",[6]InfCualitativo!$E$1:$E$6973,"Bicentenario",[6]InfCualitativo!$H$1:$H$6973,"medicina_interna")</f>
        <v>0</v>
      </c>
      <c r="AL8" s="27">
        <f>COUNTIFS([6]InfCualitativo!$B$1:$B$6973,"FALSO",[6]InfCualitativo!$E$1:$E$6973,"Bicentenario",[6]InfCualitativo!$H$1:$H$6973,"medicina_interna")</f>
        <v>0</v>
      </c>
      <c r="AM8" s="30">
        <f t="shared" si="18"/>
        <v>0</v>
      </c>
      <c r="AN8" s="30">
        <f t="shared" si="19"/>
        <v>0</v>
      </c>
      <c r="AO8" s="27">
        <f>COUNTIFS([6]InfCualitativo!$B$1:$B$6973,"VERDADERO",[6]InfCualitativo!$E$1:$E$6973,"Bicentenario",[6]InfCualitativo!$H$1:$H$6973,"ginecologia")</f>
        <v>0</v>
      </c>
      <c r="AP8" s="27">
        <f>COUNTIFS([6]InfCualitativo!$B$1:$B$6973,"FALSO",[6]InfCualitativo!$E$1:$E$6973,"Bicentenario",[6]InfCualitativo!$H$1:$H$6973,"ginecologia")</f>
        <v>0</v>
      </c>
      <c r="AQ8" s="30">
        <f t="shared" si="20"/>
        <v>0</v>
      </c>
      <c r="AR8" s="30">
        <f t="shared" si="21"/>
        <v>0</v>
      </c>
      <c r="AS8" s="27">
        <f t="shared" si="22"/>
        <v>155</v>
      </c>
      <c r="AT8" s="27">
        <f t="shared" si="22"/>
        <v>24</v>
      </c>
      <c r="AU8" s="32">
        <f t="shared" si="23"/>
        <v>0.86592178770949724</v>
      </c>
      <c r="AV8" s="32">
        <f t="shared" si="24"/>
        <v>0.13407821229050279</v>
      </c>
    </row>
    <row r="9" spans="1:48" ht="18.75" x14ac:dyDescent="0.3">
      <c r="A9" s="26" t="s">
        <v>28</v>
      </c>
      <c r="B9" s="27">
        <v>159</v>
      </c>
      <c r="C9" s="27">
        <f t="shared" si="1"/>
        <v>159</v>
      </c>
      <c r="D9" s="28">
        <f t="shared" si="0"/>
        <v>100</v>
      </c>
      <c r="E9" s="29">
        <f>COUNTIFS([6]InfCualitativo!$B$1:$B$6973,"VERDADERO",[6]InfCualitativo!$E$1:$E$6973,"Blasdelezo",[6]InfCualitativo!$H$1:$H$6973,"consulta_externa")</f>
        <v>36</v>
      </c>
      <c r="F9" s="29">
        <f>COUNTIFS([6]InfCualitativo!$B$1:$B$6973,"FALSO",[6]InfCualitativo!$E$1:$E$6973,"Blasdelezo",[6]InfCualitativo!$H$1:$H$6973,"consulta_externa")</f>
        <v>0</v>
      </c>
      <c r="G9" s="30">
        <f t="shared" si="2"/>
        <v>1</v>
      </c>
      <c r="H9" s="30">
        <f t="shared" si="3"/>
        <v>0</v>
      </c>
      <c r="I9" s="27">
        <f>COUNTIFS([6]InfCualitativo!$B$1:$B$6973,"VERDADERO",[6]InfCualitativo!$E$1:$E$6973,"Blasdelezo",[6]InfCualitativo!$H$1:$H$6973,"salud_oral")</f>
        <v>36</v>
      </c>
      <c r="J9" s="27">
        <f>COUNTIFS([6]InfCualitativo!$B$1:$B$6973,"FALSO",[6]InfCualitativo!$E$1:$E$6973,"Blasdelezo",[6]InfCualitativo!$H$1:$H$6973,"salud_oral")</f>
        <v>0</v>
      </c>
      <c r="K9" s="30">
        <f t="shared" si="4"/>
        <v>1</v>
      </c>
      <c r="L9" s="30">
        <f t="shared" si="5"/>
        <v>0</v>
      </c>
      <c r="M9" s="27">
        <f>COUNTIFS([6]InfCualitativo!$B$1:$B$6973,"VERDADERO",[6]InfCualitativo!$E$1:$E$6973,"Blasdelezo",[6]InfCualitativo!$H$1:$H$6973,"laboratorio")</f>
        <v>36</v>
      </c>
      <c r="N9" s="27">
        <f>COUNTIFS([6]InfCualitativo!$B$1:$B$6973,"FALSO",[6]InfCualitativo!$E$1:$E$6973,"Blasdelezo",[6]InfCualitativo!$H$1:$H$6973,"laboratorio")</f>
        <v>0</v>
      </c>
      <c r="O9" s="30">
        <f t="shared" si="6"/>
        <v>1</v>
      </c>
      <c r="P9" s="31">
        <f t="shared" si="7"/>
        <v>0</v>
      </c>
      <c r="Q9" s="27">
        <f>COUNTIFS([6]InfCualitativo!$B$1:$B$6973,"VERDADERO",[6]InfCualitativo!$E$1:$E$6973,"Blasdelezo",[6]InfCualitativo!$H$1:$H$6973,"electros")</f>
        <v>0</v>
      </c>
      <c r="R9" s="27">
        <f>COUNTIFS([6]InfCualitativo!$B$1:$B$6973,"FALSO",[6]InfCualitativo!$E$1:$E$6973,"Blasdelezo",[6]InfCualitativo!$H$1:$H$6973,"electros")</f>
        <v>0</v>
      </c>
      <c r="S9" s="30">
        <f t="shared" si="8"/>
        <v>0</v>
      </c>
      <c r="T9" s="30">
        <f t="shared" si="9"/>
        <v>0</v>
      </c>
      <c r="U9" s="27">
        <f>COUNTIFS([6]InfCualitativo!$B$1:$B$6973,"VERDADERO",[6]InfCualitativo!$E$1:$E$6973,"Blasdelezo",[6]InfCualitativo!$H$1:$H$6973,"rx")</f>
        <v>0</v>
      </c>
      <c r="V9" s="27">
        <f>COUNTIFS([6]InfCualitativo!$B$1:$B$6973,"FALSO",[6]InfCualitativo!$E$1:$E$6973,"Blasdelezo",[6]InfCualitativo!$H$1:$H$6973,"rx")</f>
        <v>0</v>
      </c>
      <c r="W9" s="30">
        <f t="shared" si="10"/>
        <v>0</v>
      </c>
      <c r="X9" s="30">
        <f t="shared" si="11"/>
        <v>0</v>
      </c>
      <c r="Y9" s="27">
        <f>COUNTIFS([6]InfCualitativo!$B$1:$B$6973,"VERDADERO",[6]InfCualitativo!$E$1:$E$6973,"Blasdelezo",[6]InfCualitativo!$H$1:$H$6973,"ecografias")</f>
        <v>0</v>
      </c>
      <c r="Z9" s="27">
        <f>COUNTIFS([6]InfCualitativo!$B$1:$B$6973,"FALSO",[6]InfCualitativo!$E$1:$E$6973,"Blasdelezo",[6]InfCualitativo!$H$1:$H$6973,"ecografias")</f>
        <v>0</v>
      </c>
      <c r="AA9" s="30">
        <f t="shared" si="12"/>
        <v>0</v>
      </c>
      <c r="AB9" s="30">
        <f t="shared" si="13"/>
        <v>0</v>
      </c>
      <c r="AC9" s="27">
        <f>COUNTIFS([6]InfCualitativo!$B$1:$B$6973,"VERDADERO",[6]InfCualitativo!$E$1:$E$6973,"Blasdelezo",[6]InfCualitativo!$H$1:$H$6973,"urgencia")</f>
        <v>33</v>
      </c>
      <c r="AD9" s="27">
        <f>COUNTIFS([6]InfCualitativo!$B$1:$B$6973,"FALSO",[6]InfCualitativo!$E$1:$E$6973,"Blasdelezo",[6]InfCualitativo!$H$1:$H$6973,"urgencia")</f>
        <v>0</v>
      </c>
      <c r="AE9" s="30">
        <f t="shared" si="14"/>
        <v>1</v>
      </c>
      <c r="AF9" s="30">
        <f t="shared" si="15"/>
        <v>0</v>
      </c>
      <c r="AG9" s="27">
        <f>COUNTIFS([6]InfCualitativo!$B$1:$B$6973,"VERDADERO",[6]InfCualitativo!$E$1:$E$6973,"Blasdelezo",[6]InfCualitativo!$H$1:$H$6973,"pediatria")</f>
        <v>9</v>
      </c>
      <c r="AH9" s="27">
        <f>COUNTIFS([6]InfCualitativo!$B$1:$B$6973,"FALSO",[6]InfCualitativo!$E$1:$E$6973,"Blasdelezo",[6]InfCualitativo!$H$1:$H$6973,"pediatria")</f>
        <v>0</v>
      </c>
      <c r="AI9" s="30">
        <f t="shared" si="16"/>
        <v>1</v>
      </c>
      <c r="AJ9" s="30">
        <f t="shared" si="17"/>
        <v>0</v>
      </c>
      <c r="AK9" s="27">
        <f>COUNTIFS([6]InfCualitativo!$B$1:$B$6973,"VERDADERO",[6]InfCualitativo!$E$1:$E$6973,"Blasdelezo",[6]InfCualitativo!$H$1:$H$6973,"medicina_interna")</f>
        <v>9</v>
      </c>
      <c r="AL9" s="27">
        <f>COUNTIFS([6]InfCualitativo!$B$1:$B$6973,"FALSO",[6]InfCualitativo!$E$1:$E$6973,"Blasdelezo",[6]InfCualitativo!$H$1:$H$6973,"medicina_interna")</f>
        <v>0</v>
      </c>
      <c r="AM9" s="30">
        <f t="shared" si="18"/>
        <v>1</v>
      </c>
      <c r="AN9" s="30">
        <f t="shared" si="19"/>
        <v>0</v>
      </c>
      <c r="AO9" s="27">
        <f>COUNTIFS([6]InfCualitativo!$B$1:$B$6973,"VERDADERO",[6]InfCualitativo!$E$1:$E$6973,"Blasdelezo",[6]InfCualitativo!$H$1:$H$6973,"ginecologia")</f>
        <v>0</v>
      </c>
      <c r="AP9" s="27">
        <f>COUNTIFS([6]InfCualitativo!$B$1:$B$6973,"FALSO",[6]InfCualitativo!$E$1:$E$6973,"Blasdelezo",[6]InfCualitativo!$H$1:$H$6973,"ginecologia")</f>
        <v>0</v>
      </c>
      <c r="AQ9" s="30">
        <f t="shared" si="20"/>
        <v>0</v>
      </c>
      <c r="AR9" s="30">
        <f t="shared" si="21"/>
        <v>0</v>
      </c>
      <c r="AS9" s="27">
        <f t="shared" si="22"/>
        <v>159</v>
      </c>
      <c r="AT9" s="27">
        <f t="shared" si="22"/>
        <v>0</v>
      </c>
      <c r="AU9" s="32">
        <f t="shared" si="23"/>
        <v>1</v>
      </c>
      <c r="AV9" s="32">
        <f t="shared" si="24"/>
        <v>0</v>
      </c>
    </row>
    <row r="10" spans="1:48" ht="18.75" x14ac:dyDescent="0.3">
      <c r="A10" s="26" t="s">
        <v>29</v>
      </c>
      <c r="B10" s="27">
        <v>132</v>
      </c>
      <c r="C10" s="27">
        <f t="shared" si="1"/>
        <v>129</v>
      </c>
      <c r="D10" s="28">
        <f t="shared" si="0"/>
        <v>97.727272727272734</v>
      </c>
      <c r="E10" s="29">
        <f>COUNTIFS([6]InfCualitativo!$B$1:$B$6973,"VERDADERO",[6]InfCualitativo!$E$1:$E$6973,"Bocachica",[6]InfCualitativo!$H$1:$H$6973,"consulta_externa")</f>
        <v>37</v>
      </c>
      <c r="F10" s="29">
        <f>COUNTIFS([6]InfCualitativo!$B$1:$B$6973,"FALSO",[6]InfCualitativo!$E$1:$E$6973,"Bocachica",[6]InfCualitativo!$H$1:$H$6973,"consulta_externa")</f>
        <v>0</v>
      </c>
      <c r="G10" s="30">
        <f t="shared" si="2"/>
        <v>1</v>
      </c>
      <c r="H10" s="30">
        <f t="shared" si="3"/>
        <v>0</v>
      </c>
      <c r="I10" s="27">
        <f>COUNTIFS([6]InfCualitativo!$B$1:$B$6973,"VERDADERO",[6]InfCualitativo!$E$1:$E$6973,"Bocachica",[6]InfCualitativo!$H$1:$H$6973,"salud_oral")</f>
        <v>27</v>
      </c>
      <c r="J10" s="27">
        <f>COUNTIFS([6]InfCualitativo!$B$1:$B$6973,"FALSO",[6]InfCualitativo!$E$1:$E$6973,"Bocachica",[6]InfCualitativo!$H$1:$H$6973,"salud_oral")</f>
        <v>0</v>
      </c>
      <c r="K10" s="30">
        <f t="shared" si="4"/>
        <v>1</v>
      </c>
      <c r="L10" s="30">
        <f t="shared" si="5"/>
        <v>0</v>
      </c>
      <c r="M10" s="27">
        <f>COUNTIFS([6]InfCualitativo!$B$1:$B$6973,"VERDADERO",[6]InfCualitativo!$E$1:$E$6973,"Bocachica",[6]InfCualitativo!$H$1:$H$6973,"laboratorio")</f>
        <v>31</v>
      </c>
      <c r="N10" s="27">
        <f>COUNTIFS([6]InfCualitativo!$B$1:$B$6973,"FALSO",[6]InfCualitativo!$E$1:$E$6973,"Bocachica",[6]InfCualitativo!$H$1:$H$6973,"laboratorio")</f>
        <v>1</v>
      </c>
      <c r="O10" s="30">
        <f t="shared" si="6"/>
        <v>0.96875</v>
      </c>
      <c r="P10" s="31">
        <f t="shared" si="7"/>
        <v>3.125E-2</v>
      </c>
      <c r="Q10" s="27">
        <f>COUNTIFS([6]InfCualitativo!$B$1:$B$6973,"VERDADERO",[6]InfCualitativo!$E$1:$E$6973,"Bocachica",[6]InfCualitativo!$H$1:$H$6973,"electros")</f>
        <v>0</v>
      </c>
      <c r="R10" s="27">
        <f>COUNTIFS([6]InfCualitativo!$B$1:$B$6973,"FALSO",[6]InfCualitativo!$E$1:$E$6973,"Bocachica",[6]InfCualitativo!$H$1:$H$6973,"electros")</f>
        <v>0</v>
      </c>
      <c r="S10" s="30">
        <f t="shared" si="8"/>
        <v>0</v>
      </c>
      <c r="T10" s="30">
        <f t="shared" si="9"/>
        <v>0</v>
      </c>
      <c r="U10" s="27">
        <f>COUNTIFS([6]InfCualitativo!$B$1:$B$6973,"VERDADERO",[6]InfCualitativo!$E$1:$E$6973,"Bocachica",[6]InfCualitativo!$H$1:$H$6973,"rx")</f>
        <v>0</v>
      </c>
      <c r="V10" s="27">
        <f>COUNTIFS([6]InfCualitativo!$B$1:$B$6973,"FALSO",[6]InfCualitativo!$E$1:$E$6973,"Bocachica",[6]InfCualitativo!$H$1:$H$6973,"rx")</f>
        <v>0</v>
      </c>
      <c r="W10" s="30">
        <f t="shared" si="10"/>
        <v>0</v>
      </c>
      <c r="X10" s="30">
        <f t="shared" si="11"/>
        <v>0</v>
      </c>
      <c r="Y10" s="27">
        <f>COUNTIFS([6]InfCualitativo!$B$1:$B$6973,"VERDADERO",[6]InfCualitativo!$E$1:$E$6973,"Bocachica",[6]InfCualitativo!$H$1:$H$6973,"ecografias")</f>
        <v>0</v>
      </c>
      <c r="Z10" s="27">
        <f>COUNTIFS([6]InfCualitativo!$B$1:$B$6973,"FALSO",[6]InfCualitativo!$E$1:$E$6973,"Bocachica",[6]InfCualitativo!$H$1:$H$6973,"ecografias")</f>
        <v>0</v>
      </c>
      <c r="AA10" s="30">
        <f t="shared" si="12"/>
        <v>0</v>
      </c>
      <c r="AB10" s="30">
        <f t="shared" si="13"/>
        <v>0</v>
      </c>
      <c r="AC10" s="27">
        <f>COUNTIFS([6]InfCualitativo!$B$1:$B$6973,"VERDADERO",[6]InfCualitativo!$E$1:$E$6973,"Bocachica",[6]InfCualitativo!$H$1:$H$6973,"urgencia")</f>
        <v>27</v>
      </c>
      <c r="AD10" s="27">
        <f>COUNTIFS([6]InfCualitativo!$B$1:$B$6973,"FALSO",[6]InfCualitativo!$E$1:$E$6973,"Bocachica",[6]InfCualitativo!$H$1:$H$6973,"urgencia")</f>
        <v>6</v>
      </c>
      <c r="AE10" s="30">
        <f t="shared" si="14"/>
        <v>0.81818181818181823</v>
      </c>
      <c r="AF10" s="30">
        <f t="shared" si="15"/>
        <v>0.18181818181818182</v>
      </c>
      <c r="AG10" s="27">
        <f>COUNTIFS([6]InfCualitativo!$B$1:$B$6973,"VERDADERO",[6]InfCualitativo!$E$1:$E$6973,"Bocachica",[6]InfCualitativo!$H$1:$H$6973,"pediatria")</f>
        <v>0</v>
      </c>
      <c r="AH10" s="27">
        <f>COUNTIFS([6]InfCualitativo!$B$1:$B$6973,"FALSO",[6]InfCualitativo!$E$1:$E$6973,"Bocachica",[6]InfCualitativo!$H$1:$H$6973,"pediatria")</f>
        <v>0</v>
      </c>
      <c r="AI10" s="30">
        <f t="shared" si="16"/>
        <v>0</v>
      </c>
      <c r="AJ10" s="30">
        <f t="shared" si="17"/>
        <v>0</v>
      </c>
      <c r="AK10" s="27">
        <f>COUNTIFS([6]InfCualitativo!$B$1:$B$6973,"VERDADERO",[6]InfCualitativo!$E$1:$E$6973,"Bocachica",[6]InfCualitativo!$H$1:$H$6973,"medicina_interna")</f>
        <v>0</v>
      </c>
      <c r="AL10" s="27">
        <f>COUNTIFS([6]InfCualitativo!$B$1:$B$6973,"FALSO",[6]InfCualitativo!$E$1:$E$6973,"Bocachica",[6]InfCualitativo!$H$1:$H$6973,"medicina_interna")</f>
        <v>0</v>
      </c>
      <c r="AM10" s="30">
        <f t="shared" si="18"/>
        <v>0</v>
      </c>
      <c r="AN10" s="30">
        <f t="shared" si="19"/>
        <v>0</v>
      </c>
      <c r="AO10" s="27">
        <f>COUNTIFS([6]InfCualitativo!$B$1:$B$6973,"VERDADERO",[6]InfCualitativo!$E$1:$E$6973,"Bocachica",[6]InfCualitativo!$H$1:$H$6973,"ginecologia")</f>
        <v>0</v>
      </c>
      <c r="AP10" s="27">
        <f>COUNTIFS([6]InfCualitativo!$B$1:$B$6973,"FALSO",[6]InfCualitativo!$E$1:$E$6973,"Bocachica",[6]InfCualitativo!$H$1:$H$6973,"ginecologia")</f>
        <v>0</v>
      </c>
      <c r="AQ10" s="30">
        <f t="shared" si="20"/>
        <v>0</v>
      </c>
      <c r="AR10" s="30">
        <f t="shared" si="21"/>
        <v>0</v>
      </c>
      <c r="AS10" s="27">
        <f t="shared" si="22"/>
        <v>122</v>
      </c>
      <c r="AT10" s="27">
        <f t="shared" si="22"/>
        <v>7</v>
      </c>
      <c r="AU10" s="32">
        <f t="shared" si="23"/>
        <v>0.94573643410852715</v>
      </c>
      <c r="AV10" s="32">
        <f t="shared" si="24"/>
        <v>5.4263565891472867E-2</v>
      </c>
    </row>
    <row r="11" spans="1:48" ht="18.75" x14ac:dyDescent="0.3">
      <c r="A11" s="26" t="s">
        <v>30</v>
      </c>
      <c r="B11" s="27">
        <v>147</v>
      </c>
      <c r="C11" s="27">
        <f t="shared" si="1"/>
        <v>141</v>
      </c>
      <c r="D11" s="28">
        <f t="shared" si="0"/>
        <v>95.91836734693878</v>
      </c>
      <c r="E11" s="29">
        <f>COUNTIFS([6]InfCualitativo!$B$1:$B$6973,"VERDADERO",[6]InfCualitativo!$E$1:$E$6973,"Boquilla",[6]InfCualitativo!$H$1:$H$6973,"consulta_externa")</f>
        <v>41</v>
      </c>
      <c r="F11" s="29">
        <f>COUNTIFS([6]InfCualitativo!$B$1:$B$6973,"FALSO",[6]InfCualitativo!$E$1:$E$6973,"Boquilla",[6]InfCualitativo!$H$1:$H$6973,"consulta_externa")</f>
        <v>8</v>
      </c>
      <c r="G11" s="30">
        <f t="shared" si="2"/>
        <v>0.83673469387755106</v>
      </c>
      <c r="H11" s="30">
        <f t="shared" si="3"/>
        <v>0.16326530612244897</v>
      </c>
      <c r="I11" s="27">
        <f>COUNTIFS([6]InfCualitativo!$B$1:$B$6973,"VERDADERO",[6]InfCualitativo!$E$1:$E$6973,"Boquilla",[6]InfCualitativo!$H$1:$H$6973,"salud_oral")</f>
        <v>25</v>
      </c>
      <c r="J11" s="27">
        <f>COUNTIFS([6]InfCualitativo!$B$1:$B$6973,"FALSO",[6]InfCualitativo!$E$1:$E$6973,"Boquilla",[6]InfCualitativo!$H$1:$H$6973,"salud_oral")</f>
        <v>4</v>
      </c>
      <c r="K11" s="30">
        <f t="shared" si="4"/>
        <v>0.86206896551724133</v>
      </c>
      <c r="L11" s="30">
        <f t="shared" si="5"/>
        <v>0.13793103448275862</v>
      </c>
      <c r="M11" s="27">
        <f>COUNTIFS([6]InfCualitativo!$B$1:$B$6973,"VERDADERO",[6]InfCualitativo!$E$1:$E$6973,"Boquilla",[6]InfCualitativo!$H$1:$H$6973,"laboratorio")</f>
        <v>27</v>
      </c>
      <c r="N11" s="27">
        <f>COUNTIFS([6]InfCualitativo!$B$1:$B$6973,"FALSO",[6]InfCualitativo!$E$1:$E$6973,"Boquilla",[6]InfCualitativo!$H$1:$H$6973,"laboratorio")</f>
        <v>4</v>
      </c>
      <c r="O11" s="30">
        <f t="shared" si="6"/>
        <v>0.87096774193548387</v>
      </c>
      <c r="P11" s="31">
        <f t="shared" si="7"/>
        <v>0.12903225806451613</v>
      </c>
      <c r="Q11" s="27">
        <f>COUNTIFS([6]InfCualitativo!$B$1:$B$6973,"VERDADERO",[6]InfCualitativo!$E$1:$E$6973,"Boquilla",[6]InfCualitativo!$H$1:$H$6973,"electros")</f>
        <v>0</v>
      </c>
      <c r="R11" s="27">
        <f>COUNTIFS([6]InfCualitativo!$B$1:$B$6973,"FALSO",[6]InfCualitativo!$E$1:$E$6973,"Boquilla",[6]InfCualitativo!$H$1:$H$6973,"electros")</f>
        <v>0</v>
      </c>
      <c r="S11" s="30">
        <f t="shared" si="8"/>
        <v>0</v>
      </c>
      <c r="T11" s="30">
        <f t="shared" si="9"/>
        <v>0</v>
      </c>
      <c r="U11" s="27">
        <f>COUNTIFS([6]InfCualitativo!$B$1:$B$6973,"VERDADERO",[6]InfCualitativo!$E$1:$E$6973,"Boquilla",[6]InfCualitativo!$H$1:$H$6973,"rx")</f>
        <v>0</v>
      </c>
      <c r="V11" s="27">
        <f>COUNTIFS([6]InfCualitativo!$B$1:$B$6973,"FALSO",[6]InfCualitativo!$E$1:$E$6973,"Boquilla",[6]InfCualitativo!$H$1:$H$6973,"rx")</f>
        <v>0</v>
      </c>
      <c r="W11" s="30">
        <f t="shared" si="10"/>
        <v>0</v>
      </c>
      <c r="X11" s="30">
        <f t="shared" si="11"/>
        <v>0</v>
      </c>
      <c r="Y11" s="27">
        <f>COUNTIFS([6]InfCualitativo!$B$1:$B$6973,"VERDADERO",[6]InfCualitativo!$E$1:$E$6973,"Boquilla",[6]InfCualitativo!$H$1:$H$6973,"ecografias")</f>
        <v>0</v>
      </c>
      <c r="Z11" s="27">
        <f>COUNTIFS([6]InfCualitativo!$B$1:$B$6973,"FALSO",[6]InfCualitativo!$E$1:$E$6973,"Boquilla",[6]InfCualitativo!$H$1:$H$6973,"ecografias")</f>
        <v>0</v>
      </c>
      <c r="AA11" s="30">
        <f t="shared" si="12"/>
        <v>0</v>
      </c>
      <c r="AB11" s="30">
        <f t="shared" si="13"/>
        <v>0</v>
      </c>
      <c r="AC11" s="27">
        <f>COUNTIFS([6]InfCualitativo!$B$1:$B$6973,"VERDADERO",[6]InfCualitativo!$E$1:$E$6973,"Boquilla",[6]InfCualitativo!$H$1:$H$6973,"urgencia")</f>
        <v>19</v>
      </c>
      <c r="AD11" s="27">
        <f>COUNTIFS([6]InfCualitativo!$B$1:$B$6973,"FALSO",[6]InfCualitativo!$E$1:$E$6973,"Boquilla",[6]InfCualitativo!$H$1:$H$6973,"urgencia")</f>
        <v>13</v>
      </c>
      <c r="AE11" s="30">
        <f t="shared" si="14"/>
        <v>0.59375</v>
      </c>
      <c r="AF11" s="30">
        <f t="shared" si="15"/>
        <v>0.40625</v>
      </c>
      <c r="AG11" s="27">
        <f>COUNTIFS([6]InfCualitativo!$B$1:$B$6973,"VERDADERO",[6]InfCualitativo!$E$1:$E$6973,"Boquilla",[6]InfCualitativo!$H$1:$H$6973,"pediatria")</f>
        <v>0</v>
      </c>
      <c r="AH11" s="27">
        <f>COUNTIFS([6]InfCualitativo!$B$1:$B$6973,"FALSO",[6]InfCualitativo!$E$1:$E$6973,"Boquilla",[6]InfCualitativo!$H$1:$H$6973,"pediatria")</f>
        <v>0</v>
      </c>
      <c r="AI11" s="30">
        <f t="shared" si="16"/>
        <v>0</v>
      </c>
      <c r="AJ11" s="30">
        <f t="shared" si="17"/>
        <v>0</v>
      </c>
      <c r="AK11" s="27">
        <f>COUNTIFS([6]InfCualitativo!$B$1:$B$6973,"VERDADERO",[6]InfCualitativo!$E$1:$E$6973,"Boquilla",[6]InfCualitativo!$H$1:$H$6973,"medicina_interna")</f>
        <v>0</v>
      </c>
      <c r="AL11" s="27">
        <f>COUNTIFS([6]InfCualitativo!$B$1:$B$6973,"FALSO",[6]InfCualitativo!$E$1:$E$6973,"Boquilla",[6]InfCualitativo!$H$1:$H$6973,"medicina_interna")</f>
        <v>0</v>
      </c>
      <c r="AM11" s="30">
        <f t="shared" si="18"/>
        <v>0</v>
      </c>
      <c r="AN11" s="30">
        <f t="shared" si="19"/>
        <v>0</v>
      </c>
      <c r="AO11" s="27">
        <f>COUNTIFS([6]InfCualitativo!$B$1:$B$6973,"VERDADERO",[6]InfCualitativo!$E$1:$E$6973,"Boquilla",[6]InfCualitativo!$H$1:$H$6973,"ginecologia")</f>
        <v>0</v>
      </c>
      <c r="AP11" s="27">
        <f>COUNTIFS([6]InfCualitativo!$B$1:$B$6973,"FALSO",[6]InfCualitativo!$E$1:$E$6973,"Boquilla",[6]InfCualitativo!$H$1:$H$6973,"ginecologia")</f>
        <v>0</v>
      </c>
      <c r="AQ11" s="30">
        <f t="shared" si="20"/>
        <v>0</v>
      </c>
      <c r="AR11" s="30">
        <f t="shared" si="21"/>
        <v>0</v>
      </c>
      <c r="AS11" s="27">
        <f t="shared" si="22"/>
        <v>112</v>
      </c>
      <c r="AT11" s="27">
        <f t="shared" si="22"/>
        <v>29</v>
      </c>
      <c r="AU11" s="32">
        <f t="shared" si="23"/>
        <v>0.79432624113475181</v>
      </c>
      <c r="AV11" s="32">
        <f t="shared" si="24"/>
        <v>0.20567375886524822</v>
      </c>
    </row>
    <row r="12" spans="1:48" ht="18.75" x14ac:dyDescent="0.3">
      <c r="A12" s="26" t="s">
        <v>31</v>
      </c>
      <c r="B12" s="27">
        <v>102</v>
      </c>
      <c r="C12" s="27">
        <f t="shared" si="1"/>
        <v>102</v>
      </c>
      <c r="D12" s="28">
        <f t="shared" si="0"/>
        <v>100</v>
      </c>
      <c r="E12" s="29">
        <f>COUNTIFS([6]InfCualitativo!$B$1:$B$6973,"VERDADERO",[6]InfCualitativo!$E$1:$E$6973,"Bosque",[6]InfCualitativo!$H$1:$H$6973,"consulta_externa")</f>
        <v>36</v>
      </c>
      <c r="F12" s="29">
        <f>COUNTIFS([6]InfCualitativo!$B$1:$B$6973,"FALSO",[6]InfCualitativo!$E$1:$E$6973,"Bosque",[6]InfCualitativo!$H$1:$H$6973,"consulta_externa")</f>
        <v>0</v>
      </c>
      <c r="G12" s="30">
        <f t="shared" si="2"/>
        <v>1</v>
      </c>
      <c r="H12" s="30">
        <f t="shared" si="3"/>
        <v>0</v>
      </c>
      <c r="I12" s="27">
        <f>COUNTIFS([6]InfCualitativo!$B$1:$B$6973,"VERDADERO",[6]InfCualitativo!$E$1:$E$6973,"Bosque",[6]InfCualitativo!$H$1:$H$6973,"salud_oral")</f>
        <v>33</v>
      </c>
      <c r="J12" s="27">
        <f>COUNTIFS([6]InfCualitativo!$B$1:$B$6973,"FALSO",[6]InfCualitativo!$E$1:$E$6973,"Bosque",[6]InfCualitativo!$H$1:$H$6973,"salud_oral")</f>
        <v>0</v>
      </c>
      <c r="K12" s="30">
        <f t="shared" si="4"/>
        <v>1</v>
      </c>
      <c r="L12" s="30">
        <f t="shared" si="5"/>
        <v>0</v>
      </c>
      <c r="M12" s="27">
        <f>COUNTIFS([6]InfCualitativo!$B$1:$B$6973,"VERDADERO",[6]InfCualitativo!$E$1:$E$6973,"Bosque",[6]InfCualitativo!$H$1:$H$6973,"laboratorio")</f>
        <v>33</v>
      </c>
      <c r="N12" s="27">
        <f>COUNTIFS([6]InfCualitativo!$B$1:$B$6973,"FALSO",[6]InfCualitativo!$E$1:$E$6973,"Bosque",[6]InfCualitativo!$H$1:$H$6973,"laboratorio")</f>
        <v>0</v>
      </c>
      <c r="O12" s="30">
        <f t="shared" si="6"/>
        <v>1</v>
      </c>
      <c r="P12" s="31">
        <f t="shared" si="7"/>
        <v>0</v>
      </c>
      <c r="Q12" s="27">
        <f>COUNTIFS([6]InfCualitativo!$B$1:$B$6973,"VERDADERO",[6]InfCualitativo!$E$1:$E$6973,"Bosque",[6]InfCualitativo!$H$1:$H$6973,"electros")</f>
        <v>0</v>
      </c>
      <c r="R12" s="27">
        <f>COUNTIFS([6]InfCualitativo!$B$1:$B$6973,"FALSO",[6]InfCualitativo!$E$1:$E$6973,"Bosque",[6]InfCualitativo!$H$1:$H$6973,"electros")</f>
        <v>0</v>
      </c>
      <c r="S12" s="30">
        <f t="shared" si="8"/>
        <v>0</v>
      </c>
      <c r="T12" s="30">
        <f t="shared" si="9"/>
        <v>0</v>
      </c>
      <c r="U12" s="27">
        <f>COUNTIFS([6]InfCualitativo!$B$1:$B$6973,"VERDADERO",[6]InfCualitativo!$E$1:$E$6973,"Bosque",[6]InfCualitativo!$H$1:$H$6973,"rx")</f>
        <v>0</v>
      </c>
      <c r="V12" s="27">
        <f>COUNTIFS([6]InfCualitativo!$B$1:$B$6973,"FALSO",[6]InfCualitativo!$E$1:$E$6973,"Bosque",[6]InfCualitativo!$H$1:$H$6973,"rx")</f>
        <v>0</v>
      </c>
      <c r="W12" s="30">
        <f t="shared" si="10"/>
        <v>0</v>
      </c>
      <c r="X12" s="30">
        <f t="shared" si="11"/>
        <v>0</v>
      </c>
      <c r="Y12" s="27">
        <f>COUNTIFS([6]InfCualitativo!$B$1:$B$6973,"VERDADERO",[6]InfCualitativo!$E$1:$E$6973,"Bosque",[6]InfCualitativo!$H$1:$H$6973,"ecografias")</f>
        <v>0</v>
      </c>
      <c r="Z12" s="27">
        <f>COUNTIFS([6]InfCualitativo!$B$1:$B$6973,"FALSO",[6]InfCualitativo!$E$1:$E$6973,"Bosque",[6]InfCualitativo!$H$1:$H$6973,"ecografias")</f>
        <v>0</v>
      </c>
      <c r="AA12" s="30">
        <f t="shared" si="12"/>
        <v>0</v>
      </c>
      <c r="AB12" s="30">
        <f t="shared" si="13"/>
        <v>0</v>
      </c>
      <c r="AC12" s="27">
        <f>COUNTIFS([6]InfCualitativo!$B$1:$B$6973,"VERDADERO",[6]InfCualitativo!$E$1:$E$6973,"Bosque",[6]InfCualitativo!$H$1:$H$6973,"urgencia")</f>
        <v>0</v>
      </c>
      <c r="AD12" s="27">
        <f>COUNTIFS([6]InfCualitativo!$B$1:$B$6973,"FALSO",[6]InfCualitativo!$E$1:$E$6973,"Bosque",[6]InfCualitativo!$H$1:$H$6973,"urgencia")</f>
        <v>0</v>
      </c>
      <c r="AE12" s="30">
        <f t="shared" si="14"/>
        <v>0</v>
      </c>
      <c r="AF12" s="30">
        <f t="shared" si="15"/>
        <v>0</v>
      </c>
      <c r="AG12" s="27">
        <f>COUNTIFS([6]InfCualitativo!$B$1:$B$6973,"VERDADERO",[6]InfCualitativo!$E$1:$E$6973,"Bosque",[6]InfCualitativo!$H$1:$H$6973,"pediatria")</f>
        <v>0</v>
      </c>
      <c r="AH12" s="27">
        <f>COUNTIFS([6]InfCualitativo!$B$1:$B$6973,"FALSO",[6]InfCualitativo!$E$1:$E$6973,"Bosque",[6]InfCualitativo!$H$1:$H$6973,"pediatria")</f>
        <v>0</v>
      </c>
      <c r="AI12" s="30">
        <f t="shared" si="16"/>
        <v>0</v>
      </c>
      <c r="AJ12" s="30">
        <f t="shared" si="17"/>
        <v>0</v>
      </c>
      <c r="AK12" s="27">
        <f>COUNTIFS([6]InfCualitativo!$B$1:$B$6973,"VERDADERO",[6]InfCualitativo!$E$1:$E$6973,"Bosque",[6]InfCualitativo!$H$1:$H$6973,"medicina_interna")</f>
        <v>0</v>
      </c>
      <c r="AL12" s="27">
        <f>COUNTIFS([6]InfCualitativo!$B$1:$B$6973,"FALSO",[6]InfCualitativo!$E$1:$E$6973,"Bosque",[6]InfCualitativo!$H$1:$H$6973,"medicina_interna")</f>
        <v>0</v>
      </c>
      <c r="AM12" s="30">
        <f t="shared" si="18"/>
        <v>0</v>
      </c>
      <c r="AN12" s="30">
        <f t="shared" si="19"/>
        <v>0</v>
      </c>
      <c r="AO12" s="27">
        <f>COUNTIFS([6]InfCualitativo!$B$1:$B$6973,"VERDADERO",[6]InfCualitativo!$E$1:$E$6973,"Bosque",[6]InfCualitativo!$H$1:$H$6973,"ginecologia")</f>
        <v>0</v>
      </c>
      <c r="AP12" s="27">
        <f>COUNTIFS([6]InfCualitativo!$B$1:$B$6973,"FALSO",[6]InfCualitativo!$E$1:$E$6973,"Bosque",[6]InfCualitativo!$H$1:$H$6973,"ginecologia")</f>
        <v>0</v>
      </c>
      <c r="AQ12" s="30">
        <f t="shared" si="20"/>
        <v>0</v>
      </c>
      <c r="AR12" s="30">
        <f t="shared" si="21"/>
        <v>0</v>
      </c>
      <c r="AS12" s="27">
        <f t="shared" si="22"/>
        <v>102</v>
      </c>
      <c r="AT12" s="27">
        <f t="shared" si="22"/>
        <v>0</v>
      </c>
      <c r="AU12" s="32">
        <f t="shared" si="23"/>
        <v>1</v>
      </c>
      <c r="AV12" s="32">
        <f t="shared" si="24"/>
        <v>0</v>
      </c>
    </row>
    <row r="13" spans="1:48" ht="18.75" x14ac:dyDescent="0.3">
      <c r="A13" s="26" t="s">
        <v>32</v>
      </c>
      <c r="B13" s="27">
        <v>33</v>
      </c>
      <c r="C13" s="27">
        <f t="shared" si="1"/>
        <v>32</v>
      </c>
      <c r="D13" s="28">
        <f t="shared" si="0"/>
        <v>96.969696969696969</v>
      </c>
      <c r="E13" s="29">
        <f>COUNTIFS([6]InfCualitativo!$B$1:$B$6973,"VERDADERO",[6]InfCualitativo!$E$1:$E$6973,"Boston",[6]InfCualitativo!$H$1:$H$6973,"consulta_externa")</f>
        <v>32</v>
      </c>
      <c r="F13" s="29">
        <f>COUNTIFS([6]InfCualitativo!$B$1:$B$6973,"FALSO",[6]InfCualitativo!$E$1:$E$6973,"Boston",[6]InfCualitativo!$H$1:$H$6973,"consulta_externa")</f>
        <v>0</v>
      </c>
      <c r="G13" s="30">
        <f t="shared" si="2"/>
        <v>1</v>
      </c>
      <c r="H13" s="30">
        <f t="shared" si="3"/>
        <v>0</v>
      </c>
      <c r="I13" s="27">
        <f>COUNTIFS([6]InfCualitativo!$B$1:$B$6973,"VERDADERO",[6]InfCualitativo!$E$1:$E$6973,"Boston",[6]InfCualitativo!$H$1:$H$6973,"salud_oral")</f>
        <v>0</v>
      </c>
      <c r="J13" s="27">
        <f>COUNTIFS([6]InfCualitativo!$B$1:$B$6973,"FALSO",[6]InfCualitativo!$E$1:$E$6973,"Boston",[6]InfCualitativo!$H$1:$H$6973,"salud_oral")</f>
        <v>0</v>
      </c>
      <c r="K13" s="30">
        <f t="shared" si="4"/>
        <v>0</v>
      </c>
      <c r="L13" s="30">
        <f t="shared" si="5"/>
        <v>0</v>
      </c>
      <c r="M13" s="27">
        <f>COUNTIFS([6]InfCualitativo!$B$1:$B$6973,"VERDADERO",[6]InfCualitativo!$E$1:$E$6973,"Boston",[6]InfCualitativo!$H$1:$H$6973,"laboratorio")</f>
        <v>0</v>
      </c>
      <c r="N13" s="27">
        <f>COUNTIFS([6]InfCualitativo!$B$1:$B$6973,"FALSO",[6]InfCualitativo!$E$1:$E$6973,"Boston",[6]InfCualitativo!$H$1:$H$6973,"laboratorio")</f>
        <v>0</v>
      </c>
      <c r="O13" s="30">
        <f t="shared" si="6"/>
        <v>0</v>
      </c>
      <c r="P13" s="31">
        <f t="shared" si="7"/>
        <v>0</v>
      </c>
      <c r="Q13" s="27">
        <f>COUNTIFS([6]InfCualitativo!$B$1:$B$6973,"VERDADERO",[6]InfCualitativo!$E$1:$E$6973,"Boston",[6]InfCualitativo!$H$1:$H$6973,"electros")</f>
        <v>0</v>
      </c>
      <c r="R13" s="27">
        <f>COUNTIFS([6]InfCualitativo!$B$1:$B$6973,"FALSO",[6]InfCualitativo!$E$1:$E$6973,"Boston",[6]InfCualitativo!$H$1:$H$6973,"electros")</f>
        <v>0</v>
      </c>
      <c r="S13" s="30">
        <f t="shared" si="8"/>
        <v>0</v>
      </c>
      <c r="T13" s="30">
        <f t="shared" si="9"/>
        <v>0</v>
      </c>
      <c r="U13" s="27">
        <f>COUNTIFS([6]InfCualitativo!$B$1:$B$6973,"VERDADERO",[6]InfCualitativo!$E$1:$E$6973,"Boston",[6]InfCualitativo!$H$1:$H$6973,"rx")</f>
        <v>0</v>
      </c>
      <c r="V13" s="27">
        <f>COUNTIFS([6]InfCualitativo!$B$1:$B$6973,"FALSO",[6]InfCualitativo!$E$1:$E$6973,"Boston",[6]InfCualitativo!$H$1:$H$6973,"rx")</f>
        <v>0</v>
      </c>
      <c r="W13" s="30">
        <f t="shared" si="10"/>
        <v>0</v>
      </c>
      <c r="X13" s="30">
        <f t="shared" si="11"/>
        <v>0</v>
      </c>
      <c r="Y13" s="27">
        <f>COUNTIFS([6]InfCualitativo!$B$1:$B$6973,"VERDADERO",[6]InfCualitativo!$E$1:$E$6973,"Boston",[6]InfCualitativo!$H$1:$H$6973,"ecografias")</f>
        <v>0</v>
      </c>
      <c r="Z13" s="27">
        <f>COUNTIFS([6]InfCualitativo!$B$1:$B$6973,"FALSO",[6]InfCualitativo!$E$1:$E$6973,"Boston",[6]InfCualitativo!$H$1:$H$6973,"ecografias")</f>
        <v>0</v>
      </c>
      <c r="AA13" s="30">
        <f t="shared" si="12"/>
        <v>0</v>
      </c>
      <c r="AB13" s="30">
        <f t="shared" si="13"/>
        <v>0</v>
      </c>
      <c r="AC13" s="27">
        <f>COUNTIFS([6]InfCualitativo!$B$1:$B$6973,"VERDADERO",[6]InfCualitativo!$E$1:$E$6973,"Boston",[6]InfCualitativo!$H$1:$H$6973,"urgencia")</f>
        <v>0</v>
      </c>
      <c r="AD13" s="27">
        <f>COUNTIFS([6]InfCualitativo!$B$1:$B$6973,"FALSO",[6]InfCualitativo!$E$1:$E$6973,"Boston",[6]InfCualitativo!$H$1:$H$6973,"urgencia")</f>
        <v>0</v>
      </c>
      <c r="AE13" s="30">
        <f t="shared" si="14"/>
        <v>0</v>
      </c>
      <c r="AF13" s="30">
        <f t="shared" si="15"/>
        <v>0</v>
      </c>
      <c r="AG13" s="27">
        <f>COUNTIFS([6]InfCualitativo!$B$1:$B$6973,"VERDADERO",[6]InfCualitativo!$E$1:$E$6973,"Boston",[6]InfCualitativo!$H$1:$H$6973,"pediatria")</f>
        <v>0</v>
      </c>
      <c r="AH13" s="27">
        <f>COUNTIFS([6]InfCualitativo!$B$1:$B$6973,"FALSO",[6]InfCualitativo!$E$1:$E$6973,"Boston",[6]InfCualitativo!$H$1:$H$6973,"pediatria")</f>
        <v>0</v>
      </c>
      <c r="AI13" s="30">
        <f t="shared" si="16"/>
        <v>0</v>
      </c>
      <c r="AJ13" s="30">
        <f t="shared" si="17"/>
        <v>0</v>
      </c>
      <c r="AK13" s="27">
        <f>COUNTIFS([6]InfCualitativo!$B$1:$B$6973,"VERDADERO",[6]InfCualitativo!$E$1:$E$6973,"Boston",[6]InfCualitativo!$H$1:$H$6973,"medicina_interna")</f>
        <v>0</v>
      </c>
      <c r="AL13" s="27">
        <f>COUNTIFS([6]InfCualitativo!$B$1:$B$6973,"FALSO",[6]InfCualitativo!$E$1:$E$6973,"Boston",[6]InfCualitativo!$H$1:$H$6973,"medicina_interna")</f>
        <v>0</v>
      </c>
      <c r="AM13" s="30">
        <f t="shared" si="18"/>
        <v>0</v>
      </c>
      <c r="AN13" s="30">
        <f t="shared" si="19"/>
        <v>0</v>
      </c>
      <c r="AO13" s="27">
        <f>COUNTIFS([6]InfCualitativo!$B$1:$B$6973,"VERDADERO",[6]InfCualitativo!$E$1:$E$6973,"Boston",[6]InfCualitativo!$H$1:$H$6973,"ginecologia")</f>
        <v>0</v>
      </c>
      <c r="AP13" s="27">
        <f>COUNTIFS([6]InfCualitativo!$B$1:$B$6973,"FALSO",[6]InfCualitativo!$E$1:$E$6973,"Boston",[6]InfCualitativo!$H$1:$H$6973,"ginecologia")</f>
        <v>0</v>
      </c>
      <c r="AQ13" s="30">
        <f t="shared" si="20"/>
        <v>0</v>
      </c>
      <c r="AR13" s="30">
        <f t="shared" si="21"/>
        <v>0</v>
      </c>
      <c r="AS13" s="27">
        <f t="shared" si="22"/>
        <v>32</v>
      </c>
      <c r="AT13" s="27">
        <f t="shared" si="22"/>
        <v>0</v>
      </c>
      <c r="AU13" s="32">
        <f t="shared" si="23"/>
        <v>1</v>
      </c>
      <c r="AV13" s="32">
        <f t="shared" si="24"/>
        <v>0</v>
      </c>
    </row>
    <row r="14" spans="1:48" ht="18.75" x14ac:dyDescent="0.3">
      <c r="A14" s="26" t="s">
        <v>33</v>
      </c>
      <c r="B14" s="35" t="s">
        <v>39</v>
      </c>
      <c r="C14" s="35" t="s">
        <v>39</v>
      </c>
      <c r="D14" s="35" t="s">
        <v>39</v>
      </c>
      <c r="E14" s="35" t="s">
        <v>39</v>
      </c>
      <c r="F14" s="35" t="s">
        <v>39</v>
      </c>
      <c r="G14" s="35" t="s">
        <v>39</v>
      </c>
      <c r="H14" s="35" t="s">
        <v>39</v>
      </c>
      <c r="I14" s="35" t="s">
        <v>39</v>
      </c>
      <c r="J14" s="35" t="s">
        <v>39</v>
      </c>
      <c r="K14" s="35" t="s">
        <v>39</v>
      </c>
      <c r="L14" s="35" t="s">
        <v>39</v>
      </c>
      <c r="M14" s="35" t="s">
        <v>39</v>
      </c>
      <c r="N14" s="35" t="s">
        <v>39</v>
      </c>
      <c r="O14" s="35" t="s">
        <v>39</v>
      </c>
      <c r="P14" s="35" t="s">
        <v>39</v>
      </c>
      <c r="Q14" s="35" t="s">
        <v>39</v>
      </c>
      <c r="R14" s="35" t="s">
        <v>39</v>
      </c>
      <c r="S14" s="35" t="s">
        <v>39</v>
      </c>
      <c r="T14" s="35" t="s">
        <v>39</v>
      </c>
      <c r="U14" s="35" t="s">
        <v>39</v>
      </c>
      <c r="V14" s="35" t="s">
        <v>39</v>
      </c>
      <c r="W14" s="35" t="s">
        <v>39</v>
      </c>
      <c r="X14" s="35" t="s">
        <v>39</v>
      </c>
      <c r="Y14" s="35" t="s">
        <v>39</v>
      </c>
      <c r="Z14" s="35" t="s">
        <v>39</v>
      </c>
      <c r="AA14" s="35" t="s">
        <v>39</v>
      </c>
      <c r="AB14" s="35" t="s">
        <v>39</v>
      </c>
      <c r="AC14" s="35" t="s">
        <v>39</v>
      </c>
      <c r="AD14" s="35" t="s">
        <v>39</v>
      </c>
      <c r="AE14" s="35" t="s">
        <v>39</v>
      </c>
      <c r="AF14" s="35" t="s">
        <v>39</v>
      </c>
      <c r="AG14" s="35" t="s">
        <v>39</v>
      </c>
      <c r="AH14" s="35" t="s">
        <v>39</v>
      </c>
      <c r="AI14" s="35" t="s">
        <v>39</v>
      </c>
      <c r="AJ14" s="35" t="s">
        <v>39</v>
      </c>
      <c r="AK14" s="35" t="s">
        <v>39</v>
      </c>
      <c r="AL14" s="35" t="s">
        <v>39</v>
      </c>
      <c r="AM14" s="35" t="s">
        <v>39</v>
      </c>
      <c r="AN14" s="35" t="s">
        <v>39</v>
      </c>
      <c r="AO14" s="35" t="s">
        <v>39</v>
      </c>
      <c r="AP14" s="35" t="s">
        <v>39</v>
      </c>
      <c r="AQ14" s="35" t="s">
        <v>39</v>
      </c>
      <c r="AR14" s="35" t="s">
        <v>39</v>
      </c>
      <c r="AS14" s="35" t="s">
        <v>39</v>
      </c>
      <c r="AT14" s="35" t="s">
        <v>39</v>
      </c>
      <c r="AU14" s="35" t="s">
        <v>39</v>
      </c>
      <c r="AV14" s="35" t="s">
        <v>39</v>
      </c>
    </row>
    <row r="15" spans="1:48" ht="18.75" x14ac:dyDescent="0.3">
      <c r="A15" s="26" t="s">
        <v>34</v>
      </c>
      <c r="B15" s="27">
        <v>210</v>
      </c>
      <c r="C15" s="27">
        <f t="shared" si="1"/>
        <v>210</v>
      </c>
      <c r="D15" s="28">
        <f t="shared" si="0"/>
        <v>100</v>
      </c>
      <c r="E15" s="29">
        <f>COUNTIFS([6]InfCualitativo!$B$1:$B$6973,"VERDADERO",[6]InfCualitativo!$E$1:$E$6973,"Candelaria",[6]InfCualitativo!$H$1:$H$6973,"consulta_externa")</f>
        <v>36</v>
      </c>
      <c r="F15" s="29">
        <f>COUNTIFS([6]InfCualitativo!$B$1:$B$6973,"FALSO",[6]InfCualitativo!$E$1:$E$6973,"Candelaria",[6]InfCualitativo!$H$1:$H$6973,"consulta_externa")</f>
        <v>1</v>
      </c>
      <c r="G15" s="30">
        <f t="shared" si="2"/>
        <v>0.97297297297297303</v>
      </c>
      <c r="H15" s="30">
        <f t="shared" si="3"/>
        <v>2.7027027027027029E-2</v>
      </c>
      <c r="I15" s="27">
        <f>COUNTIFS([6]InfCualitativo!$B$1:$B$6973,"VERDADERO",[6]InfCualitativo!$E$1:$E$6973,"Candelaria",[6]InfCualitativo!$H$1:$H$6973,"salud_oral")</f>
        <v>34</v>
      </c>
      <c r="J15" s="27">
        <f>COUNTIFS([6]InfCualitativo!$B$1:$B$6973,"FALSO",[6]InfCualitativo!$E$1:$E$6973,"Candelaria",[6]InfCualitativo!$H$1:$H$6973,"salud_oral")</f>
        <v>1</v>
      </c>
      <c r="K15" s="30">
        <f t="shared" si="4"/>
        <v>0.97142857142857142</v>
      </c>
      <c r="L15" s="30">
        <f t="shared" si="5"/>
        <v>2.8571428571428571E-2</v>
      </c>
      <c r="M15" s="27">
        <f>COUNTIFS([6]InfCualitativo!$B$1:$B$6973,"VERDADERO",[6]InfCualitativo!$E$1:$E$6973,"Candelaria",[6]InfCualitativo!$H$1:$H$6973,"laboratorio")</f>
        <v>33</v>
      </c>
      <c r="N15" s="27">
        <f>COUNTIFS([6]InfCualitativo!$B$1:$B$6973,"FALSO",[6]InfCualitativo!$E$1:$E$6973,"Candelaria",[6]InfCualitativo!$H$1:$H$6973,"laboratorio")</f>
        <v>3</v>
      </c>
      <c r="O15" s="30">
        <f t="shared" si="6"/>
        <v>0.91666666666666663</v>
      </c>
      <c r="P15" s="31">
        <f t="shared" si="7"/>
        <v>8.3333333333333329E-2</v>
      </c>
      <c r="Q15" s="27">
        <f>COUNTIFS([6]InfCualitativo!$B$1:$B$6973,"VERDADERO",[6]InfCualitativo!$E$1:$E$6973,"Candelaria",[6]InfCualitativo!$H$1:$H$6973,"electros")</f>
        <v>32</v>
      </c>
      <c r="R15" s="27">
        <f>COUNTIFS([6]InfCualitativo!$B$1:$B$6973,"FALSO",[6]InfCualitativo!$E$1:$E$6973,"Candelaria",[6]InfCualitativo!$H$1:$H$6973,"electros")</f>
        <v>1</v>
      </c>
      <c r="S15" s="30">
        <f t="shared" si="8"/>
        <v>0.96969696969696972</v>
      </c>
      <c r="T15" s="30">
        <f t="shared" si="9"/>
        <v>3.0303030303030304E-2</v>
      </c>
      <c r="U15" s="27">
        <f>COUNTIFS([6]InfCualitativo!$B$1:$B$6973,"VERDADERO",[6]InfCualitativo!$E$1:$E$6973,"Candelaria",[6]InfCualitativo!$H$1:$H$6973,"rx")</f>
        <v>0</v>
      </c>
      <c r="V15" s="27">
        <f>COUNTIFS([6]InfCualitativo!$B$1:$B$6973,"FALSO",[6]InfCualitativo!$E$1:$E$6973,"Candelaria",[6]InfCualitativo!$H$1:$H$6973,"rx")</f>
        <v>0</v>
      </c>
      <c r="W15" s="30">
        <f t="shared" si="10"/>
        <v>0</v>
      </c>
      <c r="X15" s="30">
        <f t="shared" si="11"/>
        <v>0</v>
      </c>
      <c r="Y15" s="27">
        <f>COUNTIFS([6]InfCualitativo!$B$1:$B$6973,"VERDADERO",[6]InfCualitativo!$E$1:$E$6973,"Candelaria",[6]InfCualitativo!$H$1:$H$6973,"ecografias")</f>
        <v>0</v>
      </c>
      <c r="Z15" s="27">
        <f>COUNTIFS([6]InfCualitativo!$B$1:$B$6973,"FALSO",[6]InfCualitativo!$E$1:$E$6973,"Candelaria",[6]InfCualitativo!$H$1:$H$6973,"ecografias")</f>
        <v>0</v>
      </c>
      <c r="AA15" s="30">
        <f t="shared" si="12"/>
        <v>0</v>
      </c>
      <c r="AB15" s="30">
        <f t="shared" si="13"/>
        <v>0</v>
      </c>
      <c r="AC15" s="27">
        <f>COUNTIFS([6]InfCualitativo!$B$1:$B$6973,"VERDADERO",[6]InfCualitativo!$E$1:$E$6973,"Candelaria",[6]InfCualitativo!$H$1:$H$6973,"urgencia")</f>
        <v>28</v>
      </c>
      <c r="AD15" s="27">
        <f>COUNTIFS([6]InfCualitativo!$B$1:$B$6973,"FALSO",[6]InfCualitativo!$E$1:$E$6973,"Candelaria",[6]InfCualitativo!$H$1:$H$6973,"urgencia")</f>
        <v>8</v>
      </c>
      <c r="AE15" s="30">
        <f t="shared" si="14"/>
        <v>0.77777777777777779</v>
      </c>
      <c r="AF15" s="30">
        <f t="shared" si="15"/>
        <v>0.22222222222222221</v>
      </c>
      <c r="AG15" s="27">
        <f>COUNTIFS([6]InfCualitativo!$B$1:$B$6973,"VERDADERO",[6]InfCualitativo!$E$1:$E$6973,"Candelaria",[6]InfCualitativo!$H$1:$H$6973,"pediatria")</f>
        <v>17</v>
      </c>
      <c r="AH15" s="27">
        <f>COUNTIFS([6]InfCualitativo!$B$1:$B$6973,"FALSO",[6]InfCualitativo!$E$1:$E$6973,"Candelaria",[6]InfCualitativo!$H$1:$H$6973,"pediatria")</f>
        <v>1</v>
      </c>
      <c r="AI15" s="30">
        <f t="shared" si="16"/>
        <v>0.94444444444444442</v>
      </c>
      <c r="AJ15" s="30">
        <f t="shared" si="17"/>
        <v>5.5555555555555552E-2</v>
      </c>
      <c r="AK15" s="27">
        <f>COUNTIFS([6]InfCualitativo!$B$1:$B$6973,"VERDADERO",[6]InfCualitativo!$E$1:$E$6973,"Candelaria",[6]InfCualitativo!$H$1:$H$6973,"medicina_interna")</f>
        <v>13</v>
      </c>
      <c r="AL15" s="27">
        <f>COUNTIFS([6]InfCualitativo!$B$1:$B$6973,"FALSO",[6]InfCualitativo!$E$1:$E$6973,"Candelaria",[6]InfCualitativo!$H$1:$H$6973,"medicina_interna")</f>
        <v>2</v>
      </c>
      <c r="AM15" s="30">
        <f t="shared" si="18"/>
        <v>0.8666666666666667</v>
      </c>
      <c r="AN15" s="30">
        <f t="shared" si="19"/>
        <v>0.13333333333333333</v>
      </c>
      <c r="AO15" s="27">
        <f>COUNTIFS([6]InfCualitativo!$B$1:$B$6973,"VERDADERO",[6]InfCualitativo!$E$1:$E$6973,"Candelaria",[6]InfCualitativo!$H$1:$H$6973,"ginecologia")</f>
        <v>0</v>
      </c>
      <c r="AP15" s="27">
        <f>COUNTIFS([6]InfCualitativo!$B$1:$B$6973,"FALSO",[6]InfCualitativo!$E$1:$E$6973,"Candelaria",[6]InfCualitativo!$H$1:$H$6973,"ginecologia")</f>
        <v>0</v>
      </c>
      <c r="AQ15" s="30">
        <f t="shared" si="20"/>
        <v>0</v>
      </c>
      <c r="AR15" s="30">
        <f t="shared" si="21"/>
        <v>0</v>
      </c>
      <c r="AS15" s="27">
        <f t="shared" si="22"/>
        <v>193</v>
      </c>
      <c r="AT15" s="27">
        <f t="shared" si="22"/>
        <v>17</v>
      </c>
      <c r="AU15" s="32">
        <f t="shared" si="23"/>
        <v>0.919047619047619</v>
      </c>
      <c r="AV15" s="32">
        <f t="shared" si="24"/>
        <v>8.0952380952380956E-2</v>
      </c>
    </row>
    <row r="16" spans="1:48" ht="18.75" x14ac:dyDescent="0.3">
      <c r="A16" s="26" t="s">
        <v>35</v>
      </c>
      <c r="B16" s="27">
        <v>72</v>
      </c>
      <c r="C16" s="27">
        <f t="shared" si="1"/>
        <v>65</v>
      </c>
      <c r="D16" s="28">
        <f t="shared" si="0"/>
        <v>90.277777777777771</v>
      </c>
      <c r="E16" s="29">
        <f>COUNTIFS([6]InfCualitativo!$B$1:$B$6973,"VERDADERO",[6]InfCualitativo!$E$1:$E$6973,"Cano de oro",[6]InfCualitativo!$H$1:$H$6973,"consulta_externa")</f>
        <v>25</v>
      </c>
      <c r="F16" s="29">
        <f>COUNTIFS([6]InfCualitativo!$B$1:$B$6973,"FALSO",[6]InfCualitativo!$E$1:$E$6973,"Cano de oro",[6]InfCualitativo!$H$1:$H$6973,"consulta_externa")</f>
        <v>0</v>
      </c>
      <c r="G16" s="30">
        <f t="shared" si="2"/>
        <v>1</v>
      </c>
      <c r="H16" s="30">
        <f t="shared" si="3"/>
        <v>0</v>
      </c>
      <c r="I16" s="27">
        <f>COUNTIFS([6]InfCualitativo!$B$1:$B$6973,"VERDADERO",[6]InfCualitativo!$E$1:$E$6973,"Cano de oro",[6]InfCualitativo!$H$1:$H$6973,"salud_oral")</f>
        <v>18</v>
      </c>
      <c r="J16" s="27">
        <f>COUNTIFS([6]InfCualitativo!$B$1:$B$6973,"FALSO",[6]InfCualitativo!$E$1:$E$6973,"Cano de oro",[6]InfCualitativo!$H$1:$H$6973,"salud_oral")</f>
        <v>0</v>
      </c>
      <c r="K16" s="30">
        <f t="shared" si="4"/>
        <v>1</v>
      </c>
      <c r="L16" s="30">
        <f t="shared" si="5"/>
        <v>0</v>
      </c>
      <c r="M16" s="27">
        <f>COUNTIFS([6]InfCualitativo!$B$1:$B$6973,"VERDADERO",[6]InfCualitativo!$E$1:$E$6973,"Cano de oro",[6]InfCualitativo!$H$1:$H$6973,"laboratorio")</f>
        <v>21</v>
      </c>
      <c r="N16" s="27">
        <f>COUNTIFS([6]InfCualitativo!$B$1:$B$6973,"FALSO",[6]InfCualitativo!$E$1:$E$6973,"Cano de oro",[6]InfCualitativo!$H$1:$H$6973,"laboratorio")</f>
        <v>1</v>
      </c>
      <c r="O16" s="30">
        <f t="shared" si="6"/>
        <v>0.95454545454545459</v>
      </c>
      <c r="P16" s="31">
        <f t="shared" si="7"/>
        <v>4.5454545454545456E-2</v>
      </c>
      <c r="Q16" s="27">
        <f>COUNTIFS([6]InfCualitativo!$B$1:$B$6973,"VERDADERO",[6]InfCualitativo!$E$1:$E$6973,"Cano de oro",[6]InfCualitativo!$H$1:$H$6973,"electros")</f>
        <v>0</v>
      </c>
      <c r="R16" s="27">
        <f>COUNTIFS([6]InfCualitativo!$B$1:$B$6973,"FALSO",[6]InfCualitativo!$E$1:$E$6973,"Cano de oro",[6]InfCualitativo!$H$1:$H$6973,"electros")</f>
        <v>0</v>
      </c>
      <c r="S16" s="30">
        <f t="shared" si="8"/>
        <v>0</v>
      </c>
      <c r="T16" s="30">
        <f t="shared" si="9"/>
        <v>0</v>
      </c>
      <c r="U16" s="27">
        <f>COUNTIFS([6]InfCualitativo!$B$1:$B$6973,"VERDADERO",[6]InfCualitativo!$E$1:$E$6973,"Cano de oro",[6]InfCualitativo!$H$1:$H$6973,"rx")</f>
        <v>0</v>
      </c>
      <c r="V16" s="27">
        <f>COUNTIFS([6]InfCualitativo!$B$1:$B$6973,"FALSO",[6]InfCualitativo!$E$1:$E$6973,"Cano de oro",[6]InfCualitativo!$H$1:$H$6973,"rx")</f>
        <v>0</v>
      </c>
      <c r="W16" s="30">
        <f t="shared" si="10"/>
        <v>0</v>
      </c>
      <c r="X16" s="30">
        <f t="shared" si="11"/>
        <v>0</v>
      </c>
      <c r="Y16" s="27">
        <f>COUNTIFS([6]InfCualitativo!$B$1:$B$6973,"VERDADERO",[6]InfCualitativo!$E$1:$E$6973,"Cano de oro",[6]InfCualitativo!$H$1:$H$6973,"ecografias")</f>
        <v>0</v>
      </c>
      <c r="Z16" s="27">
        <f>COUNTIFS([6]InfCualitativo!$B$1:$B$6973,"FALSO",[6]InfCualitativo!$E$1:$E$6973,"Cano de oro",[6]InfCualitativo!$H$1:$H$6973,"ecografias")</f>
        <v>0</v>
      </c>
      <c r="AA16" s="30">
        <f t="shared" si="12"/>
        <v>0</v>
      </c>
      <c r="AB16" s="30">
        <f t="shared" si="13"/>
        <v>0</v>
      </c>
      <c r="AC16" s="27">
        <f>COUNTIFS([6]InfCualitativo!$B$1:$B$6973,"VERDADERO",[6]InfCualitativo!$E$1:$E$6973,"Cano de oro",[6]InfCualitativo!$H$1:$H$6973,"urgencia")</f>
        <v>0</v>
      </c>
      <c r="AD16" s="27">
        <f>COUNTIFS([6]InfCualitativo!$B$1:$B$6973,"FALSO",[6]InfCualitativo!$E$1:$E$6973,"Cano de oro",[6]InfCualitativo!$H$1:$H$6973,"urgencia")</f>
        <v>0</v>
      </c>
      <c r="AE16" s="30">
        <f t="shared" si="14"/>
        <v>0</v>
      </c>
      <c r="AF16" s="30">
        <f t="shared" si="15"/>
        <v>0</v>
      </c>
      <c r="AG16" s="27">
        <f>COUNTIFS([6]InfCualitativo!$B$1:$B$6973,"VERDADERO",[6]InfCualitativo!$E$1:$E$6973,"Cano de oro",[6]InfCualitativo!$H$1:$H$6973,"pediatria")</f>
        <v>0</v>
      </c>
      <c r="AH16" s="27">
        <f>COUNTIFS([6]InfCualitativo!$B$1:$B$6973,"FALSO",[6]InfCualitativo!$E$1:$E$6973,"Cano de oro",[6]InfCualitativo!$H$1:$H$6973,"pediatria")</f>
        <v>0</v>
      </c>
      <c r="AI16" s="30">
        <f t="shared" si="16"/>
        <v>0</v>
      </c>
      <c r="AJ16" s="30">
        <f t="shared" si="17"/>
        <v>0</v>
      </c>
      <c r="AK16" s="27">
        <f>COUNTIFS([6]InfCualitativo!$B$1:$B$6973,"VERDADERO",[6]InfCualitativo!$E$1:$E$6973,"Cano de oro",[6]InfCualitativo!$H$1:$H$6973,"medicina_interna")</f>
        <v>0</v>
      </c>
      <c r="AL16" s="27">
        <f>COUNTIFS([6]InfCualitativo!$B$1:$B$6973,"FALSO",[6]InfCualitativo!$E$1:$E$6973,"Cano de oro",[6]InfCualitativo!$H$1:$H$6973,"medicina_interna")</f>
        <v>0</v>
      </c>
      <c r="AM16" s="30">
        <f t="shared" si="18"/>
        <v>0</v>
      </c>
      <c r="AN16" s="30">
        <f t="shared" si="19"/>
        <v>0</v>
      </c>
      <c r="AO16" s="27">
        <f>COUNTIFS([6]InfCualitativo!$B$1:$B$6973,"VERDADERO",[6]InfCualitativo!$E$1:$E$6973,"Cano de oro",[6]InfCualitativo!$H$1:$H$6973,"ginecologia")</f>
        <v>0</v>
      </c>
      <c r="AP16" s="27">
        <f>COUNTIFS([6]InfCualitativo!$B$1:$B$6973,"FALSO",[6]InfCualitativo!$E$1:$E$6973,"Cano de oro",[6]InfCualitativo!$H$1:$H$6973,"ginecologia")</f>
        <v>0</v>
      </c>
      <c r="AQ16" s="30">
        <f t="shared" si="20"/>
        <v>0</v>
      </c>
      <c r="AR16" s="30">
        <f t="shared" si="21"/>
        <v>0</v>
      </c>
      <c r="AS16" s="27">
        <f t="shared" si="22"/>
        <v>64</v>
      </c>
      <c r="AT16" s="27">
        <f t="shared" si="22"/>
        <v>1</v>
      </c>
      <c r="AU16" s="32">
        <f t="shared" si="23"/>
        <v>0.98461538461538467</v>
      </c>
      <c r="AV16" s="32">
        <f t="shared" si="24"/>
        <v>1.5384615384615385E-2</v>
      </c>
    </row>
    <row r="17" spans="1:48" ht="18.75" x14ac:dyDescent="0.3">
      <c r="A17" s="26" t="s">
        <v>36</v>
      </c>
      <c r="B17" s="27">
        <v>105</v>
      </c>
      <c r="C17" s="27">
        <f t="shared" si="1"/>
        <v>105</v>
      </c>
      <c r="D17" s="28">
        <f t="shared" si="0"/>
        <v>100</v>
      </c>
      <c r="E17" s="29">
        <f>COUNTIFS([6]InfCualitativo!$B$1:$B$6973,"VERDADERO",[6]InfCualitativo!$E$1:$E$6973,"Daniel Lemaitre",[6]InfCualitativo!$H$1:$H$6973,"consulta_externa")</f>
        <v>35</v>
      </c>
      <c r="F17" s="29">
        <f>COUNTIFS([6]InfCualitativo!$B$1:$B$6973,"FALSO",[6]InfCualitativo!$E$1:$E$6973,"Daniel Lemaitre",[6]InfCualitativo!$H$1:$H$6973,"consulta_externa")</f>
        <v>0</v>
      </c>
      <c r="G17" s="30">
        <f t="shared" si="2"/>
        <v>1</v>
      </c>
      <c r="H17" s="30">
        <f t="shared" si="3"/>
        <v>0</v>
      </c>
      <c r="I17" s="27">
        <f>COUNTIFS([6]InfCualitativo!$B$1:$B$6973,"VERDADERO",[6]InfCualitativo!$E$1:$E$6973,"Daniel Lemaitre",[6]InfCualitativo!$H$1:$H$6973,"salud_oral")</f>
        <v>34</v>
      </c>
      <c r="J17" s="27">
        <f>COUNTIFS([6]InfCualitativo!$B$1:$B$6973,"FALSO",[6]InfCualitativo!$E$1:$E$6973,"Daniel Lemaitre",[6]InfCualitativo!$H$1:$H$6973,"salud_oral")</f>
        <v>0</v>
      </c>
      <c r="K17" s="30">
        <f t="shared" si="4"/>
        <v>1</v>
      </c>
      <c r="L17" s="30">
        <f t="shared" si="5"/>
        <v>0</v>
      </c>
      <c r="M17" s="27">
        <f>COUNTIFS([6]InfCualitativo!$B$1:$B$6973,"VERDADERO",[6]InfCualitativo!$E$1:$E$6973,"Daniel Lemaitre",[6]InfCualitativo!$H$1:$H$6973,"laboratorio")</f>
        <v>36</v>
      </c>
      <c r="N17" s="27">
        <f>COUNTIFS([6]InfCualitativo!$B$1:$B$6973,"FALSO",[6]InfCualitativo!$E$1:$E$6973,"Daniel Lemaitre",[6]InfCualitativo!$H$1:$H$6973,"laboratorio")</f>
        <v>0</v>
      </c>
      <c r="O17" s="30">
        <f t="shared" si="6"/>
        <v>1</v>
      </c>
      <c r="P17" s="31">
        <f t="shared" si="7"/>
        <v>0</v>
      </c>
      <c r="Q17" s="27">
        <f>COUNTIFS([6]InfCualitativo!$B$1:$B$6973,"VERDADERO",[6]InfCualitativo!$E$1:$E$6973,"Daniel Lemaitre",[6]InfCualitativo!$H$1:$H$6973,"electros")</f>
        <v>0</v>
      </c>
      <c r="R17" s="27">
        <f>COUNTIFS([6]InfCualitativo!$B$1:$B$6973,"FALSO",[6]InfCualitativo!$E$1:$E$6973,"Daniel Lemaitre",[6]InfCualitativo!$H$1:$H$6973,"electros")</f>
        <v>0</v>
      </c>
      <c r="S17" s="30">
        <f t="shared" si="8"/>
        <v>0</v>
      </c>
      <c r="T17" s="30">
        <f t="shared" si="9"/>
        <v>0</v>
      </c>
      <c r="U17" s="27">
        <f>COUNTIFS([6]InfCualitativo!$B$1:$B$6973,"VERDADERO",[6]InfCualitativo!$E$1:$E$6973,"Daniel Lemaitre",[6]InfCualitativo!$H$1:$H$6973,"rx")</f>
        <v>0</v>
      </c>
      <c r="V17" s="27">
        <f>COUNTIFS([6]InfCualitativo!$B$1:$B$6973,"FALSO",[6]InfCualitativo!$E$1:$E$6973,"Daniel Lemaitre",[6]InfCualitativo!$H$1:$H$6973,"rx")</f>
        <v>0</v>
      </c>
      <c r="W17" s="30">
        <f t="shared" si="10"/>
        <v>0</v>
      </c>
      <c r="X17" s="30">
        <f t="shared" si="11"/>
        <v>0</v>
      </c>
      <c r="Y17" s="27">
        <f>COUNTIFS([6]InfCualitativo!$B$1:$B$6973,"VERDADERO",[6]InfCualitativo!$E$1:$E$6973,"Daniel Lemaitre",[6]InfCualitativo!$H$1:$H$6973,"ecografias")</f>
        <v>0</v>
      </c>
      <c r="Z17" s="27">
        <f>COUNTIFS([6]InfCualitativo!$B$1:$B$6973,"FALSO",[6]InfCualitativo!$E$1:$E$6973,"Daniel Lemaitre",[6]InfCualitativo!$H$1:$H$6973,"ecografias")</f>
        <v>0</v>
      </c>
      <c r="AA17" s="30">
        <f t="shared" si="12"/>
        <v>0</v>
      </c>
      <c r="AB17" s="30">
        <f t="shared" si="13"/>
        <v>0</v>
      </c>
      <c r="AC17" s="27">
        <f>COUNTIFS([6]InfCualitativo!$B$1:$B$6973,"VERDADERO",[6]InfCualitativo!$E$1:$E$6973,"Daniel Lemaitre",[6]InfCualitativo!$H$1:$H$6973,"urgencia")</f>
        <v>0</v>
      </c>
      <c r="AD17" s="27">
        <f>COUNTIFS([6]InfCualitativo!$B$1:$B$6973,"FALSO",[6]InfCualitativo!$E$1:$E$6973,"Daniel Lemaitre",[6]InfCualitativo!$H$1:$H$6973,"urgencia")</f>
        <v>0</v>
      </c>
      <c r="AE17" s="30">
        <f t="shared" si="14"/>
        <v>0</v>
      </c>
      <c r="AF17" s="30">
        <f t="shared" si="15"/>
        <v>0</v>
      </c>
      <c r="AG17" s="27">
        <f>COUNTIFS([6]InfCualitativo!$B$1:$B$6973,"VERDADERO",[6]InfCualitativo!$E$1:$E$6973,"Daniel Lemaitre",[6]InfCualitativo!$H$1:$H$6973,"pediatria")</f>
        <v>0</v>
      </c>
      <c r="AH17" s="27">
        <f>COUNTIFS([6]InfCualitativo!$B$1:$B$6973,"FALSO",[6]InfCualitativo!$E$1:$E$6973,"Daniel Lemaitre",[6]InfCualitativo!$H$1:$H$6973,"pediatria")</f>
        <v>0</v>
      </c>
      <c r="AI17" s="30">
        <f t="shared" si="16"/>
        <v>0</v>
      </c>
      <c r="AJ17" s="30">
        <f t="shared" si="17"/>
        <v>0</v>
      </c>
      <c r="AK17" s="27">
        <f>COUNTIFS([6]InfCualitativo!$B$1:$B$6973,"VERDADERO",[6]InfCualitativo!$E$1:$E$6973,"Daniel Lemaitre",[6]InfCualitativo!$H$1:$H$6973,"medicina_interna")</f>
        <v>0</v>
      </c>
      <c r="AL17" s="27">
        <f>COUNTIFS([6]InfCualitativo!$B$1:$B$6973,"FALSO",[6]InfCualitativo!$E$1:$E$6973,"Daniel Lemaitre",[6]InfCualitativo!$H$1:$H$6973,"medicina_interna")</f>
        <v>0</v>
      </c>
      <c r="AM17" s="30">
        <f t="shared" si="18"/>
        <v>0</v>
      </c>
      <c r="AN17" s="30">
        <f t="shared" si="19"/>
        <v>0</v>
      </c>
      <c r="AO17" s="27">
        <f>COUNTIFS([6]InfCualitativo!$B$1:$B$6973,"VERDADERO",[6]InfCualitativo!$E$1:$E$6973,"Daniel Lemaitre",[6]InfCualitativo!$H$1:$H$6973,"ginecologia")</f>
        <v>0</v>
      </c>
      <c r="AP17" s="27">
        <f>COUNTIFS([6]InfCualitativo!$B$1:$B$6973,"FALSO",[6]InfCualitativo!$E$1:$E$6973,"Daniel Lemaitre",[6]InfCualitativo!$H$1:$H$6973,"ginecologia")</f>
        <v>0</v>
      </c>
      <c r="AQ17" s="30">
        <f t="shared" si="20"/>
        <v>0</v>
      </c>
      <c r="AR17" s="30">
        <f t="shared" si="21"/>
        <v>0</v>
      </c>
      <c r="AS17" s="27">
        <f t="shared" si="22"/>
        <v>105</v>
      </c>
      <c r="AT17" s="27">
        <f t="shared" si="22"/>
        <v>0</v>
      </c>
      <c r="AU17" s="32">
        <f t="shared" si="23"/>
        <v>1</v>
      </c>
      <c r="AV17" s="32">
        <f t="shared" si="24"/>
        <v>0</v>
      </c>
    </row>
    <row r="18" spans="1:48" ht="18.75" x14ac:dyDescent="0.3">
      <c r="A18" s="26" t="s">
        <v>37</v>
      </c>
      <c r="B18" s="27">
        <v>177</v>
      </c>
      <c r="C18" s="27">
        <f>SUM(E18,F18,I18,J18,M18,N18,Q18,R18,U18,V18,Y18,Z18,AC18,AD18,AG18,AH18,AK18,AL18,AO18,AP18)</f>
        <v>175</v>
      </c>
      <c r="D18" s="28">
        <f t="shared" si="0"/>
        <v>98.870056497175142</v>
      </c>
      <c r="E18" s="29">
        <f>COUNTIFS([6]InfCualitativo!$B$1:$B$6973,"VERDADERO",[6]InfCualitativo!$E$1:$E$6973,"Esperanza",[6]InfCualitativo!$H$1:$H$6973,"consulta_externa")</f>
        <v>35</v>
      </c>
      <c r="F18" s="29">
        <f>COUNTIFS([6]InfCualitativo!$B$1:$B$6973,"FALSO",[6]InfCualitativo!$E$1:$E$6973,"Esperanza",[6]InfCualitativo!$H$1:$H$6973,"consulta_externa")</f>
        <v>0</v>
      </c>
      <c r="G18" s="30">
        <f t="shared" si="2"/>
        <v>1</v>
      </c>
      <c r="H18" s="30">
        <f t="shared" si="3"/>
        <v>0</v>
      </c>
      <c r="I18" s="27">
        <f>COUNTIFS([6]InfCualitativo!$B$1:$B$6973,"VERDADERO",[6]InfCualitativo!$E$1:$E$6973,"Esperanza",[6]InfCualitativo!$H$1:$H$6973,"salud_oral")</f>
        <v>35</v>
      </c>
      <c r="J18" s="27">
        <f>COUNTIFS([6]InfCualitativo!$B$1:$B$6973,"FALSO",[6]InfCualitativo!$E$1:$E$6973,"Esperanza",[6]InfCualitativo!$H$1:$H$6973,"salud_oral")</f>
        <v>0</v>
      </c>
      <c r="K18" s="30">
        <f t="shared" si="4"/>
        <v>1</v>
      </c>
      <c r="L18" s="30">
        <f t="shared" si="5"/>
        <v>0</v>
      </c>
      <c r="M18" s="27">
        <f>COUNTIFS([6]InfCualitativo!$B$1:$B$6973,"VERDADERO",[6]InfCualitativo!$E$1:$E$6973,"Esperanza",[6]InfCualitativo!$H$1:$H$6973,"laboratorio")</f>
        <v>35</v>
      </c>
      <c r="N18" s="27">
        <f>COUNTIFS([6]InfCualitativo!$B$1:$B$6973,"FALSO",[6]InfCualitativo!$E$1:$E$6973,"Esperanza",[6]InfCualitativo!$H$1:$H$6973,"laboratorio")</f>
        <v>0</v>
      </c>
      <c r="O18" s="30">
        <f t="shared" si="6"/>
        <v>1</v>
      </c>
      <c r="P18" s="31">
        <f t="shared" si="7"/>
        <v>0</v>
      </c>
      <c r="Q18" s="27">
        <f>COUNTIFS([6]InfCualitativo!$B$1:$B$6973,"VERDADERO",[6]InfCualitativo!$E$1:$E$6973,"Esperanza",[6]InfCualitativo!$H$1:$H$6973,"electros")</f>
        <v>35</v>
      </c>
      <c r="R18" s="27">
        <f>COUNTIFS([6]InfCualitativo!$B$1:$B$6973,"FALSO",[6]InfCualitativo!$E$1:$E$6973,"Esperanza",[6]InfCualitativo!$H$1:$H$6973,"electros")</f>
        <v>0</v>
      </c>
      <c r="S18" s="30">
        <f t="shared" si="8"/>
        <v>1</v>
      </c>
      <c r="T18" s="30">
        <f t="shared" si="9"/>
        <v>0</v>
      </c>
      <c r="U18" s="27">
        <f>COUNTIFS([6]InfCualitativo!$B$1:$B$6973,"VERDADERO",[6]InfCualitativo!$E$1:$E$6973,"Esperanza",[6]InfCualitativo!$H$1:$H$6973,"rx")</f>
        <v>0</v>
      </c>
      <c r="V18" s="27">
        <f>COUNTIFS([6]InfCualitativo!$B$1:$B$6973,"FALSO",[6]InfCualitativo!$E$1:$E$6973,"Esperanza",[6]InfCualitativo!$H$1:$H$6973,"rx")</f>
        <v>0</v>
      </c>
      <c r="W18" s="30">
        <f t="shared" si="10"/>
        <v>0</v>
      </c>
      <c r="X18" s="30">
        <f t="shared" si="11"/>
        <v>0</v>
      </c>
      <c r="Y18" s="27">
        <f>COUNTIFS([6]InfCualitativo!$B$1:$B$6973,"VERDADERO",[6]InfCualitativo!$E$1:$E$6973,"Esperanza",[6]InfCualitativo!$H$1:$H$6973,"ecografias")</f>
        <v>0</v>
      </c>
      <c r="Z18" s="27">
        <f>COUNTIFS([6]InfCualitativo!$B$1:$B$6973,"FALSO",[6]InfCualitativo!$E$1:$E$6973,"Esperanza",[6]InfCualitativo!$H$1:$H$6973,"ecografias")</f>
        <v>0</v>
      </c>
      <c r="AA18" s="30">
        <f t="shared" si="12"/>
        <v>0</v>
      </c>
      <c r="AB18" s="30">
        <f t="shared" si="13"/>
        <v>0</v>
      </c>
      <c r="AC18" s="27">
        <f>COUNTIFS([6]InfCualitativo!$B$1:$B$6973,"VERDADERO",[6]InfCualitativo!$E$1:$E$6973,"Esperanza",[6]InfCualitativo!$H$1:$H$6973,"urgencia")</f>
        <v>35</v>
      </c>
      <c r="AD18" s="27">
        <f>COUNTIFS([6]InfCualitativo!$B$1:$B$6973,"FALSO",[6]InfCualitativo!$E$1:$E$6973,"Esperanza",[6]InfCualitativo!$H$1:$H$6973,"urgencia")</f>
        <v>0</v>
      </c>
      <c r="AE18" s="30">
        <f t="shared" si="14"/>
        <v>1</v>
      </c>
      <c r="AF18" s="30">
        <f t="shared" si="15"/>
        <v>0</v>
      </c>
      <c r="AG18" s="27">
        <f>COUNTIFS([6]InfCualitativo!$B$1:$B$6973,"VERDADERO",[6]InfCualitativo!$E$1:$E$6973,"Esperanza",[6]InfCualitativo!$H$1:$H$6973,"pediatria")</f>
        <v>0</v>
      </c>
      <c r="AH18" s="27">
        <f>COUNTIFS([6]InfCualitativo!$B$1:$B$6973,"FALSO",[6]InfCualitativo!$E$1:$E$6973,"Esperanza",[6]InfCualitativo!$H$1:$H$6973,"pediatria")</f>
        <v>0</v>
      </c>
      <c r="AI18" s="30">
        <f t="shared" si="16"/>
        <v>0</v>
      </c>
      <c r="AJ18" s="30">
        <f t="shared" si="17"/>
        <v>0</v>
      </c>
      <c r="AK18" s="27">
        <f>COUNTIFS([6]InfCualitativo!$B$1:$B$6973,"VERDADERO",[6]InfCualitativo!$E$1:$E$6973,"Esperanza",[6]InfCualitativo!$H$1:$H$6973,"medicina_interna")</f>
        <v>0</v>
      </c>
      <c r="AL18" s="27">
        <f>COUNTIFS([6]InfCualitativo!$B$1:$B$6973,"FALSO",[6]InfCualitativo!$E$1:$E$6973,"Esperanza",[6]InfCualitativo!$H$1:$H$6973,"medicina_interna")</f>
        <v>0</v>
      </c>
      <c r="AM18" s="30">
        <f t="shared" si="18"/>
        <v>0</v>
      </c>
      <c r="AN18" s="30">
        <f t="shared" si="19"/>
        <v>0</v>
      </c>
      <c r="AO18" s="27">
        <f>COUNTIFS([6]InfCualitativo!$B$1:$B$6973,"VERDADERO",[6]InfCualitativo!$E$1:$E$6973,"Esperanza",[6]InfCualitativo!$H$1:$H$6973,"ginecologia")</f>
        <v>0</v>
      </c>
      <c r="AP18" s="27">
        <f>COUNTIFS([6]InfCualitativo!$B$1:$B$6973,"FALSO",[6]InfCualitativo!$E$1:$E$6973,"Esperanza",[6]InfCualitativo!$H$1:$H$6973,"ginecologia")</f>
        <v>0</v>
      </c>
      <c r="AQ18" s="30">
        <f t="shared" si="20"/>
        <v>0</v>
      </c>
      <c r="AR18" s="30">
        <f t="shared" si="21"/>
        <v>0</v>
      </c>
      <c r="AS18" s="27">
        <f t="shared" si="22"/>
        <v>175</v>
      </c>
      <c r="AT18" s="27">
        <f t="shared" si="22"/>
        <v>0</v>
      </c>
      <c r="AU18" s="32">
        <f t="shared" si="23"/>
        <v>1</v>
      </c>
      <c r="AV18" s="32">
        <f t="shared" si="24"/>
        <v>0</v>
      </c>
    </row>
    <row r="19" spans="1:48" ht="18.75" x14ac:dyDescent="0.3">
      <c r="A19" s="26" t="s">
        <v>38</v>
      </c>
      <c r="B19" s="35" t="s">
        <v>39</v>
      </c>
      <c r="C19" s="35" t="s">
        <v>39</v>
      </c>
      <c r="D19" s="35" t="s">
        <v>39</v>
      </c>
      <c r="E19" s="35" t="s">
        <v>39</v>
      </c>
      <c r="F19" s="35" t="s">
        <v>39</v>
      </c>
      <c r="G19" s="35" t="s">
        <v>39</v>
      </c>
      <c r="H19" s="35" t="s">
        <v>39</v>
      </c>
      <c r="I19" s="35" t="s">
        <v>39</v>
      </c>
      <c r="J19" s="35" t="s">
        <v>39</v>
      </c>
      <c r="K19" s="35" t="s">
        <v>39</v>
      </c>
      <c r="L19" s="35" t="s">
        <v>39</v>
      </c>
      <c r="M19" s="35" t="s">
        <v>39</v>
      </c>
      <c r="N19" s="35" t="s">
        <v>39</v>
      </c>
      <c r="O19" s="35" t="s">
        <v>39</v>
      </c>
      <c r="P19" s="35" t="s">
        <v>39</v>
      </c>
      <c r="Q19" s="35" t="s">
        <v>39</v>
      </c>
      <c r="R19" s="35" t="s">
        <v>39</v>
      </c>
      <c r="S19" s="35" t="s">
        <v>39</v>
      </c>
      <c r="T19" s="35" t="s">
        <v>39</v>
      </c>
      <c r="U19" s="35" t="s">
        <v>39</v>
      </c>
      <c r="V19" s="35" t="s">
        <v>39</v>
      </c>
      <c r="W19" s="35" t="s">
        <v>39</v>
      </c>
      <c r="X19" s="35" t="s">
        <v>39</v>
      </c>
      <c r="Y19" s="35" t="s">
        <v>39</v>
      </c>
      <c r="Z19" s="35" t="s">
        <v>39</v>
      </c>
      <c r="AA19" s="35" t="s">
        <v>39</v>
      </c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 t="s">
        <v>39</v>
      </c>
      <c r="AH19" s="35" t="s">
        <v>39</v>
      </c>
      <c r="AI19" s="35" t="s">
        <v>39</v>
      </c>
      <c r="AJ19" s="35" t="s">
        <v>39</v>
      </c>
      <c r="AK19" s="35" t="s">
        <v>39</v>
      </c>
      <c r="AL19" s="35" t="s">
        <v>39</v>
      </c>
      <c r="AM19" s="35" t="s">
        <v>39</v>
      </c>
      <c r="AN19" s="35" t="s">
        <v>39</v>
      </c>
      <c r="AO19" s="35" t="s">
        <v>39</v>
      </c>
      <c r="AP19" s="35" t="s">
        <v>39</v>
      </c>
      <c r="AQ19" s="35" t="s">
        <v>39</v>
      </c>
      <c r="AR19" s="35" t="s">
        <v>39</v>
      </c>
      <c r="AS19" s="35" t="s">
        <v>39</v>
      </c>
      <c r="AT19" s="35" t="s">
        <v>39</v>
      </c>
      <c r="AU19" s="35" t="s">
        <v>39</v>
      </c>
      <c r="AV19" s="35" t="s">
        <v>39</v>
      </c>
    </row>
    <row r="20" spans="1:48" ht="18.75" x14ac:dyDescent="0.3">
      <c r="A20" s="26" t="s">
        <v>40</v>
      </c>
      <c r="B20" s="27">
        <v>105</v>
      </c>
      <c r="C20" s="27">
        <f t="shared" si="1"/>
        <v>105</v>
      </c>
      <c r="D20" s="28">
        <f t="shared" si="0"/>
        <v>100</v>
      </c>
      <c r="E20" s="29">
        <f>COUNTIFS([6]InfCualitativo!$B$1:$B$6973,"VERDADERO",[6]InfCualitativo!$E$1:$E$6973,"Foco Rojo",[6]InfCualitativo!$H$1:$H$6973,"consulta_externa")</f>
        <v>36</v>
      </c>
      <c r="F20" s="29">
        <f>COUNTIFS([6]InfCualitativo!$B$1:$B$6973,"FALSO",[6]InfCualitativo!$E$1:$E$6973,"Foco Rojo",[6]InfCualitativo!$H$1:$H$6973,"consulta_externa")</f>
        <v>0</v>
      </c>
      <c r="G20" s="30">
        <f t="shared" si="2"/>
        <v>1</v>
      </c>
      <c r="H20" s="30">
        <f t="shared" si="3"/>
        <v>0</v>
      </c>
      <c r="I20" s="27">
        <f>COUNTIFS([6]InfCualitativo!$B$1:$B$6973,"VERDADERO",[6]InfCualitativo!$E$1:$E$6973,"Foco Rojo",[6]InfCualitativo!$H$1:$H$6973,"salud_oral")</f>
        <v>37</v>
      </c>
      <c r="J20" s="27">
        <f>COUNTIFS([6]InfCualitativo!$B$1:$B$6973,"FALSO",[6]InfCualitativo!$E$1:$E$6973,"Foco Rojo",[6]InfCualitativo!$H$1:$H$6973,"salud_oral")</f>
        <v>0</v>
      </c>
      <c r="K20" s="30">
        <f t="shared" si="4"/>
        <v>1</v>
      </c>
      <c r="L20" s="30">
        <f t="shared" si="5"/>
        <v>0</v>
      </c>
      <c r="M20" s="27">
        <f>COUNTIFS([6]InfCualitativo!$B$1:$B$6973,"VERDADERO",[6]InfCualitativo!$E$1:$E$6973,"Foco Rojo",[6]InfCualitativo!$H$1:$H$6973,"laboratorio")</f>
        <v>32</v>
      </c>
      <c r="N20" s="27">
        <f>COUNTIFS([6]InfCualitativo!$B$1:$B$6973,"FALSO",[6]InfCualitativo!$E$1:$E$6973,"Foco Rojo",[6]InfCualitativo!$H$1:$H$6973,"laboratorio")</f>
        <v>0</v>
      </c>
      <c r="O20" s="30">
        <f t="shared" si="6"/>
        <v>1</v>
      </c>
      <c r="P20" s="31">
        <f t="shared" si="7"/>
        <v>0</v>
      </c>
      <c r="Q20" s="27">
        <f>COUNTIFS([6]InfCualitativo!$B$1:$B$6973,"VERDADERO",[6]InfCualitativo!$E$1:$E$6973,"Foco Rojo",[6]InfCualitativo!$H$1:$H$6973,"electros")</f>
        <v>0</v>
      </c>
      <c r="R20" s="27">
        <f>COUNTIFS([6]InfCualitativo!$B$1:$B$6973,"FALSO",[6]InfCualitativo!$E$1:$E$6973,"Foco Rojo",[6]InfCualitativo!$H$1:$H$6973,"electros")</f>
        <v>0</v>
      </c>
      <c r="S20" s="30">
        <f t="shared" si="8"/>
        <v>0</v>
      </c>
      <c r="T20" s="30">
        <f t="shared" si="9"/>
        <v>0</v>
      </c>
      <c r="U20" s="27">
        <f>COUNTIFS([6]InfCualitativo!$B$1:$B$6973,"VERDADERO",[6]InfCualitativo!$E$1:$E$6973,"Foco Rojo",[6]InfCualitativo!$H$1:$H$6973,"rx")</f>
        <v>0</v>
      </c>
      <c r="V20" s="27">
        <f>COUNTIFS([6]InfCualitativo!$B$1:$B$6973,"FALSO",[6]InfCualitativo!$E$1:$E$6973,"Foco Rojo",[6]InfCualitativo!$H$1:$H$6973,"rx")</f>
        <v>0</v>
      </c>
      <c r="W20" s="30">
        <f t="shared" si="10"/>
        <v>0</v>
      </c>
      <c r="X20" s="30">
        <f t="shared" si="11"/>
        <v>0</v>
      </c>
      <c r="Y20" s="27">
        <f>COUNTIFS([6]InfCualitativo!$B$1:$B$6973,"VERDADERO",[6]InfCualitativo!$E$1:$E$6973,"Foco Rojo",[6]InfCualitativo!$H$1:$H$6973,"ecografias")</f>
        <v>0</v>
      </c>
      <c r="Z20" s="27">
        <f>COUNTIFS([6]InfCualitativo!$B$1:$B$6973,"FALSO",[6]InfCualitativo!$E$1:$E$6973,"Foco Rojo",[6]InfCualitativo!$H$1:$H$6973,"ecografias")</f>
        <v>0</v>
      </c>
      <c r="AA20" s="30">
        <f t="shared" si="12"/>
        <v>0</v>
      </c>
      <c r="AB20" s="30">
        <f t="shared" si="13"/>
        <v>0</v>
      </c>
      <c r="AC20" s="27">
        <f>COUNTIFS([6]InfCualitativo!$B$1:$B$6973,"VERDADERO",[6]InfCualitativo!$E$1:$E$6973,"Foco Rojo",[6]InfCualitativo!$H$1:$H$6973,"urgencia")</f>
        <v>0</v>
      </c>
      <c r="AD20" s="27">
        <f>COUNTIFS([6]InfCualitativo!$B$1:$B$6973,"FALSO",[6]InfCualitativo!$E$1:$E$6973,"Foco Rojo",[6]InfCualitativo!$H$1:$H$6973,"urgencia")</f>
        <v>0</v>
      </c>
      <c r="AE20" s="30">
        <f t="shared" si="14"/>
        <v>0</v>
      </c>
      <c r="AF20" s="30">
        <f t="shared" si="15"/>
        <v>0</v>
      </c>
      <c r="AG20" s="27">
        <f>COUNTIFS([6]InfCualitativo!$B$1:$B$6973,"VERDADERO",[6]InfCualitativo!$E$1:$E$6973,"Foco Rojo",[6]InfCualitativo!$H$1:$H$6973,"pediatria")</f>
        <v>0</v>
      </c>
      <c r="AH20" s="27">
        <f>COUNTIFS([6]InfCualitativo!$B$1:$B$6973,"FALSO",[6]InfCualitativo!$E$1:$E$6973,"Foco Rojo",[6]InfCualitativo!$H$1:$H$6973,"pediatria")</f>
        <v>0</v>
      </c>
      <c r="AI20" s="30">
        <f t="shared" si="16"/>
        <v>0</v>
      </c>
      <c r="AJ20" s="30">
        <f t="shared" si="17"/>
        <v>0</v>
      </c>
      <c r="AK20" s="27">
        <f>COUNTIFS([6]InfCualitativo!$B$1:$B$6973,"VERDADERO",[6]InfCualitativo!$E$1:$E$6973,"Foco Rojo",[6]InfCualitativo!$H$1:$H$6973,"medicina_interna")</f>
        <v>0</v>
      </c>
      <c r="AL20" s="27">
        <f>COUNTIFS([6]InfCualitativo!$B$1:$B$6973,"FALSO",[6]InfCualitativo!$E$1:$E$6973,"Foco Rojo",[6]InfCualitativo!$H$1:$H$6973,"medicina_interna")</f>
        <v>0</v>
      </c>
      <c r="AM20" s="30">
        <f t="shared" si="18"/>
        <v>0</v>
      </c>
      <c r="AN20" s="30">
        <f t="shared" si="19"/>
        <v>0</v>
      </c>
      <c r="AO20" s="27">
        <f>COUNTIFS([6]InfCualitativo!$B$1:$B$6973,"VERDADERO",[6]InfCualitativo!$E$1:$E$6973,"Foco Rojo",[6]InfCualitativo!$H$1:$H$6973,"ginecologia")</f>
        <v>0</v>
      </c>
      <c r="AP20" s="27">
        <f>COUNTIFS([6]InfCualitativo!$B$1:$B$6973,"FALSO",[6]InfCualitativo!$E$1:$E$6973,"Foco Rojo",[6]InfCualitativo!$H$1:$H$6973,"ginecologia")</f>
        <v>0</v>
      </c>
      <c r="AQ20" s="30">
        <f t="shared" si="20"/>
        <v>0</v>
      </c>
      <c r="AR20" s="30">
        <f t="shared" si="21"/>
        <v>0</v>
      </c>
      <c r="AS20" s="27">
        <f t="shared" si="22"/>
        <v>105</v>
      </c>
      <c r="AT20" s="27">
        <f t="shared" si="22"/>
        <v>0</v>
      </c>
      <c r="AU20" s="32">
        <f t="shared" si="23"/>
        <v>1</v>
      </c>
      <c r="AV20" s="32">
        <f t="shared" si="24"/>
        <v>0</v>
      </c>
    </row>
    <row r="21" spans="1:48" ht="18.75" x14ac:dyDescent="0.3">
      <c r="A21" s="26" t="s">
        <v>41</v>
      </c>
      <c r="B21" s="27">
        <v>105</v>
      </c>
      <c r="C21" s="27">
        <f t="shared" si="1"/>
        <v>104</v>
      </c>
      <c r="D21" s="28">
        <f t="shared" si="0"/>
        <v>99.047619047619051</v>
      </c>
      <c r="E21" s="29">
        <f>COUNTIFS([6]InfCualitativo!$B$1:$B$6973,"VERDADERO",[6]InfCualitativo!$E$1:$E$6973,"Fredonia",[6]InfCualitativo!$H$1:$H$6973,"consulta_externa")</f>
        <v>40</v>
      </c>
      <c r="F21" s="29">
        <f>COUNTIFS([6]InfCualitativo!$B$1:$B$6973,"FALSO",[6]InfCualitativo!$E$1:$E$6973,"Fredonia",[6]InfCualitativo!$H$1:$H$6973,"consulta_externa")</f>
        <v>1</v>
      </c>
      <c r="G21" s="30">
        <f t="shared" si="2"/>
        <v>0.97560975609756095</v>
      </c>
      <c r="H21" s="30">
        <f t="shared" si="3"/>
        <v>2.4390243902439025E-2</v>
      </c>
      <c r="I21" s="27">
        <f>COUNTIFS([6]InfCualitativo!$B$1:$B$6973,"VERDADERO",[6]InfCualitativo!$E$1:$E$6973,"Fredonia",[6]InfCualitativo!$H$1:$H$6973,"salud_oral")</f>
        <v>29</v>
      </c>
      <c r="J21" s="27">
        <f>COUNTIFS([6]InfCualitativo!$B$1:$B$6973,"FALSO",[6]InfCualitativo!$E$1:$E$6973,"Fredonia",[6]InfCualitativo!$H$1:$H$6973,"salud_oral")</f>
        <v>1</v>
      </c>
      <c r="K21" s="30">
        <f t="shared" si="4"/>
        <v>0.96666666666666667</v>
      </c>
      <c r="L21" s="30">
        <f t="shared" si="5"/>
        <v>3.3333333333333333E-2</v>
      </c>
      <c r="M21" s="27">
        <f>COUNTIFS([6]InfCualitativo!$B$1:$B$6973,"VERDADERO",[6]InfCualitativo!$E$1:$E$6973,"Fredonia",[6]InfCualitativo!$H$1:$H$6973,"laboratorio")</f>
        <v>31</v>
      </c>
      <c r="N21" s="27">
        <f>COUNTIFS([6]InfCualitativo!$B$1:$B$6973,"FALSO",[6]InfCualitativo!$E$1:$E$6973,"Fredonia",[6]InfCualitativo!$H$1:$H$6973,"laboratorio")</f>
        <v>2</v>
      </c>
      <c r="O21" s="30">
        <f t="shared" si="6"/>
        <v>0.93939393939393945</v>
      </c>
      <c r="P21" s="31">
        <f t="shared" si="7"/>
        <v>6.0606060606060608E-2</v>
      </c>
      <c r="Q21" s="27">
        <f>COUNTIFS([6]InfCualitativo!$B$1:$B$6973,"VERDADERO",[6]InfCualitativo!$E$1:$E$6973,"Fredonia",[6]InfCualitativo!$H$1:$H$6973,"electros")</f>
        <v>0</v>
      </c>
      <c r="R21" s="27">
        <f>COUNTIFS([6]InfCualitativo!$B$1:$B$6973,"FALSO",[6]InfCualitativo!$E$1:$E$6973,"Fredonia",[6]InfCualitativo!$H$1:$H$6973,"electros")</f>
        <v>0</v>
      </c>
      <c r="S21" s="30">
        <f t="shared" si="8"/>
        <v>0</v>
      </c>
      <c r="T21" s="30">
        <f t="shared" si="9"/>
        <v>0</v>
      </c>
      <c r="U21" s="27">
        <f>COUNTIFS([6]InfCualitativo!$B$1:$B$6973,"VERDADERO",[6]InfCualitativo!$E$1:$E$6973,"Fredonia",[6]InfCualitativo!$H$1:$H$6973,"rx")</f>
        <v>0</v>
      </c>
      <c r="V21" s="27">
        <f>COUNTIFS([6]InfCualitativo!$B$1:$B$6973,"FALSO",[6]InfCualitativo!$E$1:$E$6973,"Fredonia",[6]InfCualitativo!$H$1:$H$6973,"rx")</f>
        <v>0</v>
      </c>
      <c r="W21" s="30">
        <f t="shared" si="10"/>
        <v>0</v>
      </c>
      <c r="X21" s="30">
        <f t="shared" si="11"/>
        <v>0</v>
      </c>
      <c r="Y21" s="27">
        <f>COUNTIFS([6]InfCualitativo!$B$1:$B$6973,"VERDADERO",[6]InfCualitativo!$E$1:$E$6973,"Fredonia",[6]InfCualitativo!$H$1:$H$6973,"ecografias")</f>
        <v>0</v>
      </c>
      <c r="Z21" s="27">
        <f>COUNTIFS([6]InfCualitativo!$B$1:$B$6973,"FALSO",[6]InfCualitativo!$E$1:$E$6973,"Fredonia",[6]InfCualitativo!$H$1:$H$6973,"ecografias")</f>
        <v>0</v>
      </c>
      <c r="AA21" s="30">
        <f t="shared" si="12"/>
        <v>0</v>
      </c>
      <c r="AB21" s="30">
        <f t="shared" si="13"/>
        <v>0</v>
      </c>
      <c r="AC21" s="27">
        <f>COUNTIFS([6]InfCualitativo!$B$1:$B$6973,"VERDADERO",[6]InfCualitativo!$E$1:$E$6973,"Fredonia",[6]InfCualitativo!$H$1:$H$6973,"urgencia")</f>
        <v>0</v>
      </c>
      <c r="AD21" s="27">
        <f>COUNTIFS([6]InfCualitativo!$B$1:$B$6973,"FALSO",[6]InfCualitativo!$E$1:$E$6973,"Fredonia",[6]InfCualitativo!$H$1:$H$6973,"urgencia")</f>
        <v>0</v>
      </c>
      <c r="AE21" s="30">
        <f t="shared" si="14"/>
        <v>0</v>
      </c>
      <c r="AF21" s="30">
        <f t="shared" si="15"/>
        <v>0</v>
      </c>
      <c r="AG21" s="27">
        <f>COUNTIFS([6]InfCualitativo!$B$1:$B$6973,"VERDADERO",[6]InfCualitativo!$E$1:$E$6973,"Fredonia",[6]InfCualitativo!$H$1:$H$6973,"pediatria")</f>
        <v>0</v>
      </c>
      <c r="AH21" s="27">
        <f>COUNTIFS([6]InfCualitativo!$B$1:$B$6973,"FALSO",[6]InfCualitativo!$E$1:$E$6973,"Fredonia",[6]InfCualitativo!$H$1:$H$6973,"pediatria")</f>
        <v>0</v>
      </c>
      <c r="AI21" s="30">
        <f t="shared" si="16"/>
        <v>0</v>
      </c>
      <c r="AJ21" s="30">
        <f t="shared" si="17"/>
        <v>0</v>
      </c>
      <c r="AK21" s="27">
        <f>COUNTIFS([6]InfCualitativo!$B$1:$B$6973,"VERDADERO",[6]InfCualitativo!$E$1:$E$6973,"Fredonia",[6]InfCualitativo!$H$1:$H$6973,"medicina_interna")</f>
        <v>0</v>
      </c>
      <c r="AL21" s="27">
        <f>COUNTIFS([6]InfCualitativo!$B$1:$B$6973,"FALSO",[6]InfCualitativo!$E$1:$E$6973,"Fredonia",[6]InfCualitativo!$H$1:$H$6973,"medicina_interna")</f>
        <v>0</v>
      </c>
      <c r="AM21" s="30">
        <f t="shared" si="18"/>
        <v>0</v>
      </c>
      <c r="AN21" s="30">
        <f t="shared" si="19"/>
        <v>0</v>
      </c>
      <c r="AO21" s="27">
        <f>COUNTIFS([6]InfCualitativo!$B$1:$B$6973,"VERDADERO",[6]InfCualitativo!$E$1:$E$6973,"Fredonia",[6]InfCualitativo!$H$1:$H$6973,"ginecologia")</f>
        <v>0</v>
      </c>
      <c r="AP21" s="27">
        <f>COUNTIFS([6]InfCualitativo!$B$1:$B$6973,"FALSO",[6]InfCualitativo!$E$1:$E$6973,"Fredonia",[6]InfCualitativo!$H$1:$H$6973,"ginecologia")</f>
        <v>0</v>
      </c>
      <c r="AQ21" s="30">
        <f t="shared" si="20"/>
        <v>0</v>
      </c>
      <c r="AR21" s="30">
        <f t="shared" si="21"/>
        <v>0</v>
      </c>
      <c r="AS21" s="27">
        <f t="shared" si="22"/>
        <v>100</v>
      </c>
      <c r="AT21" s="27">
        <f t="shared" si="22"/>
        <v>4</v>
      </c>
      <c r="AU21" s="32">
        <f t="shared" si="23"/>
        <v>0.96153846153846156</v>
      </c>
      <c r="AV21" s="32">
        <f t="shared" si="24"/>
        <v>3.8461538461538464E-2</v>
      </c>
    </row>
    <row r="22" spans="1:48" ht="18.75" x14ac:dyDescent="0.3">
      <c r="A22" s="26" t="s">
        <v>42</v>
      </c>
      <c r="B22" s="27">
        <v>108</v>
      </c>
      <c r="C22" s="27">
        <f t="shared" si="1"/>
        <v>102</v>
      </c>
      <c r="D22" s="28">
        <f t="shared" si="0"/>
        <v>94.444444444444443</v>
      </c>
      <c r="E22" s="29">
        <f>COUNTIFS([6]InfCualitativo!$B$1:$B$6973,"VERDADERO",[6]InfCualitativo!$E$1:$E$6973,"Gaviotas",[6]InfCualitativo!$H$1:$H$6973,"consulta_externa")</f>
        <v>33</v>
      </c>
      <c r="F22" s="29">
        <f>COUNTIFS([6]InfCualitativo!$B$1:$B$6973,"FALSO",[6]InfCualitativo!$E$1:$E$6973,"Gaviotas",[6]InfCualitativo!$H$1:$H$6973,"consulta_externa")</f>
        <v>2</v>
      </c>
      <c r="G22" s="30">
        <f t="shared" si="2"/>
        <v>0.94285714285714284</v>
      </c>
      <c r="H22" s="30">
        <f t="shared" si="3"/>
        <v>5.7142857142857141E-2</v>
      </c>
      <c r="I22" s="27">
        <f>COUNTIFS([6]InfCualitativo!$B$1:$B$6973,"VERDADERO",[6]InfCualitativo!$E$1:$E$6973,"Gaviotas",[6]InfCualitativo!$H$1:$H$6973,"salud_oral")</f>
        <v>30</v>
      </c>
      <c r="J22" s="27">
        <f>COUNTIFS([6]InfCualitativo!$B$1:$B$6973,"FALSO",[6]InfCualitativo!$E$1:$E$6973,"Gaviotas",[6]InfCualitativo!$H$1:$H$6973,"salud_oral")</f>
        <v>5</v>
      </c>
      <c r="K22" s="30">
        <f t="shared" si="4"/>
        <v>0.8571428571428571</v>
      </c>
      <c r="L22" s="30">
        <f t="shared" si="5"/>
        <v>0.14285714285714285</v>
      </c>
      <c r="M22" s="27">
        <f>COUNTIFS([6]InfCualitativo!$B$1:$B$6973,"VERDADERO",[6]InfCualitativo!$E$1:$E$6973,"Gaviotas",[6]InfCualitativo!$H$1:$H$6973,"laboratorio")</f>
        <v>27</v>
      </c>
      <c r="N22" s="27">
        <f>COUNTIFS([6]InfCualitativo!$B$1:$B$6973,"FALSO",[6]InfCualitativo!$E$1:$E$6973,"Gaviotas",[6]InfCualitativo!$H$1:$H$6973,"laboratorio")</f>
        <v>5</v>
      </c>
      <c r="O22" s="30">
        <f t="shared" si="6"/>
        <v>0.84375</v>
      </c>
      <c r="P22" s="31">
        <f t="shared" si="7"/>
        <v>0.15625</v>
      </c>
      <c r="Q22" s="27">
        <f>COUNTIFS([6]InfCualitativo!$B$1:$B$6973,"VERDADERO",[6]InfCualitativo!$E$1:$E$6973,"Gaviotas",[6]InfCualitativo!$H$1:$H$6973,"electros")</f>
        <v>0</v>
      </c>
      <c r="R22" s="27">
        <f>COUNTIFS([6]InfCualitativo!$B$1:$B$6973,"FALSO",[6]InfCualitativo!$E$1:$E$6973,"Gaviotas",[6]InfCualitativo!$H$1:$H$6973,"electros")</f>
        <v>0</v>
      </c>
      <c r="S22" s="30">
        <f t="shared" si="8"/>
        <v>0</v>
      </c>
      <c r="T22" s="30">
        <f t="shared" si="9"/>
        <v>0</v>
      </c>
      <c r="U22" s="27">
        <f>COUNTIFS([6]InfCualitativo!$B$1:$B$6973,"VERDADERO",[6]InfCualitativo!$E$1:$E$6973,"Gaviotas",[6]InfCualitativo!$H$1:$H$6973,"rx")</f>
        <v>0</v>
      </c>
      <c r="V22" s="27">
        <f>COUNTIFS([6]InfCualitativo!$B$1:$B$6973,"FALSO",[6]InfCualitativo!$E$1:$E$6973,"Gaviotas",[6]InfCualitativo!$H$1:$H$6973,"rx")</f>
        <v>0</v>
      </c>
      <c r="W22" s="30">
        <f t="shared" si="10"/>
        <v>0</v>
      </c>
      <c r="X22" s="30">
        <f t="shared" si="11"/>
        <v>0</v>
      </c>
      <c r="Y22" s="27">
        <f>COUNTIFS([6]InfCualitativo!$B$1:$B$6973,"VERDADERO",[6]InfCualitativo!$E$1:$E$6973,"Gaviotas",[6]InfCualitativo!$H$1:$H$6973,"ecografias")</f>
        <v>0</v>
      </c>
      <c r="Z22" s="27">
        <f>COUNTIFS([6]InfCualitativo!$B$1:$B$6973,"FALSO",[6]InfCualitativo!$E$1:$E$6973,"Gaviotas",[6]InfCualitativo!$H$1:$H$6973,"ecografias")</f>
        <v>0</v>
      </c>
      <c r="AA22" s="30">
        <f t="shared" si="12"/>
        <v>0</v>
      </c>
      <c r="AB22" s="30">
        <f t="shared" si="13"/>
        <v>0</v>
      </c>
      <c r="AC22" s="27">
        <f>COUNTIFS([6]InfCualitativo!$B$1:$B$6973,"VERDADERO",[6]InfCualitativo!$E$1:$E$6973,"Gaviotas",[6]InfCualitativo!$H$1:$H$6973,"urgencia")</f>
        <v>0</v>
      </c>
      <c r="AD22" s="27">
        <f>COUNTIFS([6]InfCualitativo!$B$1:$B$6973,"FALSO",[6]InfCualitativo!$E$1:$E$6973,"Gaviotas",[6]InfCualitativo!$H$1:$H$6973,"urgencia")</f>
        <v>0</v>
      </c>
      <c r="AE22" s="30">
        <f t="shared" si="14"/>
        <v>0</v>
      </c>
      <c r="AF22" s="30">
        <f t="shared" si="15"/>
        <v>0</v>
      </c>
      <c r="AG22" s="27">
        <f>COUNTIFS([6]InfCualitativo!$B$1:$B$6973,"VERDADERO",[6]InfCualitativo!$E$1:$E$6973,"Gaviotas",[6]InfCualitativo!$H$1:$H$6973,"pediatria")</f>
        <v>0</v>
      </c>
      <c r="AH22" s="27">
        <f>COUNTIFS([6]InfCualitativo!$B$1:$B$6973,"FALSO",[6]InfCualitativo!$E$1:$E$6973,"Gaviotas",[6]InfCualitativo!$H$1:$H$6973,"pediatria")</f>
        <v>0</v>
      </c>
      <c r="AI22" s="30">
        <f t="shared" si="16"/>
        <v>0</v>
      </c>
      <c r="AJ22" s="30">
        <f t="shared" si="17"/>
        <v>0</v>
      </c>
      <c r="AK22" s="27">
        <f>COUNTIFS([6]InfCualitativo!$B$1:$B$6973,"VERDADERO",[6]InfCualitativo!$E$1:$E$6973,"Gaviotas",[6]InfCualitativo!$H$1:$H$6973,"medicina_interna")</f>
        <v>0</v>
      </c>
      <c r="AL22" s="27">
        <f>COUNTIFS([6]InfCualitativo!$B$1:$B$6973,"FALSO",[6]InfCualitativo!$E$1:$E$6973,"Gaviotas",[6]InfCualitativo!$H$1:$H$6973,"medicina_interna")</f>
        <v>0</v>
      </c>
      <c r="AM22" s="30">
        <f t="shared" si="18"/>
        <v>0</v>
      </c>
      <c r="AN22" s="30">
        <f t="shared" si="19"/>
        <v>0</v>
      </c>
      <c r="AO22" s="27">
        <f>COUNTIFS([6]InfCualitativo!$B$1:$B$6973,"VERDADERO",[6]InfCualitativo!$E$1:$E$6973,"Gaviotas",[6]InfCualitativo!$H$1:$H$6973,"ginecologia")</f>
        <v>0</v>
      </c>
      <c r="AP22" s="27">
        <f>COUNTIFS([6]InfCualitativo!$B$1:$B$6973,"FALSO",[6]InfCualitativo!$E$1:$E$6973,"Gaviotas",[6]InfCualitativo!$H$1:$H$6973,"ginecologia")</f>
        <v>0</v>
      </c>
      <c r="AQ22" s="30">
        <f t="shared" si="20"/>
        <v>0</v>
      </c>
      <c r="AR22" s="30">
        <f t="shared" si="21"/>
        <v>0</v>
      </c>
      <c r="AS22" s="27">
        <f t="shared" si="22"/>
        <v>90</v>
      </c>
      <c r="AT22" s="27">
        <f t="shared" si="22"/>
        <v>12</v>
      </c>
      <c r="AU22" s="32">
        <f t="shared" si="23"/>
        <v>0.88235294117647056</v>
      </c>
      <c r="AV22" s="32">
        <f t="shared" si="24"/>
        <v>0.11764705882352941</v>
      </c>
    </row>
    <row r="23" spans="1:48" ht="18.75" x14ac:dyDescent="0.3">
      <c r="A23" s="26" t="s">
        <v>43</v>
      </c>
      <c r="B23" s="27">
        <v>97</v>
      </c>
      <c r="C23" s="27">
        <f t="shared" si="1"/>
        <v>97</v>
      </c>
      <c r="D23" s="28">
        <f t="shared" si="0"/>
        <v>100</v>
      </c>
      <c r="E23" s="29">
        <f>COUNTIFS([6]InfCualitativo!$B$1:$B$6973,"VERDADERO",[6]InfCualitativo!$E$1:$E$6973,"Isla del Rosario",[6]InfCualitativo!$H$1:$H$6973,"consulta_externa")</f>
        <v>39</v>
      </c>
      <c r="F23" s="29">
        <f>COUNTIFS([6]InfCualitativo!$B$1:$B$6973,"FALSO",[6]InfCualitativo!$E$1:$E$6973,"Isla del Rosario",[6]InfCualitativo!$H$1:$H$6973,"consulta_externa")</f>
        <v>0</v>
      </c>
      <c r="G23" s="30">
        <f t="shared" si="2"/>
        <v>1</v>
      </c>
      <c r="H23" s="30">
        <f t="shared" si="3"/>
        <v>0</v>
      </c>
      <c r="I23" s="27">
        <f>COUNTIFS([6]InfCualitativo!$B$1:$B$6973,"VERDADERO",[6]InfCualitativo!$E$1:$E$6973,"Isla del Rosario",[6]InfCualitativo!$H$1:$H$6973,"salud_oral")</f>
        <v>20</v>
      </c>
      <c r="J23" s="27">
        <f>COUNTIFS([6]InfCualitativo!$B$1:$B$6973,"FALSO",[6]InfCualitativo!$E$1:$E$6973,"Isla del Rosario",[6]InfCualitativo!$H$1:$H$6973,"salud_oral")</f>
        <v>0</v>
      </c>
      <c r="K23" s="30">
        <f t="shared" si="4"/>
        <v>1</v>
      </c>
      <c r="L23" s="30">
        <f t="shared" si="5"/>
        <v>0</v>
      </c>
      <c r="M23" s="27">
        <f>COUNTIFS([6]InfCualitativo!$B$1:$B$6973,"VERDADERO",[6]InfCualitativo!$E$1:$E$6973,"Isla del Rosario",[6]InfCualitativo!$H$1:$H$6973,"laboratorio")</f>
        <v>38</v>
      </c>
      <c r="N23" s="27">
        <f>COUNTIFS([6]InfCualitativo!$B$1:$B$6973,"FALSO",[6]InfCualitativo!$E$1:$E$6973,"Isla del Rosario",[6]InfCualitativo!$H$1:$H$6973,"laboratorio")</f>
        <v>0</v>
      </c>
      <c r="O23" s="30">
        <f t="shared" si="6"/>
        <v>1</v>
      </c>
      <c r="P23" s="31">
        <f t="shared" si="7"/>
        <v>0</v>
      </c>
      <c r="Q23" s="27">
        <f>COUNTIFS([6]InfCualitativo!$B$1:$B$6973,"VERDADERO",[6]InfCualitativo!$E$1:$E$6973,"Isla del Rosario",[6]InfCualitativo!$H$1:$H$6973,"electros")</f>
        <v>0</v>
      </c>
      <c r="R23" s="27">
        <f>COUNTIFS([6]InfCualitativo!$B$1:$B$6973,"FALSO",[6]InfCualitativo!$E$1:$E$6973,"Isla del Rosario",[6]InfCualitativo!$H$1:$H$6973,"electros")</f>
        <v>0</v>
      </c>
      <c r="S23" s="30">
        <f t="shared" si="8"/>
        <v>0</v>
      </c>
      <c r="T23" s="30">
        <f t="shared" si="9"/>
        <v>0</v>
      </c>
      <c r="U23" s="27">
        <f>COUNTIFS([6]InfCualitativo!$B$1:$B$6973,"VERDADERO",[6]InfCualitativo!$E$1:$E$6973,"Isla del Rosario",[6]InfCualitativo!$H$1:$H$6973,"rx")</f>
        <v>0</v>
      </c>
      <c r="V23" s="27">
        <f>COUNTIFS([6]InfCualitativo!$B$1:$B$6973,"FALSO",[6]InfCualitativo!$E$1:$E$6973,"Isla del Rosario",[6]InfCualitativo!$H$1:$H$6973,"rx")</f>
        <v>0</v>
      </c>
      <c r="W23" s="30">
        <f t="shared" si="10"/>
        <v>0</v>
      </c>
      <c r="X23" s="30">
        <f t="shared" si="11"/>
        <v>0</v>
      </c>
      <c r="Y23" s="27">
        <f>COUNTIFS([6]InfCualitativo!$B$1:$B$6973,"VERDADERO",[6]InfCualitativo!$E$1:$E$6973,"Isla del Rosario",[6]InfCualitativo!$H$1:$H$6973,"ecografias")</f>
        <v>0</v>
      </c>
      <c r="Z23" s="27">
        <f>COUNTIFS([6]InfCualitativo!$B$1:$B$6973,"FALSO",[6]InfCualitativo!$E$1:$E$6973,"Isla del Rosario",[6]InfCualitativo!$H$1:$H$6973,"ecografias")</f>
        <v>0</v>
      </c>
      <c r="AA23" s="30">
        <f t="shared" si="12"/>
        <v>0</v>
      </c>
      <c r="AB23" s="30">
        <f t="shared" si="13"/>
        <v>0</v>
      </c>
      <c r="AC23" s="27">
        <f>COUNTIFS([6]InfCualitativo!$B$1:$B$6973,"VERDADERO",[6]InfCualitativo!$E$1:$E$6973,"Isla del Rosario",[6]InfCualitativo!$H$1:$H$6973,"urgencia")</f>
        <v>0</v>
      </c>
      <c r="AD23" s="27">
        <f>COUNTIFS([6]InfCualitativo!$B$1:$B$6973,"FALSO",[6]InfCualitativo!$E$1:$E$6973,"Isla del Rosario",[6]InfCualitativo!$H$1:$H$6973,"urgencia")</f>
        <v>0</v>
      </c>
      <c r="AE23" s="30">
        <f t="shared" si="14"/>
        <v>0</v>
      </c>
      <c r="AF23" s="30">
        <f t="shared" si="15"/>
        <v>0</v>
      </c>
      <c r="AG23" s="27">
        <f>COUNTIFS([6]InfCualitativo!$B$1:$B$6973,"VERDADERO",[6]InfCualitativo!$E$1:$E$6973,"Isla del Rosario",[6]InfCualitativo!$H$1:$H$6973,"pediatria")</f>
        <v>0</v>
      </c>
      <c r="AH23" s="27">
        <f>COUNTIFS([6]InfCualitativo!$B$1:$B$6973,"FALSO",[6]InfCualitativo!$E$1:$E$6973,"Isla del Rosario",[6]InfCualitativo!$H$1:$H$6973,"pediatria")</f>
        <v>0</v>
      </c>
      <c r="AI23" s="30">
        <f t="shared" si="16"/>
        <v>0</v>
      </c>
      <c r="AJ23" s="30">
        <f t="shared" si="17"/>
        <v>0</v>
      </c>
      <c r="AK23" s="27">
        <f>COUNTIFS([6]InfCualitativo!$B$1:$B$6973,"VERDADERO",[6]InfCualitativo!$E$1:$E$6973,"Isla del Rosario",[6]InfCualitativo!$H$1:$H$6973,"medicina_interna")</f>
        <v>0</v>
      </c>
      <c r="AL23" s="27">
        <f>COUNTIFS([6]InfCualitativo!$B$1:$B$6973,"FALSO",[6]InfCualitativo!$E$1:$E$6973,"Isla del Rosario",[6]InfCualitativo!$H$1:$H$6973,"medicina_interna")</f>
        <v>0</v>
      </c>
      <c r="AM23" s="30">
        <f t="shared" si="18"/>
        <v>0</v>
      </c>
      <c r="AN23" s="30">
        <f t="shared" si="19"/>
        <v>0</v>
      </c>
      <c r="AO23" s="27">
        <f>COUNTIFS([6]InfCualitativo!$B$1:$B$6973,"VERDADERO",[6]InfCualitativo!$E$1:$E$6973,"Isla del Rosario",[6]InfCualitativo!$H$1:$H$6973,"ginecologia")</f>
        <v>0</v>
      </c>
      <c r="AP23" s="27">
        <f>COUNTIFS([6]InfCualitativo!$B$1:$B$6973,"FALSO",[6]InfCualitativo!$E$1:$E$6973,"Isla del Rosario",[6]InfCualitativo!$H$1:$H$6973,"ginecologia")</f>
        <v>0</v>
      </c>
      <c r="AQ23" s="30">
        <f t="shared" si="20"/>
        <v>0</v>
      </c>
      <c r="AR23" s="30">
        <f t="shared" si="21"/>
        <v>0</v>
      </c>
      <c r="AS23" s="27">
        <f t="shared" si="22"/>
        <v>97</v>
      </c>
      <c r="AT23" s="27">
        <f t="shared" si="22"/>
        <v>0</v>
      </c>
      <c r="AU23" s="32">
        <f t="shared" si="23"/>
        <v>1</v>
      </c>
      <c r="AV23" s="32">
        <f t="shared" si="24"/>
        <v>0</v>
      </c>
    </row>
    <row r="24" spans="1:48" ht="18.75" x14ac:dyDescent="0.3">
      <c r="A24" s="26" t="s">
        <v>44</v>
      </c>
      <c r="B24" s="27">
        <v>105</v>
      </c>
      <c r="C24" s="27">
        <f t="shared" si="1"/>
        <v>105</v>
      </c>
      <c r="D24" s="28">
        <f t="shared" si="0"/>
        <v>100</v>
      </c>
      <c r="E24" s="29">
        <f>COUNTIFS([6]InfCualitativo!$B$1:$B$6973,"VERDADERO",[6]InfCualitativo!$E$1:$E$6973,"Las Reinas",[6]InfCualitativo!$H$1:$H$6973,"consulta_externa")</f>
        <v>28</v>
      </c>
      <c r="F24" s="29">
        <f>COUNTIFS([6]InfCualitativo!$B$1:$B$6973,"FALSO",[6]InfCualitativo!$E$1:$E$6973,"Las Reinas",[6]InfCualitativo!$H$1:$H$6973,"consulta_externa")</f>
        <v>9</v>
      </c>
      <c r="G24" s="30">
        <f t="shared" si="2"/>
        <v>0.7567567567567568</v>
      </c>
      <c r="H24" s="30">
        <f t="shared" si="3"/>
        <v>0.24324324324324326</v>
      </c>
      <c r="I24" s="27">
        <f>COUNTIFS([6]InfCualitativo!$B$1:$B$6973,"VERDADERO",[6]InfCualitativo!$E$1:$E$6973,"Las Reinas",[6]InfCualitativo!$H$1:$H$6973,"salud_oral")</f>
        <v>30</v>
      </c>
      <c r="J24" s="27">
        <f>COUNTIFS([6]InfCualitativo!$B$1:$B$6973,"FALSO",[6]InfCualitativo!$E$1:$E$6973,"Las Reinas",[6]InfCualitativo!$H$1:$H$6973,"salud_oral")</f>
        <v>3</v>
      </c>
      <c r="K24" s="30">
        <f t="shared" si="4"/>
        <v>0.90909090909090906</v>
      </c>
      <c r="L24" s="30">
        <f t="shared" si="5"/>
        <v>9.0909090909090912E-2</v>
      </c>
      <c r="M24" s="27">
        <f>COUNTIFS([6]InfCualitativo!$B$1:$B$6973,"VERDADERO",[6]InfCualitativo!$E$1:$E$6973,"Las Reinas",[6]InfCualitativo!$H$1:$H$6973,"laboratorio")</f>
        <v>32</v>
      </c>
      <c r="N24" s="27">
        <f>COUNTIFS([6]InfCualitativo!$B$1:$B$6973,"FALSO",[6]InfCualitativo!$E$1:$E$6973,"Las Reinas",[6]InfCualitativo!$H$1:$H$6973,"laboratorio")</f>
        <v>3</v>
      </c>
      <c r="O24" s="30">
        <f t="shared" si="6"/>
        <v>0.91428571428571426</v>
      </c>
      <c r="P24" s="31">
        <f t="shared" si="7"/>
        <v>8.5714285714285715E-2</v>
      </c>
      <c r="Q24" s="27">
        <f>COUNTIFS([6]InfCualitativo!$B$1:$B$6973,"VERDADERO",[6]InfCualitativo!$E$1:$E$6973,"Las Reinas",[6]InfCualitativo!$H$1:$H$6973,"electros")</f>
        <v>0</v>
      </c>
      <c r="R24" s="27">
        <f>COUNTIFS([6]InfCualitativo!$B$1:$B$6973,"FALSO",[6]InfCualitativo!$E$1:$E$6973,"Las Reinas",[6]InfCualitativo!$H$1:$H$6973,"electros")</f>
        <v>0</v>
      </c>
      <c r="S24" s="30">
        <f t="shared" si="8"/>
        <v>0</v>
      </c>
      <c r="T24" s="30">
        <f t="shared" si="9"/>
        <v>0</v>
      </c>
      <c r="U24" s="27">
        <f>COUNTIFS([6]InfCualitativo!$B$1:$B$6973,"VERDADERO",[6]InfCualitativo!$E$1:$E$6973,"Las Reinas",[6]InfCualitativo!$H$1:$H$6973,"rx")</f>
        <v>0</v>
      </c>
      <c r="V24" s="27">
        <f>COUNTIFS([6]InfCualitativo!$B$1:$B$6973,"FALSO",[6]InfCualitativo!$E$1:$E$6973,"Las Reinas",[6]InfCualitativo!$H$1:$H$6973,"rx")</f>
        <v>0</v>
      </c>
      <c r="W24" s="30">
        <f t="shared" si="10"/>
        <v>0</v>
      </c>
      <c r="X24" s="30">
        <f t="shared" si="11"/>
        <v>0</v>
      </c>
      <c r="Y24" s="27">
        <f>COUNTIFS([6]InfCualitativo!$B$1:$B$6973,"VERDADERO",[6]InfCualitativo!$E$1:$E$6973,"Las Reinas",[6]InfCualitativo!$H$1:$H$6973,"ecografias")</f>
        <v>0</v>
      </c>
      <c r="Z24" s="27">
        <f>COUNTIFS([6]InfCualitativo!$B$1:$B$6973,"FALSO",[6]InfCualitativo!$E$1:$E$6973,"Las Reinas",[6]InfCualitativo!$H$1:$H$6973,"ecografias")</f>
        <v>0</v>
      </c>
      <c r="AA24" s="30">
        <f t="shared" si="12"/>
        <v>0</v>
      </c>
      <c r="AB24" s="30">
        <f t="shared" si="13"/>
        <v>0</v>
      </c>
      <c r="AC24" s="27">
        <f>COUNTIFS([6]InfCualitativo!$B$1:$B$6973,"VERDADERO",[6]InfCualitativo!$E$1:$E$6973,"Las Reinas",[6]InfCualitativo!$H$1:$H$6973,"urgencia")</f>
        <v>0</v>
      </c>
      <c r="AD24" s="27">
        <f>COUNTIFS([6]InfCualitativo!$B$1:$B$6973,"FALSO",[6]InfCualitativo!$E$1:$E$6973,"Las Reinas",[6]InfCualitativo!$H$1:$H$6973,"urgencia")</f>
        <v>0</v>
      </c>
      <c r="AE24" s="30">
        <f t="shared" si="14"/>
        <v>0</v>
      </c>
      <c r="AF24" s="30">
        <f t="shared" si="15"/>
        <v>0</v>
      </c>
      <c r="AG24" s="27">
        <f>COUNTIFS([6]InfCualitativo!$B$1:$B$6973,"VERDADERO",[6]InfCualitativo!$E$1:$E$6973,"Las Reinas",[6]InfCualitativo!$H$1:$H$6973,"pediatria")</f>
        <v>0</v>
      </c>
      <c r="AH24" s="27">
        <f>COUNTIFS([6]InfCualitativo!$B$1:$B$6973,"FALSO",[6]InfCualitativo!$E$1:$E$6973,"Las Reinas",[6]InfCualitativo!$H$1:$H$6973,"pediatria")</f>
        <v>0</v>
      </c>
      <c r="AI24" s="30">
        <f t="shared" si="16"/>
        <v>0</v>
      </c>
      <c r="AJ24" s="30">
        <f t="shared" si="17"/>
        <v>0</v>
      </c>
      <c r="AK24" s="27">
        <f>COUNTIFS([6]InfCualitativo!$B$1:$B$6973,"VERDADERO",[6]InfCualitativo!$E$1:$E$6973,"Las Reinas",[6]InfCualitativo!$H$1:$H$6973,"medicina_interna")</f>
        <v>0</v>
      </c>
      <c r="AL24" s="27">
        <f>COUNTIFS([6]InfCualitativo!$B$1:$B$6973,"FALSO",[6]InfCualitativo!$E$1:$E$6973,"Las Reinas",[6]InfCualitativo!$H$1:$H$6973,"medicina_interna")</f>
        <v>0</v>
      </c>
      <c r="AM24" s="30">
        <f t="shared" si="18"/>
        <v>0</v>
      </c>
      <c r="AN24" s="30">
        <f t="shared" si="19"/>
        <v>0</v>
      </c>
      <c r="AO24" s="27">
        <f>COUNTIFS([6]InfCualitativo!$B$1:$B$6973,"VERDADERO",[6]InfCualitativo!$E$1:$E$6973,"Las Reinas",[6]InfCualitativo!$H$1:$H$6973,"ginecologia")</f>
        <v>0</v>
      </c>
      <c r="AP24" s="27">
        <f>COUNTIFS([6]InfCualitativo!$B$1:$B$6973,"FALSO",[6]InfCualitativo!$E$1:$E$6973,"Las Reinas",[6]InfCualitativo!$H$1:$H$6973,"ginecologia")</f>
        <v>0</v>
      </c>
      <c r="AQ24" s="30">
        <f t="shared" si="20"/>
        <v>0</v>
      </c>
      <c r="AR24" s="30">
        <f t="shared" si="21"/>
        <v>0</v>
      </c>
      <c r="AS24" s="27">
        <f t="shared" si="22"/>
        <v>90</v>
      </c>
      <c r="AT24" s="27">
        <f t="shared" si="22"/>
        <v>15</v>
      </c>
      <c r="AU24" s="32">
        <f t="shared" si="23"/>
        <v>0.8571428571428571</v>
      </c>
      <c r="AV24" s="32">
        <f t="shared" si="24"/>
        <v>0.14285714285714285</v>
      </c>
    </row>
    <row r="25" spans="1:48" ht="18.75" x14ac:dyDescent="0.3">
      <c r="A25" s="26" t="s">
        <v>45</v>
      </c>
      <c r="B25" s="27">
        <v>171</v>
      </c>
      <c r="C25" s="27">
        <f t="shared" si="1"/>
        <v>156</v>
      </c>
      <c r="D25" s="28">
        <f t="shared" si="0"/>
        <v>91.228070175438603</v>
      </c>
      <c r="E25" s="29">
        <f>COUNTIFS([6]InfCualitativo!$B$1:$B$6973,"VERDADERO",[6]InfCualitativo!$E$1:$E$6973,"Libano",[6]InfCualitativo!$H$1:$H$6973,"consulta_externa")</f>
        <v>34</v>
      </c>
      <c r="F25" s="29">
        <f>COUNTIFS([6]InfCualitativo!$B$1:$B$6973,"FALSO",[6]InfCualitativo!$E$1:$E$6973,"Libano",[6]InfCualitativo!$H$1:$H$6973,"consulta_externa")</f>
        <v>2</v>
      </c>
      <c r="G25" s="30">
        <f t="shared" si="2"/>
        <v>0.94444444444444442</v>
      </c>
      <c r="H25" s="30">
        <f t="shared" si="3"/>
        <v>5.5555555555555552E-2</v>
      </c>
      <c r="I25" s="27">
        <f>COUNTIFS([6]InfCualitativo!$B$1:$B$6973,"VERDADERO",[6]InfCualitativo!$E$1:$E$6973,"Libano",[6]InfCualitativo!$H$1:$H$6973,"salud_oral")</f>
        <v>32</v>
      </c>
      <c r="J25" s="27">
        <f>COUNTIFS([6]InfCualitativo!$B$1:$B$6973,"FALSO",[6]InfCualitativo!$E$1:$E$6973,"Libano",[6]InfCualitativo!$H$1:$H$6973,"salud_oral")</f>
        <v>0</v>
      </c>
      <c r="K25" s="30">
        <f t="shared" si="4"/>
        <v>1</v>
      </c>
      <c r="L25" s="30">
        <f t="shared" si="5"/>
        <v>0</v>
      </c>
      <c r="M25" s="27">
        <f>COUNTIFS([6]InfCualitativo!$B$1:$B$6973,"VERDADERO",[6]InfCualitativo!$E$1:$E$6973,"Libano",[6]InfCualitativo!$H$1:$H$6973,"laboratorio")</f>
        <v>33</v>
      </c>
      <c r="N25" s="27">
        <f>COUNTIFS([6]InfCualitativo!$B$1:$B$6973,"FALSO",[6]InfCualitativo!$E$1:$E$6973,"Libano",[6]InfCualitativo!$H$1:$H$6973,"laboratorio")</f>
        <v>3</v>
      </c>
      <c r="O25" s="30">
        <f t="shared" si="6"/>
        <v>0.91666666666666663</v>
      </c>
      <c r="P25" s="31">
        <f t="shared" si="7"/>
        <v>8.3333333333333329E-2</v>
      </c>
      <c r="Q25" s="27">
        <f>COUNTIFS([6]InfCualitativo!$B$1:$B$6973,"VERDADERO",[6]InfCualitativo!$E$1:$E$6973,"Libano",[6]InfCualitativo!$H$1:$H$6973,"electros")</f>
        <v>0</v>
      </c>
      <c r="R25" s="27">
        <f>COUNTIFS([6]InfCualitativo!$B$1:$B$6973,"FALSO",[6]InfCualitativo!$E$1:$E$6973,"Libano",[6]InfCualitativo!$H$1:$H$6973,"electros")</f>
        <v>0</v>
      </c>
      <c r="S25" s="30">
        <f t="shared" si="8"/>
        <v>0</v>
      </c>
      <c r="T25" s="30">
        <f t="shared" si="9"/>
        <v>0</v>
      </c>
      <c r="U25" s="27">
        <f>COUNTIFS([6]InfCualitativo!$B$1:$B$6973,"VERDADERO",[6]InfCualitativo!$E$1:$E$6973,"Libano",[6]InfCualitativo!$H$1:$H$6973,"rx")</f>
        <v>0</v>
      </c>
      <c r="V25" s="27">
        <f>COUNTIFS([6]InfCualitativo!$B$1:$B$6973,"FALSO",[6]InfCualitativo!$E$1:$E$6973,"Libano",[6]InfCualitativo!$H$1:$H$6973,"rx")</f>
        <v>0</v>
      </c>
      <c r="W25" s="30">
        <f t="shared" si="10"/>
        <v>0</v>
      </c>
      <c r="X25" s="30">
        <f t="shared" si="11"/>
        <v>0</v>
      </c>
      <c r="Y25" s="27">
        <f>COUNTIFS([6]InfCualitativo!$B$1:$B$6973,"VERDADERO",[6]InfCualitativo!$E$1:$E$6973,"Libano",[6]InfCualitativo!$H$1:$H$6973,"ecografias")</f>
        <v>13</v>
      </c>
      <c r="Z25" s="27">
        <f>COUNTIFS([6]InfCualitativo!$B$1:$B$6973,"FALSO",[6]InfCualitativo!$E$1:$E$6973,"Libano",[6]InfCualitativo!$H$1:$H$6973,"ecografias")</f>
        <v>2</v>
      </c>
      <c r="AA25" s="30">
        <f t="shared" si="12"/>
        <v>0.8666666666666667</v>
      </c>
      <c r="AB25" s="30">
        <f t="shared" si="13"/>
        <v>0.13333333333333333</v>
      </c>
      <c r="AC25" s="27">
        <f>COUNTIFS([6]InfCualitativo!$B$1:$B$6973,"VERDADERO",[6]InfCualitativo!$E$1:$E$6973,"Libano",[6]InfCualitativo!$H$1:$H$6973,"urgencia")</f>
        <v>0</v>
      </c>
      <c r="AD25" s="27">
        <f>COUNTIFS([6]InfCualitativo!$B$1:$B$6973,"FALSO",[6]InfCualitativo!$E$1:$E$6973,"Libano",[6]InfCualitativo!$H$1:$H$6973,"urgencia")</f>
        <v>0</v>
      </c>
      <c r="AE25" s="30">
        <f t="shared" si="14"/>
        <v>0</v>
      </c>
      <c r="AF25" s="30">
        <f t="shared" si="15"/>
        <v>0</v>
      </c>
      <c r="AG25" s="27">
        <f>COUNTIFS([6]InfCualitativo!$B$1:$B$6973,"VERDADERO",[6]InfCualitativo!$E$1:$E$6973,"Libano",[6]InfCualitativo!$H$1:$H$6973,"pediatria")</f>
        <v>20</v>
      </c>
      <c r="AH25" s="27">
        <f>COUNTIFS([6]InfCualitativo!$B$1:$B$6973,"FALSO",[6]InfCualitativo!$E$1:$E$6973,"Libano",[6]InfCualitativo!$H$1:$H$6973,"pediatria")</f>
        <v>1</v>
      </c>
      <c r="AI25" s="30">
        <f t="shared" si="16"/>
        <v>0.95238095238095233</v>
      </c>
      <c r="AJ25" s="30">
        <f t="shared" si="17"/>
        <v>4.7619047619047616E-2</v>
      </c>
      <c r="AK25" s="27">
        <f>COUNTIFS([6]InfCualitativo!$B$1:$B$6973,"VERDADERO",[6]InfCualitativo!$E$1:$E$6973,"Libano",[6]InfCualitativo!$H$1:$H$6973,"medicina_interna")</f>
        <v>0</v>
      </c>
      <c r="AL25" s="27">
        <f>COUNTIFS([6]InfCualitativo!$B$1:$B$6973,"FALSO",[6]InfCualitativo!$E$1:$E$6973,"Libano",[6]InfCualitativo!$H$1:$H$6973,"medicina_interna")</f>
        <v>0</v>
      </c>
      <c r="AM25" s="30">
        <f t="shared" si="18"/>
        <v>0</v>
      </c>
      <c r="AN25" s="30">
        <f t="shared" si="19"/>
        <v>0</v>
      </c>
      <c r="AO25" s="27">
        <f>COUNTIFS([6]InfCualitativo!$B$1:$B$6973,"VERDADERO",[6]InfCualitativo!$E$1:$E$6973,"Libano",[6]InfCualitativo!$H$1:$H$6973,"ginecologia")</f>
        <v>16</v>
      </c>
      <c r="AP25" s="27">
        <f>COUNTIFS([6]InfCualitativo!$B$1:$B$6973,"FALSO",[6]InfCualitativo!$E$1:$E$6973,"Libano",[6]InfCualitativo!$H$1:$H$6973,"ginecologia")</f>
        <v>0</v>
      </c>
      <c r="AQ25" s="30">
        <f t="shared" si="20"/>
        <v>1</v>
      </c>
      <c r="AR25" s="30">
        <f t="shared" si="21"/>
        <v>0</v>
      </c>
      <c r="AS25" s="27">
        <f t="shared" si="22"/>
        <v>148</v>
      </c>
      <c r="AT25" s="27">
        <f t="shared" si="22"/>
        <v>8</v>
      </c>
      <c r="AU25" s="32">
        <f t="shared" si="23"/>
        <v>0.94871794871794868</v>
      </c>
      <c r="AV25" s="32">
        <f t="shared" si="24"/>
        <v>5.128205128205128E-2</v>
      </c>
    </row>
    <row r="26" spans="1:48" ht="18.75" x14ac:dyDescent="0.3">
      <c r="A26" s="26" t="s">
        <v>46</v>
      </c>
      <c r="B26" s="27">
        <v>75</v>
      </c>
      <c r="C26" s="27">
        <f t="shared" si="1"/>
        <v>63</v>
      </c>
      <c r="D26" s="28">
        <f t="shared" si="0"/>
        <v>84</v>
      </c>
      <c r="E26" s="29">
        <f>COUNTIFS([6]InfCualitativo!$B$1:$B$6973,"VERDADERO",[6]InfCualitativo!$E$1:$E$6973,"Manzanillo",[6]InfCualitativo!$H$1:$H$6973,"consulta_externa")</f>
        <v>20</v>
      </c>
      <c r="F26" s="29">
        <f>COUNTIFS([6]InfCualitativo!$B$1:$B$6973,"FALSO",[6]InfCualitativo!$E$1:$E$6973,"Manzanillo",[6]InfCualitativo!$H$1:$H$6973,"consulta_externa")</f>
        <v>0</v>
      </c>
      <c r="G26" s="30">
        <f t="shared" si="2"/>
        <v>1</v>
      </c>
      <c r="H26" s="30">
        <f t="shared" si="3"/>
        <v>0</v>
      </c>
      <c r="I26" s="27">
        <f>COUNTIFS([6]InfCualitativo!$B$1:$B$6973,"VERDADERO",[6]InfCualitativo!$E$1:$E$6973,"Manzanillo",[6]InfCualitativo!$H$1:$H$6973,"salud_oral")</f>
        <v>17</v>
      </c>
      <c r="J26" s="27">
        <f>COUNTIFS([6]InfCualitativo!$B$1:$B$6973,"FALSO",[6]InfCualitativo!$E$1:$E$6973,"Manzanillo",[6]InfCualitativo!$H$1:$H$6973,"salud_oral")</f>
        <v>0</v>
      </c>
      <c r="K26" s="30">
        <f t="shared" si="4"/>
        <v>1</v>
      </c>
      <c r="L26" s="30">
        <f t="shared" si="5"/>
        <v>0</v>
      </c>
      <c r="M26" s="27">
        <f>COUNTIFS([6]InfCualitativo!$B$1:$B$6973,"VERDADERO",[6]InfCualitativo!$E$1:$E$6973,"Manzanillo",[6]InfCualitativo!$H$1:$H$6973,"laboratorio")</f>
        <v>26</v>
      </c>
      <c r="N26" s="27">
        <f>COUNTIFS([6]InfCualitativo!$B$1:$B$6973,"FALSO",[6]InfCualitativo!$E$1:$E$6973,"Manzanillo",[6]InfCualitativo!$H$1:$H$6973,"laboratorio")</f>
        <v>0</v>
      </c>
      <c r="O26" s="30">
        <f t="shared" si="6"/>
        <v>1</v>
      </c>
      <c r="P26" s="31">
        <f t="shared" si="7"/>
        <v>0</v>
      </c>
      <c r="Q26" s="27">
        <f>COUNTIFS([6]InfCualitativo!$B$1:$B$6973,"VERDADERO",[6]InfCualitativo!$E$1:$E$6973,"Manzanillo",[6]InfCualitativo!$H$1:$H$6973,"electros")</f>
        <v>0</v>
      </c>
      <c r="R26" s="27">
        <f>COUNTIFS([6]InfCualitativo!$B$1:$B$6973,"FALSO",[6]InfCualitativo!$E$1:$E$6973,"Manzanillo",[6]InfCualitativo!$H$1:$H$6973,"electros")</f>
        <v>0</v>
      </c>
      <c r="S26" s="30">
        <f t="shared" si="8"/>
        <v>0</v>
      </c>
      <c r="T26" s="30">
        <f t="shared" si="9"/>
        <v>0</v>
      </c>
      <c r="U26" s="27">
        <f>COUNTIFS([6]InfCualitativo!$B$1:$B$6973,"VERDADERO",[6]InfCualitativo!$E$1:$E$6973,"Manzanillo",[6]InfCualitativo!$H$1:$H$6973,"rx")</f>
        <v>0</v>
      </c>
      <c r="V26" s="27">
        <f>COUNTIFS([6]InfCualitativo!$B$1:$B$6973,"FALSO",[6]InfCualitativo!$E$1:$E$6973,"Manzanillo",[6]InfCualitativo!$H$1:$H$6973,"rx")</f>
        <v>0</v>
      </c>
      <c r="W26" s="30">
        <f t="shared" si="10"/>
        <v>0</v>
      </c>
      <c r="X26" s="30">
        <f t="shared" si="11"/>
        <v>0</v>
      </c>
      <c r="Y26" s="27">
        <f>COUNTIFS([6]InfCualitativo!$B$1:$B$6973,"VERDADERO",[6]InfCualitativo!$E$1:$E$6973,"Manzanillo",[6]InfCualitativo!$H$1:$H$6973,"ecografias")</f>
        <v>0</v>
      </c>
      <c r="Z26" s="27">
        <f>COUNTIFS([6]InfCualitativo!$B$1:$B$6973,"FALSO",[6]InfCualitativo!$E$1:$E$6973,"Manzanillo",[6]InfCualitativo!$H$1:$H$6973,"ecografias")</f>
        <v>0</v>
      </c>
      <c r="AA26" s="30">
        <f t="shared" si="12"/>
        <v>0</v>
      </c>
      <c r="AB26" s="30">
        <f t="shared" si="13"/>
        <v>0</v>
      </c>
      <c r="AC26" s="27">
        <f>COUNTIFS([6]InfCualitativo!$B$1:$B$6973,"VERDADERO",[6]InfCualitativo!$E$1:$E$6973,"Manzanillo",[6]InfCualitativo!$H$1:$H$6973,"urgencia")</f>
        <v>0</v>
      </c>
      <c r="AD26" s="27">
        <f>COUNTIFS([6]InfCualitativo!$B$1:$B$6973,"FALSO",[6]InfCualitativo!$E$1:$E$6973,"Manzanillo",[6]InfCualitativo!$H$1:$H$6973,"urgencia")</f>
        <v>0</v>
      </c>
      <c r="AE26" s="30">
        <f t="shared" si="14"/>
        <v>0</v>
      </c>
      <c r="AF26" s="30">
        <f t="shared" si="15"/>
        <v>0</v>
      </c>
      <c r="AG26" s="27">
        <f>COUNTIFS([6]InfCualitativo!$B$1:$B$6973,"VERDADERO",[6]InfCualitativo!$E$1:$E$6973,"Manzanillo",[6]InfCualitativo!$H$1:$H$6973,"pediatria")</f>
        <v>0</v>
      </c>
      <c r="AH26" s="27">
        <f>COUNTIFS([6]InfCualitativo!$B$1:$B$6973,"FALSO",[6]InfCualitativo!$E$1:$E$6973,"Manzanillo",[6]InfCualitativo!$H$1:$H$6973,"pediatria")</f>
        <v>0</v>
      </c>
      <c r="AI26" s="30">
        <f t="shared" si="16"/>
        <v>0</v>
      </c>
      <c r="AJ26" s="30">
        <f t="shared" si="17"/>
        <v>0</v>
      </c>
      <c r="AK26" s="27">
        <f>COUNTIFS([6]InfCualitativo!$B$1:$B$6973,"VERDADERO",[6]InfCualitativo!$E$1:$E$6973,"Manzanillo",[6]InfCualitativo!$H$1:$H$6973,"medicina_interna")</f>
        <v>0</v>
      </c>
      <c r="AL26" s="27">
        <f>COUNTIFS([6]InfCualitativo!$B$1:$B$6973,"FALSO",[6]InfCualitativo!$E$1:$E$6973,"Manzanillo",[6]InfCualitativo!$H$1:$H$6973,"medicina_interna")</f>
        <v>0</v>
      </c>
      <c r="AM26" s="30">
        <f t="shared" si="18"/>
        <v>0</v>
      </c>
      <c r="AN26" s="30">
        <f t="shared" si="19"/>
        <v>0</v>
      </c>
      <c r="AO26" s="27">
        <f>COUNTIFS([6]InfCualitativo!$B$1:$B$6973,"VERDADERO",[6]InfCualitativo!$E$1:$E$6973,"Manzanillo",[6]InfCualitativo!$H$1:$H$6973,"ginecologia")</f>
        <v>0</v>
      </c>
      <c r="AP26" s="27">
        <f>COUNTIFS([6]InfCualitativo!$B$1:$B$6973,"FALSO",[6]InfCualitativo!$E$1:$E$6973,"Manzanillo",[6]InfCualitativo!$H$1:$H$6973,"ginecologia")</f>
        <v>0</v>
      </c>
      <c r="AQ26" s="30">
        <f t="shared" si="20"/>
        <v>0</v>
      </c>
      <c r="AR26" s="30">
        <f t="shared" si="21"/>
        <v>0</v>
      </c>
      <c r="AS26" s="27">
        <f t="shared" si="22"/>
        <v>63</v>
      </c>
      <c r="AT26" s="27">
        <f t="shared" si="22"/>
        <v>0</v>
      </c>
      <c r="AU26" s="32">
        <f t="shared" si="23"/>
        <v>1</v>
      </c>
      <c r="AV26" s="32">
        <f t="shared" si="24"/>
        <v>0</v>
      </c>
    </row>
    <row r="27" spans="1:48" ht="18.75" x14ac:dyDescent="0.3">
      <c r="A27" s="26" t="s">
        <v>47</v>
      </c>
      <c r="B27" s="27">
        <v>141</v>
      </c>
      <c r="C27" s="27">
        <f t="shared" si="1"/>
        <v>140</v>
      </c>
      <c r="D27" s="28">
        <f t="shared" si="0"/>
        <v>99.290780141843967</v>
      </c>
      <c r="E27" s="29">
        <f>COUNTIFS([6]InfCualitativo!$B$1:$B$6973,"VERDADERO",[6]InfCualitativo!$E$1:$E$6973,"Nelson Mandela UPA",[6]InfCualitativo!$H$1:$H$6973,"consulta_externa")</f>
        <v>24</v>
      </c>
      <c r="F27" s="29">
        <f>COUNTIFS([6]InfCualitativo!$B$1:$B$6973,"FALSO",[6]InfCualitativo!$E$1:$E$6973,"Nelson Mandela UPA",[6]InfCualitativo!$H$1:$H$6973,"consulta_externa")</f>
        <v>13</v>
      </c>
      <c r="G27" s="30">
        <f t="shared" si="2"/>
        <v>0.64864864864864868</v>
      </c>
      <c r="H27" s="30">
        <f t="shared" si="3"/>
        <v>0.35135135135135137</v>
      </c>
      <c r="I27" s="27">
        <f>COUNTIFS([6]InfCualitativo!$B$1:$B$6973,"VERDADERO",[6]InfCualitativo!$E$1:$E$6973,"Nelson Mandela UPA",[6]InfCualitativo!$H$1:$H$6973,"salud_oral")</f>
        <v>34</v>
      </c>
      <c r="J27" s="27">
        <f>COUNTIFS([6]InfCualitativo!$B$1:$B$6973,"FALSO",[6]InfCualitativo!$E$1:$E$6973,"Nelson Mandela UPA",[6]InfCualitativo!$H$1:$H$6973,"salud_oral")</f>
        <v>0</v>
      </c>
      <c r="K27" s="30">
        <f t="shared" si="4"/>
        <v>1</v>
      </c>
      <c r="L27" s="30">
        <f t="shared" si="5"/>
        <v>0</v>
      </c>
      <c r="M27" s="27">
        <f>COUNTIFS([6]InfCualitativo!$B$1:$B$6973,"VERDADERO",[6]InfCualitativo!$E$1:$E$6973,"Nelson Mandela UPA",[6]InfCualitativo!$H$1:$H$6973,"laboratorio")</f>
        <v>23</v>
      </c>
      <c r="N27" s="27">
        <f>COUNTIFS([6]InfCualitativo!$B$1:$B$6973,"FALSO",[6]InfCualitativo!$E$1:$E$6973,"Nelson Mandela UPA",[6]InfCualitativo!$H$1:$H$6973,"laboratorio")</f>
        <v>13</v>
      </c>
      <c r="O27" s="30">
        <f t="shared" si="6"/>
        <v>0.63888888888888884</v>
      </c>
      <c r="P27" s="31">
        <f t="shared" si="7"/>
        <v>0.3611111111111111</v>
      </c>
      <c r="Q27" s="27">
        <f>COUNTIFS([6]InfCualitativo!$B$1:$B$6973,"VERDADERO",[6]InfCualitativo!$E$1:$E$6973,"Nelson Mandela UPA",[6]InfCualitativo!$H$1:$H$6973,"electros")</f>
        <v>0</v>
      </c>
      <c r="R27" s="27">
        <f>COUNTIFS([6]InfCualitativo!$B$1:$B$6973,"FALSO",[6]InfCualitativo!$E$1:$E$6973,"Nelson Mandela UPA",[6]InfCualitativo!$H$1:$H$6973,"electros")</f>
        <v>0</v>
      </c>
      <c r="S27" s="30">
        <f t="shared" si="8"/>
        <v>0</v>
      </c>
      <c r="T27" s="30">
        <f t="shared" si="9"/>
        <v>0</v>
      </c>
      <c r="U27" s="27">
        <f>COUNTIFS([6]InfCualitativo!$B$1:$B$6973,"VERDADERO",[6]InfCualitativo!$E$1:$E$6973,"Nelson Mandela UPA",[6]InfCualitativo!$H$1:$H$6973,"rx")</f>
        <v>0</v>
      </c>
      <c r="V27" s="27">
        <f>COUNTIFS([6]InfCualitativo!$B$1:$B$6973,"FALSO",[6]InfCualitativo!$E$1:$E$6973,"Nelson Mandela UPA",[6]InfCualitativo!$H$1:$H$6973,"rx")</f>
        <v>0</v>
      </c>
      <c r="W27" s="30">
        <f t="shared" si="10"/>
        <v>0</v>
      </c>
      <c r="X27" s="30">
        <f t="shared" si="11"/>
        <v>0</v>
      </c>
      <c r="Y27" s="27">
        <f>COUNTIFS([6]InfCualitativo!$B$1:$B$6973,"VERDADERO",[6]InfCualitativo!$E$1:$E$6973,"Nelson Mandela UPA",[6]InfCualitativo!$H$1:$H$6973,"ecografias")</f>
        <v>0</v>
      </c>
      <c r="Z27" s="27">
        <f>COUNTIFS([6]InfCualitativo!$B$1:$B$6973,"FALSO",[6]InfCualitativo!$E$1:$E$6973,"Nelson Mandela UPA",[6]InfCualitativo!$H$1:$H$6973,"ecografias")</f>
        <v>0</v>
      </c>
      <c r="AA27" s="30">
        <f t="shared" si="12"/>
        <v>0</v>
      </c>
      <c r="AB27" s="30">
        <f t="shared" si="13"/>
        <v>0</v>
      </c>
      <c r="AC27" s="27">
        <f>COUNTIFS([6]InfCualitativo!$B$1:$B$6973,"VERDADERO",[6]InfCualitativo!$E$1:$E$6973,"Nelson Mandela UPA",[6]InfCualitativo!$H$1:$H$6973,"urgencia")</f>
        <v>24</v>
      </c>
      <c r="AD27" s="27">
        <f>COUNTIFS([6]InfCualitativo!$B$1:$B$6973,"FALSO",[6]InfCualitativo!$E$1:$E$6973,"Nelson Mandela UPA",[6]InfCualitativo!$H$1:$H$6973,"urgencia")</f>
        <v>9</v>
      </c>
      <c r="AE27" s="30">
        <f t="shared" si="14"/>
        <v>0.72727272727272729</v>
      </c>
      <c r="AF27" s="30">
        <f t="shared" si="15"/>
        <v>0.27272727272727271</v>
      </c>
      <c r="AG27" s="27">
        <f>COUNTIFS([6]InfCualitativo!$B$1:$B$6973,"VERDADERO",[6]InfCualitativo!$E$1:$E$6973,"Nelson Mandela UPA",[6]InfCualitativo!$H$1:$H$6973,"pediatria")</f>
        <v>0</v>
      </c>
      <c r="AH27" s="27">
        <f>COUNTIFS([6]InfCualitativo!$B$1:$B$6973,"FALSO",[6]InfCualitativo!$E$1:$E$6973,"Nelson Mandela UPA",[6]InfCualitativo!$H$1:$H$6973,"pediatria")</f>
        <v>0</v>
      </c>
      <c r="AI27" s="30">
        <f t="shared" si="16"/>
        <v>0</v>
      </c>
      <c r="AJ27" s="30">
        <f t="shared" si="17"/>
        <v>0</v>
      </c>
      <c r="AK27" s="27">
        <f>COUNTIFS([6]InfCualitativo!$B$1:$B$6973,"VERDADERO",[6]InfCualitativo!$E$1:$E$6973,"Nelson Mandela UPA",[6]InfCualitativo!$H$1:$H$6973,"medicina_interna")</f>
        <v>0</v>
      </c>
      <c r="AL27" s="27">
        <f>COUNTIFS([6]InfCualitativo!$B$1:$B$6973,"FALSO",[6]InfCualitativo!$E$1:$E$6973,"Nelson Mandela UPA",[6]InfCualitativo!$H$1:$H$6973,"medicina_interna")</f>
        <v>0</v>
      </c>
      <c r="AM27" s="30">
        <f t="shared" si="18"/>
        <v>0</v>
      </c>
      <c r="AN27" s="30">
        <f t="shared" si="19"/>
        <v>0</v>
      </c>
      <c r="AO27" s="27">
        <f>COUNTIFS([6]InfCualitativo!$B$1:$B$6973,"VERDADERO",[6]InfCualitativo!$E$1:$E$6973,"Nelson Mandela UPA",[6]InfCualitativo!$H$1:$H$6973,"ginecologia")</f>
        <v>0</v>
      </c>
      <c r="AP27" s="27">
        <f>COUNTIFS([6]InfCualitativo!$B$1:$B$6973,"FALSO",[6]InfCualitativo!$E$1:$E$6973,"Nelson Mandela UPA",[6]InfCualitativo!$H$1:$H$6973,"ginecologia")</f>
        <v>0</v>
      </c>
      <c r="AQ27" s="30">
        <f t="shared" si="20"/>
        <v>0</v>
      </c>
      <c r="AR27" s="30">
        <f t="shared" si="21"/>
        <v>0</v>
      </c>
      <c r="AS27" s="27">
        <f t="shared" si="22"/>
        <v>105</v>
      </c>
      <c r="AT27" s="27">
        <f t="shared" si="22"/>
        <v>35</v>
      </c>
      <c r="AU27" s="32">
        <f t="shared" si="23"/>
        <v>0.75</v>
      </c>
      <c r="AV27" s="32">
        <f t="shared" si="24"/>
        <v>0.25</v>
      </c>
    </row>
    <row r="28" spans="1:48" ht="18.75" x14ac:dyDescent="0.3">
      <c r="A28" s="26" t="s">
        <v>48</v>
      </c>
      <c r="B28" s="27">
        <v>144</v>
      </c>
      <c r="C28" s="27">
        <f t="shared" si="1"/>
        <v>134</v>
      </c>
      <c r="D28" s="28">
        <f t="shared" si="0"/>
        <v>93.055555555555557</v>
      </c>
      <c r="E28" s="29">
        <f>COUNTIFS([6]InfCualitativo!$B$1:$B$6973,"VERDADERO",[6]InfCualitativo!$E$1:$E$6973,"Nuevo Bosque",[6]InfCualitativo!$H$1:$H$6973,"consulta_externa")</f>
        <v>33</v>
      </c>
      <c r="F28" s="29">
        <f>COUNTIFS([6]InfCualitativo!$B$1:$B$6973,"FALSO",[6]InfCualitativo!$E$1:$E$6973,"Nuevo Bosque",[6]InfCualitativo!$H$1:$H$6973,"consulta_externa")</f>
        <v>4</v>
      </c>
      <c r="G28" s="30">
        <f t="shared" si="2"/>
        <v>0.89189189189189189</v>
      </c>
      <c r="H28" s="30">
        <f t="shared" si="3"/>
        <v>0.10810810810810811</v>
      </c>
      <c r="I28" s="27">
        <f>COUNTIFS([6]InfCualitativo!$B$1:$B$6973,"VERDADERO",[6]InfCualitativo!$E$1:$E$6973,"Nuevo Bosque",[6]InfCualitativo!$H$1:$H$6973,"salud_oral")</f>
        <v>26</v>
      </c>
      <c r="J28" s="27">
        <f>COUNTIFS([6]InfCualitativo!$B$1:$B$6973,"FALSO",[6]InfCualitativo!$E$1:$E$6973,"Nuevo Bosque",[6]InfCualitativo!$H$1:$H$6973,"salud_oral")</f>
        <v>6</v>
      </c>
      <c r="K28" s="30">
        <f t="shared" si="4"/>
        <v>0.8125</v>
      </c>
      <c r="L28" s="30">
        <f t="shared" si="5"/>
        <v>0.1875</v>
      </c>
      <c r="M28" s="27">
        <f>COUNTIFS([6]InfCualitativo!$B$1:$B$6973,"VERDADERO",[6]InfCualitativo!$E$1:$E$6973,"Nuevo Bosque",[6]InfCualitativo!$H$1:$H$6973,"laboratorio")</f>
        <v>32</v>
      </c>
      <c r="N28" s="27">
        <f>COUNTIFS([6]InfCualitativo!$B$1:$B$6973,"FALSO",[6]InfCualitativo!$E$1:$E$6973,"Nuevo Bosque",[6]InfCualitativo!$H$1:$H$6973,"laboratorio")</f>
        <v>1</v>
      </c>
      <c r="O28" s="30">
        <f t="shared" si="6"/>
        <v>0.96969696969696972</v>
      </c>
      <c r="P28" s="31">
        <f t="shared" si="7"/>
        <v>3.0303030303030304E-2</v>
      </c>
      <c r="Q28" s="27">
        <f>COUNTIFS([6]InfCualitativo!$B$1:$B$6973,"VERDADERO",[6]InfCualitativo!$E$1:$E$6973,"Nuevo Bosque",[6]InfCualitativo!$H$1:$H$6973,"electros")</f>
        <v>0</v>
      </c>
      <c r="R28" s="27">
        <f>COUNTIFS([6]InfCualitativo!$B$1:$B$6973,"FALSO",[6]InfCualitativo!$E$1:$E$6973,"Nuevo Bosque",[6]InfCualitativo!$H$1:$H$6973,"electros")</f>
        <v>0</v>
      </c>
      <c r="S28" s="30">
        <f t="shared" si="8"/>
        <v>0</v>
      </c>
      <c r="T28" s="30">
        <f t="shared" si="9"/>
        <v>0</v>
      </c>
      <c r="U28" s="27">
        <f>COUNTIFS([6]InfCualitativo!$B$1:$B$6973,"VERDADERO",[6]InfCualitativo!$E$1:$E$6973,"Nuevo Bosque",[6]InfCualitativo!$H$1:$H$6973,"rx")</f>
        <v>0</v>
      </c>
      <c r="V28" s="27">
        <f>COUNTIFS([6]InfCualitativo!$B$1:$B$6973,"FALSO",[6]InfCualitativo!$E$1:$E$6973,"Nuevo Bosque",[6]InfCualitativo!$H$1:$H$6973,"rx")</f>
        <v>0</v>
      </c>
      <c r="W28" s="30">
        <f t="shared" si="10"/>
        <v>0</v>
      </c>
      <c r="X28" s="30">
        <f t="shared" si="11"/>
        <v>0</v>
      </c>
      <c r="Y28" s="27">
        <f>COUNTIFS([6]InfCualitativo!$B$1:$B$6973,"VERDADERO",[6]InfCualitativo!$E$1:$E$6973,"Nuevo Bosque",[6]InfCualitativo!$H$1:$H$6973,"ecografias")</f>
        <v>0</v>
      </c>
      <c r="Z28" s="27">
        <f>COUNTIFS([6]InfCualitativo!$B$1:$B$6973,"FALSO",[6]InfCualitativo!$E$1:$E$6973,"Nuevo Bosque",[6]InfCualitativo!$H$1:$H$6973,"ecografias")</f>
        <v>0</v>
      </c>
      <c r="AA28" s="30">
        <f t="shared" si="12"/>
        <v>0</v>
      </c>
      <c r="AB28" s="30">
        <f t="shared" si="13"/>
        <v>0</v>
      </c>
      <c r="AC28" s="27">
        <f>COUNTIFS([6]InfCualitativo!$B$1:$B$6973,"VERDADERO",[6]InfCualitativo!$E$1:$E$6973,"Nuevo Bosque",[6]InfCualitativo!$H$1:$H$6973,"urgencia")</f>
        <v>22</v>
      </c>
      <c r="AD28" s="27">
        <f>COUNTIFS([6]InfCualitativo!$B$1:$B$6973,"FALSO",[6]InfCualitativo!$E$1:$E$6973,"Nuevo Bosque",[6]InfCualitativo!$H$1:$H$6973,"urgencia")</f>
        <v>10</v>
      </c>
      <c r="AE28" s="30">
        <f t="shared" si="14"/>
        <v>0.6875</v>
      </c>
      <c r="AF28" s="30">
        <f t="shared" si="15"/>
        <v>0.3125</v>
      </c>
      <c r="AG28" s="27">
        <f>COUNTIFS([6]InfCualitativo!$B$1:$B$6973,"VERDADERO",[6]InfCualitativo!$E$1:$E$6973,"Nuevo Bosque",[6]InfCualitativo!$H$1:$H$6973,"pediatria")</f>
        <v>0</v>
      </c>
      <c r="AH28" s="27">
        <f>COUNTIFS([6]InfCualitativo!$B$1:$B$6973,"FALSO",[6]InfCualitativo!$E$1:$E$6973,"Nuevo Bosque",[6]InfCualitativo!$H$1:$H$6973,"pediatria")</f>
        <v>0</v>
      </c>
      <c r="AI28" s="30">
        <f t="shared" si="16"/>
        <v>0</v>
      </c>
      <c r="AJ28" s="30">
        <f t="shared" si="17"/>
        <v>0</v>
      </c>
      <c r="AK28" s="27">
        <f>COUNTIFS([6]InfCualitativo!$B$1:$B$6973,"VERDADERO",[6]InfCualitativo!$E$1:$E$6973,"Nuevo Bosque",[6]InfCualitativo!$H$1:$H$6973,"medicina_interna")</f>
        <v>0</v>
      </c>
      <c r="AL28" s="27">
        <f>COUNTIFS([6]InfCualitativo!$B$1:$B$6973,"FALSO",[6]InfCualitativo!$E$1:$E$6973,"Nuevo Bosque",[6]InfCualitativo!$H$1:$H$6973,"medicina_interna")</f>
        <v>0</v>
      </c>
      <c r="AM28" s="30">
        <f t="shared" si="18"/>
        <v>0</v>
      </c>
      <c r="AN28" s="30">
        <f t="shared" si="19"/>
        <v>0</v>
      </c>
      <c r="AO28" s="27">
        <f>COUNTIFS([6]InfCualitativo!$B$1:$B$6973,"VERDADERO",[6]InfCualitativo!$E$1:$E$6973,"Nuevo Bosque",[6]InfCualitativo!$H$1:$H$6973,"ginecologia")</f>
        <v>0</v>
      </c>
      <c r="AP28" s="27">
        <f>COUNTIFS([6]InfCualitativo!$B$1:$B$6973,"FALSO",[6]InfCualitativo!$E$1:$E$6973,"Nuevo Bosque",[6]InfCualitativo!$H$1:$H$6973,"ginecologia")</f>
        <v>0</v>
      </c>
      <c r="AQ28" s="30">
        <f t="shared" si="20"/>
        <v>0</v>
      </c>
      <c r="AR28" s="30">
        <f t="shared" si="21"/>
        <v>0</v>
      </c>
      <c r="AS28" s="27">
        <f t="shared" si="22"/>
        <v>113</v>
      </c>
      <c r="AT28" s="27">
        <f t="shared" si="22"/>
        <v>21</v>
      </c>
      <c r="AU28" s="32">
        <f t="shared" si="23"/>
        <v>0.84328358208955223</v>
      </c>
      <c r="AV28" s="32">
        <f t="shared" si="24"/>
        <v>0.15671641791044777</v>
      </c>
    </row>
    <row r="29" spans="1:48" ht="18.75" x14ac:dyDescent="0.3">
      <c r="A29" s="26" t="s">
        <v>49</v>
      </c>
      <c r="B29" s="27">
        <v>105</v>
      </c>
      <c r="C29" s="27">
        <f t="shared" si="1"/>
        <v>105</v>
      </c>
      <c r="D29" s="28">
        <f t="shared" si="0"/>
        <v>100</v>
      </c>
      <c r="E29" s="29">
        <f>COUNTIFS([6]InfCualitativo!$B$1:$B$6973,"VERDADERO",[6]InfCualitativo!$E$1:$E$6973,"Nuevo Porvenir",[6]InfCualitativo!$H$1:$H$6973,"consulta_externa")</f>
        <v>37</v>
      </c>
      <c r="F29" s="29">
        <f>COUNTIFS([6]InfCualitativo!$B$1:$B$6973,"FALSO",[6]InfCualitativo!$E$1:$E$6973,"Nuevo Porvenir",[6]InfCualitativo!$H$1:$H$6973,"consulta_externa")</f>
        <v>1</v>
      </c>
      <c r="G29" s="30">
        <f t="shared" si="2"/>
        <v>0.97368421052631582</v>
      </c>
      <c r="H29" s="30">
        <f t="shared" si="3"/>
        <v>2.6315789473684209E-2</v>
      </c>
      <c r="I29" s="27">
        <f>COUNTIFS([6]InfCualitativo!$B$1:$B$6973,"VERDADERO",[6]InfCualitativo!$E$1:$E$6973,"Nuevo Porvenir",[6]InfCualitativo!$H$1:$H$6973,"salud_oral")</f>
        <v>31</v>
      </c>
      <c r="J29" s="27">
        <f>COUNTIFS([6]InfCualitativo!$B$1:$B$6973,"FALSO",[6]InfCualitativo!$E$1:$E$6973,"Nuevo Porvenir",[6]InfCualitativo!$H$1:$H$6973,"salud_oral")</f>
        <v>0</v>
      </c>
      <c r="K29" s="30">
        <f t="shared" si="4"/>
        <v>1</v>
      </c>
      <c r="L29" s="30">
        <f t="shared" si="5"/>
        <v>0</v>
      </c>
      <c r="M29" s="27">
        <f>COUNTIFS([6]InfCualitativo!$B$1:$B$6973,"VERDADERO",[6]InfCualitativo!$E$1:$E$6973,"Nuevo Porvenir",[6]InfCualitativo!$H$1:$H$6973,"laboratorio")</f>
        <v>35</v>
      </c>
      <c r="N29" s="27">
        <f>COUNTIFS([6]InfCualitativo!$B$1:$B$6973,"FALSO",[6]InfCualitativo!$E$1:$E$6973,"Nuevo Porvenir",[6]InfCualitativo!$H$1:$H$6973,"laboratorio")</f>
        <v>1</v>
      </c>
      <c r="O29" s="30">
        <f t="shared" si="6"/>
        <v>0.97222222222222221</v>
      </c>
      <c r="P29" s="31">
        <f t="shared" si="7"/>
        <v>2.7777777777777776E-2</v>
      </c>
      <c r="Q29" s="27">
        <f>COUNTIFS([6]InfCualitativo!$B$1:$B$6973,"VERDADERO",[6]InfCualitativo!$E$1:$E$6973,"Nuevo Porvenir",[6]InfCualitativo!$H$1:$H$6973,"electros")</f>
        <v>0</v>
      </c>
      <c r="R29" s="27">
        <f>COUNTIFS([6]InfCualitativo!$B$1:$B$6973,"FALSO",[6]InfCualitativo!$E$1:$E$6973,"Nuevo Porvenir",[6]InfCualitativo!$H$1:$H$6973,"electros")</f>
        <v>0</v>
      </c>
      <c r="S29" s="30">
        <f t="shared" si="8"/>
        <v>0</v>
      </c>
      <c r="T29" s="30">
        <f t="shared" si="9"/>
        <v>0</v>
      </c>
      <c r="U29" s="27">
        <f>COUNTIFS([6]InfCualitativo!$B$1:$B$6973,"VERDADERO",[6]InfCualitativo!$E$1:$E$6973,"Nuevo Porvenir",[6]InfCualitativo!$H$1:$H$6973,"rx")</f>
        <v>0</v>
      </c>
      <c r="V29" s="27">
        <f>COUNTIFS([6]InfCualitativo!$B$1:$B$6973,"FALSO",[6]InfCualitativo!$E$1:$E$6973,"Nuevo Porvenir",[6]InfCualitativo!$H$1:$H$6973,"rx")</f>
        <v>0</v>
      </c>
      <c r="W29" s="30">
        <f t="shared" si="10"/>
        <v>0</v>
      </c>
      <c r="X29" s="30">
        <f t="shared" si="11"/>
        <v>0</v>
      </c>
      <c r="Y29" s="27">
        <f>COUNTIFS([6]InfCualitativo!$B$1:$B$6973,"VERDADERO",[6]InfCualitativo!$E$1:$E$6973,"Nuevo Porvenir",[6]InfCualitativo!$H$1:$H$6973,"ecografias")</f>
        <v>0</v>
      </c>
      <c r="Z29" s="27">
        <f>COUNTIFS([6]InfCualitativo!$B$1:$B$6973,"FALSO",[6]InfCualitativo!$E$1:$E$6973,"Nuevo Porvenir",[6]InfCualitativo!$H$1:$H$6973,"ecografias")</f>
        <v>0</v>
      </c>
      <c r="AA29" s="30">
        <f t="shared" si="12"/>
        <v>0</v>
      </c>
      <c r="AB29" s="30">
        <f t="shared" si="13"/>
        <v>0</v>
      </c>
      <c r="AC29" s="27">
        <f>COUNTIFS([6]InfCualitativo!$B$1:$B$6973,"VERDADERO",[6]InfCualitativo!$E$1:$E$6973,"Nuevo Porvenir",[6]InfCualitativo!$H$1:$H$6973,"urgencia")</f>
        <v>0</v>
      </c>
      <c r="AD29" s="27">
        <f>COUNTIFS([6]InfCualitativo!$B$1:$B$6973,"FALSO",[6]InfCualitativo!$E$1:$E$6973,"Nuevo Porvenir",[6]InfCualitativo!$H$1:$H$6973,"urgencia")</f>
        <v>0</v>
      </c>
      <c r="AE29" s="30">
        <f t="shared" si="14"/>
        <v>0</v>
      </c>
      <c r="AF29" s="30">
        <f t="shared" si="15"/>
        <v>0</v>
      </c>
      <c r="AG29" s="27">
        <f>COUNTIFS([6]InfCualitativo!$B$1:$B$6973,"VERDADERO",[6]InfCualitativo!$E$1:$E$6973,"Nuevo Porvenir",[6]InfCualitativo!$H$1:$H$6973,"pediatria")</f>
        <v>0</v>
      </c>
      <c r="AH29" s="27">
        <f>COUNTIFS([6]InfCualitativo!$B$1:$B$6973,"FALSO",[6]InfCualitativo!$E$1:$E$6973,"Nuevo Porvenir",[6]InfCualitativo!$H$1:$H$6973,"pediatria")</f>
        <v>0</v>
      </c>
      <c r="AI29" s="30">
        <f t="shared" si="16"/>
        <v>0</v>
      </c>
      <c r="AJ29" s="30">
        <f t="shared" si="17"/>
        <v>0</v>
      </c>
      <c r="AK29" s="27">
        <f>COUNTIFS([6]InfCualitativo!$B$1:$B$6973,"VERDADERO",[6]InfCualitativo!$E$1:$E$6973,"Nuevo Porvenir",[6]InfCualitativo!$H$1:$H$6973,"medicina_interna")</f>
        <v>0</v>
      </c>
      <c r="AL29" s="27">
        <f>COUNTIFS([6]InfCualitativo!$B$1:$B$6973,"FALSO",[6]InfCualitativo!$E$1:$E$6973,"Nuevo Porvenir",[6]InfCualitativo!$H$1:$H$6973,"medicina_interna")</f>
        <v>0</v>
      </c>
      <c r="AM29" s="30">
        <f t="shared" si="18"/>
        <v>0</v>
      </c>
      <c r="AN29" s="30">
        <f t="shared" si="19"/>
        <v>0</v>
      </c>
      <c r="AO29" s="27">
        <f>COUNTIFS([6]InfCualitativo!$B$1:$B$6973,"VERDADERO",[6]InfCualitativo!$E$1:$E$6973,"Nuevo Porvenir",[6]InfCualitativo!$H$1:$H$6973,"ginecologia")</f>
        <v>0</v>
      </c>
      <c r="AP29" s="27">
        <f>COUNTIFS([6]InfCualitativo!$B$1:$B$6973,"FALSO",[6]InfCualitativo!$E$1:$E$6973,"Nuevo Porvenir",[6]InfCualitativo!$H$1:$H$6973,"ginecologia")</f>
        <v>0</v>
      </c>
      <c r="AQ29" s="30">
        <f t="shared" si="20"/>
        <v>0</v>
      </c>
      <c r="AR29" s="30">
        <f t="shared" si="21"/>
        <v>0</v>
      </c>
      <c r="AS29" s="27">
        <f t="shared" si="22"/>
        <v>103</v>
      </c>
      <c r="AT29" s="27">
        <f t="shared" si="22"/>
        <v>2</v>
      </c>
      <c r="AU29" s="32">
        <f t="shared" si="23"/>
        <v>0.98095238095238091</v>
      </c>
      <c r="AV29" s="32">
        <f t="shared" si="24"/>
        <v>1.9047619047619049E-2</v>
      </c>
    </row>
    <row r="30" spans="1:48" ht="18.75" x14ac:dyDescent="0.3">
      <c r="A30" s="26" t="s">
        <v>50</v>
      </c>
      <c r="B30" s="35" t="s">
        <v>39</v>
      </c>
      <c r="C30" s="35" t="s">
        <v>39</v>
      </c>
      <c r="D30" s="35" t="s">
        <v>39</v>
      </c>
      <c r="E30" s="35" t="s">
        <v>39</v>
      </c>
      <c r="F30" s="35" t="s">
        <v>39</v>
      </c>
      <c r="G30" s="35" t="s">
        <v>39</v>
      </c>
      <c r="H30" s="35" t="s">
        <v>39</v>
      </c>
      <c r="I30" s="35" t="s">
        <v>39</v>
      </c>
      <c r="J30" s="35" t="s">
        <v>39</v>
      </c>
      <c r="K30" s="35" t="s">
        <v>39</v>
      </c>
      <c r="L30" s="35" t="s">
        <v>39</v>
      </c>
      <c r="M30" s="35" t="s">
        <v>39</v>
      </c>
      <c r="N30" s="35" t="s">
        <v>39</v>
      </c>
      <c r="O30" s="35" t="s">
        <v>39</v>
      </c>
      <c r="P30" s="35" t="s">
        <v>39</v>
      </c>
      <c r="Q30" s="35" t="s">
        <v>39</v>
      </c>
      <c r="R30" s="35" t="s">
        <v>39</v>
      </c>
      <c r="S30" s="35" t="s">
        <v>39</v>
      </c>
      <c r="T30" s="35" t="s">
        <v>39</v>
      </c>
      <c r="U30" s="35" t="s">
        <v>39</v>
      </c>
      <c r="V30" s="35" t="s">
        <v>39</v>
      </c>
      <c r="W30" s="35" t="s">
        <v>39</v>
      </c>
      <c r="X30" s="35" t="s">
        <v>39</v>
      </c>
      <c r="Y30" s="35" t="s">
        <v>39</v>
      </c>
      <c r="Z30" s="35" t="s">
        <v>39</v>
      </c>
      <c r="AA30" s="35" t="s">
        <v>39</v>
      </c>
      <c r="AB30" s="35" t="s">
        <v>39</v>
      </c>
      <c r="AC30" s="35" t="s">
        <v>39</v>
      </c>
      <c r="AD30" s="35" t="s">
        <v>39</v>
      </c>
      <c r="AE30" s="35" t="s">
        <v>39</v>
      </c>
      <c r="AF30" s="35" t="s">
        <v>39</v>
      </c>
      <c r="AG30" s="35" t="s">
        <v>39</v>
      </c>
      <c r="AH30" s="35" t="s">
        <v>39</v>
      </c>
      <c r="AI30" s="35" t="s">
        <v>39</v>
      </c>
      <c r="AJ30" s="35" t="s">
        <v>39</v>
      </c>
      <c r="AK30" s="35" t="s">
        <v>39</v>
      </c>
      <c r="AL30" s="35" t="s">
        <v>39</v>
      </c>
      <c r="AM30" s="35" t="s">
        <v>39</v>
      </c>
      <c r="AN30" s="35" t="s">
        <v>39</v>
      </c>
      <c r="AO30" s="35" t="s">
        <v>39</v>
      </c>
      <c r="AP30" s="35" t="s">
        <v>39</v>
      </c>
      <c r="AQ30" s="35" t="s">
        <v>39</v>
      </c>
      <c r="AR30" s="35" t="s">
        <v>39</v>
      </c>
      <c r="AS30" s="35" t="s">
        <v>39</v>
      </c>
      <c r="AT30" s="35" t="s">
        <v>39</v>
      </c>
      <c r="AU30" s="35" t="s">
        <v>39</v>
      </c>
      <c r="AV30" s="35" t="s">
        <v>39</v>
      </c>
    </row>
    <row r="31" spans="1:48" ht="18.75" x14ac:dyDescent="0.3">
      <c r="A31" s="26" t="s">
        <v>51</v>
      </c>
      <c r="B31" s="27">
        <v>147</v>
      </c>
      <c r="C31" s="27">
        <f t="shared" si="1"/>
        <v>129</v>
      </c>
      <c r="D31" s="28">
        <f t="shared" si="0"/>
        <v>87.755102040816325</v>
      </c>
      <c r="E31" s="29">
        <f>COUNTIFS([6]InfCualitativo!$B$1:$B$6973,"VERDADERO",[6]InfCualitativo!$E$1:$E$6973,"Pasacaballos",[6]InfCualitativo!$H$1:$H$6973,"consulta_externa")</f>
        <v>30</v>
      </c>
      <c r="F31" s="29">
        <f>COUNTIFS([6]InfCualitativo!$B$1:$B$6973,"FALSO",[6]InfCualitativo!$E$1:$E$6973,"Pasacaballos",[6]InfCualitativo!$H$1:$H$6973,"consulta_externa")</f>
        <v>5</v>
      </c>
      <c r="G31" s="30">
        <f t="shared" si="2"/>
        <v>0.8571428571428571</v>
      </c>
      <c r="H31" s="30">
        <f t="shared" si="3"/>
        <v>0.14285714285714285</v>
      </c>
      <c r="I31" s="27">
        <f>COUNTIFS([6]InfCualitativo!$B$1:$B$6973,"VERDADERO",[6]InfCualitativo!$E$1:$E$6973,"Pasacaballos",[6]InfCualitativo!$H$1:$H$6973,"salud_oral")</f>
        <v>26</v>
      </c>
      <c r="J31" s="27">
        <f>COUNTIFS([6]InfCualitativo!$B$1:$B$6973,"FALSO",[6]InfCualitativo!$E$1:$E$6973,"Pasacaballos",[6]InfCualitativo!$H$1:$H$6973,"salud_oral")</f>
        <v>5</v>
      </c>
      <c r="K31" s="30">
        <f t="shared" si="4"/>
        <v>0.83870967741935487</v>
      </c>
      <c r="L31" s="30">
        <f t="shared" si="5"/>
        <v>0.16129032258064516</v>
      </c>
      <c r="M31" s="27">
        <f>COUNTIFS([6]InfCualitativo!$B$1:$B$6973,"VERDADERO",[6]InfCualitativo!$E$1:$E$6973,"Pasacaballos",[6]InfCualitativo!$H$1:$H$6973,"laboratorio")</f>
        <v>35</v>
      </c>
      <c r="N31" s="27">
        <f>COUNTIFS([6]InfCualitativo!$B$1:$B$6973,"FALSO",[6]InfCualitativo!$E$1:$E$6973,"Pasacaballos",[6]InfCualitativo!$H$1:$H$6973,"laboratorio")</f>
        <v>1</v>
      </c>
      <c r="O31" s="30">
        <f t="shared" si="6"/>
        <v>0.97222222222222221</v>
      </c>
      <c r="P31" s="31">
        <f t="shared" si="7"/>
        <v>2.7777777777777776E-2</v>
      </c>
      <c r="Q31" s="27">
        <f>COUNTIFS([6]InfCualitativo!$B$1:$B$6973,"VERDADERO",[6]InfCualitativo!$E$1:$E$6973,"Pasacaballos",[6]InfCualitativo!$H$1:$H$6973,"electros")</f>
        <v>0</v>
      </c>
      <c r="R31" s="27">
        <f>COUNTIFS([6]InfCualitativo!$B$1:$B$6973,"FALSO",[6]InfCualitativo!$E$1:$E$6973,"Pasacaballos",[6]InfCualitativo!$H$1:$H$6973,"electros")</f>
        <v>0</v>
      </c>
      <c r="S31" s="30">
        <f t="shared" si="8"/>
        <v>0</v>
      </c>
      <c r="T31" s="30">
        <f t="shared" si="9"/>
        <v>0</v>
      </c>
      <c r="U31" s="27">
        <f>COUNTIFS([6]InfCualitativo!$B$1:$B$6973,"VERDADERO",[6]InfCualitativo!$E$1:$E$6973,"Pasacaballos",[6]InfCualitativo!$H$1:$H$6973,"rx")</f>
        <v>0</v>
      </c>
      <c r="V31" s="27">
        <f>COUNTIFS([6]InfCualitativo!$B$1:$B$6973,"FALSO",[6]InfCualitativo!$E$1:$E$6973,"Pasacaballos",[6]InfCualitativo!$H$1:$H$6973,"rx")</f>
        <v>0</v>
      </c>
      <c r="W31" s="30">
        <f t="shared" si="10"/>
        <v>0</v>
      </c>
      <c r="X31" s="30">
        <f t="shared" si="11"/>
        <v>0</v>
      </c>
      <c r="Y31" s="27">
        <f>COUNTIFS([6]InfCualitativo!$B$1:$B$6973,"VERDADERO",[6]InfCualitativo!$E$1:$E$6973,"Pasacaballos",[6]InfCualitativo!$H$1:$H$6973,"ecografias")</f>
        <v>0</v>
      </c>
      <c r="Z31" s="27">
        <f>COUNTIFS([6]InfCualitativo!$B$1:$B$6973,"FALSO",[6]InfCualitativo!$E$1:$E$6973,"Pasacaballos",[6]InfCualitativo!$H$1:$H$6973,"ecografias")</f>
        <v>0</v>
      </c>
      <c r="AA31" s="30">
        <f t="shared" si="12"/>
        <v>0</v>
      </c>
      <c r="AB31" s="30">
        <f t="shared" si="13"/>
        <v>0</v>
      </c>
      <c r="AC31" s="27">
        <f>COUNTIFS([6]InfCualitativo!$B$1:$B$6973,"VERDADERO",[6]InfCualitativo!$E$1:$E$6973,"Pasacaballos",[6]InfCualitativo!$H$1:$H$6973,"urgencia")</f>
        <v>18</v>
      </c>
      <c r="AD31" s="27">
        <f>COUNTIFS([6]InfCualitativo!$B$1:$B$6973,"FALSO",[6]InfCualitativo!$E$1:$E$6973,"Pasacaballos",[6]InfCualitativo!$H$1:$H$6973,"urgencia")</f>
        <v>9</v>
      </c>
      <c r="AE31" s="30">
        <f t="shared" si="14"/>
        <v>0.66666666666666663</v>
      </c>
      <c r="AF31" s="30">
        <f t="shared" si="15"/>
        <v>0.33333333333333331</v>
      </c>
      <c r="AG31" s="27">
        <f>COUNTIFS([6]InfCualitativo!$B$1:$B$6973,"VERDADERO",[6]InfCualitativo!$E$1:$E$6973,"Pasacaballos",[6]InfCualitativo!$H$1:$H$6973,"pediatria")</f>
        <v>0</v>
      </c>
      <c r="AH31" s="27">
        <f>COUNTIFS([6]InfCualitativo!$B$1:$B$6973,"FALSO",[6]InfCualitativo!$E$1:$E$6973,"Pasacaballos",[6]InfCualitativo!$H$1:$H$6973,"pediatria")</f>
        <v>0</v>
      </c>
      <c r="AI31" s="30">
        <f t="shared" si="16"/>
        <v>0</v>
      </c>
      <c r="AJ31" s="30">
        <f t="shared" si="17"/>
        <v>0</v>
      </c>
      <c r="AK31" s="27">
        <f>COUNTIFS([6]InfCualitativo!$B$1:$B$6973,"VERDADERO",[6]InfCualitativo!$E$1:$E$6973,"Pasacaballos",[6]InfCualitativo!$H$1:$H$6973,"medicina_interna")</f>
        <v>0</v>
      </c>
      <c r="AL31" s="27">
        <f>COUNTIFS([6]InfCualitativo!$B$1:$B$6973,"FALSO",[6]InfCualitativo!$E$1:$E$6973,"Pasacaballos",[6]InfCualitativo!$H$1:$H$6973,"medicina_interna")</f>
        <v>0</v>
      </c>
      <c r="AM31" s="30">
        <f t="shared" si="18"/>
        <v>0</v>
      </c>
      <c r="AN31" s="30">
        <f t="shared" si="19"/>
        <v>0</v>
      </c>
      <c r="AO31" s="27">
        <f>COUNTIFS([6]InfCualitativo!$B$1:$B$6973,"VERDADERO",[6]InfCualitativo!$E$1:$E$6973,"Pasacaballos",[6]InfCualitativo!$H$1:$H$6973,"ginecologia")</f>
        <v>0</v>
      </c>
      <c r="AP31" s="27">
        <f>COUNTIFS([6]InfCualitativo!$B$1:$B$6973,"FALSO",[6]InfCualitativo!$E$1:$E$6973,"Pasacaballos",[6]InfCualitativo!$H$1:$H$6973,"ginecologia")</f>
        <v>0</v>
      </c>
      <c r="AQ31" s="30">
        <f t="shared" si="20"/>
        <v>0</v>
      </c>
      <c r="AR31" s="30">
        <f t="shared" si="21"/>
        <v>0</v>
      </c>
      <c r="AS31" s="27">
        <f t="shared" si="22"/>
        <v>109</v>
      </c>
      <c r="AT31" s="27">
        <f t="shared" si="22"/>
        <v>20</v>
      </c>
      <c r="AU31" s="32">
        <f t="shared" si="23"/>
        <v>0.84496124031007747</v>
      </c>
      <c r="AV31" s="32">
        <f t="shared" si="24"/>
        <v>0.15503875968992248</v>
      </c>
    </row>
    <row r="32" spans="1:48" ht="18.75" x14ac:dyDescent="0.3">
      <c r="A32" s="26" t="s">
        <v>52</v>
      </c>
      <c r="B32" s="27">
        <v>63</v>
      </c>
      <c r="C32" s="27">
        <f t="shared" si="1"/>
        <v>63</v>
      </c>
      <c r="D32" s="28">
        <f t="shared" si="0"/>
        <v>100</v>
      </c>
      <c r="E32" s="29">
        <f>COUNTIFS([6]InfCualitativo!$B$1:$B$6973,"VERDADERO",[6]InfCualitativo!$E$1:$E$6973,"Pontezuela",[6]InfCualitativo!$H$1:$H$6973,"consulta_externa")</f>
        <v>22</v>
      </c>
      <c r="F32" s="29">
        <f>COUNTIFS([6]InfCualitativo!$B$1:$B$6973,"FALSO",[6]InfCualitativo!$E$1:$E$6973,"Pontezuela",[6]InfCualitativo!$H$1:$H$6973,"consulta_externa")</f>
        <v>0</v>
      </c>
      <c r="G32" s="30">
        <f t="shared" si="2"/>
        <v>1</v>
      </c>
      <c r="H32" s="30">
        <f t="shared" si="3"/>
        <v>0</v>
      </c>
      <c r="I32" s="27">
        <f>COUNTIFS([6]InfCualitativo!$B$1:$B$6973,"VERDADERO",[6]InfCualitativo!$E$1:$E$6973,"Pontezuela",[6]InfCualitativo!$H$1:$H$6973,"salud_oral")</f>
        <v>21</v>
      </c>
      <c r="J32" s="27">
        <f>COUNTIFS([6]InfCualitativo!$B$1:$B$6973,"FALSO",[6]InfCualitativo!$E$1:$E$6973,"Pontezuela",[6]InfCualitativo!$H$1:$H$6973,"salud_oral")</f>
        <v>0</v>
      </c>
      <c r="K32" s="30">
        <f t="shared" si="4"/>
        <v>1</v>
      </c>
      <c r="L32" s="30">
        <f t="shared" si="5"/>
        <v>0</v>
      </c>
      <c r="M32" s="27">
        <f>COUNTIFS([6]InfCualitativo!$B$1:$B$6973,"VERDADERO",[6]InfCualitativo!$E$1:$E$6973,"Pontezuela",[6]InfCualitativo!$H$1:$H$6973,"laboratorio")</f>
        <v>20</v>
      </c>
      <c r="N32" s="27">
        <f>COUNTIFS([6]InfCualitativo!$B$1:$B$6973,"FALSO",[6]InfCualitativo!$E$1:$E$6973,"Pontezuela",[6]InfCualitativo!$H$1:$H$6973,"laboratorio")</f>
        <v>0</v>
      </c>
      <c r="O32" s="30">
        <f t="shared" si="6"/>
        <v>1</v>
      </c>
      <c r="P32" s="31">
        <f t="shared" si="7"/>
        <v>0</v>
      </c>
      <c r="Q32" s="27">
        <f>COUNTIFS([6]InfCualitativo!$B$1:$B$6973,"VERDADERO",[6]InfCualitativo!$E$1:$E$6973,"Pontezuela",[6]InfCualitativo!$H$1:$H$6973,"electros")</f>
        <v>0</v>
      </c>
      <c r="R32" s="27">
        <f>COUNTIFS([6]InfCualitativo!$B$1:$B$6973,"FALSO",[6]InfCualitativo!$E$1:$E$6973,"Pontezuela",[6]InfCualitativo!$H$1:$H$6973,"electros")</f>
        <v>0</v>
      </c>
      <c r="S32" s="30">
        <f t="shared" si="8"/>
        <v>0</v>
      </c>
      <c r="T32" s="30">
        <f t="shared" si="9"/>
        <v>0</v>
      </c>
      <c r="U32" s="27">
        <f>COUNTIFS([6]InfCualitativo!$B$1:$B$6973,"VERDADERO",[6]InfCualitativo!$E$1:$E$6973,"Pontezuela",[6]InfCualitativo!$H$1:$H$6973,"rx")</f>
        <v>0</v>
      </c>
      <c r="V32" s="27">
        <f>COUNTIFS([6]InfCualitativo!$B$1:$B$6973,"FALSO",[6]InfCualitativo!$E$1:$E$6973,"Pontezuela",[6]InfCualitativo!$H$1:$H$6973,"rx")</f>
        <v>0</v>
      </c>
      <c r="W32" s="30">
        <f t="shared" si="10"/>
        <v>0</v>
      </c>
      <c r="X32" s="30">
        <f t="shared" si="11"/>
        <v>0</v>
      </c>
      <c r="Y32" s="27">
        <f>COUNTIFS([6]InfCualitativo!$B$1:$B$6973,"VERDADERO",[6]InfCualitativo!$E$1:$E$6973,"Pontezuela",[6]InfCualitativo!$H$1:$H$6973,"ecografias")</f>
        <v>0</v>
      </c>
      <c r="Z32" s="27">
        <f>COUNTIFS([6]InfCualitativo!$B$1:$B$6973,"FALSO",[6]InfCualitativo!$E$1:$E$6973,"Pontezuela",[6]InfCualitativo!$H$1:$H$6973,"ecografias")</f>
        <v>0</v>
      </c>
      <c r="AA32" s="30">
        <f t="shared" si="12"/>
        <v>0</v>
      </c>
      <c r="AB32" s="30">
        <f t="shared" si="13"/>
        <v>0</v>
      </c>
      <c r="AC32" s="27">
        <f>COUNTIFS([6]InfCualitativo!$B$1:$B$6973,"VERDADERO",[6]InfCualitativo!$E$1:$E$6973,"Pontezuela",[6]InfCualitativo!$H$1:$H$6973,"urgencia")</f>
        <v>0</v>
      </c>
      <c r="AD32" s="27">
        <f>COUNTIFS([6]InfCualitativo!$B$1:$B$6973,"FALSO",[6]InfCualitativo!$E$1:$E$6973,"Pontezuela",[6]InfCualitativo!$H$1:$H$6973,"urgencia")</f>
        <v>0</v>
      </c>
      <c r="AE32" s="30">
        <f t="shared" si="14"/>
        <v>0</v>
      </c>
      <c r="AF32" s="30">
        <f t="shared" si="15"/>
        <v>0</v>
      </c>
      <c r="AG32" s="27">
        <f>COUNTIFS([6]InfCualitativo!$B$1:$B$6973,"VERDADERO",[6]InfCualitativo!$E$1:$E$6973,"Pontezuela",[6]InfCualitativo!$H$1:$H$6973,"pediatria")</f>
        <v>0</v>
      </c>
      <c r="AH32" s="27">
        <f>COUNTIFS([6]InfCualitativo!$B$1:$B$6973,"FALSO",[6]InfCualitativo!$E$1:$E$6973,"Pontezuela",[6]InfCualitativo!$H$1:$H$6973,"pediatria")</f>
        <v>0</v>
      </c>
      <c r="AI32" s="30">
        <f t="shared" si="16"/>
        <v>0</v>
      </c>
      <c r="AJ32" s="30">
        <f t="shared" si="17"/>
        <v>0</v>
      </c>
      <c r="AK32" s="27">
        <f>COUNTIFS([6]InfCualitativo!$B$1:$B$6973,"VERDADERO",[6]InfCualitativo!$E$1:$E$6973,"Pontezuela",[6]InfCualitativo!$H$1:$H$6973,"medicina_interna")</f>
        <v>0</v>
      </c>
      <c r="AL32" s="27">
        <f>COUNTIFS([6]InfCualitativo!$B$1:$B$6973,"FALSO",[6]InfCualitativo!$E$1:$E$6973,"Pontezuela",[6]InfCualitativo!$H$1:$H$6973,"medicina_interna")</f>
        <v>0</v>
      </c>
      <c r="AM32" s="30">
        <f t="shared" si="18"/>
        <v>0</v>
      </c>
      <c r="AN32" s="30">
        <f t="shared" si="19"/>
        <v>0</v>
      </c>
      <c r="AO32" s="27">
        <f>COUNTIFS([6]InfCualitativo!$B$1:$B$6973,"VERDADERO",[6]InfCualitativo!$E$1:$E$6973,"Pontezuela",[6]InfCualitativo!$H$1:$H$6973,"ginecologia")</f>
        <v>0</v>
      </c>
      <c r="AP32" s="27">
        <f>COUNTIFS([6]InfCualitativo!$B$1:$B$6973,"FALSO",[6]InfCualitativo!$E$1:$E$6973,"Pontezuela",[6]InfCualitativo!$H$1:$H$6973,"ginecologia")</f>
        <v>0</v>
      </c>
      <c r="AQ32" s="30">
        <f t="shared" si="20"/>
        <v>0</v>
      </c>
      <c r="AR32" s="30">
        <f t="shared" si="21"/>
        <v>0</v>
      </c>
      <c r="AS32" s="27">
        <f t="shared" si="22"/>
        <v>63</v>
      </c>
      <c r="AT32" s="27">
        <f t="shared" si="22"/>
        <v>0</v>
      </c>
      <c r="AU32" s="32">
        <f t="shared" si="23"/>
        <v>1</v>
      </c>
      <c r="AV32" s="32">
        <f t="shared" si="24"/>
        <v>0</v>
      </c>
    </row>
    <row r="33" spans="1:48" ht="18.75" x14ac:dyDescent="0.3">
      <c r="A33" s="26" t="s">
        <v>53</v>
      </c>
      <c r="B33" s="27">
        <v>222</v>
      </c>
      <c r="C33" s="27">
        <f t="shared" si="1"/>
        <v>222</v>
      </c>
      <c r="D33" s="28">
        <f t="shared" si="0"/>
        <v>100</v>
      </c>
      <c r="E33" s="29">
        <f>COUNTIFS([6]InfCualitativo!$B$1:$B$6973,"VERDADERO",[6]InfCualitativo!$E$1:$E$6973,"Hospital Pozon",[6]InfCualitativo!$H$1:$H$6973,"consulta_externa")</f>
        <v>36</v>
      </c>
      <c r="F33" s="29">
        <f>COUNTIFS([6]InfCualitativo!$B$1:$B$6973,"FALSO",[6]InfCualitativo!$E$1:$E$6973,"Hospital Pozon",[6]InfCualitativo!$H$1:$H$6973,"consulta_externa")</f>
        <v>0</v>
      </c>
      <c r="G33" s="30">
        <f t="shared" si="2"/>
        <v>1</v>
      </c>
      <c r="H33" s="30">
        <f t="shared" si="3"/>
        <v>0</v>
      </c>
      <c r="I33" s="27">
        <f>COUNTIFS([6]InfCualitativo!$B$1:$B$6973,"VERDADERO",[6]InfCualitativo!$E$1:$E$6973,"Hospital Pozon",[6]InfCualitativo!$H$1:$H$6973,"salud_oral")</f>
        <v>36</v>
      </c>
      <c r="J33" s="27">
        <f>COUNTIFS([6]InfCualitativo!$B$1:$B$6973,"FALSO",[6]InfCualitativo!$E$1:$E$6973,"Hospital Pozon",[6]InfCualitativo!$H$1:$H$6973,"salud_oral")</f>
        <v>0</v>
      </c>
      <c r="K33" s="30">
        <f t="shared" si="4"/>
        <v>1</v>
      </c>
      <c r="L33" s="30">
        <f t="shared" si="5"/>
        <v>0</v>
      </c>
      <c r="M33" s="27">
        <f>COUNTIFS([6]InfCualitativo!$B$1:$B$6973,"VERDADERO",[6]InfCualitativo!$E$1:$E$6973,"Hospital Pozon",[6]InfCualitativo!$H$1:$H$6973,"laboratorio")</f>
        <v>36</v>
      </c>
      <c r="N33" s="27">
        <f>COUNTIFS([6]InfCualitativo!$B$1:$B$6973,"FALSO",[6]InfCualitativo!$E$1:$E$6973,"Hospital Pozon",[6]InfCualitativo!$H$1:$H$6973,"laboratorio")</f>
        <v>0</v>
      </c>
      <c r="O33" s="30">
        <f t="shared" si="6"/>
        <v>1</v>
      </c>
      <c r="P33" s="31">
        <f t="shared" si="7"/>
        <v>0</v>
      </c>
      <c r="Q33" s="27">
        <f>COUNTIFS([6]InfCualitativo!$B$1:$B$6973,"VERDADERO",[6]InfCualitativo!$E$1:$E$6973,"Hospital Pozon",[6]InfCualitativo!$H$1:$H$6973,"electros")</f>
        <v>0</v>
      </c>
      <c r="R33" s="27">
        <f>COUNTIFS([6]InfCualitativo!$B$1:$B$6973,"FALSO",[6]InfCualitativo!$E$1:$E$6973,"Hospital Pozon",[6]InfCualitativo!$H$1:$H$6973,"electros")</f>
        <v>0</v>
      </c>
      <c r="S33" s="30">
        <f t="shared" si="8"/>
        <v>0</v>
      </c>
      <c r="T33" s="30">
        <f t="shared" si="9"/>
        <v>0</v>
      </c>
      <c r="U33" s="27">
        <f>COUNTIFS([6]InfCualitativo!$B$1:$B$6973,"VERDADERO",[6]InfCualitativo!$E$1:$E$6973,"Hospital Pozon",[6]InfCualitativo!$H$1:$H$6973,"rx")</f>
        <v>36</v>
      </c>
      <c r="V33" s="27">
        <f>COUNTIFS([6]InfCualitativo!$B$1:$B$6973,"FALSO",[6]InfCualitativo!$E$1:$E$6973,"Hospital Pozon",[6]InfCualitativo!$H$1:$H$6973,"rx")</f>
        <v>0</v>
      </c>
      <c r="W33" s="30">
        <f t="shared" si="10"/>
        <v>1</v>
      </c>
      <c r="X33" s="30">
        <f t="shared" si="11"/>
        <v>0</v>
      </c>
      <c r="Y33" s="27">
        <f>COUNTIFS([6]InfCualitativo!$B$1:$B$6973,"VERDADERO",[6]InfCualitativo!$E$1:$E$6973,"Hospital Pozon",[6]InfCualitativo!$H$1:$H$6973,"ecografias")</f>
        <v>0</v>
      </c>
      <c r="Z33" s="27">
        <f>COUNTIFS([6]InfCualitativo!$B$1:$B$6973,"FALSO",[6]InfCualitativo!$E$1:$E$6973,"Hospital Pozon",[6]InfCualitativo!$H$1:$H$6973,"ecografias")</f>
        <v>0</v>
      </c>
      <c r="AA33" s="30">
        <f t="shared" si="12"/>
        <v>0</v>
      </c>
      <c r="AB33" s="30">
        <f t="shared" si="13"/>
        <v>0</v>
      </c>
      <c r="AC33" s="27">
        <f>COUNTIFS([6]InfCualitativo!$B$1:$B$6973,"VERDADERO",[6]InfCualitativo!$E$1:$E$6973,"Hospital Pozon",[6]InfCualitativo!$H$1:$H$6973,"urgencia")</f>
        <v>36</v>
      </c>
      <c r="AD33" s="27">
        <f>COUNTIFS([6]InfCualitativo!$B$1:$B$6973,"FALSO",[6]InfCualitativo!$E$1:$E$6973,"Hospital Pozon",[6]InfCualitativo!$H$1:$H$6973,"urgencia")</f>
        <v>0</v>
      </c>
      <c r="AE33" s="30">
        <f t="shared" si="14"/>
        <v>1</v>
      </c>
      <c r="AF33" s="30">
        <f t="shared" si="15"/>
        <v>0</v>
      </c>
      <c r="AG33" s="27">
        <f>COUNTIFS([6]InfCualitativo!$B$1:$B$6973,"VERDADERO",[6]InfCualitativo!$E$1:$E$6973,"Hospital Pozon",[6]InfCualitativo!$H$1:$H$6973,"pediatria")</f>
        <v>18</v>
      </c>
      <c r="AH33" s="27">
        <f>COUNTIFS([6]InfCualitativo!$B$1:$B$6973,"FALSO",[6]InfCualitativo!$E$1:$E$6973,"Hospital Pozon",[6]InfCualitativo!$H$1:$H$6973,"pediatria")</f>
        <v>0</v>
      </c>
      <c r="AI33" s="30">
        <f t="shared" si="16"/>
        <v>1</v>
      </c>
      <c r="AJ33" s="30">
        <f t="shared" si="17"/>
        <v>0</v>
      </c>
      <c r="AK33" s="27">
        <f>COUNTIFS([6]InfCualitativo!$B$1:$B$6973,"VERDADERO",[6]InfCualitativo!$E$1:$E$6973,"Hospital Pozon",[6]InfCualitativo!$H$1:$H$6973,"medicina_interna")</f>
        <v>6</v>
      </c>
      <c r="AL33" s="27">
        <f>COUNTIFS([6]InfCualitativo!$B$1:$B$6973,"FALSO",[6]InfCualitativo!$E$1:$E$6973,"Hospital Pozon",[6]InfCualitativo!$H$1:$H$6973,"medicina_interna")</f>
        <v>0</v>
      </c>
      <c r="AM33" s="30">
        <f t="shared" si="18"/>
        <v>1</v>
      </c>
      <c r="AN33" s="30">
        <f t="shared" si="19"/>
        <v>0</v>
      </c>
      <c r="AO33" s="27">
        <f>COUNTIFS([6]InfCualitativo!$B$1:$B$6973,"VERDADERO",[6]InfCualitativo!$E$1:$E$6973,"Hospital Pozon",[6]InfCualitativo!$H$1:$H$6973,"ginecologia")</f>
        <v>18</v>
      </c>
      <c r="AP33" s="27">
        <f>COUNTIFS([6]InfCualitativo!$B$1:$B$6973,"FALSO",[6]InfCualitativo!$E$1:$E$6973,"Hospital Pozon",[6]InfCualitativo!$H$1:$H$6973,"ginecologia")</f>
        <v>0</v>
      </c>
      <c r="AQ33" s="30">
        <f t="shared" si="20"/>
        <v>1</v>
      </c>
      <c r="AR33" s="30">
        <f t="shared" si="21"/>
        <v>0</v>
      </c>
      <c r="AS33" s="27">
        <f t="shared" ref="AS33" si="25">SUM(E33+I33+M33+Q33+U33+Y33+AC33+AG33+AK33+AO33)</f>
        <v>222</v>
      </c>
      <c r="AT33" s="27">
        <f t="shared" si="22"/>
        <v>0</v>
      </c>
      <c r="AU33" s="32">
        <f t="shared" si="23"/>
        <v>1</v>
      </c>
      <c r="AV33" s="32">
        <f t="shared" si="24"/>
        <v>0</v>
      </c>
    </row>
    <row r="34" spans="1:48" ht="18.75" x14ac:dyDescent="0.3">
      <c r="A34" s="26" t="s">
        <v>54</v>
      </c>
      <c r="B34" s="27">
        <v>105</v>
      </c>
      <c r="C34" s="27">
        <f t="shared" si="1"/>
        <v>105</v>
      </c>
      <c r="D34" s="28">
        <f t="shared" si="0"/>
        <v>100</v>
      </c>
      <c r="E34" s="29">
        <f>COUNTIFS([6]InfCualitativo!$B$1:$B$6973,"VERDADERO",[6]InfCualitativo!$E$1:$E$6973,"Pozon",[6]InfCualitativo!$H$1:$H$6973,"consulta_externa")</f>
        <v>34</v>
      </c>
      <c r="F34" s="29">
        <f>COUNTIFS([6]InfCualitativo!$B$1:$B$6973,"FALSO",[6]InfCualitativo!$E$1:$E$6973,"Pozon",[6]InfCualitativo!$H$1:$H$6973,"consulta_externa")</f>
        <v>1</v>
      </c>
      <c r="G34" s="30">
        <f t="shared" si="2"/>
        <v>0.97142857142857142</v>
      </c>
      <c r="H34" s="30">
        <f t="shared" si="3"/>
        <v>2.8571428571428571E-2</v>
      </c>
      <c r="I34" s="27">
        <f>COUNTIFS([6]InfCualitativo!$B$1:$B$6973,"VERDADERO",[6]InfCualitativo!$E$1:$E$6973,"Pozon",[6]InfCualitativo!$H$1:$H$6973,"salud_oral")</f>
        <v>35</v>
      </c>
      <c r="J34" s="27">
        <f>COUNTIFS([6]InfCualitativo!$B$1:$B$6973,"FALSO",[6]InfCualitativo!$E$1:$E$6973,"Pozon",[6]InfCualitativo!$H$1:$H$6973,"salud_oral")</f>
        <v>0</v>
      </c>
      <c r="K34" s="30">
        <f t="shared" si="4"/>
        <v>1</v>
      </c>
      <c r="L34" s="30">
        <f t="shared" si="5"/>
        <v>0</v>
      </c>
      <c r="M34" s="27">
        <f>COUNTIFS([6]InfCualitativo!$B$1:$B$6973,"VERDADERO",[6]InfCualitativo!$E$1:$E$6973,"Pozon",[6]InfCualitativo!$H$1:$H$6973,"laboratorio")</f>
        <v>35</v>
      </c>
      <c r="N34" s="27">
        <f>COUNTIFS([6]InfCualitativo!$B$1:$B$6973,"FALSO",[6]InfCualitativo!$E$1:$E$6973,"Pozon",[6]InfCualitativo!$H$1:$H$6973,"laboratorio")</f>
        <v>0</v>
      </c>
      <c r="O34" s="30">
        <f t="shared" si="6"/>
        <v>1</v>
      </c>
      <c r="P34" s="31">
        <f t="shared" si="7"/>
        <v>0</v>
      </c>
      <c r="Q34" s="27">
        <f>COUNTIFS([6]InfCualitativo!$B$1:$B$6973,"VERDADERO",[6]InfCualitativo!$E$1:$E$6973,"Pozon",[6]InfCualitativo!$H$1:$H$6973,"electros")</f>
        <v>0</v>
      </c>
      <c r="R34" s="27">
        <f>COUNTIFS([6]InfCualitativo!$B$1:$B$6973,"FALSO",[6]InfCualitativo!$E$1:$E$6973,"Pozon",[6]InfCualitativo!$H$1:$H$6973,"electros")</f>
        <v>0</v>
      </c>
      <c r="S34" s="30">
        <f t="shared" si="8"/>
        <v>0</v>
      </c>
      <c r="T34" s="30">
        <f t="shared" si="9"/>
        <v>0</v>
      </c>
      <c r="U34" s="27">
        <f>COUNTIFS([6]InfCualitativo!$B$1:$B$6973,"VERDADERO",[6]InfCualitativo!$E$1:$E$6973,"Pozon",[6]InfCualitativo!$H$1:$H$6973,"rx")</f>
        <v>0</v>
      </c>
      <c r="V34" s="27">
        <f>COUNTIFS([6]InfCualitativo!$B$1:$B$6973,"FALSO",[6]InfCualitativo!$E$1:$E$6973,"Pozon",[6]InfCualitativo!$H$1:$H$6973,"rx")</f>
        <v>0</v>
      </c>
      <c r="W34" s="30">
        <f t="shared" si="10"/>
        <v>0</v>
      </c>
      <c r="X34" s="30">
        <f t="shared" si="11"/>
        <v>0</v>
      </c>
      <c r="Y34" s="27">
        <f>COUNTIFS([6]InfCualitativo!$B$1:$B$6973,"VERDADERO",[6]InfCualitativo!$E$1:$E$6973,"Pozon",[6]InfCualitativo!$H$1:$H$6973,"ecografias")</f>
        <v>0</v>
      </c>
      <c r="Z34" s="27">
        <f>COUNTIFS([6]InfCualitativo!$B$1:$B$6973,"FALSO",[6]InfCualitativo!$E$1:$E$6973,"Pozon",[6]InfCualitativo!$H$1:$H$6973,"ecografias")</f>
        <v>0</v>
      </c>
      <c r="AA34" s="30">
        <f t="shared" si="12"/>
        <v>0</v>
      </c>
      <c r="AB34" s="30">
        <f t="shared" si="13"/>
        <v>0</v>
      </c>
      <c r="AC34" s="27">
        <f>COUNTIFS([6]InfCualitativo!$B$1:$B$6973,"VERDADERO",[6]InfCualitativo!$E$1:$E$6973,"Pozon",[6]InfCualitativo!$H$1:$H$6973,"urgencia")</f>
        <v>0</v>
      </c>
      <c r="AD34" s="27">
        <f>COUNTIFS([6]InfCualitativo!$B$1:$B$6973,"FALSO",[6]InfCualitativo!$E$1:$E$6973,"Pozon",[6]InfCualitativo!$H$1:$H$6973,"urgencia")</f>
        <v>0</v>
      </c>
      <c r="AE34" s="30">
        <f t="shared" si="14"/>
        <v>0</v>
      </c>
      <c r="AF34" s="30">
        <f t="shared" si="15"/>
        <v>0</v>
      </c>
      <c r="AG34" s="27">
        <f>COUNTIFS([6]InfCualitativo!$B$1:$B$6973,"VERDADERO",[6]InfCualitativo!$E$1:$E$6973,"Pozon",[6]InfCualitativo!$H$1:$H$6973,"pediatria")</f>
        <v>0</v>
      </c>
      <c r="AH34" s="27">
        <f>COUNTIFS([6]InfCualitativo!$B$1:$B$6973,"FALSO",[6]InfCualitativo!$E$1:$E$6973,"Pozon",[6]InfCualitativo!$H$1:$H$6973,"pediatria")</f>
        <v>0</v>
      </c>
      <c r="AI34" s="30">
        <f t="shared" si="16"/>
        <v>0</v>
      </c>
      <c r="AJ34" s="30">
        <f t="shared" si="17"/>
        <v>0</v>
      </c>
      <c r="AK34" s="27">
        <f>COUNTIFS([6]InfCualitativo!$B$1:$B$6973,"VERDADERO",[6]InfCualitativo!$E$1:$E$6973,"Pozon",[6]InfCualitativo!$H$1:$H$6973,"medicina_interna")</f>
        <v>0</v>
      </c>
      <c r="AL34" s="27">
        <f>COUNTIFS([6]InfCualitativo!$B$1:$B$6973,"FALSO",[6]InfCualitativo!$E$1:$E$6973,"Pozon",[6]InfCualitativo!$H$1:$H$6973,"medicina_interna")</f>
        <v>0</v>
      </c>
      <c r="AM34" s="30">
        <f t="shared" si="18"/>
        <v>0</v>
      </c>
      <c r="AN34" s="30">
        <f t="shared" si="19"/>
        <v>0</v>
      </c>
      <c r="AO34" s="27">
        <f>COUNTIFS([6]InfCualitativo!$B$1:$B$6973,"VERDADERO",[6]InfCualitativo!$E$1:$E$6973,"Pozon",[6]InfCualitativo!$H$1:$H$6973,"ginecologia")</f>
        <v>0</v>
      </c>
      <c r="AP34" s="27">
        <f>COUNTIFS([6]InfCualitativo!$B$1:$B$6973,"FALSO",[6]InfCualitativo!$E$1:$E$6973,"Pozon",[6]InfCualitativo!$H$1:$H$6973,"ginecologia")</f>
        <v>0</v>
      </c>
      <c r="AQ34" s="30">
        <f t="shared" si="20"/>
        <v>0</v>
      </c>
      <c r="AR34" s="30">
        <f t="shared" si="21"/>
        <v>0</v>
      </c>
      <c r="AS34" s="27">
        <f t="shared" si="22"/>
        <v>104</v>
      </c>
      <c r="AT34" s="27">
        <f t="shared" si="22"/>
        <v>1</v>
      </c>
      <c r="AU34" s="32">
        <f t="shared" si="23"/>
        <v>0.99047619047619051</v>
      </c>
      <c r="AV34" s="32">
        <f t="shared" si="24"/>
        <v>9.5238095238095247E-3</v>
      </c>
    </row>
    <row r="35" spans="1:48" ht="18.75" x14ac:dyDescent="0.3">
      <c r="A35" s="26" t="s">
        <v>55</v>
      </c>
      <c r="B35" s="27">
        <v>51</v>
      </c>
      <c r="C35" s="27">
        <f t="shared" si="1"/>
        <v>49</v>
      </c>
      <c r="D35" s="28">
        <f t="shared" si="0"/>
        <v>96.078431372549019</v>
      </c>
      <c r="E35" s="29">
        <f>COUNTIFS([6]InfCualitativo!$B$1:$B$6973,"VERDADERO",[6]InfCualitativo!$E$1:$E$6973,"Puerto Rey",[6]InfCualitativo!$H$1:$H$6973,"consulta_externa")</f>
        <v>25</v>
      </c>
      <c r="F35" s="29">
        <f>COUNTIFS([6]InfCualitativo!$B$1:$B$6973,"FALSO",[6]InfCualitativo!$E$1:$E$6973,"Puerto Rey",[6]InfCualitativo!$H$1:$H$6973,"consulta_externa")</f>
        <v>0</v>
      </c>
      <c r="G35" s="30">
        <f t="shared" si="2"/>
        <v>1</v>
      </c>
      <c r="H35" s="30">
        <f t="shared" si="3"/>
        <v>0</v>
      </c>
      <c r="I35" s="27">
        <f>COUNTIFS([6]InfCualitativo!$B$1:$B$6973,"VERDADERO",[6]InfCualitativo!$E$1:$E$6973,"Puerto Rey",[6]InfCualitativo!$H$1:$H$6973,"salud_oral")</f>
        <v>22</v>
      </c>
      <c r="J35" s="27">
        <f>COUNTIFS([6]InfCualitativo!$B$1:$B$6973,"FALSO",[6]InfCualitativo!$E$1:$E$6973,"Puerto Rey",[6]InfCualitativo!$H$1:$H$6973,"salud_oral")</f>
        <v>0</v>
      </c>
      <c r="K35" s="30">
        <f t="shared" si="4"/>
        <v>1</v>
      </c>
      <c r="L35" s="30">
        <f t="shared" si="5"/>
        <v>0</v>
      </c>
      <c r="M35" s="27">
        <f>COUNTIFS([6]InfCualitativo!$B$1:$B$6973,"VERDADERO",[6]InfCualitativo!$E$1:$E$6973,"Puerto Rey",[6]InfCualitativo!$H$1:$H$6973,"laboratorio")</f>
        <v>2</v>
      </c>
      <c r="N35" s="27">
        <f>COUNTIFS([6]InfCualitativo!$B$1:$B$6973,"FALSO",[6]InfCualitativo!$E$1:$E$6973,"Puerto Rey",[6]InfCualitativo!$H$1:$H$6973,"laboratorio")</f>
        <v>0</v>
      </c>
      <c r="O35" s="30">
        <f t="shared" si="6"/>
        <v>1</v>
      </c>
      <c r="P35" s="31">
        <f t="shared" si="7"/>
        <v>0</v>
      </c>
      <c r="Q35" s="27">
        <f>COUNTIFS([6]InfCualitativo!$B$1:$B$6973,"VERDADERO",[6]InfCualitativo!$E$1:$E$6973,"Puerto Rey",[6]InfCualitativo!$H$1:$H$6973,"electros")</f>
        <v>0</v>
      </c>
      <c r="R35" s="27">
        <f>COUNTIFS([6]InfCualitativo!$B$1:$B$6973,"FALSO",[6]InfCualitativo!$E$1:$E$6973,"Puerto Rey",[6]InfCualitativo!$H$1:$H$6973,"electros")</f>
        <v>0</v>
      </c>
      <c r="S35" s="30">
        <f t="shared" si="8"/>
        <v>0</v>
      </c>
      <c r="T35" s="30">
        <f t="shared" si="9"/>
        <v>0</v>
      </c>
      <c r="U35" s="27">
        <f>COUNTIFS([6]InfCualitativo!$B$1:$B$6973,"VERDADERO",[6]InfCualitativo!$E$1:$E$6973,"Puerto Rey",[6]InfCualitativo!$H$1:$H$6973,"rx")</f>
        <v>0</v>
      </c>
      <c r="V35" s="27">
        <f>COUNTIFS([6]InfCualitativo!$B$1:$B$6973,"FALSO",[6]InfCualitativo!$E$1:$E$6973,"Puerto Rey",[6]InfCualitativo!$H$1:$H$6973,"rx")</f>
        <v>0</v>
      </c>
      <c r="W35" s="30">
        <f t="shared" si="10"/>
        <v>0</v>
      </c>
      <c r="X35" s="30">
        <f t="shared" si="11"/>
        <v>0</v>
      </c>
      <c r="Y35" s="27">
        <f>COUNTIFS([6]InfCualitativo!$B$1:$B$6973,"VERDADERO",[6]InfCualitativo!$E$1:$E$6973,"Puerto Rey",[6]InfCualitativo!$H$1:$H$6973,"ecografias")</f>
        <v>0</v>
      </c>
      <c r="Z35" s="27">
        <f>COUNTIFS([6]InfCualitativo!$B$1:$B$6973,"FALSO",[6]InfCualitativo!$E$1:$E$6973,"Puerto Rey",[6]InfCualitativo!$H$1:$H$6973,"ecografias")</f>
        <v>0</v>
      </c>
      <c r="AA35" s="30">
        <f t="shared" si="12"/>
        <v>0</v>
      </c>
      <c r="AB35" s="30">
        <f t="shared" si="13"/>
        <v>0</v>
      </c>
      <c r="AC35" s="27">
        <f>COUNTIFS([6]InfCualitativo!$B$1:$B$6973,"VERDADERO",[6]InfCualitativo!$E$1:$E$6973,"Puerto Rey",[6]InfCualitativo!$H$1:$H$6973,"urgencia")</f>
        <v>0</v>
      </c>
      <c r="AD35" s="27">
        <f>COUNTIFS([6]InfCualitativo!$B$1:$B$6973,"FALSO",[6]InfCualitativo!$E$1:$E$6973,"Puerto Rey",[6]InfCualitativo!$H$1:$H$6973,"urgencia")</f>
        <v>0</v>
      </c>
      <c r="AE35" s="30">
        <f t="shared" si="14"/>
        <v>0</v>
      </c>
      <c r="AF35" s="30">
        <f t="shared" si="15"/>
        <v>0</v>
      </c>
      <c r="AG35" s="27">
        <f>COUNTIFS([6]InfCualitativo!$B$1:$B$6973,"VERDADERO",[6]InfCualitativo!$E$1:$E$6973,"Puerto Rey",[6]InfCualitativo!$H$1:$H$6973,"pediatria")</f>
        <v>0</v>
      </c>
      <c r="AH35" s="27">
        <f>COUNTIFS([6]InfCualitativo!$B$1:$B$6973,"FALSO",[6]InfCualitativo!$E$1:$E$6973,"Puerto Rey",[6]InfCualitativo!$H$1:$H$6973,"pediatria")</f>
        <v>0</v>
      </c>
      <c r="AI35" s="30">
        <f t="shared" si="16"/>
        <v>0</v>
      </c>
      <c r="AJ35" s="30">
        <f t="shared" si="17"/>
        <v>0</v>
      </c>
      <c r="AK35" s="27">
        <f>COUNTIFS([6]InfCualitativo!$B$1:$B$6973,"VERDADERO",[6]InfCualitativo!$E$1:$E$6973,"Puerto Rey",[6]InfCualitativo!$H$1:$H$6973,"medicina_interna")</f>
        <v>0</v>
      </c>
      <c r="AL35" s="27">
        <f>COUNTIFS([6]InfCualitativo!$B$1:$B$6973,"FALSO",[6]InfCualitativo!$E$1:$E$6973,"Puerto Rey",[6]InfCualitativo!$H$1:$H$6973,"medicina_interna")</f>
        <v>0</v>
      </c>
      <c r="AM35" s="30">
        <f t="shared" si="18"/>
        <v>0</v>
      </c>
      <c r="AN35" s="30">
        <f t="shared" si="19"/>
        <v>0</v>
      </c>
      <c r="AO35" s="27">
        <f>COUNTIFS([6]InfCualitativo!$B$1:$B$6973,"VERDADERO",[6]InfCualitativo!$E$1:$E$6973,"Puerto Rey",[6]InfCualitativo!$H$1:$H$6973,"ginecologia")</f>
        <v>0</v>
      </c>
      <c r="AP35" s="27">
        <f>COUNTIFS([6]InfCualitativo!$B$1:$B$6973,"FALSO",[6]InfCualitativo!$E$1:$E$6973,"Puerto Rey",[6]InfCualitativo!$H$1:$H$6973,"ginecologia")</f>
        <v>0</v>
      </c>
      <c r="AQ35" s="30">
        <f t="shared" si="20"/>
        <v>0</v>
      </c>
      <c r="AR35" s="30">
        <f t="shared" si="21"/>
        <v>0</v>
      </c>
      <c r="AS35" s="27">
        <f t="shared" si="22"/>
        <v>49</v>
      </c>
      <c r="AT35" s="27">
        <f t="shared" si="22"/>
        <v>0</v>
      </c>
      <c r="AU35" s="32">
        <f t="shared" si="23"/>
        <v>1</v>
      </c>
      <c r="AV35" s="32">
        <f t="shared" si="24"/>
        <v>0</v>
      </c>
    </row>
    <row r="36" spans="1:48" ht="18.75" x14ac:dyDescent="0.3">
      <c r="A36" s="26" t="s">
        <v>56</v>
      </c>
      <c r="B36" s="27">
        <v>40</v>
      </c>
      <c r="C36" s="27">
        <f t="shared" si="1"/>
        <v>40</v>
      </c>
      <c r="D36" s="28">
        <f t="shared" si="0"/>
        <v>100</v>
      </c>
      <c r="E36" s="29">
        <f>COUNTIFS([6]InfCualitativo!$B$1:$B$6973,"VERDADERO",[6]InfCualitativo!$E$1:$E$6973,"Punta Arena",[6]InfCualitativo!$H$1:$H$6973,"consulta_externa")</f>
        <v>18</v>
      </c>
      <c r="F36" s="29">
        <f>COUNTIFS([6]InfCualitativo!$B$1:$B$6973,"FALSO",[6]InfCualitativo!$E$1:$E$6973,"Punta Arena",[6]InfCualitativo!$H$1:$H$6973,"consulta_externa")</f>
        <v>0</v>
      </c>
      <c r="G36" s="30">
        <f t="shared" si="2"/>
        <v>1</v>
      </c>
      <c r="H36" s="30">
        <f t="shared" si="3"/>
        <v>0</v>
      </c>
      <c r="I36" s="27">
        <f>COUNTIFS([6]InfCualitativo!$B$1:$B$6973,"VERDADERO",[6]InfCualitativo!$E$1:$E$6973,"Punta Arena",[6]InfCualitativo!$H$1:$H$6973,"salud_oral")</f>
        <v>12</v>
      </c>
      <c r="J36" s="27">
        <f>COUNTIFS([6]InfCualitativo!$B$1:$B$6973,"FALSO",[6]InfCualitativo!$E$1:$E$6973,"Punta Arena",[6]InfCualitativo!$H$1:$H$6973,"salud_oral")</f>
        <v>0</v>
      </c>
      <c r="K36" s="30">
        <f t="shared" si="4"/>
        <v>1</v>
      </c>
      <c r="L36" s="30">
        <f t="shared" si="5"/>
        <v>0</v>
      </c>
      <c r="M36" s="27">
        <f>COUNTIFS([6]InfCualitativo!$B$1:$B$6973,"VERDADERO",[6]InfCualitativo!$E$1:$E$6973,"Punta Arena",[6]InfCualitativo!$H$1:$H$6973,"laboratorio")</f>
        <v>9</v>
      </c>
      <c r="N36" s="27">
        <f>COUNTIFS([6]InfCualitativo!$B$1:$B$6973,"FALSO",[6]InfCualitativo!$E$1:$E$6973,"Punta Arena",[6]InfCualitativo!$H$1:$H$6973,"laboratorio")</f>
        <v>1</v>
      </c>
      <c r="O36" s="30">
        <f t="shared" si="6"/>
        <v>0.9</v>
      </c>
      <c r="P36" s="31">
        <f t="shared" si="7"/>
        <v>0.1</v>
      </c>
      <c r="Q36" s="27">
        <f>COUNTIFS([6]InfCualitativo!$B$1:$B$6973,"VERDADERO",[6]InfCualitativo!$E$1:$E$6973,"Punta Arena",[6]InfCualitativo!$H$1:$H$6973,"electros")</f>
        <v>0</v>
      </c>
      <c r="R36" s="27">
        <f>COUNTIFS([6]InfCualitativo!$B$1:$B$6973,"FALSO",[6]InfCualitativo!$E$1:$E$6973,"Punta Arena",[6]InfCualitativo!$H$1:$H$6973,"electros")</f>
        <v>0</v>
      </c>
      <c r="S36" s="30">
        <f t="shared" si="8"/>
        <v>0</v>
      </c>
      <c r="T36" s="30">
        <f t="shared" si="9"/>
        <v>0</v>
      </c>
      <c r="U36" s="27">
        <f>COUNTIFS([6]InfCualitativo!$B$1:$B$6973,"VERDADERO",[6]InfCualitativo!$E$1:$E$6973,"Punta Arena",[6]InfCualitativo!$H$1:$H$6973,"rx")</f>
        <v>0</v>
      </c>
      <c r="V36" s="27">
        <f>COUNTIFS([6]InfCualitativo!$B$1:$B$6973,"FALSO",[6]InfCualitativo!$E$1:$E$6973,"Punta Arena",[6]InfCualitativo!$H$1:$H$6973,"rx")</f>
        <v>0</v>
      </c>
      <c r="W36" s="30">
        <f t="shared" si="10"/>
        <v>0</v>
      </c>
      <c r="X36" s="30">
        <f t="shared" si="11"/>
        <v>0</v>
      </c>
      <c r="Y36" s="27">
        <f>COUNTIFS([6]InfCualitativo!$B$1:$B$6973,"VERDADERO",[6]InfCualitativo!$E$1:$E$6973,"Punta Arena",[6]InfCualitativo!$H$1:$H$6973,"ecografias")</f>
        <v>0</v>
      </c>
      <c r="Z36" s="27">
        <f>COUNTIFS([6]InfCualitativo!$B$1:$B$6973,"FALSO",[6]InfCualitativo!$E$1:$E$6973,"Punta Arena",[6]InfCualitativo!$H$1:$H$6973,"ecografias")</f>
        <v>0</v>
      </c>
      <c r="AA36" s="30">
        <f t="shared" si="12"/>
        <v>0</v>
      </c>
      <c r="AB36" s="30">
        <f t="shared" si="13"/>
        <v>0</v>
      </c>
      <c r="AC36" s="27">
        <f>COUNTIFS([6]InfCualitativo!$B$1:$B$6973,"VERDADERO",[6]InfCualitativo!$E$1:$E$6973,"Punta Arena",[6]InfCualitativo!$H$1:$H$6973,"urgencia")</f>
        <v>0</v>
      </c>
      <c r="AD36" s="27">
        <f>COUNTIFS([6]InfCualitativo!$B$1:$B$6973,"FALSO",[6]InfCualitativo!$E$1:$E$6973,"Punta Arena",[6]InfCualitativo!$H$1:$H$6973,"urgencia")</f>
        <v>0</v>
      </c>
      <c r="AE36" s="30">
        <f t="shared" si="14"/>
        <v>0</v>
      </c>
      <c r="AF36" s="30">
        <f t="shared" si="15"/>
        <v>0</v>
      </c>
      <c r="AG36" s="27">
        <f>COUNTIFS([6]InfCualitativo!$B$1:$B$6973,"VERDADERO",[6]InfCualitativo!$E$1:$E$6973,"Punta Arena",[6]InfCualitativo!$H$1:$H$6973,"pediatria")</f>
        <v>0</v>
      </c>
      <c r="AH36" s="27">
        <f>COUNTIFS([6]InfCualitativo!$B$1:$B$6973,"FALSO",[6]InfCualitativo!$E$1:$E$6973,"Punta Arena",[6]InfCualitativo!$H$1:$H$6973,"pediatria")</f>
        <v>0</v>
      </c>
      <c r="AI36" s="30">
        <f t="shared" si="16"/>
        <v>0</v>
      </c>
      <c r="AJ36" s="30">
        <f t="shared" si="17"/>
        <v>0</v>
      </c>
      <c r="AK36" s="27">
        <f>COUNTIFS([6]InfCualitativo!$B$1:$B$6973,"VERDADERO",[6]InfCualitativo!$E$1:$E$6973,"Punta Arena",[6]InfCualitativo!$H$1:$H$6973,"medicina_interna")</f>
        <v>0</v>
      </c>
      <c r="AL36" s="27">
        <f>COUNTIFS([6]InfCualitativo!$B$1:$B$6973,"FALSO",[6]InfCualitativo!$E$1:$E$6973,"Punta Arena",[6]InfCualitativo!$H$1:$H$6973,"medicina_interna")</f>
        <v>0</v>
      </c>
      <c r="AM36" s="30">
        <f t="shared" si="18"/>
        <v>0</v>
      </c>
      <c r="AN36" s="30">
        <f t="shared" si="19"/>
        <v>0</v>
      </c>
      <c r="AO36" s="27">
        <f>COUNTIFS([6]InfCualitativo!$B$1:$B$6973,"VERDADERO",[6]InfCualitativo!$E$1:$E$6973,"Punta Arena",[6]InfCualitativo!$H$1:$H$6973,"ginecologia")</f>
        <v>0</v>
      </c>
      <c r="AP36" s="27">
        <f>COUNTIFS([6]InfCualitativo!$B$1:$B$6973,"FALSO",[6]InfCualitativo!$E$1:$E$6973,"Punta Arena",[6]InfCualitativo!$H$1:$H$6973,"ginecologia")</f>
        <v>0</v>
      </c>
      <c r="AQ36" s="30">
        <f t="shared" si="20"/>
        <v>0</v>
      </c>
      <c r="AR36" s="30">
        <f t="shared" si="21"/>
        <v>0</v>
      </c>
      <c r="AS36" s="27">
        <f t="shared" si="22"/>
        <v>39</v>
      </c>
      <c r="AT36" s="27">
        <f t="shared" si="22"/>
        <v>1</v>
      </c>
      <c r="AU36" s="32">
        <f t="shared" si="23"/>
        <v>0.97499999999999998</v>
      </c>
      <c r="AV36" s="32">
        <f t="shared" si="24"/>
        <v>2.5000000000000001E-2</v>
      </c>
    </row>
    <row r="37" spans="1:48" ht="18.75" x14ac:dyDescent="0.3">
      <c r="A37" s="26" t="s">
        <v>57</v>
      </c>
      <c r="B37" s="27">
        <v>64</v>
      </c>
      <c r="C37" s="27">
        <f t="shared" si="1"/>
        <v>64</v>
      </c>
      <c r="D37" s="28">
        <f t="shared" si="0"/>
        <v>100</v>
      </c>
      <c r="E37" s="29">
        <f>COUNTIFS([6]InfCualitativo!$B$1:$B$6973,"VERDADERO",[6]InfCualitativo!$E$1:$E$6973,"Punta Canoa",[6]InfCualitativo!$H$1:$H$6973,"consulta_externa")</f>
        <v>27</v>
      </c>
      <c r="F37" s="29">
        <f>COUNTIFS([6]InfCualitativo!$B$1:$B$6973,"FALSO",[6]InfCualitativo!$E$1:$E$6973,"Punta Canoa",[6]InfCualitativo!$H$1:$H$6973,"consulta_externa")</f>
        <v>0</v>
      </c>
      <c r="G37" s="30">
        <f t="shared" si="2"/>
        <v>1</v>
      </c>
      <c r="H37" s="30">
        <f t="shared" si="3"/>
        <v>0</v>
      </c>
      <c r="I37" s="27">
        <f>COUNTIFS([6]InfCualitativo!$B$1:$B$6973,"VERDADERO",[6]InfCualitativo!$E$1:$E$6973,"Punta Canoa",[6]InfCualitativo!$H$1:$H$6973,"salud_oral")</f>
        <v>19</v>
      </c>
      <c r="J37" s="27">
        <f>COUNTIFS([6]InfCualitativo!$B$1:$B$6973,"FALSO",[6]InfCualitativo!$E$1:$E$6973,"Punta Canoa",[6]InfCualitativo!$H$1:$H$6973,"salud_oral")</f>
        <v>0</v>
      </c>
      <c r="K37" s="30">
        <f t="shared" si="4"/>
        <v>1</v>
      </c>
      <c r="L37" s="30">
        <f t="shared" si="5"/>
        <v>0</v>
      </c>
      <c r="M37" s="27">
        <f>COUNTIFS([6]InfCualitativo!$B$1:$B$6973,"VERDADERO",[6]InfCualitativo!$E$1:$E$6973,"Punta Canoa",[6]InfCualitativo!$H$1:$H$6973,"laboratorio")</f>
        <v>18</v>
      </c>
      <c r="N37" s="27">
        <f>COUNTIFS([6]InfCualitativo!$B$1:$B$6973,"FALSO",[6]InfCualitativo!$E$1:$E$6973,"Punta Canoa",[6]InfCualitativo!$H$1:$H$6973,"laboratorio")</f>
        <v>0</v>
      </c>
      <c r="O37" s="30">
        <f t="shared" si="6"/>
        <v>1</v>
      </c>
      <c r="P37" s="31">
        <f t="shared" si="7"/>
        <v>0</v>
      </c>
      <c r="Q37" s="27">
        <f>COUNTIFS([6]InfCualitativo!$B$1:$B$6973,"VERDADERO",[6]InfCualitativo!$E$1:$E$6973,"Punta Canoa",[6]InfCualitativo!$H$1:$H$6973,"electros")</f>
        <v>0</v>
      </c>
      <c r="R37" s="27">
        <f>COUNTIFS([6]InfCualitativo!$B$1:$B$6973,"FALSO",[6]InfCualitativo!$E$1:$E$6973,"Punta Canoa",[6]InfCualitativo!$H$1:$H$6973,"electros")</f>
        <v>0</v>
      </c>
      <c r="S37" s="30">
        <f t="shared" si="8"/>
        <v>0</v>
      </c>
      <c r="T37" s="30">
        <f t="shared" si="9"/>
        <v>0</v>
      </c>
      <c r="U37" s="27">
        <f>COUNTIFS([6]InfCualitativo!$B$1:$B$6973,"VERDADERO",[6]InfCualitativo!$E$1:$E$6973,"Punta Canoa",[6]InfCualitativo!$H$1:$H$6973,"rx")</f>
        <v>0</v>
      </c>
      <c r="V37" s="27">
        <f>COUNTIFS([6]InfCualitativo!$B$1:$B$6973,"FALSO",[6]InfCualitativo!$E$1:$E$6973,"Punta Canoa",[6]InfCualitativo!$H$1:$H$6973,"rx")</f>
        <v>0</v>
      </c>
      <c r="W37" s="30">
        <f t="shared" si="10"/>
        <v>0</v>
      </c>
      <c r="X37" s="30">
        <f t="shared" si="11"/>
        <v>0</v>
      </c>
      <c r="Y37" s="27">
        <f>COUNTIFS([6]InfCualitativo!$B$1:$B$6973,"VERDADERO",[6]InfCualitativo!$E$1:$E$6973,"Punta Canoa",[6]InfCualitativo!$H$1:$H$6973,"ecografias")</f>
        <v>0</v>
      </c>
      <c r="Z37" s="27">
        <f>COUNTIFS([6]InfCualitativo!$B$1:$B$6973,"FALSO",[6]InfCualitativo!$E$1:$E$6973,"Punta Canoa",[6]InfCualitativo!$H$1:$H$6973,"ecografias")</f>
        <v>0</v>
      </c>
      <c r="AA37" s="30">
        <f t="shared" si="12"/>
        <v>0</v>
      </c>
      <c r="AB37" s="30">
        <f t="shared" si="13"/>
        <v>0</v>
      </c>
      <c r="AC37" s="27">
        <f>COUNTIFS([6]InfCualitativo!$B$1:$B$6973,"VERDADERO",[6]InfCualitativo!$E$1:$E$6973,"Punta Canoa",[6]InfCualitativo!$H$1:$H$6973,"urgencia")</f>
        <v>0</v>
      </c>
      <c r="AD37" s="27">
        <f>COUNTIFS([6]InfCualitativo!$B$1:$B$6973,"FALSO",[6]InfCualitativo!$E$1:$E$6973,"Punta Canoa",[6]InfCualitativo!$H$1:$H$6973,"urgencia")</f>
        <v>0</v>
      </c>
      <c r="AE37" s="30">
        <f t="shared" si="14"/>
        <v>0</v>
      </c>
      <c r="AF37" s="30">
        <f t="shared" si="15"/>
        <v>0</v>
      </c>
      <c r="AG37" s="27">
        <f>COUNTIFS([6]InfCualitativo!$B$1:$B$6973,"VERDADERO",[6]InfCualitativo!$E$1:$E$6973,"Punta Canoa",[6]InfCualitativo!$H$1:$H$6973,"pediatria")</f>
        <v>0</v>
      </c>
      <c r="AH37" s="27">
        <f>COUNTIFS([6]InfCualitativo!$B$1:$B$6973,"FALSO",[6]InfCualitativo!$E$1:$E$6973,"Punta Canoa",[6]InfCualitativo!$H$1:$H$6973,"pediatria")</f>
        <v>0</v>
      </c>
      <c r="AI37" s="30">
        <f t="shared" si="16"/>
        <v>0</v>
      </c>
      <c r="AJ37" s="30">
        <f t="shared" si="17"/>
        <v>0</v>
      </c>
      <c r="AK37" s="27">
        <f>COUNTIFS([6]InfCualitativo!$B$1:$B$6973,"VERDADERO",[6]InfCualitativo!$E$1:$E$6973,"Punta Canoa",[6]InfCualitativo!$H$1:$H$6973,"medicina_interna")</f>
        <v>0</v>
      </c>
      <c r="AL37" s="27">
        <f>COUNTIFS([6]InfCualitativo!$B$1:$B$6973,"FALSO",[6]InfCualitativo!$E$1:$E$6973,"Punta Canoa",[6]InfCualitativo!$H$1:$H$6973,"medicina_interna")</f>
        <v>0</v>
      </c>
      <c r="AM37" s="30">
        <f t="shared" si="18"/>
        <v>0</v>
      </c>
      <c r="AN37" s="30">
        <f t="shared" si="19"/>
        <v>0</v>
      </c>
      <c r="AO37" s="27">
        <f>COUNTIFS([6]InfCualitativo!$B$1:$B$6973,"VERDADERO",[6]InfCualitativo!$E$1:$E$6973,"Punta Canoa",[6]InfCualitativo!$H$1:$H$6973,"ginecologia")</f>
        <v>0</v>
      </c>
      <c r="AP37" s="27">
        <f>COUNTIFS([6]InfCualitativo!$B$1:$B$6973,"FALSO",[6]InfCualitativo!$E$1:$E$6973,"Punta Canoa",[6]InfCualitativo!$H$1:$H$6973,"ginecologia")</f>
        <v>0</v>
      </c>
      <c r="AQ37" s="30">
        <f t="shared" si="20"/>
        <v>0</v>
      </c>
      <c r="AR37" s="30">
        <f t="shared" si="21"/>
        <v>0</v>
      </c>
      <c r="AS37" s="27">
        <f t="shared" si="22"/>
        <v>64</v>
      </c>
      <c r="AT37" s="27">
        <f t="shared" si="22"/>
        <v>0</v>
      </c>
      <c r="AU37" s="32">
        <f t="shared" si="23"/>
        <v>1</v>
      </c>
      <c r="AV37" s="32">
        <f t="shared" si="24"/>
        <v>0</v>
      </c>
    </row>
    <row r="38" spans="1:48" ht="18.75" x14ac:dyDescent="0.3">
      <c r="A38" s="26" t="s">
        <v>58</v>
      </c>
      <c r="B38" s="27">
        <v>105</v>
      </c>
      <c r="C38" s="27">
        <f t="shared" si="1"/>
        <v>105</v>
      </c>
      <c r="D38" s="28">
        <f t="shared" si="0"/>
        <v>100</v>
      </c>
      <c r="E38" s="29">
        <f>COUNTIFS([6]InfCualitativo!$B$1:$B$6973,"VERDADERO",[6]InfCualitativo!$E$1:$E$6973,"San Francisco I",[6]InfCualitativo!$H$1:$H$6973,"consulta_externa")</f>
        <v>40</v>
      </c>
      <c r="F38" s="29">
        <f>COUNTIFS([6]InfCualitativo!$B$1:$B$6973,"FALSO",[6]InfCualitativo!$E$1:$E$6973,"San Francisco I",[6]InfCualitativo!$H$1:$H$6973,"consulta_externa")</f>
        <v>0</v>
      </c>
      <c r="G38" s="30">
        <f t="shared" si="2"/>
        <v>1</v>
      </c>
      <c r="H38" s="30">
        <f t="shared" si="3"/>
        <v>0</v>
      </c>
      <c r="I38" s="27">
        <f>COUNTIFS([6]InfCualitativo!$B$1:$B$6973,"VERDADERO",[6]InfCualitativo!$E$1:$E$6973,"San Francisco I",[6]InfCualitativo!$H$1:$H$6973,"salud_oral")</f>
        <v>33</v>
      </c>
      <c r="J38" s="27">
        <f>COUNTIFS([6]InfCualitativo!$B$1:$B$6973,"FALSO",[6]InfCualitativo!$E$1:$E$6973,"San Francisco I",[6]InfCualitativo!$H$1:$H$6973,"salud_oral")</f>
        <v>0</v>
      </c>
      <c r="K38" s="30">
        <f t="shared" si="4"/>
        <v>1</v>
      </c>
      <c r="L38" s="30">
        <f t="shared" si="5"/>
        <v>0</v>
      </c>
      <c r="M38" s="27">
        <f>COUNTIFS([6]InfCualitativo!$B$1:$B$6973,"VERDADERO",[6]InfCualitativo!$E$1:$E$6973,"San Francisco I",[6]InfCualitativo!$H$1:$H$6973,"laboratorio")</f>
        <v>32</v>
      </c>
      <c r="N38" s="27">
        <f>COUNTIFS([6]InfCualitativo!$B$1:$B$6973,"FALSO",[6]InfCualitativo!$E$1:$E$6973,"San Francisco I",[6]InfCualitativo!$H$1:$H$6973,"laboratorio")</f>
        <v>0</v>
      </c>
      <c r="O38" s="30">
        <f t="shared" si="6"/>
        <v>1</v>
      </c>
      <c r="P38" s="31">
        <f t="shared" si="7"/>
        <v>0</v>
      </c>
      <c r="Q38" s="27">
        <f>COUNTIFS([6]InfCualitativo!$B$1:$B$6973,"VERDADERO",[6]InfCualitativo!$E$1:$E$6973,"San Francisco I",[6]InfCualitativo!$H$1:$H$6973,"electros")</f>
        <v>0</v>
      </c>
      <c r="R38" s="27">
        <f>COUNTIFS([6]InfCualitativo!$B$1:$B$6973,"FALSO",[6]InfCualitativo!$E$1:$E$6973,"San Francisco I",[6]InfCualitativo!$H$1:$H$6973,"electros")</f>
        <v>0</v>
      </c>
      <c r="S38" s="30">
        <f t="shared" si="8"/>
        <v>0</v>
      </c>
      <c r="T38" s="30">
        <f t="shared" si="9"/>
        <v>0</v>
      </c>
      <c r="U38" s="27">
        <f>COUNTIFS([6]InfCualitativo!$B$1:$B$6973,"VERDADERO",[6]InfCualitativo!$E$1:$E$6973,"San Francisco I",[6]InfCualitativo!$H$1:$H$6973,"rx")</f>
        <v>0</v>
      </c>
      <c r="V38" s="27">
        <f>COUNTIFS([6]InfCualitativo!$B$1:$B$6973,"FALSO",[6]InfCualitativo!$E$1:$E$6973,"San Francisco I",[6]InfCualitativo!$H$1:$H$6973,"rx")</f>
        <v>0</v>
      </c>
      <c r="W38" s="30">
        <f t="shared" si="10"/>
        <v>0</v>
      </c>
      <c r="X38" s="30">
        <f t="shared" si="11"/>
        <v>0</v>
      </c>
      <c r="Y38" s="27">
        <f>COUNTIFS([6]InfCualitativo!$B$1:$B$6973,"VERDADERO",[6]InfCualitativo!$E$1:$E$6973,"San Francisco I",[6]InfCualitativo!$H$1:$H$6973,"ecografias")</f>
        <v>0</v>
      </c>
      <c r="Z38" s="27">
        <f>COUNTIFS([6]InfCualitativo!$B$1:$B$6973,"FALSO",[6]InfCualitativo!$E$1:$E$6973,"San Francisco I",[6]InfCualitativo!$H$1:$H$6973,"ecografias")</f>
        <v>0</v>
      </c>
      <c r="AA38" s="30">
        <f t="shared" si="12"/>
        <v>0</v>
      </c>
      <c r="AB38" s="30">
        <f t="shared" si="13"/>
        <v>0</v>
      </c>
      <c r="AC38" s="27">
        <f>COUNTIFS([6]InfCualitativo!$B$1:$B$6973,"VERDADERO",[6]InfCualitativo!$E$1:$E$6973,"San Francisco I",[6]InfCualitativo!$H$1:$H$6973,"urgencia")</f>
        <v>0</v>
      </c>
      <c r="AD38" s="27">
        <f>COUNTIFS([6]InfCualitativo!$B$1:$B$6973,"FALSO",[6]InfCualitativo!$E$1:$E$6973,"San Francisco I",[6]InfCualitativo!$H$1:$H$6973,"urgencia")</f>
        <v>0</v>
      </c>
      <c r="AE38" s="30">
        <f t="shared" si="14"/>
        <v>0</v>
      </c>
      <c r="AF38" s="30">
        <f t="shared" si="15"/>
        <v>0</v>
      </c>
      <c r="AG38" s="27">
        <f>COUNTIFS([6]InfCualitativo!$B$1:$B$6973,"VERDADERO",[6]InfCualitativo!$E$1:$E$6973,"San Francisco I",[6]InfCualitativo!$H$1:$H$6973,"pediatria")</f>
        <v>0</v>
      </c>
      <c r="AH38" s="27">
        <f>COUNTIFS([6]InfCualitativo!$B$1:$B$6973,"FALSO",[6]InfCualitativo!$E$1:$E$6973,"San Francisco I",[6]InfCualitativo!$H$1:$H$6973,"pediatria")</f>
        <v>0</v>
      </c>
      <c r="AI38" s="30">
        <f t="shared" si="16"/>
        <v>0</v>
      </c>
      <c r="AJ38" s="30">
        <f t="shared" si="17"/>
        <v>0</v>
      </c>
      <c r="AK38" s="27">
        <f>COUNTIFS([6]InfCualitativo!$B$1:$B$6973,"VERDADERO",[6]InfCualitativo!$E$1:$E$6973,"San Francisco I",[6]InfCualitativo!$H$1:$H$6973,"medicina_interna")</f>
        <v>0</v>
      </c>
      <c r="AL38" s="27">
        <f>COUNTIFS([6]InfCualitativo!$B$1:$B$6973,"FALSO",[6]InfCualitativo!$E$1:$E$6973,"San Francisco I",[6]InfCualitativo!$H$1:$H$6973,"medicina_interna")</f>
        <v>0</v>
      </c>
      <c r="AM38" s="30">
        <f t="shared" si="18"/>
        <v>0</v>
      </c>
      <c r="AN38" s="30">
        <f t="shared" si="19"/>
        <v>0</v>
      </c>
      <c r="AO38" s="27">
        <f>COUNTIFS([6]InfCualitativo!$B$1:$B$6973,"VERDADERO",[6]InfCualitativo!$E$1:$E$6973,"San Francisco I",[6]InfCualitativo!$H$1:$H$6973,"ginecologia")</f>
        <v>0</v>
      </c>
      <c r="AP38" s="27">
        <f>COUNTIFS([6]InfCualitativo!$B$1:$B$6973,"FALSO",[6]InfCualitativo!$E$1:$E$6973,"San Francisco I",[6]InfCualitativo!$H$1:$H$6973,"ginecologia")</f>
        <v>0</v>
      </c>
      <c r="AQ38" s="30">
        <f t="shared" si="20"/>
        <v>0</v>
      </c>
      <c r="AR38" s="30">
        <f t="shared" si="21"/>
        <v>0</v>
      </c>
      <c r="AS38" s="27">
        <f t="shared" si="22"/>
        <v>105</v>
      </c>
      <c r="AT38" s="27">
        <f t="shared" si="22"/>
        <v>0</v>
      </c>
      <c r="AU38" s="32">
        <f t="shared" si="23"/>
        <v>1</v>
      </c>
      <c r="AV38" s="32">
        <f t="shared" si="24"/>
        <v>0</v>
      </c>
    </row>
    <row r="39" spans="1:48" ht="18.75" x14ac:dyDescent="0.3">
      <c r="A39" s="26" t="s">
        <v>59</v>
      </c>
      <c r="B39" s="27">
        <v>105</v>
      </c>
      <c r="C39" s="27">
        <f t="shared" si="1"/>
        <v>105</v>
      </c>
      <c r="D39" s="28">
        <f t="shared" si="0"/>
        <v>100</v>
      </c>
      <c r="E39" s="29">
        <f>COUNTIFS([6]InfCualitativo!$B$1:$B$6973,"VERDADERO",[6]InfCualitativo!$E$1:$E$6973,"San Pedro y Libertad",[6]InfCualitativo!$H$1:$H$6973,"consulta_externa")</f>
        <v>40</v>
      </c>
      <c r="F39" s="29">
        <f>COUNTIFS([6]InfCualitativo!$B$1:$B$6973,"FALSO",[6]InfCualitativo!$E$1:$E$6973,"San Pedro y Libertad",[6]InfCualitativo!$H$1:$H$6973,"consulta_externa")</f>
        <v>0</v>
      </c>
      <c r="G39" s="30">
        <f t="shared" si="2"/>
        <v>1</v>
      </c>
      <c r="H39" s="30">
        <f t="shared" si="3"/>
        <v>0</v>
      </c>
      <c r="I39" s="27">
        <f>COUNTIFS([6]InfCualitativo!$B$1:$B$6973,"VERDADERO",[6]InfCualitativo!$E$1:$E$6973,"San Pedro y Libertad",[6]InfCualitativo!$H$1:$H$6973,"salud_oral")</f>
        <v>33</v>
      </c>
      <c r="J39" s="27">
        <f>COUNTIFS([6]InfCualitativo!$B$1:$B$6973,"FALSO",[6]InfCualitativo!$E$1:$E$6973,"San Pedro y Libertad",[6]InfCualitativo!$H$1:$H$6973,"salud_oral")</f>
        <v>0</v>
      </c>
      <c r="K39" s="30">
        <f t="shared" si="4"/>
        <v>1</v>
      </c>
      <c r="L39" s="30">
        <f t="shared" si="5"/>
        <v>0</v>
      </c>
      <c r="M39" s="27">
        <f>COUNTIFS([6]InfCualitativo!$B$1:$B$6973,"VERDADERO",[6]InfCualitativo!$E$1:$E$6973,"San Pedro y Libertad",[6]InfCualitativo!$H$1:$H$6973,"laboratorio")</f>
        <v>32</v>
      </c>
      <c r="N39" s="27">
        <f>COUNTIFS([6]InfCualitativo!$B$1:$B$6973,"FALSO",[6]InfCualitativo!$E$1:$E$6973,"San Pedro y Libertad",[6]InfCualitativo!$H$1:$H$6973,"laboratorio")</f>
        <v>0</v>
      </c>
      <c r="O39" s="30">
        <f t="shared" si="6"/>
        <v>1</v>
      </c>
      <c r="P39" s="31">
        <f t="shared" si="7"/>
        <v>0</v>
      </c>
      <c r="Q39" s="27">
        <f>COUNTIFS([6]InfCualitativo!$B$1:$B$6973,"VERDADERO",[6]InfCualitativo!$E$1:$E$6973,"San Pedro y Libertad",[6]InfCualitativo!$H$1:$H$6973,"electros")</f>
        <v>0</v>
      </c>
      <c r="R39" s="27">
        <f>COUNTIFS([6]InfCualitativo!$B$1:$B$6973,"FALSO",[6]InfCualitativo!$E$1:$E$6973,"San Pedro y Libertad",[6]InfCualitativo!$H$1:$H$6973,"electros")</f>
        <v>0</v>
      </c>
      <c r="S39" s="30">
        <f t="shared" si="8"/>
        <v>0</v>
      </c>
      <c r="T39" s="30">
        <f t="shared" si="9"/>
        <v>0</v>
      </c>
      <c r="U39" s="27">
        <f>COUNTIFS([6]InfCualitativo!$B$1:$B$6973,"VERDADERO",[6]InfCualitativo!$E$1:$E$6973,"San Pedro y Libertad",[6]InfCualitativo!$H$1:$H$6973,"rx")</f>
        <v>0</v>
      </c>
      <c r="V39" s="27">
        <f>COUNTIFS([6]InfCualitativo!$B$1:$B$6973,"FALSO",[6]InfCualitativo!$E$1:$E$6973,"San Pedro y Libertad",[6]InfCualitativo!$H$1:$H$6973,"rx")</f>
        <v>0</v>
      </c>
      <c r="W39" s="30">
        <f t="shared" si="10"/>
        <v>0</v>
      </c>
      <c r="X39" s="30">
        <f t="shared" si="11"/>
        <v>0</v>
      </c>
      <c r="Y39" s="27">
        <f>COUNTIFS([6]InfCualitativo!$B$1:$B$6973,"VERDADERO",[6]InfCualitativo!$E$1:$E$6973,"San Pedro y Libertad",[6]InfCualitativo!$H$1:$H$6973,"ecografias")</f>
        <v>0</v>
      </c>
      <c r="Z39" s="27">
        <f>COUNTIFS([6]InfCualitativo!$B$1:$B$6973,"FALSO",[6]InfCualitativo!$E$1:$E$6973,"San Pedro y Libertad",[6]InfCualitativo!$H$1:$H$6973,"ecografias")</f>
        <v>0</v>
      </c>
      <c r="AA39" s="30">
        <f t="shared" si="12"/>
        <v>0</v>
      </c>
      <c r="AB39" s="30">
        <f t="shared" si="13"/>
        <v>0</v>
      </c>
      <c r="AC39" s="27">
        <f>COUNTIFS([6]InfCualitativo!$B$1:$B$6973,"VERDADERO",[6]InfCualitativo!$E$1:$E$6973,"San Pedro y Libertad",[6]InfCualitativo!$H$1:$H$6973,"urgencia")</f>
        <v>0</v>
      </c>
      <c r="AD39" s="27">
        <f>COUNTIFS([6]InfCualitativo!$B$1:$B$6973,"FALSO",[6]InfCualitativo!$E$1:$E$6973,"San Pedro y Libertad",[6]InfCualitativo!$H$1:$H$6973,"urgencia")</f>
        <v>0</v>
      </c>
      <c r="AE39" s="30">
        <f t="shared" si="14"/>
        <v>0</v>
      </c>
      <c r="AF39" s="30">
        <f t="shared" si="15"/>
        <v>0</v>
      </c>
      <c r="AG39" s="27">
        <f>COUNTIFS([6]InfCualitativo!$B$1:$B$6973,"VERDADERO",[6]InfCualitativo!$E$1:$E$6973,"San Pedro y Libertad",[6]InfCualitativo!$H$1:$H$6973,"pediatria")</f>
        <v>0</v>
      </c>
      <c r="AH39" s="27">
        <f>COUNTIFS([6]InfCualitativo!$B$1:$B$6973,"FALSO",[6]InfCualitativo!$E$1:$E$6973,"San Pedro y Libertad",[6]InfCualitativo!$H$1:$H$6973,"pediatria")</f>
        <v>0</v>
      </c>
      <c r="AI39" s="30">
        <f t="shared" si="16"/>
        <v>0</v>
      </c>
      <c r="AJ39" s="30">
        <f t="shared" si="17"/>
        <v>0</v>
      </c>
      <c r="AK39" s="27">
        <f>COUNTIFS([6]InfCualitativo!$B$1:$B$6973,"VERDADERO",[6]InfCualitativo!$E$1:$E$6973,"San Pedro y Libertad",[6]InfCualitativo!$H$1:$H$6973,"medicina_interna")</f>
        <v>0</v>
      </c>
      <c r="AL39" s="27">
        <f>COUNTIFS([6]InfCualitativo!$B$1:$B$6973,"FALSO",[6]InfCualitativo!$E$1:$E$6973,"San Pedro y Libertad",[6]InfCualitativo!$H$1:$H$6973,"medicina_interna")</f>
        <v>0</v>
      </c>
      <c r="AM39" s="30">
        <f t="shared" si="18"/>
        <v>0</v>
      </c>
      <c r="AN39" s="30">
        <f t="shared" si="19"/>
        <v>0</v>
      </c>
      <c r="AO39" s="27">
        <f>COUNTIFS([6]InfCualitativo!$B$1:$B$6973,"VERDADERO",[6]InfCualitativo!$E$1:$E$6973,"San Pedro y Libertad",[6]InfCualitativo!$H$1:$H$6973,"ginecologia")</f>
        <v>0</v>
      </c>
      <c r="AP39" s="27">
        <f>COUNTIFS([6]InfCualitativo!$B$1:$B$6973,"FALSO",[6]InfCualitativo!$E$1:$E$6973,"San Pedro y Libertad",[6]InfCualitativo!$H$1:$H$6973,"ginecologia")</f>
        <v>0</v>
      </c>
      <c r="AQ39" s="30">
        <f t="shared" si="20"/>
        <v>0</v>
      </c>
      <c r="AR39" s="30">
        <f t="shared" si="21"/>
        <v>0</v>
      </c>
      <c r="AS39" s="27">
        <f t="shared" si="22"/>
        <v>105</v>
      </c>
      <c r="AT39" s="27">
        <f t="shared" si="22"/>
        <v>0</v>
      </c>
      <c r="AU39" s="32">
        <f t="shared" si="23"/>
        <v>1</v>
      </c>
      <c r="AV39" s="32">
        <f t="shared" si="24"/>
        <v>0</v>
      </c>
    </row>
    <row r="40" spans="1:48" ht="18.75" x14ac:dyDescent="0.3">
      <c r="A40" s="26" t="s">
        <v>60</v>
      </c>
      <c r="B40" s="27">
        <v>99</v>
      </c>
      <c r="C40" s="27">
        <f t="shared" si="1"/>
        <v>96</v>
      </c>
      <c r="D40" s="28">
        <f t="shared" si="0"/>
        <v>96.969696969696969</v>
      </c>
      <c r="E40" s="29">
        <f>COUNTIFS([6]InfCualitativo!$B$1:$B$6973,"VERDADERO",[6]InfCualitativo!$E$1:$E$6973,"San Vicente de Paul",[6]InfCualitativo!$H$1:$H$6973,"consulta_externa")</f>
        <v>35</v>
      </c>
      <c r="F40" s="29">
        <f>COUNTIFS([6]InfCualitativo!$B$1:$B$6973,"FALSO",[6]InfCualitativo!$E$1:$E$6973,"San Vicente de Paul",[6]InfCualitativo!$H$1:$H$6973,"consulta_externa")</f>
        <v>0</v>
      </c>
      <c r="G40" s="30">
        <f t="shared" si="2"/>
        <v>1</v>
      </c>
      <c r="H40" s="30">
        <f t="shared" si="3"/>
        <v>0</v>
      </c>
      <c r="I40" s="27">
        <f>COUNTIFS([6]InfCualitativo!$B$1:$B$6973,"VERDADERO",[6]InfCualitativo!$E$1:$E$6973,"San Vicente de Paul",[6]InfCualitativo!$H$1:$H$6973,"salud_oral")</f>
        <v>32</v>
      </c>
      <c r="J40" s="27">
        <f>COUNTIFS([6]InfCualitativo!$B$1:$B$6973,"FALSO",[6]InfCualitativo!$E$1:$E$6973,"San Vicente de Paul",[6]InfCualitativo!$H$1:$H$6973,"salud_oral")</f>
        <v>0</v>
      </c>
      <c r="K40" s="30">
        <f t="shared" si="4"/>
        <v>1</v>
      </c>
      <c r="L40" s="30">
        <f t="shared" si="5"/>
        <v>0</v>
      </c>
      <c r="M40" s="27">
        <f>COUNTIFS([6]InfCualitativo!$B$1:$B$6973,"VERDADERO",[6]InfCualitativo!$E$1:$E$6973,"San Vicente de Paul",[6]InfCualitativo!$H$1:$H$6973,"laboratorio")</f>
        <v>29</v>
      </c>
      <c r="N40" s="27">
        <f>COUNTIFS([6]InfCualitativo!$B$1:$B$6973,"FALSO",[6]InfCualitativo!$E$1:$E$6973,"San Vicente de Paul",[6]InfCualitativo!$H$1:$H$6973,"laboratorio")</f>
        <v>0</v>
      </c>
      <c r="O40" s="30">
        <f t="shared" si="6"/>
        <v>1</v>
      </c>
      <c r="P40" s="31">
        <f t="shared" si="7"/>
        <v>0</v>
      </c>
      <c r="Q40" s="27">
        <f>COUNTIFS([6]InfCualitativo!$B$1:$B$6973,"VERDADERO",[6]InfCualitativo!$E$1:$E$6973,"San Vicente de Paul",[6]InfCualitativo!$H$1:$H$6973,"electros")</f>
        <v>0</v>
      </c>
      <c r="R40" s="27">
        <f>COUNTIFS([6]InfCualitativo!$B$1:$B$6973,"FALSO",[6]InfCualitativo!$E$1:$E$6973,"San Vicente de Paul",[6]InfCualitativo!$H$1:$H$6973,"electros")</f>
        <v>0</v>
      </c>
      <c r="S40" s="30">
        <f t="shared" si="8"/>
        <v>0</v>
      </c>
      <c r="T40" s="30">
        <f t="shared" si="9"/>
        <v>0</v>
      </c>
      <c r="U40" s="27">
        <f>COUNTIFS([6]InfCualitativo!$B$1:$B$6973,"VERDADERO",[6]InfCualitativo!$E$1:$E$6973,"San Vicente de Paul",[6]InfCualitativo!$H$1:$H$6973,"rx")</f>
        <v>0</v>
      </c>
      <c r="V40" s="27">
        <f>COUNTIFS([6]InfCualitativo!$B$1:$B$6973,"FALSO",[6]InfCualitativo!$E$1:$E$6973,"San Vicente de Paul",[6]InfCualitativo!$H$1:$H$6973,"rx")</f>
        <v>0</v>
      </c>
      <c r="W40" s="30">
        <f t="shared" si="10"/>
        <v>0</v>
      </c>
      <c r="X40" s="30">
        <f t="shared" si="11"/>
        <v>0</v>
      </c>
      <c r="Y40" s="27">
        <f>COUNTIFS([6]InfCualitativo!$B$1:$B$6973,"VERDADERO",[6]InfCualitativo!$E$1:$E$6973,"San Vicente de Paul",[6]InfCualitativo!$H$1:$H$6973,"ecografias")</f>
        <v>0</v>
      </c>
      <c r="Z40" s="27">
        <f>COUNTIFS([6]InfCualitativo!$B$1:$B$6973,"FALSO",[6]InfCualitativo!$E$1:$E$6973,"San Vicente de Paul",[6]InfCualitativo!$H$1:$H$6973,"ecografias")</f>
        <v>0</v>
      </c>
      <c r="AA40" s="30">
        <f t="shared" si="12"/>
        <v>0</v>
      </c>
      <c r="AB40" s="30">
        <f t="shared" si="13"/>
        <v>0</v>
      </c>
      <c r="AC40" s="27">
        <f>COUNTIFS([6]InfCualitativo!$B$1:$B$6973,"VERDADERO",[6]InfCualitativo!$E$1:$E$6973,"San Vicente de Paul",[6]InfCualitativo!$H$1:$H$6973,"urgencia")</f>
        <v>0</v>
      </c>
      <c r="AD40" s="27">
        <f>COUNTIFS([6]InfCualitativo!$B$1:$B$6973,"FALSO",[6]InfCualitativo!$E$1:$E$6973,"San Vicente de Paul",[6]InfCualitativo!$H$1:$H$6973,"urgencia")</f>
        <v>0</v>
      </c>
      <c r="AE40" s="30">
        <f t="shared" si="14"/>
        <v>0</v>
      </c>
      <c r="AF40" s="30">
        <f t="shared" si="15"/>
        <v>0</v>
      </c>
      <c r="AG40" s="27">
        <f>COUNTIFS([6]InfCualitativo!$B$1:$B$6973,"VERDADERO",[6]InfCualitativo!$E$1:$E$6973,"San Vicente de Paul",[6]InfCualitativo!$H$1:$H$6973,"pediatria")</f>
        <v>0</v>
      </c>
      <c r="AH40" s="27">
        <f>COUNTIFS([6]InfCualitativo!$B$1:$B$6973,"FALSO",[6]InfCualitativo!$E$1:$E$6973,"San Vicente de Paul",[6]InfCualitativo!$H$1:$H$6973,"pediatria")</f>
        <v>0</v>
      </c>
      <c r="AI40" s="30">
        <f t="shared" si="16"/>
        <v>0</v>
      </c>
      <c r="AJ40" s="30">
        <f t="shared" si="17"/>
        <v>0</v>
      </c>
      <c r="AK40" s="27">
        <f>COUNTIFS([6]InfCualitativo!$B$1:$B$6973,"VERDADERO",[6]InfCualitativo!$E$1:$E$6973,"San Vicente de Paul",[6]InfCualitativo!$H$1:$H$6973,"medicina_interna")</f>
        <v>0</v>
      </c>
      <c r="AL40" s="27">
        <f>COUNTIFS([6]InfCualitativo!$B$1:$B$6973,"FALSO",[6]InfCualitativo!$E$1:$E$6973,"San Vicente de Paul",[6]InfCualitativo!$H$1:$H$6973,"medicina_interna")</f>
        <v>0</v>
      </c>
      <c r="AM40" s="30">
        <f t="shared" si="18"/>
        <v>0</v>
      </c>
      <c r="AN40" s="30">
        <f t="shared" si="19"/>
        <v>0</v>
      </c>
      <c r="AO40" s="27">
        <f>COUNTIFS([6]InfCualitativo!$B$1:$B$6973,"VERDADERO",[6]InfCualitativo!$E$1:$E$6973,"San Vicente de Paul",[6]InfCualitativo!$H$1:$H$6973,"ginecologia")</f>
        <v>0</v>
      </c>
      <c r="AP40" s="27">
        <f>COUNTIFS([6]InfCualitativo!$B$1:$B$6973,"FALSO",[6]InfCualitativo!$E$1:$E$6973,"San Vicente de Paul",[6]InfCualitativo!$H$1:$H$6973,"ginecologia")</f>
        <v>0</v>
      </c>
      <c r="AQ40" s="30">
        <f t="shared" si="20"/>
        <v>0</v>
      </c>
      <c r="AR40" s="30">
        <f t="shared" si="21"/>
        <v>0</v>
      </c>
      <c r="AS40" s="27">
        <f t="shared" si="22"/>
        <v>96</v>
      </c>
      <c r="AT40" s="27">
        <f t="shared" si="22"/>
        <v>0</v>
      </c>
      <c r="AU40" s="32">
        <f t="shared" si="23"/>
        <v>1</v>
      </c>
      <c r="AV40" s="32">
        <f t="shared" si="24"/>
        <v>0</v>
      </c>
    </row>
    <row r="41" spans="1:48" ht="18.75" x14ac:dyDescent="0.3">
      <c r="A41" s="26" t="s">
        <v>61</v>
      </c>
      <c r="B41" s="27">
        <v>123</v>
      </c>
      <c r="C41" s="27">
        <f t="shared" si="1"/>
        <v>117</v>
      </c>
      <c r="D41" s="28">
        <f t="shared" si="0"/>
        <v>95.121951219512198</v>
      </c>
      <c r="E41" s="29">
        <f>COUNTIFS([6]InfCualitativo!$B$1:$B$6973,"VERDADERO",[6]InfCualitativo!$E$1:$E$6973,"Socorro",[6]InfCualitativo!$H$1:$H$6973,"consulta_externa")</f>
        <v>31</v>
      </c>
      <c r="F41" s="29">
        <f>COUNTIFS([6]InfCualitativo!$B$1:$B$6973,"FALSO",[6]InfCualitativo!$E$1:$E$6973,"Socorro",[6]InfCualitativo!$H$1:$H$6973,"consulta_externa")</f>
        <v>2</v>
      </c>
      <c r="G41" s="30">
        <f t="shared" si="2"/>
        <v>0.93939393939393945</v>
      </c>
      <c r="H41" s="30">
        <f t="shared" si="3"/>
        <v>6.0606060606060608E-2</v>
      </c>
      <c r="I41" s="27">
        <f>COUNTIFS([6]InfCualitativo!$B$1:$B$6973,"VERDADERO",[6]InfCualitativo!$E$1:$E$6973,"Socorro",[6]InfCualitativo!$H$1:$H$6973,"salud_oral")</f>
        <v>26</v>
      </c>
      <c r="J41" s="27">
        <f>COUNTIFS([6]InfCualitativo!$B$1:$B$6973,"FALSO",[6]InfCualitativo!$E$1:$E$6973,"Socorro",[6]InfCualitativo!$H$1:$H$6973,"salud_oral")</f>
        <v>5</v>
      </c>
      <c r="K41" s="30">
        <f t="shared" si="4"/>
        <v>0.83870967741935487</v>
      </c>
      <c r="L41" s="30">
        <f t="shared" si="5"/>
        <v>0.16129032258064516</v>
      </c>
      <c r="M41" s="27">
        <f>COUNTIFS([6]InfCualitativo!$B$1:$B$6973,"VERDADERO",[6]InfCualitativo!$E$1:$E$6973,"Socorro",[6]InfCualitativo!$H$1:$H$6973,"laboratorio")</f>
        <v>36</v>
      </c>
      <c r="N41" s="27">
        <f>COUNTIFS([6]InfCualitativo!$B$1:$B$6973,"FALSO",[6]InfCualitativo!$E$1:$E$6973,"Socorro",[6]InfCualitativo!$H$1:$H$6973,"laboratorio")</f>
        <v>0</v>
      </c>
      <c r="O41" s="30">
        <f t="shared" si="6"/>
        <v>1</v>
      </c>
      <c r="P41" s="31">
        <f t="shared" si="7"/>
        <v>0</v>
      </c>
      <c r="Q41" s="27">
        <f>COUNTIFS([6]InfCualitativo!$B$1:$B$6973,"VERDADERO",[6]InfCualitativo!$E$1:$E$6973,"Socorro",[6]InfCualitativo!$H$1:$H$6973,"electros")</f>
        <v>0</v>
      </c>
      <c r="R41" s="27">
        <f>COUNTIFS([6]InfCualitativo!$B$1:$B$6973,"FALSO",[6]InfCualitativo!$E$1:$E$6973,"Socorro",[6]InfCualitativo!$H$1:$H$6973,"electros")</f>
        <v>0</v>
      </c>
      <c r="S41" s="30">
        <f t="shared" si="8"/>
        <v>0</v>
      </c>
      <c r="T41" s="30">
        <f t="shared" si="9"/>
        <v>0</v>
      </c>
      <c r="U41" s="27">
        <f>COUNTIFS([6]InfCualitativo!$B$1:$B$6973,"VERDADERO",[6]InfCualitativo!$E$1:$E$6973,"Socorro",[6]InfCualitativo!$H$1:$H$6973,"rx")</f>
        <v>0</v>
      </c>
      <c r="V41" s="27">
        <f>COUNTIFS([6]InfCualitativo!$B$1:$B$6973,"FALSO",[6]InfCualitativo!$E$1:$E$6973,"Socorro",[6]InfCualitativo!$H$1:$H$6973,"rx")</f>
        <v>0</v>
      </c>
      <c r="W41" s="30">
        <f t="shared" si="10"/>
        <v>0</v>
      </c>
      <c r="X41" s="30">
        <f t="shared" si="11"/>
        <v>0</v>
      </c>
      <c r="Y41" s="27">
        <f>COUNTIFS([6]InfCualitativo!$B$1:$B$6973,"VERDADERO",[6]InfCualitativo!$E$1:$E$6973,"Socorro",[6]InfCualitativo!$H$1:$H$6973,"ecografias")</f>
        <v>16</v>
      </c>
      <c r="Z41" s="27">
        <f>COUNTIFS([6]InfCualitativo!$B$1:$B$6973,"FALSO",[6]InfCualitativo!$E$1:$E$6973,"Socorro",[6]InfCualitativo!$H$1:$H$6973,"ecografias")</f>
        <v>1</v>
      </c>
      <c r="AA41" s="30">
        <f t="shared" si="12"/>
        <v>0.94117647058823528</v>
      </c>
      <c r="AB41" s="30">
        <f t="shared" si="13"/>
        <v>5.8823529411764705E-2</v>
      </c>
      <c r="AC41" s="27">
        <f>COUNTIFS([6]InfCualitativo!$B$1:$B$6973,"VERDADERO",[6]InfCualitativo!$E$1:$E$6973,"Socorro",[6]InfCualitativo!$H$1:$H$6973,"urgencia")</f>
        <v>0</v>
      </c>
      <c r="AD41" s="27">
        <f>COUNTIFS([6]InfCualitativo!$B$1:$B$6973,"FALSO",[6]InfCualitativo!$E$1:$E$6973,"Socorro",[6]InfCualitativo!$H$1:$H$6973,"urgencia")</f>
        <v>0</v>
      </c>
      <c r="AE41" s="30">
        <f t="shared" si="14"/>
        <v>0</v>
      </c>
      <c r="AF41" s="30">
        <f t="shared" si="15"/>
        <v>0</v>
      </c>
      <c r="AG41" s="27">
        <f>COUNTIFS([6]InfCualitativo!$B$1:$B$6973,"VERDADERO",[6]InfCualitativo!$E$1:$E$6973,"Socorro",[6]InfCualitativo!$H$1:$H$6973,"pediatria")</f>
        <v>0</v>
      </c>
      <c r="AH41" s="27">
        <f>COUNTIFS([6]InfCualitativo!$B$1:$B$6973,"FALSO",[6]InfCualitativo!$E$1:$E$6973,"Socorro",[6]InfCualitativo!$H$1:$H$6973,"pediatria")</f>
        <v>0</v>
      </c>
      <c r="AI41" s="30">
        <f t="shared" si="16"/>
        <v>0</v>
      </c>
      <c r="AJ41" s="30">
        <f t="shared" si="17"/>
        <v>0</v>
      </c>
      <c r="AK41" s="27">
        <f>COUNTIFS([6]InfCualitativo!$B$1:$B$6973,"VERDADERO",[6]InfCualitativo!$E$1:$E$6973,"Socorro",[6]InfCualitativo!$H$1:$H$6973,"medicina_interna")</f>
        <v>0</v>
      </c>
      <c r="AL41" s="27">
        <f>COUNTIFS([6]InfCualitativo!$B$1:$B$6973,"FALSO",[6]InfCualitativo!$E$1:$E$6973,"Socorro",[6]InfCualitativo!$H$1:$H$6973,"medicina_interna")</f>
        <v>0</v>
      </c>
      <c r="AM41" s="30">
        <f t="shared" si="18"/>
        <v>0</v>
      </c>
      <c r="AN41" s="30">
        <f t="shared" si="19"/>
        <v>0</v>
      </c>
      <c r="AO41" s="27">
        <f>COUNTIFS([6]InfCualitativo!$B$1:$B$6973,"VERDADERO",[6]InfCualitativo!$E$1:$E$6973,"Socorro",[6]InfCualitativo!$H$1:$H$6973,"ginecologia")</f>
        <v>0</v>
      </c>
      <c r="AP41" s="27">
        <f>COUNTIFS([6]InfCualitativo!$B$1:$B$6973,"FALSO",[6]InfCualitativo!$E$1:$E$6973,"Socorro",[6]InfCualitativo!$H$1:$H$6973,"ginecologia")</f>
        <v>0</v>
      </c>
      <c r="AQ41" s="30">
        <f t="shared" si="20"/>
        <v>0</v>
      </c>
      <c r="AR41" s="30">
        <f t="shared" si="21"/>
        <v>0</v>
      </c>
      <c r="AS41" s="27">
        <f t="shared" si="22"/>
        <v>109</v>
      </c>
      <c r="AT41" s="27">
        <f t="shared" si="22"/>
        <v>8</v>
      </c>
      <c r="AU41" s="32">
        <f t="shared" si="23"/>
        <v>0.93162393162393164</v>
      </c>
      <c r="AV41" s="32">
        <f t="shared" si="24"/>
        <v>6.8376068376068383E-2</v>
      </c>
    </row>
    <row r="42" spans="1:48" ht="18.75" x14ac:dyDescent="0.3">
      <c r="A42" s="26" t="s">
        <v>62</v>
      </c>
      <c r="B42" s="27">
        <v>105</v>
      </c>
      <c r="C42" s="27">
        <f t="shared" si="1"/>
        <v>103</v>
      </c>
      <c r="D42" s="28">
        <f t="shared" si="0"/>
        <v>98.095238095238102</v>
      </c>
      <c r="E42" s="29">
        <f>COUNTIFS([6]InfCualitativo!$B$1:$B$6973,"VERDADERO",[6]InfCualitativo!$E$1:$E$6973,"Ternera",[6]InfCualitativo!$H$1:$H$6973,"consulta_externa")</f>
        <v>35</v>
      </c>
      <c r="F42" s="29">
        <f>COUNTIFS([6]InfCualitativo!$B$1:$B$6973,"FALSO",[6]InfCualitativo!$E$1:$E$6973,"Ternera",[6]InfCualitativo!$H$1:$H$6973,"consulta_externa")</f>
        <v>1</v>
      </c>
      <c r="G42" s="30">
        <f t="shared" si="2"/>
        <v>0.97222222222222221</v>
      </c>
      <c r="H42" s="30">
        <f t="shared" si="3"/>
        <v>2.7777777777777776E-2</v>
      </c>
      <c r="I42" s="27">
        <f>COUNTIFS([6]InfCualitativo!$B$1:$B$6973,"VERDADERO",[6]InfCualitativo!$E$1:$E$6973,"Ternera",[6]InfCualitativo!$H$1:$H$6973,"salud_oral")</f>
        <v>32</v>
      </c>
      <c r="J42" s="27">
        <f>COUNTIFS([6]InfCualitativo!$B$1:$B$6973,"FALSO",[6]InfCualitativo!$E$1:$E$6973,"Ternera",[6]InfCualitativo!$H$1:$H$6973,"salud_oral")</f>
        <v>2</v>
      </c>
      <c r="K42" s="30">
        <f t="shared" si="4"/>
        <v>0.94117647058823528</v>
      </c>
      <c r="L42" s="30">
        <f t="shared" si="5"/>
        <v>5.8823529411764705E-2</v>
      </c>
      <c r="M42" s="27">
        <f>COUNTIFS([6]InfCualitativo!$B$1:$B$6973,"VERDADERO",[6]InfCualitativo!$E$1:$E$6973,"Ternera",[6]InfCualitativo!$H$1:$H$6973,"laboratorio")</f>
        <v>28</v>
      </c>
      <c r="N42" s="27">
        <f>COUNTIFS([6]InfCualitativo!$B$1:$B$6973,"FALSO",[6]InfCualitativo!$E$1:$E$6973,"Ternera",[6]InfCualitativo!$H$1:$H$6973,"laboratorio")</f>
        <v>5</v>
      </c>
      <c r="O42" s="30">
        <f t="shared" si="6"/>
        <v>0.84848484848484851</v>
      </c>
      <c r="P42" s="31">
        <f t="shared" si="7"/>
        <v>0.15151515151515152</v>
      </c>
      <c r="Q42" s="27">
        <f>COUNTIFS([6]InfCualitativo!$B$1:$B$6973,"VERDADERO",[6]InfCualitativo!$E$1:$E$6973,"Ternera",[6]InfCualitativo!$H$1:$H$6973,"electros")</f>
        <v>0</v>
      </c>
      <c r="R42" s="27">
        <f>COUNTIFS([6]InfCualitativo!$B$1:$B$6973,"FALSO",[6]InfCualitativo!$E$1:$E$6973,"Ternera",[6]InfCualitativo!$H$1:$H$6973,"electros")</f>
        <v>0</v>
      </c>
      <c r="S42" s="30">
        <f t="shared" si="8"/>
        <v>0</v>
      </c>
      <c r="T42" s="30">
        <f t="shared" si="9"/>
        <v>0</v>
      </c>
      <c r="U42" s="27">
        <f>COUNTIFS([6]InfCualitativo!$B$1:$B$6973,"VERDADERO",[6]InfCualitativo!$E$1:$E$6973,"Ternera",[6]InfCualitativo!$H$1:$H$6973,"rx")</f>
        <v>0</v>
      </c>
      <c r="V42" s="27">
        <f>COUNTIFS([6]InfCualitativo!$B$1:$B$6973,"FALSO",[6]InfCualitativo!$E$1:$E$6973,"Ternera",[6]InfCualitativo!$H$1:$H$6973,"rx")</f>
        <v>0</v>
      </c>
      <c r="W42" s="30">
        <f t="shared" si="10"/>
        <v>0</v>
      </c>
      <c r="X42" s="30">
        <f t="shared" si="11"/>
        <v>0</v>
      </c>
      <c r="Y42" s="27">
        <f>COUNTIFS([6]InfCualitativo!$B$1:$B$6973,"VERDADERO",[6]InfCualitativo!$E$1:$E$6973,"Ternera",[6]InfCualitativo!$H$1:$H$6973,"ecografias")</f>
        <v>0</v>
      </c>
      <c r="Z42" s="27">
        <f>COUNTIFS([6]InfCualitativo!$B$1:$B$6973,"FALSO",[6]InfCualitativo!$E$1:$E$6973,"Ternera",[6]InfCualitativo!$H$1:$H$6973,"ecografias")</f>
        <v>0</v>
      </c>
      <c r="AA42" s="30">
        <f t="shared" si="12"/>
        <v>0</v>
      </c>
      <c r="AB42" s="30">
        <f t="shared" si="13"/>
        <v>0</v>
      </c>
      <c r="AC42" s="27">
        <f>COUNTIFS([6]InfCualitativo!$B$1:$B$6973,"VERDADERO",[6]InfCualitativo!$E$1:$E$6973,"Ternera",[6]InfCualitativo!$H$1:$H$6973,"urgencia")</f>
        <v>0</v>
      </c>
      <c r="AD42" s="27">
        <f>COUNTIFS([6]InfCualitativo!$B$1:$B$6973,"FALSO",[6]InfCualitativo!$E$1:$E$6973,"Ternera",[6]InfCualitativo!$H$1:$H$6973,"urgencia")</f>
        <v>0</v>
      </c>
      <c r="AE42" s="30">
        <f t="shared" si="14"/>
        <v>0</v>
      </c>
      <c r="AF42" s="30">
        <f t="shared" si="15"/>
        <v>0</v>
      </c>
      <c r="AG42" s="27">
        <f>COUNTIFS([6]InfCualitativo!$B$1:$B$6973,"VERDADERO",[6]InfCualitativo!$E$1:$E$6973,"Ternera",[6]InfCualitativo!$H$1:$H$6973,"pediatria")</f>
        <v>0</v>
      </c>
      <c r="AH42" s="27">
        <f>COUNTIFS([6]InfCualitativo!$B$1:$B$6973,"FALSO",[6]InfCualitativo!$E$1:$E$6973,"Ternera",[6]InfCualitativo!$H$1:$H$6973,"pediatria")</f>
        <v>0</v>
      </c>
      <c r="AI42" s="30">
        <f t="shared" si="16"/>
        <v>0</v>
      </c>
      <c r="AJ42" s="30">
        <f t="shared" si="17"/>
        <v>0</v>
      </c>
      <c r="AK42" s="27">
        <f>COUNTIFS([6]InfCualitativo!$B$1:$B$6973,"VERDADERO",[6]InfCualitativo!$E$1:$E$6973,"Ternera",[6]InfCualitativo!$H$1:$H$6973,"medicina_interna")</f>
        <v>0</v>
      </c>
      <c r="AL42" s="27">
        <f>COUNTIFS([6]InfCualitativo!$B$1:$B$6973,"FALSO",[6]InfCualitativo!$E$1:$E$6973,"Ternera",[6]InfCualitativo!$H$1:$H$6973,"medicina_interna")</f>
        <v>0</v>
      </c>
      <c r="AM42" s="30">
        <f t="shared" si="18"/>
        <v>0</v>
      </c>
      <c r="AN42" s="30">
        <f t="shared" si="19"/>
        <v>0</v>
      </c>
      <c r="AO42" s="27">
        <f>COUNTIFS([6]InfCualitativo!$B$1:$B$6973,"VERDADERO",[6]InfCualitativo!$E$1:$E$6973,"Ternera",[6]InfCualitativo!$H$1:$H$6973,"ginecologia")</f>
        <v>0</v>
      </c>
      <c r="AP42" s="27">
        <f>COUNTIFS([6]InfCualitativo!$B$1:$B$6973,"FALSO",[6]InfCualitativo!$E$1:$E$6973,"Ternera",[6]InfCualitativo!$H$1:$H$6973,"ginecologia")</f>
        <v>0</v>
      </c>
      <c r="AQ42" s="30">
        <f t="shared" si="20"/>
        <v>0</v>
      </c>
      <c r="AR42" s="30">
        <f t="shared" si="21"/>
        <v>0</v>
      </c>
      <c r="AS42" s="27">
        <f t="shared" si="22"/>
        <v>95</v>
      </c>
      <c r="AT42" s="27">
        <f t="shared" si="22"/>
        <v>8</v>
      </c>
      <c r="AU42" s="32">
        <f t="shared" si="23"/>
        <v>0.92233009708737868</v>
      </c>
      <c r="AV42" s="32">
        <f t="shared" si="24"/>
        <v>7.7669902912621352E-2</v>
      </c>
    </row>
    <row r="43" spans="1:48" ht="18.75" x14ac:dyDescent="0.3">
      <c r="A43" s="26" t="s">
        <v>63</v>
      </c>
      <c r="B43" s="27">
        <v>87</v>
      </c>
      <c r="C43" s="27">
        <f t="shared" si="1"/>
        <v>82</v>
      </c>
      <c r="D43" s="28">
        <f t="shared" si="0"/>
        <v>94.252873563218387</v>
      </c>
      <c r="E43" s="29">
        <f>COUNTIFS([6]InfCualitativo!$B$1:$B$6973,"VERDADERO",[6]InfCualitativo!$E$1:$E$6973,"Tierra Baja",[6]InfCualitativo!$H$1:$H$6973,"consulta_externa")</f>
        <v>29</v>
      </c>
      <c r="F43" s="29">
        <f>COUNTIFS([6]InfCualitativo!$B$1:$B$6973,"FALSO",[6]InfCualitativo!$E$1:$E$6973,"Tierra Baja",[6]InfCualitativo!$H$1:$H$6973,"consulta_externa")</f>
        <v>0</v>
      </c>
      <c r="G43" s="30">
        <f t="shared" si="2"/>
        <v>1</v>
      </c>
      <c r="H43" s="30">
        <f t="shared" si="3"/>
        <v>0</v>
      </c>
      <c r="I43" s="27">
        <f>COUNTIFS([6]InfCualitativo!$B$1:$B$6973,"VERDADERO",[6]InfCualitativo!$E$1:$E$6973,"Tierra Baja",[6]InfCualitativo!$H$1:$H$6973,"salud_oral")</f>
        <v>28</v>
      </c>
      <c r="J43" s="27">
        <f>COUNTIFS([6]InfCualitativo!$B$1:$B$6973,"FALSO",[6]InfCualitativo!$E$1:$E$6973,"Tierra Baja",[6]InfCualitativo!$H$1:$H$6973,"salud_oral")</f>
        <v>0</v>
      </c>
      <c r="K43" s="30">
        <f t="shared" si="4"/>
        <v>1</v>
      </c>
      <c r="L43" s="30">
        <f t="shared" si="5"/>
        <v>0</v>
      </c>
      <c r="M43" s="27">
        <f>COUNTIFS([6]InfCualitativo!$B$1:$B$6973,"VERDADERO",[6]InfCualitativo!$E$1:$E$6973,"Tierra Baja",[6]InfCualitativo!$H$1:$H$6973,"laboratorio")</f>
        <v>25</v>
      </c>
      <c r="N43" s="27">
        <f>COUNTIFS([6]InfCualitativo!$B$1:$B$6973,"FALSO",[6]InfCualitativo!$E$1:$E$6973,"Tierra Baja",[6]InfCualitativo!$H$1:$H$6973,"laboratorio")</f>
        <v>0</v>
      </c>
      <c r="O43" s="30">
        <f t="shared" si="6"/>
        <v>1</v>
      </c>
      <c r="P43" s="31">
        <f t="shared" si="7"/>
        <v>0</v>
      </c>
      <c r="Q43" s="27">
        <f>COUNTIFS([6]InfCualitativo!$B$1:$B$6973,"VERDADERO",[6]InfCualitativo!$E$1:$E$6973,"Tierra Baja",[6]InfCualitativo!$H$1:$H$6973,"electros")</f>
        <v>0</v>
      </c>
      <c r="R43" s="27">
        <f>COUNTIFS([6]InfCualitativo!$B$1:$B$6973,"FALSO",[6]InfCualitativo!$E$1:$E$6973,"Tierra Baja",[6]InfCualitativo!$H$1:$H$6973,"electros")</f>
        <v>0</v>
      </c>
      <c r="S43" s="30">
        <f t="shared" si="8"/>
        <v>0</v>
      </c>
      <c r="T43" s="30">
        <f t="shared" si="9"/>
        <v>0</v>
      </c>
      <c r="U43" s="27">
        <f>COUNTIFS([6]InfCualitativo!$B$1:$B$6973,"VERDADERO",[6]InfCualitativo!$E$1:$E$6973,"Tierra Baja",[6]InfCualitativo!$H$1:$H$6973,"rx")</f>
        <v>0</v>
      </c>
      <c r="V43" s="27">
        <f>COUNTIFS([6]InfCualitativo!$B$1:$B$6973,"FALSO",[6]InfCualitativo!$E$1:$E$6973,"Tierra Baja",[6]InfCualitativo!$H$1:$H$6973,"rx")</f>
        <v>0</v>
      </c>
      <c r="W43" s="30">
        <f t="shared" si="10"/>
        <v>0</v>
      </c>
      <c r="X43" s="30">
        <f t="shared" si="11"/>
        <v>0</v>
      </c>
      <c r="Y43" s="27">
        <f>COUNTIFS([6]InfCualitativo!$B$1:$B$6973,"VERDADERO",[6]InfCualitativo!$E$1:$E$6973,"Tierra Baja",[6]InfCualitativo!$H$1:$H$6973,"ecografias")</f>
        <v>0</v>
      </c>
      <c r="Z43" s="27">
        <f>COUNTIFS([6]InfCualitativo!$B$1:$B$6973,"FALSO",[6]InfCualitativo!$E$1:$E$6973,"Tierra Baja",[6]InfCualitativo!$H$1:$H$6973,"ecografias")</f>
        <v>0</v>
      </c>
      <c r="AA43" s="30">
        <f t="shared" si="12"/>
        <v>0</v>
      </c>
      <c r="AB43" s="30">
        <f t="shared" si="13"/>
        <v>0</v>
      </c>
      <c r="AC43" s="27">
        <f>COUNTIFS([6]InfCualitativo!$B$1:$B$6973,"VERDADERO",[6]InfCualitativo!$E$1:$E$6973,"Tierra Baja",[6]InfCualitativo!$H$1:$H$6973,"urgencia")</f>
        <v>0</v>
      </c>
      <c r="AD43" s="27">
        <f>COUNTIFS([6]InfCualitativo!$B$1:$B$6973,"FALSO",[6]InfCualitativo!$E$1:$E$6973,"Tierra Baja",[6]InfCualitativo!$H$1:$H$6973,"urgencia")</f>
        <v>0</v>
      </c>
      <c r="AE43" s="30">
        <f t="shared" si="14"/>
        <v>0</v>
      </c>
      <c r="AF43" s="30">
        <f t="shared" si="15"/>
        <v>0</v>
      </c>
      <c r="AG43" s="27">
        <f>COUNTIFS([6]InfCualitativo!$B$1:$B$6973,"VERDADERO",[6]InfCualitativo!$E$1:$E$6973,"Tierra Baja",[6]InfCualitativo!$H$1:$H$6973,"pediatria")</f>
        <v>0</v>
      </c>
      <c r="AH43" s="27">
        <f>COUNTIFS([6]InfCualitativo!$B$1:$B$6973,"FALSO",[6]InfCualitativo!$E$1:$E$6973,"Tierra Baja",[6]InfCualitativo!$H$1:$H$6973,"pediatria")</f>
        <v>0</v>
      </c>
      <c r="AI43" s="30">
        <f t="shared" si="16"/>
        <v>0</v>
      </c>
      <c r="AJ43" s="30">
        <f t="shared" si="17"/>
        <v>0</v>
      </c>
      <c r="AK43" s="27">
        <f>COUNTIFS([6]InfCualitativo!$B$1:$B$6973,"VERDADERO",[6]InfCualitativo!$E$1:$E$6973,"Tierra Baja",[6]InfCualitativo!$H$1:$H$6973,"medicina_interna")</f>
        <v>0</v>
      </c>
      <c r="AL43" s="27">
        <f>COUNTIFS([6]InfCualitativo!$B$1:$B$6973,"FALSO",[6]InfCualitativo!$E$1:$E$6973,"Tierra Baja",[6]InfCualitativo!$H$1:$H$6973,"medicina_interna")</f>
        <v>0</v>
      </c>
      <c r="AM43" s="30">
        <f t="shared" si="18"/>
        <v>0</v>
      </c>
      <c r="AN43" s="30">
        <f t="shared" si="19"/>
        <v>0</v>
      </c>
      <c r="AO43" s="27">
        <f>COUNTIFS([6]InfCualitativo!$B$1:$B$6973,"VERDADERO",[6]InfCualitativo!$E$1:$E$6973,"Tierra Baja",[6]InfCualitativo!$H$1:$H$6973,"ginecologia")</f>
        <v>0</v>
      </c>
      <c r="AP43" s="27">
        <f>COUNTIFS([6]InfCualitativo!$B$1:$B$6973,"FALSO",[6]InfCualitativo!$E$1:$E$6973,"Tierra Baja",[6]InfCualitativo!$H$1:$H$6973,"ginecologia")</f>
        <v>0</v>
      </c>
      <c r="AQ43" s="30">
        <f t="shared" si="20"/>
        <v>0</v>
      </c>
      <c r="AR43" s="30">
        <f t="shared" si="21"/>
        <v>0</v>
      </c>
      <c r="AS43" s="27">
        <f t="shared" si="22"/>
        <v>82</v>
      </c>
      <c r="AT43" s="27">
        <f t="shared" si="22"/>
        <v>0</v>
      </c>
      <c r="AU43" s="32">
        <f t="shared" si="23"/>
        <v>1</v>
      </c>
      <c r="AV43" s="32">
        <f t="shared" si="24"/>
        <v>0</v>
      </c>
    </row>
    <row r="44" spans="1:48" ht="18.75" x14ac:dyDescent="0.3">
      <c r="A44" s="26" t="s">
        <v>64</v>
      </c>
      <c r="B44" s="27">
        <v>54</v>
      </c>
      <c r="C44" s="27">
        <f t="shared" si="1"/>
        <v>51</v>
      </c>
      <c r="D44" s="28">
        <f t="shared" si="0"/>
        <v>94.444444444444443</v>
      </c>
      <c r="E44" s="29">
        <f>COUNTIFS([6]InfCualitativo!$B$1:$B$6973,"VERDADERO",[6]InfCualitativo!$E$1:$E$6973,"Tierra Bomba",[6]InfCualitativo!$H$1:$H$6973,"consulta_externa")</f>
        <v>18</v>
      </c>
      <c r="F44" s="29">
        <f>COUNTIFS([6]InfCualitativo!$B$1:$B$6973,"FALSO",[6]InfCualitativo!$E$1:$E$6973,"Tierra Bomba",[6]InfCualitativo!$H$1:$H$6973,"consulta_externa")</f>
        <v>0</v>
      </c>
      <c r="G44" s="30">
        <f t="shared" si="2"/>
        <v>1</v>
      </c>
      <c r="H44" s="30">
        <f t="shared" si="3"/>
        <v>0</v>
      </c>
      <c r="I44" s="27">
        <f>COUNTIFS([6]InfCualitativo!$B$1:$B$6973,"VERDADERO",[6]InfCualitativo!$E$1:$E$6973,"Tierra Bomba",[6]InfCualitativo!$H$1:$H$6973,"salud_oral")</f>
        <v>14</v>
      </c>
      <c r="J44" s="27">
        <f>COUNTIFS([6]InfCualitativo!$B$1:$B$6973,"FALSO",[6]InfCualitativo!$E$1:$E$6973,"Tierra Bomba",[6]InfCualitativo!$H$1:$H$6973,"salud_oral")</f>
        <v>0</v>
      </c>
      <c r="K44" s="30">
        <f t="shared" si="4"/>
        <v>1</v>
      </c>
      <c r="L44" s="30">
        <f t="shared" si="5"/>
        <v>0</v>
      </c>
      <c r="M44" s="27">
        <f>COUNTIFS([6]InfCualitativo!$B$1:$B$6973,"VERDADERO",[6]InfCualitativo!$E$1:$E$6973,"Tierra Bomba",[6]InfCualitativo!$H$1:$H$6973,"laboratorio")</f>
        <v>19</v>
      </c>
      <c r="N44" s="27">
        <f>COUNTIFS([6]InfCualitativo!$B$1:$B$6973,"FALSO",[6]InfCualitativo!$E$1:$E$6973,"Tierra Bomba",[6]InfCualitativo!$H$1:$H$6973,"laboratorio")</f>
        <v>0</v>
      </c>
      <c r="O44" s="30">
        <f t="shared" si="6"/>
        <v>1</v>
      </c>
      <c r="P44" s="31">
        <f t="shared" si="7"/>
        <v>0</v>
      </c>
      <c r="Q44" s="27">
        <f>COUNTIFS([6]InfCualitativo!$B$1:$B$6973,"VERDADERO",[6]InfCualitativo!$E$1:$E$6973,"Tierra Bomba",[6]InfCualitativo!$H$1:$H$6973,"electros")</f>
        <v>0</v>
      </c>
      <c r="R44" s="27">
        <f>COUNTIFS([6]InfCualitativo!$B$1:$B$6973,"FALSO",[6]InfCualitativo!$E$1:$E$6973,"Tierra Bomba",[6]InfCualitativo!$H$1:$H$6973,"electros")</f>
        <v>0</v>
      </c>
      <c r="S44" s="30">
        <f t="shared" si="8"/>
        <v>0</v>
      </c>
      <c r="T44" s="30">
        <f t="shared" si="9"/>
        <v>0</v>
      </c>
      <c r="U44" s="27">
        <f>COUNTIFS([6]InfCualitativo!$B$1:$B$6973,"VERDADERO",[6]InfCualitativo!$E$1:$E$6973,"Tierra Bomba",[6]InfCualitativo!$H$1:$H$6973,"rx")</f>
        <v>0</v>
      </c>
      <c r="V44" s="27">
        <f>COUNTIFS([6]InfCualitativo!$B$1:$B$6973,"FALSO",[6]InfCualitativo!$E$1:$E$6973,"Tierra Bomba",[6]InfCualitativo!$H$1:$H$6973,"rx")</f>
        <v>0</v>
      </c>
      <c r="W44" s="30">
        <f t="shared" si="10"/>
        <v>0</v>
      </c>
      <c r="X44" s="30">
        <f t="shared" si="11"/>
        <v>0</v>
      </c>
      <c r="Y44" s="27">
        <f>COUNTIFS([6]InfCualitativo!$B$1:$B$6973,"VERDADERO",[6]InfCualitativo!$E$1:$E$6973,"Tierra Bomba",[6]InfCualitativo!$H$1:$H$6973,"ecografias")</f>
        <v>0</v>
      </c>
      <c r="Z44" s="27">
        <f>COUNTIFS([6]InfCualitativo!$B$1:$B$6973,"FALSO",[6]InfCualitativo!$E$1:$E$6973,"Tierra Bomba",[6]InfCualitativo!$H$1:$H$6973,"ecografias")</f>
        <v>0</v>
      </c>
      <c r="AA44" s="30">
        <f t="shared" si="12"/>
        <v>0</v>
      </c>
      <c r="AB44" s="30">
        <f t="shared" si="13"/>
        <v>0</v>
      </c>
      <c r="AC44" s="27">
        <f>COUNTIFS([6]InfCualitativo!$B$1:$B$6973,"VERDADERO",[6]InfCualitativo!$E$1:$E$6973,"Tierra Bomba",[6]InfCualitativo!$H$1:$H$6973,"urgencia")</f>
        <v>0</v>
      </c>
      <c r="AD44" s="27">
        <f>COUNTIFS([6]InfCualitativo!$B$1:$B$6973,"FALSO",[6]InfCualitativo!$E$1:$E$6973,"Tierra Bomba",[6]InfCualitativo!$H$1:$H$6973,"urgencia")</f>
        <v>0</v>
      </c>
      <c r="AE44" s="30">
        <f t="shared" si="14"/>
        <v>0</v>
      </c>
      <c r="AF44" s="30">
        <f t="shared" si="15"/>
        <v>0</v>
      </c>
      <c r="AG44" s="27">
        <f>COUNTIFS([6]InfCualitativo!$B$1:$B$6973,"VERDADERO",[6]InfCualitativo!$E$1:$E$6973,"Tierra Bomba",[6]InfCualitativo!$H$1:$H$6973,"pediatria")</f>
        <v>0</v>
      </c>
      <c r="AH44" s="27">
        <f>COUNTIFS([6]InfCualitativo!$B$1:$B$6973,"FALSO",[6]InfCualitativo!$E$1:$E$6973,"Tierra Bomba",[6]InfCualitativo!$H$1:$H$6973,"pediatria")</f>
        <v>0</v>
      </c>
      <c r="AI44" s="30">
        <f t="shared" si="16"/>
        <v>0</v>
      </c>
      <c r="AJ44" s="30">
        <f t="shared" si="17"/>
        <v>0</v>
      </c>
      <c r="AK44" s="27">
        <f>COUNTIFS([6]InfCualitativo!$B$1:$B$6973,"VERDADERO",[6]InfCualitativo!$E$1:$E$6973,"Tierra Bomba",[6]InfCualitativo!$H$1:$H$6973,"medicina_interna")</f>
        <v>0</v>
      </c>
      <c r="AL44" s="27">
        <f>COUNTIFS([6]InfCualitativo!$B$1:$B$6973,"FALSO",[6]InfCualitativo!$E$1:$E$6973,"Tierra Bomba",[6]InfCualitativo!$H$1:$H$6973,"medicina_interna")</f>
        <v>0</v>
      </c>
      <c r="AM44" s="30">
        <f t="shared" si="18"/>
        <v>0</v>
      </c>
      <c r="AN44" s="30">
        <f t="shared" si="19"/>
        <v>0</v>
      </c>
      <c r="AO44" s="27">
        <f>COUNTIFS([6]InfCualitativo!$B$1:$B$6973,"VERDADERO",[6]InfCualitativo!$E$1:$E$6973,"Tierra Bomba",[6]InfCualitativo!$H$1:$H$6973,"ginecologia")</f>
        <v>0</v>
      </c>
      <c r="AP44" s="27">
        <f>COUNTIFS([6]InfCualitativo!$B$1:$B$6973,"FALSO",[6]InfCualitativo!$E$1:$E$6973,"Tierra Bomba",[6]InfCualitativo!$H$1:$H$6973,"ginecologia")</f>
        <v>0</v>
      </c>
      <c r="AQ44" s="30">
        <f t="shared" si="20"/>
        <v>0</v>
      </c>
      <c r="AR44" s="30">
        <f t="shared" si="21"/>
        <v>0</v>
      </c>
      <c r="AS44" s="27">
        <f t="shared" si="22"/>
        <v>51</v>
      </c>
      <c r="AT44" s="27">
        <f t="shared" si="22"/>
        <v>0</v>
      </c>
      <c r="AU44" s="32">
        <f t="shared" si="23"/>
        <v>1</v>
      </c>
      <c r="AV44" s="32">
        <f t="shared" si="24"/>
        <v>0</v>
      </c>
    </row>
    <row r="45" spans="1:48" ht="18.75" x14ac:dyDescent="0.3">
      <c r="A45" s="26" t="s">
        <v>65</v>
      </c>
      <c r="B45" s="27">
        <v>161</v>
      </c>
      <c r="C45" s="27">
        <f t="shared" si="1"/>
        <v>161</v>
      </c>
      <c r="D45" s="28">
        <f t="shared" si="0"/>
        <v>100</v>
      </c>
      <c r="E45" s="29">
        <f>COUNTIFS([6]InfCualitativo!$B$1:$B$6973,"VERDADERO",[6]InfCualitativo!$E$1:$E$6973,"Baru",[6]InfCualitativo!$H$1:$H$6973,"consulta_externa")</f>
        <v>67</v>
      </c>
      <c r="F45" s="29">
        <f>COUNTIFS([6]InfCualitativo!$B$1:$B$6973,"FALSO",[6]InfCualitativo!$E$1:$E$6973,"Baru",[6]InfCualitativo!$H$1:$H$6973,"consulta_externa")</f>
        <v>0</v>
      </c>
      <c r="G45" s="30">
        <f t="shared" si="2"/>
        <v>1</v>
      </c>
      <c r="H45" s="30">
        <f t="shared" si="3"/>
        <v>0</v>
      </c>
      <c r="I45" s="27">
        <f>COUNTIFS([6]InfCualitativo!$B$1:$B$6973,"VERDADERO",[6]InfCualitativo!$E$1:$E$6973,"Baru",[6]InfCualitativo!$H$1:$H$6973,"salud_oral")</f>
        <v>27</v>
      </c>
      <c r="J45" s="27">
        <f>COUNTIFS([6]InfCualitativo!$B$1:$B$6973,"FALSO",[6]InfCualitativo!$E$1:$E$6973,"Baru",[6]InfCualitativo!$H$1:$H$6973,"salud_oral")</f>
        <v>0</v>
      </c>
      <c r="K45" s="30">
        <f t="shared" si="4"/>
        <v>1</v>
      </c>
      <c r="L45" s="30">
        <f t="shared" si="5"/>
        <v>0</v>
      </c>
      <c r="M45" s="27">
        <f>COUNTIFS([6]InfCualitativo!$B$1:$B$6973,"VERDADERO",[6]InfCualitativo!$E$1:$E$6973,"Baru",[6]InfCualitativo!$H$1:$H$6973,"laboratorio")</f>
        <v>66</v>
      </c>
      <c r="N45" s="27">
        <f>COUNTIFS([6]InfCualitativo!$B$1:$B$6973,"FALSO",[6]InfCualitativo!$E$1:$E$6973,"Baru",[6]InfCualitativo!$H$1:$H$6973,"laboratorio")</f>
        <v>0</v>
      </c>
      <c r="O45" s="30">
        <f t="shared" si="6"/>
        <v>1</v>
      </c>
      <c r="P45" s="31">
        <f t="shared" si="7"/>
        <v>0</v>
      </c>
      <c r="Q45" s="27">
        <f>COUNTIFS([6]InfCualitativo!$B$1:$B$6973,"VERDADERO",[6]InfCualitativo!$E$1:$E$6973,"Baru",[6]InfCualitativo!$H$1:$H$6973,"electros")</f>
        <v>0</v>
      </c>
      <c r="R45" s="27">
        <f>COUNTIFS([6]InfCualitativo!$B$1:$B$6973,"FALSO",[6]InfCualitativo!$E$1:$E$6973,"Baru",[6]InfCualitativo!$H$1:$H$6973,"electros")</f>
        <v>0</v>
      </c>
      <c r="S45" s="30">
        <f t="shared" si="8"/>
        <v>0</v>
      </c>
      <c r="T45" s="30">
        <f t="shared" si="9"/>
        <v>0</v>
      </c>
      <c r="U45" s="27">
        <f>COUNTIFS([6]InfCualitativo!$B$1:$B$6973,"VERDADERO",[6]InfCualitativo!$E$1:$E$6973,"Baru",[6]InfCualitativo!$H$1:$H$6973,"rx")</f>
        <v>0</v>
      </c>
      <c r="V45" s="27">
        <f>COUNTIFS([6]InfCualitativo!$B$1:$B$6973,"FALSO",[6]InfCualitativo!$E$1:$E$6973,"Baru",[6]InfCualitativo!$H$1:$H$6973,"rx")</f>
        <v>0</v>
      </c>
      <c r="W45" s="30">
        <f t="shared" si="10"/>
        <v>0</v>
      </c>
      <c r="X45" s="30">
        <f t="shared" si="11"/>
        <v>0</v>
      </c>
      <c r="Y45" s="27">
        <f>COUNTIFS([6]InfCualitativo!$B$1:$B$6973,"VERDADERO",[6]InfCualitativo!$E$1:$E$6973,"Baru",[6]InfCualitativo!$H$1:$H$6973,"ecografias")</f>
        <v>0</v>
      </c>
      <c r="Z45" s="27">
        <f>COUNTIFS([6]InfCualitativo!$B$1:$B$6973,"FALSO",[6]InfCualitativo!$E$1:$E$6973,"Baru",[6]InfCualitativo!$H$1:$H$6973,"ecografias")</f>
        <v>0</v>
      </c>
      <c r="AA45" s="30">
        <f>IFERROR(Y45/(Y45+Z45),0)</f>
        <v>0</v>
      </c>
      <c r="AB45" s="30">
        <f>IFERROR(Z45/(Y45+Z45),0)</f>
        <v>0</v>
      </c>
      <c r="AC45" s="27">
        <f>COUNTIFS([6]InfCualitativo!$B$1:$B$6973,"VERDADERO",[6]InfCualitativo!$E$1:$E$6973,"Baru",[6]InfCualitativo!$H$1:$H$6973,"urgencia")</f>
        <v>1</v>
      </c>
      <c r="AD45" s="27">
        <f>COUNTIFS([6]InfCualitativo!$B$1:$B$6973,"FALSO",[6]InfCualitativo!$E$1:$E$6973,"Baru",[6]InfCualitativo!$H$1:$H$6973,"urgencia")</f>
        <v>0</v>
      </c>
      <c r="AE45" s="30">
        <f t="shared" si="14"/>
        <v>1</v>
      </c>
      <c r="AF45" s="30">
        <f t="shared" si="15"/>
        <v>0</v>
      </c>
      <c r="AG45" s="27">
        <f>COUNTIFS([6]InfCualitativo!$B$1:$B$6973,"VERDADERO",[6]InfCualitativo!$E$1:$E$6973,"Baru",[6]InfCualitativo!$H$1:$H$6973,"pediatria")</f>
        <v>0</v>
      </c>
      <c r="AH45" s="27">
        <f>COUNTIFS([6]InfCualitativo!$B$1:$B$6973,"FALSO",[6]InfCualitativo!$E$1:$E$6973,"Baru",[6]InfCualitativo!$H$1:$H$6973,"pediatria")</f>
        <v>0</v>
      </c>
      <c r="AI45" s="30">
        <f t="shared" si="16"/>
        <v>0</v>
      </c>
      <c r="AJ45" s="30">
        <f t="shared" si="17"/>
        <v>0</v>
      </c>
      <c r="AK45" s="27">
        <f>COUNTIFS([6]InfCualitativo!$B$1:$B$6973,"VERDADERO",[6]InfCualitativo!$E$1:$E$6973,"Baru",[6]InfCualitativo!$H$1:$H$6973,"medicina_interna")</f>
        <v>0</v>
      </c>
      <c r="AL45" s="27">
        <f>COUNTIFS([6]InfCualitativo!$B$1:$B$6973,"FALSO",[6]InfCualitativo!$E$1:$E$6973,"Baru",[6]InfCualitativo!$H$1:$H$6973,"medicina_interna")</f>
        <v>0</v>
      </c>
      <c r="AM45" s="30">
        <f t="shared" si="18"/>
        <v>0</v>
      </c>
      <c r="AN45" s="30">
        <f t="shared" si="19"/>
        <v>0</v>
      </c>
      <c r="AO45" s="27">
        <f>COUNTIFS([6]InfCualitativo!$B$1:$B$6973,"VERDADERO",[6]InfCualitativo!$E$1:$E$6973,"Baru",[6]InfCualitativo!$H$1:$H$6973,"ginecologia")</f>
        <v>0</v>
      </c>
      <c r="AP45" s="27">
        <f>COUNTIFS([6]InfCualitativo!$B$1:$B$6973,"FALSO",[6]InfCualitativo!$E$1:$E$6973,"Baru",[6]InfCualitativo!$H$1:$H$6973,"ginecologia")</f>
        <v>0</v>
      </c>
      <c r="AQ45" s="30">
        <f t="shared" si="20"/>
        <v>0</v>
      </c>
      <c r="AR45" s="30">
        <f t="shared" si="21"/>
        <v>0</v>
      </c>
      <c r="AS45" s="27">
        <f t="shared" si="22"/>
        <v>161</v>
      </c>
      <c r="AT45" s="27">
        <f t="shared" si="22"/>
        <v>0</v>
      </c>
      <c r="AU45" s="32">
        <f t="shared" si="23"/>
        <v>1</v>
      </c>
      <c r="AV45" s="32">
        <f t="shared" si="24"/>
        <v>0</v>
      </c>
    </row>
    <row r="46" spans="1:48" ht="18.75" x14ac:dyDescent="0.3">
      <c r="A46" s="26" t="s">
        <v>66</v>
      </c>
      <c r="B46" s="27">
        <v>69</v>
      </c>
      <c r="C46" s="27">
        <f t="shared" si="1"/>
        <v>69</v>
      </c>
      <c r="D46" s="28">
        <f t="shared" si="0"/>
        <v>100</v>
      </c>
      <c r="E46" s="29">
        <f>COUNTIFS([6]InfCualitativo!$B$1:$B$6973,"VERDADERO",[6]InfCualitativo!$E$1:$E$6973,"Isla Fuerte",[6]InfCualitativo!$H$1:$H$6973,"consulta_externa")</f>
        <v>32</v>
      </c>
      <c r="F46" s="29">
        <f>COUNTIFS([6]InfCualitativo!$B$1:$B$6973,"FALSO",[6]InfCualitativo!$E$1:$E$6973,"Isla Fuerte",[6]InfCualitativo!$H$1:$H$6973,"consulta_externa")</f>
        <v>0</v>
      </c>
      <c r="G46" s="30">
        <f t="shared" si="2"/>
        <v>1</v>
      </c>
      <c r="H46" s="30">
        <f t="shared" si="3"/>
        <v>0</v>
      </c>
      <c r="I46" s="27">
        <f>COUNTIFS([6]InfCualitativo!$B$1:$B$6973,"VERDADERO",[6]InfCualitativo!$E$1:$E$6973,"Isla Fuerte",[6]InfCualitativo!$H$1:$H$6973,"salud_oral")</f>
        <v>11</v>
      </c>
      <c r="J46" s="27">
        <f>COUNTIFS([6]InfCualitativo!$B$1:$B$6973,"FALSO",[6]InfCualitativo!$E$1:$E$6973,"Isla Fuerte",[6]InfCualitativo!$H$1:$H$6973,"salud_oral")</f>
        <v>0</v>
      </c>
      <c r="K46" s="30">
        <f t="shared" si="4"/>
        <v>1</v>
      </c>
      <c r="L46" s="30">
        <f t="shared" si="5"/>
        <v>0</v>
      </c>
      <c r="M46" s="27">
        <f>COUNTIFS([6]InfCualitativo!$B$1:$B$6973,"VERDADERO",[6]InfCualitativo!$E$1:$E$6973,"Isla Fuerte",[6]InfCualitativo!$H$1:$H$6973,"laboratorio")</f>
        <v>26</v>
      </c>
      <c r="N46" s="27">
        <f>COUNTIFS([6]InfCualitativo!$B$1:$B$6973,"FALSO",[6]InfCualitativo!$E$1:$E$6973,"Isla Fuerte",[6]InfCualitativo!$H$1:$H$6973,"laboratorio")</f>
        <v>0</v>
      </c>
      <c r="O46" s="30">
        <f t="shared" si="6"/>
        <v>1</v>
      </c>
      <c r="P46" s="31">
        <f t="shared" si="7"/>
        <v>0</v>
      </c>
      <c r="Q46" s="27">
        <f>COUNTIFS([6]InfCualitativo!$B$1:$B$6973,"VERDADERO",[6]InfCualitativo!$E$1:$E$6973,"Isla Fuerte",[6]InfCualitativo!$H$1:$H$6973,"electros")</f>
        <v>0</v>
      </c>
      <c r="R46" s="27">
        <f>COUNTIFS([6]InfCualitativo!$B$1:$B$6973,"FALSO",[6]InfCualitativo!$E$1:$E$6973,"Isla Fuerte",[6]InfCualitativo!$H$1:$H$6973,"electros")</f>
        <v>0</v>
      </c>
      <c r="S46" s="30">
        <f t="shared" si="8"/>
        <v>0</v>
      </c>
      <c r="T46" s="30">
        <f t="shared" si="9"/>
        <v>0</v>
      </c>
      <c r="U46" s="27">
        <f>COUNTIFS([6]InfCualitativo!$B$1:$B$6973,"VERDADERO",[6]InfCualitativo!$E$1:$E$6973,"Isla Fuerte",[6]InfCualitativo!$H$1:$H$6973,"rx")</f>
        <v>0</v>
      </c>
      <c r="V46" s="27">
        <f>COUNTIFS([6]InfCualitativo!$B$1:$B$6973,"FALSO",[6]InfCualitativo!$E$1:$E$6973,"Isla Fuerte",[6]InfCualitativo!$H$1:$H$6973,"rx")</f>
        <v>0</v>
      </c>
      <c r="W46" s="30">
        <f t="shared" si="10"/>
        <v>0</v>
      </c>
      <c r="X46" s="30">
        <f t="shared" si="11"/>
        <v>0</v>
      </c>
      <c r="Y46" s="27">
        <f>COUNTIFS([6]InfCualitativo!$B$1:$B$6973,"VERDADERO",[6]InfCualitativo!$E$1:$E$6973,"Isla Fuerte",[6]InfCualitativo!$H$1:$H$6973,"ecografias")</f>
        <v>0</v>
      </c>
      <c r="Z46" s="27">
        <f>COUNTIFS([6]InfCualitativo!$B$1:$B$6973,"FALSO",[6]InfCualitativo!$E$1:$E$6973,"Isla Fuerte",[6]InfCualitativo!$H$1:$H$6973,"ecografias")</f>
        <v>0</v>
      </c>
      <c r="AA46" s="30">
        <f>IFERROR(Y46/(Y46+Z46),0)</f>
        <v>0</v>
      </c>
      <c r="AB46" s="30">
        <f>IFERROR(Z46/(Y46+Z46),0)</f>
        <v>0</v>
      </c>
      <c r="AC46" s="27">
        <f>COUNTIFS([6]InfCualitativo!$B$1:$B$6973,"VERDADERO",[6]InfCualitativo!$E$1:$E$6973,"Isla Fuerte",[6]InfCualitativo!$H$1:$H$6973,"urgencia")</f>
        <v>0</v>
      </c>
      <c r="AD46" s="27">
        <f>COUNTIFS([6]InfCualitativo!$B$1:$B$6973,"FALSO",[6]InfCualitativo!$E$1:$E$6973,"Isla Fuerte",[6]InfCualitativo!$H$1:$H$6973,"urgencia")</f>
        <v>0</v>
      </c>
      <c r="AE46" s="30">
        <f t="shared" si="14"/>
        <v>0</v>
      </c>
      <c r="AF46" s="30">
        <f t="shared" si="15"/>
        <v>0</v>
      </c>
      <c r="AG46" s="27">
        <f>COUNTIFS([6]InfCualitativo!$B$1:$B$6973,"VERDADERO",[6]InfCualitativo!$E$1:$E$6973,"Isla Fuerte",[6]InfCualitativo!$H$1:$H$6973,"pediatria")</f>
        <v>0</v>
      </c>
      <c r="AH46" s="27">
        <f>COUNTIFS([6]InfCualitativo!$B$1:$B$6973,"FALSO",[6]InfCualitativo!$E$1:$E$6973,"Isla Fuerte",[6]InfCualitativo!$H$1:$H$6973,"pediatria")</f>
        <v>0</v>
      </c>
      <c r="AI46" s="30">
        <f t="shared" si="16"/>
        <v>0</v>
      </c>
      <c r="AJ46" s="30">
        <f t="shared" si="17"/>
        <v>0</v>
      </c>
      <c r="AK46" s="27">
        <f>COUNTIFS([6]InfCualitativo!$B$1:$B$6973,"VERDADERO",[6]InfCualitativo!$E$1:$E$6973,"Isla Fuerte",[6]InfCualitativo!$H$1:$H$6973,"medicina_interna")</f>
        <v>0</v>
      </c>
      <c r="AL46" s="27">
        <f>COUNTIFS([6]InfCualitativo!$B$1:$B$6973,"FALSO",[6]InfCualitativo!$E$1:$E$6973,"Isla Fuerte",[6]InfCualitativo!$H$1:$H$6973,"medicina_interna")</f>
        <v>0</v>
      </c>
      <c r="AM46" s="30">
        <f t="shared" si="18"/>
        <v>0</v>
      </c>
      <c r="AN46" s="30">
        <f t="shared" si="19"/>
        <v>0</v>
      </c>
      <c r="AO46" s="27">
        <f>COUNTIFS([6]InfCualitativo!$B$1:$B$6973,"VERDADERO",[6]InfCualitativo!$E$1:$E$6973,"Isla Fuerte",[6]InfCualitativo!$H$1:$H$6973,"ginecologia")</f>
        <v>0</v>
      </c>
      <c r="AP46" s="27">
        <f>COUNTIFS([6]InfCualitativo!$B$1:$B$6973,"FALSO",[6]InfCualitativo!$E$1:$E$6973,"Isla Fuerte",[6]InfCualitativo!$H$1:$H$6973,"ginecologia")</f>
        <v>0</v>
      </c>
      <c r="AQ46" s="30">
        <f t="shared" si="20"/>
        <v>0</v>
      </c>
      <c r="AR46" s="30">
        <f t="shared" si="21"/>
        <v>0</v>
      </c>
      <c r="AS46" s="27">
        <f t="shared" si="22"/>
        <v>69</v>
      </c>
      <c r="AT46" s="27">
        <f t="shared" si="22"/>
        <v>0</v>
      </c>
      <c r="AU46" s="32">
        <f t="shared" si="23"/>
        <v>1</v>
      </c>
      <c r="AV46" s="32">
        <f t="shared" si="24"/>
        <v>0</v>
      </c>
    </row>
    <row r="47" spans="1:48" ht="18.75" x14ac:dyDescent="0.3">
      <c r="A47" s="26" t="s">
        <v>67</v>
      </c>
      <c r="B47" s="27">
        <v>183</v>
      </c>
      <c r="C47" s="27">
        <f t="shared" si="1"/>
        <v>175</v>
      </c>
      <c r="D47" s="28">
        <f t="shared" si="0"/>
        <v>95.62841530054645</v>
      </c>
      <c r="E47" s="29">
        <f>COUNTIFS([6]InfCualitativo!$B$1:$B$6973,"VERDADERO",[6]InfCualitativo!$E$1:$E$6973,"Los Cerros",[6]InfCualitativo!$H$1:$H$6973,"consulta_externa")</f>
        <v>35</v>
      </c>
      <c r="F47" s="29">
        <f>COUNTIFS([6]InfCualitativo!$B$1:$B$6973,"FALSO",[6]InfCualitativo!$E$1:$E$6973,"Los Cerros",[6]InfCualitativo!$H$1:$H$6973,"consulta_externa")</f>
        <v>0</v>
      </c>
      <c r="G47" s="30">
        <f t="shared" si="2"/>
        <v>1</v>
      </c>
      <c r="H47" s="30">
        <f t="shared" si="3"/>
        <v>0</v>
      </c>
      <c r="I47" s="27">
        <f>COUNTIFS([6]InfCualitativo!$B$1:$B$6973,"VERDADERO",[6]InfCualitativo!$E$1:$E$6973,"Los Cerros",[6]InfCualitativo!$H$1:$H$6973,"salud_oral")</f>
        <v>35</v>
      </c>
      <c r="J47" s="27">
        <f>COUNTIFS([6]InfCualitativo!$B$1:$B$6973,"FALSO",[6]InfCualitativo!$E$1:$E$6973,"Los Cerros",[6]InfCualitativo!$H$1:$H$6973,"salud_oral")</f>
        <v>1</v>
      </c>
      <c r="K47" s="30">
        <f t="shared" si="4"/>
        <v>0.97222222222222221</v>
      </c>
      <c r="L47" s="30">
        <f t="shared" si="5"/>
        <v>2.7777777777777776E-2</v>
      </c>
      <c r="M47" s="27">
        <f>COUNTIFS([6]InfCualitativo!$B$1:$B$6973,"VERDADERO",[6]InfCualitativo!$E$1:$E$6973,"Los Cerros",[6]InfCualitativo!$H$1:$H$6973,"laboratorio")</f>
        <v>31</v>
      </c>
      <c r="N47" s="27">
        <f>COUNTIFS([6]InfCualitativo!$B$1:$B$6973,"FALSO",[6]InfCualitativo!$E$1:$E$6973,"Los Cerros",[6]InfCualitativo!$H$1:$H$6973,"laboratorio")</f>
        <v>2</v>
      </c>
      <c r="O47" s="30">
        <f t="shared" si="6"/>
        <v>0.93939393939393945</v>
      </c>
      <c r="P47" s="31">
        <f t="shared" si="7"/>
        <v>6.0606060606060608E-2</v>
      </c>
      <c r="Q47" s="27">
        <f>COUNTIFS([6]InfCualitativo!$B$1:$B$6973,"VERDADERO",[6]InfCualitativo!$E$1:$E$6973,"Los Cerros",[6]InfCualitativo!$H$1:$H$6973,"electros")</f>
        <v>24</v>
      </c>
      <c r="R47" s="27">
        <f>COUNTIFS([6]InfCualitativo!$B$1:$B$6973,"FALSO",[6]InfCualitativo!$E$1:$E$6973,"Los Cerros",[6]InfCualitativo!$H$1:$H$6973,"electros")</f>
        <v>2</v>
      </c>
      <c r="S47" s="30">
        <f t="shared" si="8"/>
        <v>0.92307692307692313</v>
      </c>
      <c r="T47" s="30">
        <f t="shared" si="9"/>
        <v>7.6923076923076927E-2</v>
      </c>
      <c r="U47" s="27">
        <f>COUNTIFS([6]InfCualitativo!$B$1:$B$6973,"VERDADERO",[6]InfCualitativo!$E$1:$E$6973,"Los Cerros",[6]InfCualitativo!$H$1:$H$6973,"rx")</f>
        <v>0</v>
      </c>
      <c r="V47" s="27">
        <f>COUNTIFS([6]InfCualitativo!$B$1:$B$6973,"FALSO",[6]InfCualitativo!$E$1:$E$6973,"Los Cerros",[6]InfCualitativo!$H$1:$H$6973,"rx")</f>
        <v>0</v>
      </c>
      <c r="W47" s="30">
        <f t="shared" si="10"/>
        <v>0</v>
      </c>
      <c r="X47" s="30">
        <f t="shared" si="11"/>
        <v>0</v>
      </c>
      <c r="Y47" s="27">
        <f>COUNTIFS([6]InfCualitativo!$B$1:$B$6973,"VERDADERO",[6]InfCualitativo!$E$1:$E$6973,"Los Cerros",[6]InfCualitativo!$H$1:$H$6973,"ecografias")</f>
        <v>10</v>
      </c>
      <c r="Z47" s="27">
        <f>COUNTIFS([6]InfCualitativo!$B$1:$B$6973,"FALSO",[6]InfCualitativo!$E$1:$E$6973,"Los Cerros",[6]InfCualitativo!$H$1:$H$6973,"ecografias")</f>
        <v>0</v>
      </c>
      <c r="AA47" s="30">
        <f>IFERROR(Y47/(Y47+Z47),0)</f>
        <v>1</v>
      </c>
      <c r="AB47" s="30">
        <f>IFERROR(Z47/(Y47+Z47),0)</f>
        <v>0</v>
      </c>
      <c r="AC47" s="27">
        <f>COUNTIFS([6]InfCualitativo!$B$1:$B$6973,"VERDADERO",[6]InfCualitativo!$E$1:$E$6973,"Los Cerros",[6]InfCualitativo!$H$1:$H$6973,"urgencia")</f>
        <v>0</v>
      </c>
      <c r="AD47" s="27">
        <f>COUNTIFS([6]InfCualitativo!$B$1:$B$6973,"FALSO",[6]InfCualitativo!$E$1:$E$6973,"Los Cerros",[6]InfCualitativo!$H$1:$H$6973,"urgencia")</f>
        <v>0</v>
      </c>
      <c r="AE47" s="30">
        <f t="shared" si="14"/>
        <v>0</v>
      </c>
      <c r="AF47" s="30">
        <f t="shared" si="15"/>
        <v>0</v>
      </c>
      <c r="AG47" s="27">
        <f>COUNTIFS([6]InfCualitativo!$B$1:$B$6973,"VERDADERO",[6]InfCualitativo!$E$1:$E$6973,"Los Cerros",[6]InfCualitativo!$H$1:$H$6973,"pediatria")</f>
        <v>18</v>
      </c>
      <c r="AH47" s="27">
        <f>COUNTIFS([6]InfCualitativo!$B$1:$B$6973,"FALSO",[6]InfCualitativo!$E$1:$E$6973,"Los Cerros",[6]InfCualitativo!$H$1:$H$6973,"pediatria")</f>
        <v>0</v>
      </c>
      <c r="AI47" s="30">
        <f t="shared" si="16"/>
        <v>1</v>
      </c>
      <c r="AJ47" s="30">
        <f t="shared" si="17"/>
        <v>0</v>
      </c>
      <c r="AK47" s="27">
        <f>COUNTIFS([6]InfCualitativo!$B$1:$B$6973,"VERDADERO",[6]InfCualitativo!$E$1:$E$6973,"Los Cerros",[6]InfCualitativo!$H$1:$H$6973,"medicina_interna")</f>
        <v>9</v>
      </c>
      <c r="AL47" s="27">
        <f>COUNTIFS([6]InfCualitativo!$B$1:$B$6973,"FALSO",[6]InfCualitativo!$E$1:$E$6973,"Los Cerros",[6]InfCualitativo!$H$1:$H$6973,"medicina_interna")</f>
        <v>0</v>
      </c>
      <c r="AM47" s="30">
        <f t="shared" si="18"/>
        <v>1</v>
      </c>
      <c r="AN47" s="30">
        <f t="shared" si="19"/>
        <v>0</v>
      </c>
      <c r="AO47" s="27">
        <f>COUNTIFS([6]InfCualitativo!$B$1:$B$6973,"VERDADERO",[6]InfCualitativo!$E$1:$E$6973,"Los Cerros",[6]InfCualitativo!$H$1:$H$6973,"ginecologia")</f>
        <v>7</v>
      </c>
      <c r="AP47" s="27">
        <f>COUNTIFS([6]InfCualitativo!$B$1:$B$6973,"FALSO",[6]InfCualitativo!$E$1:$E$6973,"Los Cerros",[6]InfCualitativo!$H$1:$H$6973,"ginecologia")</f>
        <v>1</v>
      </c>
      <c r="AQ47" s="30">
        <f t="shared" si="20"/>
        <v>0.875</v>
      </c>
      <c r="AR47" s="30">
        <f t="shared" si="21"/>
        <v>0.125</v>
      </c>
      <c r="AS47" s="27">
        <f t="shared" si="22"/>
        <v>169</v>
      </c>
      <c r="AT47" s="27">
        <f t="shared" si="22"/>
        <v>6</v>
      </c>
      <c r="AU47" s="32">
        <f t="shared" si="23"/>
        <v>0.96571428571428575</v>
      </c>
      <c r="AV47" s="32">
        <f t="shared" si="24"/>
        <v>3.4285714285714287E-2</v>
      </c>
    </row>
    <row r="48" spans="1:48" ht="18.75" x14ac:dyDescent="0.3">
      <c r="A48" s="26" t="s">
        <v>68</v>
      </c>
      <c r="B48" s="27">
        <v>45</v>
      </c>
      <c r="C48" s="27">
        <f t="shared" si="1"/>
        <v>45</v>
      </c>
      <c r="D48" s="28">
        <f t="shared" si="0"/>
        <v>100</v>
      </c>
      <c r="E48" s="29">
        <f>COUNTIFS([6]InfCualitativo!$B$1:$B$6973,"VERDADERO",[6]InfCualitativo!$E$1:$E$6973,"Islote de San Bernardo",[6]InfCualitativo!$H$1:$H$6973,"consulta_externa")</f>
        <v>19</v>
      </c>
      <c r="F48" s="29">
        <f>COUNTIFS([6]InfCualitativo!$B$1:$B$6973,"FALSO",[6]InfCualitativo!$E$1:$E$6973,"Islote de San Bernardo",[6]InfCualitativo!$H$1:$H$6973,"consulta_externa")</f>
        <v>0</v>
      </c>
      <c r="G48" s="30">
        <f t="shared" si="2"/>
        <v>1</v>
      </c>
      <c r="H48" s="30">
        <f t="shared" si="3"/>
        <v>0</v>
      </c>
      <c r="I48" s="27">
        <f>COUNTIFS([6]InfCualitativo!$B$1:$B$6973,"VERDADERO",[6]InfCualitativo!$E$1:$E$6973,"Islote de San Bernardo",[6]InfCualitativo!$H$1:$H$6973,"salud_oral")</f>
        <v>9</v>
      </c>
      <c r="J48" s="27">
        <f>COUNTIFS([6]InfCualitativo!$B$1:$B$6973,"FALSO",[6]InfCualitativo!$E$1:$E$6973,"Islote de San Bernardo",[6]InfCualitativo!$H$1:$H$6973,"salud_oral")</f>
        <v>0</v>
      </c>
      <c r="K48" s="30">
        <f t="shared" si="4"/>
        <v>1</v>
      </c>
      <c r="L48" s="30">
        <f t="shared" si="5"/>
        <v>0</v>
      </c>
      <c r="M48" s="27">
        <f>COUNTIFS([6]InfCualitativo!$B$1:$B$6973,"VERDADERO",[6]InfCualitativo!$E$1:$E$6973,"Islote de San Bernardo",[6]InfCualitativo!$H$1:$H$6973,"laboratorio")</f>
        <v>17</v>
      </c>
      <c r="N48" s="27">
        <f>COUNTIFS([6]InfCualitativo!$B$1:$B$6973,"FALSO",[6]InfCualitativo!$E$1:$E$6973,"Islote de San Bernardo",[6]InfCualitativo!$H$1:$H$6973,"laboratorio")</f>
        <v>0</v>
      </c>
      <c r="O48" s="30">
        <f t="shared" si="6"/>
        <v>1</v>
      </c>
      <c r="P48" s="31">
        <f t="shared" si="7"/>
        <v>0</v>
      </c>
      <c r="Q48" s="27">
        <f>COUNTIFS([6]InfCualitativo!$B$1:$B$6973,"VERDADERO",[6]InfCualitativo!$E$1:$E$6973,"Islote de San Bernardo",[6]InfCualitativo!$H$1:$H$6973,"electros")</f>
        <v>0</v>
      </c>
      <c r="R48" s="27">
        <f>COUNTIFS([6]InfCualitativo!$B$1:$B$6973,"FALSO",[6]InfCualitativo!$E$1:$E$6973,"Islote de San Bernardo",[6]InfCualitativo!$H$1:$H$6973,"electros")</f>
        <v>0</v>
      </c>
      <c r="S48" s="30">
        <f t="shared" si="8"/>
        <v>0</v>
      </c>
      <c r="T48" s="30">
        <f t="shared" si="9"/>
        <v>0</v>
      </c>
      <c r="U48" s="27">
        <f>COUNTIFS([6]InfCualitativo!$B$1:$B$6973,"VERDADERO",[6]InfCualitativo!$E$1:$E$6973,"Islote de San Bernardo",[6]InfCualitativo!$H$1:$H$6973,"rx")</f>
        <v>0</v>
      </c>
      <c r="V48" s="27">
        <f>COUNTIFS([6]InfCualitativo!$B$1:$B$6973,"FALSO",[6]InfCualitativo!$E$1:$E$6973,"Islote de San Bernardo",[6]InfCualitativo!$H$1:$H$6973,"rx")</f>
        <v>0</v>
      </c>
      <c r="W48" s="30">
        <f t="shared" si="10"/>
        <v>0</v>
      </c>
      <c r="X48" s="30">
        <f t="shared" si="11"/>
        <v>0</v>
      </c>
      <c r="Y48" s="27">
        <f>COUNTIFS([6]InfCualitativo!$B$1:$B$6973,"VERDADERO",[6]InfCualitativo!$E$1:$E$6973,"Islote de San Bernardo",[6]InfCualitativo!$H$1:$H$6973,"ecografias")</f>
        <v>0</v>
      </c>
      <c r="Z48" s="27">
        <f>COUNTIFS([6]InfCualitativo!$B$1:$B$6973,"FALSO",[6]InfCualitativo!$E$1:$E$6973,"Islote de San Bernardo",[6]InfCualitativo!$H$1:$H$6973,"ecografias")</f>
        <v>0</v>
      </c>
      <c r="AA48" s="30">
        <f>IFERROR(Y48/(Y48+Z48),0)</f>
        <v>0</v>
      </c>
      <c r="AB48" s="30">
        <f>IFERROR(Z48/(Y48+Z48),0)</f>
        <v>0</v>
      </c>
      <c r="AC48" s="27">
        <f>COUNTIFS([6]InfCualitativo!$B$1:$B$6973,"VERDADERO",[6]InfCualitativo!$E$1:$E$6973,"Islote de San Bernardo",[6]InfCualitativo!$H$1:$H$6973,"urgencia")</f>
        <v>0</v>
      </c>
      <c r="AD48" s="27">
        <f>COUNTIFS([6]InfCualitativo!$B$1:$B$6973,"FALSO",[6]InfCualitativo!$E$1:$E$6973,"Islote de San Bernardo",[6]InfCualitativo!$H$1:$H$6973,"urgencia")</f>
        <v>0</v>
      </c>
      <c r="AE48" s="30">
        <f t="shared" si="14"/>
        <v>0</v>
      </c>
      <c r="AF48" s="30">
        <f t="shared" si="15"/>
        <v>0</v>
      </c>
      <c r="AG48" s="27">
        <f>COUNTIFS([6]InfCualitativo!$B$1:$B$6973,"VERDADERO",[6]InfCualitativo!$E$1:$E$6973,"Islote de San Bernardo",[6]InfCualitativo!$H$1:$H$6973,"pediatria")</f>
        <v>0</v>
      </c>
      <c r="AH48" s="27">
        <f>COUNTIFS([6]InfCualitativo!$B$1:$B$6973,"FALSO",[6]InfCualitativo!$E$1:$E$6973,"Islote de San Bernardo",[6]InfCualitativo!$H$1:$H$6973,"pediatria")</f>
        <v>0</v>
      </c>
      <c r="AI48" s="30">
        <f t="shared" si="16"/>
        <v>0</v>
      </c>
      <c r="AJ48" s="30">
        <f t="shared" si="17"/>
        <v>0</v>
      </c>
      <c r="AK48" s="27">
        <f>COUNTIFS([6]InfCualitativo!$B$1:$B$6973,"VERDADERO",[6]InfCualitativo!$E$1:$E$6973,"Islote de San Bernardo",[6]InfCualitativo!$H$1:$H$6973,"medicina_interna")</f>
        <v>0</v>
      </c>
      <c r="AL48" s="27">
        <f>COUNTIFS([6]InfCualitativo!$B$1:$B$6973,"FALSO",[6]InfCualitativo!$E$1:$E$6973,"Islote de San Bernardo",[6]InfCualitativo!$H$1:$H$6973,"medicina_interna")</f>
        <v>0</v>
      </c>
      <c r="AM48" s="30">
        <f t="shared" si="18"/>
        <v>0</v>
      </c>
      <c r="AN48" s="30">
        <f t="shared" si="19"/>
        <v>0</v>
      </c>
      <c r="AO48" s="27">
        <f>COUNTIFS([6]InfCualitativo!$B$1:$B$6973,"VERDADERO",[6]InfCualitativo!$E$1:$E$6973,"Islote de San Bernardo",[6]InfCualitativo!$H$1:$H$6973,"ginecologia")</f>
        <v>0</v>
      </c>
      <c r="AP48" s="27">
        <f>COUNTIFS([6]InfCualitativo!$B$1:$B$6973,"FALSO",[6]InfCualitativo!$E$1:$E$6973,"Islote de San Bernardo",[6]InfCualitativo!$H$1:$H$6973,"ginecologia")</f>
        <v>0</v>
      </c>
      <c r="AQ48" s="30">
        <f t="shared" si="20"/>
        <v>0</v>
      </c>
      <c r="AR48" s="30">
        <f t="shared" si="21"/>
        <v>0</v>
      </c>
      <c r="AS48" s="27">
        <f t="shared" si="22"/>
        <v>45</v>
      </c>
      <c r="AT48" s="27">
        <f t="shared" si="22"/>
        <v>0</v>
      </c>
      <c r="AU48" s="32">
        <f t="shared" si="23"/>
        <v>1</v>
      </c>
      <c r="AV48" s="32">
        <f t="shared" si="24"/>
        <v>0</v>
      </c>
    </row>
    <row r="49" spans="1:48" ht="19.5" thickBot="1" x14ac:dyDescent="0.35">
      <c r="A49" s="36" t="s">
        <v>69</v>
      </c>
      <c r="B49" s="27">
        <v>177</v>
      </c>
      <c r="C49" s="27">
        <f t="shared" si="1"/>
        <v>177</v>
      </c>
      <c r="D49" s="28">
        <f t="shared" si="0"/>
        <v>100</v>
      </c>
      <c r="E49" s="29">
        <f>COUNTIFS([6]InfCualitativo!$B$1:$B$6973,"VERDADERO",[6]InfCualitativo!$E$1:$E$6973,"Santa Ana",[6]InfCualitativo!$H$1:$H$6973,"consulta_externa")</f>
        <v>76</v>
      </c>
      <c r="F49" s="29">
        <f>COUNTIFS([6]InfCualitativo!$B$1:$B$6973,"FALSO",[6]InfCualitativo!$E$1:$E$6973,"Santa Ana",[6]InfCualitativo!$H$1:$H$6973,"consulta_externa")</f>
        <v>0</v>
      </c>
      <c r="G49" s="30">
        <f t="shared" si="2"/>
        <v>1</v>
      </c>
      <c r="H49" s="30">
        <f t="shared" si="3"/>
        <v>0</v>
      </c>
      <c r="I49" s="27">
        <f>COUNTIFS([6]InfCualitativo!$B$1:$B$6973,"VERDADERO",[6]InfCualitativo!$E$1:$E$6973,"Santa Ana",[6]InfCualitativo!$H$1:$H$6973,"salud_oral")</f>
        <v>31</v>
      </c>
      <c r="J49" s="27">
        <f>COUNTIFS([6]InfCualitativo!$B$1:$B$6973,"FALSO",[6]InfCualitativo!$E$1:$E$6973,"Santa Ana",[6]InfCualitativo!$H$1:$H$6973,"salud_oral")</f>
        <v>0</v>
      </c>
      <c r="K49" s="30">
        <f t="shared" si="4"/>
        <v>1</v>
      </c>
      <c r="L49" s="30">
        <f t="shared" si="5"/>
        <v>0</v>
      </c>
      <c r="M49" s="27">
        <f>COUNTIFS([6]InfCualitativo!$B$1:$B$6973,"VERDADERO",[6]InfCualitativo!$E$1:$E$6973,"Santa Ana",[6]InfCualitativo!$H$1:$H$6973,"laboratorio")</f>
        <v>67</v>
      </c>
      <c r="N49" s="27">
        <f>COUNTIFS([6]InfCualitativo!$B$1:$B$6973,"FALSO",[6]InfCualitativo!$E$1:$E$6973,"Santa Ana",[6]InfCualitativo!$H$1:$H$6973,"laboratorio")</f>
        <v>0</v>
      </c>
      <c r="O49" s="30">
        <f t="shared" si="6"/>
        <v>1</v>
      </c>
      <c r="P49" s="31">
        <f t="shared" si="7"/>
        <v>0</v>
      </c>
      <c r="Q49" s="27">
        <f>COUNTIFS([6]InfCualitativo!$B$1:$B$6973,"VERDADERO",[6]InfCualitativo!$E$1:$E$6973,"Santa Ana",[6]InfCualitativo!$H$1:$H$6973,"electros")</f>
        <v>0</v>
      </c>
      <c r="R49" s="27">
        <f>COUNTIFS([6]InfCualitativo!$B$1:$B$6973,"FALSO",[6]InfCualitativo!$E$1:$E$6973,"Santa Ana",[6]InfCualitativo!$H$1:$H$6973,"electros")</f>
        <v>0</v>
      </c>
      <c r="S49" s="30">
        <f t="shared" si="8"/>
        <v>0</v>
      </c>
      <c r="T49" s="30">
        <f t="shared" si="9"/>
        <v>0</v>
      </c>
      <c r="U49" s="27">
        <f>COUNTIFS([6]InfCualitativo!$B$1:$B$6973,"VERDADERO",[6]InfCualitativo!$E$1:$E$6973,"Santa Ana",[6]InfCualitativo!$H$1:$H$6973,"rx")</f>
        <v>0</v>
      </c>
      <c r="V49" s="27">
        <f>COUNTIFS([6]InfCualitativo!$B$1:$B$6973,"FALSO",[6]InfCualitativo!$E$1:$E$6973,"Santa Ana",[6]InfCualitativo!$H$1:$H$6973,"rx")</f>
        <v>0</v>
      </c>
      <c r="W49" s="30">
        <f t="shared" si="10"/>
        <v>0</v>
      </c>
      <c r="X49" s="30">
        <f t="shared" si="11"/>
        <v>0</v>
      </c>
      <c r="Y49" s="27">
        <f>COUNTIFS([6]InfCualitativo!$B$1:$B$6973,"VERDADERO",[6]InfCualitativo!$E$1:$E$6973,"Santa Ana",[6]InfCualitativo!$H$1:$H$6973,"ecografias")</f>
        <v>0</v>
      </c>
      <c r="Z49" s="27">
        <f>COUNTIFS([6]InfCualitativo!$B$1:$B$6973,"FALSO",[6]InfCualitativo!$E$1:$E$6973,"Santa Ana",[6]InfCualitativo!$H$1:$H$6973,"ecografias")</f>
        <v>0</v>
      </c>
      <c r="AA49" s="30">
        <f>IFERROR(Y49/(Y49+Z49),0)</f>
        <v>0</v>
      </c>
      <c r="AB49" s="30">
        <f>IFERROR(Z49/(Y49+Z49),0)</f>
        <v>0</v>
      </c>
      <c r="AC49" s="27">
        <f>COUNTIFS([6]InfCualitativo!$B$1:$B$6973,"VERDADERO",[6]InfCualitativo!$E$1:$E$6973,"Santa Ana",[6]InfCualitativo!$H$1:$H$6973,"urgencia")</f>
        <v>3</v>
      </c>
      <c r="AD49" s="27">
        <f>COUNTIFS([6]InfCualitativo!$B$1:$B$6973,"FALSO",[6]InfCualitativo!$E$1:$E$6973,"Santa Ana",[6]InfCualitativo!$H$1:$H$6973,"urgencia")</f>
        <v>0</v>
      </c>
      <c r="AE49" s="30">
        <f t="shared" si="14"/>
        <v>1</v>
      </c>
      <c r="AF49" s="30">
        <f t="shared" si="15"/>
        <v>0</v>
      </c>
      <c r="AG49" s="27">
        <f>COUNTIFS([6]InfCualitativo!$B$1:$B$6973,"VERDADERO",[6]InfCualitativo!$E$1:$E$6973,"Santa Ana",[6]InfCualitativo!$H$1:$H$6973,"pediatria")</f>
        <v>0</v>
      </c>
      <c r="AH49" s="27">
        <f>COUNTIFS([6]InfCualitativo!$B$1:$B$6973,"FALSO",[6]InfCualitativo!$E$1:$E$6973,"Santa Ana",[6]InfCualitativo!$H$1:$H$6973,"pediatria")</f>
        <v>0</v>
      </c>
      <c r="AI49" s="30">
        <f t="shared" si="16"/>
        <v>0</v>
      </c>
      <c r="AJ49" s="30">
        <f t="shared" si="17"/>
        <v>0</v>
      </c>
      <c r="AK49" s="27">
        <f>COUNTIFS([6]InfCualitativo!$B$1:$B$6973,"VERDADERO",[6]InfCualitativo!$E$1:$E$6973,"Santa Ana",[6]InfCualitativo!$H$1:$H$6973,"medicina_interna")</f>
        <v>0</v>
      </c>
      <c r="AL49" s="27">
        <f>COUNTIFS([6]InfCualitativo!$B$1:$B$6973,"FALSO",[6]InfCualitativo!$E$1:$E$6973,"Santa Ana",[6]InfCualitativo!$H$1:$H$6973,"medicina_interna")</f>
        <v>0</v>
      </c>
      <c r="AM49" s="30">
        <f t="shared" si="18"/>
        <v>0</v>
      </c>
      <c r="AN49" s="30">
        <f t="shared" si="19"/>
        <v>0</v>
      </c>
      <c r="AO49" s="27">
        <f>COUNTIFS([6]InfCualitativo!$B$1:$B$6973,"VERDADERO",[6]InfCualitativo!$E$1:$E$6973,"Santa Ana",[6]InfCualitativo!$H$1:$H$6973,"ginecologia")</f>
        <v>0</v>
      </c>
      <c r="AP49" s="27">
        <f>COUNTIFS([6]InfCualitativo!$B$1:$B$6973,"FALSO",[6]InfCualitativo!$E$1:$E$6973,"Santa Ana",[6]InfCualitativo!$H$1:$H$6973,"ginecologia")</f>
        <v>0</v>
      </c>
      <c r="AQ49" s="30">
        <f t="shared" si="20"/>
        <v>0</v>
      </c>
      <c r="AR49" s="30">
        <f t="shared" si="21"/>
        <v>0</v>
      </c>
      <c r="AS49" s="84">
        <f t="shared" si="22"/>
        <v>177</v>
      </c>
      <c r="AT49" s="84">
        <f t="shared" si="22"/>
        <v>0</v>
      </c>
      <c r="AU49" s="37">
        <f t="shared" si="23"/>
        <v>1</v>
      </c>
      <c r="AV49" s="37">
        <f t="shared" si="24"/>
        <v>0</v>
      </c>
    </row>
    <row r="50" spans="1:48" ht="24" thickBot="1" x14ac:dyDescent="0.4">
      <c r="A50" s="38"/>
      <c r="B50" s="39">
        <f>SUM(B3:B49)</f>
        <v>5024</v>
      </c>
      <c r="C50" s="40">
        <f t="shared" si="1"/>
        <v>4910</v>
      </c>
      <c r="D50" s="41">
        <f>C50/B50</f>
        <v>0.97730891719745228</v>
      </c>
      <c r="E50" s="42">
        <f>SUM(E3:E49)</f>
        <v>1470</v>
      </c>
      <c r="F50" s="43">
        <f>SUM(F3:F49)</f>
        <v>64</v>
      </c>
      <c r="G50" s="75">
        <f t="shared" si="2"/>
        <v>0.9582790091264668</v>
      </c>
      <c r="H50" s="75">
        <f t="shared" si="3"/>
        <v>4.1720990873533245E-2</v>
      </c>
      <c r="I50" s="45">
        <f>SUM(I3:I49)</f>
        <v>1169</v>
      </c>
      <c r="J50" s="46">
        <f>SUM(J3:J49)</f>
        <v>43</v>
      </c>
      <c r="K50" s="75">
        <f t="shared" si="4"/>
        <v>0.96452145214521456</v>
      </c>
      <c r="L50" s="75">
        <f t="shared" si="5"/>
        <v>3.5478547854785478E-2</v>
      </c>
      <c r="M50" s="45">
        <f>SUM(M3:M49)</f>
        <v>1298</v>
      </c>
      <c r="N50" s="46">
        <f>SUM(N3:N49)</f>
        <v>51</v>
      </c>
      <c r="O50" s="75">
        <f t="shared" si="6"/>
        <v>0.96219421793921422</v>
      </c>
      <c r="P50" s="76">
        <f t="shared" si="7"/>
        <v>3.7805782060785768E-2</v>
      </c>
      <c r="Q50" s="46">
        <f>SUM(Q3:Q49)</f>
        <v>91</v>
      </c>
      <c r="R50" s="46">
        <f>SUM(R3:R49)</f>
        <v>3</v>
      </c>
      <c r="S50" s="75">
        <f t="shared" si="8"/>
        <v>0.96808510638297873</v>
      </c>
      <c r="T50" s="75">
        <f t="shared" si="9"/>
        <v>3.1914893617021274E-2</v>
      </c>
      <c r="U50" s="46">
        <f>SUM(U3:U49)</f>
        <v>103</v>
      </c>
      <c r="V50" s="46">
        <f>SUM(V3:V49)</f>
        <v>3</v>
      </c>
      <c r="W50" s="75">
        <f t="shared" si="10"/>
        <v>0.97169811320754718</v>
      </c>
      <c r="X50" s="75">
        <f t="shared" si="11"/>
        <v>2.8301886792452831E-2</v>
      </c>
      <c r="Y50" s="46">
        <f>SUM(Y3:Y49)</f>
        <v>39</v>
      </c>
      <c r="Z50" s="46">
        <f>SUM(Z3:Z49)</f>
        <v>3</v>
      </c>
      <c r="AA50" s="75">
        <f t="shared" si="12"/>
        <v>0.9285714285714286</v>
      </c>
      <c r="AB50" s="75">
        <f t="shared" si="13"/>
        <v>7.1428571428571425E-2</v>
      </c>
      <c r="AC50" s="45">
        <f>SUM(AC3:AC49)</f>
        <v>332</v>
      </c>
      <c r="AD50" s="46">
        <f>SUM(AD3:AD49)</f>
        <v>76</v>
      </c>
      <c r="AE50" s="75">
        <f t="shared" si="14"/>
        <v>0.81372549019607843</v>
      </c>
      <c r="AF50" s="75">
        <f t="shared" si="15"/>
        <v>0.18627450980392157</v>
      </c>
      <c r="AG50" s="45">
        <f>SUM(AG3:AG49)</f>
        <v>82</v>
      </c>
      <c r="AH50" s="46">
        <f>SUM(AH3:AH49)</f>
        <v>2</v>
      </c>
      <c r="AI50" s="75">
        <f t="shared" si="16"/>
        <v>0.97619047619047616</v>
      </c>
      <c r="AJ50" s="75">
        <f t="shared" si="17"/>
        <v>2.3809523809523808E-2</v>
      </c>
      <c r="AK50" s="45">
        <f>SUM(AK3:AK49)</f>
        <v>37</v>
      </c>
      <c r="AL50" s="46">
        <f>SUM(AL3:AL49)</f>
        <v>2</v>
      </c>
      <c r="AM50" s="75">
        <f t="shared" si="18"/>
        <v>0.94871794871794868</v>
      </c>
      <c r="AN50" s="75">
        <f t="shared" si="19"/>
        <v>5.128205128205128E-2</v>
      </c>
      <c r="AO50" s="45">
        <f>SUM(AO3:AO49)</f>
        <v>41</v>
      </c>
      <c r="AP50" s="46">
        <v>1</v>
      </c>
      <c r="AQ50" s="75">
        <f t="shared" si="20"/>
        <v>0.97619047619047616</v>
      </c>
      <c r="AR50" s="76">
        <f t="shared" si="21"/>
        <v>2.3809523809523808E-2</v>
      </c>
      <c r="AS50" s="111">
        <f t="shared" si="22"/>
        <v>4662</v>
      </c>
      <c r="AT50" s="112">
        <f t="shared" si="22"/>
        <v>248</v>
      </c>
      <c r="AU50" s="50">
        <f t="shared" si="23"/>
        <v>0.94949083503054987</v>
      </c>
      <c r="AV50" s="51">
        <f t="shared" si="24"/>
        <v>5.0509164969450099E-2</v>
      </c>
    </row>
    <row r="51" spans="1:48" x14ac:dyDescent="0.25">
      <c r="C51" s="103"/>
      <c r="E51" s="54">
        <f>SUM(E50:F50)</f>
        <v>1534</v>
      </c>
      <c r="F51" s="55"/>
      <c r="I51" s="54">
        <f>SUM(I50:J50)</f>
        <v>1212</v>
      </c>
      <c r="J51" s="55"/>
      <c r="M51" s="54">
        <f>SUM(M50:N50)</f>
        <v>1349</v>
      </c>
      <c r="N51" s="55"/>
      <c r="Q51" s="55">
        <f>SUM(Q50:R50)</f>
        <v>94</v>
      </c>
      <c r="R51" s="55"/>
      <c r="U51" s="55">
        <f>SUM(U50:V50)</f>
        <v>106</v>
      </c>
      <c r="V51" s="55"/>
      <c r="Y51" s="55">
        <f>SUM(Y50:Z50)</f>
        <v>42</v>
      </c>
      <c r="Z51" s="55"/>
      <c r="AC51" s="55">
        <f>SUM(AC50:AD50)</f>
        <v>408</v>
      </c>
      <c r="AD51" s="55"/>
      <c r="AS51" s="103"/>
    </row>
    <row r="54" spans="1:48" ht="44.25" customHeight="1" x14ac:dyDescent="0.25">
      <c r="A54" s="56" t="s">
        <v>70</v>
      </c>
      <c r="B54" s="57"/>
      <c r="I54" s="58"/>
      <c r="J54" s="58"/>
      <c r="K54" s="58"/>
      <c r="L54" s="58"/>
      <c r="M54" s="58"/>
    </row>
    <row r="55" spans="1:48" x14ac:dyDescent="0.25">
      <c r="A55" s="59" t="s">
        <v>71</v>
      </c>
      <c r="B55" s="60">
        <f>COUNTIFS([6]InfCualitativo!$J$1:$J$6973,"muybueno")</f>
        <v>699</v>
      </c>
    </row>
    <row r="56" spans="1:48" x14ac:dyDescent="0.25">
      <c r="A56" s="59" t="s">
        <v>72</v>
      </c>
      <c r="B56" s="60">
        <f>COUNTIFS([6]InfCualitativo!$J$1:$J$6973,"bueno")</f>
        <v>3963</v>
      </c>
    </row>
    <row r="57" spans="1:48" x14ac:dyDescent="0.25">
      <c r="A57" s="59" t="s">
        <v>73</v>
      </c>
      <c r="B57" s="60">
        <f>COUNTIFS([6]InfCualitativo!$J$1:$J$6973,"regular")</f>
        <v>237</v>
      </c>
    </row>
    <row r="58" spans="1:48" x14ac:dyDescent="0.25">
      <c r="A58" s="59" t="s">
        <v>74</v>
      </c>
      <c r="B58" s="60">
        <f>COUNTIFS([6]InfCualitativo!$J$1:$J$6973,"malo")</f>
        <v>10</v>
      </c>
    </row>
    <row r="59" spans="1:48" x14ac:dyDescent="0.25">
      <c r="A59" s="59" t="s">
        <v>75</v>
      </c>
      <c r="B59" s="60">
        <f>COUNTIFS([6]InfCualitativo!$J$1:$J$6973,"muymalo")</f>
        <v>1</v>
      </c>
      <c r="C59">
        <f>SUM(B55:B59)</f>
        <v>4910</v>
      </c>
    </row>
    <row r="60" spans="1:48" ht="31.5" customHeight="1" x14ac:dyDescent="0.25">
      <c r="A60" s="59"/>
      <c r="B60" s="60"/>
    </row>
    <row r="61" spans="1:48" ht="42" customHeight="1" x14ac:dyDescent="0.25">
      <c r="A61" s="61" t="s">
        <v>76</v>
      </c>
      <c r="B61" s="62"/>
    </row>
    <row r="62" spans="1:48" x14ac:dyDescent="0.25">
      <c r="A62" s="59" t="s">
        <v>77</v>
      </c>
      <c r="B62" s="60">
        <f>COUNTIFS([6]InfCualitativo!$K$1:$K$6973,"defsi")</f>
        <v>3408</v>
      </c>
    </row>
    <row r="63" spans="1:48" x14ac:dyDescent="0.25">
      <c r="A63" s="59" t="s">
        <v>78</v>
      </c>
      <c r="B63" s="60">
        <f>COUNTIFS([6]InfCualitativo!$K$1:$K$6973,"probsi")</f>
        <v>1482</v>
      </c>
    </row>
    <row r="64" spans="1:48" x14ac:dyDescent="0.25">
      <c r="A64" s="59" t="s">
        <v>79</v>
      </c>
      <c r="B64" s="60">
        <f>COUNTIFS([6]InfCualitativo!$K$1:$K$6973,"defno")</f>
        <v>3</v>
      </c>
    </row>
    <row r="65" spans="1:2" x14ac:dyDescent="0.25">
      <c r="A65" s="63" t="s">
        <v>80</v>
      </c>
      <c r="B65" s="64">
        <f>COUNTIFS([6]InfCualitativo!$K$1:$K$6973,"probno")</f>
        <v>17</v>
      </c>
    </row>
    <row r="66" spans="1:2" x14ac:dyDescent="0.25">
      <c r="B66">
        <f>SUM(B62:B65)</f>
        <v>4910</v>
      </c>
    </row>
  </sheetData>
  <autoFilter ref="A1:D51" xr:uid="{00000000-0001-0000-0000-000000000000}"/>
  <mergeCells count="28">
    <mergeCell ref="AC51:AD51"/>
    <mergeCell ref="A54:B54"/>
    <mergeCell ref="I54:M54"/>
    <mergeCell ref="A61:B61"/>
    <mergeCell ref="E51:F51"/>
    <mergeCell ref="I51:J51"/>
    <mergeCell ref="M51:N51"/>
    <mergeCell ref="Q51:R51"/>
    <mergeCell ref="U51:V51"/>
    <mergeCell ref="Y51:Z51"/>
    <mergeCell ref="AK1:AN1"/>
    <mergeCell ref="AO1:AR1"/>
    <mergeCell ref="AS1:AS2"/>
    <mergeCell ref="AT1:AT2"/>
    <mergeCell ref="AU1:AU2"/>
    <mergeCell ref="AV1:AV2"/>
    <mergeCell ref="M1:P1"/>
    <mergeCell ref="Q1:T1"/>
    <mergeCell ref="V1:X1"/>
    <mergeCell ref="Y1:AB1"/>
    <mergeCell ref="AC1:AF1"/>
    <mergeCell ref="AG1:AJ1"/>
    <mergeCell ref="A1:A2"/>
    <mergeCell ref="B1:B2"/>
    <mergeCell ref="C1:C2"/>
    <mergeCell ref="D1:D2"/>
    <mergeCell ref="E1:H1"/>
    <mergeCell ref="I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JULIO 25</vt:lpstr>
      <vt:lpstr>AGOSTO 25</vt:lpstr>
      <vt:lpstr>SEPTIEMBRE 25</vt:lpstr>
      <vt:lpstr>OCTUBRE 25</vt:lpstr>
      <vt:lpstr>NOVIEMBRE 25</vt:lpstr>
      <vt:lpstr>DICIEMBRE 25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aioesectg052</dc:creator>
  <cp:lastModifiedBy>aioesectg052</cp:lastModifiedBy>
  <dcterms:created xsi:type="dcterms:W3CDTF">2026-03-05T18:23:12Z</dcterms:created>
  <dcterms:modified xsi:type="dcterms:W3CDTF">2026-03-05T19:05:05Z</dcterms:modified>
</cp:coreProperties>
</file>